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1.xml" ContentType="application/vnd.openxmlformats-officedocument.spreadsheetml.queryTable+xml"/>
  <Override PartName="/xl/tables/table5.xml" ContentType="application/vnd.openxmlformats-officedocument.spreadsheetml.table+xml"/>
  <Override PartName="/xl/queryTables/queryTable2.xml" ContentType="application/vnd.openxmlformats-officedocument.spreadsheetml.queryTable+xml"/>
  <Override PartName="/xl/tables/table6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V:\REVISÃO\Concessionárias de Distribuição\2022\08 - D31 - Cooperaliança\Versão Final\Robson\"/>
    </mc:Choice>
  </mc:AlternateContent>
  <xr:revisionPtr revIDLastSave="0" documentId="13_ncr:1_{A33C62EE-B0D9-4707-B05F-FA004929AD02}" xr6:coauthVersionLast="47" xr6:coauthVersionMax="47" xr10:uidLastSave="{00000000-0000-0000-0000-000000000000}"/>
  <bookViews>
    <workbookView xWindow="-120" yWindow="-120" windowWidth="29040" windowHeight="15840" firstSheet="27" activeTab="36" xr2:uid="{BCB240C2-BF36-464D-91B7-1E0F6D55AB75}"/>
  </bookViews>
  <sheets>
    <sheet name="TAR FIN Celesc" sheetId="78" r:id="rId1"/>
    <sheet name="TAR FIN Aux Efeito" sheetId="77" r:id="rId2"/>
    <sheet name="Mercado_Receita" sheetId="1" r:id="rId3"/>
    <sheet name="EVENTOS" sheetId="2" r:id="rId4"/>
    <sheet name="TAR FIN" sheetId="95" r:id="rId5"/>
    <sheet name="MERCADO TUSD" sheetId="3" r:id="rId6"/>
    <sheet name="MERCADO TE" sheetId="4" r:id="rId7"/>
    <sheet name="CUSTOS" sheetId="5" r:id="rId8"/>
    <sheet name="TRANSICAO" sheetId="59" r:id="rId9"/>
    <sheet name="TR TUSD" sheetId="51" r:id="rId10"/>
    <sheet name="TUSD BE" sheetId="52" r:id="rId11"/>
    <sheet name="TUSD BF" sheetId="53" r:id="rId12"/>
    <sheet name="TUSD CVA" sheetId="54" r:id="rId13"/>
    <sheet name="TR TE" sheetId="55" r:id="rId14"/>
    <sheet name="TE BE" sheetId="56" r:id="rId15"/>
    <sheet name="TE BF" sheetId="57" r:id="rId16"/>
    <sheet name="TE CVA" sheetId="58" r:id="rId17"/>
    <sheet name="EFEITO" sheetId="96" r:id="rId18"/>
    <sheet name="SUBSIDIO" sheetId="97" r:id="rId19"/>
    <sheet name="TabDinEfeito" sheetId="98" r:id="rId20"/>
    <sheet name="TabDinSubsidio" sheetId="99" r:id="rId21"/>
    <sheet name="TABELAS REH" sheetId="123" r:id="rId22"/>
    <sheet name="CONSISTENCIA" sheetId="100" r:id="rId23"/>
    <sheet name="TUSD" sheetId="107" r:id="rId24"/>
    <sheet name="TE" sheetId="108" r:id="rId25"/>
    <sheet name="RESUMO TUSD" sheetId="109" r:id="rId26"/>
    <sheet name="RESUMO TE" sheetId="110" r:id="rId27"/>
    <sheet name="TUSD BF_350" sheetId="102" r:id="rId28"/>
    <sheet name="TE BF_350" sheetId="103" r:id="rId29"/>
    <sheet name="TabDinEfeito_350" sheetId="105" r:id="rId30"/>
    <sheet name="EFEITO_350" sheetId="104" r:id="rId31"/>
    <sheet name="TarifaMedia" sheetId="101" r:id="rId32"/>
    <sheet name="Descontos" sheetId="20" r:id="rId33"/>
    <sheet name="ERD" sheetId="122" r:id="rId34"/>
    <sheet name="TA - Aplicação" sheetId="124" r:id="rId35"/>
    <sheet name="TA - BE" sheetId="125" r:id="rId36"/>
    <sheet name="TA - CVA" sheetId="126" r:id="rId37"/>
  </sheets>
  <definedNames>
    <definedName name="_xlnm._FilterDatabase" localSheetId="1" hidden="1">'TAR FIN Aux Efeito'!$A$1:$AX$86</definedName>
    <definedName name="_xlnm._FilterDatabase" localSheetId="0" hidden="1">'TAR FIN Celesc'!$A$1:$AX$261</definedName>
    <definedName name="DadosExternos_1" localSheetId="34" hidden="1">'TA - Aplicação'!$B$3:$AT$50</definedName>
    <definedName name="DadosExternos_1" localSheetId="35" hidden="1">'TA - BE'!$B$3:$AT$50</definedName>
    <definedName name="DadosExternos_1" localSheetId="36" hidden="1">'TA - CVA'!$B$3:$AT$50</definedName>
  </definedNames>
  <calcPr calcId="191029"/>
  <pivotCaches>
    <pivotCache cacheId="29" r:id="rId38"/>
    <pivotCache cacheId="30" r:id="rId39"/>
    <pivotCache cacheId="31" r:id="rId4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33" i="123" l="1"/>
  <c r="V32" i="123"/>
  <c r="V31" i="123"/>
  <c r="V30" i="123"/>
  <c r="V29" i="123"/>
  <c r="V28" i="123"/>
  <c r="V27" i="123"/>
  <c r="V26" i="123"/>
  <c r="V21" i="123"/>
  <c r="V16" i="123"/>
  <c r="V25" i="123"/>
  <c r="V20" i="123"/>
  <c r="V15" i="123"/>
  <c r="V24" i="123"/>
  <c r="V23" i="123"/>
  <c r="V22" i="123"/>
  <c r="V19" i="123"/>
  <c r="V18" i="123"/>
  <c r="V17" i="123"/>
  <c r="V14" i="123"/>
  <c r="V13" i="123"/>
  <c r="V12" i="123"/>
  <c r="V11" i="123"/>
  <c r="V9" i="123"/>
  <c r="V10" i="123"/>
  <c r="V8" i="123"/>
  <c r="V7" i="123"/>
  <c r="V6" i="123"/>
  <c r="V5" i="123"/>
  <c r="J11" i="123"/>
  <c r="J10" i="123"/>
  <c r="J6" i="123"/>
  <c r="J5" i="123"/>
  <c r="I3" i="122"/>
  <c r="I2" i="122" s="1"/>
  <c r="B2" i="122"/>
  <c r="C2" i="122"/>
  <c r="D2" i="122"/>
  <c r="E2" i="122"/>
  <c r="F2" i="122"/>
  <c r="G2" i="122"/>
  <c r="H2" i="122"/>
  <c r="J2" i="122"/>
  <c r="K2" i="122"/>
  <c r="L2" i="122"/>
  <c r="B11" i="122"/>
  <c r="L5" i="110" l="1"/>
  <c r="K5" i="110"/>
  <c r="J5" i="110"/>
  <c r="I5" i="110"/>
  <c r="H5" i="110"/>
  <c r="G5" i="110"/>
  <c r="F5" i="110"/>
  <c r="E5" i="110"/>
  <c r="D5" i="110"/>
  <c r="C5" i="110"/>
  <c r="B5" i="110"/>
  <c r="I2" i="110"/>
  <c r="W5" i="109"/>
  <c r="V5" i="109"/>
  <c r="U5" i="109"/>
  <c r="T5" i="109"/>
  <c r="S5" i="109"/>
  <c r="R5" i="109"/>
  <c r="Q5" i="109"/>
  <c r="P5" i="109"/>
  <c r="O5" i="109"/>
  <c r="N5" i="109"/>
  <c r="M5" i="109"/>
  <c r="L5" i="109"/>
  <c r="K5" i="109"/>
  <c r="J5" i="109"/>
  <c r="I5" i="109"/>
  <c r="H5" i="109"/>
  <c r="G5" i="109"/>
  <c r="F5" i="109"/>
  <c r="E5" i="109"/>
  <c r="D5" i="109"/>
  <c r="C5" i="109"/>
  <c r="B5" i="109"/>
  <c r="I2" i="109"/>
  <c r="AE641" i="104"/>
  <c r="X641" i="104"/>
  <c r="AD641" i="104" s="1"/>
  <c r="W641" i="104"/>
  <c r="AC641" i="104" s="1"/>
  <c r="V641" i="104"/>
  <c r="AB641" i="104" s="1"/>
  <c r="AE640" i="104"/>
  <c r="X640" i="104"/>
  <c r="AD640" i="104" s="1"/>
  <c r="W640" i="104"/>
  <c r="AC640" i="104" s="1"/>
  <c r="V640" i="104"/>
  <c r="AB640" i="104" s="1"/>
  <c r="AE639" i="104"/>
  <c r="X639" i="104"/>
  <c r="AD639" i="104" s="1"/>
  <c r="W639" i="104"/>
  <c r="AC639" i="104" s="1"/>
  <c r="V639" i="104"/>
  <c r="AB639" i="104" s="1"/>
  <c r="AE638" i="104"/>
  <c r="X638" i="104"/>
  <c r="AD638" i="104" s="1"/>
  <c r="W638" i="104"/>
  <c r="AC638" i="104" s="1"/>
  <c r="V638" i="104"/>
  <c r="AB638" i="104" s="1"/>
  <c r="AE637" i="104"/>
  <c r="X637" i="104"/>
  <c r="AD637" i="104" s="1"/>
  <c r="W637" i="104"/>
  <c r="AC637" i="104" s="1"/>
  <c r="V637" i="104"/>
  <c r="AB637" i="104" s="1"/>
  <c r="AE636" i="104"/>
  <c r="X636" i="104"/>
  <c r="AD636" i="104" s="1"/>
  <c r="W636" i="104"/>
  <c r="AC636" i="104" s="1"/>
  <c r="V636" i="104"/>
  <c r="AB636" i="104" s="1"/>
  <c r="AE635" i="104"/>
  <c r="AC635" i="104"/>
  <c r="AB635" i="104"/>
  <c r="X635" i="104"/>
  <c r="AD635" i="104" s="1"/>
  <c r="W635" i="104"/>
  <c r="V635" i="104"/>
  <c r="AE634" i="104"/>
  <c r="X634" i="104"/>
  <c r="AD634" i="104" s="1"/>
  <c r="W634" i="104"/>
  <c r="AC634" i="104" s="1"/>
  <c r="V634" i="104"/>
  <c r="AB634" i="104" s="1"/>
  <c r="AE633" i="104"/>
  <c r="X633" i="104"/>
  <c r="AD633" i="104" s="1"/>
  <c r="W633" i="104"/>
  <c r="AC633" i="104" s="1"/>
  <c r="V633" i="104"/>
  <c r="AB633" i="104" s="1"/>
  <c r="AE632" i="104"/>
  <c r="X632" i="104"/>
  <c r="AD632" i="104" s="1"/>
  <c r="W632" i="104"/>
  <c r="AC632" i="104" s="1"/>
  <c r="V632" i="104"/>
  <c r="AB632" i="104" s="1"/>
  <c r="AE631" i="104"/>
  <c r="X631" i="104"/>
  <c r="AD631" i="104" s="1"/>
  <c r="W631" i="104"/>
  <c r="AC631" i="104" s="1"/>
  <c r="V631" i="104"/>
  <c r="AB631" i="104" s="1"/>
  <c r="AT6" i="104" s="1"/>
  <c r="AE630" i="104"/>
  <c r="AB630" i="104"/>
  <c r="X630" i="104"/>
  <c r="AD630" i="104" s="1"/>
  <c r="W630" i="104"/>
  <c r="AC630" i="104" s="1"/>
  <c r="V630" i="104"/>
  <c r="AE629" i="104"/>
  <c r="X629" i="104"/>
  <c r="AD629" i="104" s="1"/>
  <c r="W629" i="104"/>
  <c r="AC629" i="104" s="1"/>
  <c r="V629" i="104"/>
  <c r="AB629" i="104" s="1"/>
  <c r="AE628" i="104"/>
  <c r="X628" i="104"/>
  <c r="AD628" i="104" s="1"/>
  <c r="W628" i="104"/>
  <c r="AC628" i="104" s="1"/>
  <c r="V628" i="104"/>
  <c r="AB628" i="104" s="1"/>
  <c r="AE627" i="104"/>
  <c r="X627" i="104"/>
  <c r="AD627" i="104" s="1"/>
  <c r="W627" i="104"/>
  <c r="AC627" i="104" s="1"/>
  <c r="V627" i="104"/>
  <c r="AB627" i="104" s="1"/>
  <c r="AE626" i="104"/>
  <c r="X626" i="104"/>
  <c r="AD626" i="104" s="1"/>
  <c r="W626" i="104"/>
  <c r="AC626" i="104" s="1"/>
  <c r="V626" i="104"/>
  <c r="AB626" i="104" s="1"/>
  <c r="AE625" i="104"/>
  <c r="X625" i="104"/>
  <c r="AD625" i="104" s="1"/>
  <c r="W625" i="104"/>
  <c r="AC625" i="104" s="1"/>
  <c r="V625" i="104"/>
  <c r="AB625" i="104" s="1"/>
  <c r="AE624" i="104"/>
  <c r="X624" i="104"/>
  <c r="AD624" i="104" s="1"/>
  <c r="W624" i="104"/>
  <c r="AC624" i="104" s="1"/>
  <c r="V624" i="104"/>
  <c r="AB624" i="104" s="1"/>
  <c r="AE623" i="104"/>
  <c r="X623" i="104"/>
  <c r="AD623" i="104" s="1"/>
  <c r="W623" i="104"/>
  <c r="AC623" i="104" s="1"/>
  <c r="V623" i="104"/>
  <c r="AB623" i="104" s="1"/>
  <c r="AE622" i="104"/>
  <c r="X622" i="104"/>
  <c r="AD622" i="104" s="1"/>
  <c r="W622" i="104"/>
  <c r="AC622" i="104" s="1"/>
  <c r="V622" i="104"/>
  <c r="AB622" i="104" s="1"/>
  <c r="AE621" i="104"/>
  <c r="X621" i="104"/>
  <c r="AD621" i="104" s="1"/>
  <c r="W621" i="104"/>
  <c r="AC621" i="104" s="1"/>
  <c r="V621" i="104"/>
  <c r="AB621" i="104" s="1"/>
  <c r="AE620" i="104"/>
  <c r="X620" i="104"/>
  <c r="AD620" i="104" s="1"/>
  <c r="W620" i="104"/>
  <c r="AC620" i="104" s="1"/>
  <c r="V620" i="104"/>
  <c r="AB620" i="104" s="1"/>
  <c r="AE619" i="104"/>
  <c r="X619" i="104"/>
  <c r="AD619" i="104" s="1"/>
  <c r="W619" i="104"/>
  <c r="AC619" i="104" s="1"/>
  <c r="V619" i="104"/>
  <c r="AB619" i="104" s="1"/>
  <c r="AE618" i="104"/>
  <c r="X618" i="104"/>
  <c r="AD618" i="104" s="1"/>
  <c r="W618" i="104"/>
  <c r="AC618" i="104" s="1"/>
  <c r="V618" i="104"/>
  <c r="AB618" i="104" s="1"/>
  <c r="AE617" i="104"/>
  <c r="X617" i="104"/>
  <c r="AD617" i="104" s="1"/>
  <c r="W617" i="104"/>
  <c r="AC617" i="104" s="1"/>
  <c r="V617" i="104"/>
  <c r="AB617" i="104" s="1"/>
  <c r="AE616" i="104"/>
  <c r="X616" i="104"/>
  <c r="AD616" i="104" s="1"/>
  <c r="W616" i="104"/>
  <c r="AC616" i="104" s="1"/>
  <c r="V616" i="104"/>
  <c r="AB616" i="104" s="1"/>
  <c r="AE615" i="104"/>
  <c r="AB615" i="104"/>
  <c r="X615" i="104"/>
  <c r="AD615" i="104" s="1"/>
  <c r="W615" i="104"/>
  <c r="AC615" i="104" s="1"/>
  <c r="V615" i="104"/>
  <c r="AE614" i="104"/>
  <c r="X614" i="104"/>
  <c r="AD614" i="104" s="1"/>
  <c r="W614" i="104"/>
  <c r="AC614" i="104" s="1"/>
  <c r="V614" i="104"/>
  <c r="AB614" i="104" s="1"/>
  <c r="AE613" i="104"/>
  <c r="X613" i="104"/>
  <c r="AD613" i="104" s="1"/>
  <c r="W613" i="104"/>
  <c r="AC613" i="104" s="1"/>
  <c r="V613" i="104"/>
  <c r="AB613" i="104" s="1"/>
  <c r="AE612" i="104"/>
  <c r="X612" i="104"/>
  <c r="AD612" i="104" s="1"/>
  <c r="W612" i="104"/>
  <c r="AC612" i="104" s="1"/>
  <c r="V612" i="104"/>
  <c r="AB612" i="104" s="1"/>
  <c r="AE611" i="104"/>
  <c r="X611" i="104"/>
  <c r="AD611" i="104" s="1"/>
  <c r="W611" i="104"/>
  <c r="AC611" i="104" s="1"/>
  <c r="V611" i="104"/>
  <c r="AB611" i="104" s="1"/>
  <c r="AE610" i="104"/>
  <c r="X610" i="104"/>
  <c r="AD610" i="104" s="1"/>
  <c r="W610" i="104"/>
  <c r="AC610" i="104" s="1"/>
  <c r="V610" i="104"/>
  <c r="AB610" i="104" s="1"/>
  <c r="AE609" i="104"/>
  <c r="X609" i="104"/>
  <c r="AD609" i="104" s="1"/>
  <c r="W609" i="104"/>
  <c r="AC609" i="104" s="1"/>
  <c r="V609" i="104"/>
  <c r="AB609" i="104" s="1"/>
  <c r="AE608" i="104"/>
  <c r="X608" i="104"/>
  <c r="AD608" i="104" s="1"/>
  <c r="W608" i="104"/>
  <c r="AC608" i="104" s="1"/>
  <c r="V608" i="104"/>
  <c r="AB608" i="104" s="1"/>
  <c r="AE607" i="104"/>
  <c r="X607" i="104"/>
  <c r="AD607" i="104" s="1"/>
  <c r="W607" i="104"/>
  <c r="AC607" i="104" s="1"/>
  <c r="V607" i="104"/>
  <c r="AB607" i="104" s="1"/>
  <c r="AE606" i="104"/>
  <c r="AB606" i="104"/>
  <c r="X606" i="104"/>
  <c r="AD606" i="104" s="1"/>
  <c r="W606" i="104"/>
  <c r="AC606" i="104" s="1"/>
  <c r="V606" i="104"/>
  <c r="AE605" i="104"/>
  <c r="X605" i="104"/>
  <c r="AD605" i="104" s="1"/>
  <c r="W605" i="104"/>
  <c r="AC605" i="104" s="1"/>
  <c r="V605" i="104"/>
  <c r="AB605" i="104" s="1"/>
  <c r="AE604" i="104"/>
  <c r="X604" i="104"/>
  <c r="AD604" i="104" s="1"/>
  <c r="W604" i="104"/>
  <c r="AC604" i="104" s="1"/>
  <c r="V604" i="104"/>
  <c r="AB604" i="104" s="1"/>
  <c r="AE603" i="104"/>
  <c r="X603" i="104"/>
  <c r="AD603" i="104" s="1"/>
  <c r="W603" i="104"/>
  <c r="AC603" i="104" s="1"/>
  <c r="V603" i="104"/>
  <c r="AB603" i="104" s="1"/>
  <c r="AE602" i="104"/>
  <c r="X602" i="104"/>
  <c r="AD602" i="104" s="1"/>
  <c r="W602" i="104"/>
  <c r="AC602" i="104" s="1"/>
  <c r="V602" i="104"/>
  <c r="AB602" i="104" s="1"/>
  <c r="AE601" i="104"/>
  <c r="AC601" i="104"/>
  <c r="X601" i="104"/>
  <c r="AD601" i="104" s="1"/>
  <c r="W601" i="104"/>
  <c r="V601" i="104"/>
  <c r="AB601" i="104" s="1"/>
  <c r="AE600" i="104"/>
  <c r="X600" i="104"/>
  <c r="AD600" i="104" s="1"/>
  <c r="W600" i="104"/>
  <c r="AC600" i="104" s="1"/>
  <c r="V600" i="104"/>
  <c r="AB600" i="104" s="1"/>
  <c r="AE599" i="104"/>
  <c r="X599" i="104"/>
  <c r="AD599" i="104" s="1"/>
  <c r="W599" i="104"/>
  <c r="AC599" i="104" s="1"/>
  <c r="V599" i="104"/>
  <c r="AB599" i="104" s="1"/>
  <c r="AE598" i="104"/>
  <c r="X598" i="104"/>
  <c r="AD598" i="104" s="1"/>
  <c r="W598" i="104"/>
  <c r="AC598" i="104" s="1"/>
  <c r="V598" i="104"/>
  <c r="AB598" i="104" s="1"/>
  <c r="AE597" i="104"/>
  <c r="X597" i="104"/>
  <c r="AD597" i="104" s="1"/>
  <c r="W597" i="104"/>
  <c r="AC597" i="104" s="1"/>
  <c r="V597" i="104"/>
  <c r="AB597" i="104" s="1"/>
  <c r="AE596" i="104"/>
  <c r="X596" i="104"/>
  <c r="AD596" i="104" s="1"/>
  <c r="W596" i="104"/>
  <c r="AC596" i="104" s="1"/>
  <c r="V596" i="104"/>
  <c r="AB596" i="104" s="1"/>
  <c r="AE595" i="104"/>
  <c r="X595" i="104"/>
  <c r="AD595" i="104" s="1"/>
  <c r="W595" i="104"/>
  <c r="AC595" i="104" s="1"/>
  <c r="V595" i="104"/>
  <c r="AB595" i="104" s="1"/>
  <c r="AE594" i="104"/>
  <c r="X594" i="104"/>
  <c r="AD594" i="104" s="1"/>
  <c r="W594" i="104"/>
  <c r="AC594" i="104" s="1"/>
  <c r="V594" i="104"/>
  <c r="AB594" i="104" s="1"/>
  <c r="AE593" i="104"/>
  <c r="AB593" i="104"/>
  <c r="X593" i="104"/>
  <c r="AD593" i="104" s="1"/>
  <c r="W593" i="104"/>
  <c r="AC593" i="104" s="1"/>
  <c r="V593" i="104"/>
  <c r="AE592" i="104"/>
  <c r="X592" i="104"/>
  <c r="AD592" i="104" s="1"/>
  <c r="W592" i="104"/>
  <c r="AC592" i="104" s="1"/>
  <c r="V592" i="104"/>
  <c r="AB592" i="104" s="1"/>
  <c r="AE591" i="104"/>
  <c r="X591" i="104"/>
  <c r="AD591" i="104" s="1"/>
  <c r="W591" i="104"/>
  <c r="AC591" i="104" s="1"/>
  <c r="V591" i="104"/>
  <c r="AB591" i="104" s="1"/>
  <c r="AE590" i="104"/>
  <c r="X590" i="104"/>
  <c r="AD590" i="104" s="1"/>
  <c r="W590" i="104"/>
  <c r="AC590" i="104" s="1"/>
  <c r="V590" i="104"/>
  <c r="AB590" i="104" s="1"/>
  <c r="AE589" i="104"/>
  <c r="AC589" i="104"/>
  <c r="X589" i="104"/>
  <c r="AD589" i="104" s="1"/>
  <c r="W589" i="104"/>
  <c r="V589" i="104"/>
  <c r="AB589" i="104" s="1"/>
  <c r="AE588" i="104"/>
  <c r="X588" i="104"/>
  <c r="AD588" i="104" s="1"/>
  <c r="W588" i="104"/>
  <c r="AC588" i="104" s="1"/>
  <c r="V588" i="104"/>
  <c r="AB588" i="104" s="1"/>
  <c r="AE587" i="104"/>
  <c r="X587" i="104"/>
  <c r="AD587" i="104" s="1"/>
  <c r="W587" i="104"/>
  <c r="AC587" i="104" s="1"/>
  <c r="V587" i="104"/>
  <c r="AB587" i="104" s="1"/>
  <c r="AE586" i="104"/>
  <c r="X586" i="104"/>
  <c r="AD586" i="104" s="1"/>
  <c r="W586" i="104"/>
  <c r="AC586" i="104" s="1"/>
  <c r="V586" i="104"/>
  <c r="AB586" i="104" s="1"/>
  <c r="AE585" i="104"/>
  <c r="X585" i="104"/>
  <c r="AD585" i="104" s="1"/>
  <c r="W585" i="104"/>
  <c r="AC585" i="104" s="1"/>
  <c r="V585" i="104"/>
  <c r="AB585" i="104" s="1"/>
  <c r="AE584" i="104"/>
  <c r="X584" i="104"/>
  <c r="AD584" i="104" s="1"/>
  <c r="W584" i="104"/>
  <c r="AC584" i="104" s="1"/>
  <c r="V584" i="104"/>
  <c r="AB584" i="104" s="1"/>
  <c r="AE583" i="104"/>
  <c r="X583" i="104"/>
  <c r="AD583" i="104" s="1"/>
  <c r="W583" i="104"/>
  <c r="AC583" i="104" s="1"/>
  <c r="V583" i="104"/>
  <c r="AB583" i="104" s="1"/>
  <c r="AE582" i="104"/>
  <c r="AD582" i="104"/>
  <c r="X582" i="104"/>
  <c r="W582" i="104"/>
  <c r="AC582" i="104" s="1"/>
  <c r="V582" i="104"/>
  <c r="AB582" i="104" s="1"/>
  <c r="AE581" i="104"/>
  <c r="X581" i="104"/>
  <c r="AD581" i="104" s="1"/>
  <c r="W581" i="104"/>
  <c r="AC581" i="104" s="1"/>
  <c r="V581" i="104"/>
  <c r="AB581" i="104" s="1"/>
  <c r="AE580" i="104"/>
  <c r="X580" i="104"/>
  <c r="AD580" i="104" s="1"/>
  <c r="W580" i="104"/>
  <c r="AC580" i="104" s="1"/>
  <c r="V580" i="104"/>
  <c r="AB580" i="104" s="1"/>
  <c r="AE579" i="104"/>
  <c r="X579" i="104"/>
  <c r="AD579" i="104" s="1"/>
  <c r="W579" i="104"/>
  <c r="AC579" i="104" s="1"/>
  <c r="V579" i="104"/>
  <c r="AB579" i="104" s="1"/>
  <c r="AE578" i="104"/>
  <c r="X578" i="104"/>
  <c r="AD578" i="104" s="1"/>
  <c r="W578" i="104"/>
  <c r="AC578" i="104" s="1"/>
  <c r="V578" i="104"/>
  <c r="AB578" i="104" s="1"/>
  <c r="AE577" i="104"/>
  <c r="X577" i="104"/>
  <c r="AD577" i="104" s="1"/>
  <c r="W577" i="104"/>
  <c r="AC577" i="104" s="1"/>
  <c r="V577" i="104"/>
  <c r="AB577" i="104" s="1"/>
  <c r="AE576" i="104"/>
  <c r="X576" i="104"/>
  <c r="AD576" i="104" s="1"/>
  <c r="W576" i="104"/>
  <c r="AC576" i="104" s="1"/>
  <c r="V576" i="104"/>
  <c r="AB576" i="104" s="1"/>
  <c r="AE575" i="104"/>
  <c r="AD575" i="104"/>
  <c r="X575" i="104"/>
  <c r="W575" i="104"/>
  <c r="AC575" i="104" s="1"/>
  <c r="V575" i="104"/>
  <c r="AB575" i="104" s="1"/>
  <c r="AE574" i="104"/>
  <c r="X574" i="104"/>
  <c r="AD574" i="104" s="1"/>
  <c r="W574" i="104"/>
  <c r="AC574" i="104" s="1"/>
  <c r="V574" i="104"/>
  <c r="AB574" i="104" s="1"/>
  <c r="AE573" i="104"/>
  <c r="AC573" i="104"/>
  <c r="X573" i="104"/>
  <c r="AD573" i="104" s="1"/>
  <c r="W573" i="104"/>
  <c r="V573" i="104"/>
  <c r="AB573" i="104" s="1"/>
  <c r="AE572" i="104"/>
  <c r="X572" i="104"/>
  <c r="AD572" i="104" s="1"/>
  <c r="W572" i="104"/>
  <c r="AC572" i="104" s="1"/>
  <c r="V572" i="104"/>
  <c r="AB572" i="104" s="1"/>
  <c r="AE571" i="104"/>
  <c r="X571" i="104"/>
  <c r="AD571" i="104" s="1"/>
  <c r="W571" i="104"/>
  <c r="AC571" i="104" s="1"/>
  <c r="V571" i="104"/>
  <c r="AB571" i="104" s="1"/>
  <c r="AE570" i="104"/>
  <c r="X570" i="104"/>
  <c r="AD570" i="104" s="1"/>
  <c r="W570" i="104"/>
  <c r="AC570" i="104" s="1"/>
  <c r="V570" i="104"/>
  <c r="AB570" i="104" s="1"/>
  <c r="AE569" i="104"/>
  <c r="X569" i="104"/>
  <c r="AD569" i="104" s="1"/>
  <c r="W569" i="104"/>
  <c r="AC569" i="104" s="1"/>
  <c r="V569" i="104"/>
  <c r="AB569" i="104" s="1"/>
  <c r="AE568" i="104"/>
  <c r="X568" i="104"/>
  <c r="AD568" i="104" s="1"/>
  <c r="W568" i="104"/>
  <c r="AC568" i="104" s="1"/>
  <c r="V568" i="104"/>
  <c r="AB568" i="104" s="1"/>
  <c r="AE567" i="104"/>
  <c r="AD567" i="104"/>
  <c r="X567" i="104"/>
  <c r="W567" i="104"/>
  <c r="AC567" i="104" s="1"/>
  <c r="V567" i="104"/>
  <c r="AB567" i="104" s="1"/>
  <c r="AE566" i="104"/>
  <c r="X566" i="104"/>
  <c r="AD566" i="104" s="1"/>
  <c r="W566" i="104"/>
  <c r="AC566" i="104" s="1"/>
  <c r="V566" i="104"/>
  <c r="AB566" i="104" s="1"/>
  <c r="AE565" i="104"/>
  <c r="X565" i="104"/>
  <c r="AD565" i="104" s="1"/>
  <c r="W565" i="104"/>
  <c r="AC565" i="104" s="1"/>
  <c r="V565" i="104"/>
  <c r="AB565" i="104" s="1"/>
  <c r="AE564" i="104"/>
  <c r="X564" i="104"/>
  <c r="AD564" i="104" s="1"/>
  <c r="W564" i="104"/>
  <c r="AC564" i="104" s="1"/>
  <c r="V564" i="104"/>
  <c r="AB564" i="104" s="1"/>
  <c r="AE563" i="104"/>
  <c r="X563" i="104"/>
  <c r="AD563" i="104" s="1"/>
  <c r="W563" i="104"/>
  <c r="AC563" i="104" s="1"/>
  <c r="V563" i="104"/>
  <c r="AB563" i="104" s="1"/>
  <c r="AE562" i="104"/>
  <c r="X562" i="104"/>
  <c r="AD562" i="104" s="1"/>
  <c r="W562" i="104"/>
  <c r="AC562" i="104" s="1"/>
  <c r="V562" i="104"/>
  <c r="AB562" i="104" s="1"/>
  <c r="AE561" i="104"/>
  <c r="AB561" i="104"/>
  <c r="X561" i="104"/>
  <c r="AD561" i="104" s="1"/>
  <c r="W561" i="104"/>
  <c r="AC561" i="104" s="1"/>
  <c r="V561" i="104"/>
  <c r="AE560" i="104"/>
  <c r="X560" i="104"/>
  <c r="AD560" i="104" s="1"/>
  <c r="W560" i="104"/>
  <c r="AC560" i="104" s="1"/>
  <c r="V560" i="104"/>
  <c r="AB560" i="104" s="1"/>
  <c r="AE559" i="104"/>
  <c r="X559" i="104"/>
  <c r="AD559" i="104" s="1"/>
  <c r="W559" i="104"/>
  <c r="AC559" i="104" s="1"/>
  <c r="V559" i="104"/>
  <c r="AB559" i="104" s="1"/>
  <c r="AE558" i="104"/>
  <c r="X558" i="104"/>
  <c r="AD558" i="104" s="1"/>
  <c r="W558" i="104"/>
  <c r="AC558" i="104" s="1"/>
  <c r="V558" i="104"/>
  <c r="AB558" i="104" s="1"/>
  <c r="AE557" i="104"/>
  <c r="X557" i="104"/>
  <c r="AD557" i="104" s="1"/>
  <c r="W557" i="104"/>
  <c r="AC557" i="104" s="1"/>
  <c r="V557" i="104"/>
  <c r="AB557" i="104" s="1"/>
  <c r="AE556" i="104"/>
  <c r="X556" i="104"/>
  <c r="AD556" i="104" s="1"/>
  <c r="W556" i="104"/>
  <c r="AC556" i="104" s="1"/>
  <c r="V556" i="104"/>
  <c r="AB556" i="104" s="1"/>
  <c r="AE555" i="104"/>
  <c r="AC555" i="104"/>
  <c r="X555" i="104"/>
  <c r="AD555" i="104" s="1"/>
  <c r="W555" i="104"/>
  <c r="V555" i="104"/>
  <c r="AB555" i="104" s="1"/>
  <c r="AE554" i="104"/>
  <c r="X554" i="104"/>
  <c r="AD554" i="104" s="1"/>
  <c r="W554" i="104"/>
  <c r="AC554" i="104" s="1"/>
  <c r="V554" i="104"/>
  <c r="AB554" i="104" s="1"/>
  <c r="AE553" i="104"/>
  <c r="X553" i="104"/>
  <c r="AD553" i="104" s="1"/>
  <c r="W553" i="104"/>
  <c r="AC553" i="104" s="1"/>
  <c r="V553" i="104"/>
  <c r="AB553" i="104" s="1"/>
  <c r="AE552" i="104"/>
  <c r="X552" i="104"/>
  <c r="AD552" i="104" s="1"/>
  <c r="W552" i="104"/>
  <c r="AC552" i="104" s="1"/>
  <c r="V552" i="104"/>
  <c r="AB552" i="104" s="1"/>
  <c r="AE551" i="104"/>
  <c r="X551" i="104"/>
  <c r="AD551" i="104" s="1"/>
  <c r="W551" i="104"/>
  <c r="AC551" i="104" s="1"/>
  <c r="V551" i="104"/>
  <c r="AB551" i="104" s="1"/>
  <c r="AE550" i="104"/>
  <c r="X550" i="104"/>
  <c r="AD550" i="104" s="1"/>
  <c r="W550" i="104"/>
  <c r="AC550" i="104" s="1"/>
  <c r="V550" i="104"/>
  <c r="AB550" i="104" s="1"/>
  <c r="AE549" i="104"/>
  <c r="X549" i="104"/>
  <c r="AD549" i="104" s="1"/>
  <c r="W549" i="104"/>
  <c r="AC549" i="104" s="1"/>
  <c r="V549" i="104"/>
  <c r="AB549" i="104" s="1"/>
  <c r="AE548" i="104"/>
  <c r="X548" i="104"/>
  <c r="AD548" i="104" s="1"/>
  <c r="W548" i="104"/>
  <c r="AC548" i="104" s="1"/>
  <c r="V548" i="104"/>
  <c r="AB548" i="104" s="1"/>
  <c r="AE547" i="104"/>
  <c r="X547" i="104"/>
  <c r="AD547" i="104" s="1"/>
  <c r="W547" i="104"/>
  <c r="AC547" i="104" s="1"/>
  <c r="V547" i="104"/>
  <c r="AB547" i="104" s="1"/>
  <c r="AE546" i="104"/>
  <c r="X546" i="104"/>
  <c r="AD546" i="104" s="1"/>
  <c r="W546" i="104"/>
  <c r="AC546" i="104" s="1"/>
  <c r="V546" i="104"/>
  <c r="AB546" i="104" s="1"/>
  <c r="AE545" i="104"/>
  <c r="X545" i="104"/>
  <c r="AD545" i="104" s="1"/>
  <c r="W545" i="104"/>
  <c r="AC545" i="104" s="1"/>
  <c r="V545" i="104"/>
  <c r="AB545" i="104" s="1"/>
  <c r="AE544" i="104"/>
  <c r="X544" i="104"/>
  <c r="AD544" i="104" s="1"/>
  <c r="W544" i="104"/>
  <c r="AC544" i="104" s="1"/>
  <c r="V544" i="104"/>
  <c r="AB544" i="104" s="1"/>
  <c r="AE543" i="104"/>
  <c r="AC543" i="104"/>
  <c r="X543" i="104"/>
  <c r="AD543" i="104" s="1"/>
  <c r="W543" i="104"/>
  <c r="V543" i="104"/>
  <c r="AB543" i="104" s="1"/>
  <c r="AE542" i="104"/>
  <c r="X542" i="104"/>
  <c r="AD542" i="104" s="1"/>
  <c r="W542" i="104"/>
  <c r="AC542" i="104" s="1"/>
  <c r="V542" i="104"/>
  <c r="AB542" i="104" s="1"/>
  <c r="AE541" i="104"/>
  <c r="X541" i="104"/>
  <c r="AD541" i="104" s="1"/>
  <c r="W541" i="104"/>
  <c r="AC541" i="104" s="1"/>
  <c r="V541" i="104"/>
  <c r="AB541" i="104" s="1"/>
  <c r="AE540" i="104"/>
  <c r="X540" i="104"/>
  <c r="AD540" i="104" s="1"/>
  <c r="W540" i="104"/>
  <c r="AC540" i="104" s="1"/>
  <c r="V540" i="104"/>
  <c r="AB540" i="104" s="1"/>
  <c r="AE539" i="104"/>
  <c r="AC539" i="104"/>
  <c r="X539" i="104"/>
  <c r="AD539" i="104" s="1"/>
  <c r="W539" i="104"/>
  <c r="V539" i="104"/>
  <c r="AB539" i="104" s="1"/>
  <c r="AE538" i="104"/>
  <c r="X538" i="104"/>
  <c r="AD538" i="104" s="1"/>
  <c r="W538" i="104"/>
  <c r="AC538" i="104" s="1"/>
  <c r="V538" i="104"/>
  <c r="AB538" i="104" s="1"/>
  <c r="AE537" i="104"/>
  <c r="X537" i="104"/>
  <c r="AD537" i="104" s="1"/>
  <c r="W537" i="104"/>
  <c r="AC537" i="104" s="1"/>
  <c r="V537" i="104"/>
  <c r="AB537" i="104" s="1"/>
  <c r="AE536" i="104"/>
  <c r="X536" i="104"/>
  <c r="AD536" i="104" s="1"/>
  <c r="W536" i="104"/>
  <c r="AC536" i="104" s="1"/>
  <c r="V536" i="104"/>
  <c r="AB536" i="104" s="1"/>
  <c r="AE535" i="104"/>
  <c r="X535" i="104"/>
  <c r="AD535" i="104" s="1"/>
  <c r="W535" i="104"/>
  <c r="AC535" i="104" s="1"/>
  <c r="V535" i="104"/>
  <c r="AB535" i="104" s="1"/>
  <c r="AE534" i="104"/>
  <c r="AC534" i="104"/>
  <c r="X534" i="104"/>
  <c r="AD534" i="104" s="1"/>
  <c r="W534" i="104"/>
  <c r="V534" i="104"/>
  <c r="AB534" i="104" s="1"/>
  <c r="AE533" i="104"/>
  <c r="X533" i="104"/>
  <c r="AD533" i="104" s="1"/>
  <c r="W533" i="104"/>
  <c r="AC533" i="104" s="1"/>
  <c r="V533" i="104"/>
  <c r="AB533" i="104" s="1"/>
  <c r="AE532" i="104"/>
  <c r="X532" i="104"/>
  <c r="AD532" i="104" s="1"/>
  <c r="W532" i="104"/>
  <c r="AC532" i="104" s="1"/>
  <c r="V532" i="104"/>
  <c r="AB532" i="104" s="1"/>
  <c r="AE531" i="104"/>
  <c r="AC531" i="104"/>
  <c r="X531" i="104"/>
  <c r="AD531" i="104" s="1"/>
  <c r="W531" i="104"/>
  <c r="V531" i="104"/>
  <c r="AB531" i="104" s="1"/>
  <c r="AE530" i="104"/>
  <c r="X530" i="104"/>
  <c r="AD530" i="104" s="1"/>
  <c r="W530" i="104"/>
  <c r="AC530" i="104" s="1"/>
  <c r="V530" i="104"/>
  <c r="AB530" i="104" s="1"/>
  <c r="AE529" i="104"/>
  <c r="X529" i="104"/>
  <c r="AD529" i="104" s="1"/>
  <c r="W529" i="104"/>
  <c r="AC529" i="104" s="1"/>
  <c r="V529" i="104"/>
  <c r="AB529" i="104" s="1"/>
  <c r="AE528" i="104"/>
  <c r="X528" i="104"/>
  <c r="AD528" i="104" s="1"/>
  <c r="W528" i="104"/>
  <c r="AC528" i="104" s="1"/>
  <c r="V528" i="104"/>
  <c r="AB528" i="104" s="1"/>
  <c r="AE527" i="104"/>
  <c r="AD527" i="104"/>
  <c r="X527" i="104"/>
  <c r="W527" i="104"/>
  <c r="AC527" i="104" s="1"/>
  <c r="V527" i="104"/>
  <c r="AB527" i="104" s="1"/>
  <c r="AE526" i="104"/>
  <c r="X526" i="104"/>
  <c r="AD526" i="104" s="1"/>
  <c r="W526" i="104"/>
  <c r="AC526" i="104" s="1"/>
  <c r="V526" i="104"/>
  <c r="AB526" i="104" s="1"/>
  <c r="AE525" i="104"/>
  <c r="X525" i="104"/>
  <c r="AD525" i="104" s="1"/>
  <c r="W525" i="104"/>
  <c r="AC525" i="104" s="1"/>
  <c r="V525" i="104"/>
  <c r="AB525" i="104" s="1"/>
  <c r="AE524" i="104"/>
  <c r="X524" i="104"/>
  <c r="AD524" i="104" s="1"/>
  <c r="W524" i="104"/>
  <c r="AC524" i="104" s="1"/>
  <c r="V524" i="104"/>
  <c r="AB524" i="104" s="1"/>
  <c r="AE523" i="104"/>
  <c r="X523" i="104"/>
  <c r="AD523" i="104" s="1"/>
  <c r="W523" i="104"/>
  <c r="AC523" i="104" s="1"/>
  <c r="V523" i="104"/>
  <c r="AB523" i="104" s="1"/>
  <c r="AE522" i="104"/>
  <c r="AC522" i="104"/>
  <c r="X522" i="104"/>
  <c r="AD522" i="104" s="1"/>
  <c r="W522" i="104"/>
  <c r="V522" i="104"/>
  <c r="AB522" i="104" s="1"/>
  <c r="AE521" i="104"/>
  <c r="AB521" i="104"/>
  <c r="X521" i="104"/>
  <c r="AD521" i="104" s="1"/>
  <c r="W521" i="104"/>
  <c r="AC521" i="104" s="1"/>
  <c r="V521" i="104"/>
  <c r="AE520" i="104"/>
  <c r="X520" i="104"/>
  <c r="AD520" i="104" s="1"/>
  <c r="W520" i="104"/>
  <c r="AC520" i="104" s="1"/>
  <c r="V520" i="104"/>
  <c r="AB520" i="104" s="1"/>
  <c r="AE519" i="104"/>
  <c r="AD519" i="104"/>
  <c r="X519" i="104"/>
  <c r="W519" i="104"/>
  <c r="AC519" i="104" s="1"/>
  <c r="V519" i="104"/>
  <c r="AB519" i="104" s="1"/>
  <c r="AE518" i="104"/>
  <c r="X518" i="104"/>
  <c r="AD518" i="104" s="1"/>
  <c r="W518" i="104"/>
  <c r="AC518" i="104" s="1"/>
  <c r="V518" i="104"/>
  <c r="AB518" i="104" s="1"/>
  <c r="AE517" i="104"/>
  <c r="X517" i="104"/>
  <c r="AD517" i="104" s="1"/>
  <c r="W517" i="104"/>
  <c r="AC517" i="104" s="1"/>
  <c r="V517" i="104"/>
  <c r="AB517" i="104" s="1"/>
  <c r="AE516" i="104"/>
  <c r="X516" i="104"/>
  <c r="AD516" i="104" s="1"/>
  <c r="W516" i="104"/>
  <c r="AC516" i="104" s="1"/>
  <c r="V516" i="104"/>
  <c r="AB516" i="104" s="1"/>
  <c r="AE515" i="104"/>
  <c r="X515" i="104"/>
  <c r="AD515" i="104" s="1"/>
  <c r="W515" i="104"/>
  <c r="AC515" i="104" s="1"/>
  <c r="V515" i="104"/>
  <c r="AB515" i="104" s="1"/>
  <c r="AE514" i="104"/>
  <c r="AB514" i="104"/>
  <c r="X514" i="104"/>
  <c r="AD514" i="104" s="1"/>
  <c r="W514" i="104"/>
  <c r="AC514" i="104" s="1"/>
  <c r="V514" i="104"/>
  <c r="AE513" i="104"/>
  <c r="AD513" i="104"/>
  <c r="X513" i="104"/>
  <c r="W513" i="104"/>
  <c r="AC513" i="104" s="1"/>
  <c r="V513" i="104"/>
  <c r="AB513" i="104" s="1"/>
  <c r="AE512" i="104"/>
  <c r="X512" i="104"/>
  <c r="AD512" i="104" s="1"/>
  <c r="W512" i="104"/>
  <c r="AC512" i="104" s="1"/>
  <c r="V512" i="104"/>
  <c r="AB512" i="104" s="1"/>
  <c r="AE511" i="104"/>
  <c r="X511" i="104"/>
  <c r="AD511" i="104" s="1"/>
  <c r="W511" i="104"/>
  <c r="AC511" i="104" s="1"/>
  <c r="V511" i="104"/>
  <c r="AB511" i="104" s="1"/>
  <c r="AE510" i="104"/>
  <c r="AC510" i="104"/>
  <c r="X510" i="104"/>
  <c r="AD510" i="104" s="1"/>
  <c r="W510" i="104"/>
  <c r="V510" i="104"/>
  <c r="AB510" i="104" s="1"/>
  <c r="AE509" i="104"/>
  <c r="X509" i="104"/>
  <c r="AD509" i="104" s="1"/>
  <c r="W509" i="104"/>
  <c r="AC509" i="104" s="1"/>
  <c r="V509" i="104"/>
  <c r="AB509" i="104" s="1"/>
  <c r="AE508" i="104"/>
  <c r="X508" i="104"/>
  <c r="AD508" i="104" s="1"/>
  <c r="W508" i="104"/>
  <c r="AC508" i="104" s="1"/>
  <c r="V508" i="104"/>
  <c r="AB508" i="104" s="1"/>
  <c r="AE507" i="104"/>
  <c r="X507" i="104"/>
  <c r="AD507" i="104" s="1"/>
  <c r="W507" i="104"/>
  <c r="AC507" i="104" s="1"/>
  <c r="V507" i="104"/>
  <c r="AB507" i="104" s="1"/>
  <c r="AE506" i="104"/>
  <c r="AC506" i="104"/>
  <c r="X506" i="104"/>
  <c r="AD506" i="104" s="1"/>
  <c r="W506" i="104"/>
  <c r="V506" i="104"/>
  <c r="AB506" i="104" s="1"/>
  <c r="AE505" i="104"/>
  <c r="X505" i="104"/>
  <c r="AD505" i="104" s="1"/>
  <c r="W505" i="104"/>
  <c r="AC505" i="104" s="1"/>
  <c r="V505" i="104"/>
  <c r="AB505" i="104" s="1"/>
  <c r="AE504" i="104"/>
  <c r="X504" i="104"/>
  <c r="AD504" i="104" s="1"/>
  <c r="W504" i="104"/>
  <c r="AC504" i="104" s="1"/>
  <c r="V504" i="104"/>
  <c r="AB504" i="104" s="1"/>
  <c r="AE503" i="104"/>
  <c r="X503" i="104"/>
  <c r="AD503" i="104" s="1"/>
  <c r="W503" i="104"/>
  <c r="AC503" i="104" s="1"/>
  <c r="V503" i="104"/>
  <c r="AB503" i="104" s="1"/>
  <c r="AE502" i="104"/>
  <c r="X502" i="104"/>
  <c r="AD502" i="104" s="1"/>
  <c r="W502" i="104"/>
  <c r="AC502" i="104" s="1"/>
  <c r="V502" i="104"/>
  <c r="AB502" i="104" s="1"/>
  <c r="AE501" i="104"/>
  <c r="AB501" i="104"/>
  <c r="X501" i="104"/>
  <c r="AD501" i="104" s="1"/>
  <c r="W501" i="104"/>
  <c r="AC501" i="104" s="1"/>
  <c r="V501" i="104"/>
  <c r="AE500" i="104"/>
  <c r="X500" i="104"/>
  <c r="AD500" i="104" s="1"/>
  <c r="W500" i="104"/>
  <c r="AC500" i="104" s="1"/>
  <c r="V500" i="104"/>
  <c r="AB500" i="104" s="1"/>
  <c r="AE499" i="104"/>
  <c r="X499" i="104"/>
  <c r="AD499" i="104" s="1"/>
  <c r="W499" i="104"/>
  <c r="AC499" i="104" s="1"/>
  <c r="V499" i="104"/>
  <c r="AB499" i="104" s="1"/>
  <c r="AE498" i="104"/>
  <c r="X498" i="104"/>
  <c r="AD498" i="104" s="1"/>
  <c r="W498" i="104"/>
  <c r="AC498" i="104" s="1"/>
  <c r="V498" i="104"/>
  <c r="AB498" i="104" s="1"/>
  <c r="AE497" i="104"/>
  <c r="AD497" i="104"/>
  <c r="X497" i="104"/>
  <c r="W497" i="104"/>
  <c r="AC497" i="104" s="1"/>
  <c r="V497" i="104"/>
  <c r="AB497" i="104" s="1"/>
  <c r="AE496" i="104"/>
  <c r="X496" i="104"/>
  <c r="AD496" i="104" s="1"/>
  <c r="W496" i="104"/>
  <c r="AC496" i="104" s="1"/>
  <c r="V496" i="104"/>
  <c r="AB496" i="104" s="1"/>
  <c r="AE495" i="104"/>
  <c r="X495" i="104"/>
  <c r="AD495" i="104" s="1"/>
  <c r="W495" i="104"/>
  <c r="AC495" i="104" s="1"/>
  <c r="V495" i="104"/>
  <c r="AB495" i="104" s="1"/>
  <c r="AE494" i="104"/>
  <c r="X494" i="104"/>
  <c r="AD494" i="104" s="1"/>
  <c r="W494" i="104"/>
  <c r="AC494" i="104" s="1"/>
  <c r="V494" i="104"/>
  <c r="AB494" i="104" s="1"/>
  <c r="AE493" i="104"/>
  <c r="X493" i="104"/>
  <c r="AD493" i="104" s="1"/>
  <c r="W493" i="104"/>
  <c r="AC493" i="104" s="1"/>
  <c r="V493" i="104"/>
  <c r="AB493" i="104" s="1"/>
  <c r="AE492" i="104"/>
  <c r="X492" i="104"/>
  <c r="AD492" i="104" s="1"/>
  <c r="W492" i="104"/>
  <c r="AC492" i="104" s="1"/>
  <c r="V492" i="104"/>
  <c r="AB492" i="104" s="1"/>
  <c r="AE491" i="104"/>
  <c r="AC491" i="104"/>
  <c r="X491" i="104"/>
  <c r="AD491" i="104" s="1"/>
  <c r="W491" i="104"/>
  <c r="V491" i="104"/>
  <c r="AB491" i="104" s="1"/>
  <c r="AE490" i="104"/>
  <c r="X490" i="104"/>
  <c r="AD490" i="104" s="1"/>
  <c r="W490" i="104"/>
  <c r="AC490" i="104" s="1"/>
  <c r="V490" i="104"/>
  <c r="AB490" i="104" s="1"/>
  <c r="AE489" i="104"/>
  <c r="X489" i="104"/>
  <c r="AD489" i="104" s="1"/>
  <c r="W489" i="104"/>
  <c r="AC489" i="104" s="1"/>
  <c r="V489" i="104"/>
  <c r="AB489" i="104" s="1"/>
  <c r="AE488" i="104"/>
  <c r="X488" i="104"/>
  <c r="AD488" i="104" s="1"/>
  <c r="W488" i="104"/>
  <c r="AC488" i="104" s="1"/>
  <c r="V488" i="104"/>
  <c r="AB488" i="104" s="1"/>
  <c r="AE487" i="104"/>
  <c r="AD487" i="104"/>
  <c r="X487" i="104"/>
  <c r="W487" i="104"/>
  <c r="AC487" i="104" s="1"/>
  <c r="V487" i="104"/>
  <c r="AB487" i="104" s="1"/>
  <c r="AE486" i="104"/>
  <c r="AB486" i="104"/>
  <c r="X486" i="104"/>
  <c r="AD486" i="104" s="1"/>
  <c r="W486" i="104"/>
  <c r="AC486" i="104" s="1"/>
  <c r="V486" i="104"/>
  <c r="AE485" i="104"/>
  <c r="AD485" i="104"/>
  <c r="X485" i="104"/>
  <c r="W485" i="104"/>
  <c r="AC485" i="104" s="1"/>
  <c r="V485" i="104"/>
  <c r="AB485" i="104" s="1"/>
  <c r="AE484" i="104"/>
  <c r="X484" i="104"/>
  <c r="AD484" i="104" s="1"/>
  <c r="W484" i="104"/>
  <c r="AC484" i="104" s="1"/>
  <c r="V484" i="104"/>
  <c r="AB484" i="104" s="1"/>
  <c r="AE483" i="104"/>
  <c r="AD483" i="104"/>
  <c r="X483" i="104"/>
  <c r="W483" i="104"/>
  <c r="AC483" i="104" s="1"/>
  <c r="V483" i="104"/>
  <c r="AB483" i="104" s="1"/>
  <c r="AE482" i="104"/>
  <c r="X482" i="104"/>
  <c r="AD482" i="104" s="1"/>
  <c r="W482" i="104"/>
  <c r="AC482" i="104" s="1"/>
  <c r="V482" i="104"/>
  <c r="AB482" i="104" s="1"/>
  <c r="AE481" i="104"/>
  <c r="X481" i="104"/>
  <c r="AD481" i="104" s="1"/>
  <c r="W481" i="104"/>
  <c r="AC481" i="104" s="1"/>
  <c r="V481" i="104"/>
  <c r="AB481" i="104" s="1"/>
  <c r="AE480" i="104"/>
  <c r="X480" i="104"/>
  <c r="AD480" i="104" s="1"/>
  <c r="W480" i="104"/>
  <c r="AC480" i="104" s="1"/>
  <c r="V480" i="104"/>
  <c r="AB480" i="104" s="1"/>
  <c r="AE479" i="104"/>
  <c r="AD479" i="104"/>
  <c r="AC479" i="104"/>
  <c r="X479" i="104"/>
  <c r="W479" i="104"/>
  <c r="V479" i="104"/>
  <c r="AB479" i="104" s="1"/>
  <c r="AE478" i="104"/>
  <c r="X478" i="104"/>
  <c r="AD478" i="104" s="1"/>
  <c r="W478" i="104"/>
  <c r="AC478" i="104" s="1"/>
  <c r="V478" i="104"/>
  <c r="AB478" i="104" s="1"/>
  <c r="AE477" i="104"/>
  <c r="AD477" i="104"/>
  <c r="AB477" i="104"/>
  <c r="X477" i="104"/>
  <c r="W477" i="104"/>
  <c r="AC477" i="104" s="1"/>
  <c r="V477" i="104"/>
  <c r="AE476" i="104"/>
  <c r="X476" i="104"/>
  <c r="AD476" i="104" s="1"/>
  <c r="W476" i="104"/>
  <c r="AC476" i="104" s="1"/>
  <c r="V476" i="104"/>
  <c r="AB476" i="104" s="1"/>
  <c r="AE475" i="104"/>
  <c r="X475" i="104"/>
  <c r="AD475" i="104" s="1"/>
  <c r="W475" i="104"/>
  <c r="AC475" i="104" s="1"/>
  <c r="V475" i="104"/>
  <c r="AB475" i="104" s="1"/>
  <c r="AE474" i="104"/>
  <c r="AC474" i="104"/>
  <c r="X474" i="104"/>
  <c r="AD474" i="104" s="1"/>
  <c r="W474" i="104"/>
  <c r="V474" i="104"/>
  <c r="AB474" i="104" s="1"/>
  <c r="AE473" i="104"/>
  <c r="X473" i="104"/>
  <c r="AD473" i="104" s="1"/>
  <c r="W473" i="104"/>
  <c r="AC473" i="104" s="1"/>
  <c r="V473" i="104"/>
  <c r="AB473" i="104" s="1"/>
  <c r="AE472" i="104"/>
  <c r="X472" i="104"/>
  <c r="AD472" i="104" s="1"/>
  <c r="W472" i="104"/>
  <c r="AC472" i="104" s="1"/>
  <c r="V472" i="104"/>
  <c r="AB472" i="104" s="1"/>
  <c r="AE471" i="104"/>
  <c r="AD471" i="104"/>
  <c r="X471" i="104"/>
  <c r="W471" i="104"/>
  <c r="AC471" i="104" s="1"/>
  <c r="V471" i="104"/>
  <c r="AB471" i="104" s="1"/>
  <c r="AE470" i="104"/>
  <c r="AC470" i="104"/>
  <c r="X470" i="104"/>
  <c r="AD470" i="104" s="1"/>
  <c r="W470" i="104"/>
  <c r="V470" i="104"/>
  <c r="AB470" i="104" s="1"/>
  <c r="AE469" i="104"/>
  <c r="AD469" i="104"/>
  <c r="X469" i="104"/>
  <c r="W469" i="104"/>
  <c r="AC469" i="104" s="1"/>
  <c r="V469" i="104"/>
  <c r="AB469" i="104" s="1"/>
  <c r="AE468" i="104"/>
  <c r="X468" i="104"/>
  <c r="AD468" i="104" s="1"/>
  <c r="W468" i="104"/>
  <c r="AC468" i="104" s="1"/>
  <c r="V468" i="104"/>
  <c r="AB468" i="104" s="1"/>
  <c r="AE467" i="104"/>
  <c r="X467" i="104"/>
  <c r="AD467" i="104" s="1"/>
  <c r="W467" i="104"/>
  <c r="AC467" i="104" s="1"/>
  <c r="V467" i="104"/>
  <c r="AB467" i="104" s="1"/>
  <c r="AE466" i="104"/>
  <c r="AB466" i="104"/>
  <c r="X466" i="104"/>
  <c r="AD466" i="104" s="1"/>
  <c r="W466" i="104"/>
  <c r="AC466" i="104" s="1"/>
  <c r="V466" i="104"/>
  <c r="AE465" i="104"/>
  <c r="AD465" i="104"/>
  <c r="X465" i="104"/>
  <c r="W465" i="104"/>
  <c r="AC465" i="104" s="1"/>
  <c r="V465" i="104"/>
  <c r="AB465" i="104" s="1"/>
  <c r="AE464" i="104"/>
  <c r="X464" i="104"/>
  <c r="AD464" i="104" s="1"/>
  <c r="W464" i="104"/>
  <c r="AC464" i="104" s="1"/>
  <c r="V464" i="104"/>
  <c r="AB464" i="104" s="1"/>
  <c r="AE463" i="104"/>
  <c r="X463" i="104"/>
  <c r="AD463" i="104" s="1"/>
  <c r="W463" i="104"/>
  <c r="AC463" i="104" s="1"/>
  <c r="V463" i="104"/>
  <c r="AB463" i="104" s="1"/>
  <c r="AE462" i="104"/>
  <c r="X462" i="104"/>
  <c r="AD462" i="104" s="1"/>
  <c r="W462" i="104"/>
  <c r="AC462" i="104" s="1"/>
  <c r="V462" i="104"/>
  <c r="AB462" i="104" s="1"/>
  <c r="AE461" i="104"/>
  <c r="AD461" i="104"/>
  <c r="X461" i="104"/>
  <c r="W461" i="104"/>
  <c r="AC461" i="104" s="1"/>
  <c r="V461" i="104"/>
  <c r="AB461" i="104" s="1"/>
  <c r="AE460" i="104"/>
  <c r="X460" i="104"/>
  <c r="AD460" i="104" s="1"/>
  <c r="W460" i="104"/>
  <c r="AC460" i="104" s="1"/>
  <c r="V460" i="104"/>
  <c r="AB460" i="104" s="1"/>
  <c r="AE459" i="104"/>
  <c r="AC459" i="104"/>
  <c r="AB459" i="104"/>
  <c r="X459" i="104"/>
  <c r="AD459" i="104" s="1"/>
  <c r="W459" i="104"/>
  <c r="V459" i="104"/>
  <c r="AE458" i="104"/>
  <c r="X458" i="104"/>
  <c r="AD458" i="104" s="1"/>
  <c r="W458" i="104"/>
  <c r="AC458" i="104" s="1"/>
  <c r="V458" i="104"/>
  <c r="AB458" i="104" s="1"/>
  <c r="AE457" i="104"/>
  <c r="AD457" i="104"/>
  <c r="X457" i="104"/>
  <c r="W457" i="104"/>
  <c r="AC457" i="104" s="1"/>
  <c r="V457" i="104"/>
  <c r="AB457" i="104" s="1"/>
  <c r="AE456" i="104"/>
  <c r="X456" i="104"/>
  <c r="AD456" i="104" s="1"/>
  <c r="W456" i="104"/>
  <c r="AC456" i="104" s="1"/>
  <c r="V456" i="104"/>
  <c r="AB456" i="104" s="1"/>
  <c r="AE455" i="104"/>
  <c r="X455" i="104"/>
  <c r="AD455" i="104" s="1"/>
  <c r="W455" i="104"/>
  <c r="AC455" i="104" s="1"/>
  <c r="V455" i="104"/>
  <c r="AB455" i="104" s="1"/>
  <c r="AE454" i="104"/>
  <c r="X454" i="104"/>
  <c r="AD454" i="104" s="1"/>
  <c r="W454" i="104"/>
  <c r="AC454" i="104" s="1"/>
  <c r="V454" i="104"/>
  <c r="AB454" i="104" s="1"/>
  <c r="AE453" i="104"/>
  <c r="X453" i="104"/>
  <c r="AD453" i="104" s="1"/>
  <c r="W453" i="104"/>
  <c r="AC453" i="104" s="1"/>
  <c r="V453" i="104"/>
  <c r="AB453" i="104" s="1"/>
  <c r="AE452" i="104"/>
  <c r="X452" i="104"/>
  <c r="AD452" i="104" s="1"/>
  <c r="W452" i="104"/>
  <c r="AC452" i="104" s="1"/>
  <c r="V452" i="104"/>
  <c r="AB452" i="104" s="1"/>
  <c r="AE451" i="104"/>
  <c r="X451" i="104"/>
  <c r="AD451" i="104" s="1"/>
  <c r="W451" i="104"/>
  <c r="AC451" i="104" s="1"/>
  <c r="V451" i="104"/>
  <c r="AB451" i="104" s="1"/>
  <c r="AE450" i="104"/>
  <c r="AC450" i="104"/>
  <c r="AB450" i="104"/>
  <c r="X450" i="104"/>
  <c r="AD450" i="104" s="1"/>
  <c r="W450" i="104"/>
  <c r="V450" i="104"/>
  <c r="AE449" i="104"/>
  <c r="X449" i="104"/>
  <c r="AD449" i="104" s="1"/>
  <c r="W449" i="104"/>
  <c r="AC449" i="104" s="1"/>
  <c r="V449" i="104"/>
  <c r="AB449" i="104" s="1"/>
  <c r="AE448" i="104"/>
  <c r="X448" i="104"/>
  <c r="AD448" i="104" s="1"/>
  <c r="W448" i="104"/>
  <c r="AC448" i="104" s="1"/>
  <c r="V448" i="104"/>
  <c r="AB448" i="104" s="1"/>
  <c r="AE447" i="104"/>
  <c r="X447" i="104"/>
  <c r="AD447" i="104" s="1"/>
  <c r="W447" i="104"/>
  <c r="AC447" i="104" s="1"/>
  <c r="V447" i="104"/>
  <c r="AB447" i="104" s="1"/>
  <c r="AE446" i="104"/>
  <c r="AC446" i="104"/>
  <c r="X446" i="104"/>
  <c r="AD446" i="104" s="1"/>
  <c r="W446" i="104"/>
  <c r="V446" i="104"/>
  <c r="AB446" i="104" s="1"/>
  <c r="AE445" i="104"/>
  <c r="X445" i="104"/>
  <c r="AD445" i="104" s="1"/>
  <c r="W445" i="104"/>
  <c r="AC445" i="104" s="1"/>
  <c r="V445" i="104"/>
  <c r="AB445" i="104" s="1"/>
  <c r="AE444" i="104"/>
  <c r="X444" i="104"/>
  <c r="AD444" i="104" s="1"/>
  <c r="W444" i="104"/>
  <c r="AC444" i="104" s="1"/>
  <c r="V444" i="104"/>
  <c r="AB444" i="104" s="1"/>
  <c r="AE443" i="104"/>
  <c r="X443" i="104"/>
  <c r="AD443" i="104" s="1"/>
  <c r="W443" i="104"/>
  <c r="AC443" i="104" s="1"/>
  <c r="V443" i="104"/>
  <c r="AB443" i="104" s="1"/>
  <c r="AE442" i="104"/>
  <c r="X442" i="104"/>
  <c r="AD442" i="104" s="1"/>
  <c r="W442" i="104"/>
  <c r="AC442" i="104" s="1"/>
  <c r="V442" i="104"/>
  <c r="AB442" i="104" s="1"/>
  <c r="AE441" i="104"/>
  <c r="AD441" i="104"/>
  <c r="X441" i="104"/>
  <c r="W441" i="104"/>
  <c r="AC441" i="104" s="1"/>
  <c r="V441" i="104"/>
  <c r="AB441" i="104" s="1"/>
  <c r="AE440" i="104"/>
  <c r="X440" i="104"/>
  <c r="AD440" i="104" s="1"/>
  <c r="W440" i="104"/>
  <c r="AC440" i="104" s="1"/>
  <c r="V440" i="104"/>
  <c r="AB440" i="104" s="1"/>
  <c r="AE439" i="104"/>
  <c r="X439" i="104"/>
  <c r="AD439" i="104" s="1"/>
  <c r="W439" i="104"/>
  <c r="AC439" i="104" s="1"/>
  <c r="V439" i="104"/>
  <c r="AB439" i="104" s="1"/>
  <c r="AE438" i="104"/>
  <c r="X438" i="104"/>
  <c r="AD438" i="104" s="1"/>
  <c r="W438" i="104"/>
  <c r="AC438" i="104" s="1"/>
  <c r="V438" i="104"/>
  <c r="AB438" i="104" s="1"/>
  <c r="AE437" i="104"/>
  <c r="X437" i="104"/>
  <c r="AD437" i="104" s="1"/>
  <c r="W437" i="104"/>
  <c r="AC437" i="104" s="1"/>
  <c r="V437" i="104"/>
  <c r="AB437" i="104" s="1"/>
  <c r="AE436" i="104"/>
  <c r="X436" i="104"/>
  <c r="AD436" i="104" s="1"/>
  <c r="W436" i="104"/>
  <c r="AC436" i="104" s="1"/>
  <c r="V436" i="104"/>
  <c r="AB436" i="104" s="1"/>
  <c r="AE435" i="104"/>
  <c r="X435" i="104"/>
  <c r="AD435" i="104" s="1"/>
  <c r="W435" i="104"/>
  <c r="AC435" i="104" s="1"/>
  <c r="V435" i="104"/>
  <c r="AB435" i="104" s="1"/>
  <c r="AE434" i="104"/>
  <c r="AB434" i="104"/>
  <c r="X434" i="104"/>
  <c r="AD434" i="104" s="1"/>
  <c r="W434" i="104"/>
  <c r="AC434" i="104" s="1"/>
  <c r="V434" i="104"/>
  <c r="AE433" i="104"/>
  <c r="X433" i="104"/>
  <c r="AD433" i="104" s="1"/>
  <c r="W433" i="104"/>
  <c r="AC433" i="104" s="1"/>
  <c r="V433" i="104"/>
  <c r="AB433" i="104" s="1"/>
  <c r="AE432" i="104"/>
  <c r="AB432" i="104"/>
  <c r="X432" i="104"/>
  <c r="AD432" i="104" s="1"/>
  <c r="W432" i="104"/>
  <c r="AC432" i="104" s="1"/>
  <c r="V432" i="104"/>
  <c r="AE431" i="104"/>
  <c r="X431" i="104"/>
  <c r="AD431" i="104" s="1"/>
  <c r="W431" i="104"/>
  <c r="AC431" i="104" s="1"/>
  <c r="V431" i="104"/>
  <c r="AB431" i="104" s="1"/>
  <c r="AE430" i="104"/>
  <c r="X430" i="104"/>
  <c r="AD430" i="104" s="1"/>
  <c r="W430" i="104"/>
  <c r="AC430" i="104" s="1"/>
  <c r="V430" i="104"/>
  <c r="AB430" i="104" s="1"/>
  <c r="AE429" i="104"/>
  <c r="AB429" i="104"/>
  <c r="X429" i="104"/>
  <c r="AD429" i="104" s="1"/>
  <c r="W429" i="104"/>
  <c r="AC429" i="104" s="1"/>
  <c r="V429" i="104"/>
  <c r="AE428" i="104"/>
  <c r="AB428" i="104"/>
  <c r="X428" i="104"/>
  <c r="AD428" i="104" s="1"/>
  <c r="W428" i="104"/>
  <c r="AC428" i="104" s="1"/>
  <c r="V428" i="104"/>
  <c r="AE427" i="104"/>
  <c r="X427" i="104"/>
  <c r="AD427" i="104" s="1"/>
  <c r="W427" i="104"/>
  <c r="AC427" i="104" s="1"/>
  <c r="V427" i="104"/>
  <c r="AB427" i="104" s="1"/>
  <c r="AE426" i="104"/>
  <c r="AD426" i="104"/>
  <c r="X426" i="104"/>
  <c r="W426" i="104"/>
  <c r="AC426" i="104" s="1"/>
  <c r="V426" i="104"/>
  <c r="AB426" i="104" s="1"/>
  <c r="AE425" i="104"/>
  <c r="X425" i="104"/>
  <c r="AD425" i="104" s="1"/>
  <c r="W425" i="104"/>
  <c r="AC425" i="104" s="1"/>
  <c r="V425" i="104"/>
  <c r="AB425" i="104" s="1"/>
  <c r="AE424" i="104"/>
  <c r="AB424" i="104"/>
  <c r="X424" i="104"/>
  <c r="AD424" i="104" s="1"/>
  <c r="W424" i="104"/>
  <c r="AC424" i="104" s="1"/>
  <c r="V424" i="104"/>
  <c r="AE423" i="104"/>
  <c r="X423" i="104"/>
  <c r="AD423" i="104" s="1"/>
  <c r="W423" i="104"/>
  <c r="AC423" i="104" s="1"/>
  <c r="V423" i="104"/>
  <c r="AB423" i="104" s="1"/>
  <c r="AE422" i="104"/>
  <c r="X422" i="104"/>
  <c r="AD422" i="104" s="1"/>
  <c r="W422" i="104"/>
  <c r="AC422" i="104" s="1"/>
  <c r="V422" i="104"/>
  <c r="AB422" i="104" s="1"/>
  <c r="AE421" i="104"/>
  <c r="AD421" i="104"/>
  <c r="X421" i="104"/>
  <c r="W421" i="104"/>
  <c r="AC421" i="104" s="1"/>
  <c r="V421" i="104"/>
  <c r="AB421" i="104" s="1"/>
  <c r="AE420" i="104"/>
  <c r="X420" i="104"/>
  <c r="AD420" i="104" s="1"/>
  <c r="W420" i="104"/>
  <c r="AC420" i="104" s="1"/>
  <c r="V420" i="104"/>
  <c r="AB420" i="104" s="1"/>
  <c r="AE419" i="104"/>
  <c r="AC419" i="104"/>
  <c r="X419" i="104"/>
  <c r="AD419" i="104" s="1"/>
  <c r="W419" i="104"/>
  <c r="V419" i="104"/>
  <c r="AB419" i="104" s="1"/>
  <c r="AE418" i="104"/>
  <c r="AD418" i="104"/>
  <c r="X418" i="104"/>
  <c r="W418" i="104"/>
  <c r="AC418" i="104" s="1"/>
  <c r="V418" i="104"/>
  <c r="AB418" i="104" s="1"/>
  <c r="AE417" i="104"/>
  <c r="AB417" i="104"/>
  <c r="X417" i="104"/>
  <c r="AD417" i="104" s="1"/>
  <c r="W417" i="104"/>
  <c r="AC417" i="104" s="1"/>
  <c r="V417" i="104"/>
  <c r="AE416" i="104"/>
  <c r="X416" i="104"/>
  <c r="AD416" i="104" s="1"/>
  <c r="W416" i="104"/>
  <c r="AC416" i="104" s="1"/>
  <c r="V416" i="104"/>
  <c r="AB416" i="104" s="1"/>
  <c r="AE415" i="104"/>
  <c r="X415" i="104"/>
  <c r="AD415" i="104" s="1"/>
  <c r="W415" i="104"/>
  <c r="AC415" i="104" s="1"/>
  <c r="V415" i="104"/>
  <c r="AB415" i="104" s="1"/>
  <c r="AE414" i="104"/>
  <c r="X414" i="104"/>
  <c r="AD414" i="104" s="1"/>
  <c r="W414" i="104"/>
  <c r="AC414" i="104" s="1"/>
  <c r="V414" i="104"/>
  <c r="AB414" i="104" s="1"/>
  <c r="AE413" i="104"/>
  <c r="X413" i="104"/>
  <c r="AD413" i="104" s="1"/>
  <c r="W413" i="104"/>
  <c r="AC413" i="104" s="1"/>
  <c r="V413" i="104"/>
  <c r="AB413" i="104" s="1"/>
  <c r="AE412" i="104"/>
  <c r="X412" i="104"/>
  <c r="AD412" i="104" s="1"/>
  <c r="W412" i="104"/>
  <c r="AC412" i="104" s="1"/>
  <c r="V412" i="104"/>
  <c r="AB412" i="104" s="1"/>
  <c r="AE411" i="104"/>
  <c r="AD411" i="104"/>
  <c r="X411" i="104"/>
  <c r="W411" i="104"/>
  <c r="AC411" i="104" s="1"/>
  <c r="V411" i="104"/>
  <c r="AB411" i="104" s="1"/>
  <c r="AE410" i="104"/>
  <c r="X410" i="104"/>
  <c r="AD410" i="104" s="1"/>
  <c r="W410" i="104"/>
  <c r="AC410" i="104" s="1"/>
  <c r="V410" i="104"/>
  <c r="AB410" i="104" s="1"/>
  <c r="AE409" i="104"/>
  <c r="X409" i="104"/>
  <c r="AD409" i="104" s="1"/>
  <c r="W409" i="104"/>
  <c r="AC409" i="104" s="1"/>
  <c r="V409" i="104"/>
  <c r="AB409" i="104" s="1"/>
  <c r="AE408" i="104"/>
  <c r="AB408" i="104"/>
  <c r="X408" i="104"/>
  <c r="AD408" i="104" s="1"/>
  <c r="W408" i="104"/>
  <c r="AC408" i="104" s="1"/>
  <c r="V408" i="104"/>
  <c r="AE407" i="104"/>
  <c r="X407" i="104"/>
  <c r="AD407" i="104" s="1"/>
  <c r="W407" i="104"/>
  <c r="AC407" i="104" s="1"/>
  <c r="V407" i="104"/>
  <c r="AB407" i="104" s="1"/>
  <c r="AE406" i="104"/>
  <c r="X406" i="104"/>
  <c r="AD406" i="104" s="1"/>
  <c r="W406" i="104"/>
  <c r="AC406" i="104" s="1"/>
  <c r="V406" i="104"/>
  <c r="AB406" i="104" s="1"/>
  <c r="AE405" i="104"/>
  <c r="X405" i="104"/>
  <c r="AD405" i="104" s="1"/>
  <c r="W405" i="104"/>
  <c r="AC405" i="104" s="1"/>
  <c r="V405" i="104"/>
  <c r="AB405" i="104" s="1"/>
  <c r="AE404" i="104"/>
  <c r="X404" i="104"/>
  <c r="AD404" i="104" s="1"/>
  <c r="W404" i="104"/>
  <c r="AC404" i="104" s="1"/>
  <c r="V404" i="104"/>
  <c r="AB404" i="104" s="1"/>
  <c r="AE403" i="104"/>
  <c r="X403" i="104"/>
  <c r="AD403" i="104" s="1"/>
  <c r="W403" i="104"/>
  <c r="AC403" i="104" s="1"/>
  <c r="V403" i="104"/>
  <c r="AB403" i="104" s="1"/>
  <c r="AE402" i="104"/>
  <c r="AD402" i="104"/>
  <c r="X402" i="104"/>
  <c r="W402" i="104"/>
  <c r="AC402" i="104" s="1"/>
  <c r="V402" i="104"/>
  <c r="AB402" i="104" s="1"/>
  <c r="AE401" i="104"/>
  <c r="X401" i="104"/>
  <c r="AD401" i="104" s="1"/>
  <c r="W401" i="104"/>
  <c r="AC401" i="104" s="1"/>
  <c r="V401" i="104"/>
  <c r="AB401" i="104" s="1"/>
  <c r="AE400" i="104"/>
  <c r="X400" i="104"/>
  <c r="AD400" i="104" s="1"/>
  <c r="W400" i="104"/>
  <c r="AC400" i="104" s="1"/>
  <c r="V400" i="104"/>
  <c r="AB400" i="104" s="1"/>
  <c r="AE399" i="104"/>
  <c r="AD399" i="104"/>
  <c r="X399" i="104"/>
  <c r="W399" i="104"/>
  <c r="AC399" i="104" s="1"/>
  <c r="V399" i="104"/>
  <c r="AB399" i="104" s="1"/>
  <c r="AE398" i="104"/>
  <c r="X398" i="104"/>
  <c r="AD398" i="104" s="1"/>
  <c r="W398" i="104"/>
  <c r="AC398" i="104" s="1"/>
  <c r="V398" i="104"/>
  <c r="AB398" i="104" s="1"/>
  <c r="AE397" i="104"/>
  <c r="AD397" i="104"/>
  <c r="X397" i="104"/>
  <c r="W397" i="104"/>
  <c r="AC397" i="104" s="1"/>
  <c r="V397" i="104"/>
  <c r="AB397" i="104" s="1"/>
  <c r="AE396" i="104"/>
  <c r="AB396" i="104"/>
  <c r="X396" i="104"/>
  <c r="AD396" i="104" s="1"/>
  <c r="W396" i="104"/>
  <c r="AC396" i="104" s="1"/>
  <c r="V396" i="104"/>
  <c r="AE395" i="104"/>
  <c r="AD395" i="104"/>
  <c r="AC395" i="104"/>
  <c r="X395" i="104"/>
  <c r="W395" i="104"/>
  <c r="V395" i="104"/>
  <c r="AB395" i="104" s="1"/>
  <c r="AE394" i="104"/>
  <c r="X394" i="104"/>
  <c r="AD394" i="104" s="1"/>
  <c r="W394" i="104"/>
  <c r="AC394" i="104" s="1"/>
  <c r="V394" i="104"/>
  <c r="AB394" i="104" s="1"/>
  <c r="AE393" i="104"/>
  <c r="X393" i="104"/>
  <c r="AD393" i="104" s="1"/>
  <c r="W393" i="104"/>
  <c r="AC393" i="104" s="1"/>
  <c r="V393" i="104"/>
  <c r="AB393" i="104" s="1"/>
  <c r="AE392" i="104"/>
  <c r="X392" i="104"/>
  <c r="AD392" i="104" s="1"/>
  <c r="W392" i="104"/>
  <c r="AC392" i="104" s="1"/>
  <c r="V392" i="104"/>
  <c r="AB392" i="104" s="1"/>
  <c r="AE391" i="104"/>
  <c r="AC391" i="104"/>
  <c r="X391" i="104"/>
  <c r="AD391" i="104" s="1"/>
  <c r="W391" i="104"/>
  <c r="V391" i="104"/>
  <c r="AB391" i="104" s="1"/>
  <c r="AE390" i="104"/>
  <c r="AB390" i="104"/>
  <c r="X390" i="104"/>
  <c r="AD390" i="104" s="1"/>
  <c r="W390" i="104"/>
  <c r="AC390" i="104" s="1"/>
  <c r="V390" i="104"/>
  <c r="AE389" i="104"/>
  <c r="X389" i="104"/>
  <c r="AD389" i="104" s="1"/>
  <c r="W389" i="104"/>
  <c r="AC389" i="104" s="1"/>
  <c r="V389" i="104"/>
  <c r="AB389" i="104" s="1"/>
  <c r="AE388" i="104"/>
  <c r="X388" i="104"/>
  <c r="AD388" i="104" s="1"/>
  <c r="W388" i="104"/>
  <c r="AC388" i="104" s="1"/>
  <c r="V388" i="104"/>
  <c r="AB388" i="104" s="1"/>
  <c r="AE387" i="104"/>
  <c r="X387" i="104"/>
  <c r="AD387" i="104" s="1"/>
  <c r="W387" i="104"/>
  <c r="AC387" i="104" s="1"/>
  <c r="V387" i="104"/>
  <c r="AB387" i="104" s="1"/>
  <c r="AE386" i="104"/>
  <c r="X386" i="104"/>
  <c r="AD386" i="104" s="1"/>
  <c r="W386" i="104"/>
  <c r="AC386" i="104" s="1"/>
  <c r="V386" i="104"/>
  <c r="AB386" i="104" s="1"/>
  <c r="AE385" i="104"/>
  <c r="X385" i="104"/>
  <c r="AD385" i="104" s="1"/>
  <c r="W385" i="104"/>
  <c r="AC385" i="104" s="1"/>
  <c r="V385" i="104"/>
  <c r="AB385" i="104" s="1"/>
  <c r="AE384" i="104"/>
  <c r="AB384" i="104"/>
  <c r="X384" i="104"/>
  <c r="AD384" i="104" s="1"/>
  <c r="W384" i="104"/>
  <c r="AC384" i="104" s="1"/>
  <c r="V384" i="104"/>
  <c r="AE383" i="104"/>
  <c r="AC383" i="104"/>
  <c r="X383" i="104"/>
  <c r="AD383" i="104" s="1"/>
  <c r="W383" i="104"/>
  <c r="V383" i="104"/>
  <c r="AB383" i="104" s="1"/>
  <c r="AE382" i="104"/>
  <c r="X382" i="104"/>
  <c r="AD382" i="104" s="1"/>
  <c r="W382" i="104"/>
  <c r="AC382" i="104" s="1"/>
  <c r="V382" i="104"/>
  <c r="AB382" i="104" s="1"/>
  <c r="AE381" i="104"/>
  <c r="X381" i="104"/>
  <c r="AD381" i="104" s="1"/>
  <c r="W381" i="104"/>
  <c r="AC381" i="104" s="1"/>
  <c r="V381" i="104"/>
  <c r="AB381" i="104" s="1"/>
  <c r="AE380" i="104"/>
  <c r="X380" i="104"/>
  <c r="AD380" i="104" s="1"/>
  <c r="W380" i="104"/>
  <c r="AC380" i="104" s="1"/>
  <c r="V380" i="104"/>
  <c r="AB380" i="104" s="1"/>
  <c r="AE379" i="104"/>
  <c r="X379" i="104"/>
  <c r="AD379" i="104" s="1"/>
  <c r="W379" i="104"/>
  <c r="AC379" i="104" s="1"/>
  <c r="V379" i="104"/>
  <c r="AB379" i="104" s="1"/>
  <c r="AE378" i="104"/>
  <c r="X378" i="104"/>
  <c r="AD378" i="104" s="1"/>
  <c r="W378" i="104"/>
  <c r="AC378" i="104" s="1"/>
  <c r="V378" i="104"/>
  <c r="AB378" i="104" s="1"/>
  <c r="AE377" i="104"/>
  <c r="X377" i="104"/>
  <c r="AD377" i="104" s="1"/>
  <c r="W377" i="104"/>
  <c r="AC377" i="104" s="1"/>
  <c r="V377" i="104"/>
  <c r="AB377" i="104" s="1"/>
  <c r="AE376" i="104"/>
  <c r="AB376" i="104"/>
  <c r="X376" i="104"/>
  <c r="AD376" i="104" s="1"/>
  <c r="W376" i="104"/>
  <c r="AC376" i="104" s="1"/>
  <c r="V376" i="104"/>
  <c r="AE375" i="104"/>
  <c r="X375" i="104"/>
  <c r="AD375" i="104" s="1"/>
  <c r="W375" i="104"/>
  <c r="AC375" i="104" s="1"/>
  <c r="V375" i="104"/>
  <c r="AB375" i="104" s="1"/>
  <c r="AE374" i="104"/>
  <c r="X374" i="104"/>
  <c r="AD374" i="104" s="1"/>
  <c r="W374" i="104"/>
  <c r="AC374" i="104" s="1"/>
  <c r="V374" i="104"/>
  <c r="AB374" i="104" s="1"/>
  <c r="AE373" i="104"/>
  <c r="X373" i="104"/>
  <c r="AD373" i="104" s="1"/>
  <c r="W373" i="104"/>
  <c r="AC373" i="104" s="1"/>
  <c r="V373" i="104"/>
  <c r="AB373" i="104" s="1"/>
  <c r="AE372" i="104"/>
  <c r="AB372" i="104"/>
  <c r="X372" i="104"/>
  <c r="AD372" i="104" s="1"/>
  <c r="W372" i="104"/>
  <c r="AC372" i="104" s="1"/>
  <c r="V372" i="104"/>
  <c r="AE371" i="104"/>
  <c r="X371" i="104"/>
  <c r="AD371" i="104" s="1"/>
  <c r="W371" i="104"/>
  <c r="AC371" i="104" s="1"/>
  <c r="V371" i="104"/>
  <c r="AB371" i="104" s="1"/>
  <c r="AE370" i="104"/>
  <c r="X370" i="104"/>
  <c r="AD370" i="104" s="1"/>
  <c r="W370" i="104"/>
  <c r="AC370" i="104" s="1"/>
  <c r="V370" i="104"/>
  <c r="AB370" i="104" s="1"/>
  <c r="AE369" i="104"/>
  <c r="AD369" i="104"/>
  <c r="X369" i="104"/>
  <c r="W369" i="104"/>
  <c r="AC369" i="104" s="1"/>
  <c r="V369" i="104"/>
  <c r="AB369" i="104" s="1"/>
  <c r="AE368" i="104"/>
  <c r="X368" i="104"/>
  <c r="AD368" i="104" s="1"/>
  <c r="W368" i="104"/>
  <c r="AC368" i="104" s="1"/>
  <c r="V368" i="104"/>
  <c r="AB368" i="104" s="1"/>
  <c r="AE367" i="104"/>
  <c r="X367" i="104"/>
  <c r="AD367" i="104" s="1"/>
  <c r="W367" i="104"/>
  <c r="AC367" i="104" s="1"/>
  <c r="V367" i="104"/>
  <c r="AB367" i="104" s="1"/>
  <c r="AE366" i="104"/>
  <c r="AD366" i="104"/>
  <c r="X366" i="104"/>
  <c r="W366" i="104"/>
  <c r="AC366" i="104" s="1"/>
  <c r="V366" i="104"/>
  <c r="AB366" i="104" s="1"/>
  <c r="AE365" i="104"/>
  <c r="X365" i="104"/>
  <c r="AD365" i="104" s="1"/>
  <c r="W365" i="104"/>
  <c r="AC365" i="104" s="1"/>
  <c r="V365" i="104"/>
  <c r="AB365" i="104" s="1"/>
  <c r="AE364" i="104"/>
  <c r="AB364" i="104"/>
  <c r="X364" i="104"/>
  <c r="AD364" i="104" s="1"/>
  <c r="W364" i="104"/>
  <c r="AC364" i="104" s="1"/>
  <c r="V364" i="104"/>
  <c r="AE363" i="104"/>
  <c r="X363" i="104"/>
  <c r="AD363" i="104" s="1"/>
  <c r="W363" i="104"/>
  <c r="AC363" i="104" s="1"/>
  <c r="V363" i="104"/>
  <c r="AB363" i="104" s="1"/>
  <c r="AE362" i="104"/>
  <c r="X362" i="104"/>
  <c r="AD362" i="104" s="1"/>
  <c r="W362" i="104"/>
  <c r="AC362" i="104" s="1"/>
  <c r="V362" i="104"/>
  <c r="AB362" i="104" s="1"/>
  <c r="AE361" i="104"/>
  <c r="X361" i="104"/>
  <c r="AD361" i="104" s="1"/>
  <c r="W361" i="104"/>
  <c r="AC361" i="104" s="1"/>
  <c r="V361" i="104"/>
  <c r="AB361" i="104" s="1"/>
  <c r="AE360" i="104"/>
  <c r="X360" i="104"/>
  <c r="AD360" i="104" s="1"/>
  <c r="W360" i="104"/>
  <c r="AC360" i="104" s="1"/>
  <c r="V360" i="104"/>
  <c r="AB360" i="104" s="1"/>
  <c r="AE359" i="104"/>
  <c r="AC359" i="104"/>
  <c r="X359" i="104"/>
  <c r="AD359" i="104" s="1"/>
  <c r="W359" i="104"/>
  <c r="V359" i="104"/>
  <c r="AB359" i="104" s="1"/>
  <c r="AE358" i="104"/>
  <c r="AD358" i="104"/>
  <c r="X358" i="104"/>
  <c r="W358" i="104"/>
  <c r="AC358" i="104" s="1"/>
  <c r="V358" i="104"/>
  <c r="AB358" i="104" s="1"/>
  <c r="AE357" i="104"/>
  <c r="X357" i="104"/>
  <c r="AD357" i="104" s="1"/>
  <c r="W357" i="104"/>
  <c r="AC357" i="104" s="1"/>
  <c r="V357" i="104"/>
  <c r="AB357" i="104" s="1"/>
  <c r="AE356" i="104"/>
  <c r="X356" i="104"/>
  <c r="AD356" i="104" s="1"/>
  <c r="W356" i="104"/>
  <c r="AC356" i="104" s="1"/>
  <c r="V356" i="104"/>
  <c r="AB356" i="104" s="1"/>
  <c r="AE355" i="104"/>
  <c r="AD355" i="104"/>
  <c r="X355" i="104"/>
  <c r="W355" i="104"/>
  <c r="AC355" i="104" s="1"/>
  <c r="V355" i="104"/>
  <c r="AB355" i="104" s="1"/>
  <c r="AE354" i="104"/>
  <c r="AC354" i="104"/>
  <c r="AB354" i="104"/>
  <c r="X354" i="104"/>
  <c r="AD354" i="104" s="1"/>
  <c r="W354" i="104"/>
  <c r="V354" i="104"/>
  <c r="AE353" i="104"/>
  <c r="X353" i="104"/>
  <c r="AD353" i="104" s="1"/>
  <c r="W353" i="104"/>
  <c r="AC353" i="104" s="1"/>
  <c r="V353" i="104"/>
  <c r="AB353" i="104" s="1"/>
  <c r="AE352" i="104"/>
  <c r="X352" i="104"/>
  <c r="AD352" i="104" s="1"/>
  <c r="W352" i="104"/>
  <c r="AC352" i="104" s="1"/>
  <c r="V352" i="104"/>
  <c r="AB352" i="104" s="1"/>
  <c r="AE351" i="104"/>
  <c r="X351" i="104"/>
  <c r="AD351" i="104" s="1"/>
  <c r="W351" i="104"/>
  <c r="AC351" i="104" s="1"/>
  <c r="V351" i="104"/>
  <c r="AB351" i="104" s="1"/>
  <c r="AE350" i="104"/>
  <c r="X350" i="104"/>
  <c r="AD350" i="104" s="1"/>
  <c r="W350" i="104"/>
  <c r="AC350" i="104" s="1"/>
  <c r="V350" i="104"/>
  <c r="AB350" i="104" s="1"/>
  <c r="AE349" i="104"/>
  <c r="AC349" i="104"/>
  <c r="X349" i="104"/>
  <c r="AD349" i="104" s="1"/>
  <c r="W349" i="104"/>
  <c r="V349" i="104"/>
  <c r="AB349" i="104" s="1"/>
  <c r="AE348" i="104"/>
  <c r="AB348" i="104"/>
  <c r="X348" i="104"/>
  <c r="AD348" i="104" s="1"/>
  <c r="W348" i="104"/>
  <c r="AC348" i="104" s="1"/>
  <c r="V348" i="104"/>
  <c r="AE347" i="104"/>
  <c r="AD347" i="104"/>
  <c r="X347" i="104"/>
  <c r="W347" i="104"/>
  <c r="AC347" i="104" s="1"/>
  <c r="V347" i="104"/>
  <c r="AB347" i="104" s="1"/>
  <c r="AE346" i="104"/>
  <c r="X346" i="104"/>
  <c r="AD346" i="104" s="1"/>
  <c r="W346" i="104"/>
  <c r="AC346" i="104" s="1"/>
  <c r="V346" i="104"/>
  <c r="AB346" i="104" s="1"/>
  <c r="AE345" i="104"/>
  <c r="X345" i="104"/>
  <c r="AD345" i="104" s="1"/>
  <c r="W345" i="104"/>
  <c r="AC345" i="104" s="1"/>
  <c r="V345" i="104"/>
  <c r="AB345" i="104" s="1"/>
  <c r="AE344" i="104"/>
  <c r="X344" i="104"/>
  <c r="AD344" i="104" s="1"/>
  <c r="W344" i="104"/>
  <c r="AC344" i="104" s="1"/>
  <c r="V344" i="104"/>
  <c r="AB344" i="104" s="1"/>
  <c r="AE343" i="104"/>
  <c r="X343" i="104"/>
  <c r="AD343" i="104" s="1"/>
  <c r="W343" i="104"/>
  <c r="AC343" i="104" s="1"/>
  <c r="V343" i="104"/>
  <c r="AB343" i="104" s="1"/>
  <c r="AE342" i="104"/>
  <c r="X342" i="104"/>
  <c r="AD342" i="104" s="1"/>
  <c r="W342" i="104"/>
  <c r="AC342" i="104" s="1"/>
  <c r="V342" i="104"/>
  <c r="AB342" i="104" s="1"/>
  <c r="AE341" i="104"/>
  <c r="X341" i="104"/>
  <c r="AD341" i="104" s="1"/>
  <c r="W341" i="104"/>
  <c r="AC341" i="104" s="1"/>
  <c r="V341" i="104"/>
  <c r="AB341" i="104" s="1"/>
  <c r="AE340" i="104"/>
  <c r="AB340" i="104"/>
  <c r="X340" i="104"/>
  <c r="AD340" i="104" s="1"/>
  <c r="W340" i="104"/>
  <c r="AC340" i="104" s="1"/>
  <c r="V340" i="104"/>
  <c r="AE339" i="104"/>
  <c r="X339" i="104"/>
  <c r="AD339" i="104" s="1"/>
  <c r="W339" i="104"/>
  <c r="AC339" i="104" s="1"/>
  <c r="V339" i="104"/>
  <c r="AB339" i="104" s="1"/>
  <c r="AE338" i="104"/>
  <c r="X338" i="104"/>
  <c r="AD338" i="104" s="1"/>
  <c r="W338" i="104"/>
  <c r="AC338" i="104" s="1"/>
  <c r="V338" i="104"/>
  <c r="AB338" i="104" s="1"/>
  <c r="AE337" i="104"/>
  <c r="AC337" i="104"/>
  <c r="X337" i="104"/>
  <c r="AD337" i="104" s="1"/>
  <c r="W337" i="104"/>
  <c r="V337" i="104"/>
  <c r="AB337" i="104" s="1"/>
  <c r="AE336" i="104"/>
  <c r="X336" i="104"/>
  <c r="AD336" i="104" s="1"/>
  <c r="W336" i="104"/>
  <c r="AC336" i="104" s="1"/>
  <c r="V336" i="104"/>
  <c r="AB336" i="104" s="1"/>
  <c r="AE335" i="104"/>
  <c r="X335" i="104"/>
  <c r="AD335" i="104" s="1"/>
  <c r="W335" i="104"/>
  <c r="AC335" i="104" s="1"/>
  <c r="V335" i="104"/>
  <c r="AB335" i="104" s="1"/>
  <c r="AE334" i="104"/>
  <c r="AD334" i="104"/>
  <c r="X334" i="104"/>
  <c r="W334" i="104"/>
  <c r="AC334" i="104" s="1"/>
  <c r="V334" i="104"/>
  <c r="AB334" i="104" s="1"/>
  <c r="AE333" i="104"/>
  <c r="X333" i="104"/>
  <c r="AD333" i="104" s="1"/>
  <c r="W333" i="104"/>
  <c r="AC333" i="104" s="1"/>
  <c r="V333" i="104"/>
  <c r="AB333" i="104" s="1"/>
  <c r="AE332" i="104"/>
  <c r="X332" i="104"/>
  <c r="AD332" i="104" s="1"/>
  <c r="W332" i="104"/>
  <c r="AC332" i="104" s="1"/>
  <c r="V332" i="104"/>
  <c r="AB332" i="104" s="1"/>
  <c r="AE331" i="104"/>
  <c r="X331" i="104"/>
  <c r="AD331" i="104" s="1"/>
  <c r="W331" i="104"/>
  <c r="AC331" i="104" s="1"/>
  <c r="V331" i="104"/>
  <c r="AB331" i="104" s="1"/>
  <c r="AE330" i="104"/>
  <c r="X330" i="104"/>
  <c r="AD330" i="104" s="1"/>
  <c r="W330" i="104"/>
  <c r="AC330" i="104" s="1"/>
  <c r="V330" i="104"/>
  <c r="AB330" i="104" s="1"/>
  <c r="AE329" i="104"/>
  <c r="X329" i="104"/>
  <c r="AD329" i="104" s="1"/>
  <c r="W329" i="104"/>
  <c r="AC329" i="104" s="1"/>
  <c r="V329" i="104"/>
  <c r="AB329" i="104" s="1"/>
  <c r="AE328" i="104"/>
  <c r="AB328" i="104"/>
  <c r="X328" i="104"/>
  <c r="AD328" i="104" s="1"/>
  <c r="W328" i="104"/>
  <c r="AC328" i="104" s="1"/>
  <c r="V328" i="104"/>
  <c r="AE327" i="104"/>
  <c r="AD327" i="104"/>
  <c r="AB327" i="104"/>
  <c r="X327" i="104"/>
  <c r="W327" i="104"/>
  <c r="AC327" i="104" s="1"/>
  <c r="V327" i="104"/>
  <c r="AE326" i="104"/>
  <c r="X326" i="104"/>
  <c r="AD326" i="104" s="1"/>
  <c r="W326" i="104"/>
  <c r="AC326" i="104" s="1"/>
  <c r="V326" i="104"/>
  <c r="AB326" i="104" s="1"/>
  <c r="AE325" i="104"/>
  <c r="AC325" i="104"/>
  <c r="X325" i="104"/>
  <c r="AD325" i="104" s="1"/>
  <c r="W325" i="104"/>
  <c r="V325" i="104"/>
  <c r="AB325" i="104" s="1"/>
  <c r="AE324" i="104"/>
  <c r="X324" i="104"/>
  <c r="AD324" i="104" s="1"/>
  <c r="W324" i="104"/>
  <c r="AC324" i="104" s="1"/>
  <c r="V324" i="104"/>
  <c r="AB324" i="104" s="1"/>
  <c r="AE323" i="104"/>
  <c r="X323" i="104"/>
  <c r="AD323" i="104" s="1"/>
  <c r="W323" i="104"/>
  <c r="AC323" i="104" s="1"/>
  <c r="V323" i="104"/>
  <c r="AB323" i="104" s="1"/>
  <c r="AE322" i="104"/>
  <c r="X322" i="104"/>
  <c r="AD322" i="104" s="1"/>
  <c r="W322" i="104"/>
  <c r="AC322" i="104" s="1"/>
  <c r="V322" i="104"/>
  <c r="AB322" i="104" s="1"/>
  <c r="AE321" i="104"/>
  <c r="X321" i="104"/>
  <c r="AD321" i="104" s="1"/>
  <c r="W321" i="104"/>
  <c r="AC321" i="104" s="1"/>
  <c r="V321" i="104"/>
  <c r="AB321" i="104" s="1"/>
  <c r="AE320" i="104"/>
  <c r="X320" i="104"/>
  <c r="AD320" i="104" s="1"/>
  <c r="W320" i="104"/>
  <c r="AC320" i="104" s="1"/>
  <c r="V320" i="104"/>
  <c r="AB320" i="104" s="1"/>
  <c r="AE319" i="104"/>
  <c r="AC319" i="104"/>
  <c r="X319" i="104"/>
  <c r="AD319" i="104" s="1"/>
  <c r="W319" i="104"/>
  <c r="V319" i="104"/>
  <c r="AB319" i="104" s="1"/>
  <c r="AE318" i="104"/>
  <c r="AD318" i="104"/>
  <c r="X318" i="104"/>
  <c r="W318" i="104"/>
  <c r="AC318" i="104" s="1"/>
  <c r="V318" i="104"/>
  <c r="AB318" i="104" s="1"/>
  <c r="AE317" i="104"/>
  <c r="X317" i="104"/>
  <c r="AD317" i="104" s="1"/>
  <c r="W317" i="104"/>
  <c r="AC317" i="104" s="1"/>
  <c r="V317" i="104"/>
  <c r="AB317" i="104" s="1"/>
  <c r="AE316" i="104"/>
  <c r="X316" i="104"/>
  <c r="AD316" i="104" s="1"/>
  <c r="W316" i="104"/>
  <c r="AC316" i="104" s="1"/>
  <c r="V316" i="104"/>
  <c r="AB316" i="104" s="1"/>
  <c r="AE315" i="104"/>
  <c r="AC315" i="104"/>
  <c r="X315" i="104"/>
  <c r="AD315" i="104" s="1"/>
  <c r="W315" i="104"/>
  <c r="V315" i="104"/>
  <c r="AB315" i="104" s="1"/>
  <c r="AE314" i="104"/>
  <c r="X314" i="104"/>
  <c r="AD314" i="104" s="1"/>
  <c r="W314" i="104"/>
  <c r="AC314" i="104" s="1"/>
  <c r="V314" i="104"/>
  <c r="AB314" i="104" s="1"/>
  <c r="AG313" i="104"/>
  <c r="AF313" i="104"/>
  <c r="X313" i="104"/>
  <c r="AD313" i="104" s="1"/>
  <c r="W313" i="104"/>
  <c r="AC313" i="104" s="1"/>
  <c r="V313" i="104"/>
  <c r="AB313" i="104" s="1"/>
  <c r="AG312" i="104"/>
  <c r="AF312" i="104"/>
  <c r="X312" i="104"/>
  <c r="AD312" i="104" s="1"/>
  <c r="W312" i="104"/>
  <c r="AC312" i="104" s="1"/>
  <c r="V312" i="104"/>
  <c r="AB312" i="104" s="1"/>
  <c r="AG311" i="104"/>
  <c r="AF311" i="104"/>
  <c r="AC311" i="104"/>
  <c r="X311" i="104"/>
  <c r="AD311" i="104" s="1"/>
  <c r="W311" i="104"/>
  <c r="V311" i="104"/>
  <c r="AB311" i="104" s="1"/>
  <c r="AG310" i="104"/>
  <c r="AF310" i="104"/>
  <c r="X310" i="104"/>
  <c r="AD310" i="104" s="1"/>
  <c r="W310" i="104"/>
  <c r="AC310" i="104" s="1"/>
  <c r="V310" i="104"/>
  <c r="AB310" i="104" s="1"/>
  <c r="AG309" i="104"/>
  <c r="AF309" i="104"/>
  <c r="AC309" i="104"/>
  <c r="X309" i="104"/>
  <c r="AD309" i="104" s="1"/>
  <c r="W309" i="104"/>
  <c r="V309" i="104"/>
  <c r="AB309" i="104" s="1"/>
  <c r="AG308" i="104"/>
  <c r="AF308" i="104"/>
  <c r="X308" i="104"/>
  <c r="AD308" i="104" s="1"/>
  <c r="W308" i="104"/>
  <c r="AC308" i="104" s="1"/>
  <c r="V308" i="104"/>
  <c r="AB308" i="104" s="1"/>
  <c r="AG307" i="104"/>
  <c r="AF307" i="104"/>
  <c r="X307" i="104"/>
  <c r="AD307" i="104" s="1"/>
  <c r="W307" i="104"/>
  <c r="AC307" i="104" s="1"/>
  <c r="V307" i="104"/>
  <c r="AB307" i="104" s="1"/>
  <c r="AG306" i="104"/>
  <c r="AF306" i="104"/>
  <c r="AD306" i="104"/>
  <c r="X306" i="104"/>
  <c r="W306" i="104"/>
  <c r="AC306" i="104" s="1"/>
  <c r="V306" i="104"/>
  <c r="AB306" i="104" s="1"/>
  <c r="AG305" i="104"/>
  <c r="AF305" i="104"/>
  <c r="AB305" i="104"/>
  <c r="X305" i="104"/>
  <c r="AD305" i="104" s="1"/>
  <c r="W305" i="104"/>
  <c r="AC305" i="104" s="1"/>
  <c r="V305" i="104"/>
  <c r="AG304" i="104"/>
  <c r="AF304" i="104"/>
  <c r="X304" i="104"/>
  <c r="AD304" i="104" s="1"/>
  <c r="W304" i="104"/>
  <c r="AC304" i="104" s="1"/>
  <c r="V304" i="104"/>
  <c r="AB304" i="104" s="1"/>
  <c r="AG303" i="104"/>
  <c r="AF303" i="104"/>
  <c r="X303" i="104"/>
  <c r="AD303" i="104" s="1"/>
  <c r="W303" i="104"/>
  <c r="AC303" i="104" s="1"/>
  <c r="V303" i="104"/>
  <c r="AB303" i="104" s="1"/>
  <c r="AG302" i="104"/>
  <c r="AF302" i="104"/>
  <c r="AB302" i="104"/>
  <c r="X302" i="104"/>
  <c r="AD302" i="104" s="1"/>
  <c r="W302" i="104"/>
  <c r="AC302" i="104" s="1"/>
  <c r="V302" i="104"/>
  <c r="AE301" i="104"/>
  <c r="X301" i="104"/>
  <c r="AD301" i="104" s="1"/>
  <c r="W301" i="104"/>
  <c r="AC301" i="104" s="1"/>
  <c r="V301" i="104"/>
  <c r="AB301" i="104" s="1"/>
  <c r="AE300" i="104"/>
  <c r="X300" i="104"/>
  <c r="AD300" i="104" s="1"/>
  <c r="W300" i="104"/>
  <c r="AC300" i="104" s="1"/>
  <c r="V300" i="104"/>
  <c r="AB300" i="104" s="1"/>
  <c r="AE299" i="104"/>
  <c r="AB299" i="104"/>
  <c r="X299" i="104"/>
  <c r="AD299" i="104" s="1"/>
  <c r="W299" i="104"/>
  <c r="AC299" i="104" s="1"/>
  <c r="V299" i="104"/>
  <c r="AE298" i="104"/>
  <c r="X298" i="104"/>
  <c r="AD298" i="104" s="1"/>
  <c r="W298" i="104"/>
  <c r="AC298" i="104" s="1"/>
  <c r="V298" i="104"/>
  <c r="AB298" i="104" s="1"/>
  <c r="AE297" i="104"/>
  <c r="X297" i="104"/>
  <c r="AD297" i="104" s="1"/>
  <c r="W297" i="104"/>
  <c r="AC297" i="104" s="1"/>
  <c r="V297" i="104"/>
  <c r="AB297" i="104" s="1"/>
  <c r="AE296" i="104"/>
  <c r="AB296" i="104"/>
  <c r="X296" i="104"/>
  <c r="AD296" i="104" s="1"/>
  <c r="W296" i="104"/>
  <c r="AC296" i="104" s="1"/>
  <c r="V296" i="104"/>
  <c r="AE295" i="104"/>
  <c r="X295" i="104"/>
  <c r="AD295" i="104" s="1"/>
  <c r="W295" i="104"/>
  <c r="AC295" i="104" s="1"/>
  <c r="V295" i="104"/>
  <c r="AB295" i="104" s="1"/>
  <c r="AE294" i="104"/>
  <c r="X294" i="104"/>
  <c r="AD294" i="104" s="1"/>
  <c r="W294" i="104"/>
  <c r="AC294" i="104" s="1"/>
  <c r="V294" i="104"/>
  <c r="AB294" i="104" s="1"/>
  <c r="AE293" i="104"/>
  <c r="X293" i="104"/>
  <c r="AD293" i="104" s="1"/>
  <c r="W293" i="104"/>
  <c r="AC293" i="104" s="1"/>
  <c r="V293" i="104"/>
  <c r="AB293" i="104" s="1"/>
  <c r="AE292" i="104"/>
  <c r="X292" i="104"/>
  <c r="AD292" i="104" s="1"/>
  <c r="W292" i="104"/>
  <c r="AC292" i="104" s="1"/>
  <c r="V292" i="104"/>
  <c r="AB292" i="104" s="1"/>
  <c r="AE291" i="104"/>
  <c r="X291" i="104"/>
  <c r="AD291" i="104" s="1"/>
  <c r="W291" i="104"/>
  <c r="AC291" i="104" s="1"/>
  <c r="V291" i="104"/>
  <c r="AB291" i="104" s="1"/>
  <c r="AE290" i="104"/>
  <c r="X290" i="104"/>
  <c r="AD290" i="104" s="1"/>
  <c r="W290" i="104"/>
  <c r="AC290" i="104" s="1"/>
  <c r="V290" i="104"/>
  <c r="AB290" i="104" s="1"/>
  <c r="AE289" i="104"/>
  <c r="X289" i="104"/>
  <c r="AD289" i="104" s="1"/>
  <c r="W289" i="104"/>
  <c r="AC289" i="104" s="1"/>
  <c r="V289" i="104"/>
  <c r="AB289" i="104" s="1"/>
  <c r="AE288" i="104"/>
  <c r="X288" i="104"/>
  <c r="AD288" i="104" s="1"/>
  <c r="W288" i="104"/>
  <c r="AC288" i="104" s="1"/>
  <c r="V288" i="104"/>
  <c r="AB288" i="104" s="1"/>
  <c r="AE287" i="104"/>
  <c r="AC287" i="104"/>
  <c r="AB287" i="104"/>
  <c r="X287" i="104"/>
  <c r="AD287" i="104" s="1"/>
  <c r="W287" i="104"/>
  <c r="V287" i="104"/>
  <c r="AE286" i="104"/>
  <c r="AC286" i="104"/>
  <c r="X286" i="104"/>
  <c r="AD286" i="104" s="1"/>
  <c r="W286" i="104"/>
  <c r="V286" i="104"/>
  <c r="AB286" i="104" s="1"/>
  <c r="AE285" i="104"/>
  <c r="X285" i="104"/>
  <c r="AD285" i="104" s="1"/>
  <c r="W285" i="104"/>
  <c r="AC285" i="104" s="1"/>
  <c r="V285" i="104"/>
  <c r="AB285" i="104" s="1"/>
  <c r="AE284" i="104"/>
  <c r="X284" i="104"/>
  <c r="AD284" i="104" s="1"/>
  <c r="W284" i="104"/>
  <c r="AC284" i="104" s="1"/>
  <c r="V284" i="104"/>
  <c r="AB284" i="104" s="1"/>
  <c r="AE283" i="104"/>
  <c r="AD283" i="104"/>
  <c r="X283" i="104"/>
  <c r="W283" i="104"/>
  <c r="AC283" i="104" s="1"/>
  <c r="V283" i="104"/>
  <c r="AB283" i="104" s="1"/>
  <c r="AE282" i="104"/>
  <c r="X282" i="104"/>
  <c r="AD282" i="104" s="1"/>
  <c r="W282" i="104"/>
  <c r="AC282" i="104" s="1"/>
  <c r="V282" i="104"/>
  <c r="AB282" i="104" s="1"/>
  <c r="AE281" i="104"/>
  <c r="AC281" i="104"/>
  <c r="X281" i="104"/>
  <c r="AD281" i="104" s="1"/>
  <c r="W281" i="104"/>
  <c r="V281" i="104"/>
  <c r="AB281" i="104" s="1"/>
  <c r="AE280" i="104"/>
  <c r="X280" i="104"/>
  <c r="AD280" i="104" s="1"/>
  <c r="W280" i="104"/>
  <c r="AC280" i="104" s="1"/>
  <c r="V280" i="104"/>
  <c r="AB280" i="104" s="1"/>
  <c r="AE279" i="104"/>
  <c r="AC279" i="104"/>
  <c r="X279" i="104"/>
  <c r="AD279" i="104" s="1"/>
  <c r="W279" i="104"/>
  <c r="V279" i="104"/>
  <c r="AB279" i="104" s="1"/>
  <c r="AE278" i="104"/>
  <c r="X278" i="104"/>
  <c r="AD278" i="104" s="1"/>
  <c r="W278" i="104"/>
  <c r="AC278" i="104" s="1"/>
  <c r="V278" i="104"/>
  <c r="AB278" i="104" s="1"/>
  <c r="AE277" i="104"/>
  <c r="X277" i="104"/>
  <c r="AD277" i="104" s="1"/>
  <c r="W277" i="104"/>
  <c r="AC277" i="104" s="1"/>
  <c r="V277" i="104"/>
  <c r="AB277" i="104" s="1"/>
  <c r="AE276" i="104"/>
  <c r="X276" i="104"/>
  <c r="AD276" i="104" s="1"/>
  <c r="W276" i="104"/>
  <c r="AC276" i="104" s="1"/>
  <c r="V276" i="104"/>
  <c r="AB276" i="104" s="1"/>
  <c r="AE275" i="104"/>
  <c r="X275" i="104"/>
  <c r="AD275" i="104" s="1"/>
  <c r="W275" i="104"/>
  <c r="AC275" i="104" s="1"/>
  <c r="V275" i="104"/>
  <c r="AB275" i="104" s="1"/>
  <c r="AE274" i="104"/>
  <c r="AC274" i="104"/>
  <c r="AB274" i="104"/>
  <c r="X274" i="104"/>
  <c r="AD274" i="104" s="1"/>
  <c r="W274" i="104"/>
  <c r="V274" i="104"/>
  <c r="AE273" i="104"/>
  <c r="X273" i="104"/>
  <c r="AD273" i="104" s="1"/>
  <c r="W273" i="104"/>
  <c r="AC273" i="104" s="1"/>
  <c r="V273" i="104"/>
  <c r="AB273" i="104" s="1"/>
  <c r="AE272" i="104"/>
  <c r="X272" i="104"/>
  <c r="AD272" i="104" s="1"/>
  <c r="W272" i="104"/>
  <c r="AC272" i="104" s="1"/>
  <c r="V272" i="104"/>
  <c r="AB272" i="104" s="1"/>
  <c r="AE271" i="104"/>
  <c r="AD271" i="104"/>
  <c r="X271" i="104"/>
  <c r="W271" i="104"/>
  <c r="AC271" i="104" s="1"/>
  <c r="V271" i="104"/>
  <c r="AB271" i="104" s="1"/>
  <c r="AE270" i="104"/>
  <c r="X270" i="104"/>
  <c r="AD270" i="104" s="1"/>
  <c r="W270" i="104"/>
  <c r="AC270" i="104" s="1"/>
  <c r="V270" i="104"/>
  <c r="AB270" i="104" s="1"/>
  <c r="AG269" i="104"/>
  <c r="AF269" i="104"/>
  <c r="AD269" i="104"/>
  <c r="X269" i="104"/>
  <c r="W269" i="104"/>
  <c r="AC269" i="104" s="1"/>
  <c r="V269" i="104"/>
  <c r="AB269" i="104" s="1"/>
  <c r="AG268" i="104"/>
  <c r="AF268" i="104"/>
  <c r="X268" i="104"/>
  <c r="AD268" i="104" s="1"/>
  <c r="W268" i="104"/>
  <c r="AC268" i="104" s="1"/>
  <c r="V268" i="104"/>
  <c r="AB268" i="104" s="1"/>
  <c r="AG267" i="104"/>
  <c r="AF267" i="104"/>
  <c r="X267" i="104"/>
  <c r="AD267" i="104" s="1"/>
  <c r="W267" i="104"/>
  <c r="AC267" i="104" s="1"/>
  <c r="V267" i="104"/>
  <c r="AB267" i="104" s="1"/>
  <c r="AG266" i="104"/>
  <c r="AF266" i="104"/>
  <c r="X266" i="104"/>
  <c r="AD266" i="104" s="1"/>
  <c r="W266" i="104"/>
  <c r="AC266" i="104" s="1"/>
  <c r="V266" i="104"/>
  <c r="AB266" i="104" s="1"/>
  <c r="AG265" i="104"/>
  <c r="AF265" i="104"/>
  <c r="X265" i="104"/>
  <c r="AD265" i="104" s="1"/>
  <c r="W265" i="104"/>
  <c r="AC265" i="104" s="1"/>
  <c r="V265" i="104"/>
  <c r="AB265" i="104" s="1"/>
  <c r="AG264" i="104"/>
  <c r="AF264" i="104"/>
  <c r="X264" i="104"/>
  <c r="AD264" i="104" s="1"/>
  <c r="W264" i="104"/>
  <c r="AC264" i="104" s="1"/>
  <c r="V264" i="104"/>
  <c r="AB264" i="104" s="1"/>
  <c r="AG263" i="104"/>
  <c r="AF263" i="104"/>
  <c r="X263" i="104"/>
  <c r="AD263" i="104" s="1"/>
  <c r="W263" i="104"/>
  <c r="AC263" i="104" s="1"/>
  <c r="V263" i="104"/>
  <c r="AB263" i="104" s="1"/>
  <c r="AG262" i="104"/>
  <c r="AF262" i="104"/>
  <c r="AD262" i="104"/>
  <c r="X262" i="104"/>
  <c r="W262" i="104"/>
  <c r="AC262" i="104" s="1"/>
  <c r="V262" i="104"/>
  <c r="AB262" i="104" s="1"/>
  <c r="AG261" i="104"/>
  <c r="AF261" i="104"/>
  <c r="AC261" i="104"/>
  <c r="X261" i="104"/>
  <c r="AD261" i="104" s="1"/>
  <c r="W261" i="104"/>
  <c r="V261" i="104"/>
  <c r="AB261" i="104" s="1"/>
  <c r="AG260" i="104"/>
  <c r="AF260" i="104"/>
  <c r="X260" i="104"/>
  <c r="AD260" i="104" s="1"/>
  <c r="W260" i="104"/>
  <c r="AC260" i="104" s="1"/>
  <c r="V260" i="104"/>
  <c r="AB260" i="104" s="1"/>
  <c r="AG259" i="104"/>
  <c r="AF259" i="104"/>
  <c r="X259" i="104"/>
  <c r="AD259" i="104" s="1"/>
  <c r="W259" i="104"/>
  <c r="AC259" i="104" s="1"/>
  <c r="V259" i="104"/>
  <c r="AB259" i="104" s="1"/>
  <c r="AG258" i="104"/>
  <c r="AF258" i="104"/>
  <c r="X258" i="104"/>
  <c r="AD258" i="104" s="1"/>
  <c r="W258" i="104"/>
  <c r="AC258" i="104" s="1"/>
  <c r="V258" i="104"/>
  <c r="AB258" i="104" s="1"/>
  <c r="AG257" i="104"/>
  <c r="AF257" i="104"/>
  <c r="X257" i="104"/>
  <c r="AD257" i="104" s="1"/>
  <c r="W257" i="104"/>
  <c r="AC257" i="104" s="1"/>
  <c r="V257" i="104"/>
  <c r="AB257" i="104" s="1"/>
  <c r="AG256" i="104"/>
  <c r="AF256" i="104"/>
  <c r="X256" i="104"/>
  <c r="AD256" i="104" s="1"/>
  <c r="W256" i="104"/>
  <c r="AC256" i="104" s="1"/>
  <c r="V256" i="104"/>
  <c r="AB256" i="104" s="1"/>
  <c r="AG255" i="104"/>
  <c r="AF255" i="104"/>
  <c r="AD255" i="104"/>
  <c r="X255" i="104"/>
  <c r="W255" i="104"/>
  <c r="AC255" i="104" s="1"/>
  <c r="V255" i="104"/>
  <c r="AB255" i="104" s="1"/>
  <c r="AG254" i="104"/>
  <c r="AF254" i="104"/>
  <c r="AC254" i="104"/>
  <c r="X254" i="104"/>
  <c r="AD254" i="104" s="1"/>
  <c r="W254" i="104"/>
  <c r="V254" i="104"/>
  <c r="AB254" i="104" s="1"/>
  <c r="AG253" i="104"/>
  <c r="AF253" i="104"/>
  <c r="X253" i="104"/>
  <c r="AD253" i="104" s="1"/>
  <c r="W253" i="104"/>
  <c r="AC253" i="104" s="1"/>
  <c r="V253" i="104"/>
  <c r="AB253" i="104" s="1"/>
  <c r="AG252" i="104"/>
  <c r="AF252" i="104"/>
  <c r="AB252" i="104"/>
  <c r="X252" i="104"/>
  <c r="AD252" i="104" s="1"/>
  <c r="W252" i="104"/>
  <c r="AC252" i="104" s="1"/>
  <c r="V252" i="104"/>
  <c r="AG251" i="104"/>
  <c r="AF251" i="104"/>
  <c r="AC251" i="104"/>
  <c r="X251" i="104"/>
  <c r="AD251" i="104" s="1"/>
  <c r="W251" i="104"/>
  <c r="V251" i="104"/>
  <c r="AB251" i="104" s="1"/>
  <c r="AG250" i="104"/>
  <c r="AF250" i="104"/>
  <c r="X250" i="104"/>
  <c r="AD250" i="104" s="1"/>
  <c r="W250" i="104"/>
  <c r="AC250" i="104" s="1"/>
  <c r="V250" i="104"/>
  <c r="AB250" i="104" s="1"/>
  <c r="AE249" i="104"/>
  <c r="AC249" i="104"/>
  <c r="X249" i="104"/>
  <c r="AD249" i="104" s="1"/>
  <c r="W249" i="104"/>
  <c r="V249" i="104"/>
  <c r="AB249" i="104" s="1"/>
  <c r="AE248" i="104"/>
  <c r="X248" i="104"/>
  <c r="AD248" i="104" s="1"/>
  <c r="W248" i="104"/>
  <c r="AC248" i="104" s="1"/>
  <c r="V248" i="104"/>
  <c r="AB248" i="104" s="1"/>
  <c r="AE247" i="104"/>
  <c r="X247" i="104"/>
  <c r="AD247" i="104" s="1"/>
  <c r="W247" i="104"/>
  <c r="AC247" i="104" s="1"/>
  <c r="V247" i="104"/>
  <c r="AB247" i="104" s="1"/>
  <c r="AE246" i="104"/>
  <c r="X246" i="104"/>
  <c r="AD246" i="104" s="1"/>
  <c r="W246" i="104"/>
  <c r="AC246" i="104" s="1"/>
  <c r="V246" i="104"/>
  <c r="AB246" i="104" s="1"/>
  <c r="AE245" i="104"/>
  <c r="AD245" i="104"/>
  <c r="X245" i="104"/>
  <c r="W245" i="104"/>
  <c r="AC245" i="104" s="1"/>
  <c r="V245" i="104"/>
  <c r="AB245" i="104" s="1"/>
  <c r="AE244" i="104"/>
  <c r="X244" i="104"/>
  <c r="AD244" i="104" s="1"/>
  <c r="W244" i="104"/>
  <c r="AC244" i="104" s="1"/>
  <c r="V244" i="104"/>
  <c r="AB244" i="104" s="1"/>
  <c r="AE243" i="104"/>
  <c r="AD243" i="104"/>
  <c r="AC243" i="104"/>
  <c r="X243" i="104"/>
  <c r="W243" i="104"/>
  <c r="V243" i="104"/>
  <c r="AB243" i="104" s="1"/>
  <c r="AE242" i="104"/>
  <c r="X242" i="104"/>
  <c r="AD242" i="104" s="1"/>
  <c r="W242" i="104"/>
  <c r="AC242" i="104" s="1"/>
  <c r="V242" i="104"/>
  <c r="AB242" i="104" s="1"/>
  <c r="AE241" i="104"/>
  <c r="X241" i="104"/>
  <c r="AD241" i="104" s="1"/>
  <c r="W241" i="104"/>
  <c r="AC241" i="104" s="1"/>
  <c r="V241" i="104"/>
  <c r="AB241" i="104" s="1"/>
  <c r="AE240" i="104"/>
  <c r="AB240" i="104"/>
  <c r="X240" i="104"/>
  <c r="AD240" i="104" s="1"/>
  <c r="W240" i="104"/>
  <c r="AC240" i="104" s="1"/>
  <c r="V240" i="104"/>
  <c r="AE239" i="104"/>
  <c r="AD239" i="104"/>
  <c r="X239" i="104"/>
  <c r="W239" i="104"/>
  <c r="AC239" i="104" s="1"/>
  <c r="V239" i="104"/>
  <c r="AB239" i="104" s="1"/>
  <c r="AE238" i="104"/>
  <c r="X238" i="104"/>
  <c r="AD238" i="104" s="1"/>
  <c r="W238" i="104"/>
  <c r="AC238" i="104" s="1"/>
  <c r="V238" i="104"/>
  <c r="AB238" i="104" s="1"/>
  <c r="AE237" i="104"/>
  <c r="AC237" i="104"/>
  <c r="X237" i="104"/>
  <c r="AD237" i="104" s="1"/>
  <c r="W237" i="104"/>
  <c r="V237" i="104"/>
  <c r="AB237" i="104" s="1"/>
  <c r="AE236" i="104"/>
  <c r="X236" i="104"/>
  <c r="AD236" i="104" s="1"/>
  <c r="W236" i="104"/>
  <c r="AC236" i="104" s="1"/>
  <c r="V236" i="104"/>
  <c r="AB236" i="104" s="1"/>
  <c r="AE235" i="104"/>
  <c r="AD235" i="104"/>
  <c r="X235" i="104"/>
  <c r="W235" i="104"/>
  <c r="AC235" i="104" s="1"/>
  <c r="V235" i="104"/>
  <c r="AB235" i="104" s="1"/>
  <c r="AE234" i="104"/>
  <c r="X234" i="104"/>
  <c r="AD234" i="104" s="1"/>
  <c r="W234" i="104"/>
  <c r="AC234" i="104" s="1"/>
  <c r="V234" i="104"/>
  <c r="AB234" i="104" s="1"/>
  <c r="AE233" i="104"/>
  <c r="AC233" i="104"/>
  <c r="AB233" i="104"/>
  <c r="X233" i="104"/>
  <c r="AD233" i="104" s="1"/>
  <c r="W233" i="104"/>
  <c r="V233" i="104"/>
  <c r="AE232" i="104"/>
  <c r="X232" i="104"/>
  <c r="AD232" i="104" s="1"/>
  <c r="W232" i="104"/>
  <c r="AC232" i="104" s="1"/>
  <c r="V232" i="104"/>
  <c r="AB232" i="104" s="1"/>
  <c r="AE231" i="104"/>
  <c r="X231" i="104"/>
  <c r="AD231" i="104" s="1"/>
  <c r="W231" i="104"/>
  <c r="AC231" i="104" s="1"/>
  <c r="V231" i="104"/>
  <c r="AB231" i="104" s="1"/>
  <c r="AE230" i="104"/>
  <c r="AC230" i="104"/>
  <c r="X230" i="104"/>
  <c r="AD230" i="104" s="1"/>
  <c r="W230" i="104"/>
  <c r="V230" i="104"/>
  <c r="AB230" i="104" s="1"/>
  <c r="AE229" i="104"/>
  <c r="X229" i="104"/>
  <c r="AD229" i="104" s="1"/>
  <c r="W229" i="104"/>
  <c r="AC229" i="104" s="1"/>
  <c r="V229" i="104"/>
  <c r="AB229" i="104" s="1"/>
  <c r="AE228" i="104"/>
  <c r="X228" i="104"/>
  <c r="AD228" i="104" s="1"/>
  <c r="W228" i="104"/>
  <c r="AC228" i="104" s="1"/>
  <c r="V228" i="104"/>
  <c r="AB228" i="104" s="1"/>
  <c r="AE227" i="104"/>
  <c r="X227" i="104"/>
  <c r="AD227" i="104" s="1"/>
  <c r="W227" i="104"/>
  <c r="AC227" i="104" s="1"/>
  <c r="V227" i="104"/>
  <c r="AB227" i="104" s="1"/>
  <c r="AE226" i="104"/>
  <c r="X226" i="104"/>
  <c r="AD226" i="104" s="1"/>
  <c r="W226" i="104"/>
  <c r="AC226" i="104" s="1"/>
  <c r="V226" i="104"/>
  <c r="AB226" i="104" s="1"/>
  <c r="AE225" i="104"/>
  <c r="X225" i="104"/>
  <c r="AD225" i="104" s="1"/>
  <c r="W225" i="104"/>
  <c r="AC225" i="104" s="1"/>
  <c r="V225" i="104"/>
  <c r="AB225" i="104" s="1"/>
  <c r="AE224" i="104"/>
  <c r="X224" i="104"/>
  <c r="AD224" i="104" s="1"/>
  <c r="W224" i="104"/>
  <c r="AC224" i="104" s="1"/>
  <c r="V224" i="104"/>
  <c r="AB224" i="104" s="1"/>
  <c r="AE223" i="104"/>
  <c r="AC223" i="104"/>
  <c r="X223" i="104"/>
  <c r="AD223" i="104" s="1"/>
  <c r="W223" i="104"/>
  <c r="V223" i="104"/>
  <c r="AB223" i="104" s="1"/>
  <c r="AE222" i="104"/>
  <c r="X222" i="104"/>
  <c r="AD222" i="104" s="1"/>
  <c r="W222" i="104"/>
  <c r="AC222" i="104" s="1"/>
  <c r="V222" i="104"/>
  <c r="AB222" i="104" s="1"/>
  <c r="AE221" i="104"/>
  <c r="X221" i="104"/>
  <c r="AD221" i="104" s="1"/>
  <c r="W221" i="104"/>
  <c r="AC221" i="104" s="1"/>
  <c r="V221" i="104"/>
  <c r="AB221" i="104" s="1"/>
  <c r="AE220" i="104"/>
  <c r="AB220" i="104"/>
  <c r="X220" i="104"/>
  <c r="AD220" i="104" s="1"/>
  <c r="W220" i="104"/>
  <c r="AC220" i="104" s="1"/>
  <c r="V220" i="104"/>
  <c r="AE219" i="104"/>
  <c r="AB219" i="104"/>
  <c r="X219" i="104"/>
  <c r="AD219" i="104" s="1"/>
  <c r="W219" i="104"/>
  <c r="AC219" i="104" s="1"/>
  <c r="V219" i="104"/>
  <c r="AE218" i="104"/>
  <c r="AC218" i="104"/>
  <c r="X218" i="104"/>
  <c r="AD218" i="104" s="1"/>
  <c r="W218" i="104"/>
  <c r="V218" i="104"/>
  <c r="AB218" i="104" s="1"/>
  <c r="AE217" i="104"/>
  <c r="X217" i="104"/>
  <c r="AD217" i="104" s="1"/>
  <c r="W217" i="104"/>
  <c r="AC217" i="104" s="1"/>
  <c r="V217" i="104"/>
  <c r="AB217" i="104" s="1"/>
  <c r="AE216" i="104"/>
  <c r="X216" i="104"/>
  <c r="AD216" i="104" s="1"/>
  <c r="W216" i="104"/>
  <c r="AC216" i="104" s="1"/>
  <c r="V216" i="104"/>
  <c r="AB216" i="104" s="1"/>
  <c r="AE215" i="104"/>
  <c r="X215" i="104"/>
  <c r="AD215" i="104" s="1"/>
  <c r="W215" i="104"/>
  <c r="AC215" i="104" s="1"/>
  <c r="V215" i="104"/>
  <c r="AB215" i="104" s="1"/>
  <c r="AE214" i="104"/>
  <c r="AB214" i="104"/>
  <c r="X214" i="104"/>
  <c r="AD214" i="104" s="1"/>
  <c r="W214" i="104"/>
  <c r="AC214" i="104" s="1"/>
  <c r="V214" i="104"/>
  <c r="AE213" i="104"/>
  <c r="AC213" i="104"/>
  <c r="X213" i="104"/>
  <c r="AD213" i="104" s="1"/>
  <c r="W213" i="104"/>
  <c r="V213" i="104"/>
  <c r="AB213" i="104" s="1"/>
  <c r="AE212" i="104"/>
  <c r="X212" i="104"/>
  <c r="AD212" i="104" s="1"/>
  <c r="W212" i="104"/>
  <c r="AC212" i="104" s="1"/>
  <c r="V212" i="104"/>
  <c r="AB212" i="104" s="1"/>
  <c r="AE211" i="104"/>
  <c r="X211" i="104"/>
  <c r="AD211" i="104" s="1"/>
  <c r="W211" i="104"/>
  <c r="AC211" i="104" s="1"/>
  <c r="V211" i="104"/>
  <c r="AB211" i="104" s="1"/>
  <c r="AE210" i="104"/>
  <c r="X210" i="104"/>
  <c r="AD210" i="104" s="1"/>
  <c r="W210" i="104"/>
  <c r="AC210" i="104" s="1"/>
  <c r="V210" i="104"/>
  <c r="AB210" i="104" s="1"/>
  <c r="AE209" i="104"/>
  <c r="X209" i="104"/>
  <c r="AD209" i="104" s="1"/>
  <c r="W209" i="104"/>
  <c r="AC209" i="104" s="1"/>
  <c r="V209" i="104"/>
  <c r="AB209" i="104" s="1"/>
  <c r="AE208" i="104"/>
  <c r="X208" i="104"/>
  <c r="AD208" i="104" s="1"/>
  <c r="W208" i="104"/>
  <c r="AC208" i="104" s="1"/>
  <c r="V208" i="104"/>
  <c r="AB208" i="104" s="1"/>
  <c r="AE207" i="104"/>
  <c r="AC207" i="104"/>
  <c r="X207" i="104"/>
  <c r="AD207" i="104" s="1"/>
  <c r="W207" i="104"/>
  <c r="V207" i="104"/>
  <c r="AB207" i="104" s="1"/>
  <c r="AE206" i="104"/>
  <c r="AD206" i="104"/>
  <c r="X206" i="104"/>
  <c r="W206" i="104"/>
  <c r="AC206" i="104" s="1"/>
  <c r="V206" i="104"/>
  <c r="AB206" i="104" s="1"/>
  <c r="AG205" i="104"/>
  <c r="AF205" i="104"/>
  <c r="AC205" i="104"/>
  <c r="X205" i="104"/>
  <c r="AD205" i="104" s="1"/>
  <c r="W205" i="104"/>
  <c r="V205" i="104"/>
  <c r="AB205" i="104" s="1"/>
  <c r="AG204" i="104"/>
  <c r="AF204" i="104"/>
  <c r="X204" i="104"/>
  <c r="AD204" i="104" s="1"/>
  <c r="W204" i="104"/>
  <c r="AC204" i="104" s="1"/>
  <c r="V204" i="104"/>
  <c r="AB204" i="104" s="1"/>
  <c r="AG203" i="104"/>
  <c r="AF203" i="104"/>
  <c r="X203" i="104"/>
  <c r="AD203" i="104" s="1"/>
  <c r="W203" i="104"/>
  <c r="AC203" i="104" s="1"/>
  <c r="V203" i="104"/>
  <c r="AB203" i="104" s="1"/>
  <c r="AG202" i="104"/>
  <c r="AF202" i="104"/>
  <c r="X202" i="104"/>
  <c r="AD202" i="104" s="1"/>
  <c r="W202" i="104"/>
  <c r="AC202" i="104" s="1"/>
  <c r="V202" i="104"/>
  <c r="AB202" i="104" s="1"/>
  <c r="AG201" i="104"/>
  <c r="AF201" i="104"/>
  <c r="AD201" i="104"/>
  <c r="X201" i="104"/>
  <c r="W201" i="104"/>
  <c r="AC201" i="104" s="1"/>
  <c r="V201" i="104"/>
  <c r="AB201" i="104" s="1"/>
  <c r="AG200" i="104"/>
  <c r="AF200" i="104"/>
  <c r="X200" i="104"/>
  <c r="AD200" i="104" s="1"/>
  <c r="W200" i="104"/>
  <c r="AC200" i="104" s="1"/>
  <c r="V200" i="104"/>
  <c r="AB200" i="104" s="1"/>
  <c r="AG199" i="104"/>
  <c r="AF199" i="104"/>
  <c r="AC199" i="104"/>
  <c r="X199" i="104"/>
  <c r="AD199" i="104" s="1"/>
  <c r="W199" i="104"/>
  <c r="V199" i="104"/>
  <c r="AB199" i="104" s="1"/>
  <c r="AG198" i="104"/>
  <c r="AF198" i="104"/>
  <c r="X198" i="104"/>
  <c r="AD198" i="104" s="1"/>
  <c r="W198" i="104"/>
  <c r="AC198" i="104" s="1"/>
  <c r="V198" i="104"/>
  <c r="AB198" i="104" s="1"/>
  <c r="AG197" i="104"/>
  <c r="AF197" i="104"/>
  <c r="X197" i="104"/>
  <c r="AD197" i="104" s="1"/>
  <c r="W197" i="104"/>
  <c r="AC197" i="104" s="1"/>
  <c r="V197" i="104"/>
  <c r="AB197" i="104" s="1"/>
  <c r="AG196" i="104"/>
  <c r="AF196" i="104"/>
  <c r="AB196" i="104"/>
  <c r="X196" i="104"/>
  <c r="AD196" i="104" s="1"/>
  <c r="W196" i="104"/>
  <c r="AC196" i="104" s="1"/>
  <c r="V196" i="104"/>
  <c r="AG195" i="104"/>
  <c r="AF195" i="104"/>
  <c r="AD195" i="104"/>
  <c r="X195" i="104"/>
  <c r="W195" i="104"/>
  <c r="AC195" i="104" s="1"/>
  <c r="V195" i="104"/>
  <c r="AB195" i="104" s="1"/>
  <c r="AG194" i="104"/>
  <c r="AF194" i="104"/>
  <c r="AB194" i="104"/>
  <c r="X194" i="104"/>
  <c r="AD194" i="104" s="1"/>
  <c r="W194" i="104"/>
  <c r="AC194" i="104" s="1"/>
  <c r="V194" i="104"/>
  <c r="AG193" i="104"/>
  <c r="AF193" i="104"/>
  <c r="AD193" i="104"/>
  <c r="X193" i="104"/>
  <c r="W193" i="104"/>
  <c r="AC193" i="104" s="1"/>
  <c r="V193" i="104"/>
  <c r="AB193" i="104" s="1"/>
  <c r="AG192" i="104"/>
  <c r="AF192" i="104"/>
  <c r="X192" i="104"/>
  <c r="AD192" i="104" s="1"/>
  <c r="W192" i="104"/>
  <c r="AC192" i="104" s="1"/>
  <c r="V192" i="104"/>
  <c r="AB192" i="104" s="1"/>
  <c r="AG191" i="104"/>
  <c r="AF191" i="104"/>
  <c r="X191" i="104"/>
  <c r="AD191" i="104" s="1"/>
  <c r="W191" i="104"/>
  <c r="AC191" i="104" s="1"/>
  <c r="V191" i="104"/>
  <c r="AB191" i="104" s="1"/>
  <c r="AG190" i="104"/>
  <c r="AF190" i="104"/>
  <c r="X190" i="104"/>
  <c r="AD190" i="104" s="1"/>
  <c r="W190" i="104"/>
  <c r="AC190" i="104" s="1"/>
  <c r="V190" i="104"/>
  <c r="AB190" i="104" s="1"/>
  <c r="AG189" i="104"/>
  <c r="AF189" i="104"/>
  <c r="X189" i="104"/>
  <c r="AD189" i="104" s="1"/>
  <c r="W189" i="104"/>
  <c r="AC189" i="104" s="1"/>
  <c r="V189" i="104"/>
  <c r="AB189" i="104" s="1"/>
  <c r="AG188" i="104"/>
  <c r="AF188" i="104"/>
  <c r="X188" i="104"/>
  <c r="AD188" i="104" s="1"/>
  <c r="W188" i="104"/>
  <c r="AC188" i="104" s="1"/>
  <c r="V188" i="104"/>
  <c r="AB188" i="104" s="1"/>
  <c r="AG187" i="104"/>
  <c r="AF187" i="104"/>
  <c r="AD187" i="104"/>
  <c r="X187" i="104"/>
  <c r="W187" i="104"/>
  <c r="AC187" i="104" s="1"/>
  <c r="V187" i="104"/>
  <c r="AB187" i="104" s="1"/>
  <c r="AG186" i="104"/>
  <c r="AF186" i="104"/>
  <c r="X186" i="104"/>
  <c r="AD186" i="104" s="1"/>
  <c r="W186" i="104"/>
  <c r="AC186" i="104" s="1"/>
  <c r="V186" i="104"/>
  <c r="AB186" i="104" s="1"/>
  <c r="AG185" i="104"/>
  <c r="AF185" i="104"/>
  <c r="X185" i="104"/>
  <c r="AD185" i="104" s="1"/>
  <c r="W185" i="104"/>
  <c r="AC185" i="104" s="1"/>
  <c r="V185" i="104"/>
  <c r="AB185" i="104" s="1"/>
  <c r="AG184" i="104"/>
  <c r="AF184" i="104"/>
  <c r="X184" i="104"/>
  <c r="AD184" i="104" s="1"/>
  <c r="W184" i="104"/>
  <c r="AC184" i="104" s="1"/>
  <c r="V184" i="104"/>
  <c r="AB184" i="104" s="1"/>
  <c r="AG183" i="104"/>
  <c r="AF183" i="104"/>
  <c r="X183" i="104"/>
  <c r="AD183" i="104" s="1"/>
  <c r="W183" i="104"/>
  <c r="AC183" i="104" s="1"/>
  <c r="V183" i="104"/>
  <c r="AB183" i="104" s="1"/>
  <c r="AG182" i="104"/>
  <c r="AF182" i="104"/>
  <c r="AD182" i="104"/>
  <c r="X182" i="104"/>
  <c r="W182" i="104"/>
  <c r="AC182" i="104" s="1"/>
  <c r="V182" i="104"/>
  <c r="AB182" i="104" s="1"/>
  <c r="AE181" i="104"/>
  <c r="X181" i="104"/>
  <c r="AD181" i="104" s="1"/>
  <c r="W181" i="104"/>
  <c r="AC181" i="104" s="1"/>
  <c r="V181" i="104"/>
  <c r="AB181" i="104" s="1"/>
  <c r="AE180" i="104"/>
  <c r="AC180" i="104"/>
  <c r="AB180" i="104"/>
  <c r="X180" i="104"/>
  <c r="AD180" i="104" s="1"/>
  <c r="W180" i="104"/>
  <c r="V180" i="104"/>
  <c r="AE179" i="104"/>
  <c r="X179" i="104"/>
  <c r="AD179" i="104" s="1"/>
  <c r="W179" i="104"/>
  <c r="AC179" i="104" s="1"/>
  <c r="V179" i="104"/>
  <c r="AB179" i="104" s="1"/>
  <c r="AE178" i="104"/>
  <c r="X178" i="104"/>
  <c r="AD178" i="104" s="1"/>
  <c r="W178" i="104"/>
  <c r="AC178" i="104" s="1"/>
  <c r="V178" i="104"/>
  <c r="AB178" i="104" s="1"/>
  <c r="AE177" i="104"/>
  <c r="X177" i="104"/>
  <c r="AD177" i="104" s="1"/>
  <c r="W177" i="104"/>
  <c r="AC177" i="104" s="1"/>
  <c r="V177" i="104"/>
  <c r="AB177" i="104" s="1"/>
  <c r="AE176" i="104"/>
  <c r="X176" i="104"/>
  <c r="AD176" i="104" s="1"/>
  <c r="W176" i="104"/>
  <c r="AC176" i="104" s="1"/>
  <c r="V176" i="104"/>
  <c r="AB176" i="104" s="1"/>
  <c r="AE175" i="104"/>
  <c r="X175" i="104"/>
  <c r="AD175" i="104" s="1"/>
  <c r="W175" i="104"/>
  <c r="AC175" i="104" s="1"/>
  <c r="V175" i="104"/>
  <c r="AB175" i="104" s="1"/>
  <c r="AE174" i="104"/>
  <c r="AD174" i="104"/>
  <c r="X174" i="104"/>
  <c r="W174" i="104"/>
  <c r="AC174" i="104" s="1"/>
  <c r="V174" i="104"/>
  <c r="AB174" i="104" s="1"/>
  <c r="AE173" i="104"/>
  <c r="AB173" i="104"/>
  <c r="X173" i="104"/>
  <c r="AD173" i="104" s="1"/>
  <c r="W173" i="104"/>
  <c r="AC173" i="104" s="1"/>
  <c r="V173" i="104"/>
  <c r="AE172" i="104"/>
  <c r="AB172" i="104"/>
  <c r="X172" i="104"/>
  <c r="AD172" i="104" s="1"/>
  <c r="W172" i="104"/>
  <c r="AC172" i="104" s="1"/>
  <c r="V172" i="104"/>
  <c r="AE171" i="104"/>
  <c r="X171" i="104"/>
  <c r="AD171" i="104" s="1"/>
  <c r="W171" i="104"/>
  <c r="AC171" i="104" s="1"/>
  <c r="V171" i="104"/>
  <c r="AB171" i="104" s="1"/>
  <c r="AE170" i="104"/>
  <c r="X170" i="104"/>
  <c r="AD170" i="104" s="1"/>
  <c r="W170" i="104"/>
  <c r="AC170" i="104" s="1"/>
  <c r="V170" i="104"/>
  <c r="AB170" i="104" s="1"/>
  <c r="AE169" i="104"/>
  <c r="X169" i="104"/>
  <c r="AD169" i="104" s="1"/>
  <c r="W169" i="104"/>
  <c r="AC169" i="104" s="1"/>
  <c r="V169" i="104"/>
  <c r="AB169" i="104" s="1"/>
  <c r="AE168" i="104"/>
  <c r="X168" i="104"/>
  <c r="AD168" i="104" s="1"/>
  <c r="W168" i="104"/>
  <c r="AC168" i="104" s="1"/>
  <c r="V168" i="104"/>
  <c r="AB168" i="104" s="1"/>
  <c r="AE167" i="104"/>
  <c r="AC167" i="104"/>
  <c r="X167" i="104"/>
  <c r="AD167" i="104" s="1"/>
  <c r="W167" i="104"/>
  <c r="V167" i="104"/>
  <c r="AB167" i="104" s="1"/>
  <c r="AE166" i="104"/>
  <c r="X166" i="104"/>
  <c r="AD166" i="104" s="1"/>
  <c r="W166" i="104"/>
  <c r="AC166" i="104" s="1"/>
  <c r="V166" i="104"/>
  <c r="AB166" i="104" s="1"/>
  <c r="AE165" i="104"/>
  <c r="X165" i="104"/>
  <c r="AD165" i="104" s="1"/>
  <c r="W165" i="104"/>
  <c r="AC165" i="104" s="1"/>
  <c r="V165" i="104"/>
  <c r="AB165" i="104" s="1"/>
  <c r="AE164" i="104"/>
  <c r="AB164" i="104"/>
  <c r="X164" i="104"/>
  <c r="AD164" i="104" s="1"/>
  <c r="W164" i="104"/>
  <c r="AC164" i="104" s="1"/>
  <c r="V164" i="104"/>
  <c r="AE163" i="104"/>
  <c r="X163" i="104"/>
  <c r="AD163" i="104" s="1"/>
  <c r="W163" i="104"/>
  <c r="AC163" i="104" s="1"/>
  <c r="V163" i="104"/>
  <c r="AB163" i="104" s="1"/>
  <c r="AE162" i="104"/>
  <c r="X162" i="104"/>
  <c r="AD162" i="104" s="1"/>
  <c r="W162" i="104"/>
  <c r="AC162" i="104" s="1"/>
  <c r="V162" i="104"/>
  <c r="AB162" i="104" s="1"/>
  <c r="AE161" i="104"/>
  <c r="X161" i="104"/>
  <c r="AD161" i="104" s="1"/>
  <c r="W161" i="104"/>
  <c r="AC161" i="104" s="1"/>
  <c r="V161" i="104"/>
  <c r="AB161" i="104" s="1"/>
  <c r="AE160" i="104"/>
  <c r="X160" i="104"/>
  <c r="AD160" i="104" s="1"/>
  <c r="W160" i="104"/>
  <c r="AC160" i="104" s="1"/>
  <c r="V160" i="104"/>
  <c r="AB160" i="104" s="1"/>
  <c r="AE159" i="104"/>
  <c r="X159" i="104"/>
  <c r="AD159" i="104" s="1"/>
  <c r="W159" i="104"/>
  <c r="AC159" i="104" s="1"/>
  <c r="V159" i="104"/>
  <c r="AB159" i="104" s="1"/>
  <c r="AE158" i="104"/>
  <c r="X158" i="104"/>
  <c r="AD158" i="104" s="1"/>
  <c r="W158" i="104"/>
  <c r="AC158" i="104" s="1"/>
  <c r="V158" i="104"/>
  <c r="AB158" i="104" s="1"/>
  <c r="AG157" i="104"/>
  <c r="AE157" i="104"/>
  <c r="X157" i="104"/>
  <c r="AD157" i="104" s="1"/>
  <c r="W157" i="104"/>
  <c r="AC157" i="104" s="1"/>
  <c r="V157" i="104"/>
  <c r="AB157" i="104" s="1"/>
  <c r="AG156" i="104"/>
  <c r="AE156" i="104"/>
  <c r="AC156" i="104"/>
  <c r="X156" i="104"/>
  <c r="AD156" i="104" s="1"/>
  <c r="W156" i="104"/>
  <c r="V156" i="104"/>
  <c r="AB156" i="104" s="1"/>
  <c r="AG155" i="104"/>
  <c r="AE155" i="104"/>
  <c r="X155" i="104"/>
  <c r="AD155" i="104" s="1"/>
  <c r="W155" i="104"/>
  <c r="AC155" i="104" s="1"/>
  <c r="V155" i="104"/>
  <c r="AB155" i="104" s="1"/>
  <c r="AG154" i="104"/>
  <c r="AE154" i="104"/>
  <c r="AD154" i="104"/>
  <c r="AC154" i="104"/>
  <c r="X154" i="104"/>
  <c r="W154" i="104"/>
  <c r="V154" i="104"/>
  <c r="AB154" i="104" s="1"/>
  <c r="AG153" i="104"/>
  <c r="AE153" i="104"/>
  <c r="X153" i="104"/>
  <c r="AD153" i="104" s="1"/>
  <c r="W153" i="104"/>
  <c r="AC153" i="104" s="1"/>
  <c r="V153" i="104"/>
  <c r="AB153" i="104" s="1"/>
  <c r="AG152" i="104"/>
  <c r="AE152" i="104"/>
  <c r="X152" i="104"/>
  <c r="AD152" i="104" s="1"/>
  <c r="W152" i="104"/>
  <c r="AC152" i="104" s="1"/>
  <c r="V152" i="104"/>
  <c r="AB152" i="104" s="1"/>
  <c r="AG151" i="104"/>
  <c r="AE151" i="104"/>
  <c r="X151" i="104"/>
  <c r="AD151" i="104" s="1"/>
  <c r="W151" i="104"/>
  <c r="AC151" i="104" s="1"/>
  <c r="V151" i="104"/>
  <c r="AB151" i="104" s="1"/>
  <c r="AG150" i="104"/>
  <c r="AE150" i="104"/>
  <c r="X150" i="104"/>
  <c r="AD150" i="104" s="1"/>
  <c r="W150" i="104"/>
  <c r="AC150" i="104" s="1"/>
  <c r="V150" i="104"/>
  <c r="AB150" i="104" s="1"/>
  <c r="AG149" i="104"/>
  <c r="AE149" i="104"/>
  <c r="AC149" i="104"/>
  <c r="X149" i="104"/>
  <c r="AD149" i="104" s="1"/>
  <c r="W149" i="104"/>
  <c r="V149" i="104"/>
  <c r="AB149" i="104" s="1"/>
  <c r="AG148" i="104"/>
  <c r="AE148" i="104"/>
  <c r="X148" i="104"/>
  <c r="AD148" i="104" s="1"/>
  <c r="W148" i="104"/>
  <c r="AC148" i="104" s="1"/>
  <c r="V148" i="104"/>
  <c r="AB148" i="104" s="1"/>
  <c r="AG147" i="104"/>
  <c r="AE147" i="104"/>
  <c r="AC147" i="104"/>
  <c r="X147" i="104"/>
  <c r="AD147" i="104" s="1"/>
  <c r="W147" i="104"/>
  <c r="V147" i="104"/>
  <c r="AB147" i="104" s="1"/>
  <c r="AG146" i="104"/>
  <c r="AE146" i="104"/>
  <c r="AD146" i="104"/>
  <c r="AB146" i="104"/>
  <c r="X146" i="104"/>
  <c r="W146" i="104"/>
  <c r="AC146" i="104" s="1"/>
  <c r="V146" i="104"/>
  <c r="AG145" i="104"/>
  <c r="AF145" i="104"/>
  <c r="X145" i="104"/>
  <c r="AD145" i="104" s="1"/>
  <c r="W145" i="104"/>
  <c r="AC145" i="104" s="1"/>
  <c r="V145" i="104"/>
  <c r="AB145" i="104" s="1"/>
  <c r="AG144" i="104"/>
  <c r="AF144" i="104"/>
  <c r="AB144" i="104"/>
  <c r="X144" i="104"/>
  <c r="AD144" i="104" s="1"/>
  <c r="W144" i="104"/>
  <c r="AC144" i="104" s="1"/>
  <c r="V144" i="104"/>
  <c r="AG143" i="104"/>
  <c r="AF143" i="104"/>
  <c r="AD143" i="104"/>
  <c r="X143" i="104"/>
  <c r="W143" i="104"/>
  <c r="AC143" i="104" s="1"/>
  <c r="V143" i="104"/>
  <c r="AB143" i="104" s="1"/>
  <c r="AG142" i="104"/>
  <c r="AF142" i="104"/>
  <c r="AB142" i="104"/>
  <c r="X142" i="104"/>
  <c r="AD142" i="104" s="1"/>
  <c r="W142" i="104"/>
  <c r="AC142" i="104" s="1"/>
  <c r="V142" i="104"/>
  <c r="AG141" i="104"/>
  <c r="AF141" i="104"/>
  <c r="AD141" i="104"/>
  <c r="X141" i="104"/>
  <c r="W141" i="104"/>
  <c r="AC141" i="104" s="1"/>
  <c r="V141" i="104"/>
  <c r="AB141" i="104" s="1"/>
  <c r="AG140" i="104"/>
  <c r="AF140" i="104"/>
  <c r="X140" i="104"/>
  <c r="AD140" i="104" s="1"/>
  <c r="W140" i="104"/>
  <c r="AC140" i="104" s="1"/>
  <c r="V140" i="104"/>
  <c r="AB140" i="104" s="1"/>
  <c r="AG139" i="104"/>
  <c r="AF139" i="104"/>
  <c r="X139" i="104"/>
  <c r="AD139" i="104" s="1"/>
  <c r="W139" i="104"/>
  <c r="AC139" i="104" s="1"/>
  <c r="V139" i="104"/>
  <c r="AB139" i="104" s="1"/>
  <c r="AG138" i="104"/>
  <c r="AF138" i="104"/>
  <c r="AD138" i="104"/>
  <c r="X138" i="104"/>
  <c r="W138" i="104"/>
  <c r="AC138" i="104" s="1"/>
  <c r="V138" i="104"/>
  <c r="AB138" i="104" s="1"/>
  <c r="AG137" i="104"/>
  <c r="AF137" i="104"/>
  <c r="X137" i="104"/>
  <c r="AD137" i="104" s="1"/>
  <c r="W137" i="104"/>
  <c r="AC137" i="104" s="1"/>
  <c r="V137" i="104"/>
  <c r="AB137" i="104" s="1"/>
  <c r="AG136" i="104"/>
  <c r="AF136" i="104"/>
  <c r="X136" i="104"/>
  <c r="AD136" i="104" s="1"/>
  <c r="W136" i="104"/>
  <c r="AC136" i="104" s="1"/>
  <c r="V136" i="104"/>
  <c r="AB136" i="104" s="1"/>
  <c r="AG135" i="104"/>
  <c r="AF135" i="104"/>
  <c r="X135" i="104"/>
  <c r="AD135" i="104" s="1"/>
  <c r="W135" i="104"/>
  <c r="AC135" i="104" s="1"/>
  <c r="V135" i="104"/>
  <c r="AB135" i="104" s="1"/>
  <c r="AG134" i="104"/>
  <c r="AF134" i="104"/>
  <c r="X134" i="104"/>
  <c r="AD134" i="104" s="1"/>
  <c r="W134" i="104"/>
  <c r="AC134" i="104" s="1"/>
  <c r="V134" i="104"/>
  <c r="AB134" i="104" s="1"/>
  <c r="AG133" i="104"/>
  <c r="AE133" i="104"/>
  <c r="X133" i="104"/>
  <c r="AD133" i="104" s="1"/>
  <c r="W133" i="104"/>
  <c r="AC133" i="104" s="1"/>
  <c r="V133" i="104"/>
  <c r="AB133" i="104" s="1"/>
  <c r="AG132" i="104"/>
  <c r="AE132" i="104"/>
  <c r="X132" i="104"/>
  <c r="AD132" i="104" s="1"/>
  <c r="W132" i="104"/>
  <c r="AC132" i="104" s="1"/>
  <c r="V132" i="104"/>
  <c r="AB132" i="104" s="1"/>
  <c r="AG131" i="104"/>
  <c r="AE131" i="104"/>
  <c r="X131" i="104"/>
  <c r="AD131" i="104" s="1"/>
  <c r="W131" i="104"/>
  <c r="AC131" i="104" s="1"/>
  <c r="V131" i="104"/>
  <c r="AB131" i="104" s="1"/>
  <c r="AG130" i="104"/>
  <c r="AE130" i="104"/>
  <c r="AB130" i="104"/>
  <c r="X130" i="104"/>
  <c r="AD130" i="104" s="1"/>
  <c r="W130" i="104"/>
  <c r="AC130" i="104" s="1"/>
  <c r="V130" i="104"/>
  <c r="AG129" i="104"/>
  <c r="AE129" i="104"/>
  <c r="X129" i="104"/>
  <c r="AD129" i="104" s="1"/>
  <c r="W129" i="104"/>
  <c r="AC129" i="104" s="1"/>
  <c r="V129" i="104"/>
  <c r="AB129" i="104" s="1"/>
  <c r="AG128" i="104"/>
  <c r="AE128" i="104"/>
  <c r="X128" i="104"/>
  <c r="AD128" i="104" s="1"/>
  <c r="W128" i="104"/>
  <c r="AC128" i="104" s="1"/>
  <c r="V128" i="104"/>
  <c r="AB128" i="104" s="1"/>
  <c r="AG127" i="104"/>
  <c r="AE127" i="104"/>
  <c r="AC127" i="104"/>
  <c r="X127" i="104"/>
  <c r="AD127" i="104" s="1"/>
  <c r="W127" i="104"/>
  <c r="V127" i="104"/>
  <c r="AB127" i="104" s="1"/>
  <c r="AG126" i="104"/>
  <c r="AE126" i="104"/>
  <c r="X126" i="104"/>
  <c r="AD126" i="104" s="1"/>
  <c r="W126" i="104"/>
  <c r="AC126" i="104" s="1"/>
  <c r="V126" i="104"/>
  <c r="AB126" i="104" s="1"/>
  <c r="AG125" i="104"/>
  <c r="AE125" i="104"/>
  <c r="X125" i="104"/>
  <c r="AD125" i="104" s="1"/>
  <c r="W125" i="104"/>
  <c r="AC125" i="104" s="1"/>
  <c r="V125" i="104"/>
  <c r="AB125" i="104" s="1"/>
  <c r="AG124" i="104"/>
  <c r="AE124" i="104"/>
  <c r="X124" i="104"/>
  <c r="AD124" i="104" s="1"/>
  <c r="W124" i="104"/>
  <c r="AC124" i="104" s="1"/>
  <c r="V124" i="104"/>
  <c r="AB124" i="104" s="1"/>
  <c r="AG123" i="104"/>
  <c r="AE123" i="104"/>
  <c r="X123" i="104"/>
  <c r="AD123" i="104" s="1"/>
  <c r="W123" i="104"/>
  <c r="AC123" i="104" s="1"/>
  <c r="V123" i="104"/>
  <c r="AB123" i="104" s="1"/>
  <c r="AG122" i="104"/>
  <c r="AE122" i="104"/>
  <c r="AB122" i="104"/>
  <c r="X122" i="104"/>
  <c r="AD122" i="104" s="1"/>
  <c r="W122" i="104"/>
  <c r="AC122" i="104" s="1"/>
  <c r="V122" i="104"/>
  <c r="AE121" i="104"/>
  <c r="AD121" i="104"/>
  <c r="X121" i="104"/>
  <c r="W121" i="104"/>
  <c r="AC121" i="104" s="1"/>
  <c r="V121" i="104"/>
  <c r="AB121" i="104" s="1"/>
  <c r="AE120" i="104"/>
  <c r="X120" i="104"/>
  <c r="AD120" i="104" s="1"/>
  <c r="W120" i="104"/>
  <c r="AC120" i="104" s="1"/>
  <c r="V120" i="104"/>
  <c r="AB120" i="104" s="1"/>
  <c r="AE119" i="104"/>
  <c r="X119" i="104"/>
  <c r="AD119" i="104" s="1"/>
  <c r="W119" i="104"/>
  <c r="AC119" i="104" s="1"/>
  <c r="V119" i="104"/>
  <c r="AB119" i="104" s="1"/>
  <c r="AE118" i="104"/>
  <c r="X118" i="104"/>
  <c r="AD118" i="104" s="1"/>
  <c r="W118" i="104"/>
  <c r="AC118" i="104" s="1"/>
  <c r="V118" i="104"/>
  <c r="AB118" i="104" s="1"/>
  <c r="AE117" i="104"/>
  <c r="X117" i="104"/>
  <c r="AD117" i="104" s="1"/>
  <c r="W117" i="104"/>
  <c r="AC117" i="104" s="1"/>
  <c r="V117" i="104"/>
  <c r="AB117" i="104" s="1"/>
  <c r="AE116" i="104"/>
  <c r="AB116" i="104"/>
  <c r="X116" i="104"/>
  <c r="AD116" i="104" s="1"/>
  <c r="W116" i="104"/>
  <c r="AC116" i="104" s="1"/>
  <c r="V116" i="104"/>
  <c r="AE115" i="104"/>
  <c r="X115" i="104"/>
  <c r="AD115" i="104" s="1"/>
  <c r="W115" i="104"/>
  <c r="AC115" i="104" s="1"/>
  <c r="V115" i="104"/>
  <c r="AB115" i="104" s="1"/>
  <c r="AE114" i="104"/>
  <c r="AC114" i="104"/>
  <c r="X114" i="104"/>
  <c r="AD114" i="104" s="1"/>
  <c r="W114" i="104"/>
  <c r="V114" i="104"/>
  <c r="AB114" i="104" s="1"/>
  <c r="AE113" i="104"/>
  <c r="X113" i="104"/>
  <c r="AD113" i="104" s="1"/>
  <c r="W113" i="104"/>
  <c r="AC113" i="104" s="1"/>
  <c r="V113" i="104"/>
  <c r="AB113" i="104" s="1"/>
  <c r="AE112" i="104"/>
  <c r="X112" i="104"/>
  <c r="AD112" i="104" s="1"/>
  <c r="W112" i="104"/>
  <c r="AC112" i="104" s="1"/>
  <c r="V112" i="104"/>
  <c r="AB112" i="104" s="1"/>
  <c r="AE111" i="104"/>
  <c r="X111" i="104"/>
  <c r="AD111" i="104" s="1"/>
  <c r="W111" i="104"/>
  <c r="AC111" i="104" s="1"/>
  <c r="V111" i="104"/>
  <c r="AB111" i="104" s="1"/>
  <c r="AE110" i="104"/>
  <c r="AD110" i="104"/>
  <c r="X110" i="104"/>
  <c r="W110" i="104"/>
  <c r="AC110" i="104" s="1"/>
  <c r="V110" i="104"/>
  <c r="AB110" i="104" s="1"/>
  <c r="AE109" i="104"/>
  <c r="X109" i="104"/>
  <c r="AD109" i="104" s="1"/>
  <c r="W109" i="104"/>
  <c r="AC109" i="104" s="1"/>
  <c r="V109" i="104"/>
  <c r="AB109" i="104" s="1"/>
  <c r="AE108" i="104"/>
  <c r="AC108" i="104"/>
  <c r="X108" i="104"/>
  <c r="AD108" i="104" s="1"/>
  <c r="W108" i="104"/>
  <c r="V108" i="104"/>
  <c r="AB108" i="104" s="1"/>
  <c r="AE107" i="104"/>
  <c r="X107" i="104"/>
  <c r="AD107" i="104" s="1"/>
  <c r="W107" i="104"/>
  <c r="AC107" i="104" s="1"/>
  <c r="V107" i="104"/>
  <c r="AB107" i="104" s="1"/>
  <c r="AE106" i="104"/>
  <c r="X106" i="104"/>
  <c r="AD106" i="104" s="1"/>
  <c r="W106" i="104"/>
  <c r="AC106" i="104" s="1"/>
  <c r="V106" i="104"/>
  <c r="AB106" i="104" s="1"/>
  <c r="AE105" i="104"/>
  <c r="X105" i="104"/>
  <c r="AD105" i="104" s="1"/>
  <c r="W105" i="104"/>
  <c r="AC105" i="104" s="1"/>
  <c r="V105" i="104"/>
  <c r="AB105" i="104" s="1"/>
  <c r="AE104" i="104"/>
  <c r="X104" i="104"/>
  <c r="AD104" i="104" s="1"/>
  <c r="W104" i="104"/>
  <c r="AC104" i="104" s="1"/>
  <c r="V104" i="104"/>
  <c r="AB104" i="104" s="1"/>
  <c r="AE103" i="104"/>
  <c r="X103" i="104"/>
  <c r="AD103" i="104" s="1"/>
  <c r="W103" i="104"/>
  <c r="AC103" i="104" s="1"/>
  <c r="V103" i="104"/>
  <c r="AB103" i="104" s="1"/>
  <c r="AE102" i="104"/>
  <c r="AB102" i="104"/>
  <c r="X102" i="104"/>
  <c r="AD102" i="104" s="1"/>
  <c r="W102" i="104"/>
  <c r="AC102" i="104" s="1"/>
  <c r="V102" i="104"/>
  <c r="AG101" i="104"/>
  <c r="AF101" i="104"/>
  <c r="X101" i="104"/>
  <c r="AD101" i="104" s="1"/>
  <c r="W101" i="104"/>
  <c r="AC101" i="104" s="1"/>
  <c r="V101" i="104"/>
  <c r="AB101" i="104" s="1"/>
  <c r="AG100" i="104"/>
  <c r="AF100" i="104"/>
  <c r="AB100" i="104"/>
  <c r="X100" i="104"/>
  <c r="AD100" i="104" s="1"/>
  <c r="W100" i="104"/>
  <c r="AC100" i="104" s="1"/>
  <c r="V100" i="104"/>
  <c r="AG99" i="104"/>
  <c r="AF99" i="104"/>
  <c r="X99" i="104"/>
  <c r="AD99" i="104" s="1"/>
  <c r="W99" i="104"/>
  <c r="AC99" i="104" s="1"/>
  <c r="V99" i="104"/>
  <c r="AB99" i="104" s="1"/>
  <c r="AG98" i="104"/>
  <c r="AF98" i="104"/>
  <c r="AC98" i="104"/>
  <c r="AB98" i="104"/>
  <c r="X98" i="104"/>
  <c r="AD98" i="104" s="1"/>
  <c r="W98" i="104"/>
  <c r="V98" i="104"/>
  <c r="AG97" i="104"/>
  <c r="AF97" i="104"/>
  <c r="X97" i="104"/>
  <c r="AD97" i="104" s="1"/>
  <c r="W97" i="104"/>
  <c r="AC97" i="104" s="1"/>
  <c r="V97" i="104"/>
  <c r="AB97" i="104" s="1"/>
  <c r="AG96" i="104"/>
  <c r="AF96" i="104"/>
  <c r="X96" i="104"/>
  <c r="AD96" i="104" s="1"/>
  <c r="W96" i="104"/>
  <c r="AC96" i="104" s="1"/>
  <c r="V96" i="104"/>
  <c r="AB96" i="104" s="1"/>
  <c r="AG95" i="104"/>
  <c r="AF95" i="104"/>
  <c r="AD95" i="104"/>
  <c r="X95" i="104"/>
  <c r="W95" i="104"/>
  <c r="AC95" i="104" s="1"/>
  <c r="V95" i="104"/>
  <c r="AB95" i="104" s="1"/>
  <c r="AG94" i="104"/>
  <c r="AF94" i="104"/>
  <c r="X94" i="104"/>
  <c r="AD94" i="104" s="1"/>
  <c r="W94" i="104"/>
  <c r="AC94" i="104" s="1"/>
  <c r="V94" i="104"/>
  <c r="AB94" i="104" s="1"/>
  <c r="AG93" i="104"/>
  <c r="AF93" i="104"/>
  <c r="X93" i="104"/>
  <c r="AD93" i="104" s="1"/>
  <c r="W93" i="104"/>
  <c r="AC93" i="104" s="1"/>
  <c r="V93" i="104"/>
  <c r="AB93" i="104" s="1"/>
  <c r="AG92" i="104"/>
  <c r="AF92" i="104"/>
  <c r="X92" i="104"/>
  <c r="AD92" i="104" s="1"/>
  <c r="W92" i="104"/>
  <c r="AC92" i="104" s="1"/>
  <c r="V92" i="104"/>
  <c r="AB92" i="104" s="1"/>
  <c r="AG91" i="104"/>
  <c r="AF91" i="104"/>
  <c r="AD91" i="104"/>
  <c r="X91" i="104"/>
  <c r="W91" i="104"/>
  <c r="AC91" i="104" s="1"/>
  <c r="V91" i="104"/>
  <c r="AB91" i="104" s="1"/>
  <c r="AG90" i="104"/>
  <c r="AF90" i="104"/>
  <c r="X90" i="104"/>
  <c r="AD90" i="104" s="1"/>
  <c r="W90" i="104"/>
  <c r="AC90" i="104" s="1"/>
  <c r="V90" i="104"/>
  <c r="AB90" i="104" s="1"/>
  <c r="AG89" i="104"/>
  <c r="AF89" i="104"/>
  <c r="AD89" i="104"/>
  <c r="X89" i="104"/>
  <c r="W89" i="104"/>
  <c r="AC89" i="104" s="1"/>
  <c r="V89" i="104"/>
  <c r="AB89" i="104" s="1"/>
  <c r="AG88" i="104"/>
  <c r="AF88" i="104"/>
  <c r="X88" i="104"/>
  <c r="AD88" i="104" s="1"/>
  <c r="W88" i="104"/>
  <c r="AC88" i="104" s="1"/>
  <c r="V88" i="104"/>
  <c r="AB88" i="104" s="1"/>
  <c r="AG87" i="104"/>
  <c r="AF87" i="104"/>
  <c r="X87" i="104"/>
  <c r="AD87" i="104" s="1"/>
  <c r="W87" i="104"/>
  <c r="AC87" i="104" s="1"/>
  <c r="V87" i="104"/>
  <c r="AB87" i="104" s="1"/>
  <c r="AG86" i="104"/>
  <c r="AF86" i="104"/>
  <c r="AB86" i="104"/>
  <c r="X86" i="104"/>
  <c r="AD86" i="104" s="1"/>
  <c r="W86" i="104"/>
  <c r="AC86" i="104" s="1"/>
  <c r="V86" i="104"/>
  <c r="AG85" i="104"/>
  <c r="AF85" i="104"/>
  <c r="X85" i="104"/>
  <c r="AD85" i="104" s="1"/>
  <c r="W85" i="104"/>
  <c r="AC85" i="104" s="1"/>
  <c r="V85" i="104"/>
  <c r="AB85" i="104" s="1"/>
  <c r="AG84" i="104"/>
  <c r="AF84" i="104"/>
  <c r="AB84" i="104"/>
  <c r="X84" i="104"/>
  <c r="AD84" i="104" s="1"/>
  <c r="W84" i="104"/>
  <c r="AC84" i="104" s="1"/>
  <c r="V84" i="104"/>
  <c r="AG83" i="104"/>
  <c r="AF83" i="104"/>
  <c r="X83" i="104"/>
  <c r="AD83" i="104" s="1"/>
  <c r="W83" i="104"/>
  <c r="AC83" i="104" s="1"/>
  <c r="V83" i="104"/>
  <c r="AB83" i="104" s="1"/>
  <c r="AG82" i="104"/>
  <c r="AF82" i="104"/>
  <c r="AC82" i="104"/>
  <c r="X82" i="104"/>
  <c r="AD82" i="104" s="1"/>
  <c r="W82" i="104"/>
  <c r="V82" i="104"/>
  <c r="AB82" i="104" s="1"/>
  <c r="AE81" i="104"/>
  <c r="X81" i="104"/>
  <c r="AD81" i="104" s="1"/>
  <c r="W81" i="104"/>
  <c r="AC81" i="104" s="1"/>
  <c r="V81" i="104"/>
  <c r="AB81" i="104" s="1"/>
  <c r="AE80" i="104"/>
  <c r="X80" i="104"/>
  <c r="AD80" i="104" s="1"/>
  <c r="W80" i="104"/>
  <c r="AC80" i="104" s="1"/>
  <c r="V80" i="104"/>
  <c r="AB80" i="104" s="1"/>
  <c r="AE79" i="104"/>
  <c r="X79" i="104"/>
  <c r="AD79" i="104" s="1"/>
  <c r="W79" i="104"/>
  <c r="AC79" i="104" s="1"/>
  <c r="V79" i="104"/>
  <c r="AB79" i="104" s="1"/>
  <c r="AE78" i="104"/>
  <c r="AB78" i="104"/>
  <c r="X78" i="104"/>
  <c r="AD78" i="104" s="1"/>
  <c r="W78" i="104"/>
  <c r="AC78" i="104" s="1"/>
  <c r="V78" i="104"/>
  <c r="AE77" i="104"/>
  <c r="X77" i="104"/>
  <c r="AD77" i="104" s="1"/>
  <c r="W77" i="104"/>
  <c r="AC77" i="104" s="1"/>
  <c r="V77" i="104"/>
  <c r="AB77" i="104" s="1"/>
  <c r="AE76" i="104"/>
  <c r="X76" i="104"/>
  <c r="AD76" i="104" s="1"/>
  <c r="W76" i="104"/>
  <c r="AC76" i="104" s="1"/>
  <c r="V76" i="104"/>
  <c r="AB76" i="104" s="1"/>
  <c r="AE75" i="104"/>
  <c r="X75" i="104"/>
  <c r="AD75" i="104" s="1"/>
  <c r="W75" i="104"/>
  <c r="AC75" i="104" s="1"/>
  <c r="V75" i="104"/>
  <c r="AB75" i="104" s="1"/>
  <c r="AE74" i="104"/>
  <c r="X74" i="104"/>
  <c r="AD74" i="104" s="1"/>
  <c r="W74" i="104"/>
  <c r="AC74" i="104" s="1"/>
  <c r="V74" i="104"/>
  <c r="AB74" i="104" s="1"/>
  <c r="AE73" i="104"/>
  <c r="X73" i="104"/>
  <c r="AD73" i="104" s="1"/>
  <c r="W73" i="104"/>
  <c r="AC73" i="104" s="1"/>
  <c r="V73" i="104"/>
  <c r="AB73" i="104" s="1"/>
  <c r="AE72" i="104"/>
  <c r="X72" i="104"/>
  <c r="AD72" i="104" s="1"/>
  <c r="W72" i="104"/>
  <c r="AC72" i="104" s="1"/>
  <c r="V72" i="104"/>
  <c r="AB72" i="104" s="1"/>
  <c r="AE71" i="104"/>
  <c r="X71" i="104"/>
  <c r="AD71" i="104" s="1"/>
  <c r="W71" i="104"/>
  <c r="AC71" i="104" s="1"/>
  <c r="V71" i="104"/>
  <c r="AB71" i="104" s="1"/>
  <c r="AE70" i="104"/>
  <c r="X70" i="104"/>
  <c r="AD70" i="104" s="1"/>
  <c r="W70" i="104"/>
  <c r="AC70" i="104" s="1"/>
  <c r="V70" i="104"/>
  <c r="AB70" i="104" s="1"/>
  <c r="AE69" i="104"/>
  <c r="X69" i="104"/>
  <c r="AD69" i="104" s="1"/>
  <c r="W69" i="104"/>
  <c r="AC69" i="104" s="1"/>
  <c r="V69" i="104"/>
  <c r="AB69" i="104" s="1"/>
  <c r="AE68" i="104"/>
  <c r="X68" i="104"/>
  <c r="AD68" i="104" s="1"/>
  <c r="W68" i="104"/>
  <c r="AC68" i="104" s="1"/>
  <c r="V68" i="104"/>
  <c r="AB68" i="104" s="1"/>
  <c r="AE67" i="104"/>
  <c r="AD67" i="104"/>
  <c r="X67" i="104"/>
  <c r="W67" i="104"/>
  <c r="AC67" i="104" s="1"/>
  <c r="V67" i="104"/>
  <c r="AB67" i="104" s="1"/>
  <c r="AE66" i="104"/>
  <c r="AB66" i="104"/>
  <c r="X66" i="104"/>
  <c r="AD66" i="104" s="1"/>
  <c r="W66" i="104"/>
  <c r="AC66" i="104" s="1"/>
  <c r="V66" i="104"/>
  <c r="AE65" i="104"/>
  <c r="X65" i="104"/>
  <c r="AD65" i="104" s="1"/>
  <c r="W65" i="104"/>
  <c r="AC65" i="104" s="1"/>
  <c r="V65" i="104"/>
  <c r="AB65" i="104" s="1"/>
  <c r="AE64" i="104"/>
  <c r="X64" i="104"/>
  <c r="AD64" i="104" s="1"/>
  <c r="W64" i="104"/>
  <c r="AC64" i="104" s="1"/>
  <c r="V64" i="104"/>
  <c r="AB64" i="104" s="1"/>
  <c r="AE63" i="104"/>
  <c r="AD63" i="104"/>
  <c r="X63" i="104"/>
  <c r="W63" i="104"/>
  <c r="AC63" i="104" s="1"/>
  <c r="V63" i="104"/>
  <c r="AB63" i="104" s="1"/>
  <c r="AE62" i="104"/>
  <c r="X62" i="104"/>
  <c r="AD62" i="104" s="1"/>
  <c r="W62" i="104"/>
  <c r="AC62" i="104" s="1"/>
  <c r="V62" i="104"/>
  <c r="AB62" i="104" s="1"/>
  <c r="X61" i="104"/>
  <c r="AD61" i="104" s="1"/>
  <c r="W61" i="104"/>
  <c r="AC61" i="104" s="1"/>
  <c r="V61" i="104"/>
  <c r="AB61" i="104" s="1"/>
  <c r="X60" i="104"/>
  <c r="AD60" i="104" s="1"/>
  <c r="W60" i="104"/>
  <c r="AC60" i="104" s="1"/>
  <c r="V60" i="104"/>
  <c r="AB60" i="104" s="1"/>
  <c r="AC59" i="104"/>
  <c r="X59" i="104"/>
  <c r="AD59" i="104" s="1"/>
  <c r="W59" i="104"/>
  <c r="V59" i="104"/>
  <c r="AB59" i="104" s="1"/>
  <c r="AB58" i="104"/>
  <c r="X58" i="104"/>
  <c r="AD58" i="104" s="1"/>
  <c r="W58" i="104"/>
  <c r="AC58" i="104" s="1"/>
  <c r="V58" i="104"/>
  <c r="AD57" i="104"/>
  <c r="AC57" i="104"/>
  <c r="X57" i="104"/>
  <c r="W57" i="104"/>
  <c r="V57" i="104"/>
  <c r="AB57" i="104" s="1"/>
  <c r="X56" i="104"/>
  <c r="AD56" i="104" s="1"/>
  <c r="W56" i="104"/>
  <c r="AC56" i="104" s="1"/>
  <c r="V56" i="104"/>
  <c r="AB56" i="104" s="1"/>
  <c r="X55" i="104"/>
  <c r="AD55" i="104" s="1"/>
  <c r="W55" i="104"/>
  <c r="AC55" i="104" s="1"/>
  <c r="V55" i="104"/>
  <c r="AB55" i="104" s="1"/>
  <c r="X54" i="104"/>
  <c r="AD54" i="104" s="1"/>
  <c r="W54" i="104"/>
  <c r="AC54" i="104" s="1"/>
  <c r="V54" i="104"/>
  <c r="AB54" i="104" s="1"/>
  <c r="X53" i="104"/>
  <c r="AD53" i="104" s="1"/>
  <c r="W53" i="104"/>
  <c r="AC53" i="104" s="1"/>
  <c r="V53" i="104"/>
  <c r="AB53" i="104" s="1"/>
  <c r="X52" i="104"/>
  <c r="AD52" i="104" s="1"/>
  <c r="W52" i="104"/>
  <c r="AC52" i="104" s="1"/>
  <c r="V52" i="104"/>
  <c r="AB52" i="104" s="1"/>
  <c r="X51" i="104"/>
  <c r="AD51" i="104" s="1"/>
  <c r="W51" i="104"/>
  <c r="AC51" i="104" s="1"/>
  <c r="V51" i="104"/>
  <c r="AB51" i="104" s="1"/>
  <c r="AB50" i="104"/>
  <c r="X50" i="104"/>
  <c r="AD50" i="104" s="1"/>
  <c r="W50" i="104"/>
  <c r="AC50" i="104" s="1"/>
  <c r="V50" i="104"/>
  <c r="X49" i="104"/>
  <c r="AD49" i="104" s="1"/>
  <c r="W49" i="104"/>
  <c r="AC49" i="104" s="1"/>
  <c r="V49" i="104"/>
  <c r="AB49" i="104" s="1"/>
  <c r="AB48" i="104"/>
  <c r="X48" i="104"/>
  <c r="AD48" i="104" s="1"/>
  <c r="W48" i="104"/>
  <c r="AC48" i="104" s="1"/>
  <c r="V48" i="104"/>
  <c r="X47" i="104"/>
  <c r="AD47" i="104" s="1"/>
  <c r="W47" i="104"/>
  <c r="AC47" i="104" s="1"/>
  <c r="V47" i="104"/>
  <c r="AB47" i="104" s="1"/>
  <c r="X46" i="104"/>
  <c r="AD46" i="104" s="1"/>
  <c r="W46" i="104"/>
  <c r="AC46" i="104" s="1"/>
  <c r="V46" i="104"/>
  <c r="AB46" i="104" s="1"/>
  <c r="AD45" i="104"/>
  <c r="X45" i="104"/>
  <c r="W45" i="104"/>
  <c r="AC45" i="104" s="1"/>
  <c r="V45" i="104"/>
  <c r="AB45" i="104" s="1"/>
  <c r="X44" i="104"/>
  <c r="AD44" i="104" s="1"/>
  <c r="W44" i="104"/>
  <c r="AC44" i="104" s="1"/>
  <c r="V44" i="104"/>
  <c r="AB44" i="104" s="1"/>
  <c r="X43" i="104"/>
  <c r="AD43" i="104" s="1"/>
  <c r="W43" i="104"/>
  <c r="AC43" i="104" s="1"/>
  <c r="V43" i="104"/>
  <c r="AB43" i="104" s="1"/>
  <c r="X42" i="104"/>
  <c r="AD42" i="104" s="1"/>
  <c r="W42" i="104"/>
  <c r="AC42" i="104" s="1"/>
  <c r="V42" i="104"/>
  <c r="AB42" i="104" s="1"/>
  <c r="X41" i="104"/>
  <c r="AD41" i="104" s="1"/>
  <c r="W41" i="104"/>
  <c r="AC41" i="104" s="1"/>
  <c r="V41" i="104"/>
  <c r="AB41" i="104" s="1"/>
  <c r="X40" i="104"/>
  <c r="AD40" i="104" s="1"/>
  <c r="W40" i="104"/>
  <c r="AC40" i="104" s="1"/>
  <c r="V40" i="104"/>
  <c r="AB40" i="104" s="1"/>
  <c r="X39" i="104"/>
  <c r="AD39" i="104" s="1"/>
  <c r="W39" i="104"/>
  <c r="AC39" i="104" s="1"/>
  <c r="V39" i="104"/>
  <c r="AB39" i="104" s="1"/>
  <c r="X38" i="104"/>
  <c r="AD38" i="104" s="1"/>
  <c r="W38" i="104"/>
  <c r="AC38" i="104" s="1"/>
  <c r="V38" i="104"/>
  <c r="AB38" i="104" s="1"/>
  <c r="AG37" i="104"/>
  <c r="X37" i="104"/>
  <c r="AD37" i="104" s="1"/>
  <c r="W37" i="104"/>
  <c r="AC37" i="104" s="1"/>
  <c r="V37" i="104"/>
  <c r="AB37" i="104" s="1"/>
  <c r="AG36" i="104"/>
  <c r="X36" i="104"/>
  <c r="AD36" i="104" s="1"/>
  <c r="W36" i="104"/>
  <c r="AC36" i="104" s="1"/>
  <c r="V36" i="104"/>
  <c r="AB36" i="104" s="1"/>
  <c r="AG35" i="104"/>
  <c r="X35" i="104"/>
  <c r="AD35" i="104" s="1"/>
  <c r="W35" i="104"/>
  <c r="AC35" i="104" s="1"/>
  <c r="V35" i="104"/>
  <c r="AB35" i="104" s="1"/>
  <c r="AG34" i="104"/>
  <c r="AB34" i="104"/>
  <c r="X34" i="104"/>
  <c r="AD34" i="104" s="1"/>
  <c r="W34" i="104"/>
  <c r="AC34" i="104" s="1"/>
  <c r="V34" i="104"/>
  <c r="AG33" i="104"/>
  <c r="X33" i="104"/>
  <c r="AD33" i="104" s="1"/>
  <c r="W33" i="104"/>
  <c r="AC33" i="104" s="1"/>
  <c r="V33" i="104"/>
  <c r="AB33" i="104" s="1"/>
  <c r="AG32" i="104"/>
  <c r="X32" i="104"/>
  <c r="AD32" i="104" s="1"/>
  <c r="W32" i="104"/>
  <c r="AC32" i="104" s="1"/>
  <c r="V32" i="104"/>
  <c r="AB32" i="104" s="1"/>
  <c r="AG31" i="104"/>
  <c r="X31" i="104"/>
  <c r="AD31" i="104" s="1"/>
  <c r="W31" i="104"/>
  <c r="AC31" i="104" s="1"/>
  <c r="V31" i="104"/>
  <c r="AB31" i="104" s="1"/>
  <c r="AG30" i="104"/>
  <c r="AB30" i="104"/>
  <c r="X30" i="104"/>
  <c r="AD30" i="104" s="1"/>
  <c r="W30" i="104"/>
  <c r="AC30" i="104" s="1"/>
  <c r="V30" i="104"/>
  <c r="AG29" i="104"/>
  <c r="AC29" i="104"/>
  <c r="AB29" i="104"/>
  <c r="X29" i="104"/>
  <c r="AD29" i="104" s="1"/>
  <c r="W29" i="104"/>
  <c r="V29" i="104"/>
  <c r="AG28" i="104"/>
  <c r="X28" i="104"/>
  <c r="AD28" i="104" s="1"/>
  <c r="W28" i="104"/>
  <c r="AC28" i="104" s="1"/>
  <c r="V28" i="104"/>
  <c r="AB28" i="104" s="1"/>
  <c r="AG27" i="104"/>
  <c r="X27" i="104"/>
  <c r="AD27" i="104" s="1"/>
  <c r="W27" i="104"/>
  <c r="AC27" i="104" s="1"/>
  <c r="V27" i="104"/>
  <c r="AB27" i="104" s="1"/>
  <c r="AG26" i="104"/>
  <c r="X26" i="104"/>
  <c r="AD26" i="104" s="1"/>
  <c r="W26" i="104"/>
  <c r="AC26" i="104" s="1"/>
  <c r="V26" i="104"/>
  <c r="AB26" i="104" s="1"/>
  <c r="AG25" i="104"/>
  <c r="AE25" i="104"/>
  <c r="X25" i="104"/>
  <c r="AD25" i="104" s="1"/>
  <c r="W25" i="104"/>
  <c r="AC25" i="104" s="1"/>
  <c r="V25" i="104"/>
  <c r="AB25" i="104" s="1"/>
  <c r="AG24" i="104"/>
  <c r="AE24" i="104"/>
  <c r="X24" i="104"/>
  <c r="AD24" i="104" s="1"/>
  <c r="W24" i="104"/>
  <c r="AC24" i="104" s="1"/>
  <c r="V24" i="104"/>
  <c r="AB24" i="104" s="1"/>
  <c r="AG23" i="104"/>
  <c r="AE23" i="104"/>
  <c r="X23" i="104"/>
  <c r="AD23" i="104" s="1"/>
  <c r="W23" i="104"/>
  <c r="AC23" i="104" s="1"/>
  <c r="V23" i="104"/>
  <c r="AB23" i="104" s="1"/>
  <c r="AG22" i="104"/>
  <c r="AE22" i="104"/>
  <c r="X22" i="104"/>
  <c r="AD22" i="104" s="1"/>
  <c r="W22" i="104"/>
  <c r="AC22" i="104" s="1"/>
  <c r="V22" i="104"/>
  <c r="AB22" i="104" s="1"/>
  <c r="AG21" i="104"/>
  <c r="AE21" i="104"/>
  <c r="X21" i="104"/>
  <c r="AD21" i="104" s="1"/>
  <c r="W21" i="104"/>
  <c r="AC21" i="104" s="1"/>
  <c r="V21" i="104"/>
  <c r="AB21" i="104" s="1"/>
  <c r="AG20" i="104"/>
  <c r="AE20" i="104"/>
  <c r="X20" i="104"/>
  <c r="AD20" i="104" s="1"/>
  <c r="W20" i="104"/>
  <c r="AC20" i="104" s="1"/>
  <c r="V20" i="104"/>
  <c r="AB20" i="104" s="1"/>
  <c r="AG19" i="104"/>
  <c r="AE19" i="104"/>
  <c r="X19" i="104"/>
  <c r="AD19" i="104" s="1"/>
  <c r="W19" i="104"/>
  <c r="AC19" i="104" s="1"/>
  <c r="V19" i="104"/>
  <c r="AB19" i="104" s="1"/>
  <c r="AG18" i="104"/>
  <c r="AE18" i="104"/>
  <c r="X18" i="104"/>
  <c r="AD18" i="104" s="1"/>
  <c r="W18" i="104"/>
  <c r="AC18" i="104" s="1"/>
  <c r="V18" i="104"/>
  <c r="AB18" i="104" s="1"/>
  <c r="AG17" i="104"/>
  <c r="AE17" i="104"/>
  <c r="X17" i="104"/>
  <c r="AD17" i="104" s="1"/>
  <c r="W17" i="104"/>
  <c r="AC17" i="104" s="1"/>
  <c r="V17" i="104"/>
  <c r="AB17" i="104" s="1"/>
  <c r="AG16" i="104"/>
  <c r="AE16" i="104"/>
  <c r="AB16" i="104"/>
  <c r="X16" i="104"/>
  <c r="AD16" i="104" s="1"/>
  <c r="W16" i="104"/>
  <c r="AC16" i="104" s="1"/>
  <c r="V16" i="104"/>
  <c r="AG15" i="104"/>
  <c r="AE15" i="104"/>
  <c r="X15" i="104"/>
  <c r="AD15" i="104" s="1"/>
  <c r="W15" i="104"/>
  <c r="AC15" i="104" s="1"/>
  <c r="V15" i="104"/>
  <c r="AB15" i="104" s="1"/>
  <c r="AG14" i="104"/>
  <c r="AE14" i="104"/>
  <c r="AB14" i="104"/>
  <c r="X14" i="104"/>
  <c r="AD14" i="104" s="1"/>
  <c r="W14" i="104"/>
  <c r="AC14" i="104" s="1"/>
  <c r="V14" i="104"/>
  <c r="AG13" i="104"/>
  <c r="X13" i="104"/>
  <c r="AD13" i="104" s="1"/>
  <c r="W13" i="104"/>
  <c r="AC13" i="104" s="1"/>
  <c r="V13" i="104"/>
  <c r="AB13" i="104" s="1"/>
  <c r="AG12" i="104"/>
  <c r="X12" i="104"/>
  <c r="AD12" i="104" s="1"/>
  <c r="W12" i="104"/>
  <c r="AC12" i="104" s="1"/>
  <c r="V12" i="104"/>
  <c r="AB12" i="104" s="1"/>
  <c r="AG11" i="104"/>
  <c r="AD11" i="104"/>
  <c r="X11" i="104"/>
  <c r="W11" i="104"/>
  <c r="AC11" i="104" s="1"/>
  <c r="V11" i="104"/>
  <c r="AB11" i="104" s="1"/>
  <c r="AG10" i="104"/>
  <c r="X10" i="104"/>
  <c r="AD10" i="104" s="1"/>
  <c r="W10" i="104"/>
  <c r="AC10" i="104" s="1"/>
  <c r="V10" i="104"/>
  <c r="AB10" i="104" s="1"/>
  <c r="AG9" i="104"/>
  <c r="X9" i="104"/>
  <c r="AD9" i="104" s="1"/>
  <c r="W9" i="104"/>
  <c r="AC9" i="104" s="1"/>
  <c r="V9" i="104"/>
  <c r="AB9" i="104" s="1"/>
  <c r="AG8" i="104"/>
  <c r="X8" i="104"/>
  <c r="AD8" i="104" s="1"/>
  <c r="W8" i="104"/>
  <c r="AC8" i="104" s="1"/>
  <c r="V8" i="104"/>
  <c r="AB8" i="104" s="1"/>
  <c r="AG7" i="104"/>
  <c r="X7" i="104"/>
  <c r="AD7" i="104" s="1"/>
  <c r="W7" i="104"/>
  <c r="AC7" i="104" s="1"/>
  <c r="V7" i="104"/>
  <c r="AB7" i="104" s="1"/>
  <c r="AO6" i="104"/>
  <c r="AG6" i="104"/>
  <c r="X6" i="104"/>
  <c r="AD6" i="104" s="1"/>
  <c r="W6" i="104"/>
  <c r="AC6" i="104" s="1"/>
  <c r="V6" i="104"/>
  <c r="AB6" i="104" s="1"/>
  <c r="AG5" i="104"/>
  <c r="X5" i="104"/>
  <c r="AD5" i="104" s="1"/>
  <c r="W5" i="104"/>
  <c r="AC5" i="104" s="1"/>
  <c r="V5" i="104"/>
  <c r="AB5" i="104" s="1"/>
  <c r="AG4" i="104"/>
  <c r="X4" i="104"/>
  <c r="AD4" i="104" s="1"/>
  <c r="W4" i="104"/>
  <c r="AC4" i="104" s="1"/>
  <c r="V4" i="104"/>
  <c r="AB4" i="104" s="1"/>
  <c r="AG3" i="104"/>
  <c r="X3" i="104"/>
  <c r="AD3" i="104" s="1"/>
  <c r="W3" i="104"/>
  <c r="AC3" i="104" s="1"/>
  <c r="V3" i="104"/>
  <c r="AB3" i="104" s="1"/>
  <c r="AG2" i="104"/>
  <c r="AB2" i="104"/>
  <c r="X2" i="104"/>
  <c r="AD2" i="104" s="1"/>
  <c r="W2" i="104"/>
  <c r="AC2" i="104" s="1"/>
  <c r="V2" i="104"/>
  <c r="AG42" i="103"/>
  <c r="AF42" i="103"/>
  <c r="AG41" i="103"/>
  <c r="AF41" i="103"/>
  <c r="AE41" i="103"/>
  <c r="AE42" i="103" s="1"/>
  <c r="AD41" i="103"/>
  <c r="AD42" i="103" s="1"/>
  <c r="AC41" i="103"/>
  <c r="AC42" i="103" s="1"/>
  <c r="AG40" i="103"/>
  <c r="AF40" i="103"/>
  <c r="AE40" i="103"/>
  <c r="AD40" i="103"/>
  <c r="AG39" i="103"/>
  <c r="AF39" i="103"/>
  <c r="AE39" i="103"/>
  <c r="AD39" i="103"/>
  <c r="AF37" i="103"/>
  <c r="AF38" i="103" s="1"/>
  <c r="AC37" i="103"/>
  <c r="AC38" i="103" s="1"/>
  <c r="AC39" i="103" s="1"/>
  <c r="AC40" i="103" s="1"/>
  <c r="AG36" i="103"/>
  <c r="AG37" i="103" s="1"/>
  <c r="AG38" i="103" s="1"/>
  <c r="AF36" i="103"/>
  <c r="AE36" i="103"/>
  <c r="AE37" i="103" s="1"/>
  <c r="AE38" i="103" s="1"/>
  <c r="AD36" i="103"/>
  <c r="AD37" i="103" s="1"/>
  <c r="AD38" i="103" s="1"/>
  <c r="AC36" i="103"/>
  <c r="AG35" i="103"/>
  <c r="AF35" i="103"/>
  <c r="AG34" i="103"/>
  <c r="AF34" i="103"/>
  <c r="AG33" i="103"/>
  <c r="AF33" i="103"/>
  <c r="AE33" i="103"/>
  <c r="AE34" i="103" s="1"/>
  <c r="AE35" i="103" s="1"/>
  <c r="AD33" i="103"/>
  <c r="AD34" i="103" s="1"/>
  <c r="AD35" i="103" s="1"/>
  <c r="AG32" i="103"/>
  <c r="AF32" i="103"/>
  <c r="AE32" i="103"/>
  <c r="AD32" i="103"/>
  <c r="AG29" i="103"/>
  <c r="AG30" i="103" s="1"/>
  <c r="AG31" i="103" s="1"/>
  <c r="AF29" i="103"/>
  <c r="AF30" i="103" s="1"/>
  <c r="AF31" i="103" s="1"/>
  <c r="AE29" i="103"/>
  <c r="AE30" i="103" s="1"/>
  <c r="AE31" i="103" s="1"/>
  <c r="AD29" i="103"/>
  <c r="AD30" i="103" s="1"/>
  <c r="AD31" i="103" s="1"/>
  <c r="AG28" i="103"/>
  <c r="AF28" i="103"/>
  <c r="AE28" i="103"/>
  <c r="AD28" i="103"/>
  <c r="AG26" i="103"/>
  <c r="AG27" i="103" s="1"/>
  <c r="AF26" i="103"/>
  <c r="AF27" i="103" s="1"/>
  <c r="AG25" i="103"/>
  <c r="AF25" i="103"/>
  <c r="AE25" i="103"/>
  <c r="AE26" i="103" s="1"/>
  <c r="AE27" i="103" s="1"/>
  <c r="AD25" i="103"/>
  <c r="AD26" i="103" s="1"/>
  <c r="AD27" i="103" s="1"/>
  <c r="AG24" i="103"/>
  <c r="AF24" i="103"/>
  <c r="AE24" i="103"/>
  <c r="AD24" i="103"/>
  <c r="AE23" i="103"/>
  <c r="AG21" i="103"/>
  <c r="AG22" i="103" s="1"/>
  <c r="AG23" i="103" s="1"/>
  <c r="AF21" i="103"/>
  <c r="AF22" i="103" s="1"/>
  <c r="AF23" i="103" s="1"/>
  <c r="AE21" i="103"/>
  <c r="AE22" i="103" s="1"/>
  <c r="AD21" i="103"/>
  <c r="AD22" i="103" s="1"/>
  <c r="AD23" i="103" s="1"/>
  <c r="AC21" i="103"/>
  <c r="AC22" i="103" s="1"/>
  <c r="AC23" i="103" s="1"/>
  <c r="AC24" i="103" s="1"/>
  <c r="AC25" i="103" s="1"/>
  <c r="AC26" i="103" s="1"/>
  <c r="AC27" i="103" s="1"/>
  <c r="AC28" i="103" s="1"/>
  <c r="AC29" i="103" s="1"/>
  <c r="AC30" i="103" s="1"/>
  <c r="AC31" i="103" s="1"/>
  <c r="AC32" i="103" s="1"/>
  <c r="AC33" i="103" s="1"/>
  <c r="AC34" i="103" s="1"/>
  <c r="AC35" i="103" s="1"/>
  <c r="AG20" i="103"/>
  <c r="AF20" i="103"/>
  <c r="AG19" i="103"/>
  <c r="AF19" i="103"/>
  <c r="AG18" i="103"/>
  <c r="AF18" i="103"/>
  <c r="AG17" i="103"/>
  <c r="AF17" i="103"/>
  <c r="AG16" i="103"/>
  <c r="AF16" i="103"/>
  <c r="AE16" i="103"/>
  <c r="AE17" i="103" s="1"/>
  <c r="AE18" i="103" s="1"/>
  <c r="AE19" i="103" s="1"/>
  <c r="AE20" i="103" s="1"/>
  <c r="AD16" i="103"/>
  <c r="AD17" i="103" s="1"/>
  <c r="AD18" i="103" s="1"/>
  <c r="AD19" i="103" s="1"/>
  <c r="AD20" i="103" s="1"/>
  <c r="AG15" i="103"/>
  <c r="AF15" i="103"/>
  <c r="AG14" i="103"/>
  <c r="AF14" i="103"/>
  <c r="AG13" i="103"/>
  <c r="AF13" i="103"/>
  <c r="AG12" i="103"/>
  <c r="AF12" i="103"/>
  <c r="AG11" i="103"/>
  <c r="AF11" i="103"/>
  <c r="AE11" i="103"/>
  <c r="AE12" i="103" s="1"/>
  <c r="AE13" i="103" s="1"/>
  <c r="AE14" i="103" s="1"/>
  <c r="AE15" i="103" s="1"/>
  <c r="AD11" i="103"/>
  <c r="AD12" i="103" s="1"/>
  <c r="AD13" i="103" s="1"/>
  <c r="AD14" i="103" s="1"/>
  <c r="AD15" i="103" s="1"/>
  <c r="AG8" i="103"/>
  <c r="AG9" i="103" s="1"/>
  <c r="AG10" i="103" s="1"/>
  <c r="AF8" i="103"/>
  <c r="AF9" i="103" s="1"/>
  <c r="AF10" i="103" s="1"/>
  <c r="AE8" i="103"/>
  <c r="AE9" i="103" s="1"/>
  <c r="AE10" i="103" s="1"/>
  <c r="AD8" i="103"/>
  <c r="AD9" i="103" s="1"/>
  <c r="AD10" i="103" s="1"/>
  <c r="AC8" i="103"/>
  <c r="AC9" i="103" s="1"/>
  <c r="AC10" i="103" s="1"/>
  <c r="AC11" i="103" s="1"/>
  <c r="AC12" i="103" s="1"/>
  <c r="AC13" i="103" s="1"/>
  <c r="AC14" i="103" s="1"/>
  <c r="AC15" i="103" s="1"/>
  <c r="AC16" i="103" s="1"/>
  <c r="AC17" i="103" s="1"/>
  <c r="AC18" i="103" s="1"/>
  <c r="AC19" i="103" s="1"/>
  <c r="AC20" i="103" s="1"/>
  <c r="AG7" i="103"/>
  <c r="AF7" i="103"/>
  <c r="AE7" i="103"/>
  <c r="AD7" i="103"/>
  <c r="AG5" i="103"/>
  <c r="AG6" i="103" s="1"/>
  <c r="AF5" i="103"/>
  <c r="AF6" i="103" s="1"/>
  <c r="AE5" i="103"/>
  <c r="AE6" i="103" s="1"/>
  <c r="AD5" i="103"/>
  <c r="AD6" i="103" s="1"/>
  <c r="AC5" i="103"/>
  <c r="AC6" i="103" s="1"/>
  <c r="AC7" i="103" s="1"/>
  <c r="N49" i="103"/>
  <c r="X47" i="103"/>
  <c r="V47" i="103"/>
  <c r="T47" i="103"/>
  <c r="P47" i="103"/>
  <c r="O47" i="103"/>
  <c r="N47" i="103"/>
  <c r="M47" i="103"/>
  <c r="V46" i="103"/>
  <c r="U46" i="103"/>
  <c r="T46" i="103"/>
  <c r="P46" i="103"/>
  <c r="O46" i="103"/>
  <c r="N46" i="103"/>
  <c r="M46" i="103"/>
  <c r="X45" i="103"/>
  <c r="V45" i="103"/>
  <c r="V49" i="103" s="1"/>
  <c r="U45" i="103"/>
  <c r="T45" i="103"/>
  <c r="T49" i="103" s="1"/>
  <c r="P45" i="103"/>
  <c r="O45" i="103"/>
  <c r="O49" i="103" s="1"/>
  <c r="N45" i="103"/>
  <c r="M45" i="103"/>
  <c r="AU51" i="102"/>
  <c r="AT51" i="102"/>
  <c r="AS51" i="102"/>
  <c r="AU50" i="102"/>
  <c r="AT50" i="102"/>
  <c r="AS50" i="102"/>
  <c r="AR50" i="102"/>
  <c r="AR51" i="102" s="1"/>
  <c r="AV51" i="102" s="1"/>
  <c r="AQ50" i="102"/>
  <c r="AQ51" i="102" s="1"/>
  <c r="AU49" i="102"/>
  <c r="AT49" i="102"/>
  <c r="AS49" i="102"/>
  <c r="AR49" i="102"/>
  <c r="AV49" i="102" s="1"/>
  <c r="AV48" i="102"/>
  <c r="AU48" i="102"/>
  <c r="AT48" i="102"/>
  <c r="AS48" i="102"/>
  <c r="AR48" i="102"/>
  <c r="AU45" i="102"/>
  <c r="AU46" i="102" s="1"/>
  <c r="AU47" i="102" s="1"/>
  <c r="AT45" i="102"/>
  <c r="AT46" i="102" s="1"/>
  <c r="AT47" i="102" s="1"/>
  <c r="AS45" i="102"/>
  <c r="AS46" i="102" s="1"/>
  <c r="AS47" i="102" s="1"/>
  <c r="AR45" i="102"/>
  <c r="AQ45" i="102"/>
  <c r="AQ46" i="102" s="1"/>
  <c r="AQ47" i="102" s="1"/>
  <c r="AQ48" i="102" s="1"/>
  <c r="AQ49" i="102" s="1"/>
  <c r="AU44" i="102"/>
  <c r="AT44" i="102"/>
  <c r="AU43" i="102"/>
  <c r="AT43" i="102"/>
  <c r="AU42" i="102"/>
  <c r="AT42" i="102"/>
  <c r="AS42" i="102"/>
  <c r="AS43" i="102" s="1"/>
  <c r="AS44" i="102" s="1"/>
  <c r="AR42" i="102"/>
  <c r="AU41" i="102"/>
  <c r="AT41" i="102"/>
  <c r="AS41" i="102"/>
  <c r="AR41" i="102"/>
  <c r="AV41" i="102" s="1"/>
  <c r="AU38" i="102"/>
  <c r="AU39" i="102" s="1"/>
  <c r="AU40" i="102" s="1"/>
  <c r="AT38" i="102"/>
  <c r="AT39" i="102" s="1"/>
  <c r="AT40" i="102" s="1"/>
  <c r="AS38" i="102"/>
  <c r="AS39" i="102" s="1"/>
  <c r="AS40" i="102" s="1"/>
  <c r="AR38" i="102"/>
  <c r="AV38" i="102" s="1"/>
  <c r="AU37" i="102"/>
  <c r="AT37" i="102"/>
  <c r="AS37" i="102"/>
  <c r="AR37" i="102"/>
  <c r="AV37" i="102" s="1"/>
  <c r="AR35" i="102"/>
  <c r="AR36" i="102" s="1"/>
  <c r="AV36" i="102" s="1"/>
  <c r="AV34" i="102"/>
  <c r="AU34" i="102"/>
  <c r="AU35" i="102" s="1"/>
  <c r="AU36" i="102" s="1"/>
  <c r="AT34" i="102"/>
  <c r="AT35" i="102" s="1"/>
  <c r="AT36" i="102" s="1"/>
  <c r="AS34" i="102"/>
  <c r="AS35" i="102" s="1"/>
  <c r="AS36" i="102" s="1"/>
  <c r="AR34" i="102"/>
  <c r="AU33" i="102"/>
  <c r="AT33" i="102"/>
  <c r="AS33" i="102"/>
  <c r="AR33" i="102"/>
  <c r="AV33" i="102" s="1"/>
  <c r="AS31" i="102"/>
  <c r="AS32" i="102" s="1"/>
  <c r="AU30" i="102"/>
  <c r="AU31" i="102" s="1"/>
  <c r="AU32" i="102" s="1"/>
  <c r="AT30" i="102"/>
  <c r="AT31" i="102" s="1"/>
  <c r="AT32" i="102" s="1"/>
  <c r="AS30" i="102"/>
  <c r="AR30" i="102"/>
  <c r="AQ30" i="102"/>
  <c r="AQ31" i="102" s="1"/>
  <c r="AQ32" i="102" s="1"/>
  <c r="AQ33" i="102" s="1"/>
  <c r="AQ34" i="102" s="1"/>
  <c r="AQ35" i="102" s="1"/>
  <c r="AQ36" i="102" s="1"/>
  <c r="AQ37" i="102" s="1"/>
  <c r="AQ38" i="102" s="1"/>
  <c r="AQ39" i="102" s="1"/>
  <c r="AQ40" i="102" s="1"/>
  <c r="AQ41" i="102" s="1"/>
  <c r="AQ42" i="102" s="1"/>
  <c r="AQ43" i="102" s="1"/>
  <c r="AQ44" i="102" s="1"/>
  <c r="AU29" i="102"/>
  <c r="AT29" i="102"/>
  <c r="AU28" i="102"/>
  <c r="AT28" i="102"/>
  <c r="AU27" i="102"/>
  <c r="AT27" i="102"/>
  <c r="AU26" i="102"/>
  <c r="AT26" i="102"/>
  <c r="AU25" i="102"/>
  <c r="AT25" i="102"/>
  <c r="AS25" i="102"/>
  <c r="AS26" i="102" s="1"/>
  <c r="AS27" i="102" s="1"/>
  <c r="AS28" i="102" s="1"/>
  <c r="AS29" i="102" s="1"/>
  <c r="AR25" i="102"/>
  <c r="AR26" i="102" s="1"/>
  <c r="AU24" i="102"/>
  <c r="AT24" i="102"/>
  <c r="AU23" i="102"/>
  <c r="AT23" i="102"/>
  <c r="AU22" i="102"/>
  <c r="AT22" i="102"/>
  <c r="AU21" i="102"/>
  <c r="AT21" i="102"/>
  <c r="AU20" i="102"/>
  <c r="AT20" i="102"/>
  <c r="AS20" i="102"/>
  <c r="AS21" i="102" s="1"/>
  <c r="AS22" i="102" s="1"/>
  <c r="AS23" i="102" s="1"/>
  <c r="AS24" i="102" s="1"/>
  <c r="AR20" i="102"/>
  <c r="AR21" i="102" s="1"/>
  <c r="AS18" i="102"/>
  <c r="AS19" i="102" s="1"/>
  <c r="AU17" i="102"/>
  <c r="AU18" i="102" s="1"/>
  <c r="AU19" i="102" s="1"/>
  <c r="AT17" i="102"/>
  <c r="AT18" i="102" s="1"/>
  <c r="AT19" i="102" s="1"/>
  <c r="AS17" i="102"/>
  <c r="AR17" i="102"/>
  <c r="AQ17" i="102"/>
  <c r="AQ18" i="102" s="1"/>
  <c r="AQ19" i="102" s="1"/>
  <c r="AQ20" i="102" s="1"/>
  <c r="AQ21" i="102" s="1"/>
  <c r="AQ22" i="102" s="1"/>
  <c r="AQ23" i="102" s="1"/>
  <c r="AQ24" i="102" s="1"/>
  <c r="AQ25" i="102" s="1"/>
  <c r="AQ26" i="102" s="1"/>
  <c r="AQ27" i="102" s="1"/>
  <c r="AQ28" i="102" s="1"/>
  <c r="AQ29" i="102" s="1"/>
  <c r="AU16" i="102"/>
  <c r="AV15" i="102"/>
  <c r="AU15" i="102"/>
  <c r="AT15" i="102"/>
  <c r="AT16" i="102" s="1"/>
  <c r="AS15" i="102"/>
  <c r="AS16" i="102" s="1"/>
  <c r="AR15" i="102"/>
  <c r="AR16" i="102" s="1"/>
  <c r="AV16" i="102" s="1"/>
  <c r="AQ15" i="102"/>
  <c r="AQ16" i="102" s="1"/>
  <c r="AU14" i="102"/>
  <c r="AU13" i="102"/>
  <c r="AR11" i="102"/>
  <c r="AR12" i="102" s="1"/>
  <c r="AV10" i="102"/>
  <c r="AU10" i="102"/>
  <c r="AU11" i="102" s="1"/>
  <c r="AU12" i="102" s="1"/>
  <c r="AT10" i="102"/>
  <c r="AT11" i="102" s="1"/>
  <c r="AT12" i="102" s="1"/>
  <c r="AT13" i="102" s="1"/>
  <c r="AT14" i="102" s="1"/>
  <c r="AS10" i="102"/>
  <c r="AS11" i="102" s="1"/>
  <c r="AS12" i="102" s="1"/>
  <c r="AS13" i="102" s="1"/>
  <c r="AS14" i="102" s="1"/>
  <c r="AR10" i="102"/>
  <c r="AU9" i="102"/>
  <c r="AT9" i="102"/>
  <c r="AS9" i="102"/>
  <c r="AR9" i="102"/>
  <c r="AV9" i="102" s="1"/>
  <c r="AU8" i="102"/>
  <c r="AS7" i="102"/>
  <c r="AS8" i="102" s="1"/>
  <c r="AT6" i="102"/>
  <c r="AT7" i="102" s="1"/>
  <c r="AT8" i="102" s="1"/>
  <c r="AU5" i="102"/>
  <c r="AU6" i="102" s="1"/>
  <c r="AU7" i="102" s="1"/>
  <c r="AT5" i="102"/>
  <c r="AS5" i="102"/>
  <c r="AS6" i="102" s="1"/>
  <c r="AR5" i="102"/>
  <c r="AQ5" i="102"/>
  <c r="AQ6" i="102" s="1"/>
  <c r="AQ7" i="102" s="1"/>
  <c r="AL57" i="102"/>
  <c r="AG57" i="102"/>
  <c r="AD57" i="102"/>
  <c r="AB57" i="102"/>
  <c r="T57" i="102"/>
  <c r="AK56" i="102"/>
  <c r="AF56" i="102"/>
  <c r="AE56" i="102"/>
  <c r="AC56" i="102"/>
  <c r="Y56" i="102"/>
  <c r="X56" i="102"/>
  <c r="W56" i="102"/>
  <c r="S56" i="102"/>
  <c r="R56" i="102"/>
  <c r="Q56" i="102"/>
  <c r="P56" i="102"/>
  <c r="O56" i="102"/>
  <c r="M56" i="102"/>
  <c r="L56" i="102"/>
  <c r="AK55" i="102"/>
  <c r="AF55" i="102"/>
  <c r="AP54" i="102" s="1"/>
  <c r="AC55" i="102"/>
  <c r="AA55" i="102"/>
  <c r="Z55" i="102"/>
  <c r="Y55" i="102"/>
  <c r="X55" i="102"/>
  <c r="W55" i="102"/>
  <c r="V55" i="102"/>
  <c r="U55" i="102"/>
  <c r="S55" i="102"/>
  <c r="R55" i="102"/>
  <c r="Q55" i="102"/>
  <c r="P55" i="102"/>
  <c r="O55" i="102"/>
  <c r="M55" i="102"/>
  <c r="L55" i="102"/>
  <c r="J5" i="101"/>
  <c r="F14" i="101"/>
  <c r="J14" i="101" s="1"/>
  <c r="F13" i="101"/>
  <c r="J13" i="101" s="1"/>
  <c r="F12" i="101"/>
  <c r="J12" i="101" s="1"/>
  <c r="F11" i="101"/>
  <c r="J11" i="101" s="1"/>
  <c r="F10" i="101"/>
  <c r="J10" i="101" s="1"/>
  <c r="F9" i="101"/>
  <c r="J9" i="101" s="1"/>
  <c r="F8" i="101"/>
  <c r="J8" i="101" s="1"/>
  <c r="F7" i="101"/>
  <c r="J7" i="101" s="1"/>
  <c r="F6" i="101"/>
  <c r="J6" i="101" s="1"/>
  <c r="F5" i="101"/>
  <c r="AE13" i="100"/>
  <c r="AD13" i="100"/>
  <c r="AC13" i="100"/>
  <c r="AB13" i="100"/>
  <c r="AA13" i="100"/>
  <c r="W13" i="100"/>
  <c r="V13" i="100"/>
  <c r="U13" i="100"/>
  <c r="T13" i="100"/>
  <c r="S13" i="100"/>
  <c r="R13" i="100"/>
  <c r="AE12" i="100"/>
  <c r="AD12" i="100"/>
  <c r="AE8" i="100"/>
  <c r="AD8" i="100"/>
  <c r="AC8" i="100"/>
  <c r="AB8" i="100"/>
  <c r="AA8" i="100"/>
  <c r="W8" i="100"/>
  <c r="V8" i="100"/>
  <c r="U8" i="100"/>
  <c r="T8" i="100"/>
  <c r="S8" i="100"/>
  <c r="Y8" i="100" s="1"/>
  <c r="R8" i="100"/>
  <c r="AE6" i="100"/>
  <c r="AD6" i="100"/>
  <c r="AC6" i="100"/>
  <c r="AB6" i="100"/>
  <c r="AA6" i="100"/>
  <c r="W6" i="100"/>
  <c r="V6" i="100"/>
  <c r="U6" i="100"/>
  <c r="T6" i="100"/>
  <c r="S6" i="100"/>
  <c r="Y6" i="100" s="1"/>
  <c r="R6" i="100"/>
  <c r="AE5" i="100"/>
  <c r="AD5" i="100"/>
  <c r="AC5" i="100"/>
  <c r="AB5" i="100"/>
  <c r="AA5" i="100"/>
  <c r="W5" i="100"/>
  <c r="V5" i="100"/>
  <c r="U5" i="100"/>
  <c r="AI5" i="100" s="1"/>
  <c r="T5" i="100"/>
  <c r="S5" i="100"/>
  <c r="R5" i="100"/>
  <c r="AE4" i="100"/>
  <c r="AD4" i="100"/>
  <c r="AC4" i="100"/>
  <c r="AB4" i="100"/>
  <c r="AA4" i="100"/>
  <c r="W4" i="100"/>
  <c r="V4" i="100"/>
  <c r="U4" i="100"/>
  <c r="T4" i="100"/>
  <c r="S4" i="100"/>
  <c r="R4" i="100"/>
  <c r="AE3" i="100"/>
  <c r="AD3" i="100"/>
  <c r="AC3" i="100"/>
  <c r="AB3" i="100"/>
  <c r="AA3" i="100"/>
  <c r="W3" i="100"/>
  <c r="V3" i="100"/>
  <c r="U3" i="100"/>
  <c r="AI3" i="100" s="1"/>
  <c r="T3" i="100"/>
  <c r="S3" i="100"/>
  <c r="Y3" i="100" s="1"/>
  <c r="AG3" i="100" s="1"/>
  <c r="R3" i="100"/>
  <c r="J629" i="100"/>
  <c r="M629" i="100" s="1"/>
  <c r="J628" i="100"/>
  <c r="J627" i="100"/>
  <c r="M627" i="100" s="1"/>
  <c r="J626" i="100"/>
  <c r="M626" i="100" s="1"/>
  <c r="J625" i="100"/>
  <c r="M625" i="100" s="1"/>
  <c r="J624" i="100"/>
  <c r="M624" i="100" s="1"/>
  <c r="J623" i="100"/>
  <c r="J622" i="100"/>
  <c r="M622" i="100" s="1"/>
  <c r="J621" i="100"/>
  <c r="M621" i="100" s="1"/>
  <c r="J620" i="100"/>
  <c r="M620" i="100" s="1"/>
  <c r="J619" i="100"/>
  <c r="M619" i="100" s="1"/>
  <c r="J618" i="100"/>
  <c r="M618" i="100" s="1"/>
  <c r="J617" i="100"/>
  <c r="M617" i="100" s="1"/>
  <c r="J325" i="100"/>
  <c r="J324" i="100"/>
  <c r="M324" i="100" s="1"/>
  <c r="J323" i="100"/>
  <c r="J322" i="100"/>
  <c r="J321" i="100"/>
  <c r="M321" i="100" s="1"/>
  <c r="J320" i="100"/>
  <c r="M320" i="100" s="1"/>
  <c r="J319" i="100"/>
  <c r="J318" i="100"/>
  <c r="M318" i="100" s="1"/>
  <c r="J317" i="100"/>
  <c r="M317" i="100" s="1"/>
  <c r="J316" i="100"/>
  <c r="M316" i="100" s="1"/>
  <c r="J315" i="100"/>
  <c r="M315" i="100" s="1"/>
  <c r="J314" i="100"/>
  <c r="M314" i="100" s="1"/>
  <c r="L313" i="100"/>
  <c r="O313" i="100" s="1"/>
  <c r="K313" i="100"/>
  <c r="N313" i="100" s="1"/>
  <c r="L312" i="100"/>
  <c r="O312" i="100" s="1"/>
  <c r="K312" i="100"/>
  <c r="L311" i="100"/>
  <c r="O311" i="100" s="1"/>
  <c r="K311" i="100"/>
  <c r="L310" i="100"/>
  <c r="O310" i="100" s="1"/>
  <c r="K310" i="100"/>
  <c r="N310" i="100" s="1"/>
  <c r="L309" i="100"/>
  <c r="O309" i="100" s="1"/>
  <c r="K309" i="100"/>
  <c r="N309" i="100" s="1"/>
  <c r="L308" i="100"/>
  <c r="K308" i="100"/>
  <c r="N308" i="100" s="1"/>
  <c r="L307" i="100"/>
  <c r="O307" i="100" s="1"/>
  <c r="K307" i="100"/>
  <c r="N307" i="100" s="1"/>
  <c r="L306" i="100"/>
  <c r="K306" i="100"/>
  <c r="L305" i="100"/>
  <c r="O305" i="100" s="1"/>
  <c r="K305" i="100"/>
  <c r="L304" i="100"/>
  <c r="K304" i="100"/>
  <c r="N304" i="100" s="1"/>
  <c r="L303" i="100"/>
  <c r="O303" i="100" s="1"/>
  <c r="K303" i="100"/>
  <c r="N303" i="100" s="1"/>
  <c r="L302" i="100"/>
  <c r="O302" i="100" s="1"/>
  <c r="K302" i="100"/>
  <c r="N302" i="100" s="1"/>
  <c r="J301" i="100"/>
  <c r="M301" i="100" s="1"/>
  <c r="J300" i="100"/>
  <c r="M300" i="100" s="1"/>
  <c r="J299" i="100"/>
  <c r="J298" i="100"/>
  <c r="J297" i="100"/>
  <c r="M297" i="100" s="1"/>
  <c r="J296" i="100"/>
  <c r="M296" i="100" s="1"/>
  <c r="J295" i="100"/>
  <c r="M295" i="100" s="1"/>
  <c r="J294" i="100"/>
  <c r="M294" i="100" s="1"/>
  <c r="J293" i="100"/>
  <c r="M293" i="100" s="1"/>
  <c r="J292" i="100"/>
  <c r="M292" i="100" s="1"/>
  <c r="J291" i="100"/>
  <c r="J290" i="100"/>
  <c r="M290" i="100" s="1"/>
  <c r="J641" i="100"/>
  <c r="M641" i="100" s="1"/>
  <c r="M640" i="100"/>
  <c r="J640" i="100"/>
  <c r="J639" i="100"/>
  <c r="M639" i="100" s="1"/>
  <c r="M638" i="100"/>
  <c r="J638" i="100"/>
  <c r="J637" i="100"/>
  <c r="M637" i="100" s="1"/>
  <c r="J636" i="100"/>
  <c r="M636" i="100" s="1"/>
  <c r="J635" i="100"/>
  <c r="M635" i="100" s="1"/>
  <c r="J634" i="100"/>
  <c r="M634" i="100" s="1"/>
  <c r="J633" i="100"/>
  <c r="M633" i="100" s="1"/>
  <c r="J632" i="100"/>
  <c r="M632" i="100" s="1"/>
  <c r="J631" i="100"/>
  <c r="M631" i="100" s="1"/>
  <c r="M630" i="100"/>
  <c r="J630" i="100"/>
  <c r="M628" i="100"/>
  <c r="M623" i="100"/>
  <c r="J616" i="100"/>
  <c r="M616" i="100" s="1"/>
  <c r="J615" i="100"/>
  <c r="M615" i="100" s="1"/>
  <c r="J614" i="100"/>
  <c r="M614" i="100" s="1"/>
  <c r="J613" i="100"/>
  <c r="M613" i="100" s="1"/>
  <c r="J612" i="100"/>
  <c r="M612" i="100" s="1"/>
  <c r="M611" i="100"/>
  <c r="J611" i="100"/>
  <c r="J610" i="100"/>
  <c r="M610" i="100" s="1"/>
  <c r="J609" i="100"/>
  <c r="M609" i="100" s="1"/>
  <c r="J608" i="100"/>
  <c r="M608" i="100" s="1"/>
  <c r="J607" i="100"/>
  <c r="M607" i="100" s="1"/>
  <c r="J606" i="100"/>
  <c r="M606" i="100" s="1"/>
  <c r="J605" i="100"/>
  <c r="M605" i="100" s="1"/>
  <c r="J604" i="100"/>
  <c r="M604" i="100" s="1"/>
  <c r="J603" i="100"/>
  <c r="M603" i="100" s="1"/>
  <c r="J602" i="100"/>
  <c r="M602" i="100" s="1"/>
  <c r="J601" i="100"/>
  <c r="M601" i="100" s="1"/>
  <c r="J600" i="100"/>
  <c r="M600" i="100" s="1"/>
  <c r="J599" i="100"/>
  <c r="M599" i="100" s="1"/>
  <c r="J598" i="100"/>
  <c r="M598" i="100" s="1"/>
  <c r="J597" i="100"/>
  <c r="M597" i="100" s="1"/>
  <c r="J596" i="100"/>
  <c r="M596" i="100" s="1"/>
  <c r="J595" i="100"/>
  <c r="M595" i="100" s="1"/>
  <c r="J594" i="100"/>
  <c r="M594" i="100" s="1"/>
  <c r="J593" i="100"/>
  <c r="M593" i="100" s="1"/>
  <c r="J592" i="100"/>
  <c r="M592" i="100" s="1"/>
  <c r="J591" i="100"/>
  <c r="M591" i="100" s="1"/>
  <c r="J590" i="100"/>
  <c r="M590" i="100" s="1"/>
  <c r="J589" i="100"/>
  <c r="M589" i="100" s="1"/>
  <c r="J588" i="100"/>
  <c r="M588" i="100" s="1"/>
  <c r="J587" i="100"/>
  <c r="M587" i="100" s="1"/>
  <c r="J586" i="100"/>
  <c r="M586" i="100" s="1"/>
  <c r="J585" i="100"/>
  <c r="M585" i="100" s="1"/>
  <c r="J584" i="100"/>
  <c r="M584" i="100" s="1"/>
  <c r="M583" i="100"/>
  <c r="J583" i="100"/>
  <c r="J582" i="100"/>
  <c r="M582" i="100" s="1"/>
  <c r="M581" i="100"/>
  <c r="J581" i="100"/>
  <c r="J580" i="100"/>
  <c r="M580" i="100" s="1"/>
  <c r="M579" i="100"/>
  <c r="J579" i="100"/>
  <c r="J578" i="100"/>
  <c r="M578" i="100" s="1"/>
  <c r="J577" i="100"/>
  <c r="M577" i="100" s="1"/>
  <c r="J576" i="100"/>
  <c r="M576" i="100" s="1"/>
  <c r="M575" i="100"/>
  <c r="J575" i="100"/>
  <c r="J574" i="100"/>
  <c r="M574" i="100" s="1"/>
  <c r="J573" i="100"/>
  <c r="M573" i="100" s="1"/>
  <c r="J572" i="100"/>
  <c r="M572" i="100" s="1"/>
  <c r="J571" i="100"/>
  <c r="M571" i="100" s="1"/>
  <c r="J570" i="100"/>
  <c r="M570" i="100" s="1"/>
  <c r="J569" i="100"/>
  <c r="M569" i="100" s="1"/>
  <c r="J568" i="100"/>
  <c r="M568" i="100" s="1"/>
  <c r="J567" i="100"/>
  <c r="M567" i="100" s="1"/>
  <c r="J566" i="100"/>
  <c r="M566" i="100" s="1"/>
  <c r="J565" i="100"/>
  <c r="M565" i="100" s="1"/>
  <c r="J564" i="100"/>
  <c r="M564" i="100" s="1"/>
  <c r="J563" i="100"/>
  <c r="M563" i="100" s="1"/>
  <c r="J562" i="100"/>
  <c r="M562" i="100" s="1"/>
  <c r="J561" i="100"/>
  <c r="M561" i="100" s="1"/>
  <c r="J560" i="100"/>
  <c r="M560" i="100" s="1"/>
  <c r="J559" i="100"/>
  <c r="M559" i="100" s="1"/>
  <c r="J558" i="100"/>
  <c r="M558" i="100" s="1"/>
  <c r="J557" i="100"/>
  <c r="M557" i="100" s="1"/>
  <c r="J556" i="100"/>
  <c r="M556" i="100" s="1"/>
  <c r="M555" i="100"/>
  <c r="J555" i="100"/>
  <c r="M554" i="100"/>
  <c r="J554" i="100"/>
  <c r="J553" i="100"/>
  <c r="M553" i="100" s="1"/>
  <c r="J552" i="100"/>
  <c r="M552" i="100" s="1"/>
  <c r="J551" i="100"/>
  <c r="M551" i="100" s="1"/>
  <c r="J550" i="100"/>
  <c r="M550" i="100" s="1"/>
  <c r="J549" i="100"/>
  <c r="M549" i="100" s="1"/>
  <c r="J548" i="100"/>
  <c r="M548" i="100" s="1"/>
  <c r="J547" i="100"/>
  <c r="M547" i="100" s="1"/>
  <c r="J546" i="100"/>
  <c r="M546" i="100" s="1"/>
  <c r="J545" i="100"/>
  <c r="M545" i="100" s="1"/>
  <c r="J544" i="100"/>
  <c r="M544" i="100" s="1"/>
  <c r="J543" i="100"/>
  <c r="M543" i="100" s="1"/>
  <c r="J542" i="100"/>
  <c r="M542" i="100" s="1"/>
  <c r="M541" i="100"/>
  <c r="J541" i="100"/>
  <c r="J540" i="100"/>
  <c r="M540" i="100" s="1"/>
  <c r="J539" i="100"/>
  <c r="M539" i="100" s="1"/>
  <c r="J538" i="100"/>
  <c r="M538" i="100" s="1"/>
  <c r="J537" i="100"/>
  <c r="M537" i="100" s="1"/>
  <c r="J536" i="100"/>
  <c r="M536" i="100" s="1"/>
  <c r="M535" i="100"/>
  <c r="J535" i="100"/>
  <c r="J534" i="100"/>
  <c r="M534" i="100" s="1"/>
  <c r="J533" i="100"/>
  <c r="M533" i="100" s="1"/>
  <c r="J532" i="100"/>
  <c r="M532" i="100" s="1"/>
  <c r="M531" i="100"/>
  <c r="J531" i="100"/>
  <c r="J530" i="100"/>
  <c r="M530" i="100" s="1"/>
  <c r="M529" i="100"/>
  <c r="J529" i="100"/>
  <c r="J528" i="100"/>
  <c r="M528" i="100" s="1"/>
  <c r="J527" i="100"/>
  <c r="M527" i="100" s="1"/>
  <c r="J526" i="100"/>
  <c r="M526" i="100" s="1"/>
  <c r="J525" i="100"/>
  <c r="M525" i="100" s="1"/>
  <c r="J524" i="100"/>
  <c r="M524" i="100" s="1"/>
  <c r="J523" i="100"/>
  <c r="M523" i="100" s="1"/>
  <c r="J522" i="100"/>
  <c r="M522" i="100" s="1"/>
  <c r="J521" i="100"/>
  <c r="M521" i="100" s="1"/>
  <c r="J520" i="100"/>
  <c r="M520" i="100" s="1"/>
  <c r="J519" i="100"/>
  <c r="M519" i="100" s="1"/>
  <c r="J518" i="100"/>
  <c r="M518" i="100" s="1"/>
  <c r="J517" i="100"/>
  <c r="M517" i="100" s="1"/>
  <c r="J516" i="100"/>
  <c r="M516" i="100" s="1"/>
  <c r="J515" i="100"/>
  <c r="M515" i="100" s="1"/>
  <c r="J514" i="100"/>
  <c r="M514" i="100" s="1"/>
  <c r="J513" i="100"/>
  <c r="M513" i="100" s="1"/>
  <c r="J512" i="100"/>
  <c r="M512" i="100" s="1"/>
  <c r="J511" i="100"/>
  <c r="M511" i="100" s="1"/>
  <c r="J510" i="100"/>
  <c r="M510" i="100" s="1"/>
  <c r="J509" i="100"/>
  <c r="M509" i="100" s="1"/>
  <c r="J508" i="100"/>
  <c r="M508" i="100" s="1"/>
  <c r="J507" i="100"/>
  <c r="M507" i="100" s="1"/>
  <c r="J506" i="100"/>
  <c r="M506" i="100" s="1"/>
  <c r="J505" i="100"/>
  <c r="M505" i="100" s="1"/>
  <c r="J504" i="100"/>
  <c r="M504" i="100" s="1"/>
  <c r="J503" i="100"/>
  <c r="M503" i="100" s="1"/>
  <c r="J502" i="100"/>
  <c r="M502" i="100" s="1"/>
  <c r="J501" i="100"/>
  <c r="M501" i="100" s="1"/>
  <c r="J500" i="100"/>
  <c r="M500" i="100" s="1"/>
  <c r="M499" i="100"/>
  <c r="J499" i="100"/>
  <c r="J498" i="100"/>
  <c r="J497" i="100"/>
  <c r="M497" i="100" s="1"/>
  <c r="J496" i="100"/>
  <c r="M496" i="100" s="1"/>
  <c r="J495" i="100"/>
  <c r="M495" i="100" s="1"/>
  <c r="J494" i="100"/>
  <c r="M494" i="100" s="1"/>
  <c r="M493" i="100"/>
  <c r="J493" i="100"/>
  <c r="J492" i="100"/>
  <c r="M492" i="100" s="1"/>
  <c r="M491" i="100"/>
  <c r="J491" i="100"/>
  <c r="J490" i="100"/>
  <c r="M490" i="100" s="1"/>
  <c r="J489" i="100"/>
  <c r="M489" i="100" s="1"/>
  <c r="J488" i="100"/>
  <c r="M488" i="100" s="1"/>
  <c r="J487" i="100"/>
  <c r="M487" i="100" s="1"/>
  <c r="J486" i="100"/>
  <c r="M486" i="100" s="1"/>
  <c r="J485" i="100"/>
  <c r="M485" i="100" s="1"/>
  <c r="J484" i="100"/>
  <c r="M484" i="100" s="1"/>
  <c r="J483" i="100"/>
  <c r="M483" i="100" s="1"/>
  <c r="J482" i="100"/>
  <c r="M482" i="100" s="1"/>
  <c r="J481" i="100"/>
  <c r="M481" i="100" s="1"/>
  <c r="J480" i="100"/>
  <c r="M480" i="100" s="1"/>
  <c r="J479" i="100"/>
  <c r="M479" i="100" s="1"/>
  <c r="J478" i="100"/>
  <c r="M478" i="100" s="1"/>
  <c r="M477" i="100"/>
  <c r="J477" i="100"/>
  <c r="J476" i="100"/>
  <c r="M476" i="100" s="1"/>
  <c r="J475" i="100"/>
  <c r="M475" i="100" s="1"/>
  <c r="J474" i="100"/>
  <c r="M474" i="100" s="1"/>
  <c r="J473" i="100"/>
  <c r="M473" i="100" s="1"/>
  <c r="J472" i="100"/>
  <c r="M472" i="100" s="1"/>
  <c r="M471" i="100"/>
  <c r="J471" i="100"/>
  <c r="J470" i="100"/>
  <c r="M470" i="100" s="1"/>
  <c r="J469" i="100"/>
  <c r="M469" i="100" s="1"/>
  <c r="J468" i="100"/>
  <c r="M468" i="100" s="1"/>
  <c r="J467" i="100"/>
  <c r="M467" i="100" s="1"/>
  <c r="J466" i="100"/>
  <c r="M466" i="100" s="1"/>
  <c r="J465" i="100"/>
  <c r="M465" i="100" s="1"/>
  <c r="J464" i="100"/>
  <c r="M464" i="100" s="1"/>
  <c r="J463" i="100"/>
  <c r="M463" i="100" s="1"/>
  <c r="J462" i="100"/>
  <c r="M462" i="100" s="1"/>
  <c r="J461" i="100"/>
  <c r="M461" i="100" s="1"/>
  <c r="J460" i="100"/>
  <c r="M460" i="100" s="1"/>
  <c r="J459" i="100"/>
  <c r="M459" i="100" s="1"/>
  <c r="J458" i="100"/>
  <c r="M458" i="100" s="1"/>
  <c r="J457" i="100"/>
  <c r="M457" i="100" s="1"/>
  <c r="J456" i="100"/>
  <c r="M456" i="100" s="1"/>
  <c r="J455" i="100"/>
  <c r="M455" i="100" s="1"/>
  <c r="J454" i="100"/>
  <c r="M454" i="100" s="1"/>
  <c r="J453" i="100"/>
  <c r="M453" i="100" s="1"/>
  <c r="M452" i="100"/>
  <c r="J452" i="100"/>
  <c r="J451" i="100"/>
  <c r="M451" i="100" s="1"/>
  <c r="J450" i="100"/>
  <c r="M450" i="100" s="1"/>
  <c r="J449" i="100"/>
  <c r="M449" i="100" s="1"/>
  <c r="J448" i="100"/>
  <c r="M448" i="100" s="1"/>
  <c r="J447" i="100"/>
  <c r="M447" i="100" s="1"/>
  <c r="J446" i="100"/>
  <c r="M446" i="100" s="1"/>
  <c r="J445" i="100"/>
  <c r="M445" i="100" s="1"/>
  <c r="J444" i="100"/>
  <c r="M444" i="100" s="1"/>
  <c r="J443" i="100"/>
  <c r="M443" i="100" s="1"/>
  <c r="J442" i="100"/>
  <c r="M442" i="100" s="1"/>
  <c r="J441" i="100"/>
  <c r="M441" i="100" s="1"/>
  <c r="J440" i="100"/>
  <c r="M440" i="100" s="1"/>
  <c r="J439" i="100"/>
  <c r="M439" i="100" s="1"/>
  <c r="J438" i="100"/>
  <c r="M438" i="100" s="1"/>
  <c r="J437" i="100"/>
  <c r="M437" i="100" s="1"/>
  <c r="J436" i="100"/>
  <c r="M436" i="100" s="1"/>
  <c r="J435" i="100"/>
  <c r="M435" i="100" s="1"/>
  <c r="J434" i="100"/>
  <c r="M434" i="100" s="1"/>
  <c r="J433" i="100"/>
  <c r="M433" i="100" s="1"/>
  <c r="J432" i="100"/>
  <c r="M432" i="100" s="1"/>
  <c r="J431" i="100"/>
  <c r="M431" i="100" s="1"/>
  <c r="J430" i="100"/>
  <c r="M430" i="100" s="1"/>
  <c r="J429" i="100"/>
  <c r="M429" i="100" s="1"/>
  <c r="J428" i="100"/>
  <c r="M428" i="100" s="1"/>
  <c r="J427" i="100"/>
  <c r="M427" i="100" s="1"/>
  <c r="J426" i="100"/>
  <c r="M426" i="100" s="1"/>
  <c r="J425" i="100"/>
  <c r="M425" i="100" s="1"/>
  <c r="J424" i="100"/>
  <c r="M424" i="100" s="1"/>
  <c r="J423" i="100"/>
  <c r="M423" i="100" s="1"/>
  <c r="J422" i="100"/>
  <c r="M422" i="100" s="1"/>
  <c r="J421" i="100"/>
  <c r="M421" i="100" s="1"/>
  <c r="J420" i="100"/>
  <c r="M420" i="100" s="1"/>
  <c r="J419" i="100"/>
  <c r="M419" i="100" s="1"/>
  <c r="J418" i="100"/>
  <c r="M418" i="100" s="1"/>
  <c r="J417" i="100"/>
  <c r="M417" i="100" s="1"/>
  <c r="J416" i="100"/>
  <c r="M416" i="100" s="1"/>
  <c r="M415" i="100"/>
  <c r="J415" i="100"/>
  <c r="M414" i="100"/>
  <c r="J414" i="100"/>
  <c r="J413" i="100"/>
  <c r="M413" i="100" s="1"/>
  <c r="M412" i="100"/>
  <c r="J412" i="100"/>
  <c r="J411" i="100"/>
  <c r="M411" i="100" s="1"/>
  <c r="J410" i="100"/>
  <c r="M410" i="100" s="1"/>
  <c r="J409" i="100"/>
  <c r="M409" i="100" s="1"/>
  <c r="J408" i="100"/>
  <c r="M408" i="100" s="1"/>
  <c r="J407" i="100"/>
  <c r="M407" i="100" s="1"/>
  <c r="J406" i="100"/>
  <c r="M406" i="100" s="1"/>
  <c r="J405" i="100"/>
  <c r="M405" i="100" s="1"/>
  <c r="J404" i="100"/>
  <c r="M404" i="100" s="1"/>
  <c r="J403" i="100"/>
  <c r="M403" i="100" s="1"/>
  <c r="J402" i="100"/>
  <c r="M402" i="100" s="1"/>
  <c r="M401" i="100"/>
  <c r="J401" i="100"/>
  <c r="J400" i="100"/>
  <c r="M400" i="100" s="1"/>
  <c r="M399" i="100"/>
  <c r="J399" i="100"/>
  <c r="J398" i="100"/>
  <c r="M398" i="100" s="1"/>
  <c r="J397" i="100"/>
  <c r="M397" i="100" s="1"/>
  <c r="J396" i="100"/>
  <c r="M396" i="100" s="1"/>
  <c r="J395" i="100"/>
  <c r="M395" i="100" s="1"/>
  <c r="J394" i="100"/>
  <c r="M394" i="100" s="1"/>
  <c r="J393" i="100"/>
  <c r="M393" i="100" s="1"/>
  <c r="J392" i="100"/>
  <c r="M392" i="100" s="1"/>
  <c r="M391" i="100"/>
  <c r="J391" i="100"/>
  <c r="J390" i="100"/>
  <c r="M390" i="100" s="1"/>
  <c r="J389" i="100"/>
  <c r="M389" i="100" s="1"/>
  <c r="J388" i="100"/>
  <c r="M388" i="100" s="1"/>
  <c r="J387" i="100"/>
  <c r="M387" i="100" s="1"/>
  <c r="J386" i="100"/>
  <c r="M386" i="100" s="1"/>
  <c r="J385" i="100"/>
  <c r="M385" i="100" s="1"/>
  <c r="M384" i="100"/>
  <c r="J384" i="100"/>
  <c r="J383" i="100"/>
  <c r="M383" i="100" s="1"/>
  <c r="J382" i="100"/>
  <c r="M382" i="100" s="1"/>
  <c r="J381" i="100"/>
  <c r="M381" i="100" s="1"/>
  <c r="J380" i="100"/>
  <c r="M380" i="100" s="1"/>
  <c r="J379" i="100"/>
  <c r="M379" i="100" s="1"/>
  <c r="J378" i="100"/>
  <c r="M378" i="100" s="1"/>
  <c r="J377" i="100"/>
  <c r="M377" i="100" s="1"/>
  <c r="J376" i="100"/>
  <c r="M376" i="100" s="1"/>
  <c r="J375" i="100"/>
  <c r="M375" i="100" s="1"/>
  <c r="J374" i="100"/>
  <c r="M374" i="100" s="1"/>
  <c r="J373" i="100"/>
  <c r="M373" i="100" s="1"/>
  <c r="M372" i="100"/>
  <c r="J372" i="100"/>
  <c r="J371" i="100"/>
  <c r="M371" i="100" s="1"/>
  <c r="J370" i="100"/>
  <c r="M370" i="100" s="1"/>
  <c r="J369" i="100"/>
  <c r="M369" i="100" s="1"/>
  <c r="J368" i="100"/>
  <c r="M368" i="100" s="1"/>
  <c r="J367" i="100"/>
  <c r="M367" i="100" s="1"/>
  <c r="J366" i="100"/>
  <c r="M366" i="100" s="1"/>
  <c r="J365" i="100"/>
  <c r="M365" i="100" s="1"/>
  <c r="J364" i="100"/>
  <c r="M364" i="100" s="1"/>
  <c r="J363" i="100"/>
  <c r="M363" i="100" s="1"/>
  <c r="M362" i="100"/>
  <c r="J362" i="100"/>
  <c r="J361" i="100"/>
  <c r="M361" i="100" s="1"/>
  <c r="J360" i="100"/>
  <c r="M360" i="100" s="1"/>
  <c r="J359" i="100"/>
  <c r="M359" i="100" s="1"/>
  <c r="J358" i="100"/>
  <c r="M358" i="100" s="1"/>
  <c r="J357" i="100"/>
  <c r="M357" i="100" s="1"/>
  <c r="J356" i="100"/>
  <c r="M356" i="100" s="1"/>
  <c r="J355" i="100"/>
  <c r="M355" i="100" s="1"/>
  <c r="J354" i="100"/>
  <c r="M354" i="100" s="1"/>
  <c r="J353" i="100"/>
  <c r="M353" i="100" s="1"/>
  <c r="J352" i="100"/>
  <c r="M352" i="100" s="1"/>
  <c r="J351" i="100"/>
  <c r="M351" i="100" s="1"/>
  <c r="J350" i="100"/>
  <c r="M350" i="100" s="1"/>
  <c r="J349" i="100"/>
  <c r="M349" i="100" s="1"/>
  <c r="J348" i="100"/>
  <c r="M348" i="100" s="1"/>
  <c r="M347" i="100"/>
  <c r="J347" i="100"/>
  <c r="J346" i="100"/>
  <c r="M346" i="100" s="1"/>
  <c r="J345" i="100"/>
  <c r="M345" i="100" s="1"/>
  <c r="J344" i="100"/>
  <c r="M344" i="100" s="1"/>
  <c r="J343" i="100"/>
  <c r="M343" i="100" s="1"/>
  <c r="J342" i="100"/>
  <c r="M342" i="100" s="1"/>
  <c r="J341" i="100"/>
  <c r="M341" i="100" s="1"/>
  <c r="J340" i="100"/>
  <c r="M340" i="100" s="1"/>
  <c r="J339" i="100"/>
  <c r="M339" i="100" s="1"/>
  <c r="J338" i="100"/>
  <c r="M338" i="100" s="1"/>
  <c r="J337" i="100"/>
  <c r="M337" i="100" s="1"/>
  <c r="J336" i="100"/>
  <c r="M336" i="100" s="1"/>
  <c r="M335" i="100"/>
  <c r="J335" i="100"/>
  <c r="J334" i="100"/>
  <c r="M334" i="100" s="1"/>
  <c r="M333" i="100"/>
  <c r="J333" i="100"/>
  <c r="J332" i="100"/>
  <c r="M332" i="100" s="1"/>
  <c r="M331" i="100"/>
  <c r="J331" i="100"/>
  <c r="J330" i="100"/>
  <c r="M330" i="100" s="1"/>
  <c r="J329" i="100"/>
  <c r="M329" i="100" s="1"/>
  <c r="M328" i="100"/>
  <c r="J328" i="100"/>
  <c r="M327" i="100"/>
  <c r="J327" i="100"/>
  <c r="J326" i="100"/>
  <c r="M325" i="100"/>
  <c r="M323" i="100"/>
  <c r="M322" i="100"/>
  <c r="M319" i="100"/>
  <c r="N312" i="100"/>
  <c r="N311" i="100"/>
  <c r="O308" i="100"/>
  <c r="O306" i="100"/>
  <c r="N306" i="100"/>
  <c r="N305" i="100"/>
  <c r="O304" i="100"/>
  <c r="M299" i="100"/>
  <c r="M298" i="100"/>
  <c r="M291" i="100"/>
  <c r="J289" i="100"/>
  <c r="M289" i="100" s="1"/>
  <c r="J288" i="100"/>
  <c r="M288" i="100" s="1"/>
  <c r="M287" i="100"/>
  <c r="J287" i="100"/>
  <c r="J286" i="100"/>
  <c r="M286" i="100" s="1"/>
  <c r="J285" i="100"/>
  <c r="M285" i="100" s="1"/>
  <c r="J284" i="100"/>
  <c r="M284" i="100" s="1"/>
  <c r="J283" i="100"/>
  <c r="M283" i="100" s="1"/>
  <c r="M282" i="100"/>
  <c r="J282" i="100"/>
  <c r="M281" i="100"/>
  <c r="J281" i="100"/>
  <c r="J280" i="100"/>
  <c r="M280" i="100" s="1"/>
  <c r="M279" i="100"/>
  <c r="J279" i="100"/>
  <c r="J278" i="100"/>
  <c r="M278" i="100" s="1"/>
  <c r="J277" i="100"/>
  <c r="M277" i="100" s="1"/>
  <c r="J276" i="100"/>
  <c r="M276" i="100" s="1"/>
  <c r="J275" i="100"/>
  <c r="M275" i="100" s="1"/>
  <c r="J274" i="100"/>
  <c r="M274" i="100" s="1"/>
  <c r="J273" i="100"/>
  <c r="M273" i="100" s="1"/>
  <c r="J272" i="100"/>
  <c r="M272" i="100" s="1"/>
  <c r="J271" i="100"/>
  <c r="M271" i="100" s="1"/>
  <c r="J270" i="100"/>
  <c r="M270" i="100" s="1"/>
  <c r="L269" i="100"/>
  <c r="O269" i="100" s="1"/>
  <c r="K269" i="100"/>
  <c r="N269" i="100" s="1"/>
  <c r="L268" i="100"/>
  <c r="O268" i="100" s="1"/>
  <c r="K268" i="100"/>
  <c r="N268" i="100" s="1"/>
  <c r="L267" i="100"/>
  <c r="O267" i="100" s="1"/>
  <c r="K267" i="100"/>
  <c r="N267" i="100" s="1"/>
  <c r="L266" i="100"/>
  <c r="O266" i="100" s="1"/>
  <c r="K266" i="100"/>
  <c r="N266" i="100" s="1"/>
  <c r="L265" i="100"/>
  <c r="O265" i="100" s="1"/>
  <c r="K265" i="100"/>
  <c r="N265" i="100" s="1"/>
  <c r="O264" i="100"/>
  <c r="L264" i="100"/>
  <c r="K264" i="100"/>
  <c r="N264" i="100" s="1"/>
  <c r="O263" i="100"/>
  <c r="L263" i="100"/>
  <c r="K263" i="100"/>
  <c r="N263" i="100" s="1"/>
  <c r="N262" i="100"/>
  <c r="L262" i="100"/>
  <c r="O262" i="100" s="1"/>
  <c r="K262" i="100"/>
  <c r="O261" i="100"/>
  <c r="L261" i="100"/>
  <c r="K261" i="100"/>
  <c r="N261" i="100" s="1"/>
  <c r="O260" i="100"/>
  <c r="L260" i="100"/>
  <c r="K260" i="100"/>
  <c r="N260" i="100" s="1"/>
  <c r="L259" i="100"/>
  <c r="O259" i="100" s="1"/>
  <c r="K259" i="100"/>
  <c r="N259" i="100" s="1"/>
  <c r="L258" i="100"/>
  <c r="O258" i="100" s="1"/>
  <c r="K258" i="100"/>
  <c r="N258" i="100" s="1"/>
  <c r="L257" i="100"/>
  <c r="O257" i="100" s="1"/>
  <c r="K257" i="100"/>
  <c r="N257" i="100" s="1"/>
  <c r="L256" i="100"/>
  <c r="O256" i="100" s="1"/>
  <c r="K256" i="100"/>
  <c r="N256" i="100" s="1"/>
  <c r="L255" i="100"/>
  <c r="O255" i="100" s="1"/>
  <c r="K255" i="100"/>
  <c r="N255" i="100" s="1"/>
  <c r="L254" i="100"/>
  <c r="O254" i="100" s="1"/>
  <c r="K254" i="100"/>
  <c r="N254" i="100" s="1"/>
  <c r="L253" i="100"/>
  <c r="O253" i="100" s="1"/>
  <c r="K253" i="100"/>
  <c r="N253" i="100" s="1"/>
  <c r="N252" i="100"/>
  <c r="L252" i="100"/>
  <c r="O252" i="100" s="1"/>
  <c r="K252" i="100"/>
  <c r="L251" i="100"/>
  <c r="O251" i="100" s="1"/>
  <c r="K251" i="100"/>
  <c r="N251" i="100" s="1"/>
  <c r="L250" i="100"/>
  <c r="O250" i="100" s="1"/>
  <c r="K250" i="100"/>
  <c r="N250" i="100" s="1"/>
  <c r="M249" i="100"/>
  <c r="J249" i="100"/>
  <c r="J248" i="100"/>
  <c r="M248" i="100" s="1"/>
  <c r="J247" i="100"/>
  <c r="M247" i="100" s="1"/>
  <c r="J246" i="100"/>
  <c r="M246" i="100" s="1"/>
  <c r="J245" i="100"/>
  <c r="M245" i="100" s="1"/>
  <c r="J244" i="100"/>
  <c r="M244" i="100" s="1"/>
  <c r="J243" i="100"/>
  <c r="M243" i="100" s="1"/>
  <c r="J242" i="100"/>
  <c r="M242" i="100" s="1"/>
  <c r="J241" i="100"/>
  <c r="M241" i="100" s="1"/>
  <c r="J240" i="100"/>
  <c r="M240" i="100" s="1"/>
  <c r="J239" i="100"/>
  <c r="M239" i="100" s="1"/>
  <c r="M238" i="100"/>
  <c r="J238" i="100"/>
  <c r="M237" i="100"/>
  <c r="J237" i="100"/>
  <c r="J236" i="100"/>
  <c r="M236" i="100" s="1"/>
  <c r="M235" i="100"/>
  <c r="J235" i="100"/>
  <c r="J234" i="100"/>
  <c r="M234" i="100" s="1"/>
  <c r="M233" i="100"/>
  <c r="J233" i="100"/>
  <c r="J232" i="100"/>
  <c r="M232" i="100" s="1"/>
  <c r="J231" i="100"/>
  <c r="M231" i="100" s="1"/>
  <c r="J230" i="100"/>
  <c r="M230" i="100" s="1"/>
  <c r="J229" i="100"/>
  <c r="M229" i="100" s="1"/>
  <c r="J228" i="100"/>
  <c r="M228" i="100" s="1"/>
  <c r="J227" i="100"/>
  <c r="M227" i="100" s="1"/>
  <c r="J226" i="100"/>
  <c r="M226" i="100" s="1"/>
  <c r="M225" i="100"/>
  <c r="J225" i="100"/>
  <c r="M224" i="100"/>
  <c r="J224" i="100"/>
  <c r="J223" i="100"/>
  <c r="M223" i="100" s="1"/>
  <c r="J222" i="100"/>
  <c r="M222" i="100" s="1"/>
  <c r="M221" i="100"/>
  <c r="J221" i="100"/>
  <c r="J220" i="100"/>
  <c r="M220" i="100" s="1"/>
  <c r="J219" i="100"/>
  <c r="M219" i="100" s="1"/>
  <c r="M218" i="100"/>
  <c r="J218" i="100"/>
  <c r="J217" i="100"/>
  <c r="M217" i="100" s="1"/>
  <c r="J216" i="100"/>
  <c r="M216" i="100" s="1"/>
  <c r="J215" i="100"/>
  <c r="M215" i="100" s="1"/>
  <c r="J214" i="100"/>
  <c r="M214" i="100" s="1"/>
  <c r="J213" i="100"/>
  <c r="M213" i="100" s="1"/>
  <c r="J212" i="100"/>
  <c r="M212" i="100" s="1"/>
  <c r="J211" i="100"/>
  <c r="M211" i="100" s="1"/>
  <c r="J210" i="100"/>
  <c r="M210" i="100" s="1"/>
  <c r="M209" i="100"/>
  <c r="J209" i="100"/>
  <c r="J208" i="100"/>
  <c r="M208" i="100" s="1"/>
  <c r="J207" i="100"/>
  <c r="M207" i="100" s="1"/>
  <c r="J206" i="100"/>
  <c r="M206" i="100" s="1"/>
  <c r="L205" i="100"/>
  <c r="O205" i="100" s="1"/>
  <c r="K205" i="100"/>
  <c r="N205" i="100" s="1"/>
  <c r="L204" i="100"/>
  <c r="O204" i="100" s="1"/>
  <c r="K204" i="100"/>
  <c r="N204" i="100" s="1"/>
  <c r="L203" i="100"/>
  <c r="O203" i="100" s="1"/>
  <c r="K203" i="100"/>
  <c r="N203" i="100" s="1"/>
  <c r="O202" i="100"/>
  <c r="L202" i="100"/>
  <c r="K202" i="100"/>
  <c r="N202" i="100" s="1"/>
  <c r="L201" i="100"/>
  <c r="O201" i="100" s="1"/>
  <c r="K201" i="100"/>
  <c r="N201" i="100" s="1"/>
  <c r="L200" i="100"/>
  <c r="O200" i="100" s="1"/>
  <c r="K200" i="100"/>
  <c r="N200" i="100" s="1"/>
  <c r="L199" i="100"/>
  <c r="O199" i="100" s="1"/>
  <c r="K199" i="100"/>
  <c r="N199" i="100" s="1"/>
  <c r="L198" i="100"/>
  <c r="O198" i="100" s="1"/>
  <c r="K198" i="100"/>
  <c r="N198" i="100" s="1"/>
  <c r="L197" i="100"/>
  <c r="O197" i="100" s="1"/>
  <c r="K197" i="100"/>
  <c r="N197" i="100" s="1"/>
  <c r="L196" i="100"/>
  <c r="O196" i="100" s="1"/>
  <c r="K196" i="100"/>
  <c r="N196" i="100" s="1"/>
  <c r="N195" i="100"/>
  <c r="L195" i="100"/>
  <c r="O195" i="100" s="1"/>
  <c r="K195" i="100"/>
  <c r="L194" i="100"/>
  <c r="O194" i="100" s="1"/>
  <c r="K194" i="100"/>
  <c r="N194" i="100" s="1"/>
  <c r="L193" i="100"/>
  <c r="O193" i="100" s="1"/>
  <c r="K193" i="100"/>
  <c r="N193" i="100" s="1"/>
  <c r="L192" i="100"/>
  <c r="O192" i="100" s="1"/>
  <c r="K192" i="100"/>
  <c r="N192" i="100" s="1"/>
  <c r="L191" i="100"/>
  <c r="O191" i="100" s="1"/>
  <c r="K191" i="100"/>
  <c r="N191" i="100" s="1"/>
  <c r="L190" i="100"/>
  <c r="O190" i="100" s="1"/>
  <c r="K190" i="100"/>
  <c r="N190" i="100" s="1"/>
  <c r="L189" i="100"/>
  <c r="O189" i="100" s="1"/>
  <c r="K189" i="100"/>
  <c r="N189" i="100" s="1"/>
  <c r="L188" i="100"/>
  <c r="O188" i="100" s="1"/>
  <c r="K188" i="100"/>
  <c r="N188" i="100" s="1"/>
  <c r="O187" i="100"/>
  <c r="L187" i="100"/>
  <c r="K187" i="100"/>
  <c r="N187" i="100" s="1"/>
  <c r="L186" i="100"/>
  <c r="O186" i="100" s="1"/>
  <c r="K186" i="100"/>
  <c r="N186" i="100" s="1"/>
  <c r="N185" i="100"/>
  <c r="L185" i="100"/>
  <c r="O185" i="100" s="1"/>
  <c r="K185" i="100"/>
  <c r="L184" i="100"/>
  <c r="O184" i="100" s="1"/>
  <c r="K184" i="100"/>
  <c r="N184" i="100" s="1"/>
  <c r="L183" i="100"/>
  <c r="O183" i="100" s="1"/>
  <c r="K183" i="100"/>
  <c r="N183" i="100" s="1"/>
  <c r="L182" i="100"/>
  <c r="O182" i="100" s="1"/>
  <c r="K182" i="100"/>
  <c r="N182" i="100" s="1"/>
  <c r="J181" i="100"/>
  <c r="M181" i="100" s="1"/>
  <c r="J180" i="100"/>
  <c r="M180" i="100" s="1"/>
  <c r="J179" i="100"/>
  <c r="M179" i="100" s="1"/>
  <c r="J178" i="100"/>
  <c r="M178" i="100" s="1"/>
  <c r="J177" i="100"/>
  <c r="M177" i="100" s="1"/>
  <c r="J176" i="100"/>
  <c r="M176" i="100" s="1"/>
  <c r="J175" i="100"/>
  <c r="M175" i="100" s="1"/>
  <c r="M174" i="100"/>
  <c r="J174" i="100"/>
  <c r="J173" i="100"/>
  <c r="M173" i="100" s="1"/>
  <c r="J172" i="100"/>
  <c r="M172" i="100" s="1"/>
  <c r="J171" i="100"/>
  <c r="M171" i="100" s="1"/>
  <c r="J170" i="100"/>
  <c r="M170" i="100" s="1"/>
  <c r="J169" i="100"/>
  <c r="M169" i="100" s="1"/>
  <c r="M168" i="100"/>
  <c r="J168" i="100"/>
  <c r="J167" i="100"/>
  <c r="M167" i="100" s="1"/>
  <c r="J166" i="100"/>
  <c r="M166" i="100" s="1"/>
  <c r="J165" i="100"/>
  <c r="M165" i="100" s="1"/>
  <c r="J164" i="100"/>
  <c r="M164" i="100" s="1"/>
  <c r="J163" i="100"/>
  <c r="M163" i="100" s="1"/>
  <c r="M162" i="100"/>
  <c r="J162" i="100"/>
  <c r="J161" i="100"/>
  <c r="M161" i="100" s="1"/>
  <c r="M160" i="100"/>
  <c r="J160" i="100"/>
  <c r="J159" i="100"/>
  <c r="M159" i="100" s="1"/>
  <c r="M158" i="100"/>
  <c r="J158" i="100"/>
  <c r="L157" i="100"/>
  <c r="O157" i="100" s="1"/>
  <c r="J157" i="100"/>
  <c r="M157" i="100" s="1"/>
  <c r="L156" i="100"/>
  <c r="O156" i="100" s="1"/>
  <c r="J156" i="100"/>
  <c r="M156" i="100" s="1"/>
  <c r="O155" i="100"/>
  <c r="L155" i="100"/>
  <c r="J155" i="100"/>
  <c r="M155" i="100" s="1"/>
  <c r="L154" i="100"/>
  <c r="O154" i="100" s="1"/>
  <c r="J154" i="100"/>
  <c r="M154" i="100" s="1"/>
  <c r="L153" i="100"/>
  <c r="O153" i="100" s="1"/>
  <c r="J153" i="100"/>
  <c r="M153" i="100" s="1"/>
  <c r="L152" i="100"/>
  <c r="O152" i="100" s="1"/>
  <c r="J152" i="100"/>
  <c r="M152" i="100" s="1"/>
  <c r="O151" i="100"/>
  <c r="L151" i="100"/>
  <c r="J151" i="100"/>
  <c r="M151" i="100" s="1"/>
  <c r="L150" i="100"/>
  <c r="O150" i="100" s="1"/>
  <c r="J150" i="100"/>
  <c r="M150" i="100" s="1"/>
  <c r="L149" i="100"/>
  <c r="O149" i="100" s="1"/>
  <c r="J149" i="100"/>
  <c r="M149" i="100" s="1"/>
  <c r="L148" i="100"/>
  <c r="O148" i="100" s="1"/>
  <c r="J148" i="100"/>
  <c r="M148" i="100" s="1"/>
  <c r="M147" i="100"/>
  <c r="L147" i="100"/>
  <c r="O147" i="100" s="1"/>
  <c r="J147" i="100"/>
  <c r="L146" i="100"/>
  <c r="O146" i="100" s="1"/>
  <c r="J146" i="100"/>
  <c r="M146" i="100" s="1"/>
  <c r="L145" i="100"/>
  <c r="O145" i="100" s="1"/>
  <c r="K145" i="100"/>
  <c r="N145" i="100" s="1"/>
  <c r="L144" i="100"/>
  <c r="O144" i="100" s="1"/>
  <c r="K144" i="100"/>
  <c r="N144" i="100" s="1"/>
  <c r="L143" i="100"/>
  <c r="O143" i="100" s="1"/>
  <c r="K143" i="100"/>
  <c r="N143" i="100" s="1"/>
  <c r="L142" i="100"/>
  <c r="O142" i="100" s="1"/>
  <c r="K142" i="100"/>
  <c r="N142" i="100" s="1"/>
  <c r="L141" i="100"/>
  <c r="O141" i="100" s="1"/>
  <c r="K141" i="100"/>
  <c r="N141" i="100" s="1"/>
  <c r="L140" i="100"/>
  <c r="O140" i="100" s="1"/>
  <c r="K140" i="100"/>
  <c r="N140" i="100" s="1"/>
  <c r="L139" i="100"/>
  <c r="O139" i="100" s="1"/>
  <c r="K139" i="100"/>
  <c r="N139" i="100" s="1"/>
  <c r="L138" i="100"/>
  <c r="O138" i="100" s="1"/>
  <c r="K138" i="100"/>
  <c r="N138" i="100" s="1"/>
  <c r="L137" i="100"/>
  <c r="O137" i="100" s="1"/>
  <c r="K137" i="100"/>
  <c r="N137" i="100" s="1"/>
  <c r="L136" i="100"/>
  <c r="O136" i="100" s="1"/>
  <c r="K136" i="100"/>
  <c r="N136" i="100" s="1"/>
  <c r="L135" i="100"/>
  <c r="O135" i="100" s="1"/>
  <c r="K135" i="100"/>
  <c r="N135" i="100" s="1"/>
  <c r="L134" i="100"/>
  <c r="O134" i="100" s="1"/>
  <c r="K134" i="100"/>
  <c r="N134" i="100" s="1"/>
  <c r="L133" i="100"/>
  <c r="O133" i="100" s="1"/>
  <c r="J133" i="100"/>
  <c r="M133" i="100" s="1"/>
  <c r="L132" i="100"/>
  <c r="O132" i="100" s="1"/>
  <c r="J132" i="100"/>
  <c r="M132" i="100" s="1"/>
  <c r="M131" i="100"/>
  <c r="L131" i="100"/>
  <c r="O131" i="100" s="1"/>
  <c r="J131" i="100"/>
  <c r="L130" i="100"/>
  <c r="O130" i="100" s="1"/>
  <c r="J130" i="100"/>
  <c r="M130" i="100" s="1"/>
  <c r="L129" i="100"/>
  <c r="O129" i="100" s="1"/>
  <c r="J129" i="100"/>
  <c r="M129" i="100" s="1"/>
  <c r="L128" i="100"/>
  <c r="O128" i="100" s="1"/>
  <c r="J128" i="100"/>
  <c r="M128" i="100" s="1"/>
  <c r="O127" i="100"/>
  <c r="L127" i="100"/>
  <c r="J127" i="100"/>
  <c r="M127" i="100" s="1"/>
  <c r="L126" i="100"/>
  <c r="O126" i="100" s="1"/>
  <c r="J126" i="100"/>
  <c r="M126" i="100" s="1"/>
  <c r="L125" i="100"/>
  <c r="O125" i="100" s="1"/>
  <c r="J125" i="100"/>
  <c r="M125" i="100" s="1"/>
  <c r="L124" i="100"/>
  <c r="O124" i="100" s="1"/>
  <c r="J124" i="100"/>
  <c r="M124" i="100" s="1"/>
  <c r="L123" i="100"/>
  <c r="O123" i="100" s="1"/>
  <c r="J123" i="100"/>
  <c r="M123" i="100" s="1"/>
  <c r="L122" i="100"/>
  <c r="O122" i="100" s="1"/>
  <c r="J122" i="100"/>
  <c r="M122" i="100" s="1"/>
  <c r="M121" i="100"/>
  <c r="J121" i="100"/>
  <c r="J120" i="100"/>
  <c r="M120" i="100" s="1"/>
  <c r="J119" i="100"/>
  <c r="M119" i="100" s="1"/>
  <c r="J118" i="100"/>
  <c r="M118" i="100" s="1"/>
  <c r="J117" i="100"/>
  <c r="M117" i="100" s="1"/>
  <c r="M116" i="100"/>
  <c r="J116" i="100"/>
  <c r="J115" i="100"/>
  <c r="M115" i="100" s="1"/>
  <c r="J114" i="100"/>
  <c r="M114" i="100" s="1"/>
  <c r="J113" i="100"/>
  <c r="M113" i="100" s="1"/>
  <c r="J112" i="100"/>
  <c r="M112" i="100" s="1"/>
  <c r="M111" i="100"/>
  <c r="J111" i="100"/>
  <c r="J110" i="100"/>
  <c r="M110" i="100" s="1"/>
  <c r="J109" i="100"/>
  <c r="M109" i="100" s="1"/>
  <c r="J108" i="100"/>
  <c r="M108" i="100" s="1"/>
  <c r="J107" i="100"/>
  <c r="M107" i="100" s="1"/>
  <c r="J106" i="100"/>
  <c r="M106" i="100" s="1"/>
  <c r="J105" i="100"/>
  <c r="M105" i="100" s="1"/>
  <c r="J104" i="100"/>
  <c r="M104" i="100" s="1"/>
  <c r="J103" i="100"/>
  <c r="M103" i="100" s="1"/>
  <c r="J102" i="100"/>
  <c r="M102" i="100" s="1"/>
  <c r="O101" i="100"/>
  <c r="L101" i="100"/>
  <c r="K101" i="100"/>
  <c r="N101" i="100" s="1"/>
  <c r="N100" i="100"/>
  <c r="L100" i="100"/>
  <c r="O100" i="100" s="1"/>
  <c r="K100" i="100"/>
  <c r="L99" i="100"/>
  <c r="O99" i="100" s="1"/>
  <c r="K99" i="100"/>
  <c r="N99" i="100" s="1"/>
  <c r="L98" i="100"/>
  <c r="O98" i="100" s="1"/>
  <c r="K98" i="100"/>
  <c r="N98" i="100" s="1"/>
  <c r="L97" i="100"/>
  <c r="O97" i="100" s="1"/>
  <c r="K97" i="100"/>
  <c r="N97" i="100" s="1"/>
  <c r="L96" i="100"/>
  <c r="O96" i="100" s="1"/>
  <c r="K96" i="100"/>
  <c r="N96" i="100" s="1"/>
  <c r="L95" i="100"/>
  <c r="O95" i="100" s="1"/>
  <c r="K95" i="100"/>
  <c r="N95" i="100" s="1"/>
  <c r="L94" i="100"/>
  <c r="O94" i="100" s="1"/>
  <c r="K94" i="100"/>
  <c r="N94" i="100" s="1"/>
  <c r="L93" i="100"/>
  <c r="O93" i="100" s="1"/>
  <c r="K93" i="100"/>
  <c r="N93" i="100" s="1"/>
  <c r="N92" i="100"/>
  <c r="L92" i="100"/>
  <c r="O92" i="100" s="1"/>
  <c r="K92" i="100"/>
  <c r="L91" i="100"/>
  <c r="O91" i="100" s="1"/>
  <c r="K91" i="100"/>
  <c r="N91" i="100" s="1"/>
  <c r="L90" i="100"/>
  <c r="O90" i="100" s="1"/>
  <c r="K90" i="100"/>
  <c r="N90" i="100" s="1"/>
  <c r="L89" i="100"/>
  <c r="O89" i="100" s="1"/>
  <c r="K89" i="100"/>
  <c r="N89" i="100" s="1"/>
  <c r="L88" i="100"/>
  <c r="O88" i="100" s="1"/>
  <c r="K88" i="100"/>
  <c r="N88" i="100" s="1"/>
  <c r="L87" i="100"/>
  <c r="O87" i="100" s="1"/>
  <c r="K87" i="100"/>
  <c r="N87" i="100" s="1"/>
  <c r="L86" i="100"/>
  <c r="O86" i="100" s="1"/>
  <c r="K86" i="100"/>
  <c r="N86" i="100" s="1"/>
  <c r="O85" i="100"/>
  <c r="L85" i="100"/>
  <c r="K85" i="100"/>
  <c r="N85" i="100" s="1"/>
  <c r="N84" i="100"/>
  <c r="L84" i="100"/>
  <c r="O84" i="100" s="1"/>
  <c r="K84" i="100"/>
  <c r="O83" i="100"/>
  <c r="N83" i="100"/>
  <c r="L83" i="100"/>
  <c r="K83" i="100"/>
  <c r="L82" i="100"/>
  <c r="O82" i="100" s="1"/>
  <c r="K82" i="100"/>
  <c r="N82" i="100" s="1"/>
  <c r="J81" i="100"/>
  <c r="M81" i="100" s="1"/>
  <c r="J80" i="100"/>
  <c r="M80" i="100" s="1"/>
  <c r="J79" i="100"/>
  <c r="M79" i="100" s="1"/>
  <c r="J78" i="100"/>
  <c r="M78" i="100" s="1"/>
  <c r="M77" i="100"/>
  <c r="J77" i="100"/>
  <c r="J76" i="100"/>
  <c r="M76" i="100" s="1"/>
  <c r="M75" i="100"/>
  <c r="J75" i="100"/>
  <c r="J74" i="100"/>
  <c r="M74" i="100" s="1"/>
  <c r="J73" i="100"/>
  <c r="M73" i="100" s="1"/>
  <c r="J72" i="100"/>
  <c r="M72" i="100" s="1"/>
  <c r="J71" i="100"/>
  <c r="M71" i="100" s="1"/>
  <c r="J70" i="100"/>
  <c r="M70" i="100" s="1"/>
  <c r="J69" i="100"/>
  <c r="M69" i="100" s="1"/>
  <c r="J68" i="100"/>
  <c r="M68" i="100" s="1"/>
  <c r="J67" i="100"/>
  <c r="M67" i="100" s="1"/>
  <c r="J66" i="100"/>
  <c r="M66" i="100" s="1"/>
  <c r="J65" i="100"/>
  <c r="M65" i="100" s="1"/>
  <c r="J64" i="100"/>
  <c r="M64" i="100" s="1"/>
  <c r="M63" i="100"/>
  <c r="J63" i="100"/>
  <c r="J62" i="100"/>
  <c r="M62" i="100" s="1"/>
  <c r="L37" i="100"/>
  <c r="O37" i="100" s="1"/>
  <c r="L36" i="100"/>
  <c r="O36" i="100" s="1"/>
  <c r="L35" i="100"/>
  <c r="O35" i="100" s="1"/>
  <c r="L34" i="100"/>
  <c r="O34" i="100" s="1"/>
  <c r="L33" i="100"/>
  <c r="O33" i="100" s="1"/>
  <c r="L32" i="100"/>
  <c r="O32" i="100" s="1"/>
  <c r="L31" i="100"/>
  <c r="O31" i="100" s="1"/>
  <c r="L30" i="100"/>
  <c r="O30" i="100" s="1"/>
  <c r="L29" i="100"/>
  <c r="O29" i="100" s="1"/>
  <c r="L28" i="100"/>
  <c r="O28" i="100" s="1"/>
  <c r="L27" i="100"/>
  <c r="O27" i="100" s="1"/>
  <c r="L26" i="100"/>
  <c r="O26" i="100" s="1"/>
  <c r="M25" i="100"/>
  <c r="L25" i="100"/>
  <c r="O25" i="100" s="1"/>
  <c r="J25" i="100"/>
  <c r="L24" i="100"/>
  <c r="O24" i="100" s="1"/>
  <c r="J24" i="100"/>
  <c r="M24" i="100" s="1"/>
  <c r="L23" i="100"/>
  <c r="O23" i="100" s="1"/>
  <c r="J23" i="100"/>
  <c r="M23" i="100" s="1"/>
  <c r="L22" i="100"/>
  <c r="O22" i="100" s="1"/>
  <c r="J22" i="100"/>
  <c r="M22" i="100" s="1"/>
  <c r="M21" i="100"/>
  <c r="L21" i="100"/>
  <c r="O21" i="100" s="1"/>
  <c r="J21" i="100"/>
  <c r="L20" i="100"/>
  <c r="O20" i="100" s="1"/>
  <c r="J20" i="100"/>
  <c r="M20" i="100" s="1"/>
  <c r="L19" i="100"/>
  <c r="O19" i="100" s="1"/>
  <c r="J19" i="100"/>
  <c r="M19" i="100" s="1"/>
  <c r="L18" i="100"/>
  <c r="O18" i="100" s="1"/>
  <c r="J18" i="100"/>
  <c r="M18" i="100" s="1"/>
  <c r="L17" i="100"/>
  <c r="O17" i="100" s="1"/>
  <c r="J17" i="100"/>
  <c r="M17" i="100" s="1"/>
  <c r="L16" i="100"/>
  <c r="O16" i="100" s="1"/>
  <c r="J16" i="100"/>
  <c r="M16" i="100" s="1"/>
  <c r="M15" i="100"/>
  <c r="L15" i="100"/>
  <c r="O15" i="100" s="1"/>
  <c r="J15" i="100"/>
  <c r="L14" i="100"/>
  <c r="O14" i="100" s="1"/>
  <c r="J14" i="100"/>
  <c r="M14" i="100" s="1"/>
  <c r="L13" i="100"/>
  <c r="O13" i="100" s="1"/>
  <c r="L12" i="100"/>
  <c r="O12" i="100" s="1"/>
  <c r="L11" i="100"/>
  <c r="O11" i="100" s="1"/>
  <c r="L10" i="100"/>
  <c r="O10" i="100" s="1"/>
  <c r="L9" i="100"/>
  <c r="O9" i="100" s="1"/>
  <c r="L8" i="100"/>
  <c r="O8" i="100" s="1"/>
  <c r="L7" i="100"/>
  <c r="O7" i="100" s="1"/>
  <c r="L6" i="100"/>
  <c r="O6" i="100" s="1"/>
  <c r="L5" i="100"/>
  <c r="O5" i="100" s="1"/>
  <c r="L4" i="100"/>
  <c r="O4" i="100" s="1"/>
  <c r="L3" i="100"/>
  <c r="O3" i="100" s="1"/>
  <c r="L2" i="100"/>
  <c r="O2" i="100" s="1"/>
  <c r="X629" i="96"/>
  <c r="W629" i="96"/>
  <c r="X628" i="96"/>
  <c r="W628" i="96"/>
  <c r="X627" i="96"/>
  <c r="W627" i="96"/>
  <c r="AC627" i="96" s="1"/>
  <c r="X626" i="96"/>
  <c r="AD626" i="96" s="1"/>
  <c r="W626" i="96"/>
  <c r="X625" i="96"/>
  <c r="W625" i="96"/>
  <c r="X624" i="96"/>
  <c r="W624" i="96"/>
  <c r="AC624" i="96" s="1"/>
  <c r="X623" i="96"/>
  <c r="W623" i="96"/>
  <c r="X622" i="96"/>
  <c r="AD622" i="96" s="1"/>
  <c r="W622" i="96"/>
  <c r="X621" i="96"/>
  <c r="W621" i="96"/>
  <c r="AC621" i="96" s="1"/>
  <c r="X620" i="96"/>
  <c r="W620" i="96"/>
  <c r="AC620" i="96" s="1"/>
  <c r="X619" i="96"/>
  <c r="W619" i="96"/>
  <c r="X618" i="96"/>
  <c r="W618" i="96"/>
  <c r="AC618" i="96" s="1"/>
  <c r="X617" i="96"/>
  <c r="AD617" i="96" s="1"/>
  <c r="W617" i="96"/>
  <c r="X325" i="96"/>
  <c r="W325" i="96"/>
  <c r="X324" i="96"/>
  <c r="W324" i="96"/>
  <c r="AC324" i="96" s="1"/>
  <c r="X323" i="96"/>
  <c r="W323" i="96"/>
  <c r="X322" i="96"/>
  <c r="W322" i="96"/>
  <c r="AC322" i="96" s="1"/>
  <c r="X321" i="96"/>
  <c r="W321" i="96"/>
  <c r="AC321" i="96" s="1"/>
  <c r="X320" i="96"/>
  <c r="W320" i="96"/>
  <c r="X319" i="96"/>
  <c r="W319" i="96"/>
  <c r="X318" i="96"/>
  <c r="W318" i="96"/>
  <c r="AC318" i="96" s="1"/>
  <c r="X317" i="96"/>
  <c r="AD317" i="96" s="1"/>
  <c r="W317" i="96"/>
  <c r="AC317" i="96" s="1"/>
  <c r="X316" i="96"/>
  <c r="W316" i="96"/>
  <c r="AC316" i="96" s="1"/>
  <c r="X315" i="96"/>
  <c r="W315" i="96"/>
  <c r="AC315" i="96" s="1"/>
  <c r="X314" i="96"/>
  <c r="W314" i="96"/>
  <c r="V313" i="96"/>
  <c r="AB313" i="96" s="1"/>
  <c r="V312" i="96"/>
  <c r="V311" i="96"/>
  <c r="V310" i="96"/>
  <c r="AB310" i="96" s="1"/>
  <c r="V309" i="96"/>
  <c r="V308" i="96"/>
  <c r="V307" i="96"/>
  <c r="V306" i="96"/>
  <c r="V305" i="96"/>
  <c r="AB305" i="96" s="1"/>
  <c r="V304" i="96"/>
  <c r="V303" i="96"/>
  <c r="V302" i="96"/>
  <c r="X301" i="96"/>
  <c r="W301" i="96"/>
  <c r="X300" i="96"/>
  <c r="W300" i="96"/>
  <c r="AC300" i="96" s="1"/>
  <c r="X299" i="96"/>
  <c r="AD299" i="96" s="1"/>
  <c r="W299" i="96"/>
  <c r="X298" i="96"/>
  <c r="W298" i="96"/>
  <c r="X297" i="96"/>
  <c r="W297" i="96"/>
  <c r="AC297" i="96" s="1"/>
  <c r="X296" i="96"/>
  <c r="AD296" i="96" s="1"/>
  <c r="W296" i="96"/>
  <c r="X295" i="96"/>
  <c r="W295" i="96"/>
  <c r="X294" i="96"/>
  <c r="W294" i="96"/>
  <c r="AC294" i="96" s="1"/>
  <c r="X293" i="96"/>
  <c r="AD293" i="96" s="1"/>
  <c r="W293" i="96"/>
  <c r="X292" i="96"/>
  <c r="AD292" i="96" s="1"/>
  <c r="W292" i="96"/>
  <c r="AC292" i="96" s="1"/>
  <c r="X291" i="96"/>
  <c r="W291" i="96"/>
  <c r="AC291" i="96" s="1"/>
  <c r="X290" i="96"/>
  <c r="W290" i="96"/>
  <c r="AD257" i="97"/>
  <c r="X257" i="97"/>
  <c r="W257" i="97"/>
  <c r="AC257" i="97" s="1"/>
  <c r="AD256" i="97"/>
  <c r="X256" i="97"/>
  <c r="AC256" i="97" s="1"/>
  <c r="W256" i="97"/>
  <c r="AD255" i="97"/>
  <c r="X255" i="97"/>
  <c r="W255" i="97"/>
  <c r="AC255" i="97" s="1"/>
  <c r="AD254" i="97"/>
  <c r="X254" i="97"/>
  <c r="W254" i="97"/>
  <c r="AC254" i="97" s="1"/>
  <c r="AD253" i="97"/>
  <c r="X253" i="97"/>
  <c r="W253" i="97"/>
  <c r="AD252" i="97"/>
  <c r="X252" i="97"/>
  <c r="W252" i="97"/>
  <c r="AC252" i="97" s="1"/>
  <c r="AD251" i="97"/>
  <c r="X251" i="97"/>
  <c r="W251" i="97"/>
  <c r="AD250" i="97"/>
  <c r="X250" i="97"/>
  <c r="W250" i="97"/>
  <c r="AD249" i="97"/>
  <c r="X249" i="97"/>
  <c r="W249" i="97"/>
  <c r="AC249" i="97" s="1"/>
  <c r="AD248" i="97"/>
  <c r="AB248" i="97"/>
  <c r="X248" i="97"/>
  <c r="W248" i="97"/>
  <c r="AD247" i="97"/>
  <c r="X247" i="97"/>
  <c r="W247" i="97"/>
  <c r="AD246" i="97"/>
  <c r="X246" i="97"/>
  <c r="W246" i="97"/>
  <c r="AC246" i="97" s="1"/>
  <c r="AD245" i="97"/>
  <c r="X245" i="97"/>
  <c r="W245" i="97"/>
  <c r="AD109" i="97"/>
  <c r="X109" i="97"/>
  <c r="AC109" i="97" s="1"/>
  <c r="W109" i="97"/>
  <c r="AD108" i="97"/>
  <c r="X108" i="97"/>
  <c r="W108" i="97"/>
  <c r="AD107" i="97"/>
  <c r="X107" i="97"/>
  <c r="W107" i="97"/>
  <c r="AD106" i="97"/>
  <c r="X106" i="97"/>
  <c r="AC106" i="97" s="1"/>
  <c r="W106" i="97"/>
  <c r="AD105" i="97"/>
  <c r="AC105" i="97"/>
  <c r="X105" i="97"/>
  <c r="W105" i="97"/>
  <c r="AD104" i="97"/>
  <c r="X104" i="97"/>
  <c r="W104" i="97"/>
  <c r="AC104" i="97" s="1"/>
  <c r="AD103" i="97"/>
  <c r="AB103" i="97"/>
  <c r="X103" i="97"/>
  <c r="W103" i="97"/>
  <c r="AD102" i="97"/>
  <c r="X102" i="97"/>
  <c r="W102" i="97"/>
  <c r="AC102" i="97" s="1"/>
  <c r="AD101" i="97"/>
  <c r="X101" i="97"/>
  <c r="W101" i="97"/>
  <c r="AC101" i="97" s="1"/>
  <c r="AD100" i="97"/>
  <c r="X100" i="97"/>
  <c r="W100" i="97"/>
  <c r="AD99" i="97"/>
  <c r="X99" i="97"/>
  <c r="W99" i="97"/>
  <c r="AC99" i="97" s="1"/>
  <c r="AD98" i="97"/>
  <c r="X98" i="97"/>
  <c r="W98" i="97"/>
  <c r="AE97" i="97"/>
  <c r="V97" i="97"/>
  <c r="AB97" i="97" s="1"/>
  <c r="AE96" i="97"/>
  <c r="V96" i="97"/>
  <c r="AB96" i="97" s="1"/>
  <c r="AE95" i="97"/>
  <c r="V95" i="97"/>
  <c r="AB95" i="97" s="1"/>
  <c r="AE94" i="97"/>
  <c r="V94" i="97"/>
  <c r="AB94" i="97" s="1"/>
  <c r="AE93" i="97"/>
  <c r="V93" i="97"/>
  <c r="AB93" i="97" s="1"/>
  <c r="AE92" i="97"/>
  <c r="V92" i="97"/>
  <c r="AB92" i="97" s="1"/>
  <c r="AE91" i="97"/>
  <c r="V91" i="97"/>
  <c r="AB91" i="97" s="1"/>
  <c r="AE90" i="97"/>
  <c r="V90" i="97"/>
  <c r="AB90" i="97" s="1"/>
  <c r="AE89" i="97"/>
  <c r="V89" i="97"/>
  <c r="AB89" i="97" s="1"/>
  <c r="AE88" i="97"/>
  <c r="V88" i="97"/>
  <c r="AB88" i="97" s="1"/>
  <c r="AE87" i="97"/>
  <c r="V87" i="97"/>
  <c r="AB87" i="97" s="1"/>
  <c r="AE86" i="97"/>
  <c r="V86" i="97"/>
  <c r="AB86" i="97" s="1"/>
  <c r="AD85" i="97"/>
  <c r="X85" i="97"/>
  <c r="AC85" i="97" s="1"/>
  <c r="W85" i="97"/>
  <c r="AD84" i="97"/>
  <c r="X84" i="97"/>
  <c r="W84" i="97"/>
  <c r="AD83" i="97"/>
  <c r="X83" i="97"/>
  <c r="W83" i="97"/>
  <c r="AD82" i="97"/>
  <c r="X82" i="97"/>
  <c r="W82" i="97"/>
  <c r="AD81" i="97"/>
  <c r="AC81" i="97"/>
  <c r="X81" i="97"/>
  <c r="W81" i="97"/>
  <c r="AD80" i="97"/>
  <c r="X80" i="97"/>
  <c r="W80" i="97"/>
  <c r="AD79" i="97"/>
  <c r="X79" i="97"/>
  <c r="W79" i="97"/>
  <c r="AD78" i="97"/>
  <c r="X78" i="97"/>
  <c r="AC78" i="97" s="1"/>
  <c r="W78" i="97"/>
  <c r="AD77" i="97"/>
  <c r="X77" i="97"/>
  <c r="W77" i="97"/>
  <c r="AD76" i="97"/>
  <c r="X76" i="97"/>
  <c r="AC76" i="97" s="1"/>
  <c r="W76" i="97"/>
  <c r="AD75" i="97"/>
  <c r="X75" i="97"/>
  <c r="W75" i="97"/>
  <c r="AD74" i="97"/>
  <c r="X74" i="97"/>
  <c r="W74" i="97"/>
  <c r="M40" i="5"/>
  <c r="M39" i="5"/>
  <c r="M38" i="5"/>
  <c r="AI9" i="97"/>
  <c r="AJ4" i="97"/>
  <c r="AI4" i="97"/>
  <c r="AJ3" i="97"/>
  <c r="AI3" i="97"/>
  <c r="AD244" i="97"/>
  <c r="AD243" i="97"/>
  <c r="AD242" i="97"/>
  <c r="AD241" i="97"/>
  <c r="AD240" i="97"/>
  <c r="AD239" i="97"/>
  <c r="AD238" i="97"/>
  <c r="AD237" i="97"/>
  <c r="AD236" i="97"/>
  <c r="AD235" i="97"/>
  <c r="AD234" i="97"/>
  <c r="AD233" i="97"/>
  <c r="AD232" i="97"/>
  <c r="AD231" i="97"/>
  <c r="AD230" i="97"/>
  <c r="AD229" i="97"/>
  <c r="AD228" i="97"/>
  <c r="AD227" i="97"/>
  <c r="AD226" i="97"/>
  <c r="AD225" i="97"/>
  <c r="AD224" i="97"/>
  <c r="AD223" i="97"/>
  <c r="AD222" i="97"/>
  <c r="AD221" i="97"/>
  <c r="AD220" i="97"/>
  <c r="AD219" i="97"/>
  <c r="AD218" i="97"/>
  <c r="AD217" i="97"/>
  <c r="AD216" i="97"/>
  <c r="AD215" i="97"/>
  <c r="AD214" i="97"/>
  <c r="AD213" i="97"/>
  <c r="AD212" i="97"/>
  <c r="AD211" i="97"/>
  <c r="AD210" i="97"/>
  <c r="AD209" i="97"/>
  <c r="AD208" i="97"/>
  <c r="AD207" i="97"/>
  <c r="AD206" i="97"/>
  <c r="AD205" i="97"/>
  <c r="AD204" i="97"/>
  <c r="AD203" i="97"/>
  <c r="AD202" i="97"/>
  <c r="AD201" i="97"/>
  <c r="AD200" i="97"/>
  <c r="AD199" i="97"/>
  <c r="AD198" i="97"/>
  <c r="AD197" i="97"/>
  <c r="AD196" i="97"/>
  <c r="AD195" i="97"/>
  <c r="AD194" i="97"/>
  <c r="AD193" i="97"/>
  <c r="AD192" i="97"/>
  <c r="AD191" i="97"/>
  <c r="AD190" i="97"/>
  <c r="AD189" i="97"/>
  <c r="AD188" i="97"/>
  <c r="AD187" i="97"/>
  <c r="AD186" i="97"/>
  <c r="AD185" i="97"/>
  <c r="AD184" i="97"/>
  <c r="AD183" i="97"/>
  <c r="AD182" i="97"/>
  <c r="AD181" i="97"/>
  <c r="AD180" i="97"/>
  <c r="AD179" i="97"/>
  <c r="AD178" i="97"/>
  <c r="AD177" i="97"/>
  <c r="AD176" i="97"/>
  <c r="AD175" i="97"/>
  <c r="AD174" i="97"/>
  <c r="AD173" i="97"/>
  <c r="AD172" i="97"/>
  <c r="AD171" i="97"/>
  <c r="AD170" i="97"/>
  <c r="AD169" i="97"/>
  <c r="AD168" i="97"/>
  <c r="AD167" i="97"/>
  <c r="AD166" i="97"/>
  <c r="AD165" i="97"/>
  <c r="AD164" i="97"/>
  <c r="AD163" i="97"/>
  <c r="AD162" i="97"/>
  <c r="AD161" i="97"/>
  <c r="AD160" i="97"/>
  <c r="AD159" i="97"/>
  <c r="AD158" i="97"/>
  <c r="AD157" i="97"/>
  <c r="AD156" i="97"/>
  <c r="AD155" i="97"/>
  <c r="AD154" i="97"/>
  <c r="AD153" i="97"/>
  <c r="AD152" i="97"/>
  <c r="AD151" i="97"/>
  <c r="AD150" i="97"/>
  <c r="AD149" i="97"/>
  <c r="AD148" i="97"/>
  <c r="AD147" i="97"/>
  <c r="AD146" i="97"/>
  <c r="AD145" i="97"/>
  <c r="AD144" i="97"/>
  <c r="AD143" i="97"/>
  <c r="AD142" i="97"/>
  <c r="AD141" i="97"/>
  <c r="AD140" i="97"/>
  <c r="AD139" i="97"/>
  <c r="AD138" i="97"/>
  <c r="AD137" i="97"/>
  <c r="AD136" i="97"/>
  <c r="AD135" i="97"/>
  <c r="AD134" i="97"/>
  <c r="AD133" i="97"/>
  <c r="AD132" i="97"/>
  <c r="AD131" i="97"/>
  <c r="AD130" i="97"/>
  <c r="AD129" i="97"/>
  <c r="AD128" i="97"/>
  <c r="AD127" i="97"/>
  <c r="AD126" i="97"/>
  <c r="AD125" i="97"/>
  <c r="AD124" i="97"/>
  <c r="AD123" i="97"/>
  <c r="AD122" i="97"/>
  <c r="AD121" i="97"/>
  <c r="AD120" i="97"/>
  <c r="AD119" i="97"/>
  <c r="AD118" i="97"/>
  <c r="AD117" i="97"/>
  <c r="AD116" i="97"/>
  <c r="AD115" i="97"/>
  <c r="AD114" i="97"/>
  <c r="AD113" i="97"/>
  <c r="AD112" i="97"/>
  <c r="AD111" i="97"/>
  <c r="AD110" i="97"/>
  <c r="AD73" i="97"/>
  <c r="AD72" i="97"/>
  <c r="AD71" i="97"/>
  <c r="AD70" i="97"/>
  <c r="AD69" i="97"/>
  <c r="AD68" i="97"/>
  <c r="AD67" i="97"/>
  <c r="AD66" i="97"/>
  <c r="AD65" i="97"/>
  <c r="AD64" i="97"/>
  <c r="AD63" i="97"/>
  <c r="AD62" i="97"/>
  <c r="AE61" i="97"/>
  <c r="AE60" i="97"/>
  <c r="AE59" i="97"/>
  <c r="AE58" i="97"/>
  <c r="AE57" i="97"/>
  <c r="AE56" i="97"/>
  <c r="AE55" i="97"/>
  <c r="AE54" i="97"/>
  <c r="AE53" i="97"/>
  <c r="AE52" i="97"/>
  <c r="AE51" i="97"/>
  <c r="AE50" i="97"/>
  <c r="AD49" i="97"/>
  <c r="AD48" i="97"/>
  <c r="AD47" i="97"/>
  <c r="AD46" i="97"/>
  <c r="AD45" i="97"/>
  <c r="AD44" i="97"/>
  <c r="AD43" i="97"/>
  <c r="AD42" i="97"/>
  <c r="AD41" i="97"/>
  <c r="AD40" i="97"/>
  <c r="AD39" i="97"/>
  <c r="AD38" i="97"/>
  <c r="AD25" i="97"/>
  <c r="AD24" i="97"/>
  <c r="AD23" i="97"/>
  <c r="AD22" i="97"/>
  <c r="AD21" i="97"/>
  <c r="AD20" i="97"/>
  <c r="AD19" i="97"/>
  <c r="AD18" i="97"/>
  <c r="AD17" i="97"/>
  <c r="AD16" i="97"/>
  <c r="AD15" i="97"/>
  <c r="AD14" i="97"/>
  <c r="V257" i="97"/>
  <c r="AB257" i="97" s="1"/>
  <c r="V256" i="97"/>
  <c r="AB256" i="97" s="1"/>
  <c r="V255" i="97"/>
  <c r="AB255" i="97" s="1"/>
  <c r="V254" i="97"/>
  <c r="AB254" i="97" s="1"/>
  <c r="V253" i="97"/>
  <c r="AB253" i="97" s="1"/>
  <c r="V252" i="97"/>
  <c r="AB252" i="97" s="1"/>
  <c r="V251" i="97"/>
  <c r="AB251" i="97" s="1"/>
  <c r="V250" i="97"/>
  <c r="AB250" i="97" s="1"/>
  <c r="V249" i="97"/>
  <c r="AB249" i="97" s="1"/>
  <c r="V248" i="97"/>
  <c r="V247" i="97"/>
  <c r="AB247" i="97" s="1"/>
  <c r="V246" i="97"/>
  <c r="AB246" i="97" s="1"/>
  <c r="V245" i="97"/>
  <c r="AB245" i="97" s="1"/>
  <c r="X244" i="97"/>
  <c r="W244" i="97"/>
  <c r="V244" i="97"/>
  <c r="AB244" i="97" s="1"/>
  <c r="X243" i="97"/>
  <c r="W243" i="97"/>
  <c r="V243" i="97"/>
  <c r="AB243" i="97" s="1"/>
  <c r="X242" i="97"/>
  <c r="W242" i="97"/>
  <c r="V242" i="97"/>
  <c r="AB242" i="97" s="1"/>
  <c r="X241" i="97"/>
  <c r="W241" i="97"/>
  <c r="V241" i="97"/>
  <c r="AB241" i="97" s="1"/>
  <c r="X240" i="97"/>
  <c r="W240" i="97"/>
  <c r="V240" i="97"/>
  <c r="AB240" i="97" s="1"/>
  <c r="X239" i="97"/>
  <c r="W239" i="97"/>
  <c r="V239" i="97"/>
  <c r="AB239" i="97" s="1"/>
  <c r="X238" i="97"/>
  <c r="W238" i="97"/>
  <c r="V238" i="97"/>
  <c r="AB238" i="97" s="1"/>
  <c r="X237" i="97"/>
  <c r="W237" i="97"/>
  <c r="V237" i="97"/>
  <c r="AB237" i="97" s="1"/>
  <c r="X236" i="97"/>
  <c r="W236" i="97"/>
  <c r="V236" i="97"/>
  <c r="AB236" i="97" s="1"/>
  <c r="X235" i="97"/>
  <c r="W235" i="97"/>
  <c r="V235" i="97"/>
  <c r="AB235" i="97" s="1"/>
  <c r="X234" i="97"/>
  <c r="W234" i="97"/>
  <c r="V234" i="97"/>
  <c r="AB234" i="97" s="1"/>
  <c r="X233" i="97"/>
  <c r="W233" i="97"/>
  <c r="V233" i="97"/>
  <c r="AB233" i="97" s="1"/>
  <c r="X232" i="97"/>
  <c r="W232" i="97"/>
  <c r="V232" i="97"/>
  <c r="AB232" i="97" s="1"/>
  <c r="X231" i="97"/>
  <c r="W231" i="97"/>
  <c r="V231" i="97"/>
  <c r="AB231" i="97" s="1"/>
  <c r="X230" i="97"/>
  <c r="W230" i="97"/>
  <c r="V230" i="97"/>
  <c r="AB230" i="97" s="1"/>
  <c r="X229" i="97"/>
  <c r="W229" i="97"/>
  <c r="V229" i="97"/>
  <c r="AB229" i="97" s="1"/>
  <c r="X228" i="97"/>
  <c r="W228" i="97"/>
  <c r="V228" i="97"/>
  <c r="AB228" i="97" s="1"/>
  <c r="X227" i="97"/>
  <c r="W227" i="97"/>
  <c r="V227" i="97"/>
  <c r="AB227" i="97" s="1"/>
  <c r="X226" i="97"/>
  <c r="W226" i="97"/>
  <c r="V226" i="97"/>
  <c r="AB226" i="97" s="1"/>
  <c r="X225" i="97"/>
  <c r="W225" i="97"/>
  <c r="V225" i="97"/>
  <c r="AB225" i="97" s="1"/>
  <c r="X224" i="97"/>
  <c r="W224" i="97"/>
  <c r="V224" i="97"/>
  <c r="AB224" i="97" s="1"/>
  <c r="X223" i="97"/>
  <c r="W223" i="97"/>
  <c r="V223" i="97"/>
  <c r="AB223" i="97" s="1"/>
  <c r="X222" i="97"/>
  <c r="W222" i="97"/>
  <c r="V222" i="97"/>
  <c r="AB222" i="97" s="1"/>
  <c r="X221" i="97"/>
  <c r="W221" i="97"/>
  <c r="V221" i="97"/>
  <c r="AB221" i="97" s="1"/>
  <c r="X220" i="97"/>
  <c r="W220" i="97"/>
  <c r="V220" i="97"/>
  <c r="AB220" i="97" s="1"/>
  <c r="X219" i="97"/>
  <c r="W219" i="97"/>
  <c r="V219" i="97"/>
  <c r="AB219" i="97" s="1"/>
  <c r="X218" i="97"/>
  <c r="W218" i="97"/>
  <c r="V218" i="97"/>
  <c r="AB218" i="97" s="1"/>
  <c r="X217" i="97"/>
  <c r="W217" i="97"/>
  <c r="V217" i="97"/>
  <c r="AB217" i="97" s="1"/>
  <c r="X216" i="97"/>
  <c r="W216" i="97"/>
  <c r="V216" i="97"/>
  <c r="AB216" i="97" s="1"/>
  <c r="X215" i="97"/>
  <c r="W215" i="97"/>
  <c r="V215" i="97"/>
  <c r="AB215" i="97" s="1"/>
  <c r="X214" i="97"/>
  <c r="W214" i="97"/>
  <c r="V214" i="97"/>
  <c r="AB214" i="97" s="1"/>
  <c r="X213" i="97"/>
  <c r="W213" i="97"/>
  <c r="V213" i="97"/>
  <c r="AB213" i="97" s="1"/>
  <c r="X212" i="97"/>
  <c r="W212" i="97"/>
  <c r="V212" i="97"/>
  <c r="AB212" i="97" s="1"/>
  <c r="X211" i="97"/>
  <c r="W211" i="97"/>
  <c r="V211" i="97"/>
  <c r="AB211" i="97" s="1"/>
  <c r="X210" i="97"/>
  <c r="W210" i="97"/>
  <c r="V210" i="97"/>
  <c r="AB210" i="97" s="1"/>
  <c r="X209" i="97"/>
  <c r="W209" i="97"/>
  <c r="V209" i="97"/>
  <c r="AB209" i="97" s="1"/>
  <c r="X208" i="97"/>
  <c r="W208" i="97"/>
  <c r="V208" i="97"/>
  <c r="AB208" i="97" s="1"/>
  <c r="X207" i="97"/>
  <c r="W207" i="97"/>
  <c r="V207" i="97"/>
  <c r="AB207" i="97" s="1"/>
  <c r="X206" i="97"/>
  <c r="W206" i="97"/>
  <c r="V206" i="97"/>
  <c r="AB206" i="97" s="1"/>
  <c r="X205" i="97"/>
  <c r="W205" i="97"/>
  <c r="V205" i="97"/>
  <c r="AB205" i="97" s="1"/>
  <c r="X204" i="97"/>
  <c r="W204" i="97"/>
  <c r="V204" i="97"/>
  <c r="AB204" i="97" s="1"/>
  <c r="X203" i="97"/>
  <c r="W203" i="97"/>
  <c r="V203" i="97"/>
  <c r="AB203" i="97" s="1"/>
  <c r="X202" i="97"/>
  <c r="W202" i="97"/>
  <c r="V202" i="97"/>
  <c r="AB202" i="97" s="1"/>
  <c r="X201" i="97"/>
  <c r="W201" i="97"/>
  <c r="V201" i="97"/>
  <c r="AB201" i="97" s="1"/>
  <c r="X200" i="97"/>
  <c r="W200" i="97"/>
  <c r="V200" i="97"/>
  <c r="AB200" i="97" s="1"/>
  <c r="X199" i="97"/>
  <c r="W199" i="97"/>
  <c r="V199" i="97"/>
  <c r="AB199" i="97" s="1"/>
  <c r="X198" i="97"/>
  <c r="W198" i="97"/>
  <c r="V198" i="97"/>
  <c r="AB198" i="97" s="1"/>
  <c r="X197" i="97"/>
  <c r="W197" i="97"/>
  <c r="V197" i="97"/>
  <c r="AB197" i="97" s="1"/>
  <c r="X196" i="97"/>
  <c r="W196" i="97"/>
  <c r="V196" i="97"/>
  <c r="AB196" i="97" s="1"/>
  <c r="X195" i="97"/>
  <c r="W195" i="97"/>
  <c r="V195" i="97"/>
  <c r="AB195" i="97" s="1"/>
  <c r="X194" i="97"/>
  <c r="W194" i="97"/>
  <c r="V194" i="97"/>
  <c r="AB194" i="97" s="1"/>
  <c r="X193" i="97"/>
  <c r="W193" i="97"/>
  <c r="V193" i="97"/>
  <c r="AB193" i="97" s="1"/>
  <c r="X192" i="97"/>
  <c r="W192" i="97"/>
  <c r="V192" i="97"/>
  <c r="AB192" i="97" s="1"/>
  <c r="X191" i="97"/>
  <c r="W191" i="97"/>
  <c r="V191" i="97"/>
  <c r="AB191" i="97" s="1"/>
  <c r="X190" i="97"/>
  <c r="W190" i="97"/>
  <c r="V190" i="97"/>
  <c r="AB190" i="97" s="1"/>
  <c r="X189" i="97"/>
  <c r="W189" i="97"/>
  <c r="V189" i="97"/>
  <c r="AB189" i="97" s="1"/>
  <c r="X188" i="97"/>
  <c r="W188" i="97"/>
  <c r="V188" i="97"/>
  <c r="AB188" i="97" s="1"/>
  <c r="X187" i="97"/>
  <c r="W187" i="97"/>
  <c r="V187" i="97"/>
  <c r="AB187" i="97" s="1"/>
  <c r="X186" i="97"/>
  <c r="W186" i="97"/>
  <c r="V186" i="97"/>
  <c r="AB186" i="97" s="1"/>
  <c r="X185" i="97"/>
  <c r="W185" i="97"/>
  <c r="V185" i="97"/>
  <c r="AB185" i="97" s="1"/>
  <c r="X184" i="97"/>
  <c r="W184" i="97"/>
  <c r="V184" i="97"/>
  <c r="AB184" i="97" s="1"/>
  <c r="X183" i="97"/>
  <c r="W183" i="97"/>
  <c r="V183" i="97"/>
  <c r="AB183" i="97" s="1"/>
  <c r="X182" i="97"/>
  <c r="W182" i="97"/>
  <c r="V182" i="97"/>
  <c r="AB182" i="97" s="1"/>
  <c r="X181" i="97"/>
  <c r="W181" i="97"/>
  <c r="V181" i="97"/>
  <c r="AB181" i="97" s="1"/>
  <c r="X180" i="97"/>
  <c r="W180" i="97"/>
  <c r="V180" i="97"/>
  <c r="AB180" i="97" s="1"/>
  <c r="X179" i="97"/>
  <c r="W179" i="97"/>
  <c r="V179" i="97"/>
  <c r="AB179" i="97" s="1"/>
  <c r="X178" i="97"/>
  <c r="W178" i="97"/>
  <c r="V178" i="97"/>
  <c r="AB178" i="97" s="1"/>
  <c r="X177" i="97"/>
  <c r="W177" i="97"/>
  <c r="V177" i="97"/>
  <c r="AB177" i="97" s="1"/>
  <c r="X176" i="97"/>
  <c r="W176" i="97"/>
  <c r="V176" i="97"/>
  <c r="AB176" i="97" s="1"/>
  <c r="X175" i="97"/>
  <c r="W175" i="97"/>
  <c r="V175" i="97"/>
  <c r="AB175" i="97" s="1"/>
  <c r="X174" i="97"/>
  <c r="W174" i="97"/>
  <c r="V174" i="97"/>
  <c r="AB174" i="97" s="1"/>
  <c r="X173" i="97"/>
  <c r="W173" i="97"/>
  <c r="V173" i="97"/>
  <c r="AB173" i="97" s="1"/>
  <c r="X172" i="97"/>
  <c r="W172" i="97"/>
  <c r="V172" i="97"/>
  <c r="AB172" i="97" s="1"/>
  <c r="X171" i="97"/>
  <c r="W171" i="97"/>
  <c r="V171" i="97"/>
  <c r="AB171" i="97" s="1"/>
  <c r="X170" i="97"/>
  <c r="W170" i="97"/>
  <c r="V170" i="97"/>
  <c r="AB170" i="97" s="1"/>
  <c r="X169" i="97"/>
  <c r="W169" i="97"/>
  <c r="V169" i="97"/>
  <c r="AB169" i="97" s="1"/>
  <c r="X168" i="97"/>
  <c r="W168" i="97"/>
  <c r="V168" i="97"/>
  <c r="AB168" i="97" s="1"/>
  <c r="X167" i="97"/>
  <c r="W167" i="97"/>
  <c r="V167" i="97"/>
  <c r="AB167" i="97" s="1"/>
  <c r="X166" i="97"/>
  <c r="W166" i="97"/>
  <c r="V166" i="97"/>
  <c r="AB166" i="97" s="1"/>
  <c r="X165" i="97"/>
  <c r="W165" i="97"/>
  <c r="V165" i="97"/>
  <c r="AB165" i="97" s="1"/>
  <c r="X164" i="97"/>
  <c r="W164" i="97"/>
  <c r="V164" i="97"/>
  <c r="AB164" i="97" s="1"/>
  <c r="X163" i="97"/>
  <c r="W163" i="97"/>
  <c r="AC163" i="97" s="1"/>
  <c r="V163" i="97"/>
  <c r="AB163" i="97" s="1"/>
  <c r="X162" i="97"/>
  <c r="W162" i="97"/>
  <c r="V162" i="97"/>
  <c r="AB162" i="97" s="1"/>
  <c r="X161" i="97"/>
  <c r="W161" i="97"/>
  <c r="V161" i="97"/>
  <c r="AB161" i="97" s="1"/>
  <c r="X160" i="97"/>
  <c r="W160" i="97"/>
  <c r="V160" i="97"/>
  <c r="AB160" i="97" s="1"/>
  <c r="X159" i="97"/>
  <c r="W159" i="97"/>
  <c r="AC159" i="97" s="1"/>
  <c r="V159" i="97"/>
  <c r="AB159" i="97" s="1"/>
  <c r="X158" i="97"/>
  <c r="W158" i="97"/>
  <c r="V158" i="97"/>
  <c r="AB158" i="97" s="1"/>
  <c r="X157" i="97"/>
  <c r="W157" i="97"/>
  <c r="V157" i="97"/>
  <c r="AB157" i="97" s="1"/>
  <c r="X156" i="97"/>
  <c r="W156" i="97"/>
  <c r="V156" i="97"/>
  <c r="AB156" i="97" s="1"/>
  <c r="X155" i="97"/>
  <c r="W155" i="97"/>
  <c r="V155" i="97"/>
  <c r="AB155" i="97" s="1"/>
  <c r="X154" i="97"/>
  <c r="W154" i="97"/>
  <c r="V154" i="97"/>
  <c r="AB154" i="97" s="1"/>
  <c r="X153" i="97"/>
  <c r="W153" i="97"/>
  <c r="V153" i="97"/>
  <c r="AB153" i="97" s="1"/>
  <c r="X152" i="97"/>
  <c r="W152" i="97"/>
  <c r="V152" i="97"/>
  <c r="AB152" i="97" s="1"/>
  <c r="X151" i="97"/>
  <c r="W151" i="97"/>
  <c r="AC151" i="97" s="1"/>
  <c r="V151" i="97"/>
  <c r="AB151" i="97" s="1"/>
  <c r="X150" i="97"/>
  <c r="W150" i="97"/>
  <c r="V150" i="97"/>
  <c r="AB150" i="97" s="1"/>
  <c r="X149" i="97"/>
  <c r="W149" i="97"/>
  <c r="V149" i="97"/>
  <c r="AB149" i="97" s="1"/>
  <c r="X148" i="97"/>
  <c r="W148" i="97"/>
  <c r="V148" i="97"/>
  <c r="AB148" i="97" s="1"/>
  <c r="X147" i="97"/>
  <c r="W147" i="97"/>
  <c r="AC147" i="97" s="1"/>
  <c r="V147" i="97"/>
  <c r="AB147" i="97" s="1"/>
  <c r="X146" i="97"/>
  <c r="W146" i="97"/>
  <c r="V146" i="97"/>
  <c r="AB146" i="97" s="1"/>
  <c r="X145" i="97"/>
  <c r="W145" i="97"/>
  <c r="V145" i="97"/>
  <c r="AB145" i="97" s="1"/>
  <c r="X144" i="97"/>
  <c r="W144" i="97"/>
  <c r="V144" i="97"/>
  <c r="AB144" i="97" s="1"/>
  <c r="X143" i="97"/>
  <c r="W143" i="97"/>
  <c r="V143" i="97"/>
  <c r="AB143" i="97" s="1"/>
  <c r="X142" i="97"/>
  <c r="W142" i="97"/>
  <c r="V142" i="97"/>
  <c r="AB142" i="97" s="1"/>
  <c r="X141" i="97"/>
  <c r="W141" i="97"/>
  <c r="V141" i="97"/>
  <c r="AB141" i="97" s="1"/>
  <c r="X140" i="97"/>
  <c r="W140" i="97"/>
  <c r="V140" i="97"/>
  <c r="AB140" i="97" s="1"/>
  <c r="X139" i="97"/>
  <c r="W139" i="97"/>
  <c r="AC139" i="97" s="1"/>
  <c r="V139" i="97"/>
  <c r="AB139" i="97" s="1"/>
  <c r="X138" i="97"/>
  <c r="W138" i="97"/>
  <c r="V138" i="97"/>
  <c r="AB138" i="97" s="1"/>
  <c r="X137" i="97"/>
  <c r="W137" i="97"/>
  <c r="V137" i="97"/>
  <c r="AB137" i="97" s="1"/>
  <c r="X136" i="97"/>
  <c r="W136" i="97"/>
  <c r="V136" i="97"/>
  <c r="AB136" i="97" s="1"/>
  <c r="X135" i="97"/>
  <c r="W135" i="97"/>
  <c r="AC135" i="97" s="1"/>
  <c r="V135" i="97"/>
  <c r="AB135" i="97" s="1"/>
  <c r="X134" i="97"/>
  <c r="W134" i="97"/>
  <c r="V134" i="97"/>
  <c r="AB134" i="97" s="1"/>
  <c r="X133" i="97"/>
  <c r="W133" i="97"/>
  <c r="V133" i="97"/>
  <c r="AB133" i="97" s="1"/>
  <c r="X132" i="97"/>
  <c r="W132" i="97"/>
  <c r="V132" i="97"/>
  <c r="AB132" i="97" s="1"/>
  <c r="X131" i="97"/>
  <c r="W131" i="97"/>
  <c r="V131" i="97"/>
  <c r="AB131" i="97" s="1"/>
  <c r="X130" i="97"/>
  <c r="W130" i="97"/>
  <c r="V130" i="97"/>
  <c r="AB130" i="97" s="1"/>
  <c r="X129" i="97"/>
  <c r="W129" i="97"/>
  <c r="V129" i="97"/>
  <c r="AB129" i="97" s="1"/>
  <c r="X128" i="97"/>
  <c r="W128" i="97"/>
  <c r="V128" i="97"/>
  <c r="AB128" i="97" s="1"/>
  <c r="X127" i="97"/>
  <c r="W127" i="97"/>
  <c r="AC127" i="97" s="1"/>
  <c r="V127" i="97"/>
  <c r="AB127" i="97" s="1"/>
  <c r="X126" i="97"/>
  <c r="W126" i="97"/>
  <c r="V126" i="97"/>
  <c r="AB126" i="97" s="1"/>
  <c r="X125" i="97"/>
  <c r="W125" i="97"/>
  <c r="V125" i="97"/>
  <c r="AB125" i="97" s="1"/>
  <c r="X124" i="97"/>
  <c r="W124" i="97"/>
  <c r="V124" i="97"/>
  <c r="AB124" i="97" s="1"/>
  <c r="X123" i="97"/>
  <c r="W123" i="97"/>
  <c r="AC123" i="97" s="1"/>
  <c r="V123" i="97"/>
  <c r="AB123" i="97" s="1"/>
  <c r="X122" i="97"/>
  <c r="W122" i="97"/>
  <c r="V122" i="97"/>
  <c r="AB122" i="97" s="1"/>
  <c r="X121" i="97"/>
  <c r="W121" i="97"/>
  <c r="V121" i="97"/>
  <c r="AB121" i="97" s="1"/>
  <c r="X120" i="97"/>
  <c r="W120" i="97"/>
  <c r="V120" i="97"/>
  <c r="AB120" i="97" s="1"/>
  <c r="X119" i="97"/>
  <c r="W119" i="97"/>
  <c r="V119" i="97"/>
  <c r="AB119" i="97" s="1"/>
  <c r="X118" i="97"/>
  <c r="W118" i="97"/>
  <c r="AC118" i="97" s="1"/>
  <c r="V118" i="97"/>
  <c r="AB118" i="97" s="1"/>
  <c r="X117" i="97"/>
  <c r="W117" i="97"/>
  <c r="V117" i="97"/>
  <c r="AB117" i="97" s="1"/>
  <c r="X116" i="97"/>
  <c r="W116" i="97"/>
  <c r="V116" i="97"/>
  <c r="AB116" i="97" s="1"/>
  <c r="X115" i="97"/>
  <c r="W115" i="97"/>
  <c r="AC115" i="97" s="1"/>
  <c r="V115" i="97"/>
  <c r="AB115" i="97" s="1"/>
  <c r="X114" i="97"/>
  <c r="W114" i="97"/>
  <c r="V114" i="97"/>
  <c r="AB114" i="97" s="1"/>
  <c r="X113" i="97"/>
  <c r="W113" i="97"/>
  <c r="V113" i="97"/>
  <c r="AB113" i="97" s="1"/>
  <c r="X112" i="97"/>
  <c r="W112" i="97"/>
  <c r="V112" i="97"/>
  <c r="AB112" i="97" s="1"/>
  <c r="X111" i="97"/>
  <c r="W111" i="97"/>
  <c r="AC111" i="97" s="1"/>
  <c r="V111" i="97"/>
  <c r="AB111" i="97" s="1"/>
  <c r="X110" i="97"/>
  <c r="W110" i="97"/>
  <c r="V110" i="97"/>
  <c r="AB110" i="97" s="1"/>
  <c r="V109" i="97"/>
  <c r="AB109" i="97" s="1"/>
  <c r="V108" i="97"/>
  <c r="AB108" i="97" s="1"/>
  <c r="V107" i="97"/>
  <c r="AB107" i="97" s="1"/>
  <c r="V106" i="97"/>
  <c r="AB106" i="97" s="1"/>
  <c r="V105" i="97"/>
  <c r="AB105" i="97" s="1"/>
  <c r="V104" i="97"/>
  <c r="AB104" i="97" s="1"/>
  <c r="V103" i="97"/>
  <c r="V102" i="97"/>
  <c r="AB102" i="97" s="1"/>
  <c r="V101" i="97"/>
  <c r="AB101" i="97" s="1"/>
  <c r="V100" i="97"/>
  <c r="AB100" i="97" s="1"/>
  <c r="V99" i="97"/>
  <c r="AB99" i="97" s="1"/>
  <c r="V98" i="97"/>
  <c r="AB98" i="97" s="1"/>
  <c r="X97" i="97"/>
  <c r="W97" i="97"/>
  <c r="X96" i="97"/>
  <c r="W96" i="97"/>
  <c r="AC96" i="97" s="1"/>
  <c r="X95" i="97"/>
  <c r="W95" i="97"/>
  <c r="X94" i="97"/>
  <c r="W94" i="97"/>
  <c r="AC94" i="97" s="1"/>
  <c r="X93" i="97"/>
  <c r="W93" i="97"/>
  <c r="AC93" i="97" s="1"/>
  <c r="X92" i="97"/>
  <c r="W92" i="97"/>
  <c r="X91" i="97"/>
  <c r="W91" i="97"/>
  <c r="X90" i="97"/>
  <c r="W90" i="97"/>
  <c r="AC90" i="97" s="1"/>
  <c r="X89" i="97"/>
  <c r="W89" i="97"/>
  <c r="X88" i="97"/>
  <c r="W88" i="97"/>
  <c r="AC88" i="97" s="1"/>
  <c r="X87" i="97"/>
  <c r="W87" i="97"/>
  <c r="AC87" i="97" s="1"/>
  <c r="X86" i="97"/>
  <c r="W86" i="97"/>
  <c r="V85" i="97"/>
  <c r="AB85" i="97" s="1"/>
  <c r="V84" i="97"/>
  <c r="AB84" i="97" s="1"/>
  <c r="V83" i="97"/>
  <c r="AB83" i="97" s="1"/>
  <c r="V82" i="97"/>
  <c r="AB82" i="97" s="1"/>
  <c r="V81" i="97"/>
  <c r="AB81" i="97" s="1"/>
  <c r="V80" i="97"/>
  <c r="AB80" i="97" s="1"/>
  <c r="V79" i="97"/>
  <c r="AB79" i="97" s="1"/>
  <c r="V78" i="97"/>
  <c r="AB78" i="97" s="1"/>
  <c r="V77" i="97"/>
  <c r="AB77" i="97" s="1"/>
  <c r="V76" i="97"/>
  <c r="AB76" i="97" s="1"/>
  <c r="V75" i="97"/>
  <c r="AB75" i="97" s="1"/>
  <c r="V74" i="97"/>
  <c r="AB74" i="97" s="1"/>
  <c r="X73" i="97"/>
  <c r="W73" i="97"/>
  <c r="V73" i="97"/>
  <c r="AB73" i="97" s="1"/>
  <c r="X72" i="97"/>
  <c r="W72" i="97"/>
  <c r="V72" i="97"/>
  <c r="AB72" i="97" s="1"/>
  <c r="X71" i="97"/>
  <c r="W71" i="97"/>
  <c r="V71" i="97"/>
  <c r="AB71" i="97" s="1"/>
  <c r="X70" i="97"/>
  <c r="W70" i="97"/>
  <c r="AC70" i="97" s="1"/>
  <c r="V70" i="97"/>
  <c r="AB70" i="97" s="1"/>
  <c r="X69" i="97"/>
  <c r="W69" i="97"/>
  <c r="V69" i="97"/>
  <c r="AB69" i="97" s="1"/>
  <c r="X68" i="97"/>
  <c r="W68" i="97"/>
  <c r="V68" i="97"/>
  <c r="AB68" i="97" s="1"/>
  <c r="X67" i="97"/>
  <c r="W67" i="97"/>
  <c r="AC67" i="97" s="1"/>
  <c r="V67" i="97"/>
  <c r="AB67" i="97" s="1"/>
  <c r="X66" i="97"/>
  <c r="W66" i="97"/>
  <c r="V66" i="97"/>
  <c r="AB66" i="97" s="1"/>
  <c r="X65" i="97"/>
  <c r="W65" i="97"/>
  <c r="V65" i="97"/>
  <c r="AB65" i="97" s="1"/>
  <c r="X64" i="97"/>
  <c r="W64" i="97"/>
  <c r="V64" i="97"/>
  <c r="AB64" i="97" s="1"/>
  <c r="X63" i="97"/>
  <c r="W63" i="97"/>
  <c r="V63" i="97"/>
  <c r="AB63" i="97" s="1"/>
  <c r="X62" i="97"/>
  <c r="W62" i="97"/>
  <c r="V62" i="97"/>
  <c r="AB62" i="97" s="1"/>
  <c r="X61" i="97"/>
  <c r="W61" i="97"/>
  <c r="V61" i="97"/>
  <c r="AB61" i="97" s="1"/>
  <c r="X60" i="97"/>
  <c r="W60" i="97"/>
  <c r="V60" i="97"/>
  <c r="AB60" i="97" s="1"/>
  <c r="X59" i="97"/>
  <c r="W59" i="97"/>
  <c r="AC59" i="97" s="1"/>
  <c r="V59" i="97"/>
  <c r="AB59" i="97" s="1"/>
  <c r="X58" i="97"/>
  <c r="W58" i="97"/>
  <c r="AC58" i="97" s="1"/>
  <c r="V58" i="97"/>
  <c r="AB58" i="97" s="1"/>
  <c r="X57" i="97"/>
  <c r="W57" i="97"/>
  <c r="V57" i="97"/>
  <c r="AB57" i="97" s="1"/>
  <c r="X56" i="97"/>
  <c r="W56" i="97"/>
  <c r="V56" i="97"/>
  <c r="AB56" i="97" s="1"/>
  <c r="X55" i="97"/>
  <c r="W55" i="97"/>
  <c r="AC55" i="97" s="1"/>
  <c r="V55" i="97"/>
  <c r="AB55" i="97" s="1"/>
  <c r="X54" i="97"/>
  <c r="W54" i="97"/>
  <c r="AC54" i="97" s="1"/>
  <c r="V54" i="97"/>
  <c r="AB54" i="97" s="1"/>
  <c r="X53" i="97"/>
  <c r="W53" i="97"/>
  <c r="V53" i="97"/>
  <c r="AB53" i="97" s="1"/>
  <c r="X52" i="97"/>
  <c r="W52" i="97"/>
  <c r="V52" i="97"/>
  <c r="AB52" i="97" s="1"/>
  <c r="X51" i="97"/>
  <c r="W51" i="97"/>
  <c r="AC51" i="97" s="1"/>
  <c r="V51" i="97"/>
  <c r="AB51" i="97" s="1"/>
  <c r="X50" i="97"/>
  <c r="W50" i="97"/>
  <c r="V50" i="97"/>
  <c r="AB50" i="97" s="1"/>
  <c r="X49" i="97"/>
  <c r="W49" i="97"/>
  <c r="V49" i="97"/>
  <c r="AB49" i="97" s="1"/>
  <c r="X48" i="97"/>
  <c r="W48" i="97"/>
  <c r="V48" i="97"/>
  <c r="AB48" i="97" s="1"/>
  <c r="X47" i="97"/>
  <c r="W47" i="97"/>
  <c r="AC47" i="97" s="1"/>
  <c r="V47" i="97"/>
  <c r="AB47" i="97" s="1"/>
  <c r="X46" i="97"/>
  <c r="W46" i="97"/>
  <c r="AC46" i="97" s="1"/>
  <c r="V46" i="97"/>
  <c r="AB46" i="97" s="1"/>
  <c r="X45" i="97"/>
  <c r="W45" i="97"/>
  <c r="V45" i="97"/>
  <c r="AB45" i="97" s="1"/>
  <c r="X44" i="97"/>
  <c r="W44" i="97"/>
  <c r="V44" i="97"/>
  <c r="AB44" i="97" s="1"/>
  <c r="X43" i="97"/>
  <c r="W43" i="97"/>
  <c r="AC43" i="97" s="1"/>
  <c r="V43" i="97"/>
  <c r="AB43" i="97" s="1"/>
  <c r="X42" i="97"/>
  <c r="W42" i="97"/>
  <c r="AC42" i="97" s="1"/>
  <c r="V42" i="97"/>
  <c r="AB42" i="97" s="1"/>
  <c r="X41" i="97"/>
  <c r="W41" i="97"/>
  <c r="V41" i="97"/>
  <c r="AB41" i="97" s="1"/>
  <c r="X40" i="97"/>
  <c r="W40" i="97"/>
  <c r="V40" i="97"/>
  <c r="AB40" i="97" s="1"/>
  <c r="X39" i="97"/>
  <c r="W39" i="97"/>
  <c r="V39" i="97"/>
  <c r="AB39" i="97" s="1"/>
  <c r="X38" i="97"/>
  <c r="W38" i="97"/>
  <c r="AC38" i="97" s="1"/>
  <c r="V38" i="97"/>
  <c r="AB38" i="97" s="1"/>
  <c r="X37" i="97"/>
  <c r="W37" i="97"/>
  <c r="V37" i="97"/>
  <c r="AB37" i="97" s="1"/>
  <c r="X36" i="97"/>
  <c r="W36" i="97"/>
  <c r="V36" i="97"/>
  <c r="AB36" i="97" s="1"/>
  <c r="X35" i="97"/>
  <c r="W35" i="97"/>
  <c r="AC35" i="97" s="1"/>
  <c r="V35" i="97"/>
  <c r="AB35" i="97" s="1"/>
  <c r="X34" i="97"/>
  <c r="W34" i="97"/>
  <c r="AC34" i="97" s="1"/>
  <c r="V34" i="97"/>
  <c r="AB34" i="97" s="1"/>
  <c r="X33" i="97"/>
  <c r="W33" i="97"/>
  <c r="V33" i="97"/>
  <c r="AB33" i="97" s="1"/>
  <c r="X32" i="97"/>
  <c r="W32" i="97"/>
  <c r="V32" i="97"/>
  <c r="AB32" i="97" s="1"/>
  <c r="X31" i="97"/>
  <c r="W31" i="97"/>
  <c r="AC31" i="97" s="1"/>
  <c r="V31" i="97"/>
  <c r="AB31" i="97" s="1"/>
  <c r="X30" i="97"/>
  <c r="W30" i="97"/>
  <c r="AC30" i="97" s="1"/>
  <c r="V30" i="97"/>
  <c r="AB30" i="97" s="1"/>
  <c r="X29" i="97"/>
  <c r="W29" i="97"/>
  <c r="V29" i="97"/>
  <c r="AB29" i="97" s="1"/>
  <c r="X28" i="97"/>
  <c r="W28" i="97"/>
  <c r="V28" i="97"/>
  <c r="AB28" i="97" s="1"/>
  <c r="X27" i="97"/>
  <c r="W27" i="97"/>
  <c r="AC27" i="97" s="1"/>
  <c r="V27" i="97"/>
  <c r="AB27" i="97" s="1"/>
  <c r="X26" i="97"/>
  <c r="W26" i="97"/>
  <c r="AC26" i="97" s="1"/>
  <c r="V26" i="97"/>
  <c r="AB26" i="97" s="1"/>
  <c r="X25" i="97"/>
  <c r="W25" i="97"/>
  <c r="V25" i="97"/>
  <c r="AB25" i="97" s="1"/>
  <c r="X24" i="97"/>
  <c r="W24" i="97"/>
  <c r="V24" i="97"/>
  <c r="AB24" i="97" s="1"/>
  <c r="X23" i="97"/>
  <c r="W23" i="97"/>
  <c r="AC23" i="97" s="1"/>
  <c r="V23" i="97"/>
  <c r="AB23" i="97" s="1"/>
  <c r="X22" i="97"/>
  <c r="W22" i="97"/>
  <c r="AC22" i="97" s="1"/>
  <c r="V22" i="97"/>
  <c r="AB22" i="97" s="1"/>
  <c r="X21" i="97"/>
  <c r="W21" i="97"/>
  <c r="V21" i="97"/>
  <c r="AB21" i="97" s="1"/>
  <c r="X20" i="97"/>
  <c r="W20" i="97"/>
  <c r="V20" i="97"/>
  <c r="AB20" i="97" s="1"/>
  <c r="X19" i="97"/>
  <c r="W19" i="97"/>
  <c r="AC19" i="97" s="1"/>
  <c r="V19" i="97"/>
  <c r="AB19" i="97" s="1"/>
  <c r="X18" i="97"/>
  <c r="W18" i="97"/>
  <c r="AC18" i="97" s="1"/>
  <c r="V18" i="97"/>
  <c r="AB18" i="97" s="1"/>
  <c r="X17" i="97"/>
  <c r="W17" i="97"/>
  <c r="V17" i="97"/>
  <c r="AB17" i="97" s="1"/>
  <c r="X16" i="97"/>
  <c r="W16" i="97"/>
  <c r="V16" i="97"/>
  <c r="AB16" i="97" s="1"/>
  <c r="X15" i="97"/>
  <c r="W15" i="97"/>
  <c r="V15" i="97"/>
  <c r="AB15" i="97" s="1"/>
  <c r="X14" i="97"/>
  <c r="W14" i="97"/>
  <c r="AC14" i="97" s="1"/>
  <c r="V14" i="97"/>
  <c r="AB14" i="97" s="1"/>
  <c r="X13" i="97"/>
  <c r="W13" i="97"/>
  <c r="V13" i="97"/>
  <c r="AB13" i="97" s="1"/>
  <c r="X12" i="97"/>
  <c r="W12" i="97"/>
  <c r="V12" i="97"/>
  <c r="AB12" i="97" s="1"/>
  <c r="X11" i="97"/>
  <c r="W11" i="97"/>
  <c r="AC11" i="97" s="1"/>
  <c r="V11" i="97"/>
  <c r="AB11" i="97" s="1"/>
  <c r="X10" i="97"/>
  <c r="W10" i="97"/>
  <c r="AC10" i="97" s="1"/>
  <c r="V10" i="97"/>
  <c r="AB10" i="97" s="1"/>
  <c r="X9" i="97"/>
  <c r="W9" i="97"/>
  <c r="V9" i="97"/>
  <c r="AB9" i="97" s="1"/>
  <c r="X8" i="97"/>
  <c r="W8" i="97"/>
  <c r="V8" i="97"/>
  <c r="AB8" i="97" s="1"/>
  <c r="X7" i="97"/>
  <c r="W7" i="97"/>
  <c r="AC7" i="97" s="1"/>
  <c r="V7" i="97"/>
  <c r="AB7" i="97" s="1"/>
  <c r="X6" i="97"/>
  <c r="W6" i="97"/>
  <c r="AC6" i="97" s="1"/>
  <c r="V6" i="97"/>
  <c r="AB6" i="97" s="1"/>
  <c r="X5" i="97"/>
  <c r="W5" i="97"/>
  <c r="V5" i="97"/>
  <c r="AB5" i="97" s="1"/>
  <c r="X4" i="97"/>
  <c r="W4" i="97"/>
  <c r="V4" i="97"/>
  <c r="AB4" i="97" s="1"/>
  <c r="X3" i="97"/>
  <c r="W3" i="97"/>
  <c r="AC3" i="97" s="1"/>
  <c r="V3" i="97"/>
  <c r="AB3" i="97" s="1"/>
  <c r="X2" i="97"/>
  <c r="W2" i="97"/>
  <c r="AC2" i="97" s="1"/>
  <c r="V2" i="97"/>
  <c r="AB2" i="97" s="1"/>
  <c r="AE641" i="96"/>
  <c r="AE640" i="96"/>
  <c r="AE639" i="96"/>
  <c r="AE638" i="96"/>
  <c r="AE637" i="96"/>
  <c r="AE636" i="96"/>
  <c r="AE635" i="96"/>
  <c r="AE634" i="96"/>
  <c r="AE633" i="96"/>
  <c r="AE632" i="96"/>
  <c r="AE631" i="96"/>
  <c r="AD631" i="96"/>
  <c r="AE630" i="96"/>
  <c r="AE629" i="96"/>
  <c r="AD629" i="96"/>
  <c r="AC629" i="96"/>
  <c r="AE628" i="96"/>
  <c r="AD628" i="96"/>
  <c r="AC628" i="96"/>
  <c r="AE627" i="96"/>
  <c r="AD627" i="96"/>
  <c r="AE626" i="96"/>
  <c r="AC626" i="96"/>
  <c r="AE625" i="96"/>
  <c r="AD625" i="96"/>
  <c r="AC625" i="96"/>
  <c r="AE624" i="96"/>
  <c r="AD624" i="96"/>
  <c r="AE623" i="96"/>
  <c r="AD623" i="96"/>
  <c r="AC623" i="96"/>
  <c r="AB623" i="96"/>
  <c r="AE622" i="96"/>
  <c r="AC622" i="96"/>
  <c r="AE621" i="96"/>
  <c r="AD621" i="96"/>
  <c r="AE620" i="96"/>
  <c r="AD620" i="96"/>
  <c r="AE619" i="96"/>
  <c r="AD619" i="96"/>
  <c r="AC619" i="96"/>
  <c r="AE618" i="96"/>
  <c r="AD618" i="96"/>
  <c r="AE617" i="96"/>
  <c r="AC617" i="96"/>
  <c r="AE616" i="96"/>
  <c r="AE615" i="96"/>
  <c r="AD615" i="96"/>
  <c r="AE614" i="96"/>
  <c r="AE613" i="96"/>
  <c r="AE612" i="96"/>
  <c r="AE611" i="96"/>
  <c r="AE610" i="96"/>
  <c r="AE609" i="96"/>
  <c r="AE608" i="96"/>
  <c r="AE607" i="96"/>
  <c r="AD607" i="96"/>
  <c r="AE606" i="96"/>
  <c r="AE605" i="96"/>
  <c r="AE604" i="96"/>
  <c r="AE603" i="96"/>
  <c r="AE602" i="96"/>
  <c r="AE601" i="96"/>
  <c r="AE600" i="96"/>
  <c r="AE599" i="96"/>
  <c r="AD599" i="96"/>
  <c r="AB599" i="96"/>
  <c r="AE598" i="96"/>
  <c r="AE597" i="96"/>
  <c r="AE596" i="96"/>
  <c r="AE595" i="96"/>
  <c r="AD595" i="96"/>
  <c r="AC595" i="96"/>
  <c r="AB595" i="96"/>
  <c r="AE594" i="96"/>
  <c r="AE593" i="96"/>
  <c r="AE592" i="96"/>
  <c r="AB592" i="96"/>
  <c r="AE591" i="96"/>
  <c r="AB591" i="96"/>
  <c r="AE590" i="96"/>
  <c r="AE589" i="96"/>
  <c r="AE588" i="96"/>
  <c r="AE587" i="96"/>
  <c r="AB587" i="96"/>
  <c r="AE586" i="96"/>
  <c r="AE585" i="96"/>
  <c r="AE584" i="96"/>
  <c r="AE583" i="96"/>
  <c r="AE582" i="96"/>
  <c r="AE581" i="96"/>
  <c r="AE580" i="96"/>
  <c r="AE579" i="96"/>
  <c r="AB579" i="96"/>
  <c r="AE578" i="96"/>
  <c r="AE577" i="96"/>
  <c r="AE576" i="96"/>
  <c r="AE575" i="96"/>
  <c r="AB575" i="96"/>
  <c r="AE574" i="96"/>
  <c r="AE573" i="96"/>
  <c r="AE572" i="96"/>
  <c r="AE571" i="96"/>
  <c r="AE570" i="96"/>
  <c r="AE569" i="96"/>
  <c r="AD569" i="96"/>
  <c r="AE568" i="96"/>
  <c r="AE567" i="96"/>
  <c r="AE566" i="96"/>
  <c r="AE565" i="96"/>
  <c r="AE564" i="96"/>
  <c r="AE563" i="96"/>
  <c r="AE562" i="96"/>
  <c r="AE561" i="96"/>
  <c r="AE560" i="96"/>
  <c r="AE559" i="96"/>
  <c r="AE558" i="96"/>
  <c r="AE557" i="96"/>
  <c r="AE556" i="96"/>
  <c r="AE555" i="96"/>
  <c r="AE554" i="96"/>
  <c r="AC554" i="96"/>
  <c r="AB554" i="96"/>
  <c r="AE553" i="96"/>
  <c r="AE552" i="96"/>
  <c r="AE551" i="96"/>
  <c r="AB551" i="96"/>
  <c r="AE550" i="96"/>
  <c r="AE549" i="96"/>
  <c r="AE548" i="96"/>
  <c r="AE547" i="96"/>
  <c r="AE546" i="96"/>
  <c r="AE545" i="96"/>
  <c r="AE544" i="96"/>
  <c r="AE543" i="96"/>
  <c r="AE542" i="96"/>
  <c r="AE541" i="96"/>
  <c r="AE540" i="96"/>
  <c r="AE539" i="96"/>
  <c r="AB539" i="96"/>
  <c r="AE538" i="96"/>
  <c r="AE537" i="96"/>
  <c r="AE536" i="96"/>
  <c r="AE535" i="96"/>
  <c r="AE534" i="96"/>
  <c r="AE533" i="96"/>
  <c r="AE532" i="96"/>
  <c r="AE531" i="96"/>
  <c r="AE530" i="96"/>
  <c r="AE529" i="96"/>
  <c r="AE528" i="96"/>
  <c r="AE527" i="96"/>
  <c r="AB527" i="96"/>
  <c r="AE526" i="96"/>
  <c r="AE525" i="96"/>
  <c r="AE524" i="96"/>
  <c r="AE523" i="96"/>
  <c r="AE522" i="96"/>
  <c r="AE521" i="96"/>
  <c r="AE520" i="96"/>
  <c r="AE519" i="96"/>
  <c r="AE518" i="96"/>
  <c r="AE517" i="96"/>
  <c r="AE516" i="96"/>
  <c r="AE515" i="96"/>
  <c r="AE514" i="96"/>
  <c r="AE513" i="96"/>
  <c r="AE512" i="96"/>
  <c r="AE511" i="96"/>
  <c r="AE510" i="96"/>
  <c r="AE509" i="96"/>
  <c r="AE508" i="96"/>
  <c r="AE507" i="96"/>
  <c r="AE506" i="96"/>
  <c r="AE505" i="96"/>
  <c r="AE504" i="96"/>
  <c r="AE503" i="96"/>
  <c r="AE502" i="96"/>
  <c r="AB502" i="96"/>
  <c r="AE501" i="96"/>
  <c r="AE500" i="96"/>
  <c r="AE499" i="96"/>
  <c r="AE498" i="96"/>
  <c r="AE497" i="96"/>
  <c r="AE496" i="96"/>
  <c r="AE495" i="96"/>
  <c r="AE494" i="96"/>
  <c r="AE493" i="96"/>
  <c r="AE492" i="96"/>
  <c r="AE491" i="96"/>
  <c r="AE490" i="96"/>
  <c r="AE489" i="96"/>
  <c r="AE488" i="96"/>
  <c r="AE487" i="96"/>
  <c r="AC487" i="96"/>
  <c r="AE486" i="96"/>
  <c r="AE485" i="96"/>
  <c r="AE484" i="96"/>
  <c r="AE483" i="96"/>
  <c r="AE482" i="96"/>
  <c r="AC482" i="96"/>
  <c r="AE481" i="96"/>
  <c r="AE480" i="96"/>
  <c r="AE479" i="96"/>
  <c r="AE478" i="96"/>
  <c r="AE477" i="96"/>
  <c r="AE476" i="96"/>
  <c r="AE475" i="96"/>
  <c r="AE474" i="96"/>
  <c r="AE473" i="96"/>
  <c r="AE472" i="96"/>
  <c r="AE471" i="96"/>
  <c r="AE470" i="96"/>
  <c r="AE469" i="96"/>
  <c r="AE468" i="96"/>
  <c r="AE467" i="96"/>
  <c r="AE466" i="96"/>
  <c r="AE465" i="96"/>
  <c r="AE464" i="96"/>
  <c r="AE463" i="96"/>
  <c r="AE462" i="96"/>
  <c r="AE461" i="96"/>
  <c r="AE460" i="96"/>
  <c r="AE459" i="96"/>
  <c r="AB459" i="96"/>
  <c r="AE458" i="96"/>
  <c r="AE457" i="96"/>
  <c r="AE456" i="96"/>
  <c r="AE455" i="96"/>
  <c r="AE454" i="96"/>
  <c r="AE453" i="96"/>
  <c r="AE452" i="96"/>
  <c r="AE451" i="96"/>
  <c r="AE450" i="96"/>
  <c r="AE449" i="96"/>
  <c r="AE448" i="96"/>
  <c r="AE447" i="96"/>
  <c r="AE446" i="96"/>
  <c r="AE445" i="96"/>
  <c r="AE444" i="96"/>
  <c r="AE443" i="96"/>
  <c r="AE442" i="96"/>
  <c r="AE441" i="96"/>
  <c r="AE440" i="96"/>
  <c r="AE439" i="96"/>
  <c r="AE438" i="96"/>
  <c r="AE437" i="96"/>
  <c r="AE436" i="96"/>
  <c r="AE435" i="96"/>
  <c r="AE434" i="96"/>
  <c r="AE433" i="96"/>
  <c r="AC433" i="96"/>
  <c r="AE432" i="96"/>
  <c r="AE431" i="96"/>
  <c r="AE430" i="96"/>
  <c r="AE429" i="96"/>
  <c r="AE428" i="96"/>
  <c r="AD428" i="96"/>
  <c r="AE427" i="96"/>
  <c r="AE426" i="96"/>
  <c r="AE425" i="96"/>
  <c r="AE424" i="96"/>
  <c r="AE423" i="96"/>
  <c r="AC423" i="96"/>
  <c r="AE422" i="96"/>
  <c r="AE421" i="96"/>
  <c r="AE420" i="96"/>
  <c r="AE419" i="96"/>
  <c r="AC419" i="96"/>
  <c r="AE418" i="96"/>
  <c r="AE417" i="96"/>
  <c r="AE416" i="96"/>
  <c r="AE415" i="96"/>
  <c r="AE414" i="96"/>
  <c r="AE413" i="96"/>
  <c r="AE412" i="96"/>
  <c r="AE411" i="96"/>
  <c r="AE410" i="96"/>
  <c r="AD410" i="96"/>
  <c r="AC410" i="96"/>
  <c r="AE409" i="96"/>
  <c r="AE408" i="96"/>
  <c r="AE407" i="96"/>
  <c r="AE406" i="96"/>
  <c r="AE405" i="96"/>
  <c r="AE404" i="96"/>
  <c r="AE403" i="96"/>
  <c r="AE402" i="96"/>
  <c r="AE401" i="96"/>
  <c r="AE400" i="96"/>
  <c r="AE399" i="96"/>
  <c r="AE398" i="96"/>
  <c r="AE397" i="96"/>
  <c r="AE396" i="96"/>
  <c r="AE395" i="96"/>
  <c r="AE394" i="96"/>
  <c r="AE393" i="96"/>
  <c r="AE392" i="96"/>
  <c r="AE391" i="96"/>
  <c r="AE390" i="96"/>
  <c r="AE389" i="96"/>
  <c r="AE388" i="96"/>
  <c r="AE387" i="96"/>
  <c r="AE386" i="96"/>
  <c r="AE385" i="96"/>
  <c r="AE384" i="96"/>
  <c r="AE383" i="96"/>
  <c r="AE382" i="96"/>
  <c r="AE381" i="96"/>
  <c r="AE380" i="96"/>
  <c r="AE379" i="96"/>
  <c r="AE378" i="96"/>
  <c r="AE377" i="96"/>
  <c r="AE376" i="96"/>
  <c r="AE375" i="96"/>
  <c r="AE374" i="96"/>
  <c r="AE373" i="96"/>
  <c r="AE372" i="96"/>
  <c r="AE371" i="96"/>
  <c r="AE370" i="96"/>
  <c r="AE369" i="96"/>
  <c r="AE368" i="96"/>
  <c r="AE367" i="96"/>
  <c r="AE366" i="96"/>
  <c r="AC366" i="96"/>
  <c r="AE365" i="96"/>
  <c r="AE364" i="96"/>
  <c r="AE363" i="96"/>
  <c r="AE362" i="96"/>
  <c r="AE361" i="96"/>
  <c r="AE360" i="96"/>
  <c r="AE359" i="96"/>
  <c r="AE358" i="96"/>
  <c r="AE357" i="96"/>
  <c r="AE356" i="96"/>
  <c r="AE355" i="96"/>
  <c r="AE354" i="96"/>
  <c r="AE353" i="96"/>
  <c r="AE352" i="96"/>
  <c r="AE351" i="96"/>
  <c r="AE350" i="96"/>
  <c r="AE349" i="96"/>
  <c r="AE348" i="96"/>
  <c r="AE347" i="96"/>
  <c r="AE346" i="96"/>
  <c r="AE345" i="96"/>
  <c r="AE344" i="96"/>
  <c r="AE343" i="96"/>
  <c r="AE342" i="96"/>
  <c r="AE341" i="96"/>
  <c r="AE340" i="96"/>
  <c r="AE339" i="96"/>
  <c r="AE338" i="96"/>
  <c r="AE337" i="96"/>
  <c r="AE336" i="96"/>
  <c r="AE335" i="96"/>
  <c r="AE334" i="96"/>
  <c r="AE333" i="96"/>
  <c r="AE332" i="96"/>
  <c r="AE331" i="96"/>
  <c r="AE330" i="96"/>
  <c r="AE329" i="96"/>
  <c r="AE328" i="96"/>
  <c r="AE327" i="96"/>
  <c r="AE326" i="96"/>
  <c r="AE325" i="96"/>
  <c r="AD325" i="96"/>
  <c r="AC325" i="96"/>
  <c r="AE324" i="96"/>
  <c r="AD324" i="96"/>
  <c r="AE323" i="96"/>
  <c r="AD323" i="96"/>
  <c r="AC323" i="96"/>
  <c r="AE322" i="96"/>
  <c r="AD322" i="96"/>
  <c r="AE321" i="96"/>
  <c r="AD321" i="96"/>
  <c r="AE320" i="96"/>
  <c r="AD320" i="96"/>
  <c r="AC320" i="96"/>
  <c r="AE319" i="96"/>
  <c r="AD319" i="96"/>
  <c r="AC319" i="96"/>
  <c r="AE318" i="96"/>
  <c r="AD318" i="96"/>
  <c r="AE317" i="96"/>
  <c r="AE316" i="96"/>
  <c r="AD316" i="96"/>
  <c r="AE315" i="96"/>
  <c r="AD315" i="96"/>
  <c r="AB315" i="96"/>
  <c r="AE314" i="96"/>
  <c r="AD314" i="96"/>
  <c r="AC314" i="96"/>
  <c r="AG313" i="96"/>
  <c r="AF313" i="96"/>
  <c r="AG312" i="96"/>
  <c r="AF312" i="96"/>
  <c r="AB312" i="96"/>
  <c r="AG311" i="96"/>
  <c r="AF311" i="96"/>
  <c r="AB311" i="96"/>
  <c r="AG310" i="96"/>
  <c r="AF310" i="96"/>
  <c r="AG309" i="96"/>
  <c r="AF309" i="96"/>
  <c r="AB309" i="96"/>
  <c r="AG308" i="96"/>
  <c r="AF308" i="96"/>
  <c r="AB308" i="96"/>
  <c r="AG307" i="96"/>
  <c r="AF307" i="96"/>
  <c r="AB307" i="96"/>
  <c r="AG306" i="96"/>
  <c r="AF306" i="96"/>
  <c r="AB306" i="96"/>
  <c r="AG305" i="96"/>
  <c r="AF305" i="96"/>
  <c r="AG304" i="96"/>
  <c r="AF304" i="96"/>
  <c r="AB304" i="96"/>
  <c r="AG303" i="96"/>
  <c r="AF303" i="96"/>
  <c r="AB303" i="96"/>
  <c r="AG302" i="96"/>
  <c r="AF302" i="96"/>
  <c r="AB302" i="96"/>
  <c r="AE301" i="96"/>
  <c r="AD301" i="96"/>
  <c r="AC301" i="96"/>
  <c r="AE300" i="96"/>
  <c r="AD300" i="96"/>
  <c r="AE299" i="96"/>
  <c r="AC299" i="96"/>
  <c r="AE298" i="96"/>
  <c r="AD298" i="96"/>
  <c r="AC298" i="96"/>
  <c r="AE297" i="96"/>
  <c r="AD297" i="96"/>
  <c r="AE296" i="96"/>
  <c r="AC296" i="96"/>
  <c r="AE295" i="96"/>
  <c r="AD295" i="96"/>
  <c r="AC295" i="96"/>
  <c r="AE294" i="96"/>
  <c r="AD294" i="96"/>
  <c r="AE293" i="96"/>
  <c r="AC293" i="96"/>
  <c r="AE292" i="96"/>
  <c r="AE291" i="96"/>
  <c r="AD291" i="96"/>
  <c r="AE290" i="96"/>
  <c r="AD290" i="96"/>
  <c r="AC290" i="96"/>
  <c r="AE289" i="96"/>
  <c r="AE288" i="96"/>
  <c r="AE287" i="96"/>
  <c r="AE286" i="96"/>
  <c r="AB286" i="96"/>
  <c r="AE285" i="96"/>
  <c r="AE284" i="96"/>
  <c r="AE283" i="96"/>
  <c r="AE282" i="96"/>
  <c r="AE281" i="96"/>
  <c r="AE280" i="96"/>
  <c r="AE279" i="96"/>
  <c r="AE278" i="96"/>
  <c r="AE277" i="96"/>
  <c r="AE276" i="96"/>
  <c r="AE275" i="96"/>
  <c r="AE274" i="96"/>
  <c r="AE273" i="96"/>
  <c r="AE272" i="96"/>
  <c r="AE271" i="96"/>
  <c r="AE270" i="96"/>
  <c r="AG269" i="96"/>
  <c r="AF269" i="96"/>
  <c r="AG268" i="96"/>
  <c r="AF268" i="96"/>
  <c r="AG267" i="96"/>
  <c r="AF267" i="96"/>
  <c r="AG266" i="96"/>
  <c r="AF266" i="96"/>
  <c r="AG265" i="96"/>
  <c r="AF265" i="96"/>
  <c r="AG264" i="96"/>
  <c r="AF264" i="96"/>
  <c r="AG263" i="96"/>
  <c r="AF263" i="96"/>
  <c r="AG262" i="96"/>
  <c r="AF262" i="96"/>
  <c r="AG261" i="96"/>
  <c r="AF261" i="96"/>
  <c r="AG260" i="96"/>
  <c r="AF260" i="96"/>
  <c r="AG259" i="96"/>
  <c r="AF259" i="96"/>
  <c r="AG258" i="96"/>
  <c r="AF258" i="96"/>
  <c r="AG257" i="96"/>
  <c r="AF257" i="96"/>
  <c r="AG256" i="96"/>
  <c r="AF256" i="96"/>
  <c r="AG255" i="96"/>
  <c r="AF255" i="96"/>
  <c r="AG254" i="96"/>
  <c r="AF254" i="96"/>
  <c r="AG253" i="96"/>
  <c r="AF253" i="96"/>
  <c r="AG252" i="96"/>
  <c r="AF252" i="96"/>
  <c r="AG251" i="96"/>
  <c r="AF251" i="96"/>
  <c r="AG250" i="96"/>
  <c r="AF250" i="96"/>
  <c r="AE249" i="96"/>
  <c r="AE248" i="96"/>
  <c r="AE247" i="96"/>
  <c r="AE246" i="96"/>
  <c r="AE245" i="96"/>
  <c r="AE244" i="96"/>
  <c r="AE243" i="96"/>
  <c r="AE242" i="96"/>
  <c r="AE241" i="96"/>
  <c r="AE240" i="96"/>
  <c r="AE239" i="96"/>
  <c r="AE238" i="96"/>
  <c r="AE237" i="96"/>
  <c r="AE236" i="96"/>
  <c r="AE235" i="96"/>
  <c r="AE234" i="96"/>
  <c r="AE233" i="96"/>
  <c r="AE232" i="96"/>
  <c r="AE231" i="96"/>
  <c r="AE230" i="96"/>
  <c r="AE229" i="96"/>
  <c r="AE228" i="96"/>
  <c r="AE227" i="96"/>
  <c r="AE226" i="96"/>
  <c r="AE225" i="96"/>
  <c r="AE224" i="96"/>
  <c r="AE223" i="96"/>
  <c r="AE222" i="96"/>
  <c r="AE221" i="96"/>
  <c r="AE220" i="96"/>
  <c r="AE219" i="96"/>
  <c r="AE218" i="96"/>
  <c r="AE217" i="96"/>
  <c r="AE216" i="96"/>
  <c r="AE215" i="96"/>
  <c r="AE214" i="96"/>
  <c r="AE213" i="96"/>
  <c r="AE212" i="96"/>
  <c r="AE211" i="96"/>
  <c r="AE210" i="96"/>
  <c r="AE209" i="96"/>
  <c r="AE208" i="96"/>
  <c r="AE207" i="96"/>
  <c r="AE206" i="96"/>
  <c r="AG205" i="96"/>
  <c r="AF205" i="96"/>
  <c r="AG204" i="96"/>
  <c r="AF204" i="96"/>
  <c r="AG203" i="96"/>
  <c r="AF203" i="96"/>
  <c r="AG202" i="96"/>
  <c r="AF202" i="96"/>
  <c r="AG201" i="96"/>
  <c r="AF201" i="96"/>
  <c r="AG200" i="96"/>
  <c r="AF200" i="96"/>
  <c r="AG199" i="96"/>
  <c r="AF199" i="96"/>
  <c r="AG198" i="96"/>
  <c r="AF198" i="96"/>
  <c r="AG197" i="96"/>
  <c r="AF197" i="96"/>
  <c r="AG196" i="96"/>
  <c r="AF196" i="96"/>
  <c r="AG195" i="96"/>
  <c r="AF195" i="96"/>
  <c r="AG194" i="96"/>
  <c r="AF194" i="96"/>
  <c r="AG193" i="96"/>
  <c r="AF193" i="96"/>
  <c r="AC193" i="96"/>
  <c r="AG192" i="96"/>
  <c r="AF192" i="96"/>
  <c r="AG191" i="96"/>
  <c r="AF191" i="96"/>
  <c r="AG190" i="96"/>
  <c r="AF190" i="96"/>
  <c r="AG189" i="96"/>
  <c r="AF189" i="96"/>
  <c r="AG188" i="96"/>
  <c r="AF188" i="96"/>
  <c r="AG187" i="96"/>
  <c r="AF187" i="96"/>
  <c r="AG186" i="96"/>
  <c r="AF186" i="96"/>
  <c r="AG185" i="96"/>
  <c r="AF185" i="96"/>
  <c r="AG184" i="96"/>
  <c r="AF184" i="96"/>
  <c r="AG183" i="96"/>
  <c r="AF183" i="96"/>
  <c r="AB183" i="96"/>
  <c r="AG182" i="96"/>
  <c r="AF182" i="96"/>
  <c r="AE181" i="96"/>
  <c r="AE180" i="96"/>
  <c r="AE179" i="96"/>
  <c r="AE178" i="96"/>
  <c r="AE177" i="96"/>
  <c r="AE176" i="96"/>
  <c r="AE175" i="96"/>
  <c r="AE174" i="96"/>
  <c r="AE173" i="96"/>
  <c r="AE172" i="96"/>
  <c r="AE171" i="96"/>
  <c r="AE170" i="96"/>
  <c r="AC170" i="96"/>
  <c r="AE169" i="96"/>
  <c r="AE168" i="96"/>
  <c r="AE167" i="96"/>
  <c r="AE166" i="96"/>
  <c r="AC166" i="96"/>
  <c r="AE165" i="96"/>
  <c r="AE164" i="96"/>
  <c r="AE163" i="96"/>
  <c r="AE162" i="96"/>
  <c r="AE161" i="96"/>
  <c r="AE160" i="96"/>
  <c r="AE159" i="96"/>
  <c r="AE158" i="96"/>
  <c r="AG157" i="96"/>
  <c r="AE157" i="96"/>
  <c r="AG156" i="96"/>
  <c r="AE156" i="96"/>
  <c r="AG155" i="96"/>
  <c r="AE155" i="96"/>
  <c r="AG154" i="96"/>
  <c r="AE154" i="96"/>
  <c r="AG153" i="96"/>
  <c r="AE153" i="96"/>
  <c r="AG152" i="96"/>
  <c r="AE152" i="96"/>
  <c r="AG151" i="96"/>
  <c r="AE151" i="96"/>
  <c r="AG150" i="96"/>
  <c r="AE150" i="96"/>
  <c r="AG149" i="96"/>
  <c r="AE149" i="96"/>
  <c r="AG148" i="96"/>
  <c r="AE148" i="96"/>
  <c r="AG147" i="96"/>
  <c r="AE147" i="96"/>
  <c r="AG146" i="96"/>
  <c r="AE146" i="96"/>
  <c r="AG145" i="96"/>
  <c r="AF145" i="96"/>
  <c r="AG144" i="96"/>
  <c r="AF144" i="96"/>
  <c r="AG143" i="96"/>
  <c r="AF143" i="96"/>
  <c r="AG142" i="96"/>
  <c r="AF142" i="96"/>
  <c r="AB142" i="96"/>
  <c r="AG141" i="96"/>
  <c r="AF141" i="96"/>
  <c r="AG140" i="96"/>
  <c r="AF140" i="96"/>
  <c r="AG139" i="96"/>
  <c r="AF139" i="96"/>
  <c r="AG138" i="96"/>
  <c r="AF138" i="96"/>
  <c r="AG137" i="96"/>
  <c r="AF137" i="96"/>
  <c r="AG136" i="96"/>
  <c r="AF136" i="96"/>
  <c r="AG135" i="96"/>
  <c r="AF135" i="96"/>
  <c r="AG134" i="96"/>
  <c r="AF134" i="96"/>
  <c r="AG133" i="96"/>
  <c r="AE133" i="96"/>
  <c r="AG132" i="96"/>
  <c r="AE132" i="96"/>
  <c r="AG131" i="96"/>
  <c r="AE131" i="96"/>
  <c r="AG130" i="96"/>
  <c r="AE130" i="96"/>
  <c r="AG129" i="96"/>
  <c r="AE129" i="96"/>
  <c r="AG128" i="96"/>
  <c r="AE128" i="96"/>
  <c r="AG127" i="96"/>
  <c r="AE127" i="96"/>
  <c r="AG126" i="96"/>
  <c r="AE126" i="96"/>
  <c r="AG125" i="96"/>
  <c r="AE125" i="96"/>
  <c r="AG124" i="96"/>
  <c r="AE124" i="96"/>
  <c r="AG123" i="96"/>
  <c r="AE123" i="96"/>
  <c r="AG122" i="96"/>
  <c r="AE122" i="96"/>
  <c r="AE121" i="96"/>
  <c r="AE120" i="96"/>
  <c r="AE119" i="96"/>
  <c r="AE118" i="96"/>
  <c r="AE117" i="96"/>
  <c r="AE116" i="96"/>
  <c r="AE115" i="96"/>
  <c r="AE114" i="96"/>
  <c r="AE113" i="96"/>
  <c r="AE112" i="96"/>
  <c r="AE111" i="96"/>
  <c r="AE110" i="96"/>
  <c r="AE109" i="96"/>
  <c r="AE108" i="96"/>
  <c r="AE107" i="96"/>
  <c r="AE106" i="96"/>
  <c r="AE105" i="96"/>
  <c r="AE104" i="96"/>
  <c r="AE103" i="96"/>
  <c r="AE102" i="96"/>
  <c r="AG101" i="96"/>
  <c r="AF101" i="96"/>
  <c r="AG100" i="96"/>
  <c r="AF100" i="96"/>
  <c r="AG99" i="96"/>
  <c r="AF99" i="96"/>
  <c r="AG98" i="96"/>
  <c r="AF98" i="96"/>
  <c r="AG97" i="96"/>
  <c r="AF97" i="96"/>
  <c r="AG96" i="96"/>
  <c r="AF96" i="96"/>
  <c r="AG95" i="96"/>
  <c r="AF95" i="96"/>
  <c r="AG94" i="96"/>
  <c r="AF94" i="96"/>
  <c r="AG93" i="96"/>
  <c r="AF93" i="96"/>
  <c r="AG92" i="96"/>
  <c r="AF92" i="96"/>
  <c r="AG91" i="96"/>
  <c r="AF91" i="96"/>
  <c r="AG90" i="96"/>
  <c r="AF90" i="96"/>
  <c r="AG89" i="96"/>
  <c r="AF89" i="96"/>
  <c r="AG88" i="96"/>
  <c r="AF88" i="96"/>
  <c r="AG87" i="96"/>
  <c r="AF87" i="96"/>
  <c r="AG86" i="96"/>
  <c r="AF86" i="96"/>
  <c r="AG85" i="96"/>
  <c r="AF85" i="96"/>
  <c r="AG84" i="96"/>
  <c r="AF84" i="96"/>
  <c r="AG83" i="96"/>
  <c r="AF83" i="96"/>
  <c r="AG82" i="96"/>
  <c r="AF82" i="96"/>
  <c r="AB82" i="96"/>
  <c r="AE81" i="96"/>
  <c r="AE80" i="96"/>
  <c r="AE79" i="96"/>
  <c r="AE78" i="96"/>
  <c r="AE77" i="96"/>
  <c r="AE76" i="96"/>
  <c r="AE75" i="96"/>
  <c r="AE74" i="96"/>
  <c r="AE73" i="96"/>
  <c r="AE72" i="96"/>
  <c r="AE71" i="96"/>
  <c r="AE70" i="96"/>
  <c r="AE69" i="96"/>
  <c r="AE68" i="96"/>
  <c r="AE67" i="96"/>
  <c r="AE66" i="96"/>
  <c r="AE65" i="96"/>
  <c r="AE64" i="96"/>
  <c r="AE63" i="96"/>
  <c r="AE62" i="96"/>
  <c r="AC61" i="96"/>
  <c r="AC42" i="96"/>
  <c r="AG37" i="96"/>
  <c r="AG36" i="96"/>
  <c r="AG35" i="96"/>
  <c r="AG34" i="96"/>
  <c r="AG33" i="96"/>
  <c r="AG32" i="96"/>
  <c r="AG31" i="96"/>
  <c r="AG30" i="96"/>
  <c r="AG29" i="96"/>
  <c r="AG28" i="96"/>
  <c r="AG27" i="96"/>
  <c r="AG26" i="96"/>
  <c r="AG25" i="96"/>
  <c r="AE25" i="96"/>
  <c r="AG24" i="96"/>
  <c r="AE24" i="96"/>
  <c r="AG23" i="96"/>
  <c r="AE23" i="96"/>
  <c r="AG22" i="96"/>
  <c r="AE22" i="96"/>
  <c r="AC22" i="96"/>
  <c r="AG21" i="96"/>
  <c r="AE21" i="96"/>
  <c r="AG20" i="96"/>
  <c r="AE20" i="96"/>
  <c r="AG19" i="96"/>
  <c r="AE19" i="96"/>
  <c r="AG18" i="96"/>
  <c r="AE18" i="96"/>
  <c r="AG17" i="96"/>
  <c r="AE17" i="96"/>
  <c r="AG16" i="96"/>
  <c r="AE16" i="96"/>
  <c r="AG15" i="96"/>
  <c r="AE15" i="96"/>
  <c r="AG14" i="96"/>
  <c r="AE14" i="96"/>
  <c r="AG13" i="96"/>
  <c r="AG12" i="96"/>
  <c r="AG11" i="96"/>
  <c r="AB11" i="96"/>
  <c r="AG10" i="96"/>
  <c r="AG9" i="96"/>
  <c r="AG8" i="96"/>
  <c r="AG7" i="96"/>
  <c r="AG6" i="96"/>
  <c r="AG5" i="96"/>
  <c r="AG4" i="96"/>
  <c r="AG3" i="96"/>
  <c r="AG2" i="96"/>
  <c r="X641" i="96"/>
  <c r="AD641" i="96" s="1"/>
  <c r="W641" i="96"/>
  <c r="AC641" i="96" s="1"/>
  <c r="V641" i="96"/>
  <c r="AB641" i="96" s="1"/>
  <c r="X640" i="96"/>
  <c r="AD640" i="96" s="1"/>
  <c r="W640" i="96"/>
  <c r="AC640" i="96" s="1"/>
  <c r="V640" i="96"/>
  <c r="AB640" i="96" s="1"/>
  <c r="X639" i="96"/>
  <c r="AD639" i="96" s="1"/>
  <c r="W639" i="96"/>
  <c r="AC639" i="96" s="1"/>
  <c r="V639" i="96"/>
  <c r="AB639" i="96" s="1"/>
  <c r="X638" i="96"/>
  <c r="AD638" i="96" s="1"/>
  <c r="W638" i="96"/>
  <c r="AC638" i="96" s="1"/>
  <c r="V638" i="96"/>
  <c r="AB638" i="96" s="1"/>
  <c r="X637" i="96"/>
  <c r="AD637" i="96" s="1"/>
  <c r="W637" i="96"/>
  <c r="AC637" i="96" s="1"/>
  <c r="V637" i="96"/>
  <c r="AB637" i="96" s="1"/>
  <c r="X636" i="96"/>
  <c r="AD636" i="96" s="1"/>
  <c r="W636" i="96"/>
  <c r="AC636" i="96" s="1"/>
  <c r="V636" i="96"/>
  <c r="AB636" i="96" s="1"/>
  <c r="X635" i="96"/>
  <c r="AD635" i="96" s="1"/>
  <c r="W635" i="96"/>
  <c r="AC635" i="96" s="1"/>
  <c r="V635" i="96"/>
  <c r="AB635" i="96" s="1"/>
  <c r="X634" i="96"/>
  <c r="AD634" i="96" s="1"/>
  <c r="W634" i="96"/>
  <c r="AC634" i="96" s="1"/>
  <c r="V634" i="96"/>
  <c r="AB634" i="96" s="1"/>
  <c r="X633" i="96"/>
  <c r="AD633" i="96" s="1"/>
  <c r="W633" i="96"/>
  <c r="AC633" i="96" s="1"/>
  <c r="V633" i="96"/>
  <c r="AB633" i="96" s="1"/>
  <c r="X632" i="96"/>
  <c r="AD632" i="96" s="1"/>
  <c r="W632" i="96"/>
  <c r="AC632" i="96" s="1"/>
  <c r="V632" i="96"/>
  <c r="AB632" i="96" s="1"/>
  <c r="X631" i="96"/>
  <c r="W631" i="96"/>
  <c r="AC631" i="96" s="1"/>
  <c r="V631" i="96"/>
  <c r="AB631" i="96" s="1"/>
  <c r="X630" i="96"/>
  <c r="AD630" i="96" s="1"/>
  <c r="W630" i="96"/>
  <c r="AC630" i="96" s="1"/>
  <c r="V630" i="96"/>
  <c r="AB630" i="96" s="1"/>
  <c r="V629" i="96"/>
  <c r="AB629" i="96" s="1"/>
  <c r="V628" i="96"/>
  <c r="AB628" i="96" s="1"/>
  <c r="V627" i="96"/>
  <c r="AB627" i="96" s="1"/>
  <c r="V626" i="96"/>
  <c r="AB626" i="96" s="1"/>
  <c r="V625" i="96"/>
  <c r="AB625" i="96" s="1"/>
  <c r="V624" i="96"/>
  <c r="AB624" i="96" s="1"/>
  <c r="V623" i="96"/>
  <c r="V622" i="96"/>
  <c r="AB622" i="96" s="1"/>
  <c r="V621" i="96"/>
  <c r="AB621" i="96" s="1"/>
  <c r="V620" i="96"/>
  <c r="AB620" i="96" s="1"/>
  <c r="V619" i="96"/>
  <c r="AB619" i="96" s="1"/>
  <c r="V618" i="96"/>
  <c r="AB618" i="96" s="1"/>
  <c r="V617" i="96"/>
  <c r="AB617" i="96" s="1"/>
  <c r="X616" i="96"/>
  <c r="AD616" i="96" s="1"/>
  <c r="W616" i="96"/>
  <c r="AC616" i="96" s="1"/>
  <c r="V616" i="96"/>
  <c r="AB616" i="96" s="1"/>
  <c r="X615" i="96"/>
  <c r="W615" i="96"/>
  <c r="AC615" i="96" s="1"/>
  <c r="V615" i="96"/>
  <c r="AB615" i="96" s="1"/>
  <c r="X614" i="96"/>
  <c r="AD614" i="96" s="1"/>
  <c r="W614" i="96"/>
  <c r="AC614" i="96" s="1"/>
  <c r="V614" i="96"/>
  <c r="AB614" i="96" s="1"/>
  <c r="X613" i="96"/>
  <c r="AD613" i="96" s="1"/>
  <c r="W613" i="96"/>
  <c r="AC613" i="96" s="1"/>
  <c r="V613" i="96"/>
  <c r="AB613" i="96" s="1"/>
  <c r="X612" i="96"/>
  <c r="AD612" i="96" s="1"/>
  <c r="W612" i="96"/>
  <c r="AC612" i="96" s="1"/>
  <c r="V612" i="96"/>
  <c r="AB612" i="96" s="1"/>
  <c r="X611" i="96"/>
  <c r="AD611" i="96" s="1"/>
  <c r="W611" i="96"/>
  <c r="AC611" i="96" s="1"/>
  <c r="V611" i="96"/>
  <c r="AB611" i="96" s="1"/>
  <c r="X610" i="96"/>
  <c r="AD610" i="96" s="1"/>
  <c r="W610" i="96"/>
  <c r="AC610" i="96" s="1"/>
  <c r="V610" i="96"/>
  <c r="AB610" i="96" s="1"/>
  <c r="X609" i="96"/>
  <c r="AD609" i="96" s="1"/>
  <c r="W609" i="96"/>
  <c r="AC609" i="96" s="1"/>
  <c r="V609" i="96"/>
  <c r="AB609" i="96" s="1"/>
  <c r="X608" i="96"/>
  <c r="AD608" i="96" s="1"/>
  <c r="W608" i="96"/>
  <c r="AC608" i="96" s="1"/>
  <c r="V608" i="96"/>
  <c r="AB608" i="96" s="1"/>
  <c r="X607" i="96"/>
  <c r="W607" i="96"/>
  <c r="AC607" i="96" s="1"/>
  <c r="V607" i="96"/>
  <c r="AB607" i="96" s="1"/>
  <c r="X606" i="96"/>
  <c r="AD606" i="96" s="1"/>
  <c r="W606" i="96"/>
  <c r="AC606" i="96" s="1"/>
  <c r="V606" i="96"/>
  <c r="AB606" i="96" s="1"/>
  <c r="X605" i="96"/>
  <c r="AD605" i="96" s="1"/>
  <c r="W605" i="96"/>
  <c r="AC605" i="96" s="1"/>
  <c r="V605" i="96"/>
  <c r="AB605" i="96" s="1"/>
  <c r="X604" i="96"/>
  <c r="AD604" i="96" s="1"/>
  <c r="W604" i="96"/>
  <c r="AC604" i="96" s="1"/>
  <c r="V604" i="96"/>
  <c r="AB604" i="96" s="1"/>
  <c r="X603" i="96"/>
  <c r="AD603" i="96" s="1"/>
  <c r="W603" i="96"/>
  <c r="AC603" i="96" s="1"/>
  <c r="V603" i="96"/>
  <c r="AB603" i="96" s="1"/>
  <c r="X602" i="96"/>
  <c r="AD602" i="96" s="1"/>
  <c r="W602" i="96"/>
  <c r="AC602" i="96" s="1"/>
  <c r="V602" i="96"/>
  <c r="AB602" i="96" s="1"/>
  <c r="X601" i="96"/>
  <c r="AD601" i="96" s="1"/>
  <c r="W601" i="96"/>
  <c r="AC601" i="96" s="1"/>
  <c r="V601" i="96"/>
  <c r="AB601" i="96" s="1"/>
  <c r="X600" i="96"/>
  <c r="AD600" i="96" s="1"/>
  <c r="W600" i="96"/>
  <c r="AC600" i="96" s="1"/>
  <c r="V600" i="96"/>
  <c r="AB600" i="96" s="1"/>
  <c r="X599" i="96"/>
  <c r="W599" i="96"/>
  <c r="AC599" i="96" s="1"/>
  <c r="V599" i="96"/>
  <c r="X598" i="96"/>
  <c r="AD598" i="96" s="1"/>
  <c r="W598" i="96"/>
  <c r="AC598" i="96" s="1"/>
  <c r="V598" i="96"/>
  <c r="AB598" i="96" s="1"/>
  <c r="X597" i="96"/>
  <c r="AD597" i="96" s="1"/>
  <c r="W597" i="96"/>
  <c r="AC597" i="96" s="1"/>
  <c r="V597" i="96"/>
  <c r="AB597" i="96" s="1"/>
  <c r="X596" i="96"/>
  <c r="AD596" i="96" s="1"/>
  <c r="W596" i="96"/>
  <c r="AC596" i="96" s="1"/>
  <c r="V596" i="96"/>
  <c r="AB596" i="96" s="1"/>
  <c r="X595" i="96"/>
  <c r="W595" i="96"/>
  <c r="V595" i="96"/>
  <c r="X594" i="96"/>
  <c r="AD594" i="96" s="1"/>
  <c r="W594" i="96"/>
  <c r="AC594" i="96" s="1"/>
  <c r="V594" i="96"/>
  <c r="AB594" i="96" s="1"/>
  <c r="X593" i="96"/>
  <c r="AD593" i="96" s="1"/>
  <c r="W593" i="96"/>
  <c r="AC593" i="96" s="1"/>
  <c r="V593" i="96"/>
  <c r="AB593" i="96" s="1"/>
  <c r="X592" i="96"/>
  <c r="AD592" i="96" s="1"/>
  <c r="W592" i="96"/>
  <c r="AC592" i="96" s="1"/>
  <c r="V592" i="96"/>
  <c r="X591" i="96"/>
  <c r="AD591" i="96" s="1"/>
  <c r="W591" i="96"/>
  <c r="AC591" i="96" s="1"/>
  <c r="V591" i="96"/>
  <c r="X590" i="96"/>
  <c r="AD590" i="96" s="1"/>
  <c r="W590" i="96"/>
  <c r="AC590" i="96" s="1"/>
  <c r="V590" i="96"/>
  <c r="AB590" i="96" s="1"/>
  <c r="X589" i="96"/>
  <c r="AD589" i="96" s="1"/>
  <c r="W589" i="96"/>
  <c r="AC589" i="96" s="1"/>
  <c r="V589" i="96"/>
  <c r="AB589" i="96" s="1"/>
  <c r="X588" i="96"/>
  <c r="AD588" i="96" s="1"/>
  <c r="W588" i="96"/>
  <c r="AC588" i="96" s="1"/>
  <c r="V588" i="96"/>
  <c r="AB588" i="96" s="1"/>
  <c r="X587" i="96"/>
  <c r="AD587" i="96" s="1"/>
  <c r="W587" i="96"/>
  <c r="AC587" i="96" s="1"/>
  <c r="V587" i="96"/>
  <c r="X586" i="96"/>
  <c r="AD586" i="96" s="1"/>
  <c r="W586" i="96"/>
  <c r="AC586" i="96" s="1"/>
  <c r="V586" i="96"/>
  <c r="AB586" i="96" s="1"/>
  <c r="X585" i="96"/>
  <c r="AD585" i="96" s="1"/>
  <c r="W585" i="96"/>
  <c r="AC585" i="96" s="1"/>
  <c r="V585" i="96"/>
  <c r="AB585" i="96" s="1"/>
  <c r="X584" i="96"/>
  <c r="AD584" i="96" s="1"/>
  <c r="W584" i="96"/>
  <c r="AC584" i="96" s="1"/>
  <c r="V584" i="96"/>
  <c r="AB584" i="96" s="1"/>
  <c r="X583" i="96"/>
  <c r="AD583" i="96" s="1"/>
  <c r="W583" i="96"/>
  <c r="AC583" i="96" s="1"/>
  <c r="V583" i="96"/>
  <c r="AB583" i="96" s="1"/>
  <c r="X582" i="96"/>
  <c r="AD582" i="96" s="1"/>
  <c r="W582" i="96"/>
  <c r="AC582" i="96" s="1"/>
  <c r="V582" i="96"/>
  <c r="AB582" i="96" s="1"/>
  <c r="X581" i="96"/>
  <c r="AD581" i="96" s="1"/>
  <c r="W581" i="96"/>
  <c r="AC581" i="96" s="1"/>
  <c r="V581" i="96"/>
  <c r="AB581" i="96" s="1"/>
  <c r="X580" i="96"/>
  <c r="AD580" i="96" s="1"/>
  <c r="W580" i="96"/>
  <c r="AC580" i="96" s="1"/>
  <c r="V580" i="96"/>
  <c r="AB580" i="96" s="1"/>
  <c r="X579" i="96"/>
  <c r="AD579" i="96" s="1"/>
  <c r="W579" i="96"/>
  <c r="AC579" i="96" s="1"/>
  <c r="V579" i="96"/>
  <c r="X578" i="96"/>
  <c r="AD578" i="96" s="1"/>
  <c r="W578" i="96"/>
  <c r="AC578" i="96" s="1"/>
  <c r="V578" i="96"/>
  <c r="AB578" i="96" s="1"/>
  <c r="X577" i="96"/>
  <c r="AD577" i="96" s="1"/>
  <c r="W577" i="96"/>
  <c r="AC577" i="96" s="1"/>
  <c r="V577" i="96"/>
  <c r="AB577" i="96" s="1"/>
  <c r="X576" i="96"/>
  <c r="AD576" i="96" s="1"/>
  <c r="W576" i="96"/>
  <c r="AC576" i="96" s="1"/>
  <c r="V576" i="96"/>
  <c r="AB576" i="96" s="1"/>
  <c r="X575" i="96"/>
  <c r="AD575" i="96" s="1"/>
  <c r="W575" i="96"/>
  <c r="AC575" i="96" s="1"/>
  <c r="V575" i="96"/>
  <c r="X574" i="96"/>
  <c r="AD574" i="96" s="1"/>
  <c r="W574" i="96"/>
  <c r="AC574" i="96" s="1"/>
  <c r="V574" i="96"/>
  <c r="AB574" i="96" s="1"/>
  <c r="X573" i="96"/>
  <c r="AD573" i="96" s="1"/>
  <c r="W573" i="96"/>
  <c r="AC573" i="96" s="1"/>
  <c r="V573" i="96"/>
  <c r="AB573" i="96" s="1"/>
  <c r="X572" i="96"/>
  <c r="AD572" i="96" s="1"/>
  <c r="W572" i="96"/>
  <c r="AC572" i="96" s="1"/>
  <c r="V572" i="96"/>
  <c r="AB572" i="96" s="1"/>
  <c r="X571" i="96"/>
  <c r="AD571" i="96" s="1"/>
  <c r="W571" i="96"/>
  <c r="AC571" i="96" s="1"/>
  <c r="V571" i="96"/>
  <c r="AB571" i="96" s="1"/>
  <c r="X570" i="96"/>
  <c r="AD570" i="96" s="1"/>
  <c r="W570" i="96"/>
  <c r="AC570" i="96" s="1"/>
  <c r="V570" i="96"/>
  <c r="AB570" i="96" s="1"/>
  <c r="X569" i="96"/>
  <c r="W569" i="96"/>
  <c r="AC569" i="96" s="1"/>
  <c r="V569" i="96"/>
  <c r="AB569" i="96" s="1"/>
  <c r="X568" i="96"/>
  <c r="AD568" i="96" s="1"/>
  <c r="W568" i="96"/>
  <c r="AC568" i="96" s="1"/>
  <c r="V568" i="96"/>
  <c r="AB568" i="96" s="1"/>
  <c r="X567" i="96"/>
  <c r="AD567" i="96" s="1"/>
  <c r="W567" i="96"/>
  <c r="AC567" i="96" s="1"/>
  <c r="V567" i="96"/>
  <c r="AB567" i="96" s="1"/>
  <c r="X566" i="96"/>
  <c r="AD566" i="96" s="1"/>
  <c r="W566" i="96"/>
  <c r="AC566" i="96" s="1"/>
  <c r="V566" i="96"/>
  <c r="AB566" i="96" s="1"/>
  <c r="X565" i="96"/>
  <c r="AD565" i="96" s="1"/>
  <c r="W565" i="96"/>
  <c r="AC565" i="96" s="1"/>
  <c r="V565" i="96"/>
  <c r="AB565" i="96" s="1"/>
  <c r="X564" i="96"/>
  <c r="AD564" i="96" s="1"/>
  <c r="W564" i="96"/>
  <c r="AC564" i="96" s="1"/>
  <c r="V564" i="96"/>
  <c r="AB564" i="96" s="1"/>
  <c r="X563" i="96"/>
  <c r="AD563" i="96" s="1"/>
  <c r="W563" i="96"/>
  <c r="AC563" i="96" s="1"/>
  <c r="V563" i="96"/>
  <c r="AB563" i="96" s="1"/>
  <c r="X562" i="96"/>
  <c r="AD562" i="96" s="1"/>
  <c r="W562" i="96"/>
  <c r="AC562" i="96" s="1"/>
  <c r="V562" i="96"/>
  <c r="AB562" i="96" s="1"/>
  <c r="X561" i="96"/>
  <c r="AD561" i="96" s="1"/>
  <c r="W561" i="96"/>
  <c r="AC561" i="96" s="1"/>
  <c r="V561" i="96"/>
  <c r="AB561" i="96" s="1"/>
  <c r="X560" i="96"/>
  <c r="AD560" i="96" s="1"/>
  <c r="W560" i="96"/>
  <c r="AC560" i="96" s="1"/>
  <c r="V560" i="96"/>
  <c r="AB560" i="96" s="1"/>
  <c r="X559" i="96"/>
  <c r="AD559" i="96" s="1"/>
  <c r="W559" i="96"/>
  <c r="AC559" i="96" s="1"/>
  <c r="V559" i="96"/>
  <c r="AB559" i="96" s="1"/>
  <c r="X558" i="96"/>
  <c r="AD558" i="96" s="1"/>
  <c r="W558" i="96"/>
  <c r="AC558" i="96" s="1"/>
  <c r="V558" i="96"/>
  <c r="AB558" i="96" s="1"/>
  <c r="X557" i="96"/>
  <c r="AD557" i="96" s="1"/>
  <c r="W557" i="96"/>
  <c r="AC557" i="96" s="1"/>
  <c r="V557" i="96"/>
  <c r="AB557" i="96" s="1"/>
  <c r="X556" i="96"/>
  <c r="AD556" i="96" s="1"/>
  <c r="W556" i="96"/>
  <c r="AC556" i="96" s="1"/>
  <c r="V556" i="96"/>
  <c r="AB556" i="96" s="1"/>
  <c r="X555" i="96"/>
  <c r="AD555" i="96" s="1"/>
  <c r="W555" i="96"/>
  <c r="AC555" i="96" s="1"/>
  <c r="V555" i="96"/>
  <c r="AB555" i="96" s="1"/>
  <c r="X554" i="96"/>
  <c r="AD554" i="96" s="1"/>
  <c r="W554" i="96"/>
  <c r="V554" i="96"/>
  <c r="X553" i="96"/>
  <c r="AD553" i="96" s="1"/>
  <c r="W553" i="96"/>
  <c r="AC553" i="96" s="1"/>
  <c r="V553" i="96"/>
  <c r="AB553" i="96" s="1"/>
  <c r="X552" i="96"/>
  <c r="AD552" i="96" s="1"/>
  <c r="W552" i="96"/>
  <c r="AC552" i="96" s="1"/>
  <c r="V552" i="96"/>
  <c r="AB552" i="96" s="1"/>
  <c r="X551" i="96"/>
  <c r="AD551" i="96" s="1"/>
  <c r="W551" i="96"/>
  <c r="AC551" i="96" s="1"/>
  <c r="V551" i="96"/>
  <c r="X550" i="96"/>
  <c r="AD550" i="96" s="1"/>
  <c r="W550" i="96"/>
  <c r="AC550" i="96" s="1"/>
  <c r="V550" i="96"/>
  <c r="AB550" i="96" s="1"/>
  <c r="X549" i="96"/>
  <c r="AD549" i="96" s="1"/>
  <c r="W549" i="96"/>
  <c r="AC549" i="96" s="1"/>
  <c r="V549" i="96"/>
  <c r="AB549" i="96" s="1"/>
  <c r="X548" i="96"/>
  <c r="AD548" i="96" s="1"/>
  <c r="W548" i="96"/>
  <c r="AC548" i="96" s="1"/>
  <c r="V548" i="96"/>
  <c r="AB548" i="96" s="1"/>
  <c r="X547" i="96"/>
  <c r="AD547" i="96" s="1"/>
  <c r="W547" i="96"/>
  <c r="AC547" i="96" s="1"/>
  <c r="V547" i="96"/>
  <c r="AB547" i="96" s="1"/>
  <c r="X546" i="96"/>
  <c r="AD546" i="96" s="1"/>
  <c r="W546" i="96"/>
  <c r="AC546" i="96" s="1"/>
  <c r="V546" i="96"/>
  <c r="AB546" i="96" s="1"/>
  <c r="X545" i="96"/>
  <c r="AD545" i="96" s="1"/>
  <c r="W545" i="96"/>
  <c r="AC545" i="96" s="1"/>
  <c r="V545" i="96"/>
  <c r="AB545" i="96" s="1"/>
  <c r="X544" i="96"/>
  <c r="AD544" i="96" s="1"/>
  <c r="W544" i="96"/>
  <c r="AC544" i="96" s="1"/>
  <c r="V544" i="96"/>
  <c r="AB544" i="96" s="1"/>
  <c r="X543" i="96"/>
  <c r="AD543" i="96" s="1"/>
  <c r="W543" i="96"/>
  <c r="AC543" i="96" s="1"/>
  <c r="V543" i="96"/>
  <c r="AB543" i="96" s="1"/>
  <c r="X542" i="96"/>
  <c r="AD542" i="96" s="1"/>
  <c r="W542" i="96"/>
  <c r="AC542" i="96" s="1"/>
  <c r="V542" i="96"/>
  <c r="AB542" i="96" s="1"/>
  <c r="X541" i="96"/>
  <c r="AD541" i="96" s="1"/>
  <c r="W541" i="96"/>
  <c r="AC541" i="96" s="1"/>
  <c r="V541" i="96"/>
  <c r="AB541" i="96" s="1"/>
  <c r="X540" i="96"/>
  <c r="AD540" i="96" s="1"/>
  <c r="W540" i="96"/>
  <c r="AC540" i="96" s="1"/>
  <c r="V540" i="96"/>
  <c r="AB540" i="96" s="1"/>
  <c r="X539" i="96"/>
  <c r="AD539" i="96" s="1"/>
  <c r="W539" i="96"/>
  <c r="AC539" i="96" s="1"/>
  <c r="V539" i="96"/>
  <c r="X538" i="96"/>
  <c r="AD538" i="96" s="1"/>
  <c r="W538" i="96"/>
  <c r="AC538" i="96" s="1"/>
  <c r="V538" i="96"/>
  <c r="AB538" i="96" s="1"/>
  <c r="X537" i="96"/>
  <c r="AD537" i="96" s="1"/>
  <c r="W537" i="96"/>
  <c r="AC537" i="96" s="1"/>
  <c r="V537" i="96"/>
  <c r="AB537" i="96" s="1"/>
  <c r="X536" i="96"/>
  <c r="AD536" i="96" s="1"/>
  <c r="W536" i="96"/>
  <c r="AC536" i="96" s="1"/>
  <c r="V536" i="96"/>
  <c r="AB536" i="96" s="1"/>
  <c r="X535" i="96"/>
  <c r="AD535" i="96" s="1"/>
  <c r="W535" i="96"/>
  <c r="AC535" i="96" s="1"/>
  <c r="V535" i="96"/>
  <c r="AB535" i="96" s="1"/>
  <c r="X534" i="96"/>
  <c r="AD534" i="96" s="1"/>
  <c r="W534" i="96"/>
  <c r="AC534" i="96" s="1"/>
  <c r="V534" i="96"/>
  <c r="AB534" i="96" s="1"/>
  <c r="X533" i="96"/>
  <c r="AD533" i="96" s="1"/>
  <c r="W533" i="96"/>
  <c r="AC533" i="96" s="1"/>
  <c r="V533" i="96"/>
  <c r="AB533" i="96" s="1"/>
  <c r="X532" i="96"/>
  <c r="AD532" i="96" s="1"/>
  <c r="W532" i="96"/>
  <c r="AC532" i="96" s="1"/>
  <c r="V532" i="96"/>
  <c r="AB532" i="96" s="1"/>
  <c r="X531" i="96"/>
  <c r="AD531" i="96" s="1"/>
  <c r="W531" i="96"/>
  <c r="AC531" i="96" s="1"/>
  <c r="V531" i="96"/>
  <c r="AB531" i="96" s="1"/>
  <c r="X530" i="96"/>
  <c r="AD530" i="96" s="1"/>
  <c r="W530" i="96"/>
  <c r="AC530" i="96" s="1"/>
  <c r="V530" i="96"/>
  <c r="AB530" i="96" s="1"/>
  <c r="X529" i="96"/>
  <c r="AD529" i="96" s="1"/>
  <c r="W529" i="96"/>
  <c r="AC529" i="96" s="1"/>
  <c r="V529" i="96"/>
  <c r="AB529" i="96" s="1"/>
  <c r="X528" i="96"/>
  <c r="AD528" i="96" s="1"/>
  <c r="W528" i="96"/>
  <c r="AC528" i="96" s="1"/>
  <c r="V528" i="96"/>
  <c r="AB528" i="96" s="1"/>
  <c r="X527" i="96"/>
  <c r="AD527" i="96" s="1"/>
  <c r="W527" i="96"/>
  <c r="AC527" i="96" s="1"/>
  <c r="V527" i="96"/>
  <c r="X526" i="96"/>
  <c r="AD526" i="96" s="1"/>
  <c r="W526" i="96"/>
  <c r="AC526" i="96" s="1"/>
  <c r="V526" i="96"/>
  <c r="AB526" i="96" s="1"/>
  <c r="X525" i="96"/>
  <c r="AD525" i="96" s="1"/>
  <c r="W525" i="96"/>
  <c r="AC525" i="96" s="1"/>
  <c r="V525" i="96"/>
  <c r="AB525" i="96" s="1"/>
  <c r="X524" i="96"/>
  <c r="AD524" i="96" s="1"/>
  <c r="W524" i="96"/>
  <c r="AC524" i="96" s="1"/>
  <c r="V524" i="96"/>
  <c r="AB524" i="96" s="1"/>
  <c r="X523" i="96"/>
  <c r="AD523" i="96" s="1"/>
  <c r="W523" i="96"/>
  <c r="AC523" i="96" s="1"/>
  <c r="V523" i="96"/>
  <c r="AB523" i="96" s="1"/>
  <c r="X522" i="96"/>
  <c r="AD522" i="96" s="1"/>
  <c r="W522" i="96"/>
  <c r="AC522" i="96" s="1"/>
  <c r="V522" i="96"/>
  <c r="AB522" i="96" s="1"/>
  <c r="X521" i="96"/>
  <c r="AD521" i="96" s="1"/>
  <c r="W521" i="96"/>
  <c r="AC521" i="96" s="1"/>
  <c r="V521" i="96"/>
  <c r="AB521" i="96" s="1"/>
  <c r="X520" i="96"/>
  <c r="AD520" i="96" s="1"/>
  <c r="W520" i="96"/>
  <c r="AC520" i="96" s="1"/>
  <c r="V520" i="96"/>
  <c r="AB520" i="96" s="1"/>
  <c r="X519" i="96"/>
  <c r="AD519" i="96" s="1"/>
  <c r="W519" i="96"/>
  <c r="AC519" i="96" s="1"/>
  <c r="V519" i="96"/>
  <c r="AB519" i="96" s="1"/>
  <c r="X518" i="96"/>
  <c r="AD518" i="96" s="1"/>
  <c r="W518" i="96"/>
  <c r="AC518" i="96" s="1"/>
  <c r="V518" i="96"/>
  <c r="AB518" i="96" s="1"/>
  <c r="X517" i="96"/>
  <c r="AD517" i="96" s="1"/>
  <c r="W517" i="96"/>
  <c r="AC517" i="96" s="1"/>
  <c r="V517" i="96"/>
  <c r="AB517" i="96" s="1"/>
  <c r="X516" i="96"/>
  <c r="AD516" i="96" s="1"/>
  <c r="W516" i="96"/>
  <c r="AC516" i="96" s="1"/>
  <c r="V516" i="96"/>
  <c r="AB516" i="96" s="1"/>
  <c r="X515" i="96"/>
  <c r="AD515" i="96" s="1"/>
  <c r="W515" i="96"/>
  <c r="AC515" i="96" s="1"/>
  <c r="V515" i="96"/>
  <c r="AB515" i="96" s="1"/>
  <c r="X514" i="96"/>
  <c r="AD514" i="96" s="1"/>
  <c r="W514" i="96"/>
  <c r="AC514" i="96" s="1"/>
  <c r="V514" i="96"/>
  <c r="AB514" i="96" s="1"/>
  <c r="X513" i="96"/>
  <c r="AD513" i="96" s="1"/>
  <c r="W513" i="96"/>
  <c r="AC513" i="96" s="1"/>
  <c r="V513" i="96"/>
  <c r="AB513" i="96" s="1"/>
  <c r="X512" i="96"/>
  <c r="AD512" i="96" s="1"/>
  <c r="W512" i="96"/>
  <c r="AC512" i="96" s="1"/>
  <c r="V512" i="96"/>
  <c r="AB512" i="96" s="1"/>
  <c r="X511" i="96"/>
  <c r="AD511" i="96" s="1"/>
  <c r="W511" i="96"/>
  <c r="AC511" i="96" s="1"/>
  <c r="V511" i="96"/>
  <c r="AB511" i="96" s="1"/>
  <c r="X510" i="96"/>
  <c r="AD510" i="96" s="1"/>
  <c r="W510" i="96"/>
  <c r="AC510" i="96" s="1"/>
  <c r="V510" i="96"/>
  <c r="AB510" i="96" s="1"/>
  <c r="X509" i="96"/>
  <c r="AD509" i="96" s="1"/>
  <c r="W509" i="96"/>
  <c r="AC509" i="96" s="1"/>
  <c r="V509" i="96"/>
  <c r="AB509" i="96" s="1"/>
  <c r="X508" i="96"/>
  <c r="AD508" i="96" s="1"/>
  <c r="W508" i="96"/>
  <c r="AC508" i="96" s="1"/>
  <c r="V508" i="96"/>
  <c r="AB508" i="96" s="1"/>
  <c r="X507" i="96"/>
  <c r="AD507" i="96" s="1"/>
  <c r="W507" i="96"/>
  <c r="AC507" i="96" s="1"/>
  <c r="V507" i="96"/>
  <c r="AB507" i="96" s="1"/>
  <c r="X506" i="96"/>
  <c r="AD506" i="96" s="1"/>
  <c r="W506" i="96"/>
  <c r="AC506" i="96" s="1"/>
  <c r="V506" i="96"/>
  <c r="AB506" i="96" s="1"/>
  <c r="X505" i="96"/>
  <c r="AD505" i="96" s="1"/>
  <c r="W505" i="96"/>
  <c r="AC505" i="96" s="1"/>
  <c r="V505" i="96"/>
  <c r="AB505" i="96" s="1"/>
  <c r="X504" i="96"/>
  <c r="AD504" i="96" s="1"/>
  <c r="W504" i="96"/>
  <c r="AC504" i="96" s="1"/>
  <c r="V504" i="96"/>
  <c r="AB504" i="96" s="1"/>
  <c r="X503" i="96"/>
  <c r="AD503" i="96" s="1"/>
  <c r="W503" i="96"/>
  <c r="AC503" i="96" s="1"/>
  <c r="V503" i="96"/>
  <c r="AB503" i="96" s="1"/>
  <c r="X502" i="96"/>
  <c r="AD502" i="96" s="1"/>
  <c r="W502" i="96"/>
  <c r="AC502" i="96" s="1"/>
  <c r="V502" i="96"/>
  <c r="X501" i="96"/>
  <c r="AD501" i="96" s="1"/>
  <c r="W501" i="96"/>
  <c r="AC501" i="96" s="1"/>
  <c r="V501" i="96"/>
  <c r="AB501" i="96" s="1"/>
  <c r="X500" i="96"/>
  <c r="AD500" i="96" s="1"/>
  <c r="W500" i="96"/>
  <c r="AC500" i="96" s="1"/>
  <c r="V500" i="96"/>
  <c r="AB500" i="96" s="1"/>
  <c r="X499" i="96"/>
  <c r="AD499" i="96" s="1"/>
  <c r="W499" i="96"/>
  <c r="AC499" i="96" s="1"/>
  <c r="V499" i="96"/>
  <c r="AB499" i="96" s="1"/>
  <c r="X498" i="96"/>
  <c r="AD498" i="96" s="1"/>
  <c r="W498" i="96"/>
  <c r="AC498" i="96" s="1"/>
  <c r="V498" i="96"/>
  <c r="AB498" i="96" s="1"/>
  <c r="X497" i="96"/>
  <c r="AD497" i="96" s="1"/>
  <c r="W497" i="96"/>
  <c r="AC497" i="96" s="1"/>
  <c r="V497" i="96"/>
  <c r="AB497" i="96" s="1"/>
  <c r="X496" i="96"/>
  <c r="AD496" i="96" s="1"/>
  <c r="W496" i="96"/>
  <c r="AC496" i="96" s="1"/>
  <c r="V496" i="96"/>
  <c r="AB496" i="96" s="1"/>
  <c r="X495" i="96"/>
  <c r="AD495" i="96" s="1"/>
  <c r="W495" i="96"/>
  <c r="AC495" i="96" s="1"/>
  <c r="V495" i="96"/>
  <c r="AB495" i="96" s="1"/>
  <c r="X494" i="96"/>
  <c r="AD494" i="96" s="1"/>
  <c r="W494" i="96"/>
  <c r="AC494" i="96" s="1"/>
  <c r="V494" i="96"/>
  <c r="AB494" i="96" s="1"/>
  <c r="X493" i="96"/>
  <c r="AD493" i="96" s="1"/>
  <c r="W493" i="96"/>
  <c r="AC493" i="96" s="1"/>
  <c r="V493" i="96"/>
  <c r="AB493" i="96" s="1"/>
  <c r="X492" i="96"/>
  <c r="AD492" i="96" s="1"/>
  <c r="W492" i="96"/>
  <c r="AC492" i="96" s="1"/>
  <c r="V492" i="96"/>
  <c r="AB492" i="96" s="1"/>
  <c r="X491" i="96"/>
  <c r="AD491" i="96" s="1"/>
  <c r="W491" i="96"/>
  <c r="AC491" i="96" s="1"/>
  <c r="V491" i="96"/>
  <c r="AB491" i="96" s="1"/>
  <c r="X490" i="96"/>
  <c r="AD490" i="96" s="1"/>
  <c r="W490" i="96"/>
  <c r="AC490" i="96" s="1"/>
  <c r="V490" i="96"/>
  <c r="AB490" i="96" s="1"/>
  <c r="X489" i="96"/>
  <c r="AD489" i="96" s="1"/>
  <c r="W489" i="96"/>
  <c r="AC489" i="96" s="1"/>
  <c r="V489" i="96"/>
  <c r="AB489" i="96" s="1"/>
  <c r="X488" i="96"/>
  <c r="AD488" i="96" s="1"/>
  <c r="W488" i="96"/>
  <c r="AC488" i="96" s="1"/>
  <c r="V488" i="96"/>
  <c r="AB488" i="96" s="1"/>
  <c r="X487" i="96"/>
  <c r="AD487" i="96" s="1"/>
  <c r="W487" i="96"/>
  <c r="V487" i="96"/>
  <c r="AB487" i="96" s="1"/>
  <c r="X486" i="96"/>
  <c r="AD486" i="96" s="1"/>
  <c r="W486" i="96"/>
  <c r="AC486" i="96" s="1"/>
  <c r="V486" i="96"/>
  <c r="AB486" i="96" s="1"/>
  <c r="X485" i="96"/>
  <c r="AD485" i="96" s="1"/>
  <c r="W485" i="96"/>
  <c r="AC485" i="96" s="1"/>
  <c r="V485" i="96"/>
  <c r="AB485" i="96" s="1"/>
  <c r="X484" i="96"/>
  <c r="AD484" i="96" s="1"/>
  <c r="W484" i="96"/>
  <c r="AC484" i="96" s="1"/>
  <c r="V484" i="96"/>
  <c r="AB484" i="96" s="1"/>
  <c r="X483" i="96"/>
  <c r="AD483" i="96" s="1"/>
  <c r="W483" i="96"/>
  <c r="AC483" i="96" s="1"/>
  <c r="V483" i="96"/>
  <c r="AB483" i="96" s="1"/>
  <c r="X482" i="96"/>
  <c r="AD482" i="96" s="1"/>
  <c r="W482" i="96"/>
  <c r="V482" i="96"/>
  <c r="AB482" i="96" s="1"/>
  <c r="X481" i="96"/>
  <c r="AD481" i="96" s="1"/>
  <c r="W481" i="96"/>
  <c r="AC481" i="96" s="1"/>
  <c r="V481" i="96"/>
  <c r="AB481" i="96" s="1"/>
  <c r="X480" i="96"/>
  <c r="AD480" i="96" s="1"/>
  <c r="W480" i="96"/>
  <c r="AC480" i="96" s="1"/>
  <c r="V480" i="96"/>
  <c r="AB480" i="96" s="1"/>
  <c r="X479" i="96"/>
  <c r="AD479" i="96" s="1"/>
  <c r="W479" i="96"/>
  <c r="AC479" i="96" s="1"/>
  <c r="V479" i="96"/>
  <c r="AB479" i="96" s="1"/>
  <c r="X478" i="96"/>
  <c r="AD478" i="96" s="1"/>
  <c r="W478" i="96"/>
  <c r="AC478" i="96" s="1"/>
  <c r="V478" i="96"/>
  <c r="AB478" i="96" s="1"/>
  <c r="X477" i="96"/>
  <c r="AD477" i="96" s="1"/>
  <c r="W477" i="96"/>
  <c r="AC477" i="96" s="1"/>
  <c r="V477" i="96"/>
  <c r="AB477" i="96" s="1"/>
  <c r="X476" i="96"/>
  <c r="AD476" i="96" s="1"/>
  <c r="W476" i="96"/>
  <c r="AC476" i="96" s="1"/>
  <c r="V476" i="96"/>
  <c r="AB476" i="96" s="1"/>
  <c r="X475" i="96"/>
  <c r="AD475" i="96" s="1"/>
  <c r="W475" i="96"/>
  <c r="AC475" i="96" s="1"/>
  <c r="V475" i="96"/>
  <c r="AB475" i="96" s="1"/>
  <c r="X474" i="96"/>
  <c r="AD474" i="96" s="1"/>
  <c r="W474" i="96"/>
  <c r="AC474" i="96" s="1"/>
  <c r="V474" i="96"/>
  <c r="AB474" i="96" s="1"/>
  <c r="X473" i="96"/>
  <c r="AD473" i="96" s="1"/>
  <c r="W473" i="96"/>
  <c r="AC473" i="96" s="1"/>
  <c r="V473" i="96"/>
  <c r="AB473" i="96" s="1"/>
  <c r="X472" i="96"/>
  <c r="AD472" i="96" s="1"/>
  <c r="W472" i="96"/>
  <c r="AC472" i="96" s="1"/>
  <c r="V472" i="96"/>
  <c r="AB472" i="96" s="1"/>
  <c r="X471" i="96"/>
  <c r="AD471" i="96" s="1"/>
  <c r="W471" i="96"/>
  <c r="AC471" i="96" s="1"/>
  <c r="V471" i="96"/>
  <c r="AB471" i="96" s="1"/>
  <c r="X470" i="96"/>
  <c r="AD470" i="96" s="1"/>
  <c r="W470" i="96"/>
  <c r="AC470" i="96" s="1"/>
  <c r="V470" i="96"/>
  <c r="AB470" i="96" s="1"/>
  <c r="X469" i="96"/>
  <c r="AD469" i="96" s="1"/>
  <c r="W469" i="96"/>
  <c r="AC469" i="96" s="1"/>
  <c r="V469" i="96"/>
  <c r="AB469" i="96" s="1"/>
  <c r="X468" i="96"/>
  <c r="AD468" i="96" s="1"/>
  <c r="W468" i="96"/>
  <c r="AC468" i="96" s="1"/>
  <c r="V468" i="96"/>
  <c r="AB468" i="96" s="1"/>
  <c r="X467" i="96"/>
  <c r="AD467" i="96" s="1"/>
  <c r="W467" i="96"/>
  <c r="AC467" i="96" s="1"/>
  <c r="V467" i="96"/>
  <c r="AB467" i="96" s="1"/>
  <c r="X466" i="96"/>
  <c r="AD466" i="96" s="1"/>
  <c r="W466" i="96"/>
  <c r="AC466" i="96" s="1"/>
  <c r="V466" i="96"/>
  <c r="AB466" i="96" s="1"/>
  <c r="X465" i="96"/>
  <c r="AD465" i="96" s="1"/>
  <c r="W465" i="96"/>
  <c r="AC465" i="96" s="1"/>
  <c r="V465" i="96"/>
  <c r="AB465" i="96" s="1"/>
  <c r="X464" i="96"/>
  <c r="AD464" i="96" s="1"/>
  <c r="W464" i="96"/>
  <c r="AC464" i="96" s="1"/>
  <c r="V464" i="96"/>
  <c r="AB464" i="96" s="1"/>
  <c r="X463" i="96"/>
  <c r="AD463" i="96" s="1"/>
  <c r="W463" i="96"/>
  <c r="AC463" i="96" s="1"/>
  <c r="V463" i="96"/>
  <c r="AB463" i="96" s="1"/>
  <c r="X462" i="96"/>
  <c r="AD462" i="96" s="1"/>
  <c r="W462" i="96"/>
  <c r="AC462" i="96" s="1"/>
  <c r="V462" i="96"/>
  <c r="AB462" i="96" s="1"/>
  <c r="X461" i="96"/>
  <c r="AD461" i="96" s="1"/>
  <c r="W461" i="96"/>
  <c r="AC461" i="96" s="1"/>
  <c r="V461" i="96"/>
  <c r="AB461" i="96" s="1"/>
  <c r="X460" i="96"/>
  <c r="AD460" i="96" s="1"/>
  <c r="W460" i="96"/>
  <c r="AC460" i="96" s="1"/>
  <c r="V460" i="96"/>
  <c r="AB460" i="96" s="1"/>
  <c r="X459" i="96"/>
  <c r="AD459" i="96" s="1"/>
  <c r="W459" i="96"/>
  <c r="AC459" i="96" s="1"/>
  <c r="V459" i="96"/>
  <c r="X458" i="96"/>
  <c r="AD458" i="96" s="1"/>
  <c r="W458" i="96"/>
  <c r="AC458" i="96" s="1"/>
  <c r="V458" i="96"/>
  <c r="AB458" i="96" s="1"/>
  <c r="X457" i="96"/>
  <c r="AD457" i="96" s="1"/>
  <c r="W457" i="96"/>
  <c r="AC457" i="96" s="1"/>
  <c r="V457" i="96"/>
  <c r="AB457" i="96" s="1"/>
  <c r="X456" i="96"/>
  <c r="AD456" i="96" s="1"/>
  <c r="W456" i="96"/>
  <c r="AC456" i="96" s="1"/>
  <c r="V456" i="96"/>
  <c r="AB456" i="96" s="1"/>
  <c r="X455" i="96"/>
  <c r="AD455" i="96" s="1"/>
  <c r="W455" i="96"/>
  <c r="AC455" i="96" s="1"/>
  <c r="V455" i="96"/>
  <c r="AB455" i="96" s="1"/>
  <c r="X454" i="96"/>
  <c r="AD454" i="96" s="1"/>
  <c r="W454" i="96"/>
  <c r="AC454" i="96" s="1"/>
  <c r="V454" i="96"/>
  <c r="AB454" i="96" s="1"/>
  <c r="X453" i="96"/>
  <c r="AD453" i="96" s="1"/>
  <c r="W453" i="96"/>
  <c r="AC453" i="96" s="1"/>
  <c r="V453" i="96"/>
  <c r="AB453" i="96" s="1"/>
  <c r="X452" i="96"/>
  <c r="AD452" i="96" s="1"/>
  <c r="W452" i="96"/>
  <c r="AC452" i="96" s="1"/>
  <c r="V452" i="96"/>
  <c r="AB452" i="96" s="1"/>
  <c r="X451" i="96"/>
  <c r="AD451" i="96" s="1"/>
  <c r="W451" i="96"/>
  <c r="AC451" i="96" s="1"/>
  <c r="V451" i="96"/>
  <c r="AB451" i="96" s="1"/>
  <c r="X450" i="96"/>
  <c r="AD450" i="96" s="1"/>
  <c r="W450" i="96"/>
  <c r="AC450" i="96" s="1"/>
  <c r="V450" i="96"/>
  <c r="AB450" i="96" s="1"/>
  <c r="X449" i="96"/>
  <c r="AD449" i="96" s="1"/>
  <c r="W449" i="96"/>
  <c r="AC449" i="96" s="1"/>
  <c r="V449" i="96"/>
  <c r="AB449" i="96" s="1"/>
  <c r="X448" i="96"/>
  <c r="AD448" i="96" s="1"/>
  <c r="W448" i="96"/>
  <c r="AC448" i="96" s="1"/>
  <c r="V448" i="96"/>
  <c r="AB448" i="96" s="1"/>
  <c r="X447" i="96"/>
  <c r="AD447" i="96" s="1"/>
  <c r="W447" i="96"/>
  <c r="AC447" i="96" s="1"/>
  <c r="V447" i="96"/>
  <c r="AB447" i="96" s="1"/>
  <c r="X446" i="96"/>
  <c r="AD446" i="96" s="1"/>
  <c r="W446" i="96"/>
  <c r="AC446" i="96" s="1"/>
  <c r="V446" i="96"/>
  <c r="AB446" i="96" s="1"/>
  <c r="X445" i="96"/>
  <c r="AD445" i="96" s="1"/>
  <c r="W445" i="96"/>
  <c r="AC445" i="96" s="1"/>
  <c r="V445" i="96"/>
  <c r="AB445" i="96" s="1"/>
  <c r="X444" i="96"/>
  <c r="AD444" i="96" s="1"/>
  <c r="W444" i="96"/>
  <c r="AC444" i="96" s="1"/>
  <c r="V444" i="96"/>
  <c r="AB444" i="96" s="1"/>
  <c r="X443" i="96"/>
  <c r="AD443" i="96" s="1"/>
  <c r="W443" i="96"/>
  <c r="AC443" i="96" s="1"/>
  <c r="V443" i="96"/>
  <c r="AB443" i="96" s="1"/>
  <c r="X442" i="96"/>
  <c r="AD442" i="96" s="1"/>
  <c r="W442" i="96"/>
  <c r="AC442" i="96" s="1"/>
  <c r="V442" i="96"/>
  <c r="AB442" i="96" s="1"/>
  <c r="X441" i="96"/>
  <c r="AD441" i="96" s="1"/>
  <c r="W441" i="96"/>
  <c r="AC441" i="96" s="1"/>
  <c r="V441" i="96"/>
  <c r="AB441" i="96" s="1"/>
  <c r="X440" i="96"/>
  <c r="AD440" i="96" s="1"/>
  <c r="W440" i="96"/>
  <c r="AC440" i="96" s="1"/>
  <c r="V440" i="96"/>
  <c r="AB440" i="96" s="1"/>
  <c r="X439" i="96"/>
  <c r="AD439" i="96" s="1"/>
  <c r="W439" i="96"/>
  <c r="AC439" i="96" s="1"/>
  <c r="V439" i="96"/>
  <c r="AB439" i="96" s="1"/>
  <c r="X438" i="96"/>
  <c r="AD438" i="96" s="1"/>
  <c r="W438" i="96"/>
  <c r="AC438" i="96" s="1"/>
  <c r="V438" i="96"/>
  <c r="AB438" i="96" s="1"/>
  <c r="X437" i="96"/>
  <c r="AD437" i="96" s="1"/>
  <c r="W437" i="96"/>
  <c r="AC437" i="96" s="1"/>
  <c r="V437" i="96"/>
  <c r="AB437" i="96" s="1"/>
  <c r="X436" i="96"/>
  <c r="AD436" i="96" s="1"/>
  <c r="W436" i="96"/>
  <c r="AC436" i="96" s="1"/>
  <c r="V436" i="96"/>
  <c r="AB436" i="96" s="1"/>
  <c r="X435" i="96"/>
  <c r="AD435" i="96" s="1"/>
  <c r="W435" i="96"/>
  <c r="AC435" i="96" s="1"/>
  <c r="V435" i="96"/>
  <c r="AB435" i="96" s="1"/>
  <c r="X434" i="96"/>
  <c r="AD434" i="96" s="1"/>
  <c r="W434" i="96"/>
  <c r="AC434" i="96" s="1"/>
  <c r="V434" i="96"/>
  <c r="AB434" i="96" s="1"/>
  <c r="X433" i="96"/>
  <c r="AD433" i="96" s="1"/>
  <c r="W433" i="96"/>
  <c r="V433" i="96"/>
  <c r="AB433" i="96" s="1"/>
  <c r="X432" i="96"/>
  <c r="AD432" i="96" s="1"/>
  <c r="W432" i="96"/>
  <c r="AC432" i="96" s="1"/>
  <c r="V432" i="96"/>
  <c r="AB432" i="96" s="1"/>
  <c r="X431" i="96"/>
  <c r="AD431" i="96" s="1"/>
  <c r="W431" i="96"/>
  <c r="AC431" i="96" s="1"/>
  <c r="V431" i="96"/>
  <c r="AB431" i="96" s="1"/>
  <c r="X430" i="96"/>
  <c r="AD430" i="96" s="1"/>
  <c r="W430" i="96"/>
  <c r="AC430" i="96" s="1"/>
  <c r="V430" i="96"/>
  <c r="AB430" i="96" s="1"/>
  <c r="X429" i="96"/>
  <c r="AD429" i="96" s="1"/>
  <c r="W429" i="96"/>
  <c r="AC429" i="96" s="1"/>
  <c r="V429" i="96"/>
  <c r="AB429" i="96" s="1"/>
  <c r="X428" i="96"/>
  <c r="W428" i="96"/>
  <c r="AC428" i="96" s="1"/>
  <c r="V428" i="96"/>
  <c r="AB428" i="96" s="1"/>
  <c r="X427" i="96"/>
  <c r="AD427" i="96" s="1"/>
  <c r="W427" i="96"/>
  <c r="AC427" i="96" s="1"/>
  <c r="V427" i="96"/>
  <c r="AB427" i="96" s="1"/>
  <c r="X426" i="96"/>
  <c r="AD426" i="96" s="1"/>
  <c r="W426" i="96"/>
  <c r="AC426" i="96" s="1"/>
  <c r="V426" i="96"/>
  <c r="AB426" i="96" s="1"/>
  <c r="X425" i="96"/>
  <c r="AD425" i="96" s="1"/>
  <c r="W425" i="96"/>
  <c r="AC425" i="96" s="1"/>
  <c r="V425" i="96"/>
  <c r="AB425" i="96" s="1"/>
  <c r="X424" i="96"/>
  <c r="AD424" i="96" s="1"/>
  <c r="W424" i="96"/>
  <c r="AC424" i="96" s="1"/>
  <c r="V424" i="96"/>
  <c r="AB424" i="96" s="1"/>
  <c r="X423" i="96"/>
  <c r="AD423" i="96" s="1"/>
  <c r="W423" i="96"/>
  <c r="V423" i="96"/>
  <c r="AB423" i="96" s="1"/>
  <c r="X422" i="96"/>
  <c r="AD422" i="96" s="1"/>
  <c r="W422" i="96"/>
  <c r="AC422" i="96" s="1"/>
  <c r="V422" i="96"/>
  <c r="AB422" i="96" s="1"/>
  <c r="X421" i="96"/>
  <c r="AD421" i="96" s="1"/>
  <c r="W421" i="96"/>
  <c r="AC421" i="96" s="1"/>
  <c r="V421" i="96"/>
  <c r="AB421" i="96" s="1"/>
  <c r="X420" i="96"/>
  <c r="AD420" i="96" s="1"/>
  <c r="W420" i="96"/>
  <c r="AC420" i="96" s="1"/>
  <c r="V420" i="96"/>
  <c r="AB420" i="96" s="1"/>
  <c r="X419" i="96"/>
  <c r="AD419" i="96" s="1"/>
  <c r="W419" i="96"/>
  <c r="V419" i="96"/>
  <c r="AB419" i="96" s="1"/>
  <c r="X418" i="96"/>
  <c r="AD418" i="96" s="1"/>
  <c r="W418" i="96"/>
  <c r="AC418" i="96" s="1"/>
  <c r="V418" i="96"/>
  <c r="AB418" i="96" s="1"/>
  <c r="X417" i="96"/>
  <c r="AD417" i="96" s="1"/>
  <c r="W417" i="96"/>
  <c r="AC417" i="96" s="1"/>
  <c r="V417" i="96"/>
  <c r="AB417" i="96" s="1"/>
  <c r="X416" i="96"/>
  <c r="AD416" i="96" s="1"/>
  <c r="W416" i="96"/>
  <c r="AC416" i="96" s="1"/>
  <c r="V416" i="96"/>
  <c r="AB416" i="96" s="1"/>
  <c r="X415" i="96"/>
  <c r="AD415" i="96" s="1"/>
  <c r="W415" i="96"/>
  <c r="AC415" i="96" s="1"/>
  <c r="V415" i="96"/>
  <c r="AB415" i="96" s="1"/>
  <c r="X414" i="96"/>
  <c r="AD414" i="96" s="1"/>
  <c r="W414" i="96"/>
  <c r="AC414" i="96" s="1"/>
  <c r="V414" i="96"/>
  <c r="AB414" i="96" s="1"/>
  <c r="X413" i="96"/>
  <c r="AD413" i="96" s="1"/>
  <c r="W413" i="96"/>
  <c r="AC413" i="96" s="1"/>
  <c r="V413" i="96"/>
  <c r="AB413" i="96" s="1"/>
  <c r="X412" i="96"/>
  <c r="AD412" i="96" s="1"/>
  <c r="W412" i="96"/>
  <c r="AC412" i="96" s="1"/>
  <c r="V412" i="96"/>
  <c r="AB412" i="96" s="1"/>
  <c r="X411" i="96"/>
  <c r="AD411" i="96" s="1"/>
  <c r="W411" i="96"/>
  <c r="AC411" i="96" s="1"/>
  <c r="V411" i="96"/>
  <c r="AB411" i="96" s="1"/>
  <c r="X410" i="96"/>
  <c r="W410" i="96"/>
  <c r="V410" i="96"/>
  <c r="AB410" i="96" s="1"/>
  <c r="X409" i="96"/>
  <c r="AD409" i="96" s="1"/>
  <c r="W409" i="96"/>
  <c r="AC409" i="96" s="1"/>
  <c r="V409" i="96"/>
  <c r="AB409" i="96" s="1"/>
  <c r="X408" i="96"/>
  <c r="AD408" i="96" s="1"/>
  <c r="W408" i="96"/>
  <c r="AC408" i="96" s="1"/>
  <c r="V408" i="96"/>
  <c r="AB408" i="96" s="1"/>
  <c r="X407" i="96"/>
  <c r="AD407" i="96" s="1"/>
  <c r="W407" i="96"/>
  <c r="AC407" i="96" s="1"/>
  <c r="V407" i="96"/>
  <c r="AB407" i="96" s="1"/>
  <c r="X406" i="96"/>
  <c r="AD406" i="96" s="1"/>
  <c r="W406" i="96"/>
  <c r="AC406" i="96" s="1"/>
  <c r="V406" i="96"/>
  <c r="AB406" i="96" s="1"/>
  <c r="X405" i="96"/>
  <c r="AD405" i="96" s="1"/>
  <c r="W405" i="96"/>
  <c r="AC405" i="96" s="1"/>
  <c r="V405" i="96"/>
  <c r="AB405" i="96" s="1"/>
  <c r="X404" i="96"/>
  <c r="AD404" i="96" s="1"/>
  <c r="W404" i="96"/>
  <c r="AC404" i="96" s="1"/>
  <c r="V404" i="96"/>
  <c r="AB404" i="96" s="1"/>
  <c r="X403" i="96"/>
  <c r="AD403" i="96" s="1"/>
  <c r="W403" i="96"/>
  <c r="AC403" i="96" s="1"/>
  <c r="V403" i="96"/>
  <c r="AB403" i="96" s="1"/>
  <c r="X402" i="96"/>
  <c r="AD402" i="96" s="1"/>
  <c r="W402" i="96"/>
  <c r="AC402" i="96" s="1"/>
  <c r="V402" i="96"/>
  <c r="AB402" i="96" s="1"/>
  <c r="X401" i="96"/>
  <c r="AD401" i="96" s="1"/>
  <c r="W401" i="96"/>
  <c r="AC401" i="96" s="1"/>
  <c r="V401" i="96"/>
  <c r="AB401" i="96" s="1"/>
  <c r="X400" i="96"/>
  <c r="AD400" i="96" s="1"/>
  <c r="W400" i="96"/>
  <c r="AC400" i="96" s="1"/>
  <c r="V400" i="96"/>
  <c r="AB400" i="96" s="1"/>
  <c r="X399" i="96"/>
  <c r="AD399" i="96" s="1"/>
  <c r="W399" i="96"/>
  <c r="AC399" i="96" s="1"/>
  <c r="V399" i="96"/>
  <c r="AB399" i="96" s="1"/>
  <c r="X398" i="96"/>
  <c r="AD398" i="96" s="1"/>
  <c r="W398" i="96"/>
  <c r="AC398" i="96" s="1"/>
  <c r="V398" i="96"/>
  <c r="AB398" i="96" s="1"/>
  <c r="X397" i="96"/>
  <c r="AD397" i="96" s="1"/>
  <c r="W397" i="96"/>
  <c r="AC397" i="96" s="1"/>
  <c r="V397" i="96"/>
  <c r="AB397" i="96" s="1"/>
  <c r="X396" i="96"/>
  <c r="AD396" i="96" s="1"/>
  <c r="W396" i="96"/>
  <c r="AC396" i="96" s="1"/>
  <c r="V396" i="96"/>
  <c r="AB396" i="96" s="1"/>
  <c r="X395" i="96"/>
  <c r="AD395" i="96" s="1"/>
  <c r="W395" i="96"/>
  <c r="AC395" i="96" s="1"/>
  <c r="V395" i="96"/>
  <c r="AB395" i="96" s="1"/>
  <c r="X394" i="96"/>
  <c r="AD394" i="96" s="1"/>
  <c r="W394" i="96"/>
  <c r="AC394" i="96" s="1"/>
  <c r="V394" i="96"/>
  <c r="AB394" i="96" s="1"/>
  <c r="X393" i="96"/>
  <c r="AD393" i="96" s="1"/>
  <c r="W393" i="96"/>
  <c r="AC393" i="96" s="1"/>
  <c r="V393" i="96"/>
  <c r="AB393" i="96" s="1"/>
  <c r="X392" i="96"/>
  <c r="AD392" i="96" s="1"/>
  <c r="W392" i="96"/>
  <c r="AC392" i="96" s="1"/>
  <c r="V392" i="96"/>
  <c r="AB392" i="96" s="1"/>
  <c r="X391" i="96"/>
  <c r="AD391" i="96" s="1"/>
  <c r="W391" i="96"/>
  <c r="AC391" i="96" s="1"/>
  <c r="V391" i="96"/>
  <c r="AB391" i="96" s="1"/>
  <c r="X390" i="96"/>
  <c r="AD390" i="96" s="1"/>
  <c r="W390" i="96"/>
  <c r="AC390" i="96" s="1"/>
  <c r="V390" i="96"/>
  <c r="AB390" i="96" s="1"/>
  <c r="X389" i="96"/>
  <c r="AD389" i="96" s="1"/>
  <c r="W389" i="96"/>
  <c r="AC389" i="96" s="1"/>
  <c r="V389" i="96"/>
  <c r="AB389" i="96" s="1"/>
  <c r="X388" i="96"/>
  <c r="AD388" i="96" s="1"/>
  <c r="W388" i="96"/>
  <c r="AC388" i="96" s="1"/>
  <c r="V388" i="96"/>
  <c r="AB388" i="96" s="1"/>
  <c r="X387" i="96"/>
  <c r="AD387" i="96" s="1"/>
  <c r="W387" i="96"/>
  <c r="AC387" i="96" s="1"/>
  <c r="V387" i="96"/>
  <c r="AB387" i="96" s="1"/>
  <c r="X386" i="96"/>
  <c r="AD386" i="96" s="1"/>
  <c r="W386" i="96"/>
  <c r="AC386" i="96" s="1"/>
  <c r="V386" i="96"/>
  <c r="AB386" i="96" s="1"/>
  <c r="X385" i="96"/>
  <c r="AD385" i="96" s="1"/>
  <c r="W385" i="96"/>
  <c r="AC385" i="96" s="1"/>
  <c r="V385" i="96"/>
  <c r="AB385" i="96" s="1"/>
  <c r="X384" i="96"/>
  <c r="AD384" i="96" s="1"/>
  <c r="W384" i="96"/>
  <c r="AC384" i="96" s="1"/>
  <c r="V384" i="96"/>
  <c r="AB384" i="96" s="1"/>
  <c r="X383" i="96"/>
  <c r="AD383" i="96" s="1"/>
  <c r="W383" i="96"/>
  <c r="AC383" i="96" s="1"/>
  <c r="V383" i="96"/>
  <c r="AB383" i="96" s="1"/>
  <c r="X382" i="96"/>
  <c r="AD382" i="96" s="1"/>
  <c r="W382" i="96"/>
  <c r="AC382" i="96" s="1"/>
  <c r="V382" i="96"/>
  <c r="AB382" i="96" s="1"/>
  <c r="X381" i="96"/>
  <c r="AD381" i="96" s="1"/>
  <c r="W381" i="96"/>
  <c r="AC381" i="96" s="1"/>
  <c r="V381" i="96"/>
  <c r="AB381" i="96" s="1"/>
  <c r="X380" i="96"/>
  <c r="AD380" i="96" s="1"/>
  <c r="W380" i="96"/>
  <c r="AC380" i="96" s="1"/>
  <c r="V380" i="96"/>
  <c r="AB380" i="96" s="1"/>
  <c r="X379" i="96"/>
  <c r="AD379" i="96" s="1"/>
  <c r="W379" i="96"/>
  <c r="AC379" i="96" s="1"/>
  <c r="V379" i="96"/>
  <c r="AB379" i="96" s="1"/>
  <c r="X378" i="96"/>
  <c r="AD378" i="96" s="1"/>
  <c r="W378" i="96"/>
  <c r="AC378" i="96" s="1"/>
  <c r="V378" i="96"/>
  <c r="AB378" i="96" s="1"/>
  <c r="X377" i="96"/>
  <c r="AD377" i="96" s="1"/>
  <c r="W377" i="96"/>
  <c r="AC377" i="96" s="1"/>
  <c r="V377" i="96"/>
  <c r="AB377" i="96" s="1"/>
  <c r="X376" i="96"/>
  <c r="AD376" i="96" s="1"/>
  <c r="W376" i="96"/>
  <c r="AC376" i="96" s="1"/>
  <c r="V376" i="96"/>
  <c r="AB376" i="96" s="1"/>
  <c r="X375" i="96"/>
  <c r="AD375" i="96" s="1"/>
  <c r="W375" i="96"/>
  <c r="AC375" i="96" s="1"/>
  <c r="V375" i="96"/>
  <c r="AB375" i="96" s="1"/>
  <c r="X374" i="96"/>
  <c r="AD374" i="96" s="1"/>
  <c r="W374" i="96"/>
  <c r="AC374" i="96" s="1"/>
  <c r="V374" i="96"/>
  <c r="AB374" i="96" s="1"/>
  <c r="X373" i="96"/>
  <c r="AD373" i="96" s="1"/>
  <c r="W373" i="96"/>
  <c r="AC373" i="96" s="1"/>
  <c r="V373" i="96"/>
  <c r="AB373" i="96" s="1"/>
  <c r="X372" i="96"/>
  <c r="AD372" i="96" s="1"/>
  <c r="W372" i="96"/>
  <c r="AC372" i="96" s="1"/>
  <c r="V372" i="96"/>
  <c r="AB372" i="96" s="1"/>
  <c r="X371" i="96"/>
  <c r="AD371" i="96" s="1"/>
  <c r="W371" i="96"/>
  <c r="AC371" i="96" s="1"/>
  <c r="V371" i="96"/>
  <c r="AB371" i="96" s="1"/>
  <c r="X370" i="96"/>
  <c r="AD370" i="96" s="1"/>
  <c r="W370" i="96"/>
  <c r="AC370" i="96" s="1"/>
  <c r="V370" i="96"/>
  <c r="AB370" i="96" s="1"/>
  <c r="X369" i="96"/>
  <c r="AD369" i="96" s="1"/>
  <c r="W369" i="96"/>
  <c r="AC369" i="96" s="1"/>
  <c r="V369" i="96"/>
  <c r="AB369" i="96" s="1"/>
  <c r="X368" i="96"/>
  <c r="AD368" i="96" s="1"/>
  <c r="W368" i="96"/>
  <c r="AC368" i="96" s="1"/>
  <c r="V368" i="96"/>
  <c r="AB368" i="96" s="1"/>
  <c r="X367" i="96"/>
  <c r="AD367" i="96" s="1"/>
  <c r="W367" i="96"/>
  <c r="AC367" i="96" s="1"/>
  <c r="V367" i="96"/>
  <c r="AB367" i="96" s="1"/>
  <c r="X366" i="96"/>
  <c r="AD366" i="96" s="1"/>
  <c r="W366" i="96"/>
  <c r="V366" i="96"/>
  <c r="AB366" i="96" s="1"/>
  <c r="X365" i="96"/>
  <c r="AD365" i="96" s="1"/>
  <c r="W365" i="96"/>
  <c r="AC365" i="96" s="1"/>
  <c r="V365" i="96"/>
  <c r="AB365" i="96" s="1"/>
  <c r="X364" i="96"/>
  <c r="AD364" i="96" s="1"/>
  <c r="W364" i="96"/>
  <c r="AC364" i="96" s="1"/>
  <c r="V364" i="96"/>
  <c r="AB364" i="96" s="1"/>
  <c r="X363" i="96"/>
  <c r="AD363" i="96" s="1"/>
  <c r="W363" i="96"/>
  <c r="AC363" i="96" s="1"/>
  <c r="V363" i="96"/>
  <c r="AB363" i="96" s="1"/>
  <c r="X362" i="96"/>
  <c r="AD362" i="96" s="1"/>
  <c r="W362" i="96"/>
  <c r="AC362" i="96" s="1"/>
  <c r="V362" i="96"/>
  <c r="AB362" i="96" s="1"/>
  <c r="X361" i="96"/>
  <c r="AD361" i="96" s="1"/>
  <c r="W361" i="96"/>
  <c r="AC361" i="96" s="1"/>
  <c r="V361" i="96"/>
  <c r="AB361" i="96" s="1"/>
  <c r="X360" i="96"/>
  <c r="AD360" i="96" s="1"/>
  <c r="W360" i="96"/>
  <c r="AC360" i="96" s="1"/>
  <c r="V360" i="96"/>
  <c r="AB360" i="96" s="1"/>
  <c r="X359" i="96"/>
  <c r="AD359" i="96" s="1"/>
  <c r="W359" i="96"/>
  <c r="AC359" i="96" s="1"/>
  <c r="V359" i="96"/>
  <c r="AB359" i="96" s="1"/>
  <c r="X358" i="96"/>
  <c r="AD358" i="96" s="1"/>
  <c r="W358" i="96"/>
  <c r="AC358" i="96" s="1"/>
  <c r="V358" i="96"/>
  <c r="AB358" i="96" s="1"/>
  <c r="X357" i="96"/>
  <c r="AD357" i="96" s="1"/>
  <c r="W357" i="96"/>
  <c r="AC357" i="96" s="1"/>
  <c r="V357" i="96"/>
  <c r="AB357" i="96" s="1"/>
  <c r="X356" i="96"/>
  <c r="AD356" i="96" s="1"/>
  <c r="W356" i="96"/>
  <c r="AC356" i="96" s="1"/>
  <c r="V356" i="96"/>
  <c r="AB356" i="96" s="1"/>
  <c r="X355" i="96"/>
  <c r="AD355" i="96" s="1"/>
  <c r="W355" i="96"/>
  <c r="AC355" i="96" s="1"/>
  <c r="V355" i="96"/>
  <c r="AB355" i="96" s="1"/>
  <c r="X354" i="96"/>
  <c r="AD354" i="96" s="1"/>
  <c r="W354" i="96"/>
  <c r="AC354" i="96" s="1"/>
  <c r="V354" i="96"/>
  <c r="AB354" i="96" s="1"/>
  <c r="X353" i="96"/>
  <c r="AD353" i="96" s="1"/>
  <c r="W353" i="96"/>
  <c r="AC353" i="96" s="1"/>
  <c r="V353" i="96"/>
  <c r="AB353" i="96" s="1"/>
  <c r="X352" i="96"/>
  <c r="AD352" i="96" s="1"/>
  <c r="W352" i="96"/>
  <c r="AC352" i="96" s="1"/>
  <c r="V352" i="96"/>
  <c r="AB352" i="96" s="1"/>
  <c r="X351" i="96"/>
  <c r="AD351" i="96" s="1"/>
  <c r="W351" i="96"/>
  <c r="AC351" i="96" s="1"/>
  <c r="V351" i="96"/>
  <c r="AB351" i="96" s="1"/>
  <c r="X350" i="96"/>
  <c r="AD350" i="96" s="1"/>
  <c r="W350" i="96"/>
  <c r="AC350" i="96" s="1"/>
  <c r="V350" i="96"/>
  <c r="AB350" i="96" s="1"/>
  <c r="X349" i="96"/>
  <c r="AD349" i="96" s="1"/>
  <c r="W349" i="96"/>
  <c r="AC349" i="96" s="1"/>
  <c r="V349" i="96"/>
  <c r="AB349" i="96" s="1"/>
  <c r="X348" i="96"/>
  <c r="AD348" i="96" s="1"/>
  <c r="W348" i="96"/>
  <c r="AC348" i="96" s="1"/>
  <c r="V348" i="96"/>
  <c r="AB348" i="96" s="1"/>
  <c r="X347" i="96"/>
  <c r="AD347" i="96" s="1"/>
  <c r="W347" i="96"/>
  <c r="AC347" i="96" s="1"/>
  <c r="V347" i="96"/>
  <c r="AB347" i="96" s="1"/>
  <c r="X346" i="96"/>
  <c r="AD346" i="96" s="1"/>
  <c r="W346" i="96"/>
  <c r="AC346" i="96" s="1"/>
  <c r="V346" i="96"/>
  <c r="AB346" i="96" s="1"/>
  <c r="X345" i="96"/>
  <c r="AD345" i="96" s="1"/>
  <c r="W345" i="96"/>
  <c r="AC345" i="96" s="1"/>
  <c r="V345" i="96"/>
  <c r="AB345" i="96" s="1"/>
  <c r="X344" i="96"/>
  <c r="AD344" i="96" s="1"/>
  <c r="W344" i="96"/>
  <c r="AC344" i="96" s="1"/>
  <c r="V344" i="96"/>
  <c r="AB344" i="96" s="1"/>
  <c r="X343" i="96"/>
  <c r="AD343" i="96" s="1"/>
  <c r="W343" i="96"/>
  <c r="AC343" i="96" s="1"/>
  <c r="V343" i="96"/>
  <c r="AB343" i="96" s="1"/>
  <c r="X342" i="96"/>
  <c r="AD342" i="96" s="1"/>
  <c r="W342" i="96"/>
  <c r="AC342" i="96" s="1"/>
  <c r="V342" i="96"/>
  <c r="AB342" i="96" s="1"/>
  <c r="X341" i="96"/>
  <c r="AD341" i="96" s="1"/>
  <c r="W341" i="96"/>
  <c r="AC341" i="96" s="1"/>
  <c r="V341" i="96"/>
  <c r="AB341" i="96" s="1"/>
  <c r="X340" i="96"/>
  <c r="AD340" i="96" s="1"/>
  <c r="W340" i="96"/>
  <c r="AC340" i="96" s="1"/>
  <c r="V340" i="96"/>
  <c r="AB340" i="96" s="1"/>
  <c r="X339" i="96"/>
  <c r="AD339" i="96" s="1"/>
  <c r="W339" i="96"/>
  <c r="AC339" i="96" s="1"/>
  <c r="V339" i="96"/>
  <c r="AB339" i="96" s="1"/>
  <c r="X338" i="96"/>
  <c r="AD338" i="96" s="1"/>
  <c r="W338" i="96"/>
  <c r="AC338" i="96" s="1"/>
  <c r="V338" i="96"/>
  <c r="AB338" i="96" s="1"/>
  <c r="X337" i="96"/>
  <c r="AD337" i="96" s="1"/>
  <c r="W337" i="96"/>
  <c r="AC337" i="96" s="1"/>
  <c r="V337" i="96"/>
  <c r="AB337" i="96" s="1"/>
  <c r="X336" i="96"/>
  <c r="AD336" i="96" s="1"/>
  <c r="W336" i="96"/>
  <c r="AC336" i="96" s="1"/>
  <c r="V336" i="96"/>
  <c r="AB336" i="96" s="1"/>
  <c r="X335" i="96"/>
  <c r="AD335" i="96" s="1"/>
  <c r="W335" i="96"/>
  <c r="AC335" i="96" s="1"/>
  <c r="V335" i="96"/>
  <c r="AB335" i="96" s="1"/>
  <c r="X334" i="96"/>
  <c r="AD334" i="96" s="1"/>
  <c r="W334" i="96"/>
  <c r="AC334" i="96" s="1"/>
  <c r="V334" i="96"/>
  <c r="AB334" i="96" s="1"/>
  <c r="X333" i="96"/>
  <c r="AD333" i="96" s="1"/>
  <c r="W333" i="96"/>
  <c r="AC333" i="96" s="1"/>
  <c r="V333" i="96"/>
  <c r="AB333" i="96" s="1"/>
  <c r="X332" i="96"/>
  <c r="AD332" i="96" s="1"/>
  <c r="W332" i="96"/>
  <c r="AC332" i="96" s="1"/>
  <c r="V332" i="96"/>
  <c r="AB332" i="96" s="1"/>
  <c r="X331" i="96"/>
  <c r="AD331" i="96" s="1"/>
  <c r="W331" i="96"/>
  <c r="AC331" i="96" s="1"/>
  <c r="V331" i="96"/>
  <c r="AB331" i="96" s="1"/>
  <c r="X330" i="96"/>
  <c r="AD330" i="96" s="1"/>
  <c r="W330" i="96"/>
  <c r="AC330" i="96" s="1"/>
  <c r="V330" i="96"/>
  <c r="AB330" i="96" s="1"/>
  <c r="X329" i="96"/>
  <c r="AD329" i="96" s="1"/>
  <c r="W329" i="96"/>
  <c r="AC329" i="96" s="1"/>
  <c r="V329" i="96"/>
  <c r="AB329" i="96" s="1"/>
  <c r="X328" i="96"/>
  <c r="AD328" i="96" s="1"/>
  <c r="W328" i="96"/>
  <c r="AC328" i="96" s="1"/>
  <c r="V328" i="96"/>
  <c r="AB328" i="96" s="1"/>
  <c r="X327" i="96"/>
  <c r="AD327" i="96" s="1"/>
  <c r="W327" i="96"/>
  <c r="AC327" i="96" s="1"/>
  <c r="V327" i="96"/>
  <c r="AB327" i="96" s="1"/>
  <c r="X326" i="96"/>
  <c r="AD326" i="96" s="1"/>
  <c r="W326" i="96"/>
  <c r="AC326" i="96" s="1"/>
  <c r="V326" i="96"/>
  <c r="AB326" i="96" s="1"/>
  <c r="V325" i="96"/>
  <c r="AB325" i="96" s="1"/>
  <c r="V324" i="96"/>
  <c r="AB324" i="96" s="1"/>
  <c r="V323" i="96"/>
  <c r="AB323" i="96" s="1"/>
  <c r="V322" i="96"/>
  <c r="AB322" i="96" s="1"/>
  <c r="V321" i="96"/>
  <c r="AB321" i="96" s="1"/>
  <c r="V320" i="96"/>
  <c r="AB320" i="96" s="1"/>
  <c r="V319" i="96"/>
  <c r="AB319" i="96" s="1"/>
  <c r="V318" i="96"/>
  <c r="AB318" i="96" s="1"/>
  <c r="V317" i="96"/>
  <c r="AB317" i="96" s="1"/>
  <c r="V316" i="96"/>
  <c r="AB316" i="96" s="1"/>
  <c r="V315" i="96"/>
  <c r="V314" i="96"/>
  <c r="AB314" i="96" s="1"/>
  <c r="X313" i="96"/>
  <c r="AD313" i="96" s="1"/>
  <c r="W313" i="96"/>
  <c r="AC313" i="96" s="1"/>
  <c r="X312" i="96"/>
  <c r="AD312" i="96" s="1"/>
  <c r="W312" i="96"/>
  <c r="AC312" i="96" s="1"/>
  <c r="X311" i="96"/>
  <c r="AD311" i="96" s="1"/>
  <c r="W311" i="96"/>
  <c r="AC311" i="96" s="1"/>
  <c r="X310" i="96"/>
  <c r="AD310" i="96" s="1"/>
  <c r="W310" i="96"/>
  <c r="AC310" i="96" s="1"/>
  <c r="X309" i="96"/>
  <c r="AD309" i="96" s="1"/>
  <c r="W309" i="96"/>
  <c r="AC309" i="96" s="1"/>
  <c r="X308" i="96"/>
  <c r="AD308" i="96" s="1"/>
  <c r="W308" i="96"/>
  <c r="AC308" i="96" s="1"/>
  <c r="X307" i="96"/>
  <c r="AD307" i="96" s="1"/>
  <c r="W307" i="96"/>
  <c r="AC307" i="96" s="1"/>
  <c r="X306" i="96"/>
  <c r="AD306" i="96" s="1"/>
  <c r="W306" i="96"/>
  <c r="AC306" i="96" s="1"/>
  <c r="X305" i="96"/>
  <c r="AD305" i="96" s="1"/>
  <c r="W305" i="96"/>
  <c r="AC305" i="96" s="1"/>
  <c r="X304" i="96"/>
  <c r="AD304" i="96" s="1"/>
  <c r="W304" i="96"/>
  <c r="AC304" i="96" s="1"/>
  <c r="X303" i="96"/>
  <c r="AD303" i="96" s="1"/>
  <c r="W303" i="96"/>
  <c r="AC303" i="96" s="1"/>
  <c r="X302" i="96"/>
  <c r="AD302" i="96" s="1"/>
  <c r="W302" i="96"/>
  <c r="AC302" i="96" s="1"/>
  <c r="V301" i="96"/>
  <c r="AB301" i="96" s="1"/>
  <c r="V300" i="96"/>
  <c r="AB300" i="96" s="1"/>
  <c r="V299" i="96"/>
  <c r="AB299" i="96" s="1"/>
  <c r="V298" i="96"/>
  <c r="AB298" i="96" s="1"/>
  <c r="V297" i="96"/>
  <c r="AB297" i="96" s="1"/>
  <c r="V296" i="96"/>
  <c r="AB296" i="96" s="1"/>
  <c r="V295" i="96"/>
  <c r="AB295" i="96" s="1"/>
  <c r="V294" i="96"/>
  <c r="AB294" i="96" s="1"/>
  <c r="V293" i="96"/>
  <c r="AB293" i="96" s="1"/>
  <c r="V292" i="96"/>
  <c r="AB292" i="96" s="1"/>
  <c r="V291" i="96"/>
  <c r="AB291" i="96" s="1"/>
  <c r="V290" i="96"/>
  <c r="AB290" i="96" s="1"/>
  <c r="X289" i="96"/>
  <c r="AD289" i="96" s="1"/>
  <c r="W289" i="96"/>
  <c r="AC289" i="96" s="1"/>
  <c r="V289" i="96"/>
  <c r="AB289" i="96" s="1"/>
  <c r="X288" i="96"/>
  <c r="AD288" i="96" s="1"/>
  <c r="W288" i="96"/>
  <c r="AC288" i="96" s="1"/>
  <c r="V288" i="96"/>
  <c r="AB288" i="96" s="1"/>
  <c r="X287" i="96"/>
  <c r="AD287" i="96" s="1"/>
  <c r="W287" i="96"/>
  <c r="AC287" i="96" s="1"/>
  <c r="V287" i="96"/>
  <c r="AB287" i="96" s="1"/>
  <c r="X286" i="96"/>
  <c r="AD286" i="96" s="1"/>
  <c r="W286" i="96"/>
  <c r="AC286" i="96" s="1"/>
  <c r="V286" i="96"/>
  <c r="X285" i="96"/>
  <c r="AD285" i="96" s="1"/>
  <c r="W285" i="96"/>
  <c r="AC285" i="96" s="1"/>
  <c r="V285" i="96"/>
  <c r="AB285" i="96" s="1"/>
  <c r="X284" i="96"/>
  <c r="AD284" i="96" s="1"/>
  <c r="W284" i="96"/>
  <c r="AC284" i="96" s="1"/>
  <c r="V284" i="96"/>
  <c r="AB284" i="96" s="1"/>
  <c r="X283" i="96"/>
  <c r="AD283" i="96" s="1"/>
  <c r="W283" i="96"/>
  <c r="AC283" i="96" s="1"/>
  <c r="V283" i="96"/>
  <c r="AB283" i="96" s="1"/>
  <c r="X282" i="96"/>
  <c r="AD282" i="96" s="1"/>
  <c r="W282" i="96"/>
  <c r="AC282" i="96" s="1"/>
  <c r="V282" i="96"/>
  <c r="AB282" i="96" s="1"/>
  <c r="X281" i="96"/>
  <c r="AD281" i="96" s="1"/>
  <c r="W281" i="96"/>
  <c r="AC281" i="96" s="1"/>
  <c r="V281" i="96"/>
  <c r="AB281" i="96" s="1"/>
  <c r="X280" i="96"/>
  <c r="AD280" i="96" s="1"/>
  <c r="W280" i="96"/>
  <c r="AC280" i="96" s="1"/>
  <c r="V280" i="96"/>
  <c r="AB280" i="96" s="1"/>
  <c r="X279" i="96"/>
  <c r="AD279" i="96" s="1"/>
  <c r="W279" i="96"/>
  <c r="AC279" i="96" s="1"/>
  <c r="V279" i="96"/>
  <c r="AB279" i="96" s="1"/>
  <c r="X278" i="96"/>
  <c r="AD278" i="96" s="1"/>
  <c r="W278" i="96"/>
  <c r="AC278" i="96" s="1"/>
  <c r="V278" i="96"/>
  <c r="AB278" i="96" s="1"/>
  <c r="X277" i="96"/>
  <c r="AD277" i="96" s="1"/>
  <c r="W277" i="96"/>
  <c r="AC277" i="96" s="1"/>
  <c r="V277" i="96"/>
  <c r="AB277" i="96" s="1"/>
  <c r="X276" i="96"/>
  <c r="AD276" i="96" s="1"/>
  <c r="W276" i="96"/>
  <c r="AC276" i="96" s="1"/>
  <c r="V276" i="96"/>
  <c r="AB276" i="96" s="1"/>
  <c r="X275" i="96"/>
  <c r="AD275" i="96" s="1"/>
  <c r="W275" i="96"/>
  <c r="AC275" i="96" s="1"/>
  <c r="V275" i="96"/>
  <c r="AB275" i="96" s="1"/>
  <c r="X274" i="96"/>
  <c r="AD274" i="96" s="1"/>
  <c r="W274" i="96"/>
  <c r="AC274" i="96" s="1"/>
  <c r="V274" i="96"/>
  <c r="AB274" i="96" s="1"/>
  <c r="X273" i="96"/>
  <c r="AD273" i="96" s="1"/>
  <c r="W273" i="96"/>
  <c r="AC273" i="96" s="1"/>
  <c r="V273" i="96"/>
  <c r="AB273" i="96" s="1"/>
  <c r="X272" i="96"/>
  <c r="AD272" i="96" s="1"/>
  <c r="W272" i="96"/>
  <c r="AC272" i="96" s="1"/>
  <c r="V272" i="96"/>
  <c r="AB272" i="96" s="1"/>
  <c r="X271" i="96"/>
  <c r="AD271" i="96" s="1"/>
  <c r="W271" i="96"/>
  <c r="AC271" i="96" s="1"/>
  <c r="V271" i="96"/>
  <c r="AB271" i="96" s="1"/>
  <c r="X270" i="96"/>
  <c r="AD270" i="96" s="1"/>
  <c r="W270" i="96"/>
  <c r="AC270" i="96" s="1"/>
  <c r="V270" i="96"/>
  <c r="AB270" i="96" s="1"/>
  <c r="X269" i="96"/>
  <c r="AD269" i="96" s="1"/>
  <c r="W269" i="96"/>
  <c r="AC269" i="96" s="1"/>
  <c r="V269" i="96"/>
  <c r="AB269" i="96" s="1"/>
  <c r="X268" i="96"/>
  <c r="AD268" i="96" s="1"/>
  <c r="W268" i="96"/>
  <c r="AC268" i="96" s="1"/>
  <c r="V268" i="96"/>
  <c r="AB268" i="96" s="1"/>
  <c r="X267" i="96"/>
  <c r="AD267" i="96" s="1"/>
  <c r="W267" i="96"/>
  <c r="AC267" i="96" s="1"/>
  <c r="V267" i="96"/>
  <c r="AB267" i="96" s="1"/>
  <c r="X266" i="96"/>
  <c r="AD266" i="96" s="1"/>
  <c r="W266" i="96"/>
  <c r="AC266" i="96" s="1"/>
  <c r="V266" i="96"/>
  <c r="AB266" i="96" s="1"/>
  <c r="X265" i="96"/>
  <c r="AD265" i="96" s="1"/>
  <c r="W265" i="96"/>
  <c r="AC265" i="96" s="1"/>
  <c r="V265" i="96"/>
  <c r="AB265" i="96" s="1"/>
  <c r="X264" i="96"/>
  <c r="AD264" i="96" s="1"/>
  <c r="W264" i="96"/>
  <c r="AC264" i="96" s="1"/>
  <c r="V264" i="96"/>
  <c r="AB264" i="96" s="1"/>
  <c r="X263" i="96"/>
  <c r="AD263" i="96" s="1"/>
  <c r="W263" i="96"/>
  <c r="AC263" i="96" s="1"/>
  <c r="V263" i="96"/>
  <c r="AB263" i="96" s="1"/>
  <c r="X262" i="96"/>
  <c r="AD262" i="96" s="1"/>
  <c r="W262" i="96"/>
  <c r="AC262" i="96" s="1"/>
  <c r="V262" i="96"/>
  <c r="AB262" i="96" s="1"/>
  <c r="X261" i="96"/>
  <c r="AD261" i="96" s="1"/>
  <c r="W261" i="96"/>
  <c r="AC261" i="96" s="1"/>
  <c r="V261" i="96"/>
  <c r="AB261" i="96" s="1"/>
  <c r="X260" i="96"/>
  <c r="AD260" i="96" s="1"/>
  <c r="W260" i="96"/>
  <c r="AC260" i="96" s="1"/>
  <c r="V260" i="96"/>
  <c r="AB260" i="96" s="1"/>
  <c r="X259" i="96"/>
  <c r="AD259" i="96" s="1"/>
  <c r="W259" i="96"/>
  <c r="AC259" i="96" s="1"/>
  <c r="V259" i="96"/>
  <c r="AB259" i="96" s="1"/>
  <c r="X258" i="96"/>
  <c r="AD258" i="96" s="1"/>
  <c r="W258" i="96"/>
  <c r="AC258" i="96" s="1"/>
  <c r="V258" i="96"/>
  <c r="AB258" i="96" s="1"/>
  <c r="X257" i="96"/>
  <c r="AD257" i="96" s="1"/>
  <c r="W257" i="96"/>
  <c r="AC257" i="96" s="1"/>
  <c r="V257" i="96"/>
  <c r="AB257" i="96" s="1"/>
  <c r="X256" i="96"/>
  <c r="AD256" i="96" s="1"/>
  <c r="W256" i="96"/>
  <c r="AC256" i="96" s="1"/>
  <c r="V256" i="96"/>
  <c r="AB256" i="96" s="1"/>
  <c r="X255" i="96"/>
  <c r="AD255" i="96" s="1"/>
  <c r="W255" i="96"/>
  <c r="AC255" i="96" s="1"/>
  <c r="V255" i="96"/>
  <c r="AB255" i="96" s="1"/>
  <c r="X254" i="96"/>
  <c r="AD254" i="96" s="1"/>
  <c r="W254" i="96"/>
  <c r="AC254" i="96" s="1"/>
  <c r="V254" i="96"/>
  <c r="AB254" i="96" s="1"/>
  <c r="X253" i="96"/>
  <c r="AD253" i="96" s="1"/>
  <c r="W253" i="96"/>
  <c r="AC253" i="96" s="1"/>
  <c r="V253" i="96"/>
  <c r="AB253" i="96" s="1"/>
  <c r="X252" i="96"/>
  <c r="AD252" i="96" s="1"/>
  <c r="W252" i="96"/>
  <c r="AC252" i="96" s="1"/>
  <c r="V252" i="96"/>
  <c r="AB252" i="96" s="1"/>
  <c r="X251" i="96"/>
  <c r="AD251" i="96" s="1"/>
  <c r="W251" i="96"/>
  <c r="AC251" i="96" s="1"/>
  <c r="V251" i="96"/>
  <c r="AB251" i="96" s="1"/>
  <c r="X250" i="96"/>
  <c r="AD250" i="96" s="1"/>
  <c r="W250" i="96"/>
  <c r="AC250" i="96" s="1"/>
  <c r="V250" i="96"/>
  <c r="AB250" i="96" s="1"/>
  <c r="X249" i="96"/>
  <c r="AD249" i="96" s="1"/>
  <c r="W249" i="96"/>
  <c r="AC249" i="96" s="1"/>
  <c r="V249" i="96"/>
  <c r="AB249" i="96" s="1"/>
  <c r="X248" i="96"/>
  <c r="AD248" i="96" s="1"/>
  <c r="W248" i="96"/>
  <c r="AC248" i="96" s="1"/>
  <c r="V248" i="96"/>
  <c r="AB248" i="96" s="1"/>
  <c r="X247" i="96"/>
  <c r="AD247" i="96" s="1"/>
  <c r="W247" i="96"/>
  <c r="AC247" i="96" s="1"/>
  <c r="V247" i="96"/>
  <c r="AB247" i="96" s="1"/>
  <c r="X246" i="96"/>
  <c r="AD246" i="96" s="1"/>
  <c r="W246" i="96"/>
  <c r="AC246" i="96" s="1"/>
  <c r="V246" i="96"/>
  <c r="AB246" i="96" s="1"/>
  <c r="X245" i="96"/>
  <c r="AD245" i="96" s="1"/>
  <c r="W245" i="96"/>
  <c r="AC245" i="96" s="1"/>
  <c r="V245" i="96"/>
  <c r="AB245" i="96" s="1"/>
  <c r="X244" i="96"/>
  <c r="AD244" i="96" s="1"/>
  <c r="W244" i="96"/>
  <c r="AC244" i="96" s="1"/>
  <c r="V244" i="96"/>
  <c r="AB244" i="96" s="1"/>
  <c r="X243" i="96"/>
  <c r="AD243" i="96" s="1"/>
  <c r="W243" i="96"/>
  <c r="AC243" i="96" s="1"/>
  <c r="V243" i="96"/>
  <c r="AB243" i="96" s="1"/>
  <c r="X242" i="96"/>
  <c r="AD242" i="96" s="1"/>
  <c r="W242" i="96"/>
  <c r="AC242" i="96" s="1"/>
  <c r="V242" i="96"/>
  <c r="AB242" i="96" s="1"/>
  <c r="X241" i="96"/>
  <c r="AD241" i="96" s="1"/>
  <c r="W241" i="96"/>
  <c r="AC241" i="96" s="1"/>
  <c r="V241" i="96"/>
  <c r="AB241" i="96" s="1"/>
  <c r="X240" i="96"/>
  <c r="AD240" i="96" s="1"/>
  <c r="W240" i="96"/>
  <c r="AC240" i="96" s="1"/>
  <c r="V240" i="96"/>
  <c r="AB240" i="96" s="1"/>
  <c r="X239" i="96"/>
  <c r="AD239" i="96" s="1"/>
  <c r="W239" i="96"/>
  <c r="AC239" i="96" s="1"/>
  <c r="V239" i="96"/>
  <c r="AB239" i="96" s="1"/>
  <c r="X238" i="96"/>
  <c r="AD238" i="96" s="1"/>
  <c r="W238" i="96"/>
  <c r="AC238" i="96" s="1"/>
  <c r="V238" i="96"/>
  <c r="AB238" i="96" s="1"/>
  <c r="X237" i="96"/>
  <c r="AD237" i="96" s="1"/>
  <c r="W237" i="96"/>
  <c r="AC237" i="96" s="1"/>
  <c r="V237" i="96"/>
  <c r="AB237" i="96" s="1"/>
  <c r="X236" i="96"/>
  <c r="AD236" i="96" s="1"/>
  <c r="W236" i="96"/>
  <c r="AC236" i="96" s="1"/>
  <c r="V236" i="96"/>
  <c r="AB236" i="96" s="1"/>
  <c r="X235" i="96"/>
  <c r="AD235" i="96" s="1"/>
  <c r="W235" i="96"/>
  <c r="AC235" i="96" s="1"/>
  <c r="V235" i="96"/>
  <c r="AB235" i="96" s="1"/>
  <c r="X234" i="96"/>
  <c r="AD234" i="96" s="1"/>
  <c r="W234" i="96"/>
  <c r="AC234" i="96" s="1"/>
  <c r="V234" i="96"/>
  <c r="AB234" i="96" s="1"/>
  <c r="X233" i="96"/>
  <c r="AD233" i="96" s="1"/>
  <c r="W233" i="96"/>
  <c r="AC233" i="96" s="1"/>
  <c r="V233" i="96"/>
  <c r="AB233" i="96" s="1"/>
  <c r="X232" i="96"/>
  <c r="AD232" i="96" s="1"/>
  <c r="W232" i="96"/>
  <c r="AC232" i="96" s="1"/>
  <c r="V232" i="96"/>
  <c r="AB232" i="96" s="1"/>
  <c r="X231" i="96"/>
  <c r="AD231" i="96" s="1"/>
  <c r="W231" i="96"/>
  <c r="AC231" i="96" s="1"/>
  <c r="V231" i="96"/>
  <c r="AB231" i="96" s="1"/>
  <c r="X230" i="96"/>
  <c r="AD230" i="96" s="1"/>
  <c r="W230" i="96"/>
  <c r="AC230" i="96" s="1"/>
  <c r="V230" i="96"/>
  <c r="AB230" i="96" s="1"/>
  <c r="X229" i="96"/>
  <c r="AD229" i="96" s="1"/>
  <c r="W229" i="96"/>
  <c r="AC229" i="96" s="1"/>
  <c r="V229" i="96"/>
  <c r="AB229" i="96" s="1"/>
  <c r="X228" i="96"/>
  <c r="AD228" i="96" s="1"/>
  <c r="W228" i="96"/>
  <c r="AC228" i="96" s="1"/>
  <c r="V228" i="96"/>
  <c r="AB228" i="96" s="1"/>
  <c r="X227" i="96"/>
  <c r="AD227" i="96" s="1"/>
  <c r="W227" i="96"/>
  <c r="AC227" i="96" s="1"/>
  <c r="V227" i="96"/>
  <c r="AB227" i="96" s="1"/>
  <c r="X226" i="96"/>
  <c r="AD226" i="96" s="1"/>
  <c r="W226" i="96"/>
  <c r="AC226" i="96" s="1"/>
  <c r="V226" i="96"/>
  <c r="AB226" i="96" s="1"/>
  <c r="X225" i="96"/>
  <c r="AD225" i="96" s="1"/>
  <c r="W225" i="96"/>
  <c r="AC225" i="96" s="1"/>
  <c r="V225" i="96"/>
  <c r="AB225" i="96" s="1"/>
  <c r="X224" i="96"/>
  <c r="AD224" i="96" s="1"/>
  <c r="W224" i="96"/>
  <c r="AC224" i="96" s="1"/>
  <c r="V224" i="96"/>
  <c r="AB224" i="96" s="1"/>
  <c r="X223" i="96"/>
  <c r="AD223" i="96" s="1"/>
  <c r="W223" i="96"/>
  <c r="AC223" i="96" s="1"/>
  <c r="V223" i="96"/>
  <c r="AB223" i="96" s="1"/>
  <c r="X222" i="96"/>
  <c r="AD222" i="96" s="1"/>
  <c r="W222" i="96"/>
  <c r="AC222" i="96" s="1"/>
  <c r="V222" i="96"/>
  <c r="AB222" i="96" s="1"/>
  <c r="X221" i="96"/>
  <c r="AD221" i="96" s="1"/>
  <c r="W221" i="96"/>
  <c r="AC221" i="96" s="1"/>
  <c r="V221" i="96"/>
  <c r="AB221" i="96" s="1"/>
  <c r="X220" i="96"/>
  <c r="AD220" i="96" s="1"/>
  <c r="W220" i="96"/>
  <c r="AC220" i="96" s="1"/>
  <c r="V220" i="96"/>
  <c r="AB220" i="96" s="1"/>
  <c r="X219" i="96"/>
  <c r="AD219" i="96" s="1"/>
  <c r="W219" i="96"/>
  <c r="AC219" i="96" s="1"/>
  <c r="V219" i="96"/>
  <c r="AB219" i="96" s="1"/>
  <c r="X218" i="96"/>
  <c r="AD218" i="96" s="1"/>
  <c r="W218" i="96"/>
  <c r="AC218" i="96" s="1"/>
  <c r="V218" i="96"/>
  <c r="AB218" i="96" s="1"/>
  <c r="X217" i="96"/>
  <c r="AD217" i="96" s="1"/>
  <c r="W217" i="96"/>
  <c r="AC217" i="96" s="1"/>
  <c r="V217" i="96"/>
  <c r="AB217" i="96" s="1"/>
  <c r="X216" i="96"/>
  <c r="AD216" i="96" s="1"/>
  <c r="W216" i="96"/>
  <c r="AC216" i="96" s="1"/>
  <c r="V216" i="96"/>
  <c r="AB216" i="96" s="1"/>
  <c r="X215" i="96"/>
  <c r="AD215" i="96" s="1"/>
  <c r="W215" i="96"/>
  <c r="AC215" i="96" s="1"/>
  <c r="V215" i="96"/>
  <c r="AB215" i="96" s="1"/>
  <c r="X214" i="96"/>
  <c r="AD214" i="96" s="1"/>
  <c r="W214" i="96"/>
  <c r="AC214" i="96" s="1"/>
  <c r="V214" i="96"/>
  <c r="AB214" i="96" s="1"/>
  <c r="X213" i="96"/>
  <c r="AD213" i="96" s="1"/>
  <c r="W213" i="96"/>
  <c r="AC213" i="96" s="1"/>
  <c r="V213" i="96"/>
  <c r="AB213" i="96" s="1"/>
  <c r="X212" i="96"/>
  <c r="AD212" i="96" s="1"/>
  <c r="W212" i="96"/>
  <c r="AC212" i="96" s="1"/>
  <c r="V212" i="96"/>
  <c r="AB212" i="96" s="1"/>
  <c r="X211" i="96"/>
  <c r="AD211" i="96" s="1"/>
  <c r="W211" i="96"/>
  <c r="AC211" i="96" s="1"/>
  <c r="V211" i="96"/>
  <c r="AB211" i="96" s="1"/>
  <c r="X210" i="96"/>
  <c r="AD210" i="96" s="1"/>
  <c r="W210" i="96"/>
  <c r="AC210" i="96" s="1"/>
  <c r="V210" i="96"/>
  <c r="AB210" i="96" s="1"/>
  <c r="X209" i="96"/>
  <c r="AD209" i="96" s="1"/>
  <c r="W209" i="96"/>
  <c r="AC209" i="96" s="1"/>
  <c r="V209" i="96"/>
  <c r="AB209" i="96" s="1"/>
  <c r="X208" i="96"/>
  <c r="AD208" i="96" s="1"/>
  <c r="W208" i="96"/>
  <c r="AC208" i="96" s="1"/>
  <c r="V208" i="96"/>
  <c r="AB208" i="96" s="1"/>
  <c r="X207" i="96"/>
  <c r="AD207" i="96" s="1"/>
  <c r="W207" i="96"/>
  <c r="AC207" i="96" s="1"/>
  <c r="V207" i="96"/>
  <c r="AB207" i="96" s="1"/>
  <c r="X206" i="96"/>
  <c r="AD206" i="96" s="1"/>
  <c r="W206" i="96"/>
  <c r="AC206" i="96" s="1"/>
  <c r="V206" i="96"/>
  <c r="AB206" i="96" s="1"/>
  <c r="X205" i="96"/>
  <c r="AD205" i="96" s="1"/>
  <c r="W205" i="96"/>
  <c r="AC205" i="96" s="1"/>
  <c r="V205" i="96"/>
  <c r="AB205" i="96" s="1"/>
  <c r="X204" i="96"/>
  <c r="AD204" i="96" s="1"/>
  <c r="W204" i="96"/>
  <c r="AC204" i="96" s="1"/>
  <c r="V204" i="96"/>
  <c r="AB204" i="96" s="1"/>
  <c r="X203" i="96"/>
  <c r="AD203" i="96" s="1"/>
  <c r="W203" i="96"/>
  <c r="AC203" i="96" s="1"/>
  <c r="V203" i="96"/>
  <c r="AB203" i="96" s="1"/>
  <c r="X202" i="96"/>
  <c r="AD202" i="96" s="1"/>
  <c r="W202" i="96"/>
  <c r="AC202" i="96" s="1"/>
  <c r="V202" i="96"/>
  <c r="AB202" i="96" s="1"/>
  <c r="X201" i="96"/>
  <c r="AD201" i="96" s="1"/>
  <c r="W201" i="96"/>
  <c r="AC201" i="96" s="1"/>
  <c r="V201" i="96"/>
  <c r="AB201" i="96" s="1"/>
  <c r="X200" i="96"/>
  <c r="AD200" i="96" s="1"/>
  <c r="W200" i="96"/>
  <c r="AC200" i="96" s="1"/>
  <c r="V200" i="96"/>
  <c r="AB200" i="96" s="1"/>
  <c r="X199" i="96"/>
  <c r="AD199" i="96" s="1"/>
  <c r="W199" i="96"/>
  <c r="AC199" i="96" s="1"/>
  <c r="V199" i="96"/>
  <c r="AB199" i="96" s="1"/>
  <c r="X198" i="96"/>
  <c r="AD198" i="96" s="1"/>
  <c r="W198" i="96"/>
  <c r="AC198" i="96" s="1"/>
  <c r="V198" i="96"/>
  <c r="AB198" i="96" s="1"/>
  <c r="X197" i="96"/>
  <c r="AD197" i="96" s="1"/>
  <c r="W197" i="96"/>
  <c r="AC197" i="96" s="1"/>
  <c r="V197" i="96"/>
  <c r="AB197" i="96" s="1"/>
  <c r="X196" i="96"/>
  <c r="AD196" i="96" s="1"/>
  <c r="W196" i="96"/>
  <c r="AC196" i="96" s="1"/>
  <c r="V196" i="96"/>
  <c r="AB196" i="96" s="1"/>
  <c r="X195" i="96"/>
  <c r="AD195" i="96" s="1"/>
  <c r="W195" i="96"/>
  <c r="AC195" i="96" s="1"/>
  <c r="V195" i="96"/>
  <c r="AB195" i="96" s="1"/>
  <c r="X194" i="96"/>
  <c r="AD194" i="96" s="1"/>
  <c r="W194" i="96"/>
  <c r="AC194" i="96" s="1"/>
  <c r="V194" i="96"/>
  <c r="AB194" i="96" s="1"/>
  <c r="X193" i="96"/>
  <c r="AD193" i="96" s="1"/>
  <c r="W193" i="96"/>
  <c r="V193" i="96"/>
  <c r="AB193" i="96" s="1"/>
  <c r="X192" i="96"/>
  <c r="AD192" i="96" s="1"/>
  <c r="W192" i="96"/>
  <c r="AC192" i="96" s="1"/>
  <c r="V192" i="96"/>
  <c r="AB192" i="96" s="1"/>
  <c r="X191" i="96"/>
  <c r="AD191" i="96" s="1"/>
  <c r="W191" i="96"/>
  <c r="AC191" i="96" s="1"/>
  <c r="V191" i="96"/>
  <c r="AB191" i="96" s="1"/>
  <c r="X190" i="96"/>
  <c r="AD190" i="96" s="1"/>
  <c r="W190" i="96"/>
  <c r="AC190" i="96" s="1"/>
  <c r="V190" i="96"/>
  <c r="AB190" i="96" s="1"/>
  <c r="X189" i="96"/>
  <c r="AD189" i="96" s="1"/>
  <c r="W189" i="96"/>
  <c r="AC189" i="96" s="1"/>
  <c r="V189" i="96"/>
  <c r="AB189" i="96" s="1"/>
  <c r="X188" i="96"/>
  <c r="AD188" i="96" s="1"/>
  <c r="W188" i="96"/>
  <c r="AC188" i="96" s="1"/>
  <c r="V188" i="96"/>
  <c r="AB188" i="96" s="1"/>
  <c r="X187" i="96"/>
  <c r="AD187" i="96" s="1"/>
  <c r="W187" i="96"/>
  <c r="AC187" i="96" s="1"/>
  <c r="V187" i="96"/>
  <c r="AB187" i="96" s="1"/>
  <c r="X186" i="96"/>
  <c r="AD186" i="96" s="1"/>
  <c r="W186" i="96"/>
  <c r="AC186" i="96" s="1"/>
  <c r="V186" i="96"/>
  <c r="AB186" i="96" s="1"/>
  <c r="X185" i="96"/>
  <c r="AD185" i="96" s="1"/>
  <c r="W185" i="96"/>
  <c r="AC185" i="96" s="1"/>
  <c r="V185" i="96"/>
  <c r="AB185" i="96" s="1"/>
  <c r="X184" i="96"/>
  <c r="AD184" i="96" s="1"/>
  <c r="W184" i="96"/>
  <c r="AC184" i="96" s="1"/>
  <c r="V184" i="96"/>
  <c r="AB184" i="96" s="1"/>
  <c r="X183" i="96"/>
  <c r="AD183" i="96" s="1"/>
  <c r="W183" i="96"/>
  <c r="AC183" i="96" s="1"/>
  <c r="V183" i="96"/>
  <c r="X182" i="96"/>
  <c r="AD182" i="96" s="1"/>
  <c r="W182" i="96"/>
  <c r="AC182" i="96" s="1"/>
  <c r="V182" i="96"/>
  <c r="AB182" i="96" s="1"/>
  <c r="X181" i="96"/>
  <c r="AD181" i="96" s="1"/>
  <c r="W181" i="96"/>
  <c r="AC181" i="96" s="1"/>
  <c r="V181" i="96"/>
  <c r="AB181" i="96" s="1"/>
  <c r="X180" i="96"/>
  <c r="AD180" i="96" s="1"/>
  <c r="W180" i="96"/>
  <c r="AC180" i="96" s="1"/>
  <c r="V180" i="96"/>
  <c r="AB180" i="96" s="1"/>
  <c r="X179" i="96"/>
  <c r="AD179" i="96" s="1"/>
  <c r="W179" i="96"/>
  <c r="AC179" i="96" s="1"/>
  <c r="V179" i="96"/>
  <c r="AB179" i="96" s="1"/>
  <c r="X178" i="96"/>
  <c r="AD178" i="96" s="1"/>
  <c r="W178" i="96"/>
  <c r="AC178" i="96" s="1"/>
  <c r="V178" i="96"/>
  <c r="AB178" i="96" s="1"/>
  <c r="X177" i="96"/>
  <c r="AD177" i="96" s="1"/>
  <c r="W177" i="96"/>
  <c r="AC177" i="96" s="1"/>
  <c r="V177" i="96"/>
  <c r="AB177" i="96" s="1"/>
  <c r="X176" i="96"/>
  <c r="AD176" i="96" s="1"/>
  <c r="W176" i="96"/>
  <c r="AC176" i="96" s="1"/>
  <c r="V176" i="96"/>
  <c r="AB176" i="96" s="1"/>
  <c r="X175" i="96"/>
  <c r="AD175" i="96" s="1"/>
  <c r="W175" i="96"/>
  <c r="AC175" i="96" s="1"/>
  <c r="V175" i="96"/>
  <c r="AB175" i="96" s="1"/>
  <c r="X174" i="96"/>
  <c r="AD174" i="96" s="1"/>
  <c r="W174" i="96"/>
  <c r="AC174" i="96" s="1"/>
  <c r="V174" i="96"/>
  <c r="AB174" i="96" s="1"/>
  <c r="X173" i="96"/>
  <c r="AD173" i="96" s="1"/>
  <c r="W173" i="96"/>
  <c r="AC173" i="96" s="1"/>
  <c r="V173" i="96"/>
  <c r="AB173" i="96" s="1"/>
  <c r="X172" i="96"/>
  <c r="AD172" i="96" s="1"/>
  <c r="W172" i="96"/>
  <c r="AC172" i="96" s="1"/>
  <c r="V172" i="96"/>
  <c r="AB172" i="96" s="1"/>
  <c r="X171" i="96"/>
  <c r="AD171" i="96" s="1"/>
  <c r="W171" i="96"/>
  <c r="AC171" i="96" s="1"/>
  <c r="V171" i="96"/>
  <c r="AB171" i="96" s="1"/>
  <c r="X170" i="96"/>
  <c r="AD170" i="96" s="1"/>
  <c r="W170" i="96"/>
  <c r="V170" i="96"/>
  <c r="AB170" i="96" s="1"/>
  <c r="X169" i="96"/>
  <c r="AD169" i="96" s="1"/>
  <c r="W169" i="96"/>
  <c r="AC169" i="96" s="1"/>
  <c r="V169" i="96"/>
  <c r="AB169" i="96" s="1"/>
  <c r="X168" i="96"/>
  <c r="AD168" i="96" s="1"/>
  <c r="W168" i="96"/>
  <c r="AC168" i="96" s="1"/>
  <c r="V168" i="96"/>
  <c r="AB168" i="96" s="1"/>
  <c r="X167" i="96"/>
  <c r="AD167" i="96" s="1"/>
  <c r="W167" i="96"/>
  <c r="AC167" i="96" s="1"/>
  <c r="V167" i="96"/>
  <c r="AB167" i="96" s="1"/>
  <c r="X166" i="96"/>
  <c r="AD166" i="96" s="1"/>
  <c r="W166" i="96"/>
  <c r="V166" i="96"/>
  <c r="AB166" i="96" s="1"/>
  <c r="X165" i="96"/>
  <c r="AD165" i="96" s="1"/>
  <c r="W165" i="96"/>
  <c r="AC165" i="96" s="1"/>
  <c r="V165" i="96"/>
  <c r="AB165" i="96" s="1"/>
  <c r="X164" i="96"/>
  <c r="AD164" i="96" s="1"/>
  <c r="W164" i="96"/>
  <c r="AC164" i="96" s="1"/>
  <c r="V164" i="96"/>
  <c r="AB164" i="96" s="1"/>
  <c r="X163" i="96"/>
  <c r="AD163" i="96" s="1"/>
  <c r="W163" i="96"/>
  <c r="AC163" i="96" s="1"/>
  <c r="V163" i="96"/>
  <c r="AB163" i="96" s="1"/>
  <c r="X162" i="96"/>
  <c r="AD162" i="96" s="1"/>
  <c r="W162" i="96"/>
  <c r="AC162" i="96" s="1"/>
  <c r="V162" i="96"/>
  <c r="AB162" i="96" s="1"/>
  <c r="X161" i="96"/>
  <c r="AD161" i="96" s="1"/>
  <c r="W161" i="96"/>
  <c r="AC161" i="96" s="1"/>
  <c r="V161" i="96"/>
  <c r="AB161" i="96" s="1"/>
  <c r="X160" i="96"/>
  <c r="AD160" i="96" s="1"/>
  <c r="W160" i="96"/>
  <c r="AC160" i="96" s="1"/>
  <c r="V160" i="96"/>
  <c r="AB160" i="96" s="1"/>
  <c r="X159" i="96"/>
  <c r="AD159" i="96" s="1"/>
  <c r="W159" i="96"/>
  <c r="AC159" i="96" s="1"/>
  <c r="V159" i="96"/>
  <c r="AB159" i="96" s="1"/>
  <c r="X158" i="96"/>
  <c r="AD158" i="96" s="1"/>
  <c r="W158" i="96"/>
  <c r="AC158" i="96" s="1"/>
  <c r="V158" i="96"/>
  <c r="AB158" i="96" s="1"/>
  <c r="X157" i="96"/>
  <c r="AD157" i="96" s="1"/>
  <c r="W157" i="96"/>
  <c r="AC157" i="96" s="1"/>
  <c r="V157" i="96"/>
  <c r="AB157" i="96" s="1"/>
  <c r="X156" i="96"/>
  <c r="AD156" i="96" s="1"/>
  <c r="W156" i="96"/>
  <c r="AC156" i="96" s="1"/>
  <c r="V156" i="96"/>
  <c r="AB156" i="96" s="1"/>
  <c r="X155" i="96"/>
  <c r="AD155" i="96" s="1"/>
  <c r="W155" i="96"/>
  <c r="AC155" i="96" s="1"/>
  <c r="V155" i="96"/>
  <c r="AB155" i="96" s="1"/>
  <c r="X154" i="96"/>
  <c r="AD154" i="96" s="1"/>
  <c r="W154" i="96"/>
  <c r="AC154" i="96" s="1"/>
  <c r="V154" i="96"/>
  <c r="AB154" i="96" s="1"/>
  <c r="X153" i="96"/>
  <c r="AD153" i="96" s="1"/>
  <c r="W153" i="96"/>
  <c r="AC153" i="96" s="1"/>
  <c r="V153" i="96"/>
  <c r="AB153" i="96" s="1"/>
  <c r="X152" i="96"/>
  <c r="AD152" i="96" s="1"/>
  <c r="W152" i="96"/>
  <c r="AC152" i="96" s="1"/>
  <c r="V152" i="96"/>
  <c r="AB152" i="96" s="1"/>
  <c r="X151" i="96"/>
  <c r="AD151" i="96" s="1"/>
  <c r="W151" i="96"/>
  <c r="AC151" i="96" s="1"/>
  <c r="V151" i="96"/>
  <c r="AB151" i="96" s="1"/>
  <c r="X150" i="96"/>
  <c r="AD150" i="96" s="1"/>
  <c r="W150" i="96"/>
  <c r="AC150" i="96" s="1"/>
  <c r="V150" i="96"/>
  <c r="AB150" i="96" s="1"/>
  <c r="X149" i="96"/>
  <c r="AD149" i="96" s="1"/>
  <c r="W149" i="96"/>
  <c r="AC149" i="96" s="1"/>
  <c r="V149" i="96"/>
  <c r="AB149" i="96" s="1"/>
  <c r="X148" i="96"/>
  <c r="AD148" i="96" s="1"/>
  <c r="W148" i="96"/>
  <c r="AC148" i="96" s="1"/>
  <c r="V148" i="96"/>
  <c r="AB148" i="96" s="1"/>
  <c r="X147" i="96"/>
  <c r="AD147" i="96" s="1"/>
  <c r="W147" i="96"/>
  <c r="AC147" i="96" s="1"/>
  <c r="V147" i="96"/>
  <c r="AB147" i="96" s="1"/>
  <c r="X146" i="96"/>
  <c r="AD146" i="96" s="1"/>
  <c r="W146" i="96"/>
  <c r="AC146" i="96" s="1"/>
  <c r="V146" i="96"/>
  <c r="AB146" i="96" s="1"/>
  <c r="X145" i="96"/>
  <c r="AD145" i="96" s="1"/>
  <c r="W145" i="96"/>
  <c r="AC145" i="96" s="1"/>
  <c r="V145" i="96"/>
  <c r="AB145" i="96" s="1"/>
  <c r="X144" i="96"/>
  <c r="AD144" i="96" s="1"/>
  <c r="W144" i="96"/>
  <c r="AC144" i="96" s="1"/>
  <c r="V144" i="96"/>
  <c r="AB144" i="96" s="1"/>
  <c r="X143" i="96"/>
  <c r="AD143" i="96" s="1"/>
  <c r="W143" i="96"/>
  <c r="AC143" i="96" s="1"/>
  <c r="V143" i="96"/>
  <c r="AB143" i="96" s="1"/>
  <c r="X142" i="96"/>
  <c r="AD142" i="96" s="1"/>
  <c r="W142" i="96"/>
  <c r="AC142" i="96" s="1"/>
  <c r="V142" i="96"/>
  <c r="X141" i="96"/>
  <c r="AD141" i="96" s="1"/>
  <c r="W141" i="96"/>
  <c r="AC141" i="96" s="1"/>
  <c r="V141" i="96"/>
  <c r="AB141" i="96" s="1"/>
  <c r="X140" i="96"/>
  <c r="AD140" i="96" s="1"/>
  <c r="W140" i="96"/>
  <c r="AC140" i="96" s="1"/>
  <c r="V140" i="96"/>
  <c r="AB140" i="96" s="1"/>
  <c r="X139" i="96"/>
  <c r="AD139" i="96" s="1"/>
  <c r="W139" i="96"/>
  <c r="AC139" i="96" s="1"/>
  <c r="V139" i="96"/>
  <c r="AB139" i="96" s="1"/>
  <c r="X138" i="96"/>
  <c r="AD138" i="96" s="1"/>
  <c r="W138" i="96"/>
  <c r="AC138" i="96" s="1"/>
  <c r="V138" i="96"/>
  <c r="AB138" i="96" s="1"/>
  <c r="X137" i="96"/>
  <c r="AD137" i="96" s="1"/>
  <c r="W137" i="96"/>
  <c r="AC137" i="96" s="1"/>
  <c r="V137" i="96"/>
  <c r="AB137" i="96" s="1"/>
  <c r="X136" i="96"/>
  <c r="AD136" i="96" s="1"/>
  <c r="W136" i="96"/>
  <c r="AC136" i="96" s="1"/>
  <c r="V136" i="96"/>
  <c r="AB136" i="96" s="1"/>
  <c r="X135" i="96"/>
  <c r="AD135" i="96" s="1"/>
  <c r="W135" i="96"/>
  <c r="AC135" i="96" s="1"/>
  <c r="V135" i="96"/>
  <c r="AB135" i="96" s="1"/>
  <c r="X134" i="96"/>
  <c r="AD134" i="96" s="1"/>
  <c r="W134" i="96"/>
  <c r="AC134" i="96" s="1"/>
  <c r="V134" i="96"/>
  <c r="AB134" i="96" s="1"/>
  <c r="X133" i="96"/>
  <c r="AD133" i="96" s="1"/>
  <c r="W133" i="96"/>
  <c r="AC133" i="96" s="1"/>
  <c r="V133" i="96"/>
  <c r="AB133" i="96" s="1"/>
  <c r="X132" i="96"/>
  <c r="AD132" i="96" s="1"/>
  <c r="W132" i="96"/>
  <c r="AC132" i="96" s="1"/>
  <c r="V132" i="96"/>
  <c r="AB132" i="96" s="1"/>
  <c r="X131" i="96"/>
  <c r="AD131" i="96" s="1"/>
  <c r="W131" i="96"/>
  <c r="AC131" i="96" s="1"/>
  <c r="V131" i="96"/>
  <c r="AB131" i="96" s="1"/>
  <c r="X130" i="96"/>
  <c r="AD130" i="96" s="1"/>
  <c r="W130" i="96"/>
  <c r="AC130" i="96" s="1"/>
  <c r="V130" i="96"/>
  <c r="AB130" i="96" s="1"/>
  <c r="X129" i="96"/>
  <c r="AD129" i="96" s="1"/>
  <c r="W129" i="96"/>
  <c r="AC129" i="96" s="1"/>
  <c r="V129" i="96"/>
  <c r="AB129" i="96" s="1"/>
  <c r="X128" i="96"/>
  <c r="AD128" i="96" s="1"/>
  <c r="W128" i="96"/>
  <c r="AC128" i="96" s="1"/>
  <c r="V128" i="96"/>
  <c r="AB128" i="96" s="1"/>
  <c r="X127" i="96"/>
  <c r="AD127" i="96" s="1"/>
  <c r="W127" i="96"/>
  <c r="AC127" i="96" s="1"/>
  <c r="V127" i="96"/>
  <c r="AB127" i="96" s="1"/>
  <c r="X126" i="96"/>
  <c r="AD126" i="96" s="1"/>
  <c r="W126" i="96"/>
  <c r="AC126" i="96" s="1"/>
  <c r="V126" i="96"/>
  <c r="AB126" i="96" s="1"/>
  <c r="X125" i="96"/>
  <c r="AD125" i="96" s="1"/>
  <c r="W125" i="96"/>
  <c r="AC125" i="96" s="1"/>
  <c r="V125" i="96"/>
  <c r="AB125" i="96" s="1"/>
  <c r="X124" i="96"/>
  <c r="AD124" i="96" s="1"/>
  <c r="W124" i="96"/>
  <c r="AC124" i="96" s="1"/>
  <c r="V124" i="96"/>
  <c r="AB124" i="96" s="1"/>
  <c r="X123" i="96"/>
  <c r="AD123" i="96" s="1"/>
  <c r="W123" i="96"/>
  <c r="AC123" i="96" s="1"/>
  <c r="V123" i="96"/>
  <c r="AB123" i="96" s="1"/>
  <c r="X122" i="96"/>
  <c r="AD122" i="96" s="1"/>
  <c r="W122" i="96"/>
  <c r="AC122" i="96" s="1"/>
  <c r="V122" i="96"/>
  <c r="AB122" i="96" s="1"/>
  <c r="X121" i="96"/>
  <c r="AD121" i="96" s="1"/>
  <c r="W121" i="96"/>
  <c r="AC121" i="96" s="1"/>
  <c r="V121" i="96"/>
  <c r="AB121" i="96" s="1"/>
  <c r="X120" i="96"/>
  <c r="AD120" i="96" s="1"/>
  <c r="W120" i="96"/>
  <c r="AC120" i="96" s="1"/>
  <c r="V120" i="96"/>
  <c r="AB120" i="96" s="1"/>
  <c r="X119" i="96"/>
  <c r="AD119" i="96" s="1"/>
  <c r="W119" i="96"/>
  <c r="AC119" i="96" s="1"/>
  <c r="V119" i="96"/>
  <c r="AB119" i="96" s="1"/>
  <c r="X118" i="96"/>
  <c r="AD118" i="96" s="1"/>
  <c r="W118" i="96"/>
  <c r="AC118" i="96" s="1"/>
  <c r="V118" i="96"/>
  <c r="AB118" i="96" s="1"/>
  <c r="X117" i="96"/>
  <c r="AD117" i="96" s="1"/>
  <c r="W117" i="96"/>
  <c r="AC117" i="96" s="1"/>
  <c r="V117" i="96"/>
  <c r="AB117" i="96" s="1"/>
  <c r="X116" i="96"/>
  <c r="AD116" i="96" s="1"/>
  <c r="W116" i="96"/>
  <c r="AC116" i="96" s="1"/>
  <c r="V116" i="96"/>
  <c r="AB116" i="96" s="1"/>
  <c r="X115" i="96"/>
  <c r="AD115" i="96" s="1"/>
  <c r="W115" i="96"/>
  <c r="AC115" i="96" s="1"/>
  <c r="V115" i="96"/>
  <c r="AB115" i="96" s="1"/>
  <c r="X114" i="96"/>
  <c r="AD114" i="96" s="1"/>
  <c r="W114" i="96"/>
  <c r="AC114" i="96" s="1"/>
  <c r="V114" i="96"/>
  <c r="AB114" i="96" s="1"/>
  <c r="X113" i="96"/>
  <c r="AD113" i="96" s="1"/>
  <c r="W113" i="96"/>
  <c r="AC113" i="96" s="1"/>
  <c r="V113" i="96"/>
  <c r="AB113" i="96" s="1"/>
  <c r="X112" i="96"/>
  <c r="AD112" i="96" s="1"/>
  <c r="W112" i="96"/>
  <c r="AC112" i="96" s="1"/>
  <c r="V112" i="96"/>
  <c r="AB112" i="96" s="1"/>
  <c r="X111" i="96"/>
  <c r="AD111" i="96" s="1"/>
  <c r="W111" i="96"/>
  <c r="AC111" i="96" s="1"/>
  <c r="V111" i="96"/>
  <c r="AB111" i="96" s="1"/>
  <c r="X110" i="96"/>
  <c r="AD110" i="96" s="1"/>
  <c r="W110" i="96"/>
  <c r="AC110" i="96" s="1"/>
  <c r="V110" i="96"/>
  <c r="AB110" i="96" s="1"/>
  <c r="X109" i="96"/>
  <c r="AD109" i="96" s="1"/>
  <c r="W109" i="96"/>
  <c r="AC109" i="96" s="1"/>
  <c r="V109" i="96"/>
  <c r="AB109" i="96" s="1"/>
  <c r="X108" i="96"/>
  <c r="AD108" i="96" s="1"/>
  <c r="W108" i="96"/>
  <c r="AC108" i="96" s="1"/>
  <c r="V108" i="96"/>
  <c r="AB108" i="96" s="1"/>
  <c r="X107" i="96"/>
  <c r="AD107" i="96" s="1"/>
  <c r="W107" i="96"/>
  <c r="AC107" i="96" s="1"/>
  <c r="V107" i="96"/>
  <c r="AB107" i="96" s="1"/>
  <c r="X106" i="96"/>
  <c r="AD106" i="96" s="1"/>
  <c r="W106" i="96"/>
  <c r="AC106" i="96" s="1"/>
  <c r="V106" i="96"/>
  <c r="AB106" i="96" s="1"/>
  <c r="X105" i="96"/>
  <c r="AD105" i="96" s="1"/>
  <c r="W105" i="96"/>
  <c r="AC105" i="96" s="1"/>
  <c r="V105" i="96"/>
  <c r="AB105" i="96" s="1"/>
  <c r="X104" i="96"/>
  <c r="AD104" i="96" s="1"/>
  <c r="W104" i="96"/>
  <c r="AC104" i="96" s="1"/>
  <c r="V104" i="96"/>
  <c r="AB104" i="96" s="1"/>
  <c r="X103" i="96"/>
  <c r="AD103" i="96" s="1"/>
  <c r="W103" i="96"/>
  <c r="AC103" i="96" s="1"/>
  <c r="V103" i="96"/>
  <c r="AB103" i="96" s="1"/>
  <c r="X102" i="96"/>
  <c r="AD102" i="96" s="1"/>
  <c r="W102" i="96"/>
  <c r="AC102" i="96" s="1"/>
  <c r="V102" i="96"/>
  <c r="AB102" i="96" s="1"/>
  <c r="X101" i="96"/>
  <c r="AD101" i="96" s="1"/>
  <c r="W101" i="96"/>
  <c r="AC101" i="96" s="1"/>
  <c r="V101" i="96"/>
  <c r="AB101" i="96" s="1"/>
  <c r="X100" i="96"/>
  <c r="AD100" i="96" s="1"/>
  <c r="W100" i="96"/>
  <c r="AC100" i="96" s="1"/>
  <c r="V100" i="96"/>
  <c r="AB100" i="96" s="1"/>
  <c r="X99" i="96"/>
  <c r="AD99" i="96" s="1"/>
  <c r="W99" i="96"/>
  <c r="AC99" i="96" s="1"/>
  <c r="V99" i="96"/>
  <c r="AB99" i="96" s="1"/>
  <c r="X98" i="96"/>
  <c r="AD98" i="96" s="1"/>
  <c r="W98" i="96"/>
  <c r="AC98" i="96" s="1"/>
  <c r="V98" i="96"/>
  <c r="AB98" i="96" s="1"/>
  <c r="X97" i="96"/>
  <c r="AD97" i="96" s="1"/>
  <c r="W97" i="96"/>
  <c r="AC97" i="96" s="1"/>
  <c r="V97" i="96"/>
  <c r="AB97" i="96" s="1"/>
  <c r="X96" i="96"/>
  <c r="AD96" i="96" s="1"/>
  <c r="W96" i="96"/>
  <c r="AC96" i="96" s="1"/>
  <c r="V96" i="96"/>
  <c r="AB96" i="96" s="1"/>
  <c r="X95" i="96"/>
  <c r="AD95" i="96" s="1"/>
  <c r="W95" i="96"/>
  <c r="AC95" i="96" s="1"/>
  <c r="V95" i="96"/>
  <c r="AB95" i="96" s="1"/>
  <c r="X94" i="96"/>
  <c r="AD94" i="96" s="1"/>
  <c r="W94" i="96"/>
  <c r="AC94" i="96" s="1"/>
  <c r="V94" i="96"/>
  <c r="AB94" i="96" s="1"/>
  <c r="X93" i="96"/>
  <c r="AD93" i="96" s="1"/>
  <c r="W93" i="96"/>
  <c r="AC93" i="96" s="1"/>
  <c r="V93" i="96"/>
  <c r="AB93" i="96" s="1"/>
  <c r="X92" i="96"/>
  <c r="AD92" i="96" s="1"/>
  <c r="W92" i="96"/>
  <c r="AC92" i="96" s="1"/>
  <c r="V92" i="96"/>
  <c r="AB92" i="96" s="1"/>
  <c r="X91" i="96"/>
  <c r="AD91" i="96" s="1"/>
  <c r="W91" i="96"/>
  <c r="AC91" i="96" s="1"/>
  <c r="V91" i="96"/>
  <c r="AB91" i="96" s="1"/>
  <c r="X90" i="96"/>
  <c r="AD90" i="96" s="1"/>
  <c r="W90" i="96"/>
  <c r="AC90" i="96" s="1"/>
  <c r="V90" i="96"/>
  <c r="AB90" i="96" s="1"/>
  <c r="X89" i="96"/>
  <c r="AD89" i="96" s="1"/>
  <c r="W89" i="96"/>
  <c r="AC89" i="96" s="1"/>
  <c r="V89" i="96"/>
  <c r="AB89" i="96" s="1"/>
  <c r="X88" i="96"/>
  <c r="AD88" i="96" s="1"/>
  <c r="W88" i="96"/>
  <c r="AC88" i="96" s="1"/>
  <c r="V88" i="96"/>
  <c r="AB88" i="96" s="1"/>
  <c r="X87" i="96"/>
  <c r="AD87" i="96" s="1"/>
  <c r="W87" i="96"/>
  <c r="AC87" i="96" s="1"/>
  <c r="V87" i="96"/>
  <c r="AB87" i="96" s="1"/>
  <c r="X86" i="96"/>
  <c r="AD86" i="96" s="1"/>
  <c r="W86" i="96"/>
  <c r="AC86" i="96" s="1"/>
  <c r="V86" i="96"/>
  <c r="AB86" i="96" s="1"/>
  <c r="X85" i="96"/>
  <c r="AD85" i="96" s="1"/>
  <c r="W85" i="96"/>
  <c r="AC85" i="96" s="1"/>
  <c r="V85" i="96"/>
  <c r="AB85" i="96" s="1"/>
  <c r="X84" i="96"/>
  <c r="AD84" i="96" s="1"/>
  <c r="W84" i="96"/>
  <c r="AC84" i="96" s="1"/>
  <c r="V84" i="96"/>
  <c r="AB84" i="96" s="1"/>
  <c r="X83" i="96"/>
  <c r="AD83" i="96" s="1"/>
  <c r="W83" i="96"/>
  <c r="AC83" i="96" s="1"/>
  <c r="V83" i="96"/>
  <c r="AB83" i="96" s="1"/>
  <c r="X82" i="96"/>
  <c r="AD82" i="96" s="1"/>
  <c r="W82" i="96"/>
  <c r="AC82" i="96" s="1"/>
  <c r="V82" i="96"/>
  <c r="X81" i="96"/>
  <c r="AD81" i="96" s="1"/>
  <c r="W81" i="96"/>
  <c r="AC81" i="96" s="1"/>
  <c r="V81" i="96"/>
  <c r="AB81" i="96" s="1"/>
  <c r="X80" i="96"/>
  <c r="AD80" i="96" s="1"/>
  <c r="W80" i="96"/>
  <c r="AC80" i="96" s="1"/>
  <c r="V80" i="96"/>
  <c r="AB80" i="96" s="1"/>
  <c r="X79" i="96"/>
  <c r="AD79" i="96" s="1"/>
  <c r="W79" i="96"/>
  <c r="AC79" i="96" s="1"/>
  <c r="V79" i="96"/>
  <c r="AB79" i="96" s="1"/>
  <c r="X78" i="96"/>
  <c r="AD78" i="96" s="1"/>
  <c r="W78" i="96"/>
  <c r="AC78" i="96" s="1"/>
  <c r="V78" i="96"/>
  <c r="AB78" i="96" s="1"/>
  <c r="X77" i="96"/>
  <c r="AD77" i="96" s="1"/>
  <c r="W77" i="96"/>
  <c r="AC77" i="96" s="1"/>
  <c r="V77" i="96"/>
  <c r="AB77" i="96" s="1"/>
  <c r="X76" i="96"/>
  <c r="AD76" i="96" s="1"/>
  <c r="W76" i="96"/>
  <c r="AC76" i="96" s="1"/>
  <c r="V76" i="96"/>
  <c r="AB76" i="96" s="1"/>
  <c r="X75" i="96"/>
  <c r="AD75" i="96" s="1"/>
  <c r="W75" i="96"/>
  <c r="AC75" i="96" s="1"/>
  <c r="V75" i="96"/>
  <c r="AB75" i="96" s="1"/>
  <c r="X74" i="96"/>
  <c r="AD74" i="96" s="1"/>
  <c r="W74" i="96"/>
  <c r="AC74" i="96" s="1"/>
  <c r="V74" i="96"/>
  <c r="AB74" i="96" s="1"/>
  <c r="X73" i="96"/>
  <c r="AD73" i="96" s="1"/>
  <c r="W73" i="96"/>
  <c r="AC73" i="96" s="1"/>
  <c r="V73" i="96"/>
  <c r="AB73" i="96" s="1"/>
  <c r="X72" i="96"/>
  <c r="AD72" i="96" s="1"/>
  <c r="W72" i="96"/>
  <c r="AC72" i="96" s="1"/>
  <c r="V72" i="96"/>
  <c r="AB72" i="96" s="1"/>
  <c r="X71" i="96"/>
  <c r="AD71" i="96" s="1"/>
  <c r="W71" i="96"/>
  <c r="AC71" i="96" s="1"/>
  <c r="V71" i="96"/>
  <c r="AB71" i="96" s="1"/>
  <c r="X70" i="96"/>
  <c r="AD70" i="96" s="1"/>
  <c r="W70" i="96"/>
  <c r="AC70" i="96" s="1"/>
  <c r="V70" i="96"/>
  <c r="AB70" i="96" s="1"/>
  <c r="X69" i="96"/>
  <c r="AD69" i="96" s="1"/>
  <c r="W69" i="96"/>
  <c r="AC69" i="96" s="1"/>
  <c r="V69" i="96"/>
  <c r="AB69" i="96" s="1"/>
  <c r="X68" i="96"/>
  <c r="AD68" i="96" s="1"/>
  <c r="W68" i="96"/>
  <c r="AC68" i="96" s="1"/>
  <c r="V68" i="96"/>
  <c r="AB68" i="96" s="1"/>
  <c r="X67" i="96"/>
  <c r="AD67" i="96" s="1"/>
  <c r="W67" i="96"/>
  <c r="AC67" i="96" s="1"/>
  <c r="V67" i="96"/>
  <c r="AB67" i="96" s="1"/>
  <c r="X66" i="96"/>
  <c r="AD66" i="96" s="1"/>
  <c r="W66" i="96"/>
  <c r="AC66" i="96" s="1"/>
  <c r="V66" i="96"/>
  <c r="AB66" i="96" s="1"/>
  <c r="X65" i="96"/>
  <c r="AD65" i="96" s="1"/>
  <c r="W65" i="96"/>
  <c r="AC65" i="96" s="1"/>
  <c r="V65" i="96"/>
  <c r="AB65" i="96" s="1"/>
  <c r="X64" i="96"/>
  <c r="AD64" i="96" s="1"/>
  <c r="W64" i="96"/>
  <c r="AC64" i="96" s="1"/>
  <c r="V64" i="96"/>
  <c r="AB64" i="96" s="1"/>
  <c r="X63" i="96"/>
  <c r="AD63" i="96" s="1"/>
  <c r="W63" i="96"/>
  <c r="AC63" i="96" s="1"/>
  <c r="V63" i="96"/>
  <c r="AB63" i="96" s="1"/>
  <c r="X62" i="96"/>
  <c r="AD62" i="96" s="1"/>
  <c r="W62" i="96"/>
  <c r="AC62" i="96" s="1"/>
  <c r="V62" i="96"/>
  <c r="AB62" i="96" s="1"/>
  <c r="X61" i="96"/>
  <c r="AD61" i="96" s="1"/>
  <c r="W61" i="96"/>
  <c r="V61" i="96"/>
  <c r="AB61" i="96" s="1"/>
  <c r="X60" i="96"/>
  <c r="AD60" i="96" s="1"/>
  <c r="W60" i="96"/>
  <c r="AC60" i="96" s="1"/>
  <c r="V60" i="96"/>
  <c r="AB60" i="96" s="1"/>
  <c r="X59" i="96"/>
  <c r="AD59" i="96" s="1"/>
  <c r="W59" i="96"/>
  <c r="AC59" i="96" s="1"/>
  <c r="V59" i="96"/>
  <c r="AB59" i="96" s="1"/>
  <c r="X58" i="96"/>
  <c r="AD58" i="96" s="1"/>
  <c r="W58" i="96"/>
  <c r="AC58" i="96" s="1"/>
  <c r="V58" i="96"/>
  <c r="AB58" i="96" s="1"/>
  <c r="X57" i="96"/>
  <c r="AD57" i="96" s="1"/>
  <c r="W57" i="96"/>
  <c r="AC57" i="96" s="1"/>
  <c r="V57" i="96"/>
  <c r="AB57" i="96" s="1"/>
  <c r="X56" i="96"/>
  <c r="AD56" i="96" s="1"/>
  <c r="W56" i="96"/>
  <c r="AC56" i="96" s="1"/>
  <c r="V56" i="96"/>
  <c r="AB56" i="96" s="1"/>
  <c r="X55" i="96"/>
  <c r="AD55" i="96" s="1"/>
  <c r="W55" i="96"/>
  <c r="AC55" i="96" s="1"/>
  <c r="V55" i="96"/>
  <c r="AB55" i="96" s="1"/>
  <c r="X54" i="96"/>
  <c r="AD54" i="96" s="1"/>
  <c r="W54" i="96"/>
  <c r="AC54" i="96" s="1"/>
  <c r="V54" i="96"/>
  <c r="AB54" i="96" s="1"/>
  <c r="X53" i="96"/>
  <c r="AD53" i="96" s="1"/>
  <c r="W53" i="96"/>
  <c r="AC53" i="96" s="1"/>
  <c r="V53" i="96"/>
  <c r="AB53" i="96" s="1"/>
  <c r="X52" i="96"/>
  <c r="AD52" i="96" s="1"/>
  <c r="W52" i="96"/>
  <c r="AC52" i="96" s="1"/>
  <c r="V52" i="96"/>
  <c r="AB52" i="96" s="1"/>
  <c r="X51" i="96"/>
  <c r="AD51" i="96" s="1"/>
  <c r="W51" i="96"/>
  <c r="AC51" i="96" s="1"/>
  <c r="V51" i="96"/>
  <c r="AB51" i="96" s="1"/>
  <c r="X50" i="96"/>
  <c r="AD50" i="96" s="1"/>
  <c r="W50" i="96"/>
  <c r="AC50" i="96" s="1"/>
  <c r="V50" i="96"/>
  <c r="AB50" i="96" s="1"/>
  <c r="X49" i="96"/>
  <c r="AD49" i="96" s="1"/>
  <c r="W49" i="96"/>
  <c r="AC49" i="96" s="1"/>
  <c r="V49" i="96"/>
  <c r="AB49" i="96" s="1"/>
  <c r="X48" i="96"/>
  <c r="AD48" i="96" s="1"/>
  <c r="W48" i="96"/>
  <c r="AC48" i="96" s="1"/>
  <c r="V48" i="96"/>
  <c r="AB48" i="96" s="1"/>
  <c r="X47" i="96"/>
  <c r="AD47" i="96" s="1"/>
  <c r="W47" i="96"/>
  <c r="AC47" i="96" s="1"/>
  <c r="V47" i="96"/>
  <c r="AB47" i="96" s="1"/>
  <c r="X46" i="96"/>
  <c r="AD46" i="96" s="1"/>
  <c r="W46" i="96"/>
  <c r="AC46" i="96" s="1"/>
  <c r="V46" i="96"/>
  <c r="AB46" i="96" s="1"/>
  <c r="X45" i="96"/>
  <c r="AD45" i="96" s="1"/>
  <c r="W45" i="96"/>
  <c r="AC45" i="96" s="1"/>
  <c r="V45" i="96"/>
  <c r="AB45" i="96" s="1"/>
  <c r="X44" i="96"/>
  <c r="AD44" i="96" s="1"/>
  <c r="W44" i="96"/>
  <c r="AC44" i="96" s="1"/>
  <c r="V44" i="96"/>
  <c r="AB44" i="96" s="1"/>
  <c r="X43" i="96"/>
  <c r="AD43" i="96" s="1"/>
  <c r="W43" i="96"/>
  <c r="AC43" i="96" s="1"/>
  <c r="V43" i="96"/>
  <c r="AB43" i="96" s="1"/>
  <c r="X42" i="96"/>
  <c r="AD42" i="96" s="1"/>
  <c r="W42" i="96"/>
  <c r="V42" i="96"/>
  <c r="AB42" i="96" s="1"/>
  <c r="X41" i="96"/>
  <c r="AD41" i="96" s="1"/>
  <c r="W41" i="96"/>
  <c r="AC41" i="96" s="1"/>
  <c r="V41" i="96"/>
  <c r="AB41" i="96" s="1"/>
  <c r="X40" i="96"/>
  <c r="AD40" i="96" s="1"/>
  <c r="W40" i="96"/>
  <c r="AC40" i="96" s="1"/>
  <c r="V40" i="96"/>
  <c r="AB40" i="96" s="1"/>
  <c r="X39" i="96"/>
  <c r="AD39" i="96" s="1"/>
  <c r="W39" i="96"/>
  <c r="AC39" i="96" s="1"/>
  <c r="V39" i="96"/>
  <c r="AB39" i="96" s="1"/>
  <c r="X38" i="96"/>
  <c r="AD38" i="96" s="1"/>
  <c r="W38" i="96"/>
  <c r="AC38" i="96" s="1"/>
  <c r="V38" i="96"/>
  <c r="AB38" i="96" s="1"/>
  <c r="X37" i="96"/>
  <c r="AD37" i="96" s="1"/>
  <c r="W37" i="96"/>
  <c r="AC37" i="96" s="1"/>
  <c r="V37" i="96"/>
  <c r="AB37" i="96" s="1"/>
  <c r="X36" i="96"/>
  <c r="AD36" i="96" s="1"/>
  <c r="W36" i="96"/>
  <c r="AC36" i="96" s="1"/>
  <c r="V36" i="96"/>
  <c r="AB36" i="96" s="1"/>
  <c r="X35" i="96"/>
  <c r="AD35" i="96" s="1"/>
  <c r="W35" i="96"/>
  <c r="AC35" i="96" s="1"/>
  <c r="V35" i="96"/>
  <c r="AB35" i="96" s="1"/>
  <c r="X34" i="96"/>
  <c r="AD34" i="96" s="1"/>
  <c r="W34" i="96"/>
  <c r="AC34" i="96" s="1"/>
  <c r="V34" i="96"/>
  <c r="AB34" i="96" s="1"/>
  <c r="X33" i="96"/>
  <c r="AD33" i="96" s="1"/>
  <c r="W33" i="96"/>
  <c r="AC33" i="96" s="1"/>
  <c r="V33" i="96"/>
  <c r="AB33" i="96" s="1"/>
  <c r="X32" i="96"/>
  <c r="AD32" i="96" s="1"/>
  <c r="W32" i="96"/>
  <c r="AC32" i="96" s="1"/>
  <c r="V32" i="96"/>
  <c r="AB32" i="96" s="1"/>
  <c r="X31" i="96"/>
  <c r="AD31" i="96" s="1"/>
  <c r="W31" i="96"/>
  <c r="AC31" i="96" s="1"/>
  <c r="V31" i="96"/>
  <c r="AB31" i="96" s="1"/>
  <c r="X30" i="96"/>
  <c r="AD30" i="96" s="1"/>
  <c r="W30" i="96"/>
  <c r="AC30" i="96" s="1"/>
  <c r="V30" i="96"/>
  <c r="AB30" i="96" s="1"/>
  <c r="X29" i="96"/>
  <c r="AD29" i="96" s="1"/>
  <c r="W29" i="96"/>
  <c r="AC29" i="96" s="1"/>
  <c r="V29" i="96"/>
  <c r="AB29" i="96" s="1"/>
  <c r="X28" i="96"/>
  <c r="AD28" i="96" s="1"/>
  <c r="W28" i="96"/>
  <c r="AC28" i="96" s="1"/>
  <c r="V28" i="96"/>
  <c r="AB28" i="96" s="1"/>
  <c r="X27" i="96"/>
  <c r="AD27" i="96" s="1"/>
  <c r="W27" i="96"/>
  <c r="AC27" i="96" s="1"/>
  <c r="V27" i="96"/>
  <c r="AB27" i="96" s="1"/>
  <c r="X26" i="96"/>
  <c r="AD26" i="96" s="1"/>
  <c r="W26" i="96"/>
  <c r="AC26" i="96" s="1"/>
  <c r="V26" i="96"/>
  <c r="AB26" i="96" s="1"/>
  <c r="X25" i="96"/>
  <c r="AD25" i="96" s="1"/>
  <c r="W25" i="96"/>
  <c r="AC25" i="96" s="1"/>
  <c r="V25" i="96"/>
  <c r="AB25" i="96" s="1"/>
  <c r="X24" i="96"/>
  <c r="AD24" i="96" s="1"/>
  <c r="W24" i="96"/>
  <c r="AC24" i="96" s="1"/>
  <c r="V24" i="96"/>
  <c r="AB24" i="96" s="1"/>
  <c r="X23" i="96"/>
  <c r="AD23" i="96" s="1"/>
  <c r="W23" i="96"/>
  <c r="AC23" i="96" s="1"/>
  <c r="V23" i="96"/>
  <c r="AB23" i="96" s="1"/>
  <c r="X22" i="96"/>
  <c r="AD22" i="96" s="1"/>
  <c r="W22" i="96"/>
  <c r="V22" i="96"/>
  <c r="AB22" i="96" s="1"/>
  <c r="X21" i="96"/>
  <c r="AD21" i="96" s="1"/>
  <c r="W21" i="96"/>
  <c r="AC21" i="96" s="1"/>
  <c r="V21" i="96"/>
  <c r="AB21" i="96" s="1"/>
  <c r="X20" i="96"/>
  <c r="AD20" i="96" s="1"/>
  <c r="W20" i="96"/>
  <c r="AC20" i="96" s="1"/>
  <c r="V20" i="96"/>
  <c r="AB20" i="96" s="1"/>
  <c r="X19" i="96"/>
  <c r="AD19" i="96" s="1"/>
  <c r="W19" i="96"/>
  <c r="AC19" i="96" s="1"/>
  <c r="V19" i="96"/>
  <c r="AB19" i="96" s="1"/>
  <c r="X18" i="96"/>
  <c r="AD18" i="96" s="1"/>
  <c r="W18" i="96"/>
  <c r="AC18" i="96" s="1"/>
  <c r="V18" i="96"/>
  <c r="AB18" i="96" s="1"/>
  <c r="X17" i="96"/>
  <c r="AD17" i="96" s="1"/>
  <c r="W17" i="96"/>
  <c r="AC17" i="96" s="1"/>
  <c r="V17" i="96"/>
  <c r="AB17" i="96" s="1"/>
  <c r="X16" i="96"/>
  <c r="AD16" i="96" s="1"/>
  <c r="W16" i="96"/>
  <c r="AC16" i="96" s="1"/>
  <c r="V16" i="96"/>
  <c r="AB16" i="96" s="1"/>
  <c r="X15" i="96"/>
  <c r="AD15" i="96" s="1"/>
  <c r="W15" i="96"/>
  <c r="AC15" i="96" s="1"/>
  <c r="V15" i="96"/>
  <c r="AB15" i="96" s="1"/>
  <c r="X14" i="96"/>
  <c r="AD14" i="96" s="1"/>
  <c r="W14" i="96"/>
  <c r="AC14" i="96" s="1"/>
  <c r="V14" i="96"/>
  <c r="AB14" i="96" s="1"/>
  <c r="X13" i="96"/>
  <c r="AD13" i="96" s="1"/>
  <c r="W13" i="96"/>
  <c r="AC13" i="96" s="1"/>
  <c r="V13" i="96"/>
  <c r="AB13" i="96" s="1"/>
  <c r="X12" i="96"/>
  <c r="AD12" i="96" s="1"/>
  <c r="W12" i="96"/>
  <c r="AC12" i="96" s="1"/>
  <c r="V12" i="96"/>
  <c r="AB12" i="96" s="1"/>
  <c r="X11" i="96"/>
  <c r="AD11" i="96" s="1"/>
  <c r="W11" i="96"/>
  <c r="AC11" i="96" s="1"/>
  <c r="V11" i="96"/>
  <c r="X10" i="96"/>
  <c r="AD10" i="96" s="1"/>
  <c r="W10" i="96"/>
  <c r="AC10" i="96" s="1"/>
  <c r="V10" i="96"/>
  <c r="AB10" i="96" s="1"/>
  <c r="X9" i="96"/>
  <c r="AD9" i="96" s="1"/>
  <c r="W9" i="96"/>
  <c r="AC9" i="96" s="1"/>
  <c r="V9" i="96"/>
  <c r="AB9" i="96" s="1"/>
  <c r="X8" i="96"/>
  <c r="AD8" i="96" s="1"/>
  <c r="W8" i="96"/>
  <c r="AC8" i="96" s="1"/>
  <c r="V8" i="96"/>
  <c r="AB8" i="96" s="1"/>
  <c r="X7" i="96"/>
  <c r="AD7" i="96" s="1"/>
  <c r="W7" i="96"/>
  <c r="AC7" i="96" s="1"/>
  <c r="V7" i="96"/>
  <c r="AB7" i="96" s="1"/>
  <c r="X6" i="96"/>
  <c r="AD6" i="96" s="1"/>
  <c r="W6" i="96"/>
  <c r="AC6" i="96" s="1"/>
  <c r="V6" i="96"/>
  <c r="AB6" i="96" s="1"/>
  <c r="X5" i="96"/>
  <c r="AD5" i="96" s="1"/>
  <c r="W5" i="96"/>
  <c r="AC5" i="96" s="1"/>
  <c r="V5" i="96"/>
  <c r="AB5" i="96" s="1"/>
  <c r="X4" i="96"/>
  <c r="AD4" i="96" s="1"/>
  <c r="W4" i="96"/>
  <c r="AC4" i="96" s="1"/>
  <c r="V4" i="96"/>
  <c r="AB4" i="96" s="1"/>
  <c r="X3" i="96"/>
  <c r="AD3" i="96" s="1"/>
  <c r="W3" i="96"/>
  <c r="AC3" i="96" s="1"/>
  <c r="V3" i="96"/>
  <c r="AB3" i="96" s="1"/>
  <c r="X2" i="96"/>
  <c r="AD2" i="96" s="1"/>
  <c r="W2" i="96"/>
  <c r="AC2" i="96" s="1"/>
  <c r="V2" i="96"/>
  <c r="AB2" i="96" s="1"/>
  <c r="AO5" i="104" l="1"/>
  <c r="AC253" i="97"/>
  <c r="AC84" i="97"/>
  <c r="AC89" i="97"/>
  <c r="AC95" i="97"/>
  <c r="AC74" i="97"/>
  <c r="AC108" i="97"/>
  <c r="E17" i="101"/>
  <c r="AJ6" i="104"/>
  <c r="AJ5" i="104"/>
  <c r="AC75" i="97"/>
  <c r="AC248" i="97"/>
  <c r="X8" i="100"/>
  <c r="AF8" i="100" s="1"/>
  <c r="P49" i="103"/>
  <c r="AG8" i="100"/>
  <c r="AC79" i="97"/>
  <c r="X4" i="100"/>
  <c r="AF4" i="100" s="1"/>
  <c r="Y5" i="100"/>
  <c r="AG5" i="100" s="1"/>
  <c r="AD10" i="100"/>
  <c r="X3" i="100"/>
  <c r="Y4" i="100"/>
  <c r="AV50" i="102"/>
  <c r="AC103" i="97"/>
  <c r="AT4" i="96"/>
  <c r="AJ4" i="96"/>
  <c r="AJ6" i="96"/>
  <c r="AT6" i="96"/>
  <c r="AO4" i="96"/>
  <c r="AO2" i="96"/>
  <c r="AO5" i="96"/>
  <c r="AA12" i="100"/>
  <c r="AT3" i="96"/>
  <c r="AJ3" i="96"/>
  <c r="AO6" i="96"/>
  <c r="AO3" i="96"/>
  <c r="AA10" i="100"/>
  <c r="AC5" i="97"/>
  <c r="AC13" i="97"/>
  <c r="AC17" i="97"/>
  <c r="AC21" i="97"/>
  <c r="AC25" i="97"/>
  <c r="AC29" i="97"/>
  <c r="AC37" i="97"/>
  <c r="AC41" i="97"/>
  <c r="AC45" i="97"/>
  <c r="AC49" i="97"/>
  <c r="AC61" i="97"/>
  <c r="AC65" i="97"/>
  <c r="AC69" i="97"/>
  <c r="AC73" i="97"/>
  <c r="AC91" i="97"/>
  <c r="AC97" i="97"/>
  <c r="AC117" i="97"/>
  <c r="AC129" i="97"/>
  <c r="AC141" i="97"/>
  <c r="AC153" i="97"/>
  <c r="AC165" i="97"/>
  <c r="AC177" i="97"/>
  <c r="AC201" i="97"/>
  <c r="AD11" i="100"/>
  <c r="AC86" i="97"/>
  <c r="AC92" i="97"/>
  <c r="AC186" i="97"/>
  <c r="AC190" i="97"/>
  <c r="AC202" i="97"/>
  <c r="AC214" i="97"/>
  <c r="AC171" i="97"/>
  <c r="AC175" i="97"/>
  <c r="AC183" i="97"/>
  <c r="AA9" i="100"/>
  <c r="AC4" i="97"/>
  <c r="AC8" i="97"/>
  <c r="AC12" i="97"/>
  <c r="AC16" i="97"/>
  <c r="AC28" i="97"/>
  <c r="AC32" i="97"/>
  <c r="AC36" i="97"/>
  <c r="AC40" i="97"/>
  <c r="AC52" i="97"/>
  <c r="AC56" i="97"/>
  <c r="AC60" i="97"/>
  <c r="AC64" i="97"/>
  <c r="AC72" i="97"/>
  <c r="AC112" i="97"/>
  <c r="AC213" i="97"/>
  <c r="AA11" i="100"/>
  <c r="AK27" i="103"/>
  <c r="AK26" i="103"/>
  <c r="AK29" i="103"/>
  <c r="AK23" i="103"/>
  <c r="AY35" i="102"/>
  <c r="AY34" i="102"/>
  <c r="AK25" i="103"/>
  <c r="AK22" i="103"/>
  <c r="AY40" i="102"/>
  <c r="AK21" i="103"/>
  <c r="AY39" i="102"/>
  <c r="AY32" i="102"/>
  <c r="AY36" i="102"/>
  <c r="AK31" i="103"/>
  <c r="AY38" i="102"/>
  <c r="AY31" i="102"/>
  <c r="AY30" i="102"/>
  <c r="AK30" i="103"/>
  <c r="AC82" i="97"/>
  <c r="AC98" i="97"/>
  <c r="AI5" i="97" s="1"/>
  <c r="AC245" i="97"/>
  <c r="AC251" i="97"/>
  <c r="AI6" i="100"/>
  <c r="X6" i="100"/>
  <c r="AF6" i="100" s="1"/>
  <c r="AD9" i="100"/>
  <c r="AC77" i="97"/>
  <c r="AC83" i="97"/>
  <c r="AC148" i="97"/>
  <c r="AC188" i="97"/>
  <c r="AC80" i="97"/>
  <c r="AC100" i="97"/>
  <c r="AJ5" i="100"/>
  <c r="AJ6" i="100"/>
  <c r="AJ3" i="104"/>
  <c r="AJ8" i="104" s="1"/>
  <c r="AT4" i="104"/>
  <c r="AJ4" i="104"/>
  <c r="AR6" i="102"/>
  <c r="AV6" i="102" s="1"/>
  <c r="AV5" i="102"/>
  <c r="R12" i="100"/>
  <c r="E18" i="101"/>
  <c r="E19" i="101" s="1"/>
  <c r="Y13" i="100"/>
  <c r="AG13" i="100" s="1"/>
  <c r="AC195" i="97"/>
  <c r="AC207" i="97"/>
  <c r="AC247" i="97"/>
  <c r="AC107" i="97"/>
  <c r="AC250" i="97"/>
  <c r="AI4" i="100"/>
  <c r="AF3" i="100"/>
  <c r="AG4" i="100"/>
  <c r="AO2" i="104"/>
  <c r="AO7" i="104" s="1"/>
  <c r="AI13" i="100"/>
  <c r="AV45" i="102"/>
  <c r="AR46" i="102"/>
  <c r="AV25" i="102"/>
  <c r="AV30" i="102"/>
  <c r="AR31" i="102"/>
  <c r="AR39" i="102"/>
  <c r="AR43" i="102"/>
  <c r="AV42" i="102"/>
  <c r="AV11" i="102"/>
  <c r="AT3" i="104"/>
  <c r="AT5" i="104"/>
  <c r="AT8" i="104" s="1"/>
  <c r="X13" i="100"/>
  <c r="AF13" i="100" s="1"/>
  <c r="AO3" i="104"/>
  <c r="M49" i="103"/>
  <c r="AO4" i="104"/>
  <c r="Z13" i="100"/>
  <c r="AH13" i="100" s="1"/>
  <c r="AR27" i="102"/>
  <c r="AV26" i="102"/>
  <c r="AR22" i="102"/>
  <c r="AV21" i="102"/>
  <c r="AV17" i="102"/>
  <c r="AR18" i="102"/>
  <c r="AQ8" i="102"/>
  <c r="AV12" i="102"/>
  <c r="AR13" i="102"/>
  <c r="AV20" i="102"/>
  <c r="AV35" i="102"/>
  <c r="AT2" i="104"/>
  <c r="AJ2" i="104"/>
  <c r="AR7" i="102"/>
  <c r="Z6" i="100"/>
  <c r="AH6" i="100" s="1"/>
  <c r="Z4" i="100"/>
  <c r="AH4" i="100" s="1"/>
  <c r="AJ13" i="100"/>
  <c r="Z5" i="100"/>
  <c r="AH5" i="100" s="1"/>
  <c r="Z3" i="100"/>
  <c r="AH3" i="100" s="1"/>
  <c r="Z8" i="100"/>
  <c r="AH8" i="100" s="1"/>
  <c r="AJ4" i="100"/>
  <c r="AJ3" i="100"/>
  <c r="AJ8" i="100"/>
  <c r="R9" i="100"/>
  <c r="M326" i="100"/>
  <c r="U9" i="100" s="1"/>
  <c r="R11" i="100"/>
  <c r="M498" i="100"/>
  <c r="U11" i="100" s="1"/>
  <c r="AI11" i="100" s="1"/>
  <c r="U10" i="100"/>
  <c r="AI10" i="100" s="1"/>
  <c r="U12" i="100"/>
  <c r="AI12" i="100" s="1"/>
  <c r="R10" i="100"/>
  <c r="X5" i="100"/>
  <c r="AF5" i="100" s="1"/>
  <c r="AI8" i="100"/>
  <c r="AG6" i="100"/>
  <c r="AJ5" i="96"/>
  <c r="AJ8" i="96" s="1"/>
  <c r="AT5" i="96"/>
  <c r="AT8" i="96" s="1"/>
  <c r="AT2" i="96"/>
  <c r="AT7" i="96" s="1"/>
  <c r="AJ2" i="96"/>
  <c r="AJ7" i="96" s="1"/>
  <c r="AC20" i="97"/>
  <c r="AC33" i="97"/>
  <c r="AC53" i="97"/>
  <c r="AC71" i="97"/>
  <c r="AC110" i="97"/>
  <c r="AC178" i="97"/>
  <c r="AC189" i="97"/>
  <c r="AC208" i="97"/>
  <c r="AC216" i="97"/>
  <c r="AC238" i="97"/>
  <c r="AC24" i="97"/>
  <c r="AC39" i="97"/>
  <c r="AC57" i="97"/>
  <c r="AC124" i="97"/>
  <c r="AC200" i="97"/>
  <c r="AC219" i="97"/>
  <c r="AO7" i="96"/>
  <c r="AC50" i="97"/>
  <c r="AC68" i="97"/>
  <c r="AC154" i="97"/>
  <c r="AC184" i="97"/>
  <c r="AC192" i="97"/>
  <c r="AC203" i="97"/>
  <c r="AC211" i="97"/>
  <c r="AC222" i="97"/>
  <c r="AC244" i="97"/>
  <c r="AC225" i="97"/>
  <c r="AC130" i="97"/>
  <c r="AC160" i="97"/>
  <c r="AC187" i="97"/>
  <c r="AC198" i="97"/>
  <c r="AC206" i="97"/>
  <c r="AC209" i="97"/>
  <c r="AC220" i="97"/>
  <c r="AC9" i="97"/>
  <c r="AC44" i="97"/>
  <c r="AC62" i="97"/>
  <c r="AC136" i="97"/>
  <c r="AC185" i="97"/>
  <c r="AC212" i="97"/>
  <c r="AC231" i="97"/>
  <c r="AC15" i="97"/>
  <c r="AC48" i="97"/>
  <c r="AC66" i="97"/>
  <c r="AC166" i="97"/>
  <c r="AC196" i="97"/>
  <c r="AC204" i="97"/>
  <c r="AC215" i="97"/>
  <c r="AC223" i="97"/>
  <c r="AC226" i="97"/>
  <c r="AC237" i="97"/>
  <c r="AC63" i="97"/>
  <c r="AC142" i="97"/>
  <c r="AC172" i="97"/>
  <c r="AC191" i="97"/>
  <c r="AC199" i="97"/>
  <c r="AC210" i="97"/>
  <c r="AC218" i="97"/>
  <c r="AC232" i="97"/>
  <c r="AC194" i="97"/>
  <c r="AC197" i="97"/>
  <c r="AC121" i="97"/>
  <c r="AC145" i="97"/>
  <c r="AC169" i="97"/>
  <c r="AC193" i="97"/>
  <c r="AC217" i="97"/>
  <c r="AC114" i="97"/>
  <c r="AC138" i="97"/>
  <c r="AC174" i="97"/>
  <c r="AC234" i="97"/>
  <c r="AC133" i="97"/>
  <c r="AC157" i="97"/>
  <c r="AC181" i="97"/>
  <c r="AC205" i="97"/>
  <c r="AC229" i="97"/>
  <c r="AC241" i="97"/>
  <c r="AC126" i="97"/>
  <c r="AC150" i="97"/>
  <c r="AC162" i="97"/>
  <c r="AC119" i="97"/>
  <c r="AC131" i="97"/>
  <c r="AC143" i="97"/>
  <c r="AC155" i="97"/>
  <c r="AC167" i="97"/>
  <c r="AC179" i="97"/>
  <c r="AC227" i="97"/>
  <c r="AC239" i="97"/>
  <c r="AC122" i="97"/>
  <c r="AC134" i="97"/>
  <c r="AC146" i="97"/>
  <c r="AC158" i="97"/>
  <c r="AC170" i="97"/>
  <c r="AC182" i="97"/>
  <c r="AC230" i="97"/>
  <c r="AC242" i="97"/>
  <c r="AC120" i="97"/>
  <c r="AC144" i="97"/>
  <c r="AC168" i="97"/>
  <c r="AC235" i="97"/>
  <c r="AC132" i="97"/>
  <c r="AC156" i="97"/>
  <c r="AC180" i="97"/>
  <c r="AC228" i="97"/>
  <c r="AC240" i="97"/>
  <c r="AC113" i="97"/>
  <c r="AC125" i="97"/>
  <c r="AC137" i="97"/>
  <c r="AC149" i="97"/>
  <c r="AC161" i="97"/>
  <c r="AC173" i="97"/>
  <c r="AC221" i="97"/>
  <c r="AC233" i="97"/>
  <c r="AC243" i="97"/>
  <c r="AC116" i="97"/>
  <c r="AC128" i="97"/>
  <c r="AC140" i="97"/>
  <c r="AC152" i="97"/>
  <c r="AC164" i="97"/>
  <c r="AC176" i="97"/>
  <c r="AC224" i="97"/>
  <c r="AC236" i="97"/>
  <c r="P11" i="5"/>
  <c r="R11" i="5" s="1"/>
  <c r="P10" i="5"/>
  <c r="R10" i="5" s="1"/>
  <c r="P9" i="5"/>
  <c r="R9" i="5" s="1"/>
  <c r="F44" i="5"/>
  <c r="Z47" i="103" s="1"/>
  <c r="Z49" i="103" s="1"/>
  <c r="E44" i="5"/>
  <c r="Z46" i="103" s="1"/>
  <c r="D44" i="5"/>
  <c r="Z45" i="103" s="1"/>
  <c r="F26" i="5"/>
  <c r="AJ56" i="102" s="1"/>
  <c r="E26" i="5"/>
  <c r="AJ55" i="102" s="1"/>
  <c r="D26" i="5"/>
  <c r="F25" i="5"/>
  <c r="AI56" i="102" s="1"/>
  <c r="E25" i="5"/>
  <c r="AI55" i="102" s="1"/>
  <c r="D25" i="5"/>
  <c r="F24" i="5"/>
  <c r="AH56" i="102" s="1"/>
  <c r="E24" i="5"/>
  <c r="AH55" i="102" s="1"/>
  <c r="D24" i="5"/>
  <c r="D13" i="5"/>
  <c r="F39" i="5"/>
  <c r="U47" i="103" s="1"/>
  <c r="U49" i="103" s="1"/>
  <c r="F17" i="5"/>
  <c r="AA56" i="102" s="1"/>
  <c r="F16" i="5"/>
  <c r="Z56" i="102" s="1"/>
  <c r="F12" i="5"/>
  <c r="V56" i="102" s="1"/>
  <c r="F11" i="5"/>
  <c r="U56" i="102" s="1"/>
  <c r="M15" i="5"/>
  <c r="M7" i="5"/>
  <c r="D36" i="5" s="1"/>
  <c r="R45" i="103" s="1"/>
  <c r="O3" i="77"/>
  <c r="AI9" i="100" l="1"/>
  <c r="AI2" i="97"/>
  <c r="AO8" i="96"/>
  <c r="AO9" i="96" s="1"/>
  <c r="AV31" i="102"/>
  <c r="AR32" i="102"/>
  <c r="AV32" i="102" s="1"/>
  <c r="AI6" i="97"/>
  <c r="AI8" i="97"/>
  <c r="X9" i="100"/>
  <c r="AF9" i="100" s="1"/>
  <c r="AO8" i="104"/>
  <c r="AO9" i="104" s="1"/>
  <c r="AI7" i="97"/>
  <c r="AR44" i="102"/>
  <c r="AV44" i="102" s="1"/>
  <c r="AV43" i="102"/>
  <c r="AV39" i="102"/>
  <c r="AR40" i="102"/>
  <c r="AV40" i="102" s="1"/>
  <c r="AV46" i="102"/>
  <c r="AR47" i="102"/>
  <c r="AV47" i="102" s="1"/>
  <c r="AJ7" i="104"/>
  <c r="AJ9" i="104" s="1"/>
  <c r="AR14" i="102"/>
  <c r="AV14" i="102" s="1"/>
  <c r="AV13" i="102"/>
  <c r="AR23" i="102"/>
  <c r="AV22" i="102"/>
  <c r="AR28" i="102"/>
  <c r="AV27" i="102"/>
  <c r="AT7" i="104"/>
  <c r="AV18" i="102"/>
  <c r="AR19" i="102"/>
  <c r="AV19" i="102" s="1"/>
  <c r="AQ9" i="102"/>
  <c r="AV7" i="102"/>
  <c r="AR8" i="102"/>
  <c r="AV8" i="102" s="1"/>
  <c r="X10" i="100"/>
  <c r="AF10" i="100" s="1"/>
  <c r="X11" i="100"/>
  <c r="AF11" i="100" s="1"/>
  <c r="X12" i="100"/>
  <c r="AF12" i="100" s="1"/>
  <c r="AJ9" i="96"/>
  <c r="AT9" i="96"/>
  <c r="E36" i="5"/>
  <c r="F36" i="5"/>
  <c r="R47" i="103" s="1"/>
  <c r="R49" i="103" s="1"/>
  <c r="D30" i="5" l="1"/>
  <c r="L45" i="103" s="1"/>
  <c r="R46" i="103"/>
  <c r="AV28" i="102"/>
  <c r="AR29" i="102"/>
  <c r="AV29" i="102" s="1"/>
  <c r="AR24" i="102"/>
  <c r="AV24" i="102" s="1"/>
  <c r="AV23" i="102"/>
  <c r="AT9" i="104"/>
  <c r="AQ10" i="102"/>
  <c r="D4" i="5" l="1"/>
  <c r="E30" i="5" s="1"/>
  <c r="L46" i="103" s="1"/>
  <c r="AQ11" i="102"/>
  <c r="F30" i="5"/>
  <c r="L47" i="103" s="1"/>
  <c r="L49" i="103" s="1"/>
  <c r="E4" i="5"/>
  <c r="N55" i="102" s="1"/>
  <c r="F4" i="5"/>
  <c r="N56" i="102" s="1"/>
  <c r="AQ12" i="102" l="1"/>
  <c r="AD51" i="51"/>
  <c r="AB51" i="51"/>
  <c r="AA51" i="51"/>
  <c r="AA51" i="52" s="1"/>
  <c r="Z51" i="51"/>
  <c r="X51" i="51"/>
  <c r="W51" i="51"/>
  <c r="V51" i="51"/>
  <c r="U51" i="51"/>
  <c r="AD50" i="51"/>
  <c r="AB50" i="51"/>
  <c r="AA50" i="51"/>
  <c r="Z50" i="51"/>
  <c r="X50" i="51"/>
  <c r="W50" i="51"/>
  <c r="V50" i="51"/>
  <c r="U50" i="51"/>
  <c r="AD49" i="51"/>
  <c r="AB49" i="51"/>
  <c r="AA49" i="51"/>
  <c r="Z49" i="51"/>
  <c r="Z49" i="52" s="1"/>
  <c r="X49" i="51"/>
  <c r="W49" i="51"/>
  <c r="V49" i="51"/>
  <c r="U49" i="51"/>
  <c r="AD48" i="51"/>
  <c r="AB48" i="51"/>
  <c r="AA48" i="51"/>
  <c r="Z48" i="51"/>
  <c r="Z48" i="52" s="1"/>
  <c r="X48" i="51"/>
  <c r="W48" i="51"/>
  <c r="V48" i="51"/>
  <c r="U48" i="51"/>
  <c r="AD47" i="51"/>
  <c r="AB47" i="51"/>
  <c r="AA47" i="51"/>
  <c r="AA47" i="52" s="1"/>
  <c r="Z47" i="51"/>
  <c r="X47" i="51"/>
  <c r="W47" i="51"/>
  <c r="V47" i="51"/>
  <c r="U47" i="51"/>
  <c r="AD46" i="51"/>
  <c r="AB46" i="51"/>
  <c r="AA46" i="51"/>
  <c r="Z46" i="51"/>
  <c r="Z46" i="52" s="1"/>
  <c r="X46" i="51"/>
  <c r="W46" i="51"/>
  <c r="V46" i="51"/>
  <c r="U46" i="51"/>
  <c r="AD45" i="51"/>
  <c r="AB45" i="51"/>
  <c r="AA45" i="51"/>
  <c r="Z45" i="51"/>
  <c r="Z45" i="52" s="1"/>
  <c r="X45" i="51"/>
  <c r="W45" i="51"/>
  <c r="V45" i="51"/>
  <c r="U45" i="51"/>
  <c r="AD44" i="51"/>
  <c r="AB44" i="51"/>
  <c r="AA44" i="51"/>
  <c r="AA44" i="52" s="1"/>
  <c r="Z44" i="51"/>
  <c r="Z44" i="52" s="1"/>
  <c r="X44" i="51"/>
  <c r="W44" i="51"/>
  <c r="V44" i="51"/>
  <c r="U44" i="51"/>
  <c r="AD43" i="51"/>
  <c r="AB43" i="51"/>
  <c r="AA43" i="51"/>
  <c r="AA43" i="52" s="1"/>
  <c r="Z43" i="51"/>
  <c r="X43" i="51"/>
  <c r="W43" i="51"/>
  <c r="V43" i="51"/>
  <c r="U43" i="51"/>
  <c r="AD42" i="51"/>
  <c r="AB42" i="51"/>
  <c r="AA42" i="51"/>
  <c r="AA42" i="52" s="1"/>
  <c r="Z42" i="51"/>
  <c r="X42" i="51"/>
  <c r="W42" i="51"/>
  <c r="V42" i="51"/>
  <c r="U42" i="51"/>
  <c r="AD41" i="51"/>
  <c r="AB41" i="51"/>
  <c r="AA41" i="51"/>
  <c r="AA41" i="52" s="1"/>
  <c r="Z41" i="51"/>
  <c r="Z41" i="52" s="1"/>
  <c r="X41" i="51"/>
  <c r="W41" i="51"/>
  <c r="V41" i="51"/>
  <c r="U41" i="51"/>
  <c r="AD40" i="51"/>
  <c r="AB40" i="51"/>
  <c r="AA40" i="51"/>
  <c r="Z40" i="51"/>
  <c r="Z40" i="52" s="1"/>
  <c r="X40" i="51"/>
  <c r="W40" i="51"/>
  <c r="V40" i="51"/>
  <c r="U40" i="51"/>
  <c r="AD39" i="51"/>
  <c r="AB39" i="51"/>
  <c r="AA39" i="51"/>
  <c r="AA39" i="52" s="1"/>
  <c r="Z39" i="51"/>
  <c r="X39" i="51"/>
  <c r="W39" i="51"/>
  <c r="V39" i="51"/>
  <c r="U39" i="51"/>
  <c r="AD38" i="51"/>
  <c r="AB38" i="51"/>
  <c r="AA38" i="51"/>
  <c r="AA38" i="52" s="1"/>
  <c r="Z38" i="51"/>
  <c r="Z38" i="52" s="1"/>
  <c r="X38" i="51"/>
  <c r="W38" i="51"/>
  <c r="V38" i="51"/>
  <c r="U38" i="51"/>
  <c r="AD37" i="51"/>
  <c r="AB37" i="51"/>
  <c r="AA37" i="51"/>
  <c r="Z37" i="51"/>
  <c r="Z37" i="52" s="1"/>
  <c r="X37" i="51"/>
  <c r="W37" i="51"/>
  <c r="V37" i="51"/>
  <c r="U37" i="51"/>
  <c r="AD36" i="51"/>
  <c r="AB36" i="51"/>
  <c r="AA36" i="51"/>
  <c r="Z36" i="51"/>
  <c r="X36" i="51"/>
  <c r="W36" i="51"/>
  <c r="V36" i="51"/>
  <c r="U36" i="51"/>
  <c r="AD35" i="51"/>
  <c r="AB35" i="51"/>
  <c r="AA35" i="51"/>
  <c r="AA35" i="52" s="1"/>
  <c r="Z35" i="51"/>
  <c r="Z35" i="52" s="1"/>
  <c r="X35" i="51"/>
  <c r="W35" i="51"/>
  <c r="V35" i="51"/>
  <c r="U35" i="51"/>
  <c r="AD34" i="51"/>
  <c r="AB34" i="51"/>
  <c r="AA34" i="51"/>
  <c r="Z34" i="51"/>
  <c r="Z34" i="52" s="1"/>
  <c r="X34" i="51"/>
  <c r="W34" i="51"/>
  <c r="V34" i="51"/>
  <c r="U34" i="51"/>
  <c r="AD33" i="51"/>
  <c r="AB33" i="51"/>
  <c r="AA33" i="51"/>
  <c r="Z33" i="51"/>
  <c r="X33" i="51"/>
  <c r="W33" i="51"/>
  <c r="V33" i="51"/>
  <c r="U33" i="51"/>
  <c r="AD32" i="51"/>
  <c r="AB32" i="51"/>
  <c r="AA32" i="51"/>
  <c r="AA32" i="52" s="1"/>
  <c r="Z32" i="51"/>
  <c r="X32" i="51"/>
  <c r="W32" i="51"/>
  <c r="V32" i="51"/>
  <c r="U32" i="51"/>
  <c r="AD31" i="51"/>
  <c r="AB31" i="51"/>
  <c r="AA31" i="51"/>
  <c r="AA31" i="52" s="1"/>
  <c r="Z31" i="51"/>
  <c r="Z31" i="52" s="1"/>
  <c r="X31" i="51"/>
  <c r="W31" i="51"/>
  <c r="V31" i="51"/>
  <c r="U31" i="51"/>
  <c r="AD30" i="51"/>
  <c r="AB30" i="51"/>
  <c r="AA30" i="51"/>
  <c r="Z30" i="51"/>
  <c r="X30" i="51"/>
  <c r="W30" i="51"/>
  <c r="V30" i="51"/>
  <c r="U30" i="51"/>
  <c r="AD29" i="51"/>
  <c r="AB29" i="51"/>
  <c r="AA29" i="51"/>
  <c r="AA29" i="52" s="1"/>
  <c r="Z29" i="51"/>
  <c r="X29" i="51"/>
  <c r="W29" i="51"/>
  <c r="V29" i="51"/>
  <c r="U29" i="51"/>
  <c r="AD28" i="51"/>
  <c r="AB28" i="51"/>
  <c r="AA28" i="51"/>
  <c r="AA28" i="52" s="1"/>
  <c r="Z28" i="51"/>
  <c r="X28" i="51"/>
  <c r="W28" i="51"/>
  <c r="V28" i="51"/>
  <c r="U28" i="51"/>
  <c r="AD27" i="51"/>
  <c r="AB27" i="51"/>
  <c r="AA27" i="51"/>
  <c r="AA27" i="52" s="1"/>
  <c r="Z27" i="51"/>
  <c r="X27" i="51"/>
  <c r="W27" i="51"/>
  <c r="V27" i="51"/>
  <c r="U27" i="51"/>
  <c r="AD26" i="51"/>
  <c r="AB26" i="51"/>
  <c r="AA26" i="51"/>
  <c r="AA26" i="52" s="1"/>
  <c r="Z26" i="51"/>
  <c r="X26" i="51"/>
  <c r="W26" i="51"/>
  <c r="V26" i="51"/>
  <c r="U26" i="51"/>
  <c r="AD25" i="51"/>
  <c r="AC25" i="51"/>
  <c r="AB25" i="51"/>
  <c r="AA25" i="51"/>
  <c r="Z25" i="51"/>
  <c r="Y25" i="51"/>
  <c r="X25" i="51"/>
  <c r="W25" i="51"/>
  <c r="V25" i="51"/>
  <c r="U25" i="51"/>
  <c r="AD24" i="51"/>
  <c r="AB24" i="51"/>
  <c r="AA24" i="51"/>
  <c r="Z24" i="51"/>
  <c r="X24" i="51"/>
  <c r="W24" i="51"/>
  <c r="V24" i="51"/>
  <c r="U24" i="51"/>
  <c r="AD23" i="51"/>
  <c r="AB23" i="51"/>
  <c r="AA23" i="51"/>
  <c r="AA23" i="52" s="1"/>
  <c r="Z23" i="51"/>
  <c r="Z23" i="52" s="1"/>
  <c r="X23" i="51"/>
  <c r="W23" i="51"/>
  <c r="V23" i="51"/>
  <c r="U23" i="51"/>
  <c r="AD22" i="51"/>
  <c r="AB22" i="51"/>
  <c r="AA22" i="51"/>
  <c r="Z22" i="51"/>
  <c r="Z22" i="52" s="1"/>
  <c r="X22" i="51"/>
  <c r="W22" i="51"/>
  <c r="V22" i="51"/>
  <c r="U22" i="51"/>
  <c r="AD21" i="51"/>
  <c r="AB21" i="51"/>
  <c r="AA21" i="51"/>
  <c r="Z21" i="51"/>
  <c r="Z21" i="52" s="1"/>
  <c r="X21" i="51"/>
  <c r="W21" i="51"/>
  <c r="V21" i="51"/>
  <c r="U21" i="51"/>
  <c r="AD20" i="51"/>
  <c r="AC20" i="51"/>
  <c r="AB20" i="51"/>
  <c r="AA20" i="51"/>
  <c r="AA20" i="52" s="1"/>
  <c r="Z20" i="51"/>
  <c r="Y20" i="51"/>
  <c r="X20" i="51"/>
  <c r="W20" i="51"/>
  <c r="V20" i="51"/>
  <c r="U20" i="51"/>
  <c r="AD19" i="51"/>
  <c r="AC19" i="51"/>
  <c r="AB19" i="51"/>
  <c r="AA19" i="51"/>
  <c r="AA19" i="52" s="1"/>
  <c r="Z19" i="51"/>
  <c r="Y19" i="51"/>
  <c r="X19" i="51"/>
  <c r="W19" i="51"/>
  <c r="V19" i="51"/>
  <c r="U19" i="51"/>
  <c r="AD18" i="51"/>
  <c r="AC18" i="51"/>
  <c r="AB18" i="51"/>
  <c r="AA18" i="51"/>
  <c r="AA18" i="52" s="1"/>
  <c r="Z18" i="51"/>
  <c r="Y18" i="51"/>
  <c r="X18" i="51"/>
  <c r="W18" i="51"/>
  <c r="V18" i="51"/>
  <c r="U18" i="51"/>
  <c r="AD17" i="51"/>
  <c r="AC17" i="51"/>
  <c r="AB17" i="51"/>
  <c r="AA17" i="51"/>
  <c r="Z17" i="51"/>
  <c r="Z17" i="52" s="1"/>
  <c r="Y17" i="51"/>
  <c r="X17" i="51"/>
  <c r="W17" i="51"/>
  <c r="V17" i="51"/>
  <c r="U17" i="51"/>
  <c r="AD16" i="51"/>
  <c r="AC16" i="51"/>
  <c r="AB16" i="51"/>
  <c r="AA16" i="51"/>
  <c r="Z16" i="51"/>
  <c r="Y16" i="51"/>
  <c r="X16" i="51"/>
  <c r="W16" i="51"/>
  <c r="V16" i="51"/>
  <c r="U16" i="51"/>
  <c r="AD15" i="51"/>
  <c r="AC15" i="51"/>
  <c r="AB15" i="51"/>
  <c r="AA15" i="51"/>
  <c r="AA15" i="52" s="1"/>
  <c r="Z15" i="51"/>
  <c r="Y15" i="51"/>
  <c r="X15" i="51"/>
  <c r="W15" i="51"/>
  <c r="V15" i="51"/>
  <c r="U15" i="51"/>
  <c r="AD14" i="51"/>
  <c r="AC14" i="51"/>
  <c r="AB14" i="51"/>
  <c r="AA14" i="51"/>
  <c r="AA14" i="52" s="1"/>
  <c r="Z14" i="51"/>
  <c r="Y14" i="51"/>
  <c r="X14" i="51"/>
  <c r="W14" i="51"/>
  <c r="V14" i="51"/>
  <c r="U14" i="51"/>
  <c r="AD13" i="51"/>
  <c r="AC13" i="51"/>
  <c r="AB13" i="51"/>
  <c r="AA13" i="51"/>
  <c r="Z13" i="51"/>
  <c r="Z13" i="52" s="1"/>
  <c r="Y13" i="51"/>
  <c r="X13" i="51"/>
  <c r="W13" i="51"/>
  <c r="V13" i="51"/>
  <c r="U13" i="51"/>
  <c r="AD12" i="51"/>
  <c r="AC12" i="51"/>
  <c r="AB12" i="51"/>
  <c r="AA12" i="51"/>
  <c r="AA12" i="52" s="1"/>
  <c r="Z12" i="51"/>
  <c r="Z12" i="52" s="1"/>
  <c r="Y12" i="51"/>
  <c r="X12" i="51"/>
  <c r="W12" i="51"/>
  <c r="V12" i="51"/>
  <c r="U12" i="51"/>
  <c r="AD11" i="51"/>
  <c r="AC11" i="51"/>
  <c r="AB11" i="51"/>
  <c r="AA11" i="51"/>
  <c r="AA11" i="52" s="1"/>
  <c r="Z11" i="51"/>
  <c r="Z11" i="52" s="1"/>
  <c r="Y11" i="51"/>
  <c r="X11" i="51"/>
  <c r="W11" i="51"/>
  <c r="V11" i="51"/>
  <c r="U11" i="51"/>
  <c r="AD10" i="51"/>
  <c r="AC10" i="51"/>
  <c r="AB10" i="51"/>
  <c r="AA10" i="51"/>
  <c r="Z10" i="51"/>
  <c r="Y10" i="51"/>
  <c r="X10" i="51"/>
  <c r="W10" i="51"/>
  <c r="V10" i="51"/>
  <c r="U10" i="51"/>
  <c r="AD9" i="51"/>
  <c r="AC9" i="51"/>
  <c r="AB9" i="51"/>
  <c r="AA9" i="51"/>
  <c r="Z9" i="51"/>
  <c r="Y9" i="51"/>
  <c r="X9" i="51"/>
  <c r="W9" i="51"/>
  <c r="V9" i="51"/>
  <c r="U9" i="51"/>
  <c r="AD8" i="51"/>
  <c r="AC8" i="51"/>
  <c r="AB8" i="51"/>
  <c r="AA8" i="51"/>
  <c r="AA8" i="52" s="1"/>
  <c r="Z8" i="51"/>
  <c r="Y8" i="51"/>
  <c r="X8" i="51"/>
  <c r="W8" i="51"/>
  <c r="V8" i="51"/>
  <c r="U8" i="51"/>
  <c r="AD7" i="51"/>
  <c r="AC7" i="51"/>
  <c r="AB7" i="51"/>
  <c r="AA7" i="51"/>
  <c r="AA7" i="52" s="1"/>
  <c r="Z7" i="51"/>
  <c r="Y7" i="51"/>
  <c r="X7" i="51"/>
  <c r="W7" i="51"/>
  <c r="V7" i="51"/>
  <c r="U7" i="51"/>
  <c r="AD6" i="51"/>
  <c r="AC6" i="51"/>
  <c r="AB6" i="51"/>
  <c r="AA6" i="51"/>
  <c r="AA6" i="52" s="1"/>
  <c r="Z6" i="51"/>
  <c r="Z6" i="52" s="1"/>
  <c r="Y6" i="51"/>
  <c r="X6" i="51"/>
  <c r="W6" i="51"/>
  <c r="V6" i="51"/>
  <c r="U6" i="51"/>
  <c r="AD5" i="51"/>
  <c r="AC5" i="51"/>
  <c r="AB5" i="51"/>
  <c r="AA5" i="51"/>
  <c r="Z5" i="51"/>
  <c r="Z5" i="52" s="1"/>
  <c r="Y5" i="51"/>
  <c r="X5" i="51"/>
  <c r="W5" i="51"/>
  <c r="V5" i="51"/>
  <c r="U5" i="51"/>
  <c r="AP51" i="59"/>
  <c r="AC51" i="59"/>
  <c r="AC51" i="51" s="1"/>
  <c r="Y51" i="59"/>
  <c r="Y51" i="51" s="1"/>
  <c r="AP50" i="59"/>
  <c r="AC50" i="59"/>
  <c r="AC50" i="51" s="1"/>
  <c r="Y50" i="59"/>
  <c r="Y50" i="51" s="1"/>
  <c r="AP49" i="59"/>
  <c r="AC49" i="59"/>
  <c r="AC49" i="51" s="1"/>
  <c r="Y49" i="59"/>
  <c r="Y49" i="51" s="1"/>
  <c r="AP48" i="59"/>
  <c r="AC48" i="59"/>
  <c r="AC48" i="51" s="1"/>
  <c r="Y48" i="59"/>
  <c r="Y48" i="51" s="1"/>
  <c r="AP47" i="59"/>
  <c r="AC47" i="59"/>
  <c r="AC47" i="51" s="1"/>
  <c r="Y47" i="59"/>
  <c r="Y47" i="51" s="1"/>
  <c r="AP46" i="59"/>
  <c r="AC46" i="59"/>
  <c r="AC46" i="51" s="1"/>
  <c r="Y46" i="59"/>
  <c r="Y46" i="51" s="1"/>
  <c r="AP45" i="59"/>
  <c r="AC45" i="59"/>
  <c r="AC45" i="51" s="1"/>
  <c r="Y45" i="59"/>
  <c r="Y45" i="51" s="1"/>
  <c r="AP44" i="59"/>
  <c r="AC44" i="59"/>
  <c r="AC44" i="51" s="1"/>
  <c r="Y44" i="59"/>
  <c r="Y44" i="51" s="1"/>
  <c r="AP43" i="59"/>
  <c r="AC43" i="59"/>
  <c r="AC43" i="51" s="1"/>
  <c r="Y43" i="59"/>
  <c r="Y43" i="51" s="1"/>
  <c r="AP42" i="59"/>
  <c r="AC42" i="59"/>
  <c r="AC42" i="51" s="1"/>
  <c r="Y42" i="59"/>
  <c r="Y42" i="51" s="1"/>
  <c r="AP41" i="59"/>
  <c r="AC41" i="59"/>
  <c r="AC41" i="51" s="1"/>
  <c r="Y41" i="59"/>
  <c r="Y41" i="51" s="1"/>
  <c r="AP40" i="59"/>
  <c r="AC40" i="59"/>
  <c r="AC40" i="51" s="1"/>
  <c r="Y40" i="59"/>
  <c r="Y40" i="51" s="1"/>
  <c r="AP39" i="59"/>
  <c r="AC39" i="59"/>
  <c r="AC39" i="51" s="1"/>
  <c r="Y39" i="59"/>
  <c r="Y39" i="51" s="1"/>
  <c r="AP38" i="59"/>
  <c r="AC38" i="59"/>
  <c r="AC38" i="51" s="1"/>
  <c r="Y38" i="59"/>
  <c r="Y38" i="51" s="1"/>
  <c r="AP37" i="59"/>
  <c r="AC37" i="59"/>
  <c r="AC37" i="51" s="1"/>
  <c r="Y37" i="59"/>
  <c r="Y37" i="51" s="1"/>
  <c r="AP36" i="59"/>
  <c r="AC36" i="59"/>
  <c r="AC36" i="51" s="1"/>
  <c r="Y36" i="59"/>
  <c r="Y36" i="51" s="1"/>
  <c r="AP35" i="59"/>
  <c r="AC35" i="59"/>
  <c r="AC35" i="51" s="1"/>
  <c r="Y35" i="59"/>
  <c r="Y35" i="51" s="1"/>
  <c r="AP34" i="59"/>
  <c r="AC34" i="59"/>
  <c r="AC34" i="51" s="1"/>
  <c r="Y34" i="59"/>
  <c r="Y34" i="51" s="1"/>
  <c r="AP33" i="59"/>
  <c r="AC33" i="59"/>
  <c r="AC33" i="51" s="1"/>
  <c r="Y33" i="59"/>
  <c r="Y33" i="51" s="1"/>
  <c r="AP32" i="59"/>
  <c r="AC32" i="59"/>
  <c r="AC32" i="51" s="1"/>
  <c r="Y32" i="59"/>
  <c r="Y32" i="51" s="1"/>
  <c r="AP31" i="59"/>
  <c r="AC31" i="59"/>
  <c r="AC31" i="51" s="1"/>
  <c r="Y31" i="59"/>
  <c r="Y31" i="51" s="1"/>
  <c r="AP30" i="59"/>
  <c r="AC30" i="59"/>
  <c r="AC30" i="51" s="1"/>
  <c r="Y30" i="59"/>
  <c r="Y30" i="51" s="1"/>
  <c r="AP29" i="59"/>
  <c r="AC29" i="59"/>
  <c r="AC29" i="51" s="1"/>
  <c r="Y29" i="59"/>
  <c r="Y29" i="51" s="1"/>
  <c r="AP28" i="59"/>
  <c r="AC28" i="59"/>
  <c r="AC28" i="51" s="1"/>
  <c r="Y28" i="59"/>
  <c r="Y28" i="51" s="1"/>
  <c r="AP27" i="59"/>
  <c r="AC27" i="59"/>
  <c r="AC27" i="51" s="1"/>
  <c r="Y27" i="59"/>
  <c r="Y27" i="51" s="1"/>
  <c r="AP26" i="59"/>
  <c r="AC26" i="59"/>
  <c r="AC26" i="51" s="1"/>
  <c r="Y26" i="59"/>
  <c r="Y26" i="51" s="1"/>
  <c r="AP24" i="59"/>
  <c r="AC24" i="59"/>
  <c r="AC24" i="51" s="1"/>
  <c r="Y24" i="59"/>
  <c r="Y24" i="51" s="1"/>
  <c r="AP23" i="59"/>
  <c r="AC23" i="59"/>
  <c r="AC23" i="51" s="1"/>
  <c r="Y23" i="59"/>
  <c r="Y23" i="51" s="1"/>
  <c r="AP22" i="59"/>
  <c r="AC22" i="59"/>
  <c r="AC22" i="51" s="1"/>
  <c r="Y22" i="59"/>
  <c r="Y22" i="51" s="1"/>
  <c r="AP21" i="59"/>
  <c r="AC21" i="59"/>
  <c r="AC21" i="51" s="1"/>
  <c r="Y21" i="59"/>
  <c r="Y21" i="51" s="1"/>
  <c r="X47" i="58"/>
  <c r="V47" i="58"/>
  <c r="T47" i="58"/>
  <c r="P47" i="58"/>
  <c r="O47" i="58"/>
  <c r="N47" i="58"/>
  <c r="M47" i="58"/>
  <c r="V46" i="58"/>
  <c r="U46" i="58"/>
  <c r="T46" i="58"/>
  <c r="P46" i="58"/>
  <c r="O46" i="58"/>
  <c r="N46" i="58"/>
  <c r="M46" i="58"/>
  <c r="X45" i="58"/>
  <c r="V45" i="58"/>
  <c r="U45" i="58"/>
  <c r="T45" i="58"/>
  <c r="P45" i="58"/>
  <c r="O45" i="58"/>
  <c r="N45" i="58"/>
  <c r="M45" i="58"/>
  <c r="X47" i="57"/>
  <c r="V47" i="57"/>
  <c r="T47" i="57"/>
  <c r="P47" i="57"/>
  <c r="O47" i="57"/>
  <c r="N47" i="57"/>
  <c r="M47" i="57"/>
  <c r="V46" i="57"/>
  <c r="U46" i="57"/>
  <c r="T46" i="57"/>
  <c r="P46" i="57"/>
  <c r="O46" i="57"/>
  <c r="N46" i="57"/>
  <c r="M46" i="57"/>
  <c r="X45" i="57"/>
  <c r="V45" i="57"/>
  <c r="V49" i="57" s="1"/>
  <c r="U45" i="57"/>
  <c r="T45" i="57"/>
  <c r="P45" i="57"/>
  <c r="O45" i="57"/>
  <c r="O49" i="57" s="1"/>
  <c r="N45" i="57"/>
  <c r="N49" i="57" s="1"/>
  <c r="M45" i="57"/>
  <c r="Y42" i="56"/>
  <c r="Y41" i="56"/>
  <c r="Y40" i="56"/>
  <c r="Y39" i="56"/>
  <c r="Y38" i="56"/>
  <c r="Y37" i="56"/>
  <c r="Y36" i="56"/>
  <c r="Y35" i="56"/>
  <c r="Y34" i="56"/>
  <c r="Y33" i="56"/>
  <c r="Y32" i="56"/>
  <c r="Y31" i="56"/>
  <c r="Y30" i="56"/>
  <c r="Y29" i="56"/>
  <c r="Y28" i="56"/>
  <c r="Y27" i="56"/>
  <c r="Y26" i="56"/>
  <c r="Y25" i="56"/>
  <c r="Y24" i="56"/>
  <c r="Y23" i="56"/>
  <c r="Y22" i="56"/>
  <c r="Y21" i="56"/>
  <c r="Y20" i="56"/>
  <c r="Y19" i="56"/>
  <c r="Y18" i="56"/>
  <c r="Y17" i="56"/>
  <c r="Y16" i="56"/>
  <c r="Y15" i="56"/>
  <c r="Y14" i="56"/>
  <c r="Y13" i="56"/>
  <c r="Y12" i="56"/>
  <c r="Y11" i="56"/>
  <c r="Y10" i="56"/>
  <c r="Y9" i="56"/>
  <c r="Y8" i="56"/>
  <c r="Y7" i="56"/>
  <c r="Y6" i="56"/>
  <c r="Y5" i="56"/>
  <c r="X47" i="56"/>
  <c r="V47" i="56"/>
  <c r="T47" i="56"/>
  <c r="P47" i="56"/>
  <c r="O47" i="56"/>
  <c r="N47" i="56"/>
  <c r="M47" i="56"/>
  <c r="V46" i="56"/>
  <c r="U46" i="56"/>
  <c r="T46" i="56"/>
  <c r="P46" i="56"/>
  <c r="O46" i="56"/>
  <c r="N46" i="56"/>
  <c r="M46" i="56"/>
  <c r="X45" i="56"/>
  <c r="V45" i="56"/>
  <c r="V49" i="56" s="1"/>
  <c r="U45" i="56"/>
  <c r="T45" i="56"/>
  <c r="P45" i="56"/>
  <c r="O45" i="56"/>
  <c r="O49" i="56" s="1"/>
  <c r="N45" i="56"/>
  <c r="N49" i="56" s="1"/>
  <c r="M45" i="56"/>
  <c r="X47" i="55"/>
  <c r="X45" i="55"/>
  <c r="V47" i="55"/>
  <c r="V46" i="55"/>
  <c r="V45" i="55"/>
  <c r="U46" i="55"/>
  <c r="U45" i="55"/>
  <c r="T47" i="55"/>
  <c r="T46" i="55"/>
  <c r="T45" i="55"/>
  <c r="R48" i="55"/>
  <c r="R48" i="103" s="1"/>
  <c r="P47" i="55"/>
  <c r="P46" i="55"/>
  <c r="P45" i="55"/>
  <c r="O47" i="55"/>
  <c r="O46" i="55"/>
  <c r="O45" i="55"/>
  <c r="N47" i="55"/>
  <c r="N46" i="55"/>
  <c r="N45" i="55"/>
  <c r="M47" i="55"/>
  <c r="M46" i="55"/>
  <c r="M45" i="55"/>
  <c r="Z42" i="55"/>
  <c r="Z41" i="55"/>
  <c r="Z40" i="55"/>
  <c r="Z39" i="55"/>
  <c r="Z38" i="55"/>
  <c r="Z37" i="55"/>
  <c r="Z36" i="55"/>
  <c r="Z35" i="55"/>
  <c r="Z34" i="55"/>
  <c r="Z33" i="55"/>
  <c r="Z32" i="55"/>
  <c r="Z31" i="55"/>
  <c r="Z30" i="55"/>
  <c r="Z29" i="55"/>
  <c r="Z28" i="55"/>
  <c r="Z27" i="55"/>
  <c r="Z26" i="55"/>
  <c r="Z25" i="55"/>
  <c r="Z24" i="55"/>
  <c r="Z23" i="55"/>
  <c r="Z22" i="55"/>
  <c r="Z21" i="55"/>
  <c r="Z20" i="55"/>
  <c r="Z19" i="55"/>
  <c r="Z18" i="55"/>
  <c r="Z17" i="55"/>
  <c r="Z15" i="55"/>
  <c r="Z14" i="55"/>
  <c r="Z13" i="55"/>
  <c r="Z12" i="55"/>
  <c r="V42" i="55"/>
  <c r="V41" i="55"/>
  <c r="V40" i="55"/>
  <c r="V39" i="55"/>
  <c r="V38" i="55"/>
  <c r="V37" i="55"/>
  <c r="V36" i="55"/>
  <c r="V35" i="55"/>
  <c r="V34" i="55"/>
  <c r="V33" i="55"/>
  <c r="V32" i="55"/>
  <c r="V31" i="55"/>
  <c r="V30" i="55"/>
  <c r="V29" i="55"/>
  <c r="V28" i="55"/>
  <c r="V27" i="55"/>
  <c r="V26" i="55"/>
  <c r="V25" i="55"/>
  <c r="V24" i="55"/>
  <c r="V23" i="55"/>
  <c r="V22" i="55"/>
  <c r="V21" i="55"/>
  <c r="V20" i="55"/>
  <c r="V19" i="55"/>
  <c r="V18" i="55"/>
  <c r="V17" i="55"/>
  <c r="V15" i="55"/>
  <c r="V14" i="55"/>
  <c r="V13" i="55"/>
  <c r="V12" i="55"/>
  <c r="U42" i="55"/>
  <c r="U41" i="55"/>
  <c r="U40" i="55"/>
  <c r="U39" i="55"/>
  <c r="U38" i="55"/>
  <c r="U37" i="55"/>
  <c r="U36" i="55"/>
  <c r="U35" i="55"/>
  <c r="U34" i="55"/>
  <c r="U33" i="55"/>
  <c r="U32" i="55"/>
  <c r="U31" i="55"/>
  <c r="U30" i="55"/>
  <c r="U29" i="55"/>
  <c r="U28" i="55"/>
  <c r="U27" i="55"/>
  <c r="U26" i="55"/>
  <c r="U25" i="55"/>
  <c r="U24" i="55"/>
  <c r="U23" i="55"/>
  <c r="U22" i="55"/>
  <c r="U21" i="55"/>
  <c r="U20" i="55"/>
  <c r="U19" i="55"/>
  <c r="U18" i="55"/>
  <c r="U17" i="55"/>
  <c r="U15" i="55"/>
  <c r="U14" i="55"/>
  <c r="U13" i="55"/>
  <c r="U12" i="55"/>
  <c r="T42" i="55"/>
  <c r="T41" i="55"/>
  <c r="T40" i="55"/>
  <c r="T39" i="55"/>
  <c r="T38" i="55"/>
  <c r="T37" i="55"/>
  <c r="T36" i="55"/>
  <c r="T35" i="55"/>
  <c r="T34" i="55"/>
  <c r="T33" i="55"/>
  <c r="T32" i="55"/>
  <c r="T31" i="55"/>
  <c r="T30" i="55"/>
  <c r="T29" i="55"/>
  <c r="T28" i="55"/>
  <c r="T27" i="55"/>
  <c r="T26" i="55"/>
  <c r="T25" i="55"/>
  <c r="T24" i="55"/>
  <c r="T23" i="55"/>
  <c r="T22" i="55"/>
  <c r="T21" i="55"/>
  <c r="T20" i="55"/>
  <c r="T19" i="55"/>
  <c r="T18" i="55"/>
  <c r="T17" i="55"/>
  <c r="T15" i="55"/>
  <c r="T14" i="55"/>
  <c r="T13" i="55"/>
  <c r="T12" i="55"/>
  <c r="R42" i="55"/>
  <c r="R41" i="55"/>
  <c r="R40" i="55"/>
  <c r="R39" i="55"/>
  <c r="R38" i="55"/>
  <c r="R37" i="55"/>
  <c r="R36" i="55"/>
  <c r="R35" i="55"/>
  <c r="R34" i="55"/>
  <c r="R33" i="55"/>
  <c r="R32" i="55"/>
  <c r="R31" i="55"/>
  <c r="R30" i="55"/>
  <c r="R29" i="55"/>
  <c r="R28" i="55"/>
  <c r="R27" i="55"/>
  <c r="R26" i="55"/>
  <c r="R25" i="55"/>
  <c r="R24" i="55"/>
  <c r="R23" i="55"/>
  <c r="R22" i="55"/>
  <c r="R21" i="55"/>
  <c r="R20" i="55"/>
  <c r="R19" i="55"/>
  <c r="R18" i="55"/>
  <c r="R17" i="55"/>
  <c r="R15" i="55"/>
  <c r="R14" i="55"/>
  <c r="R13" i="55"/>
  <c r="R12" i="55"/>
  <c r="P42" i="55"/>
  <c r="P41" i="55"/>
  <c r="P40" i="55"/>
  <c r="P39" i="55"/>
  <c r="P38" i="55"/>
  <c r="P37" i="55"/>
  <c r="P36" i="55"/>
  <c r="P35" i="55"/>
  <c r="P34" i="55"/>
  <c r="P33" i="55"/>
  <c r="P32" i="55"/>
  <c r="P31" i="55"/>
  <c r="P30" i="55"/>
  <c r="P29" i="55"/>
  <c r="P28" i="55"/>
  <c r="P27" i="55"/>
  <c r="P26" i="55"/>
  <c r="P25" i="55"/>
  <c r="P24" i="55"/>
  <c r="P23" i="55"/>
  <c r="P22" i="55"/>
  <c r="P21" i="55"/>
  <c r="P20" i="55"/>
  <c r="P19" i="55"/>
  <c r="P18" i="55"/>
  <c r="P17" i="55"/>
  <c r="P15" i="55"/>
  <c r="P14" i="55"/>
  <c r="P13" i="55"/>
  <c r="P12" i="55"/>
  <c r="O42" i="55"/>
  <c r="O41" i="55"/>
  <c r="O40" i="55"/>
  <c r="O39" i="55"/>
  <c r="O38" i="55"/>
  <c r="O37" i="55"/>
  <c r="O36" i="55"/>
  <c r="O35" i="55"/>
  <c r="O34" i="55"/>
  <c r="O33" i="55"/>
  <c r="O32" i="55"/>
  <c r="O31" i="55"/>
  <c r="O30" i="55"/>
  <c r="O29" i="55"/>
  <c r="O28" i="55"/>
  <c r="O27" i="55"/>
  <c r="O26" i="55"/>
  <c r="O25" i="55"/>
  <c r="O24" i="55"/>
  <c r="O23" i="55"/>
  <c r="O22" i="55"/>
  <c r="O21" i="55"/>
  <c r="O20" i="55"/>
  <c r="O19" i="55"/>
  <c r="O18" i="55"/>
  <c r="O17" i="55"/>
  <c r="O15" i="55"/>
  <c r="O14" i="55"/>
  <c r="O13" i="55"/>
  <c r="O12" i="55"/>
  <c r="N42" i="55"/>
  <c r="N41" i="55"/>
  <c r="N40" i="55"/>
  <c r="N39" i="55"/>
  <c r="N38" i="55"/>
  <c r="N37" i="55"/>
  <c r="N36" i="55"/>
  <c r="N35" i="55"/>
  <c r="N34" i="55"/>
  <c r="N33" i="55"/>
  <c r="N32" i="55"/>
  <c r="N31" i="55"/>
  <c r="N30" i="55"/>
  <c r="N29" i="55"/>
  <c r="N28" i="55"/>
  <c r="N27" i="55"/>
  <c r="N26" i="55"/>
  <c r="N25" i="55"/>
  <c r="N24" i="55"/>
  <c r="N23" i="55"/>
  <c r="N22" i="55"/>
  <c r="N21" i="55"/>
  <c r="N20" i="55"/>
  <c r="N19" i="55"/>
  <c r="N18" i="55"/>
  <c r="N17" i="55"/>
  <c r="N15" i="55"/>
  <c r="N14" i="55"/>
  <c r="N13" i="55"/>
  <c r="N12" i="55"/>
  <c r="M42" i="55"/>
  <c r="M41" i="55"/>
  <c r="M40" i="55"/>
  <c r="M39" i="55"/>
  <c r="M38" i="55"/>
  <c r="M37" i="55"/>
  <c r="M36" i="55"/>
  <c r="M35" i="55"/>
  <c r="M34" i="55"/>
  <c r="M33" i="55"/>
  <c r="M32" i="55"/>
  <c r="M31" i="55"/>
  <c r="M30" i="55"/>
  <c r="M29" i="55"/>
  <c r="M28" i="55"/>
  <c r="M27" i="55"/>
  <c r="M26" i="55"/>
  <c r="M25" i="55"/>
  <c r="M24" i="55"/>
  <c r="M23" i="55"/>
  <c r="M22" i="55"/>
  <c r="M21" i="55"/>
  <c r="M20" i="55"/>
  <c r="M19" i="55"/>
  <c r="M18" i="55"/>
  <c r="M17" i="55"/>
  <c r="M15" i="55"/>
  <c r="M14" i="55"/>
  <c r="M13" i="55"/>
  <c r="M12" i="55"/>
  <c r="L42" i="55"/>
  <c r="L41" i="55"/>
  <c r="L40" i="55"/>
  <c r="L39" i="55"/>
  <c r="L38" i="55"/>
  <c r="L37" i="55"/>
  <c r="L36" i="55"/>
  <c r="L35" i="55"/>
  <c r="L34" i="55"/>
  <c r="L33" i="55"/>
  <c r="L32" i="55"/>
  <c r="L31" i="55"/>
  <c r="L30" i="55"/>
  <c r="L29" i="55"/>
  <c r="L28" i="55"/>
  <c r="L27" i="55"/>
  <c r="L26" i="55"/>
  <c r="L25" i="55"/>
  <c r="L24" i="55"/>
  <c r="L23" i="55"/>
  <c r="L22" i="55"/>
  <c r="L21" i="55"/>
  <c r="L20" i="55"/>
  <c r="L19" i="55"/>
  <c r="L18" i="55"/>
  <c r="L17" i="55"/>
  <c r="L15" i="55"/>
  <c r="L14" i="55"/>
  <c r="L13" i="55"/>
  <c r="L12" i="55"/>
  <c r="AK56" i="54"/>
  <c r="AF56" i="54"/>
  <c r="AP54" i="54" s="1"/>
  <c r="AE56" i="54"/>
  <c r="AO54" i="54" s="1"/>
  <c r="AC56" i="54"/>
  <c r="Y56" i="54"/>
  <c r="X56" i="54"/>
  <c r="W56" i="54"/>
  <c r="S56" i="54"/>
  <c r="R56" i="54"/>
  <c r="Q56" i="54"/>
  <c r="P56" i="54"/>
  <c r="O56" i="54"/>
  <c r="M56" i="54"/>
  <c r="L56" i="54"/>
  <c r="AK55" i="54"/>
  <c r="AF55" i="54"/>
  <c r="AC55" i="54"/>
  <c r="AA55" i="54"/>
  <c r="Z55" i="54"/>
  <c r="Y55" i="54"/>
  <c r="X55" i="54"/>
  <c r="W55" i="54"/>
  <c r="V55" i="54"/>
  <c r="U55" i="54"/>
  <c r="S55" i="54"/>
  <c r="R55" i="54"/>
  <c r="Q55" i="54"/>
  <c r="P55" i="54"/>
  <c r="O55" i="54"/>
  <c r="M55" i="54"/>
  <c r="L55" i="54"/>
  <c r="AL57" i="53"/>
  <c r="AG57" i="53"/>
  <c r="AD57" i="53"/>
  <c r="AB57" i="53"/>
  <c r="T57" i="53"/>
  <c r="AK56" i="53"/>
  <c r="AF56" i="53"/>
  <c r="AE56" i="53"/>
  <c r="AC56" i="53"/>
  <c r="Y56" i="53"/>
  <c r="X56" i="53"/>
  <c r="W56" i="53"/>
  <c r="S56" i="53"/>
  <c r="R56" i="53"/>
  <c r="Q56" i="53"/>
  <c r="P56" i="53"/>
  <c r="O56" i="53"/>
  <c r="M56" i="53"/>
  <c r="L56" i="53"/>
  <c r="AK55" i="53"/>
  <c r="AF55" i="53"/>
  <c r="AP54" i="53" s="1"/>
  <c r="AC55" i="53"/>
  <c r="AA55" i="53"/>
  <c r="Z55" i="53"/>
  <c r="Y55" i="53"/>
  <c r="X55" i="53"/>
  <c r="W55" i="53"/>
  <c r="V55" i="53"/>
  <c r="U55" i="53"/>
  <c r="S55" i="53"/>
  <c r="R55" i="53"/>
  <c r="Q55" i="53"/>
  <c r="P55" i="53"/>
  <c r="O55" i="53"/>
  <c r="M55" i="53"/>
  <c r="L55" i="53"/>
  <c r="AL57" i="52"/>
  <c r="AG57" i="52"/>
  <c r="AD57" i="52"/>
  <c r="AB57" i="52"/>
  <c r="T57" i="52"/>
  <c r="AG51" i="52"/>
  <c r="Z51" i="52"/>
  <c r="AG50" i="52"/>
  <c r="AA50" i="52"/>
  <c r="Z50" i="52"/>
  <c r="AG49" i="52"/>
  <c r="AA49" i="52"/>
  <c r="AG48" i="52"/>
  <c r="AA48" i="52"/>
  <c r="AG47" i="52"/>
  <c r="Z47" i="52"/>
  <c r="AG46" i="52"/>
  <c r="AA46" i="52"/>
  <c r="AG45" i="52"/>
  <c r="AA45" i="52"/>
  <c r="AG44" i="52"/>
  <c r="AG43" i="52"/>
  <c r="Z43" i="52"/>
  <c r="AG42" i="52"/>
  <c r="Z42" i="52"/>
  <c r="AG41" i="52"/>
  <c r="AG40" i="52"/>
  <c r="AA40" i="52"/>
  <c r="AG39" i="52"/>
  <c r="Z39" i="52"/>
  <c r="AG38" i="52"/>
  <c r="AG37" i="52"/>
  <c r="AA37" i="52"/>
  <c r="AG36" i="52"/>
  <c r="AA36" i="52"/>
  <c r="Z36" i="52"/>
  <c r="AG35" i="52"/>
  <c r="AG34" i="52"/>
  <c r="AA34" i="52"/>
  <c r="AG33" i="52"/>
  <c r="AA33" i="52"/>
  <c r="Z33" i="52"/>
  <c r="AG32" i="52"/>
  <c r="Z32" i="52"/>
  <c r="AG31" i="52"/>
  <c r="AG30" i="52"/>
  <c r="AA30" i="52"/>
  <c r="Z30" i="52"/>
  <c r="AG29" i="52"/>
  <c r="Z29" i="52"/>
  <c r="AG28" i="52"/>
  <c r="Z28" i="52"/>
  <c r="AG27" i="52"/>
  <c r="Z27" i="52"/>
  <c r="AG26" i="52"/>
  <c r="Z26" i="52"/>
  <c r="AG25" i="52"/>
  <c r="AA25" i="52"/>
  <c r="Z25" i="52"/>
  <c r="AG24" i="52"/>
  <c r="AA24" i="52"/>
  <c r="Z24" i="52"/>
  <c r="AG23" i="52"/>
  <c r="AG22" i="52"/>
  <c r="AA22" i="52"/>
  <c r="AG21" i="52"/>
  <c r="AA21" i="52"/>
  <c r="AG20" i="52"/>
  <c r="Z20" i="52"/>
  <c r="AG19" i="52"/>
  <c r="Z19" i="52"/>
  <c r="AG18" i="52"/>
  <c r="Z18" i="52"/>
  <c r="AG17" i="52"/>
  <c r="AA17" i="52"/>
  <c r="AG16" i="52"/>
  <c r="AA16" i="52"/>
  <c r="Z16" i="52"/>
  <c r="AG15" i="52"/>
  <c r="Z15" i="52"/>
  <c r="AG14" i="52"/>
  <c r="Z14" i="52"/>
  <c r="AG13" i="52"/>
  <c r="AA13" i="52"/>
  <c r="AG12" i="52"/>
  <c r="AG11" i="52"/>
  <c r="AG10" i="52"/>
  <c r="AA10" i="52"/>
  <c r="Z10" i="52"/>
  <c r="AG9" i="52"/>
  <c r="AA9" i="52"/>
  <c r="Z9" i="52"/>
  <c r="AG8" i="52"/>
  <c r="Z8" i="52"/>
  <c r="AG7" i="52"/>
  <c r="Z7" i="52"/>
  <c r="AG6" i="52"/>
  <c r="AG5" i="52"/>
  <c r="AA5" i="52"/>
  <c r="AK56" i="52"/>
  <c r="AF56" i="52"/>
  <c r="AE56" i="52"/>
  <c r="AC56" i="52"/>
  <c r="Y56" i="52"/>
  <c r="X56" i="52"/>
  <c r="W56" i="52"/>
  <c r="S56" i="52"/>
  <c r="R56" i="52"/>
  <c r="Q56" i="52"/>
  <c r="P56" i="52"/>
  <c r="O56" i="52"/>
  <c r="M56" i="52"/>
  <c r="L56" i="52"/>
  <c r="AK55" i="52"/>
  <c r="AF55" i="52"/>
  <c r="AC55" i="52"/>
  <c r="AA55" i="52"/>
  <c r="Z55" i="52"/>
  <c r="Y55" i="52"/>
  <c r="X55" i="52"/>
  <c r="W55" i="52"/>
  <c r="V55" i="52"/>
  <c r="U55" i="52"/>
  <c r="S55" i="52"/>
  <c r="R55" i="52"/>
  <c r="Q55" i="52"/>
  <c r="P55" i="52"/>
  <c r="O55" i="52"/>
  <c r="M55" i="52"/>
  <c r="L55" i="52"/>
  <c r="AP51" i="52"/>
  <c r="AP50" i="52"/>
  <c r="AP49" i="52"/>
  <c r="AP48" i="52"/>
  <c r="AP47" i="52"/>
  <c r="AP46" i="52"/>
  <c r="AP45" i="52"/>
  <c r="AP44" i="52"/>
  <c r="AP43" i="52"/>
  <c r="AP42" i="52"/>
  <c r="AP41" i="52"/>
  <c r="AP40" i="52"/>
  <c r="AP39" i="52"/>
  <c r="AP38" i="52"/>
  <c r="AP37" i="52"/>
  <c r="AP36" i="52"/>
  <c r="AP35" i="52"/>
  <c r="AP34" i="52"/>
  <c r="AP33" i="52"/>
  <c r="AP32" i="52"/>
  <c r="AP31" i="52"/>
  <c r="AP30" i="52"/>
  <c r="AP29" i="52"/>
  <c r="AP28" i="52"/>
  <c r="AP27" i="52"/>
  <c r="AP26" i="52"/>
  <c r="AP24" i="52"/>
  <c r="AP23" i="52"/>
  <c r="AP22" i="52"/>
  <c r="AP21" i="52"/>
  <c r="AA56" i="51"/>
  <c r="AA54" i="102" s="1"/>
  <c r="AA58" i="102" s="1"/>
  <c r="Z56" i="51"/>
  <c r="Z54" i="102" s="1"/>
  <c r="Z58" i="102" s="1"/>
  <c r="AK58" i="51"/>
  <c r="AK57" i="51"/>
  <c r="AK56" i="51"/>
  <c r="AK54" i="102" s="1"/>
  <c r="AK58" i="102" s="1"/>
  <c r="AF58" i="51"/>
  <c r="AF57" i="51"/>
  <c r="AF56" i="51"/>
  <c r="AF54" i="102" s="1"/>
  <c r="AE58" i="51"/>
  <c r="AE56" i="51"/>
  <c r="AE54" i="102" s="1"/>
  <c r="AC58" i="51"/>
  <c r="AC57" i="51"/>
  <c r="AC56" i="51"/>
  <c r="AC54" i="102" s="1"/>
  <c r="AC58" i="102" s="1"/>
  <c r="AA57" i="51"/>
  <c r="Z57" i="51"/>
  <c r="Y58" i="51"/>
  <c r="Y57" i="51"/>
  <c r="X58" i="51"/>
  <c r="X57" i="51"/>
  <c r="X56" i="51"/>
  <c r="X54" i="102" s="1"/>
  <c r="X58" i="102" s="1"/>
  <c r="W58" i="51"/>
  <c r="W57" i="51"/>
  <c r="V57" i="51"/>
  <c r="U57" i="51"/>
  <c r="U56" i="51"/>
  <c r="U54" i="102" s="1"/>
  <c r="U58" i="102" s="1"/>
  <c r="S58" i="51"/>
  <c r="S57" i="51"/>
  <c r="S56" i="51"/>
  <c r="S54" i="102" s="1"/>
  <c r="R58" i="51"/>
  <c r="R57" i="51"/>
  <c r="R56" i="51"/>
  <c r="R54" i="102" s="1"/>
  <c r="R58" i="102" s="1"/>
  <c r="Q58" i="51"/>
  <c r="Q57" i="51"/>
  <c r="Q56" i="51"/>
  <c r="Q54" i="102" s="1"/>
  <c r="Q58" i="102" s="1"/>
  <c r="P58" i="51"/>
  <c r="P57" i="51"/>
  <c r="P56" i="51"/>
  <c r="P54" i="102" s="1"/>
  <c r="P58" i="102" s="1"/>
  <c r="O58" i="51"/>
  <c r="O57" i="51"/>
  <c r="O56" i="51"/>
  <c r="O54" i="102" s="1"/>
  <c r="O58" i="102" s="1"/>
  <c r="M58" i="51"/>
  <c r="M57" i="51"/>
  <c r="M56" i="51"/>
  <c r="M54" i="102" s="1"/>
  <c r="M58" i="102" s="1"/>
  <c r="L58" i="51"/>
  <c r="L57" i="51"/>
  <c r="L56" i="51"/>
  <c r="L54" i="102" s="1"/>
  <c r="L58" i="102" s="1"/>
  <c r="AK16" i="51"/>
  <c r="AK15" i="51"/>
  <c r="AK10" i="51"/>
  <c r="AK9" i="51"/>
  <c r="AK6" i="51"/>
  <c r="AK5" i="51"/>
  <c r="AI51" i="51"/>
  <c r="AI50" i="51"/>
  <c r="AI49" i="51"/>
  <c r="AI48" i="51"/>
  <c r="AI47" i="51"/>
  <c r="AI46" i="51"/>
  <c r="AI45" i="51"/>
  <c r="AI44" i="51"/>
  <c r="AI43" i="51"/>
  <c r="AI42" i="51"/>
  <c r="AI41" i="51"/>
  <c r="AI40" i="51"/>
  <c r="AI39" i="51"/>
  <c r="AI38" i="51"/>
  <c r="AI37" i="51"/>
  <c r="AI36" i="51"/>
  <c r="AI35" i="51"/>
  <c r="AI34" i="51"/>
  <c r="AI33" i="51"/>
  <c r="AI32" i="51"/>
  <c r="AI31" i="51"/>
  <c r="AI30" i="51"/>
  <c r="AI29" i="51"/>
  <c r="AI28" i="51"/>
  <c r="AI27" i="51"/>
  <c r="AI26" i="51"/>
  <c r="AI24" i="51"/>
  <c r="AI23" i="51"/>
  <c r="AI22" i="51"/>
  <c r="AI21" i="51"/>
  <c r="AH51" i="51"/>
  <c r="AH50" i="51"/>
  <c r="AH49" i="51"/>
  <c r="AH48" i="51"/>
  <c r="AH47" i="51"/>
  <c r="AH46" i="51"/>
  <c r="AH45" i="51"/>
  <c r="AH44" i="51"/>
  <c r="AH43" i="51"/>
  <c r="AH42" i="51"/>
  <c r="AH41" i="51"/>
  <c r="AH40" i="51"/>
  <c r="AH39" i="51"/>
  <c r="AH38" i="51"/>
  <c r="AH37" i="51"/>
  <c r="AH36" i="51"/>
  <c r="AH35" i="51"/>
  <c r="AH34" i="51"/>
  <c r="AH33" i="51"/>
  <c r="AH32" i="51"/>
  <c r="AH31" i="51"/>
  <c r="AH30" i="51"/>
  <c r="AH29" i="51"/>
  <c r="AH28" i="51"/>
  <c r="AH27" i="51"/>
  <c r="AH26" i="51"/>
  <c r="AH24" i="51"/>
  <c r="AH23" i="51"/>
  <c r="AH22" i="51"/>
  <c r="AH21" i="51"/>
  <c r="S51" i="51"/>
  <c r="S50" i="51"/>
  <c r="S49" i="51"/>
  <c r="S48" i="51"/>
  <c r="S47" i="51"/>
  <c r="S46" i="51"/>
  <c r="S45" i="51"/>
  <c r="S44" i="51"/>
  <c r="S43" i="51"/>
  <c r="S42" i="51"/>
  <c r="S41" i="51"/>
  <c r="S40" i="51"/>
  <c r="S39" i="51"/>
  <c r="S38" i="51"/>
  <c r="S37" i="51"/>
  <c r="S36" i="51"/>
  <c r="S35" i="51"/>
  <c r="S34" i="51"/>
  <c r="S33" i="51"/>
  <c r="S32" i="51"/>
  <c r="S31" i="51"/>
  <c r="S30" i="51"/>
  <c r="S29" i="51"/>
  <c r="S28" i="51"/>
  <c r="S27" i="51"/>
  <c r="S26" i="51"/>
  <c r="S24" i="51"/>
  <c r="S23" i="51"/>
  <c r="S22" i="51"/>
  <c r="S21" i="51"/>
  <c r="R51" i="51"/>
  <c r="R50" i="51"/>
  <c r="R49" i="51"/>
  <c r="R48" i="51"/>
  <c r="R47" i="51"/>
  <c r="R46" i="51"/>
  <c r="R45" i="51"/>
  <c r="R44" i="51"/>
  <c r="R43" i="51"/>
  <c r="R42" i="51"/>
  <c r="R41" i="51"/>
  <c r="R40" i="51"/>
  <c r="R39" i="51"/>
  <c r="R38" i="51"/>
  <c r="R37" i="51"/>
  <c r="R36" i="51"/>
  <c r="R35" i="51"/>
  <c r="R34" i="51"/>
  <c r="R33" i="51"/>
  <c r="R32" i="51"/>
  <c r="R31" i="51"/>
  <c r="R30" i="51"/>
  <c r="Q51" i="51"/>
  <c r="Q50" i="51"/>
  <c r="Q49" i="51"/>
  <c r="Q48" i="51"/>
  <c r="Q47" i="51"/>
  <c r="Q46" i="51"/>
  <c r="Q45" i="51"/>
  <c r="Q44" i="51"/>
  <c r="Q43" i="51"/>
  <c r="Q42" i="51"/>
  <c r="Q41" i="51"/>
  <c r="Q40" i="51"/>
  <c r="Q39" i="51"/>
  <c r="Q38" i="51"/>
  <c r="Q37" i="51"/>
  <c r="Q36" i="51"/>
  <c r="Q35" i="51"/>
  <c r="Q34" i="51"/>
  <c r="Q33" i="51"/>
  <c r="Q32" i="51"/>
  <c r="Q31" i="51"/>
  <c r="Q30" i="51"/>
  <c r="Q25" i="51"/>
  <c r="Q20" i="51"/>
  <c r="Q19" i="51"/>
  <c r="Q18" i="51"/>
  <c r="Q17" i="51"/>
  <c r="Q12" i="51"/>
  <c r="Q11" i="51"/>
  <c r="Q7" i="51"/>
  <c r="P51" i="51"/>
  <c r="P50" i="51"/>
  <c r="P49" i="51"/>
  <c r="P48" i="51"/>
  <c r="P47" i="51"/>
  <c r="P46" i="51"/>
  <c r="P45" i="51"/>
  <c r="P44" i="51"/>
  <c r="P43" i="51"/>
  <c r="P42" i="51"/>
  <c r="P41" i="51"/>
  <c r="P40" i="51"/>
  <c r="P39" i="51"/>
  <c r="P38" i="51"/>
  <c r="P37" i="51"/>
  <c r="P36" i="51"/>
  <c r="P35" i="51"/>
  <c r="P34" i="51"/>
  <c r="P33" i="51"/>
  <c r="P32" i="51"/>
  <c r="P31" i="51"/>
  <c r="P30" i="51"/>
  <c r="O51" i="51"/>
  <c r="O50" i="51"/>
  <c r="O49" i="51"/>
  <c r="O48" i="51"/>
  <c r="O47" i="51"/>
  <c r="O46" i="51"/>
  <c r="O45" i="51"/>
  <c r="O44" i="51"/>
  <c r="O43" i="51"/>
  <c r="O42" i="51"/>
  <c r="O41" i="51"/>
  <c r="O40" i="51"/>
  <c r="O39" i="51"/>
  <c r="O38" i="51"/>
  <c r="O37" i="51"/>
  <c r="O36" i="51"/>
  <c r="O35" i="51"/>
  <c r="O34" i="51"/>
  <c r="O33" i="51"/>
  <c r="O32" i="51"/>
  <c r="O31" i="51"/>
  <c r="O30" i="51"/>
  <c r="O29" i="51"/>
  <c r="O28" i="51"/>
  <c r="O27" i="51"/>
  <c r="O26" i="51"/>
  <c r="O24" i="51"/>
  <c r="O23" i="51"/>
  <c r="O22" i="51"/>
  <c r="O21" i="51"/>
  <c r="N16" i="51"/>
  <c r="N15" i="51"/>
  <c r="N9" i="51"/>
  <c r="AP51" i="51"/>
  <c r="AP50" i="51"/>
  <c r="AP49" i="51"/>
  <c r="AP48" i="51"/>
  <c r="AP47" i="51"/>
  <c r="AP46" i="51"/>
  <c r="AP45" i="51"/>
  <c r="AP44" i="51"/>
  <c r="AP43" i="51"/>
  <c r="AP42" i="51"/>
  <c r="AP41" i="51"/>
  <c r="AP40" i="51"/>
  <c r="AP39" i="51"/>
  <c r="AP38" i="51"/>
  <c r="AP37" i="51"/>
  <c r="AP36" i="51"/>
  <c r="AP35" i="51"/>
  <c r="AP34" i="51"/>
  <c r="AP33" i="51"/>
  <c r="AP32" i="51"/>
  <c r="AP31" i="51"/>
  <c r="AP30" i="51"/>
  <c r="AP29" i="51"/>
  <c r="AP28" i="51"/>
  <c r="AP27" i="51"/>
  <c r="AP26" i="51"/>
  <c r="AP24" i="51"/>
  <c r="AP23" i="51"/>
  <c r="AP22" i="51"/>
  <c r="AP21" i="51"/>
  <c r="L51" i="51"/>
  <c r="L50" i="51"/>
  <c r="L49" i="51"/>
  <c r="L48" i="51"/>
  <c r="L47" i="51"/>
  <c r="L46" i="51"/>
  <c r="L45" i="51"/>
  <c r="L44" i="51"/>
  <c r="L43" i="51"/>
  <c r="L42" i="51"/>
  <c r="L41" i="51"/>
  <c r="L40" i="51"/>
  <c r="L39" i="51"/>
  <c r="L38" i="51"/>
  <c r="L37" i="51"/>
  <c r="L36" i="51"/>
  <c r="L35" i="51"/>
  <c r="L34" i="51"/>
  <c r="L33" i="51"/>
  <c r="L32" i="51"/>
  <c r="L31" i="51"/>
  <c r="L30" i="51"/>
  <c r="L25" i="51"/>
  <c r="L20" i="51"/>
  <c r="L19" i="51"/>
  <c r="L18" i="51"/>
  <c r="L17" i="51"/>
  <c r="L12" i="51"/>
  <c r="L11" i="51"/>
  <c r="L7" i="51"/>
  <c r="AJ57" i="51"/>
  <c r="AJ56" i="51"/>
  <c r="AJ54" i="102" s="1"/>
  <c r="AJ58" i="102" s="1"/>
  <c r="AI56" i="51"/>
  <c r="AI54" i="102" s="1"/>
  <c r="AI58" i="102" s="1"/>
  <c r="AH56" i="51"/>
  <c r="AH54" i="102" s="1"/>
  <c r="AH58" i="102" s="1"/>
  <c r="W56" i="51"/>
  <c r="W54" i="102" s="1"/>
  <c r="W58" i="102" s="1"/>
  <c r="M49" i="56" l="1"/>
  <c r="AQ13" i="102"/>
  <c r="P49" i="57"/>
  <c r="M49" i="57"/>
  <c r="T49" i="57"/>
  <c r="R54" i="52"/>
  <c r="AI54" i="54"/>
  <c r="AI54" i="52"/>
  <c r="AI54" i="53"/>
  <c r="AA56" i="54"/>
  <c r="AA56" i="52"/>
  <c r="AA58" i="51"/>
  <c r="Z54" i="53"/>
  <c r="Z58" i="53" s="1"/>
  <c r="Z49" i="54" s="1"/>
  <c r="Z54" i="54"/>
  <c r="Z54" i="52"/>
  <c r="R46" i="58"/>
  <c r="R46" i="57"/>
  <c r="R46" i="56"/>
  <c r="R46" i="55"/>
  <c r="AJ55" i="54"/>
  <c r="AJ55" i="53"/>
  <c r="Z47" i="58"/>
  <c r="Z47" i="57"/>
  <c r="Z47" i="56"/>
  <c r="Z47" i="55"/>
  <c r="U56" i="54"/>
  <c r="U56" i="53"/>
  <c r="U58" i="51"/>
  <c r="U56" i="52"/>
  <c r="U47" i="58"/>
  <c r="U47" i="57"/>
  <c r="U49" i="57" s="1"/>
  <c r="U47" i="55"/>
  <c r="U47" i="56"/>
  <c r="AH54" i="53"/>
  <c r="AH54" i="54"/>
  <c r="AH54" i="52"/>
  <c r="AI55" i="54"/>
  <c r="AI55" i="53"/>
  <c r="AI55" i="52"/>
  <c r="AI57" i="51"/>
  <c r="AJ56" i="54"/>
  <c r="AJ56" i="53"/>
  <c r="AJ58" i="51"/>
  <c r="V56" i="54"/>
  <c r="V56" i="53"/>
  <c r="V56" i="52"/>
  <c r="W54" i="54"/>
  <c r="W54" i="52"/>
  <c r="W54" i="53"/>
  <c r="W58" i="53" s="1"/>
  <c r="AH55" i="54"/>
  <c r="AH55" i="53"/>
  <c r="AH55" i="52"/>
  <c r="AH57" i="51"/>
  <c r="AI56" i="53"/>
  <c r="AI56" i="54"/>
  <c r="AI56" i="52"/>
  <c r="AI58" i="51"/>
  <c r="Z45" i="57"/>
  <c r="Z45" i="55"/>
  <c r="Z45" i="56"/>
  <c r="Z45" i="58"/>
  <c r="R47" i="58"/>
  <c r="R47" i="56"/>
  <c r="R47" i="57"/>
  <c r="R47" i="55"/>
  <c r="Z56" i="54"/>
  <c r="Z56" i="53"/>
  <c r="Z56" i="52"/>
  <c r="Z58" i="51"/>
  <c r="AH56" i="54"/>
  <c r="AH56" i="53"/>
  <c r="AH58" i="51"/>
  <c r="AH56" i="52"/>
  <c r="AJ54" i="53"/>
  <c r="AJ54" i="54"/>
  <c r="Z46" i="58"/>
  <c r="Z46" i="57"/>
  <c r="Z46" i="56"/>
  <c r="Z46" i="55"/>
  <c r="X54" i="53"/>
  <c r="X58" i="53" s="1"/>
  <c r="X54" i="52"/>
  <c r="X54" i="54"/>
  <c r="AC54" i="54"/>
  <c r="AC54" i="53"/>
  <c r="AC58" i="53" s="1"/>
  <c r="AC54" i="52"/>
  <c r="AJ55" i="52"/>
  <c r="V58" i="51"/>
  <c r="AJ56" i="52"/>
  <c r="AJ54" i="52"/>
  <c r="AA56" i="53"/>
  <c r="P54" i="53"/>
  <c r="P58" i="53" s="1"/>
  <c r="P54" i="52"/>
  <c r="P54" i="54"/>
  <c r="U54" i="54"/>
  <c r="U54" i="53"/>
  <c r="U58" i="53" s="1"/>
  <c r="U54" i="52"/>
  <c r="AF54" i="53"/>
  <c r="AF54" i="52"/>
  <c r="AF54" i="54"/>
  <c r="O54" i="54"/>
  <c r="O54" i="52"/>
  <c r="O54" i="53"/>
  <c r="O58" i="53" s="1"/>
  <c r="S54" i="54"/>
  <c r="S54" i="52"/>
  <c r="S54" i="53"/>
  <c r="AA54" i="54"/>
  <c r="AA54" i="52"/>
  <c r="AA54" i="53"/>
  <c r="AA58" i="53" s="1"/>
  <c r="AA51" i="54" s="1"/>
  <c r="M54" i="54"/>
  <c r="M54" i="53"/>
  <c r="M58" i="53" s="1"/>
  <c r="R54" i="53"/>
  <c r="R58" i="53" s="1"/>
  <c r="R54" i="54"/>
  <c r="AE54" i="54"/>
  <c r="AE54" i="52"/>
  <c r="AE54" i="53"/>
  <c r="AK54" i="54"/>
  <c r="AK54" i="53"/>
  <c r="AK58" i="53" s="1"/>
  <c r="AK54" i="52"/>
  <c r="L54" i="53"/>
  <c r="L58" i="53" s="1"/>
  <c r="L54" i="54"/>
  <c r="L54" i="52"/>
  <c r="Q54" i="54"/>
  <c r="Q54" i="53"/>
  <c r="Q58" i="53" s="1"/>
  <c r="Q54" i="52"/>
  <c r="M54" i="52"/>
  <c r="U49" i="56"/>
  <c r="P49" i="56"/>
  <c r="T49" i="56"/>
  <c r="Z51" i="54"/>
  <c r="Z47" i="54"/>
  <c r="Z42" i="54"/>
  <c r="Z46" i="54"/>
  <c r="Z43" i="54"/>
  <c r="Z48" i="54"/>
  <c r="Z41" i="54"/>
  <c r="Z38" i="54"/>
  <c r="Z34" i="54"/>
  <c r="Z32" i="54"/>
  <c r="Z30" i="54"/>
  <c r="Z28" i="54"/>
  <c r="Z24" i="54"/>
  <c r="Z22" i="54"/>
  <c r="Z50" i="54"/>
  <c r="Z39" i="54"/>
  <c r="Z36" i="54"/>
  <c r="Z44" i="54"/>
  <c r="Z37" i="54"/>
  <c r="Z33" i="54"/>
  <c r="Z40" i="54"/>
  <c r="Z35" i="54"/>
  <c r="Z29" i="54"/>
  <c r="Z27" i="54"/>
  <c r="Z20" i="54"/>
  <c r="Z18" i="54"/>
  <c r="Z16" i="54"/>
  <c r="Z14" i="54"/>
  <c r="Z12" i="54"/>
  <c r="Z10" i="54"/>
  <c r="Z31" i="54"/>
  <c r="Z25" i="54"/>
  <c r="Z19" i="54"/>
  <c r="Z13" i="54"/>
  <c r="Z5" i="54"/>
  <c r="Z45" i="54"/>
  <c r="Z23" i="54"/>
  <c r="Z15" i="54"/>
  <c r="Z11" i="54"/>
  <c r="Z9" i="54"/>
  <c r="Z8" i="54"/>
  <c r="Z6" i="54"/>
  <c r="Z17" i="54"/>
  <c r="AA22" i="54"/>
  <c r="AM57" i="52"/>
  <c r="AA24" i="54" l="1"/>
  <c r="AA16" i="54"/>
  <c r="AA36" i="54"/>
  <c r="AA14" i="54"/>
  <c r="AA33" i="54"/>
  <c r="AA12" i="54"/>
  <c r="AA45" i="54"/>
  <c r="AA9" i="54"/>
  <c r="AA47" i="54"/>
  <c r="AA10" i="54"/>
  <c r="AA11" i="54"/>
  <c r="AA41" i="54"/>
  <c r="AA5" i="54"/>
  <c r="AA34" i="54"/>
  <c r="AA32" i="54"/>
  <c r="AA27" i="54"/>
  <c r="AA38" i="54"/>
  <c r="AA39" i="54"/>
  <c r="AA17" i="54"/>
  <c r="AA46" i="54"/>
  <c r="AA19" i="54"/>
  <c r="AA48" i="54"/>
  <c r="Z7" i="54"/>
  <c r="Z21" i="54"/>
  <c r="Z26" i="54"/>
  <c r="AQ14" i="102"/>
  <c r="AA21" i="54"/>
  <c r="AA6" i="54"/>
  <c r="AA29" i="54"/>
  <c r="AA13" i="54"/>
  <c r="AA23" i="54"/>
  <c r="AA25" i="54"/>
  <c r="AA18" i="54"/>
  <c r="AA40" i="54"/>
  <c r="AA35" i="54"/>
  <c r="AA42" i="54"/>
  <c r="AA50" i="54"/>
  <c r="AA49" i="54"/>
  <c r="AA26" i="54"/>
  <c r="AA8" i="54"/>
  <c r="AA7" i="54"/>
  <c r="AA15" i="54"/>
  <c r="AA28" i="54"/>
  <c r="AA30" i="54"/>
  <c r="AA20" i="54"/>
  <c r="AA31" i="54"/>
  <c r="AA37" i="54"/>
  <c r="AA44" i="54"/>
  <c r="AA43" i="54"/>
  <c r="Z49" i="57"/>
  <c r="L45" i="58"/>
  <c r="L45" i="56"/>
  <c r="L45" i="55"/>
  <c r="L45" i="57"/>
  <c r="R45" i="58"/>
  <c r="R45" i="57"/>
  <c r="R49" i="57" s="1"/>
  <c r="R48" i="57" s="1"/>
  <c r="R45" i="55"/>
  <c r="R45" i="56"/>
  <c r="R49" i="56" s="1"/>
  <c r="R48" i="56" s="1"/>
  <c r="AH58" i="53"/>
  <c r="AI58" i="53"/>
  <c r="Z49" i="56"/>
  <c r="AJ58" i="53"/>
  <c r="N56" i="51"/>
  <c r="N54" i="102" s="1"/>
  <c r="N58" i="102" s="1"/>
  <c r="F45" i="5"/>
  <c r="AA47" i="103" s="1"/>
  <c r="E45" i="5"/>
  <c r="AA46" i="103" s="1"/>
  <c r="D45" i="5"/>
  <c r="AA45" i="103" s="1"/>
  <c r="F43" i="5"/>
  <c r="Y47" i="103" s="1"/>
  <c r="D43" i="5"/>
  <c r="Y45" i="103" s="1"/>
  <c r="F41" i="5"/>
  <c r="W47" i="103" s="1"/>
  <c r="E41" i="5"/>
  <c r="W46" i="103" s="1"/>
  <c r="D41" i="5"/>
  <c r="W45" i="103" s="1"/>
  <c r="E28" i="5"/>
  <c r="AL55" i="102" s="1"/>
  <c r="F23" i="5"/>
  <c r="AG56" i="102" s="1"/>
  <c r="D23" i="5"/>
  <c r="F20" i="5"/>
  <c r="AD56" i="102" s="1"/>
  <c r="E20" i="5"/>
  <c r="AD55" i="102" s="1"/>
  <c r="D20" i="5"/>
  <c r="E18" i="5"/>
  <c r="AB55" i="102" s="1"/>
  <c r="T39" i="4"/>
  <c r="S39" i="4"/>
  <c r="R39" i="4"/>
  <c r="Q39" i="4"/>
  <c r="P39" i="4"/>
  <c r="O39" i="4"/>
  <c r="N39" i="4"/>
  <c r="M39" i="4"/>
  <c r="L39" i="4"/>
  <c r="K39" i="4"/>
  <c r="J39" i="4"/>
  <c r="I39" i="4"/>
  <c r="T38" i="4"/>
  <c r="S38" i="4"/>
  <c r="R38" i="4"/>
  <c r="Q38" i="4"/>
  <c r="P38" i="4"/>
  <c r="O38" i="4"/>
  <c r="N38" i="4"/>
  <c r="M38" i="4"/>
  <c r="L38" i="4"/>
  <c r="K38" i="4"/>
  <c r="J38" i="4"/>
  <c r="I38" i="4"/>
  <c r="T37" i="4"/>
  <c r="S37" i="4"/>
  <c r="R37" i="4"/>
  <c r="Q37" i="4"/>
  <c r="P37" i="4"/>
  <c r="O37" i="4"/>
  <c r="N37" i="4"/>
  <c r="M37" i="4"/>
  <c r="L37" i="4"/>
  <c r="K37" i="4"/>
  <c r="J37" i="4"/>
  <c r="I37" i="4"/>
  <c r="T36" i="4"/>
  <c r="S36" i="4"/>
  <c r="R36" i="4"/>
  <c r="Q36" i="4"/>
  <c r="P36" i="4"/>
  <c r="O36" i="4"/>
  <c r="N36" i="4"/>
  <c r="M36" i="4"/>
  <c r="L36" i="4"/>
  <c r="K36" i="4"/>
  <c r="J36" i="4"/>
  <c r="I36" i="4"/>
  <c r="T35" i="4"/>
  <c r="S35" i="4"/>
  <c r="R35" i="4"/>
  <c r="Q35" i="4"/>
  <c r="P35" i="4"/>
  <c r="O35" i="4"/>
  <c r="N35" i="4"/>
  <c r="M35" i="4"/>
  <c r="L35" i="4"/>
  <c r="K35" i="4"/>
  <c r="J35" i="4"/>
  <c r="I35" i="4"/>
  <c r="T34" i="4"/>
  <c r="S34" i="4"/>
  <c r="R34" i="4"/>
  <c r="Q34" i="4"/>
  <c r="P34" i="4"/>
  <c r="O34" i="4"/>
  <c r="N34" i="4"/>
  <c r="M34" i="4"/>
  <c r="L34" i="4"/>
  <c r="K34" i="4"/>
  <c r="J34" i="4"/>
  <c r="I34" i="4"/>
  <c r="T33" i="4"/>
  <c r="S33" i="4"/>
  <c r="R33" i="4"/>
  <c r="Q33" i="4"/>
  <c r="P33" i="4"/>
  <c r="O33" i="4"/>
  <c r="N33" i="4"/>
  <c r="M33" i="4"/>
  <c r="L33" i="4"/>
  <c r="K33" i="4"/>
  <c r="J33" i="4"/>
  <c r="I33" i="4"/>
  <c r="T32" i="4"/>
  <c r="S32" i="4"/>
  <c r="R32" i="4"/>
  <c r="Q32" i="4"/>
  <c r="P32" i="4"/>
  <c r="O32" i="4"/>
  <c r="N32" i="4"/>
  <c r="M32" i="4"/>
  <c r="L32" i="4"/>
  <c r="K32" i="4"/>
  <c r="J32" i="4"/>
  <c r="I32" i="4"/>
  <c r="T31" i="4"/>
  <c r="S31" i="4"/>
  <c r="R31" i="4"/>
  <c r="Q31" i="4"/>
  <c r="P31" i="4"/>
  <c r="O31" i="4"/>
  <c r="N31" i="4"/>
  <c r="M31" i="4"/>
  <c r="L31" i="4"/>
  <c r="K31" i="4"/>
  <c r="J31" i="4"/>
  <c r="I31" i="4"/>
  <c r="T30" i="4"/>
  <c r="S30" i="4"/>
  <c r="R30" i="4"/>
  <c r="Q30" i="4"/>
  <c r="P30" i="4"/>
  <c r="O30" i="4"/>
  <c r="N30" i="4"/>
  <c r="M30" i="4"/>
  <c r="L30" i="4"/>
  <c r="K30" i="4"/>
  <c r="J30" i="4"/>
  <c r="I30" i="4"/>
  <c r="T29" i="4"/>
  <c r="S29" i="4"/>
  <c r="R29" i="4"/>
  <c r="Q29" i="4"/>
  <c r="P29" i="4"/>
  <c r="O29" i="4"/>
  <c r="N29" i="4"/>
  <c r="M29" i="4"/>
  <c r="L29" i="4"/>
  <c r="K29" i="4"/>
  <c r="J29" i="4"/>
  <c r="I29" i="4"/>
  <c r="T28" i="4"/>
  <c r="S28" i="4"/>
  <c r="R28" i="4"/>
  <c r="Q28" i="4"/>
  <c r="P28" i="4"/>
  <c r="O28" i="4"/>
  <c r="N28" i="4"/>
  <c r="M28" i="4"/>
  <c r="L28" i="4"/>
  <c r="K28" i="4"/>
  <c r="J28" i="4"/>
  <c r="I28" i="4"/>
  <c r="T27" i="4"/>
  <c r="S27" i="4"/>
  <c r="R27" i="4"/>
  <c r="Q27" i="4"/>
  <c r="P27" i="4"/>
  <c r="O27" i="4"/>
  <c r="N27" i="4"/>
  <c r="M27" i="4"/>
  <c r="L27" i="4"/>
  <c r="K27" i="4"/>
  <c r="J27" i="4"/>
  <c r="I27" i="4"/>
  <c r="T26" i="4"/>
  <c r="S26" i="4"/>
  <c r="R26" i="4"/>
  <c r="Q26" i="4"/>
  <c r="P26" i="4"/>
  <c r="O26" i="4"/>
  <c r="N26" i="4"/>
  <c r="M26" i="4"/>
  <c r="L26" i="4"/>
  <c r="K26" i="4"/>
  <c r="J26" i="4"/>
  <c r="I26" i="4"/>
  <c r="T25" i="4"/>
  <c r="S25" i="4"/>
  <c r="R25" i="4"/>
  <c r="Q25" i="4"/>
  <c r="P25" i="4"/>
  <c r="O25" i="4"/>
  <c r="N25" i="4"/>
  <c r="M25" i="4"/>
  <c r="L25" i="4"/>
  <c r="K25" i="4"/>
  <c r="J25" i="4"/>
  <c r="I25" i="4"/>
  <c r="T24" i="4"/>
  <c r="S24" i="4"/>
  <c r="R24" i="4"/>
  <c r="Q24" i="4"/>
  <c r="P24" i="4"/>
  <c r="O24" i="4"/>
  <c r="N24" i="4"/>
  <c r="M24" i="4"/>
  <c r="L24" i="4"/>
  <c r="K24" i="4"/>
  <c r="J24" i="4"/>
  <c r="I24" i="4"/>
  <c r="T23" i="4"/>
  <c r="S23" i="4"/>
  <c r="R23" i="4"/>
  <c r="Q23" i="4"/>
  <c r="P23" i="4"/>
  <c r="O23" i="4"/>
  <c r="N23" i="4"/>
  <c r="M23" i="4"/>
  <c r="L23" i="4"/>
  <c r="K23" i="4"/>
  <c r="J23" i="4"/>
  <c r="I23" i="4"/>
  <c r="T22" i="4"/>
  <c r="S22" i="4"/>
  <c r="R22" i="4"/>
  <c r="Q22" i="4"/>
  <c r="P22" i="4"/>
  <c r="O22" i="4"/>
  <c r="N22" i="4"/>
  <c r="M22" i="4"/>
  <c r="L22" i="4"/>
  <c r="K22" i="4"/>
  <c r="J22" i="4"/>
  <c r="I22" i="4"/>
  <c r="T21" i="4"/>
  <c r="S21" i="4"/>
  <c r="R21" i="4"/>
  <c r="Q21" i="4"/>
  <c r="P21" i="4"/>
  <c r="O21" i="4"/>
  <c r="N21" i="4"/>
  <c r="M21" i="4"/>
  <c r="L21" i="4"/>
  <c r="K21" i="4"/>
  <c r="J21" i="4"/>
  <c r="I21" i="4"/>
  <c r="T20" i="4"/>
  <c r="S20" i="4"/>
  <c r="R20" i="4"/>
  <c r="Q20" i="4"/>
  <c r="P20" i="4"/>
  <c r="O20" i="4"/>
  <c r="N20" i="4"/>
  <c r="M20" i="4"/>
  <c r="L20" i="4"/>
  <c r="K20" i="4"/>
  <c r="J20" i="4"/>
  <c r="I20" i="4"/>
  <c r="T19" i="4"/>
  <c r="S19" i="4"/>
  <c r="R19" i="4"/>
  <c r="Q19" i="4"/>
  <c r="P19" i="4"/>
  <c r="O19" i="4"/>
  <c r="N19" i="4"/>
  <c r="M19" i="4"/>
  <c r="L19" i="4"/>
  <c r="K19" i="4"/>
  <c r="J19" i="4"/>
  <c r="I19" i="4"/>
  <c r="T18" i="4"/>
  <c r="S18" i="4"/>
  <c r="R18" i="4"/>
  <c r="Q18" i="4"/>
  <c r="P18" i="4"/>
  <c r="O18" i="4"/>
  <c r="N18" i="4"/>
  <c r="M18" i="4"/>
  <c r="L18" i="4"/>
  <c r="K18" i="4"/>
  <c r="J18" i="4"/>
  <c r="I18" i="4"/>
  <c r="T17" i="4"/>
  <c r="S17" i="4"/>
  <c r="R17" i="4"/>
  <c r="Q17" i="4"/>
  <c r="P17" i="4"/>
  <c r="O17" i="4"/>
  <c r="N17" i="4"/>
  <c r="M17" i="4"/>
  <c r="L17" i="4"/>
  <c r="K17" i="4"/>
  <c r="J17" i="4"/>
  <c r="I17" i="4"/>
  <c r="T16" i="4"/>
  <c r="S16" i="4"/>
  <c r="R16" i="4"/>
  <c r="Q16" i="4"/>
  <c r="P16" i="4"/>
  <c r="O16" i="4"/>
  <c r="N16" i="4"/>
  <c r="M16" i="4"/>
  <c r="L16" i="4"/>
  <c r="K16" i="4"/>
  <c r="J16" i="4"/>
  <c r="I16" i="4"/>
  <c r="T15" i="4"/>
  <c r="S15" i="4"/>
  <c r="R15" i="4"/>
  <c r="Q15" i="4"/>
  <c r="P15" i="4"/>
  <c r="O15" i="4"/>
  <c r="N15" i="4"/>
  <c r="M15" i="4"/>
  <c r="L15" i="4"/>
  <c r="K15" i="4"/>
  <c r="J15" i="4"/>
  <c r="I15" i="4"/>
  <c r="T14" i="4"/>
  <c r="S14" i="4"/>
  <c r="R14" i="4"/>
  <c r="Q14" i="4"/>
  <c r="P14" i="4"/>
  <c r="O14" i="4"/>
  <c r="N14" i="4"/>
  <c r="M14" i="4"/>
  <c r="L14" i="4"/>
  <c r="K14" i="4"/>
  <c r="J14" i="4"/>
  <c r="I14" i="4"/>
  <c r="T13" i="4"/>
  <c r="S13" i="4"/>
  <c r="R13" i="4"/>
  <c r="Q13" i="4"/>
  <c r="P13" i="4"/>
  <c r="O13" i="4"/>
  <c r="N13" i="4"/>
  <c r="M13" i="4"/>
  <c r="L13" i="4"/>
  <c r="K13" i="4"/>
  <c r="J13" i="4"/>
  <c r="I13" i="4"/>
  <c r="T12" i="4"/>
  <c r="S12" i="4"/>
  <c r="R12" i="4"/>
  <c r="Q12" i="4"/>
  <c r="P12" i="4"/>
  <c r="O12" i="4"/>
  <c r="N12" i="4"/>
  <c r="M12" i="4"/>
  <c r="L12" i="4"/>
  <c r="K12" i="4"/>
  <c r="J12" i="4"/>
  <c r="I12" i="4"/>
  <c r="T11" i="4"/>
  <c r="S11" i="4"/>
  <c r="R11" i="4"/>
  <c r="Q11" i="4"/>
  <c r="P11" i="4"/>
  <c r="O11" i="4"/>
  <c r="N11" i="4"/>
  <c r="M11" i="4"/>
  <c r="L11" i="4"/>
  <c r="K11" i="4"/>
  <c r="J11" i="4"/>
  <c r="I11" i="4"/>
  <c r="T10" i="4"/>
  <c r="S10" i="4"/>
  <c r="R10" i="4"/>
  <c r="Q10" i="4"/>
  <c r="P10" i="4"/>
  <c r="O10" i="4"/>
  <c r="N10" i="4"/>
  <c r="M10" i="4"/>
  <c r="L10" i="4"/>
  <c r="K10" i="4"/>
  <c r="J10" i="4"/>
  <c r="I10" i="4"/>
  <c r="T9" i="4"/>
  <c r="S9" i="4"/>
  <c r="R9" i="4"/>
  <c r="Q9" i="4"/>
  <c r="P9" i="4"/>
  <c r="O9" i="4"/>
  <c r="N9" i="4"/>
  <c r="M9" i="4"/>
  <c r="L9" i="4"/>
  <c r="K9" i="4"/>
  <c r="J9" i="4"/>
  <c r="I9" i="4"/>
  <c r="T8" i="4"/>
  <c r="S8" i="4"/>
  <c r="R8" i="4"/>
  <c r="Q8" i="4"/>
  <c r="P8" i="4"/>
  <c r="O8" i="4"/>
  <c r="N8" i="4"/>
  <c r="M8" i="4"/>
  <c r="L8" i="4"/>
  <c r="K8" i="4"/>
  <c r="J8" i="4"/>
  <c r="I8" i="4"/>
  <c r="T7" i="4"/>
  <c r="S7" i="4"/>
  <c r="R7" i="4"/>
  <c r="Q7" i="4"/>
  <c r="P7" i="4"/>
  <c r="O7" i="4"/>
  <c r="N7" i="4"/>
  <c r="M7" i="4"/>
  <c r="L7" i="4"/>
  <c r="K7" i="4"/>
  <c r="J7" i="4"/>
  <c r="I7" i="4"/>
  <c r="T6" i="4"/>
  <c r="S6" i="4"/>
  <c r="R6" i="4"/>
  <c r="Q6" i="4"/>
  <c r="P6" i="4"/>
  <c r="O6" i="4"/>
  <c r="N6" i="4"/>
  <c r="M6" i="4"/>
  <c r="L6" i="4"/>
  <c r="K6" i="4"/>
  <c r="J6" i="4"/>
  <c r="I6" i="4"/>
  <c r="T5" i="4"/>
  <c r="S5" i="4"/>
  <c r="R5" i="4"/>
  <c r="Q5" i="4"/>
  <c r="P5" i="4"/>
  <c r="O5" i="4"/>
  <c r="N5" i="4"/>
  <c r="M5" i="4"/>
  <c r="L5" i="4"/>
  <c r="K5" i="4"/>
  <c r="J5" i="4"/>
  <c r="I5" i="4"/>
  <c r="T4" i="4"/>
  <c r="S4" i="4"/>
  <c r="R4" i="4"/>
  <c r="Q4" i="4"/>
  <c r="P4" i="4"/>
  <c r="O4" i="4"/>
  <c r="N4" i="4"/>
  <c r="M4" i="4"/>
  <c r="L4" i="4"/>
  <c r="K4" i="4"/>
  <c r="J4" i="4"/>
  <c r="I4" i="4"/>
  <c r="T3" i="4"/>
  <c r="S3" i="4"/>
  <c r="R3" i="4"/>
  <c r="Q3" i="4"/>
  <c r="P3" i="4"/>
  <c r="O3" i="4"/>
  <c r="N3" i="4"/>
  <c r="M3" i="4"/>
  <c r="L3" i="4"/>
  <c r="K3" i="4"/>
  <c r="J3" i="4"/>
  <c r="I3" i="4"/>
  <c r="T2" i="4"/>
  <c r="S2" i="4"/>
  <c r="R2" i="4"/>
  <c r="Q2" i="4"/>
  <c r="P2" i="4"/>
  <c r="O2" i="4"/>
  <c r="N2" i="4"/>
  <c r="M2" i="4"/>
  <c r="L2" i="4"/>
  <c r="K2" i="4"/>
  <c r="J2" i="4"/>
  <c r="I2" i="4"/>
  <c r="T48" i="3"/>
  <c r="S48" i="3"/>
  <c r="R48" i="3"/>
  <c r="Q48" i="3"/>
  <c r="P48" i="3"/>
  <c r="O48" i="3"/>
  <c r="N48" i="3"/>
  <c r="M48" i="3"/>
  <c r="L48" i="3"/>
  <c r="K48" i="3"/>
  <c r="J48" i="3"/>
  <c r="I48" i="3"/>
  <c r="T47" i="3"/>
  <c r="S47" i="3"/>
  <c r="R47" i="3"/>
  <c r="Q47" i="3"/>
  <c r="P47" i="3"/>
  <c r="O47" i="3"/>
  <c r="N47" i="3"/>
  <c r="M47" i="3"/>
  <c r="L47" i="3"/>
  <c r="K47" i="3"/>
  <c r="J47" i="3"/>
  <c r="I47" i="3"/>
  <c r="T46" i="3"/>
  <c r="S46" i="3"/>
  <c r="R46" i="3"/>
  <c r="Q46" i="3"/>
  <c r="P46" i="3"/>
  <c r="O46" i="3"/>
  <c r="N46" i="3"/>
  <c r="M46" i="3"/>
  <c r="L46" i="3"/>
  <c r="K46" i="3"/>
  <c r="J46" i="3"/>
  <c r="I46" i="3"/>
  <c r="T45" i="3"/>
  <c r="S45" i="3"/>
  <c r="R45" i="3"/>
  <c r="Q45" i="3"/>
  <c r="P45" i="3"/>
  <c r="O45" i="3"/>
  <c r="N45" i="3"/>
  <c r="M45" i="3"/>
  <c r="L45" i="3"/>
  <c r="K45" i="3"/>
  <c r="J45" i="3"/>
  <c r="I45" i="3"/>
  <c r="T44" i="3"/>
  <c r="S44" i="3"/>
  <c r="R44" i="3"/>
  <c r="Q44" i="3"/>
  <c r="P44" i="3"/>
  <c r="O44" i="3"/>
  <c r="N44" i="3"/>
  <c r="M44" i="3"/>
  <c r="L44" i="3"/>
  <c r="K44" i="3"/>
  <c r="J44" i="3"/>
  <c r="I44" i="3"/>
  <c r="T43" i="3"/>
  <c r="S43" i="3"/>
  <c r="R43" i="3"/>
  <c r="Q43" i="3"/>
  <c r="P43" i="3"/>
  <c r="O43" i="3"/>
  <c r="N43" i="3"/>
  <c r="M43" i="3"/>
  <c r="L43" i="3"/>
  <c r="K43" i="3"/>
  <c r="J43" i="3"/>
  <c r="I43" i="3"/>
  <c r="T42" i="3"/>
  <c r="S42" i="3"/>
  <c r="R42" i="3"/>
  <c r="Q42" i="3"/>
  <c r="P42" i="3"/>
  <c r="O42" i="3"/>
  <c r="N42" i="3"/>
  <c r="M42" i="3"/>
  <c r="L42" i="3"/>
  <c r="K42" i="3"/>
  <c r="J42" i="3"/>
  <c r="I42" i="3"/>
  <c r="T41" i="3"/>
  <c r="S41" i="3"/>
  <c r="R41" i="3"/>
  <c r="Q41" i="3"/>
  <c r="P41" i="3"/>
  <c r="O41" i="3"/>
  <c r="N41" i="3"/>
  <c r="M41" i="3"/>
  <c r="L41" i="3"/>
  <c r="K41" i="3"/>
  <c r="J41" i="3"/>
  <c r="I41" i="3"/>
  <c r="T40" i="3"/>
  <c r="S40" i="3"/>
  <c r="R40" i="3"/>
  <c r="Q40" i="3"/>
  <c r="P40" i="3"/>
  <c r="O40" i="3"/>
  <c r="N40" i="3"/>
  <c r="M40" i="3"/>
  <c r="L40" i="3"/>
  <c r="K40" i="3"/>
  <c r="J40" i="3"/>
  <c r="I40" i="3"/>
  <c r="T39" i="3"/>
  <c r="S39" i="3"/>
  <c r="R39" i="3"/>
  <c r="Q39" i="3"/>
  <c r="P39" i="3"/>
  <c r="O39" i="3"/>
  <c r="N39" i="3"/>
  <c r="M39" i="3"/>
  <c r="L39" i="3"/>
  <c r="K39" i="3"/>
  <c r="J39" i="3"/>
  <c r="I39" i="3"/>
  <c r="T38" i="3"/>
  <c r="S38" i="3"/>
  <c r="R38" i="3"/>
  <c r="Q38" i="3"/>
  <c r="P38" i="3"/>
  <c r="O38" i="3"/>
  <c r="N38" i="3"/>
  <c r="M38" i="3"/>
  <c r="L38" i="3"/>
  <c r="K38" i="3"/>
  <c r="J38" i="3"/>
  <c r="I38" i="3"/>
  <c r="T37" i="3"/>
  <c r="S37" i="3"/>
  <c r="R37" i="3"/>
  <c r="Q37" i="3"/>
  <c r="P37" i="3"/>
  <c r="O37" i="3"/>
  <c r="N37" i="3"/>
  <c r="M37" i="3"/>
  <c r="L37" i="3"/>
  <c r="K37" i="3"/>
  <c r="J37" i="3"/>
  <c r="I37" i="3"/>
  <c r="T36" i="3"/>
  <c r="S36" i="3"/>
  <c r="R36" i="3"/>
  <c r="Q36" i="3"/>
  <c r="P36" i="3"/>
  <c r="O36" i="3"/>
  <c r="N36" i="3"/>
  <c r="M36" i="3"/>
  <c r="L36" i="3"/>
  <c r="K36" i="3"/>
  <c r="J36" i="3"/>
  <c r="I36" i="3"/>
  <c r="T35" i="3"/>
  <c r="S35" i="3"/>
  <c r="R35" i="3"/>
  <c r="Q35" i="3"/>
  <c r="P35" i="3"/>
  <c r="O35" i="3"/>
  <c r="N35" i="3"/>
  <c r="M35" i="3"/>
  <c r="L35" i="3"/>
  <c r="K35" i="3"/>
  <c r="J35" i="3"/>
  <c r="I35" i="3"/>
  <c r="T34" i="3"/>
  <c r="S34" i="3"/>
  <c r="R34" i="3"/>
  <c r="Q34" i="3"/>
  <c r="P34" i="3"/>
  <c r="O34" i="3"/>
  <c r="N34" i="3"/>
  <c r="M34" i="3"/>
  <c r="L34" i="3"/>
  <c r="K34" i="3"/>
  <c r="J34" i="3"/>
  <c r="I34" i="3"/>
  <c r="T33" i="3"/>
  <c r="S33" i="3"/>
  <c r="R33" i="3"/>
  <c r="Q33" i="3"/>
  <c r="P33" i="3"/>
  <c r="O33" i="3"/>
  <c r="N33" i="3"/>
  <c r="M33" i="3"/>
  <c r="L33" i="3"/>
  <c r="K33" i="3"/>
  <c r="J33" i="3"/>
  <c r="I33" i="3"/>
  <c r="T32" i="3"/>
  <c r="S32" i="3"/>
  <c r="R32" i="3"/>
  <c r="Q32" i="3"/>
  <c r="P32" i="3"/>
  <c r="O32" i="3"/>
  <c r="N32" i="3"/>
  <c r="M32" i="3"/>
  <c r="L32" i="3"/>
  <c r="K32" i="3"/>
  <c r="J32" i="3"/>
  <c r="I32" i="3"/>
  <c r="T31" i="3"/>
  <c r="S31" i="3"/>
  <c r="R31" i="3"/>
  <c r="Q31" i="3"/>
  <c r="P31" i="3"/>
  <c r="O31" i="3"/>
  <c r="N31" i="3"/>
  <c r="M31" i="3"/>
  <c r="L31" i="3"/>
  <c r="K31" i="3"/>
  <c r="J31" i="3"/>
  <c r="I31" i="3"/>
  <c r="T30" i="3"/>
  <c r="S30" i="3"/>
  <c r="R30" i="3"/>
  <c r="Q30" i="3"/>
  <c r="P30" i="3"/>
  <c r="O30" i="3"/>
  <c r="N30" i="3"/>
  <c r="M30" i="3"/>
  <c r="L30" i="3"/>
  <c r="K30" i="3"/>
  <c r="J30" i="3"/>
  <c r="I30" i="3"/>
  <c r="T29" i="3"/>
  <c r="S29" i="3"/>
  <c r="R29" i="3"/>
  <c r="Q29" i="3"/>
  <c r="P29" i="3"/>
  <c r="O29" i="3"/>
  <c r="N29" i="3"/>
  <c r="M29" i="3"/>
  <c r="L29" i="3"/>
  <c r="K29" i="3"/>
  <c r="J29" i="3"/>
  <c r="I29" i="3"/>
  <c r="T28" i="3"/>
  <c r="S28" i="3"/>
  <c r="R28" i="3"/>
  <c r="Q28" i="3"/>
  <c r="P28" i="3"/>
  <c r="O28" i="3"/>
  <c r="N28" i="3"/>
  <c r="M28" i="3"/>
  <c r="L28" i="3"/>
  <c r="K28" i="3"/>
  <c r="J28" i="3"/>
  <c r="I28" i="3"/>
  <c r="T27" i="3"/>
  <c r="S27" i="3"/>
  <c r="R27" i="3"/>
  <c r="Q27" i="3"/>
  <c r="P27" i="3"/>
  <c r="O27" i="3"/>
  <c r="N27" i="3"/>
  <c r="M27" i="3"/>
  <c r="L27" i="3"/>
  <c r="K27" i="3"/>
  <c r="J27" i="3"/>
  <c r="I27" i="3"/>
  <c r="T26" i="3"/>
  <c r="S26" i="3"/>
  <c r="R26" i="3"/>
  <c r="Q26" i="3"/>
  <c r="P26" i="3"/>
  <c r="O26" i="3"/>
  <c r="N26" i="3"/>
  <c r="M26" i="3"/>
  <c r="L26" i="3"/>
  <c r="K26" i="3"/>
  <c r="J26" i="3"/>
  <c r="I26" i="3"/>
  <c r="T25" i="3"/>
  <c r="S25" i="3"/>
  <c r="R25" i="3"/>
  <c r="Q25" i="3"/>
  <c r="P25" i="3"/>
  <c r="O25" i="3"/>
  <c r="N25" i="3"/>
  <c r="M25" i="3"/>
  <c r="L25" i="3"/>
  <c r="K25" i="3"/>
  <c r="J25" i="3"/>
  <c r="I25" i="3"/>
  <c r="T24" i="3"/>
  <c r="S24" i="3"/>
  <c r="R24" i="3"/>
  <c r="Q24" i="3"/>
  <c r="P24" i="3"/>
  <c r="O24" i="3"/>
  <c r="N24" i="3"/>
  <c r="M24" i="3"/>
  <c r="L24" i="3"/>
  <c r="K24" i="3"/>
  <c r="J24" i="3"/>
  <c r="I24" i="3"/>
  <c r="T23" i="3"/>
  <c r="S23" i="3"/>
  <c r="R23" i="3"/>
  <c r="Q23" i="3"/>
  <c r="P23" i="3"/>
  <c r="O23" i="3"/>
  <c r="N23" i="3"/>
  <c r="M23" i="3"/>
  <c r="L23" i="3"/>
  <c r="K23" i="3"/>
  <c r="J23" i="3"/>
  <c r="I23" i="3"/>
  <c r="T22" i="3"/>
  <c r="S22" i="3"/>
  <c r="R22" i="3"/>
  <c r="Q22" i="3"/>
  <c r="P22" i="3"/>
  <c r="O22" i="3"/>
  <c r="N22" i="3"/>
  <c r="M22" i="3"/>
  <c r="L22" i="3"/>
  <c r="K22" i="3"/>
  <c r="J22" i="3"/>
  <c r="I22" i="3"/>
  <c r="T21" i="3"/>
  <c r="S21" i="3"/>
  <c r="R21" i="3"/>
  <c r="Q21" i="3"/>
  <c r="P21" i="3"/>
  <c r="O21" i="3"/>
  <c r="N21" i="3"/>
  <c r="M21" i="3"/>
  <c r="L21" i="3"/>
  <c r="K21" i="3"/>
  <c r="J21" i="3"/>
  <c r="I21" i="3"/>
  <c r="T20" i="3"/>
  <c r="S20" i="3"/>
  <c r="R20" i="3"/>
  <c r="Q20" i="3"/>
  <c r="P20" i="3"/>
  <c r="O20" i="3"/>
  <c r="N20" i="3"/>
  <c r="M20" i="3"/>
  <c r="L20" i="3"/>
  <c r="K20" i="3"/>
  <c r="J20" i="3"/>
  <c r="I20" i="3"/>
  <c r="T19" i="3"/>
  <c r="S19" i="3"/>
  <c r="R19" i="3"/>
  <c r="Q19" i="3"/>
  <c r="P19" i="3"/>
  <c r="O19" i="3"/>
  <c r="N19" i="3"/>
  <c r="M19" i="3"/>
  <c r="L19" i="3"/>
  <c r="K19" i="3"/>
  <c r="J19" i="3"/>
  <c r="I19" i="3"/>
  <c r="T18" i="3"/>
  <c r="S18" i="3"/>
  <c r="R18" i="3"/>
  <c r="Q18" i="3"/>
  <c r="P18" i="3"/>
  <c r="O18" i="3"/>
  <c r="N18" i="3"/>
  <c r="M18" i="3"/>
  <c r="L18" i="3"/>
  <c r="K18" i="3"/>
  <c r="J18" i="3"/>
  <c r="I18" i="3"/>
  <c r="T17" i="3"/>
  <c r="S17" i="3"/>
  <c r="R17" i="3"/>
  <c r="Q17" i="3"/>
  <c r="P17" i="3"/>
  <c r="O17" i="3"/>
  <c r="N17" i="3"/>
  <c r="M17" i="3"/>
  <c r="L17" i="3"/>
  <c r="K17" i="3"/>
  <c r="J17" i="3"/>
  <c r="I17" i="3"/>
  <c r="T16" i="3"/>
  <c r="S16" i="3"/>
  <c r="R16" i="3"/>
  <c r="Q16" i="3"/>
  <c r="P16" i="3"/>
  <c r="O16" i="3"/>
  <c r="N16" i="3"/>
  <c r="M16" i="3"/>
  <c r="L16" i="3"/>
  <c r="K16" i="3"/>
  <c r="J16" i="3"/>
  <c r="I16" i="3"/>
  <c r="T15" i="3"/>
  <c r="S15" i="3"/>
  <c r="R15" i="3"/>
  <c r="Q15" i="3"/>
  <c r="P15" i="3"/>
  <c r="O15" i="3"/>
  <c r="N15" i="3"/>
  <c r="M15" i="3"/>
  <c r="L15" i="3"/>
  <c r="K15" i="3"/>
  <c r="J15" i="3"/>
  <c r="I15" i="3"/>
  <c r="T14" i="3"/>
  <c r="S14" i="3"/>
  <c r="R14" i="3"/>
  <c r="Q14" i="3"/>
  <c r="P14" i="3"/>
  <c r="O14" i="3"/>
  <c r="N14" i="3"/>
  <c r="M14" i="3"/>
  <c r="L14" i="3"/>
  <c r="K14" i="3"/>
  <c r="J14" i="3"/>
  <c r="I14" i="3"/>
  <c r="T13" i="3"/>
  <c r="S13" i="3"/>
  <c r="R13" i="3"/>
  <c r="Q13" i="3"/>
  <c r="P13" i="3"/>
  <c r="O13" i="3"/>
  <c r="N13" i="3"/>
  <c r="M13" i="3"/>
  <c r="L13" i="3"/>
  <c r="K13" i="3"/>
  <c r="J13" i="3"/>
  <c r="I13" i="3"/>
  <c r="T12" i="3"/>
  <c r="S12" i="3"/>
  <c r="R12" i="3"/>
  <c r="Q12" i="3"/>
  <c r="P12" i="3"/>
  <c r="O12" i="3"/>
  <c r="N12" i="3"/>
  <c r="M12" i="3"/>
  <c r="L12" i="3"/>
  <c r="K12" i="3"/>
  <c r="J12" i="3"/>
  <c r="I12" i="3"/>
  <c r="T11" i="3"/>
  <c r="S11" i="3"/>
  <c r="R11" i="3"/>
  <c r="Q11" i="3"/>
  <c r="P11" i="3"/>
  <c r="O11" i="3"/>
  <c r="N11" i="3"/>
  <c r="M11" i="3"/>
  <c r="L11" i="3"/>
  <c r="K11" i="3"/>
  <c r="J11" i="3"/>
  <c r="I11" i="3"/>
  <c r="T10" i="3"/>
  <c r="S10" i="3"/>
  <c r="R10" i="3"/>
  <c r="Q10" i="3"/>
  <c r="P10" i="3"/>
  <c r="O10" i="3"/>
  <c r="N10" i="3"/>
  <c r="M10" i="3"/>
  <c r="L10" i="3"/>
  <c r="K10" i="3"/>
  <c r="J10" i="3"/>
  <c r="I10" i="3"/>
  <c r="T9" i="3"/>
  <c r="S9" i="3"/>
  <c r="R9" i="3"/>
  <c r="Q9" i="3"/>
  <c r="P9" i="3"/>
  <c r="O9" i="3"/>
  <c r="N9" i="3"/>
  <c r="M9" i="3"/>
  <c r="L9" i="3"/>
  <c r="K9" i="3"/>
  <c r="J9" i="3"/>
  <c r="I9" i="3"/>
  <c r="T8" i="3"/>
  <c r="S8" i="3"/>
  <c r="R8" i="3"/>
  <c r="Q8" i="3"/>
  <c r="P8" i="3"/>
  <c r="O8" i="3"/>
  <c r="N8" i="3"/>
  <c r="M8" i="3"/>
  <c r="L8" i="3"/>
  <c r="K8" i="3"/>
  <c r="J8" i="3"/>
  <c r="I8" i="3"/>
  <c r="T7" i="3"/>
  <c r="S7" i="3"/>
  <c r="R7" i="3"/>
  <c r="Q7" i="3"/>
  <c r="P7" i="3"/>
  <c r="O7" i="3"/>
  <c r="N7" i="3"/>
  <c r="M7" i="3"/>
  <c r="L7" i="3"/>
  <c r="K7" i="3"/>
  <c r="J7" i="3"/>
  <c r="I7" i="3"/>
  <c r="T6" i="3"/>
  <c r="S6" i="3"/>
  <c r="R6" i="3"/>
  <c r="Q6" i="3"/>
  <c r="P6" i="3"/>
  <c r="O6" i="3"/>
  <c r="N6" i="3"/>
  <c r="M6" i="3"/>
  <c r="L6" i="3"/>
  <c r="K6" i="3"/>
  <c r="J6" i="3"/>
  <c r="I6" i="3"/>
  <c r="T5" i="3"/>
  <c r="S5" i="3"/>
  <c r="R5" i="3"/>
  <c r="Q5" i="3"/>
  <c r="P5" i="3"/>
  <c r="O5" i="3"/>
  <c r="N5" i="3"/>
  <c r="M5" i="3"/>
  <c r="L5" i="3"/>
  <c r="K5" i="3"/>
  <c r="J5" i="3"/>
  <c r="I5" i="3"/>
  <c r="T4" i="3"/>
  <c r="S4" i="3"/>
  <c r="R4" i="3"/>
  <c r="Q4" i="3"/>
  <c r="P4" i="3"/>
  <c r="O4" i="3"/>
  <c r="N4" i="3"/>
  <c r="M4" i="3"/>
  <c r="L4" i="3"/>
  <c r="K4" i="3"/>
  <c r="J4" i="3"/>
  <c r="I4" i="3"/>
  <c r="T3" i="3"/>
  <c r="S3" i="3"/>
  <c r="R3" i="3"/>
  <c r="Q3" i="3"/>
  <c r="P3" i="3"/>
  <c r="O3" i="3"/>
  <c r="N3" i="3"/>
  <c r="M3" i="3"/>
  <c r="L3" i="3"/>
  <c r="K3" i="3"/>
  <c r="J3" i="3"/>
  <c r="I3" i="3"/>
  <c r="T2" i="3"/>
  <c r="S2" i="3"/>
  <c r="R2" i="3"/>
  <c r="Q2" i="3"/>
  <c r="P2" i="3"/>
  <c r="O2" i="3"/>
  <c r="N2" i="3"/>
  <c r="M2" i="3"/>
  <c r="L2" i="3"/>
  <c r="K2" i="3"/>
  <c r="J2" i="3"/>
  <c r="I2" i="3"/>
  <c r="H1" i="2"/>
  <c r="U2" i="3" l="1"/>
  <c r="U6" i="3"/>
  <c r="U12" i="3"/>
  <c r="U19" i="3"/>
  <c r="I22" i="54" s="1"/>
  <c r="U24" i="3"/>
  <c r="I27" i="59" s="1"/>
  <c r="U26" i="3"/>
  <c r="U27" i="3"/>
  <c r="U28" i="3"/>
  <c r="I31" i="54" s="1"/>
  <c r="U29" i="3"/>
  <c r="U30" i="3"/>
  <c r="U31" i="3"/>
  <c r="I34" i="53" s="1"/>
  <c r="U32" i="3"/>
  <c r="I35" i="52" s="1"/>
  <c r="U33" i="3"/>
  <c r="U34" i="3"/>
  <c r="U35" i="3"/>
  <c r="U36" i="3"/>
  <c r="U37" i="3"/>
  <c r="U38" i="3"/>
  <c r="U39" i="3"/>
  <c r="I42" i="59" s="1"/>
  <c r="U40" i="3"/>
  <c r="I43" i="53" s="1"/>
  <c r="U41" i="3"/>
  <c r="U42" i="3"/>
  <c r="U43" i="3"/>
  <c r="I46" i="54" s="1"/>
  <c r="U44" i="3"/>
  <c r="I47" i="54" s="1"/>
  <c r="U45" i="3"/>
  <c r="U46" i="3"/>
  <c r="U47" i="3"/>
  <c r="U48" i="3"/>
  <c r="U2" i="4"/>
  <c r="U3" i="4"/>
  <c r="U4" i="4"/>
  <c r="I7" i="57" s="1"/>
  <c r="U5" i="4"/>
  <c r="I8" i="57" s="1"/>
  <c r="U6" i="4"/>
  <c r="U7" i="4"/>
  <c r="I10" i="55" s="1"/>
  <c r="U8" i="4"/>
  <c r="I11" i="55" s="1"/>
  <c r="U9" i="4"/>
  <c r="U10" i="4"/>
  <c r="U11" i="4"/>
  <c r="U12" i="4"/>
  <c r="U13" i="4"/>
  <c r="U14" i="4"/>
  <c r="U15" i="4"/>
  <c r="I18" i="56" s="1"/>
  <c r="U16" i="4"/>
  <c r="I19" i="58" s="1"/>
  <c r="U17" i="4"/>
  <c r="I20" i="56" s="1"/>
  <c r="U18" i="4"/>
  <c r="U19" i="4"/>
  <c r="I22" i="55" s="1"/>
  <c r="U20" i="4"/>
  <c r="I23" i="55" s="1"/>
  <c r="U21" i="4"/>
  <c r="U22" i="4"/>
  <c r="U23" i="4"/>
  <c r="U24" i="4"/>
  <c r="U25" i="4"/>
  <c r="U26" i="4"/>
  <c r="U27" i="4"/>
  <c r="U28" i="4"/>
  <c r="U29" i="4"/>
  <c r="I32" i="55" s="1"/>
  <c r="U30" i="4"/>
  <c r="I33" i="56" s="1"/>
  <c r="U31" i="4"/>
  <c r="I34" i="55" s="1"/>
  <c r="U32" i="4"/>
  <c r="U33" i="4"/>
  <c r="I36" i="57" s="1"/>
  <c r="U34" i="4"/>
  <c r="U35" i="4"/>
  <c r="U36" i="4"/>
  <c r="U37" i="4"/>
  <c r="U38" i="4"/>
  <c r="I41" i="55" s="1"/>
  <c r="U39" i="4"/>
  <c r="U5" i="3"/>
  <c r="I8" i="51" s="1"/>
  <c r="U9" i="3"/>
  <c r="I12" i="59" s="1"/>
  <c r="U14" i="3"/>
  <c r="U16" i="3"/>
  <c r="I19" i="53" s="1"/>
  <c r="U21" i="3"/>
  <c r="I24" i="54" s="1"/>
  <c r="U3" i="3"/>
  <c r="I6" i="59" s="1"/>
  <c r="U4" i="3"/>
  <c r="U7" i="3"/>
  <c r="U8" i="3"/>
  <c r="U10" i="3"/>
  <c r="U11" i="3"/>
  <c r="U13" i="3"/>
  <c r="I16" i="54" s="1"/>
  <c r="U15" i="3"/>
  <c r="U17" i="3"/>
  <c r="I20" i="52" s="1"/>
  <c r="U18" i="3"/>
  <c r="U20" i="3"/>
  <c r="I23" i="54" s="1"/>
  <c r="U22" i="3"/>
  <c r="U23" i="3"/>
  <c r="U25" i="3"/>
  <c r="I28" i="53" s="1"/>
  <c r="I14" i="51"/>
  <c r="I17" i="52"/>
  <c r="I22" i="51"/>
  <c r="I22" i="53"/>
  <c r="I22" i="59"/>
  <c r="I28" i="51"/>
  <c r="I28" i="59"/>
  <c r="I28" i="54"/>
  <c r="I28" i="52"/>
  <c r="I33" i="51"/>
  <c r="I41" i="54"/>
  <c r="I41" i="52"/>
  <c r="I41" i="51"/>
  <c r="I41" i="53"/>
  <c r="I43" i="52"/>
  <c r="I51" i="53"/>
  <c r="I51" i="59"/>
  <c r="I51" i="54"/>
  <c r="I51" i="51"/>
  <c r="I7" i="55"/>
  <c r="I7" i="56"/>
  <c r="I7" i="58"/>
  <c r="I13" i="55"/>
  <c r="I13" i="58"/>
  <c r="I13" i="57"/>
  <c r="I13" i="56"/>
  <c r="I15" i="55"/>
  <c r="I15" i="56"/>
  <c r="I15" i="58"/>
  <c r="I15" i="57"/>
  <c r="I19" i="55"/>
  <c r="I27" i="55"/>
  <c r="I27" i="57"/>
  <c r="I27" i="56"/>
  <c r="I27" i="58"/>
  <c r="I13" i="54"/>
  <c r="I13" i="59"/>
  <c r="I13" i="52"/>
  <c r="I13" i="51"/>
  <c r="I20" i="59"/>
  <c r="I20" i="53"/>
  <c r="I30" i="52"/>
  <c r="I30" i="59"/>
  <c r="I30" i="53"/>
  <c r="I30" i="54"/>
  <c r="I30" i="51"/>
  <c r="I34" i="52"/>
  <c r="I34" i="59"/>
  <c r="I42" i="54"/>
  <c r="I42" i="51"/>
  <c r="I42" i="52"/>
  <c r="I50" i="51"/>
  <c r="I50" i="52"/>
  <c r="I50" i="59"/>
  <c r="I50" i="53"/>
  <c r="I50" i="54"/>
  <c r="I10" i="56"/>
  <c r="I18" i="58"/>
  <c r="I18" i="57"/>
  <c r="I18" i="55"/>
  <c r="I21" i="56"/>
  <c r="I21" i="58"/>
  <c r="I21" i="57"/>
  <c r="I23" i="58"/>
  <c r="I26" i="56"/>
  <c r="I26" i="55"/>
  <c r="I26" i="58"/>
  <c r="I26" i="57"/>
  <c r="I28" i="58"/>
  <c r="I28" i="57"/>
  <c r="I28" i="56"/>
  <c r="I28" i="55"/>
  <c r="I29" i="56"/>
  <c r="I29" i="55"/>
  <c r="I29" i="58"/>
  <c r="I32" i="58"/>
  <c r="I32" i="57"/>
  <c r="I32" i="56"/>
  <c r="I33" i="58"/>
  <c r="I33" i="57"/>
  <c r="I34" i="56"/>
  <c r="I34" i="58"/>
  <c r="I35" i="58"/>
  <c r="I37" i="55"/>
  <c r="I37" i="58"/>
  <c r="I37" i="57"/>
  <c r="I37" i="56"/>
  <c r="I38" i="56"/>
  <c r="I38" i="58"/>
  <c r="I38" i="57"/>
  <c r="I38" i="55"/>
  <c r="I39" i="55"/>
  <c r="I39" i="57"/>
  <c r="I39" i="58"/>
  <c r="I39" i="56"/>
  <c r="I40" i="58"/>
  <c r="I40" i="57"/>
  <c r="I40" i="56"/>
  <c r="I40" i="55"/>
  <c r="I41" i="56"/>
  <c r="I41" i="58"/>
  <c r="I41" i="57"/>
  <c r="I42" i="56"/>
  <c r="I42" i="55"/>
  <c r="I42" i="58"/>
  <c r="I42" i="57"/>
  <c r="I5" i="54"/>
  <c r="I5" i="59"/>
  <c r="I5" i="53"/>
  <c r="I5" i="52"/>
  <c r="I5" i="51"/>
  <c r="I7" i="53"/>
  <c r="I7" i="52"/>
  <c r="I7" i="54"/>
  <c r="I7" i="59"/>
  <c r="I7" i="51"/>
  <c r="I10" i="52"/>
  <c r="I10" i="51"/>
  <c r="I10" i="59"/>
  <c r="I10" i="53"/>
  <c r="I10" i="54"/>
  <c r="I15" i="52"/>
  <c r="I15" i="53"/>
  <c r="I15" i="54"/>
  <c r="I15" i="51"/>
  <c r="I15" i="59"/>
  <c r="I19" i="59"/>
  <c r="I19" i="52"/>
  <c r="I19" i="54"/>
  <c r="I19" i="51"/>
  <c r="I21" i="53"/>
  <c r="I21" i="52"/>
  <c r="I21" i="51"/>
  <c r="I27" i="52"/>
  <c r="I27" i="54"/>
  <c r="I27" i="51"/>
  <c r="I27" i="53"/>
  <c r="I29" i="54"/>
  <c r="I29" i="52"/>
  <c r="I29" i="51"/>
  <c r="I29" i="59"/>
  <c r="I29" i="53"/>
  <c r="I31" i="52"/>
  <c r="I31" i="53"/>
  <c r="I31" i="59"/>
  <c r="I31" i="51"/>
  <c r="I36" i="53"/>
  <c r="I36" i="54"/>
  <c r="I36" i="59"/>
  <c r="I36" i="51"/>
  <c r="I36" i="52"/>
  <c r="I38" i="52"/>
  <c r="I38" i="59"/>
  <c r="I38" i="53"/>
  <c r="I38" i="54"/>
  <c r="I38" i="51"/>
  <c r="I40" i="53"/>
  <c r="I40" i="52"/>
  <c r="I40" i="54"/>
  <c r="I40" i="59"/>
  <c r="I40" i="51"/>
  <c r="I44" i="53"/>
  <c r="I44" i="51"/>
  <c r="I44" i="59"/>
  <c r="I44" i="54"/>
  <c r="I46" i="52"/>
  <c r="I46" i="59"/>
  <c r="I46" i="53"/>
  <c r="I48" i="53"/>
  <c r="I48" i="54"/>
  <c r="I48" i="51"/>
  <c r="I48" i="59"/>
  <c r="I48" i="52"/>
  <c r="I5" i="55"/>
  <c r="I5" i="58"/>
  <c r="I5" i="57"/>
  <c r="I5" i="56"/>
  <c r="I8" i="58"/>
  <c r="I8" i="56"/>
  <c r="I8" i="55"/>
  <c r="I14" i="56"/>
  <c r="I14" i="55"/>
  <c r="I14" i="58"/>
  <c r="I14" i="57"/>
  <c r="I17" i="56"/>
  <c r="I17" i="55"/>
  <c r="I17" i="58"/>
  <c r="I17" i="57"/>
  <c r="I22" i="56"/>
  <c r="I22" i="57"/>
  <c r="I25" i="55"/>
  <c r="I25" i="58"/>
  <c r="I25" i="57"/>
  <c r="I25" i="56"/>
  <c r="I31" i="55"/>
  <c r="I31" i="58"/>
  <c r="I31" i="56"/>
  <c r="I31" i="57"/>
  <c r="I9" i="54"/>
  <c r="I9" i="59"/>
  <c r="I9" i="53"/>
  <c r="I9" i="52"/>
  <c r="I9" i="51"/>
  <c r="I11" i="59"/>
  <c r="I11" i="51"/>
  <c r="I11" i="54"/>
  <c r="I11" i="53"/>
  <c r="I11" i="52"/>
  <c r="I16" i="59"/>
  <c r="I16" i="53"/>
  <c r="I16" i="52"/>
  <c r="I18" i="52"/>
  <c r="I18" i="59"/>
  <c r="I18" i="53"/>
  <c r="I18" i="54"/>
  <c r="I18" i="51"/>
  <c r="I23" i="53"/>
  <c r="I23" i="59"/>
  <c r="I23" i="52"/>
  <c r="I23" i="51"/>
  <c r="I32" i="53"/>
  <c r="I32" i="54"/>
  <c r="I32" i="51"/>
  <c r="I32" i="59"/>
  <c r="I32" i="52"/>
  <c r="I37" i="54"/>
  <c r="I37" i="52"/>
  <c r="I37" i="51"/>
  <c r="I37" i="59"/>
  <c r="I37" i="53"/>
  <c r="I39" i="52"/>
  <c r="I39" i="59"/>
  <c r="I39" i="54"/>
  <c r="I39" i="51"/>
  <c r="I39" i="53"/>
  <c r="I45" i="54"/>
  <c r="I45" i="52"/>
  <c r="I45" i="51"/>
  <c r="I45" i="59"/>
  <c r="I49" i="54"/>
  <c r="I49" i="52"/>
  <c r="I49" i="59"/>
  <c r="I49" i="53"/>
  <c r="I49" i="51"/>
  <c r="I6" i="56"/>
  <c r="I6" i="58"/>
  <c r="I6" i="57"/>
  <c r="I6" i="55"/>
  <c r="I9" i="56"/>
  <c r="I9" i="55"/>
  <c r="I9" i="57"/>
  <c r="I16" i="58"/>
  <c r="I16" i="57"/>
  <c r="I16" i="56"/>
  <c r="I16" i="55"/>
  <c r="I20" i="58"/>
  <c r="I20" i="57"/>
  <c r="I20" i="55"/>
  <c r="I30" i="56"/>
  <c r="I30" i="58"/>
  <c r="I30" i="57"/>
  <c r="I30" i="55"/>
  <c r="AD55" i="54"/>
  <c r="AD55" i="52"/>
  <c r="AD55" i="53"/>
  <c r="AD57" i="51"/>
  <c r="AD56" i="51"/>
  <c r="AD54" i="102" s="1"/>
  <c r="AG56" i="54"/>
  <c r="AG56" i="53"/>
  <c r="AG56" i="52"/>
  <c r="AG58" i="51"/>
  <c r="W47" i="58"/>
  <c r="W47" i="55"/>
  <c r="W47" i="56"/>
  <c r="W47" i="57"/>
  <c r="AA46" i="58"/>
  <c r="AA46" i="57"/>
  <c r="AA46" i="56"/>
  <c r="AA46" i="55"/>
  <c r="AA47" i="58"/>
  <c r="AA47" i="57"/>
  <c r="AA47" i="55"/>
  <c r="AA47" i="56"/>
  <c r="Y45" i="58"/>
  <c r="Y45" i="57"/>
  <c r="Y45" i="55"/>
  <c r="Y45" i="56"/>
  <c r="AD56" i="54"/>
  <c r="AD56" i="53"/>
  <c r="AD56" i="52"/>
  <c r="AD58" i="51"/>
  <c r="W45" i="58"/>
  <c r="W45" i="57"/>
  <c r="W45" i="55"/>
  <c r="W45" i="56"/>
  <c r="Y47" i="58"/>
  <c r="Y47" i="57"/>
  <c r="Y47" i="55"/>
  <c r="Y47" i="56"/>
  <c r="N54" i="53"/>
  <c r="N54" i="54"/>
  <c r="N54" i="52"/>
  <c r="AL55" i="54"/>
  <c r="AL55" i="53"/>
  <c r="AL55" i="52"/>
  <c r="AL57" i="51"/>
  <c r="AB55" i="53"/>
  <c r="AB55" i="54"/>
  <c r="AB57" i="51"/>
  <c r="AB55" i="52"/>
  <c r="AG56" i="51"/>
  <c r="AG54" i="102" s="1"/>
  <c r="W46" i="58"/>
  <c r="W46" i="56"/>
  <c r="W46" i="55"/>
  <c r="W46" i="57"/>
  <c r="AA45" i="58"/>
  <c r="AA45" i="57"/>
  <c r="AA45" i="55"/>
  <c r="AA45" i="56"/>
  <c r="D18" i="5"/>
  <c r="D28" i="5"/>
  <c r="F18" i="5"/>
  <c r="AB56" i="102" s="1"/>
  <c r="F28" i="5"/>
  <c r="AL56" i="102" s="1"/>
  <c r="D37" i="5"/>
  <c r="S45" i="103" s="1"/>
  <c r="I12" i="51" l="1"/>
  <c r="I12" i="54"/>
  <c r="I24" i="52"/>
  <c r="I47" i="51"/>
  <c r="I12" i="52"/>
  <c r="I43" i="51"/>
  <c r="I12" i="53"/>
  <c r="I20" i="51"/>
  <c r="I11" i="58"/>
  <c r="I43" i="54"/>
  <c r="I22" i="58"/>
  <c r="I46" i="51"/>
  <c r="I34" i="54"/>
  <c r="I20" i="54"/>
  <c r="I19" i="57"/>
  <c r="I43" i="59"/>
  <c r="I6" i="51"/>
  <c r="I25" i="107"/>
  <c r="I25" i="102"/>
  <c r="I24" i="107"/>
  <c r="I24" i="102"/>
  <c r="I35" i="108"/>
  <c r="I35" i="103"/>
  <c r="I23" i="108"/>
  <c r="I23" i="103"/>
  <c r="I11" i="108"/>
  <c r="I11" i="103"/>
  <c r="I46" i="107"/>
  <c r="I46" i="102"/>
  <c r="I34" i="107"/>
  <c r="I34" i="102"/>
  <c r="I47" i="107"/>
  <c r="I47" i="102"/>
  <c r="P12" i="5"/>
  <c r="P15" i="5" s="1"/>
  <c r="I36" i="55"/>
  <c r="I24" i="53"/>
  <c r="I6" i="52"/>
  <c r="I47" i="59"/>
  <c r="I35" i="51"/>
  <c r="I23" i="107"/>
  <c r="I23" i="102"/>
  <c r="I19" i="107"/>
  <c r="I19" i="102"/>
  <c r="I34" i="108"/>
  <c r="I34" i="103"/>
  <c r="I22" i="108"/>
  <c r="I22" i="103"/>
  <c r="I10" i="108"/>
  <c r="I10" i="103"/>
  <c r="I45" i="107"/>
  <c r="I45" i="102"/>
  <c r="I33" i="107"/>
  <c r="I33" i="102"/>
  <c r="I26" i="107"/>
  <c r="I26" i="102"/>
  <c r="I36" i="56"/>
  <c r="I6" i="54"/>
  <c r="I47" i="52"/>
  <c r="M68" i="51" s="1"/>
  <c r="I35" i="54"/>
  <c r="I21" i="107"/>
  <c r="I21" i="102"/>
  <c r="I17" i="107"/>
  <c r="I17" i="102"/>
  <c r="I33" i="108"/>
  <c r="I33" i="103"/>
  <c r="I21" i="108"/>
  <c r="I21" i="103"/>
  <c r="I9" i="108"/>
  <c r="I9" i="103"/>
  <c r="I44" i="107"/>
  <c r="I44" i="102"/>
  <c r="I32" i="107"/>
  <c r="I32" i="102"/>
  <c r="I12" i="108"/>
  <c r="I12" i="103"/>
  <c r="I33" i="55"/>
  <c r="I21" i="55"/>
  <c r="I34" i="51"/>
  <c r="I6" i="53"/>
  <c r="I35" i="59"/>
  <c r="I17" i="53"/>
  <c r="I20" i="107"/>
  <c r="I20" i="102"/>
  <c r="I12" i="107"/>
  <c r="I12" i="102"/>
  <c r="I32" i="108"/>
  <c r="I32" i="103"/>
  <c r="I20" i="108"/>
  <c r="I20" i="103"/>
  <c r="I8" i="108"/>
  <c r="I8" i="103"/>
  <c r="I43" i="107"/>
  <c r="I43" i="102"/>
  <c r="I31" i="107"/>
  <c r="I31" i="102"/>
  <c r="I36" i="108"/>
  <c r="I36" i="103"/>
  <c r="I12" i="55"/>
  <c r="I36" i="58"/>
  <c r="I35" i="53"/>
  <c r="I25" i="52"/>
  <c r="I17" i="59"/>
  <c r="I18" i="107"/>
  <c r="I18" i="102"/>
  <c r="I8" i="107"/>
  <c r="I8" i="102"/>
  <c r="I31" i="108"/>
  <c r="I31" i="103"/>
  <c r="I19" i="108"/>
  <c r="I19" i="103"/>
  <c r="I7" i="108"/>
  <c r="I7" i="103"/>
  <c r="I42" i="107"/>
  <c r="I42" i="102"/>
  <c r="I30" i="107"/>
  <c r="I30" i="102"/>
  <c r="I24" i="108"/>
  <c r="I24" i="103"/>
  <c r="I12" i="56"/>
  <c r="I26" i="51"/>
  <c r="I35" i="57"/>
  <c r="I25" i="53"/>
  <c r="I17" i="51"/>
  <c r="X55" i="51" s="1"/>
  <c r="X60" i="51" s="1"/>
  <c r="I8" i="54"/>
  <c r="I16" i="107"/>
  <c r="I16" i="102"/>
  <c r="I42" i="108"/>
  <c r="I42" i="103"/>
  <c r="I30" i="108"/>
  <c r="I30" i="103"/>
  <c r="I18" i="108"/>
  <c r="I18" i="103"/>
  <c r="I6" i="108"/>
  <c r="I6" i="103"/>
  <c r="I41" i="107"/>
  <c r="I41" i="102"/>
  <c r="I29" i="107"/>
  <c r="I29" i="102"/>
  <c r="P13" i="5"/>
  <c r="P16" i="5" s="1"/>
  <c r="I25" i="59"/>
  <c r="I17" i="54"/>
  <c r="I14" i="107"/>
  <c r="I14" i="102"/>
  <c r="I41" i="108"/>
  <c r="I41" i="103"/>
  <c r="I29" i="108"/>
  <c r="I29" i="103"/>
  <c r="I17" i="108"/>
  <c r="I17" i="103"/>
  <c r="I5" i="108"/>
  <c r="I5" i="103"/>
  <c r="I40" i="107"/>
  <c r="I40" i="102"/>
  <c r="I27" i="107"/>
  <c r="I27" i="102"/>
  <c r="I24" i="55"/>
  <c r="I35" i="56"/>
  <c r="I33" i="53"/>
  <c r="I25" i="51"/>
  <c r="I14" i="54"/>
  <c r="I8" i="52"/>
  <c r="AF53" i="52" s="1"/>
  <c r="I13" i="107"/>
  <c r="I13" i="102"/>
  <c r="I40" i="108"/>
  <c r="I40" i="103"/>
  <c r="I28" i="108"/>
  <c r="I28" i="103"/>
  <c r="I16" i="108"/>
  <c r="I16" i="103"/>
  <c r="I51" i="107"/>
  <c r="I51" i="102"/>
  <c r="I39" i="107"/>
  <c r="I39" i="102"/>
  <c r="I22" i="107"/>
  <c r="I22" i="102"/>
  <c r="I6" i="107"/>
  <c r="I6" i="102"/>
  <c r="I12" i="57"/>
  <c r="I33" i="59"/>
  <c r="I25" i="54"/>
  <c r="I14" i="52"/>
  <c r="I8" i="53"/>
  <c r="I11" i="107"/>
  <c r="I11" i="102"/>
  <c r="I39" i="108"/>
  <c r="I39" i="103"/>
  <c r="I27" i="108"/>
  <c r="I27" i="103"/>
  <c r="I15" i="108"/>
  <c r="I15" i="103"/>
  <c r="I50" i="107"/>
  <c r="I50" i="102"/>
  <c r="I38" i="107"/>
  <c r="I38" i="102"/>
  <c r="I15" i="107"/>
  <c r="I15" i="102"/>
  <c r="I35" i="107"/>
  <c r="I35" i="102"/>
  <c r="I26" i="54"/>
  <c r="I12" i="58"/>
  <c r="I26" i="53"/>
  <c r="P14" i="5"/>
  <c r="P17" i="5" s="1"/>
  <c r="I26" i="59"/>
  <c r="I24" i="56"/>
  <c r="I21" i="59"/>
  <c r="I35" i="55"/>
  <c r="I9" i="58"/>
  <c r="I45" i="53"/>
  <c r="I26" i="52"/>
  <c r="I16" i="51"/>
  <c r="V55" i="51" s="1"/>
  <c r="I24" i="57"/>
  <c r="I44" i="52"/>
  <c r="I21" i="54"/>
  <c r="I34" i="57"/>
  <c r="I29" i="57"/>
  <c r="I23" i="57"/>
  <c r="I10" i="57"/>
  <c r="I42" i="53"/>
  <c r="I24" i="51"/>
  <c r="M34" i="51" s="1"/>
  <c r="I13" i="53"/>
  <c r="I19" i="56"/>
  <c r="I11" i="56"/>
  <c r="X44" i="56" s="1"/>
  <c r="I51" i="52"/>
  <c r="M69" i="51" s="1"/>
  <c r="I41" i="59"/>
  <c r="I33" i="52"/>
  <c r="I22" i="52"/>
  <c r="M66" i="51" s="1"/>
  <c r="I14" i="53"/>
  <c r="I8" i="59"/>
  <c r="I10" i="107"/>
  <c r="I10" i="102"/>
  <c r="I38" i="108"/>
  <c r="I38" i="103"/>
  <c r="I26" i="108"/>
  <c r="I26" i="103"/>
  <c r="I14" i="108"/>
  <c r="I14" i="103"/>
  <c r="I49" i="107"/>
  <c r="I49" i="102"/>
  <c r="I37" i="107"/>
  <c r="I37" i="102"/>
  <c r="I9" i="107"/>
  <c r="I9" i="102"/>
  <c r="L48" i="55"/>
  <c r="L48" i="103" s="1"/>
  <c r="I24" i="58"/>
  <c r="I23" i="56"/>
  <c r="I10" i="58"/>
  <c r="I24" i="59"/>
  <c r="I11" i="57"/>
  <c r="I47" i="53"/>
  <c r="I33" i="54"/>
  <c r="AA53" i="54" s="1"/>
  <c r="I14" i="59"/>
  <c r="I28" i="107"/>
  <c r="I28" i="102"/>
  <c r="I7" i="107"/>
  <c r="I7" i="102"/>
  <c r="I37" i="108"/>
  <c r="I37" i="103"/>
  <c r="I25" i="108"/>
  <c r="I25" i="103"/>
  <c r="I13" i="108"/>
  <c r="I13" i="103"/>
  <c r="I48" i="107"/>
  <c r="I48" i="102"/>
  <c r="I36" i="107"/>
  <c r="I36" i="102"/>
  <c r="I5" i="107"/>
  <c r="I5" i="102"/>
  <c r="M63" i="51"/>
  <c r="AI55" i="51"/>
  <c r="AI60" i="51" s="1"/>
  <c r="R55" i="51"/>
  <c r="R60" i="51" s="1"/>
  <c r="O55" i="51"/>
  <c r="O60" i="51" s="1"/>
  <c r="Z55" i="51"/>
  <c r="Z53" i="54"/>
  <c r="AG53" i="52"/>
  <c r="Y44" i="56"/>
  <c r="AB44" i="55"/>
  <c r="X44" i="55"/>
  <c r="X49" i="55" s="1"/>
  <c r="U48" i="55"/>
  <c r="U48" i="103" s="1"/>
  <c r="X48" i="55"/>
  <c r="AA44" i="55"/>
  <c r="O48" i="55"/>
  <c r="O48" i="103" s="1"/>
  <c r="M48" i="55"/>
  <c r="M48" i="103" s="1"/>
  <c r="L44" i="55"/>
  <c r="T44" i="55"/>
  <c r="V44" i="55"/>
  <c r="O44" i="55"/>
  <c r="O49" i="55" s="1"/>
  <c r="M67" i="51"/>
  <c r="M23" i="51"/>
  <c r="M24" i="51"/>
  <c r="M29" i="51"/>
  <c r="M42" i="51"/>
  <c r="M50" i="51"/>
  <c r="M44" i="51"/>
  <c r="M39" i="51"/>
  <c r="M20" i="51"/>
  <c r="M45" i="51"/>
  <c r="AL56" i="51"/>
  <c r="AL54" i="102" s="1"/>
  <c r="N58" i="51"/>
  <c r="N56" i="54"/>
  <c r="N56" i="53"/>
  <c r="N58" i="53" s="1"/>
  <c r="N56" i="52"/>
  <c r="AL56" i="54"/>
  <c r="AL56" i="53"/>
  <c r="AL58" i="51"/>
  <c r="AL56" i="52"/>
  <c r="S45" i="58"/>
  <c r="S45" i="57"/>
  <c r="S45" i="55"/>
  <c r="S45" i="56"/>
  <c r="AB56" i="51"/>
  <c r="AB54" i="102" s="1"/>
  <c r="N57" i="51"/>
  <c r="N55" i="54"/>
  <c r="N55" i="53"/>
  <c r="N55" i="52"/>
  <c r="AD54" i="53"/>
  <c r="AD54" i="54"/>
  <c r="AD54" i="52"/>
  <c r="L46" i="58"/>
  <c r="L46" i="55"/>
  <c r="L46" i="57"/>
  <c r="L46" i="56"/>
  <c r="L49" i="56" s="1"/>
  <c r="AB56" i="54"/>
  <c r="AB58" i="51"/>
  <c r="AB56" i="53"/>
  <c r="AB56" i="52"/>
  <c r="L47" i="58"/>
  <c r="L47" i="57"/>
  <c r="L49" i="57" s="1"/>
  <c r="L47" i="55"/>
  <c r="L47" i="56"/>
  <c r="AG54" i="54"/>
  <c r="AG54" i="53"/>
  <c r="AG54" i="52"/>
  <c r="E37" i="5"/>
  <c r="S46" i="103" s="1"/>
  <c r="F37" i="5"/>
  <c r="S47" i="103" s="1"/>
  <c r="D35" i="5"/>
  <c r="Q45" i="103" s="1"/>
  <c r="M43" i="51" l="1"/>
  <c r="L55" i="51"/>
  <c r="L60" i="51" s="1"/>
  <c r="AE53" i="52"/>
  <c r="T48" i="55"/>
  <c r="T48" i="103" s="1"/>
  <c r="AA53" i="52"/>
  <c r="AA58" i="52" s="1"/>
  <c r="M35" i="51"/>
  <c r="L49" i="55"/>
  <c r="M49" i="51"/>
  <c r="N44" i="55"/>
  <c r="R44" i="55"/>
  <c r="R49" i="55" s="1"/>
  <c r="P55" i="51"/>
  <c r="P60" i="51" s="1"/>
  <c r="AV57" i="107"/>
  <c r="AN57" i="107"/>
  <c r="BB57" i="107"/>
  <c r="BA57" i="107"/>
  <c r="AO57" i="107"/>
  <c r="AI57" i="107"/>
  <c r="BD57" i="107"/>
  <c r="AR57" i="107"/>
  <c r="AY57" i="107"/>
  <c r="AQ57" i="107"/>
  <c r="AT57" i="107"/>
  <c r="AU57" i="107"/>
  <c r="AM57" i="107"/>
  <c r="AL57" i="107"/>
  <c r="AS57" i="107"/>
  <c r="AJ57" i="107"/>
  <c r="AZ57" i="107"/>
  <c r="AW57" i="107"/>
  <c r="AK57" i="107"/>
  <c r="AX57" i="107"/>
  <c r="AP57" i="107"/>
  <c r="BC57" i="107"/>
  <c r="AR59" i="107"/>
  <c r="AV59" i="107"/>
  <c r="AT59" i="107"/>
  <c r="AN59" i="107"/>
  <c r="AQ59" i="107"/>
  <c r="BA59" i="107"/>
  <c r="AU59" i="107"/>
  <c r="AX59" i="107"/>
  <c r="BD59" i="107"/>
  <c r="AY59" i="107"/>
  <c r="AP59" i="107"/>
  <c r="AW59" i="107"/>
  <c r="AL59" i="107"/>
  <c r="AJ59" i="107"/>
  <c r="AO59" i="107"/>
  <c r="AK59" i="107"/>
  <c r="BB59" i="107"/>
  <c r="BC59" i="107"/>
  <c r="AZ59" i="107"/>
  <c r="AS59" i="107"/>
  <c r="AM59" i="107"/>
  <c r="AI59" i="107"/>
  <c r="AX103" i="107"/>
  <c r="AN103" i="107"/>
  <c r="AV103" i="107"/>
  <c r="AK103" i="107"/>
  <c r="AO103" i="107"/>
  <c r="BA103" i="107"/>
  <c r="AI103" i="107"/>
  <c r="BC103" i="107"/>
  <c r="BB103" i="107"/>
  <c r="AQ103" i="107"/>
  <c r="AZ103" i="107"/>
  <c r="AS103" i="107"/>
  <c r="AY103" i="107"/>
  <c r="AL103" i="107"/>
  <c r="AW103" i="107"/>
  <c r="AU103" i="107"/>
  <c r="AT103" i="107"/>
  <c r="AP103" i="107"/>
  <c r="AJ103" i="107"/>
  <c r="BD103" i="107"/>
  <c r="AM103" i="107"/>
  <c r="AR103" i="107"/>
  <c r="AE72" i="108"/>
  <c r="Z72" i="108"/>
  <c r="AF72" i="108"/>
  <c r="X72" i="108"/>
  <c r="AA72" i="108"/>
  <c r="AG72" i="108"/>
  <c r="AB72" i="108"/>
  <c r="AC72" i="108"/>
  <c r="AH72" i="108"/>
  <c r="Y72" i="108"/>
  <c r="AD72" i="108"/>
  <c r="AF81" i="108"/>
  <c r="AD81" i="108"/>
  <c r="AC81" i="108"/>
  <c r="AA81" i="108"/>
  <c r="X81" i="108"/>
  <c r="Z81" i="108"/>
  <c r="AH81" i="108"/>
  <c r="AE81" i="108"/>
  <c r="AG81" i="108"/>
  <c r="Y81" i="108"/>
  <c r="AB81" i="108"/>
  <c r="AU63" i="107"/>
  <c r="AT63" i="107"/>
  <c r="AR63" i="107"/>
  <c r="BB63" i="107"/>
  <c r="AM63" i="107"/>
  <c r="AJ63" i="107"/>
  <c r="BC63" i="107"/>
  <c r="AQ63" i="107"/>
  <c r="AN63" i="107"/>
  <c r="BD63" i="107"/>
  <c r="AI63" i="107"/>
  <c r="AP63" i="107"/>
  <c r="AX63" i="107"/>
  <c r="AO63" i="107"/>
  <c r="AL63" i="107"/>
  <c r="AV63" i="107"/>
  <c r="AY63" i="107"/>
  <c r="AW63" i="107"/>
  <c r="AZ63" i="107"/>
  <c r="AK63" i="107"/>
  <c r="AS63" i="107"/>
  <c r="BA63" i="107"/>
  <c r="AY93" i="107"/>
  <c r="AT93" i="107"/>
  <c r="AN93" i="107"/>
  <c r="AL93" i="107"/>
  <c r="BC93" i="107"/>
  <c r="AS93" i="107"/>
  <c r="BA93" i="107"/>
  <c r="BD93" i="107"/>
  <c r="AZ93" i="107"/>
  <c r="AQ93" i="107"/>
  <c r="AK93" i="107"/>
  <c r="AM93" i="107"/>
  <c r="AV93" i="107"/>
  <c r="AU93" i="107"/>
  <c r="AW93" i="107"/>
  <c r="AJ93" i="107"/>
  <c r="AI93" i="107"/>
  <c r="AR93" i="107"/>
  <c r="AX93" i="107"/>
  <c r="AO93" i="107"/>
  <c r="BB93" i="107"/>
  <c r="AP93" i="107"/>
  <c r="AH50" i="108"/>
  <c r="X50" i="108"/>
  <c r="AG50" i="108"/>
  <c r="AF50" i="108"/>
  <c r="Z50" i="108"/>
  <c r="AD50" i="108"/>
  <c r="AC50" i="108"/>
  <c r="Y50" i="108"/>
  <c r="AE50" i="108"/>
  <c r="AB50" i="108"/>
  <c r="AA50" i="108"/>
  <c r="AF76" i="108"/>
  <c r="AD76" i="108"/>
  <c r="AA76" i="108"/>
  <c r="AC76" i="108"/>
  <c r="Z76" i="108"/>
  <c r="AE76" i="108"/>
  <c r="AB76" i="108"/>
  <c r="X76" i="108"/>
  <c r="Y76" i="108"/>
  <c r="AG76" i="108"/>
  <c r="AH76" i="108"/>
  <c r="AX85" i="107"/>
  <c r="AU85" i="107"/>
  <c r="BC85" i="107"/>
  <c r="AY85" i="107"/>
  <c r="AQ85" i="107"/>
  <c r="AP85" i="107"/>
  <c r="AS85" i="107"/>
  <c r="AN85" i="107"/>
  <c r="AI85" i="107"/>
  <c r="AZ85" i="107"/>
  <c r="AM85" i="107"/>
  <c r="AJ85" i="107"/>
  <c r="AT85" i="107"/>
  <c r="AR85" i="107"/>
  <c r="AW85" i="107"/>
  <c r="BD85" i="107"/>
  <c r="AO85" i="107"/>
  <c r="BA85" i="107"/>
  <c r="AL85" i="107"/>
  <c r="BB85" i="107"/>
  <c r="AK85" i="107"/>
  <c r="AV85" i="107"/>
  <c r="AZ98" i="107"/>
  <c r="AP98" i="107"/>
  <c r="BD98" i="107"/>
  <c r="BB98" i="107"/>
  <c r="AJ98" i="107"/>
  <c r="BA98" i="107"/>
  <c r="AX98" i="107"/>
  <c r="AM98" i="107"/>
  <c r="AL98" i="107"/>
  <c r="AU98" i="107"/>
  <c r="AK98" i="107"/>
  <c r="AS98" i="107"/>
  <c r="AY98" i="107"/>
  <c r="AV98" i="107"/>
  <c r="AR98" i="107"/>
  <c r="AN98" i="107"/>
  <c r="AT98" i="107"/>
  <c r="AI98" i="107"/>
  <c r="AQ98" i="107"/>
  <c r="BC98" i="107"/>
  <c r="AO98" i="107"/>
  <c r="AW98" i="107"/>
  <c r="M46" i="51"/>
  <c r="M37" i="51"/>
  <c r="M27" i="51"/>
  <c r="Y55" i="51"/>
  <c r="M30" i="51"/>
  <c r="M22" i="51"/>
  <c r="M48" i="51"/>
  <c r="U44" i="55"/>
  <c r="U49" i="55" s="1"/>
  <c r="Z48" i="55"/>
  <c r="Z48" i="103" s="1"/>
  <c r="Z53" i="52"/>
  <c r="Z58" i="52" s="1"/>
  <c r="AA55" i="51"/>
  <c r="AF55" i="51"/>
  <c r="AF60" i="51" s="1"/>
  <c r="AP61" i="107"/>
  <c r="AY61" i="107"/>
  <c r="AK61" i="107"/>
  <c r="AU61" i="107"/>
  <c r="BC61" i="107"/>
  <c r="BD61" i="107"/>
  <c r="AX61" i="107"/>
  <c r="BA61" i="107"/>
  <c r="AW61" i="107"/>
  <c r="AZ61" i="107"/>
  <c r="AT61" i="107"/>
  <c r="AM61" i="107"/>
  <c r="AL61" i="107"/>
  <c r="AQ61" i="107"/>
  <c r="BB61" i="107"/>
  <c r="AJ61" i="107"/>
  <c r="AO61" i="107"/>
  <c r="AR61" i="107"/>
  <c r="AI61" i="107"/>
  <c r="AS61" i="107"/>
  <c r="AN61" i="107"/>
  <c r="AV61" i="107"/>
  <c r="AQ62" i="107"/>
  <c r="AR62" i="107"/>
  <c r="AV62" i="107"/>
  <c r="AI62" i="107"/>
  <c r="AJ62" i="107"/>
  <c r="BB62" i="107"/>
  <c r="AK62" i="107"/>
  <c r="AT62" i="107"/>
  <c r="AW62" i="107"/>
  <c r="BC62" i="107"/>
  <c r="BD62" i="107"/>
  <c r="AM62" i="107"/>
  <c r="AS62" i="107"/>
  <c r="BA62" i="107"/>
  <c r="AL62" i="107"/>
  <c r="AY62" i="107"/>
  <c r="AZ62" i="107"/>
  <c r="AU62" i="107"/>
  <c r="AN62" i="107"/>
  <c r="AX62" i="107"/>
  <c r="AO62" i="107"/>
  <c r="AP62" i="107"/>
  <c r="AI90" i="107"/>
  <c r="BD90" i="107"/>
  <c r="AU90" i="107"/>
  <c r="AS90" i="107"/>
  <c r="AP90" i="107"/>
  <c r="BB90" i="107"/>
  <c r="AN90" i="107"/>
  <c r="BC90" i="107"/>
  <c r="BA90" i="107"/>
  <c r="AX90" i="107"/>
  <c r="AM90" i="107"/>
  <c r="AY90" i="107"/>
  <c r="AO90" i="107"/>
  <c r="AL90" i="107"/>
  <c r="AT90" i="107"/>
  <c r="AZ90" i="107"/>
  <c r="AV90" i="107"/>
  <c r="AK90" i="107"/>
  <c r="AR90" i="107"/>
  <c r="AJ90" i="107"/>
  <c r="AW90" i="107"/>
  <c r="AQ90" i="107"/>
  <c r="AH49" i="108"/>
  <c r="AG49" i="108"/>
  <c r="Y49" i="108"/>
  <c r="AB49" i="108"/>
  <c r="X49" i="108"/>
  <c r="AF49" i="108"/>
  <c r="AE49" i="108"/>
  <c r="AD49" i="108"/>
  <c r="AC49" i="108"/>
  <c r="AA49" i="108"/>
  <c r="Z49" i="108"/>
  <c r="Z62" i="108"/>
  <c r="AF62" i="108"/>
  <c r="AD62" i="108"/>
  <c r="Y62" i="108"/>
  <c r="AH62" i="108"/>
  <c r="AG62" i="108"/>
  <c r="AC62" i="108"/>
  <c r="AA62" i="108"/>
  <c r="AB62" i="108"/>
  <c r="AE62" i="108"/>
  <c r="X62" i="108"/>
  <c r="Y75" i="108"/>
  <c r="AA75" i="108"/>
  <c r="X75" i="108"/>
  <c r="AD75" i="108"/>
  <c r="AH75" i="108"/>
  <c r="Z75" i="108"/>
  <c r="AG75" i="108"/>
  <c r="AF75" i="108"/>
  <c r="AE75" i="108"/>
  <c r="AB75" i="108"/>
  <c r="AC75" i="108"/>
  <c r="Y55" i="108"/>
  <c r="AB55" i="108"/>
  <c r="Z55" i="108"/>
  <c r="AF55" i="108"/>
  <c r="AC55" i="108"/>
  <c r="X55" i="108"/>
  <c r="AH55" i="108"/>
  <c r="AD55" i="108"/>
  <c r="AA55" i="108"/>
  <c r="AE55" i="108"/>
  <c r="AG55" i="108"/>
  <c r="AS69" i="107"/>
  <c r="AW69" i="107"/>
  <c r="AX69" i="107"/>
  <c r="BA69" i="107"/>
  <c r="AP69" i="107"/>
  <c r="AR69" i="107"/>
  <c r="AU69" i="107"/>
  <c r="BC69" i="107"/>
  <c r="BD69" i="107"/>
  <c r="BB69" i="107"/>
  <c r="AT69" i="107"/>
  <c r="AI69" i="107"/>
  <c r="AZ69" i="107"/>
  <c r="AO69" i="107"/>
  <c r="AJ69" i="107"/>
  <c r="AY69" i="107"/>
  <c r="AK69" i="107"/>
  <c r="AN69" i="107"/>
  <c r="AM69" i="107"/>
  <c r="AL69" i="107"/>
  <c r="AQ69" i="107"/>
  <c r="AV69" i="107"/>
  <c r="AN97" i="107"/>
  <c r="AV97" i="107"/>
  <c r="AX97" i="107"/>
  <c r="AU97" i="107"/>
  <c r="AL97" i="107"/>
  <c r="AP97" i="107"/>
  <c r="AQ97" i="107"/>
  <c r="AI97" i="107"/>
  <c r="AZ97" i="107"/>
  <c r="AO97" i="107"/>
  <c r="AK97" i="107"/>
  <c r="AR97" i="107"/>
  <c r="AS97" i="107"/>
  <c r="AJ97" i="107"/>
  <c r="BD97" i="107"/>
  <c r="BA97" i="107"/>
  <c r="BC97" i="107"/>
  <c r="BB97" i="107"/>
  <c r="AT97" i="107"/>
  <c r="AY97" i="107"/>
  <c r="AM97" i="107"/>
  <c r="AW97" i="107"/>
  <c r="AE54" i="108"/>
  <c r="AH54" i="108"/>
  <c r="AB54" i="108"/>
  <c r="Y54" i="108"/>
  <c r="AD54" i="108"/>
  <c r="AG54" i="108"/>
  <c r="Z54" i="108"/>
  <c r="AC54" i="108"/>
  <c r="AF54" i="108"/>
  <c r="AA54" i="108"/>
  <c r="X54" i="108"/>
  <c r="AP67" i="107"/>
  <c r="AW67" i="107"/>
  <c r="AY67" i="107"/>
  <c r="AN67" i="107"/>
  <c r="AV67" i="107"/>
  <c r="BB67" i="107"/>
  <c r="AJ67" i="107"/>
  <c r="AZ67" i="107"/>
  <c r="AS67" i="107"/>
  <c r="AM67" i="107"/>
  <c r="AL67" i="107"/>
  <c r="AX67" i="107"/>
  <c r="AK67" i="107"/>
  <c r="AR67" i="107"/>
  <c r="AT67" i="107"/>
  <c r="BC67" i="107"/>
  <c r="AO67" i="107"/>
  <c r="AQ67" i="107"/>
  <c r="AU67" i="107"/>
  <c r="AI67" i="107"/>
  <c r="BA67" i="107"/>
  <c r="BD67" i="107"/>
  <c r="M44" i="55"/>
  <c r="M49" i="55" s="1"/>
  <c r="W55" i="51"/>
  <c r="W60" i="51" s="1"/>
  <c r="AU88" i="107"/>
  <c r="AP88" i="107"/>
  <c r="AN88" i="107"/>
  <c r="AV88" i="107"/>
  <c r="AS88" i="107"/>
  <c r="AW88" i="107"/>
  <c r="AI88" i="107"/>
  <c r="AR88" i="107"/>
  <c r="AY88" i="107"/>
  <c r="BD88" i="107"/>
  <c r="AO88" i="107"/>
  <c r="BC88" i="107"/>
  <c r="AT88" i="107"/>
  <c r="AM88" i="107"/>
  <c r="AQ88" i="107"/>
  <c r="BB88" i="107"/>
  <c r="BA88" i="107"/>
  <c r="AK88" i="107"/>
  <c r="AL88" i="107"/>
  <c r="AZ88" i="107"/>
  <c r="AX88" i="107"/>
  <c r="AJ88" i="107"/>
  <c r="AL80" i="107"/>
  <c r="AJ80" i="107"/>
  <c r="AP80" i="107"/>
  <c r="AR80" i="107"/>
  <c r="AT80" i="107"/>
  <c r="BB80" i="107"/>
  <c r="AZ80" i="107"/>
  <c r="AV80" i="107"/>
  <c r="AY80" i="107"/>
  <c r="AI80" i="107"/>
  <c r="AW80" i="107"/>
  <c r="R80" i="107"/>
  <c r="AS80" i="107"/>
  <c r="AU80" i="107"/>
  <c r="BD80" i="107"/>
  <c r="AO80" i="107"/>
  <c r="AQ80" i="107"/>
  <c r="AM80" i="107"/>
  <c r="AN80" i="107"/>
  <c r="P80" i="107"/>
  <c r="BC80" i="107"/>
  <c r="AX80" i="107"/>
  <c r="BA80" i="107"/>
  <c r="AK80" i="107"/>
  <c r="Y59" i="108"/>
  <c r="AH59" i="108"/>
  <c r="AG59" i="108"/>
  <c r="AF59" i="108"/>
  <c r="AA59" i="108"/>
  <c r="AE59" i="108"/>
  <c r="AB59" i="108"/>
  <c r="X59" i="108"/>
  <c r="AD59" i="108"/>
  <c r="AC59" i="108"/>
  <c r="Z59" i="108"/>
  <c r="AF84" i="108"/>
  <c r="AG84" i="108"/>
  <c r="AC84" i="108"/>
  <c r="AB84" i="108"/>
  <c r="Y84" i="108"/>
  <c r="AA84" i="108"/>
  <c r="Z84" i="108"/>
  <c r="AH84" i="108"/>
  <c r="X84" i="108"/>
  <c r="AE84" i="108"/>
  <c r="AD84" i="108"/>
  <c r="AE63" i="108"/>
  <c r="Y63" i="108"/>
  <c r="AG63" i="108"/>
  <c r="AD63" i="108"/>
  <c r="AC63" i="108"/>
  <c r="AA63" i="108"/>
  <c r="Z63" i="108"/>
  <c r="AB63" i="108"/>
  <c r="X63" i="108"/>
  <c r="AF63" i="108"/>
  <c r="AH63" i="108"/>
  <c r="AK75" i="107"/>
  <c r="R75" i="107"/>
  <c r="BC75" i="107"/>
  <c r="AJ75" i="107"/>
  <c r="AI75" i="107"/>
  <c r="P75" i="107"/>
  <c r="AL75" i="107"/>
  <c r="AV75" i="107"/>
  <c r="AQ75" i="107"/>
  <c r="AR75" i="107"/>
  <c r="AY75" i="107"/>
  <c r="AM75" i="107"/>
  <c r="AU75" i="107"/>
  <c r="BA75" i="107"/>
  <c r="AP75" i="107"/>
  <c r="AS75" i="107"/>
  <c r="BD75" i="107"/>
  <c r="BB75" i="107"/>
  <c r="AN75" i="107"/>
  <c r="AO75" i="107"/>
  <c r="AZ75" i="107"/>
  <c r="AT75" i="107"/>
  <c r="AX75" i="107"/>
  <c r="AW75" i="107"/>
  <c r="P48" i="55"/>
  <c r="P48" i="103" s="1"/>
  <c r="L48" i="57"/>
  <c r="M21" i="51"/>
  <c r="M19" i="51"/>
  <c r="M40" i="51"/>
  <c r="Z44" i="55"/>
  <c r="M41" i="51"/>
  <c r="M33" i="51"/>
  <c r="M18" i="51"/>
  <c r="N48" i="55"/>
  <c r="N48" i="103" s="1"/>
  <c r="S44" i="55"/>
  <c r="AE55" i="51"/>
  <c r="AE60" i="51" s="1"/>
  <c r="M7" i="51"/>
  <c r="AV89" i="107"/>
  <c r="AK89" i="107"/>
  <c r="AU89" i="107"/>
  <c r="AL89" i="107"/>
  <c r="AJ89" i="107"/>
  <c r="AY89" i="107"/>
  <c r="AN89" i="107"/>
  <c r="AI89" i="107"/>
  <c r="BD89" i="107"/>
  <c r="AR89" i="107"/>
  <c r="AX89" i="107"/>
  <c r="AQ89" i="107"/>
  <c r="AW89" i="107"/>
  <c r="AP89" i="107"/>
  <c r="AS89" i="107"/>
  <c r="BB89" i="107"/>
  <c r="AO89" i="107"/>
  <c r="BA89" i="107"/>
  <c r="AM89" i="107"/>
  <c r="BC89" i="107"/>
  <c r="AT89" i="107"/>
  <c r="AZ89" i="107"/>
  <c r="AV102" i="107"/>
  <c r="AS102" i="107"/>
  <c r="AK102" i="107"/>
  <c r="AT102" i="107"/>
  <c r="AU102" i="107"/>
  <c r="AQ102" i="107"/>
  <c r="AJ102" i="107"/>
  <c r="AN102" i="107"/>
  <c r="AO102" i="107"/>
  <c r="AI102" i="107"/>
  <c r="AY102" i="107"/>
  <c r="BA102" i="107"/>
  <c r="AM102" i="107"/>
  <c r="BC102" i="107"/>
  <c r="BB102" i="107"/>
  <c r="AX102" i="107"/>
  <c r="BD102" i="107"/>
  <c r="AW102" i="107"/>
  <c r="AR102" i="107"/>
  <c r="AZ102" i="107"/>
  <c r="AL102" i="107"/>
  <c r="AP102" i="107"/>
  <c r="AH61" i="108"/>
  <c r="AF61" i="108"/>
  <c r="AE61" i="108"/>
  <c r="Z61" i="108"/>
  <c r="Y61" i="108"/>
  <c r="AA61" i="108"/>
  <c r="AD61" i="108"/>
  <c r="AG61" i="108"/>
  <c r="X61" i="108"/>
  <c r="AC61" i="108"/>
  <c r="AB61" i="108"/>
  <c r="Z74" i="108"/>
  <c r="Y74" i="108"/>
  <c r="AB74" i="108"/>
  <c r="AH74" i="108"/>
  <c r="AF74" i="108"/>
  <c r="AA74" i="108"/>
  <c r="AE74" i="108"/>
  <c r="AD74" i="108"/>
  <c r="X74" i="108"/>
  <c r="AG74" i="108"/>
  <c r="AC74" i="108"/>
  <c r="X79" i="108"/>
  <c r="Z79" i="108"/>
  <c r="Y79" i="108"/>
  <c r="AH79" i="108"/>
  <c r="AE79" i="108"/>
  <c r="AA79" i="108"/>
  <c r="AG79" i="108"/>
  <c r="AD79" i="108"/>
  <c r="AF79" i="108"/>
  <c r="AB79" i="108"/>
  <c r="AC79" i="108"/>
  <c r="AW64" i="107"/>
  <c r="AV64" i="107"/>
  <c r="AX64" i="107"/>
  <c r="AU64" i="107"/>
  <c r="AI64" i="107"/>
  <c r="AN64" i="107"/>
  <c r="AZ64" i="107"/>
  <c r="AM64" i="107"/>
  <c r="AO64" i="107"/>
  <c r="BD64" i="107"/>
  <c r="AR64" i="107"/>
  <c r="AT64" i="107"/>
  <c r="BC64" i="107"/>
  <c r="AS64" i="107"/>
  <c r="AQ64" i="107"/>
  <c r="AK64" i="107"/>
  <c r="BB64" i="107"/>
  <c r="BA64" i="107"/>
  <c r="AP64" i="107"/>
  <c r="AY64" i="107"/>
  <c r="AL64" i="107"/>
  <c r="AJ64" i="107"/>
  <c r="AU84" i="107"/>
  <c r="AY84" i="107"/>
  <c r="AM84" i="107"/>
  <c r="AI84" i="107"/>
  <c r="AQ84" i="107"/>
  <c r="AV84" i="107"/>
  <c r="AL84" i="107"/>
  <c r="AP84" i="107"/>
  <c r="BB84" i="107"/>
  <c r="AN84" i="107"/>
  <c r="AO84" i="107"/>
  <c r="BA84" i="107"/>
  <c r="AK84" i="107"/>
  <c r="AX84" i="107"/>
  <c r="AJ84" i="107"/>
  <c r="BC84" i="107"/>
  <c r="AT84" i="107"/>
  <c r="AZ84" i="107"/>
  <c r="AR84" i="107"/>
  <c r="AW84" i="107"/>
  <c r="BD84" i="107"/>
  <c r="AS84" i="107"/>
  <c r="AW73" i="107"/>
  <c r="AK73" i="107"/>
  <c r="AP73" i="107"/>
  <c r="BB73" i="107"/>
  <c r="AI73" i="107"/>
  <c r="AO73" i="107"/>
  <c r="BA73" i="107"/>
  <c r="AM73" i="107"/>
  <c r="AL73" i="107"/>
  <c r="AR73" i="107"/>
  <c r="BC73" i="107"/>
  <c r="AU73" i="107"/>
  <c r="AQ73" i="107"/>
  <c r="R73" i="107"/>
  <c r="AY73" i="107"/>
  <c r="AN73" i="107"/>
  <c r="AX73" i="107"/>
  <c r="AJ73" i="107"/>
  <c r="AV73" i="107"/>
  <c r="BD73" i="107"/>
  <c r="AZ73" i="107"/>
  <c r="AT73" i="107"/>
  <c r="AS73" i="107"/>
  <c r="P73" i="107"/>
  <c r="Y53" i="108"/>
  <c r="Z53" i="108"/>
  <c r="AG53" i="108"/>
  <c r="AH53" i="108"/>
  <c r="AC53" i="108"/>
  <c r="AF53" i="108"/>
  <c r="AE53" i="108"/>
  <c r="AB53" i="108"/>
  <c r="AA53" i="108"/>
  <c r="X53" i="108"/>
  <c r="AD53" i="108"/>
  <c r="AA66" i="108"/>
  <c r="Z66" i="108"/>
  <c r="Y66" i="108"/>
  <c r="AH66" i="108"/>
  <c r="AE66" i="108"/>
  <c r="AD66" i="108"/>
  <c r="AG66" i="108"/>
  <c r="AB66" i="108"/>
  <c r="X66" i="108"/>
  <c r="AF66" i="108"/>
  <c r="AC66" i="108"/>
  <c r="M14" i="51"/>
  <c r="AM100" i="107"/>
  <c r="BA100" i="107"/>
  <c r="AQ100" i="107"/>
  <c r="AK100" i="107"/>
  <c r="AR100" i="107"/>
  <c r="AI100" i="107"/>
  <c r="AZ100" i="107"/>
  <c r="AO100" i="107"/>
  <c r="AL100" i="107"/>
  <c r="AV100" i="107"/>
  <c r="AX100" i="107"/>
  <c r="AS100" i="107"/>
  <c r="AJ100" i="107"/>
  <c r="AT100" i="107"/>
  <c r="BB100" i="107"/>
  <c r="AN100" i="107"/>
  <c r="BD100" i="107"/>
  <c r="AY100" i="107"/>
  <c r="BC100" i="107"/>
  <c r="AW100" i="107"/>
  <c r="AP100" i="107"/>
  <c r="AU100" i="107"/>
  <c r="AF71" i="108"/>
  <c r="AH71" i="108"/>
  <c r="AE71" i="108"/>
  <c r="AC71" i="108"/>
  <c r="AB71" i="108"/>
  <c r="Z71" i="108"/>
  <c r="Y71" i="108"/>
  <c r="X71" i="108"/>
  <c r="AD71" i="108"/>
  <c r="AA71" i="108"/>
  <c r="AG71" i="108"/>
  <c r="AU79" i="107"/>
  <c r="AO79" i="107"/>
  <c r="BD79" i="107"/>
  <c r="BB79" i="107"/>
  <c r="AQ79" i="107"/>
  <c r="AP79" i="107"/>
  <c r="AI79" i="107"/>
  <c r="AX79" i="107"/>
  <c r="P79" i="107"/>
  <c r="AK79" i="107"/>
  <c r="AW79" i="107"/>
  <c r="BA79" i="107"/>
  <c r="AJ79" i="107"/>
  <c r="AY79" i="107"/>
  <c r="AS79" i="107"/>
  <c r="AV79" i="107"/>
  <c r="AT79" i="107"/>
  <c r="AZ79" i="107"/>
  <c r="AN79" i="107"/>
  <c r="AM79" i="107"/>
  <c r="AR79" i="107"/>
  <c r="AL79" i="107"/>
  <c r="BC79" i="107"/>
  <c r="R79" i="107"/>
  <c r="AW66" i="107"/>
  <c r="AQ66" i="107"/>
  <c r="AO66" i="107"/>
  <c r="AM66" i="107"/>
  <c r="BB66" i="107"/>
  <c r="AT66" i="107"/>
  <c r="AI66" i="107"/>
  <c r="AJ66" i="107"/>
  <c r="AL66" i="107"/>
  <c r="AS66" i="107"/>
  <c r="AV66" i="107"/>
  <c r="AR66" i="107"/>
  <c r="AX66" i="107"/>
  <c r="AZ66" i="107"/>
  <c r="BC66" i="107"/>
  <c r="AK66" i="107"/>
  <c r="AP66" i="107"/>
  <c r="AN66" i="107"/>
  <c r="BD66" i="107"/>
  <c r="AU66" i="107"/>
  <c r="BA66" i="107"/>
  <c r="AY66" i="107"/>
  <c r="M8" i="51"/>
  <c r="AN101" i="107"/>
  <c r="AP101" i="107"/>
  <c r="BB101" i="107"/>
  <c r="AJ101" i="107"/>
  <c r="AL101" i="107"/>
  <c r="AV101" i="107"/>
  <c r="AW101" i="107"/>
  <c r="AU101" i="107"/>
  <c r="AR101" i="107"/>
  <c r="AI101" i="107"/>
  <c r="AQ101" i="107"/>
  <c r="AZ101" i="107"/>
  <c r="AT101" i="107"/>
  <c r="AS101" i="107"/>
  <c r="AM101" i="107"/>
  <c r="BC101" i="107"/>
  <c r="BD101" i="107"/>
  <c r="AK101" i="107"/>
  <c r="BA101" i="107"/>
  <c r="AY101" i="107"/>
  <c r="AO101" i="107"/>
  <c r="AX101" i="107"/>
  <c r="AE58" i="108"/>
  <c r="AD58" i="108"/>
  <c r="AC58" i="108"/>
  <c r="AA58" i="108"/>
  <c r="Z58" i="108"/>
  <c r="Y58" i="108"/>
  <c r="X58" i="108"/>
  <c r="AF58" i="108"/>
  <c r="AH58" i="108"/>
  <c r="AB58" i="108"/>
  <c r="AG58" i="108"/>
  <c r="Y73" i="108"/>
  <c r="AD73" i="108"/>
  <c r="AB73" i="108"/>
  <c r="Z73" i="108"/>
  <c r="X73" i="108"/>
  <c r="AH73" i="108"/>
  <c r="AE73" i="108"/>
  <c r="AG73" i="108"/>
  <c r="AA73" i="108"/>
  <c r="AF73" i="108"/>
  <c r="AC73" i="108"/>
  <c r="Y67" i="108"/>
  <c r="X67" i="108"/>
  <c r="AF67" i="108"/>
  <c r="AD67" i="108"/>
  <c r="AH67" i="108"/>
  <c r="AB67" i="108"/>
  <c r="AE67" i="108"/>
  <c r="AA67" i="108"/>
  <c r="AG67" i="108"/>
  <c r="AC67" i="108"/>
  <c r="Z67" i="108"/>
  <c r="AR60" i="107"/>
  <c r="AN60" i="107"/>
  <c r="AW60" i="107"/>
  <c r="AL60" i="107"/>
  <c r="AK60" i="107"/>
  <c r="AO60" i="107"/>
  <c r="AJ60" i="107"/>
  <c r="AT60" i="107"/>
  <c r="AX60" i="107"/>
  <c r="AQ60" i="107"/>
  <c r="AS60" i="107"/>
  <c r="BD60" i="107"/>
  <c r="AU60" i="107"/>
  <c r="AP60" i="107"/>
  <c r="AI60" i="107"/>
  <c r="AV60" i="107"/>
  <c r="BC60" i="107"/>
  <c r="BB60" i="107"/>
  <c r="BA60" i="107"/>
  <c r="AY60" i="107"/>
  <c r="AM60" i="107"/>
  <c r="AZ60" i="107"/>
  <c r="AV83" i="107"/>
  <c r="AZ83" i="107"/>
  <c r="AS83" i="107"/>
  <c r="AQ83" i="107"/>
  <c r="AR83" i="107"/>
  <c r="AI83" i="107"/>
  <c r="AM83" i="107"/>
  <c r="BA83" i="107"/>
  <c r="AX83" i="107"/>
  <c r="AY83" i="107"/>
  <c r="AL83" i="107"/>
  <c r="AT83" i="107"/>
  <c r="BB83" i="107"/>
  <c r="AW83" i="107"/>
  <c r="BC83" i="107"/>
  <c r="AJ83" i="107"/>
  <c r="AP83" i="107"/>
  <c r="AO83" i="107"/>
  <c r="AU83" i="107"/>
  <c r="AN83" i="107"/>
  <c r="AK83" i="107"/>
  <c r="BD83" i="107"/>
  <c r="AS72" i="107"/>
  <c r="AR72" i="107"/>
  <c r="AZ72" i="107"/>
  <c r="BC72" i="107"/>
  <c r="AW72" i="107"/>
  <c r="AJ72" i="107"/>
  <c r="AK72" i="107"/>
  <c r="BA72" i="107"/>
  <c r="BB72" i="107"/>
  <c r="AN72" i="107"/>
  <c r="AX72" i="107"/>
  <c r="AU72" i="107"/>
  <c r="AT72" i="107"/>
  <c r="AV72" i="107"/>
  <c r="AO72" i="107"/>
  <c r="AY72" i="107"/>
  <c r="AL72" i="107"/>
  <c r="AM72" i="107"/>
  <c r="BD72" i="107"/>
  <c r="AQ72" i="107"/>
  <c r="AI72" i="107"/>
  <c r="AP72" i="107"/>
  <c r="AP96" i="107"/>
  <c r="AU96" i="107"/>
  <c r="AL96" i="107"/>
  <c r="AZ96" i="107"/>
  <c r="AO96" i="107"/>
  <c r="BA96" i="107"/>
  <c r="AT96" i="107"/>
  <c r="AK96" i="107"/>
  <c r="AS96" i="107"/>
  <c r="AY96" i="107"/>
  <c r="AQ96" i="107"/>
  <c r="AJ96" i="107"/>
  <c r="AX96" i="107"/>
  <c r="BB96" i="107"/>
  <c r="AI96" i="107"/>
  <c r="AR96" i="107"/>
  <c r="AV96" i="107"/>
  <c r="BC96" i="107"/>
  <c r="AN96" i="107"/>
  <c r="BD96" i="107"/>
  <c r="AM96" i="107"/>
  <c r="AW96" i="107"/>
  <c r="Z65" i="108"/>
  <c r="AB65" i="108"/>
  <c r="X65" i="108"/>
  <c r="AG65" i="108"/>
  <c r="AD65" i="108"/>
  <c r="AA65" i="108"/>
  <c r="Y65" i="108"/>
  <c r="AH65" i="108"/>
  <c r="AF65" i="108"/>
  <c r="AE65" i="108"/>
  <c r="AC65" i="108"/>
  <c r="X78" i="108"/>
  <c r="AF78" i="108"/>
  <c r="AC78" i="108"/>
  <c r="AE78" i="108"/>
  <c r="Y78" i="108"/>
  <c r="AD78" i="108"/>
  <c r="AG78" i="108"/>
  <c r="AA78" i="108"/>
  <c r="AB78" i="108"/>
  <c r="Z78" i="108"/>
  <c r="AH78" i="108"/>
  <c r="AA13" i="102"/>
  <c r="AA46" i="102"/>
  <c r="AA22" i="102"/>
  <c r="AA24" i="102"/>
  <c r="AA38" i="102"/>
  <c r="AA11" i="102"/>
  <c r="AA37" i="102"/>
  <c r="AA45" i="102"/>
  <c r="AA15" i="102"/>
  <c r="AA33" i="102"/>
  <c r="AA40" i="102"/>
  <c r="AA41" i="102"/>
  <c r="AA26" i="102"/>
  <c r="AA44" i="102"/>
  <c r="AA49" i="102"/>
  <c r="AA28" i="102"/>
  <c r="AA50" i="102"/>
  <c r="AA27" i="102"/>
  <c r="AA17" i="102"/>
  <c r="AA6" i="102"/>
  <c r="AA31" i="102"/>
  <c r="AA9" i="102"/>
  <c r="AA5" i="102"/>
  <c r="AA39" i="102"/>
  <c r="AA8" i="102"/>
  <c r="AA34" i="102"/>
  <c r="AA48" i="102"/>
  <c r="AA29" i="102"/>
  <c r="AA47" i="102"/>
  <c r="AA12" i="102"/>
  <c r="AA30" i="102"/>
  <c r="AA43" i="102"/>
  <c r="AA21" i="102"/>
  <c r="AA10" i="102"/>
  <c r="AA42" i="102"/>
  <c r="AA14" i="102"/>
  <c r="AA7" i="102"/>
  <c r="AA32" i="102"/>
  <c r="AA18" i="102"/>
  <c r="AA36" i="102"/>
  <c r="AA25" i="102"/>
  <c r="AA16" i="102"/>
  <c r="AA51" i="102"/>
  <c r="AA20" i="102"/>
  <c r="AA23" i="102"/>
  <c r="AA19" i="102"/>
  <c r="AA35" i="102"/>
  <c r="Q55" i="51"/>
  <c r="Q60" i="51" s="1"/>
  <c r="M12" i="51"/>
  <c r="AC56" i="108"/>
  <c r="AE56" i="108"/>
  <c r="AH56" i="108"/>
  <c r="AG56" i="108"/>
  <c r="AB56" i="108"/>
  <c r="Z56" i="108"/>
  <c r="AF56" i="108"/>
  <c r="AD56" i="108"/>
  <c r="AA56" i="108"/>
  <c r="X56" i="108"/>
  <c r="Y56" i="108"/>
  <c r="AS58" i="107"/>
  <c r="AY58" i="107"/>
  <c r="AW58" i="107"/>
  <c r="AV58" i="107"/>
  <c r="AL58" i="107"/>
  <c r="AJ58" i="107"/>
  <c r="AI58" i="107"/>
  <c r="BA58" i="107"/>
  <c r="T10" i="109" s="1"/>
  <c r="AK58" i="107"/>
  <c r="AM58" i="107"/>
  <c r="AX58" i="107"/>
  <c r="BD58" i="107"/>
  <c r="AQ58" i="107"/>
  <c r="AO58" i="107"/>
  <c r="AP58" i="107"/>
  <c r="AZ58" i="107"/>
  <c r="BB58" i="107"/>
  <c r="AU58" i="107"/>
  <c r="AN58" i="107"/>
  <c r="AT58" i="107"/>
  <c r="AR58" i="107"/>
  <c r="BC58" i="107"/>
  <c r="X83" i="108"/>
  <c r="AG83" i="108"/>
  <c r="AF83" i="108"/>
  <c r="AE83" i="108"/>
  <c r="AB83" i="108"/>
  <c r="Z83" i="108"/>
  <c r="AH83" i="108"/>
  <c r="AD83" i="108"/>
  <c r="Y83" i="108"/>
  <c r="AA83" i="108"/>
  <c r="AC83" i="108"/>
  <c r="AT92" i="107"/>
  <c r="AL92" i="107"/>
  <c r="BD92" i="107"/>
  <c r="AY92" i="107"/>
  <c r="AW92" i="107"/>
  <c r="BC92" i="107"/>
  <c r="AU92" i="107"/>
  <c r="BB92" i="107"/>
  <c r="AP92" i="107"/>
  <c r="AQ92" i="107"/>
  <c r="BA92" i="107"/>
  <c r="AV92" i="107"/>
  <c r="AO92" i="107"/>
  <c r="AS92" i="107"/>
  <c r="AK92" i="107"/>
  <c r="AX92" i="107"/>
  <c r="AN92" i="107"/>
  <c r="AM92" i="107"/>
  <c r="AJ92" i="107"/>
  <c r="AZ92" i="107"/>
  <c r="AI92" i="107"/>
  <c r="AR92" i="107"/>
  <c r="M13" i="51"/>
  <c r="AH57" i="108"/>
  <c r="Z57" i="108"/>
  <c r="AE57" i="108"/>
  <c r="AD57" i="108"/>
  <c r="AG57" i="108"/>
  <c r="AB57" i="108"/>
  <c r="AF57" i="108"/>
  <c r="AA57" i="108"/>
  <c r="Y57" i="108"/>
  <c r="AC57" i="108"/>
  <c r="X57" i="108"/>
  <c r="AF70" i="108"/>
  <c r="AE70" i="108"/>
  <c r="AD70" i="108"/>
  <c r="AC70" i="108"/>
  <c r="Z70" i="108"/>
  <c r="X70" i="108"/>
  <c r="AH70" i="108"/>
  <c r="Y70" i="108"/>
  <c r="AB70" i="108"/>
  <c r="AG70" i="108"/>
  <c r="AA70" i="108"/>
  <c r="Z85" i="108"/>
  <c r="X85" i="108"/>
  <c r="AB85" i="108"/>
  <c r="AH85" i="108"/>
  <c r="Y85" i="108"/>
  <c r="AE85" i="108"/>
  <c r="AA85" i="108"/>
  <c r="AF85" i="108"/>
  <c r="AG85" i="108"/>
  <c r="AD85" i="108"/>
  <c r="AC85" i="108"/>
  <c r="AU82" i="107"/>
  <c r="AO82" i="107"/>
  <c r="AS82" i="107"/>
  <c r="AZ82" i="107"/>
  <c r="AY82" i="107"/>
  <c r="AW82" i="107"/>
  <c r="AT82" i="107"/>
  <c r="BA82" i="107"/>
  <c r="AJ82" i="107"/>
  <c r="AX82" i="107"/>
  <c r="AN82" i="107"/>
  <c r="AV82" i="107"/>
  <c r="AR82" i="107"/>
  <c r="AI82" i="107"/>
  <c r="AM82" i="107"/>
  <c r="BD82" i="107"/>
  <c r="AQ82" i="107"/>
  <c r="AP82" i="107"/>
  <c r="BB82" i="107"/>
  <c r="AK82" i="107"/>
  <c r="AL82" i="107"/>
  <c r="BC82" i="107"/>
  <c r="BB70" i="107"/>
  <c r="AS70" i="107"/>
  <c r="AP70" i="107"/>
  <c r="AO70" i="107"/>
  <c r="AW70" i="107"/>
  <c r="AR70" i="107"/>
  <c r="BA70" i="107"/>
  <c r="BD70" i="107"/>
  <c r="AM70" i="107"/>
  <c r="AJ70" i="107"/>
  <c r="AU70" i="107"/>
  <c r="AK70" i="107"/>
  <c r="AN70" i="107"/>
  <c r="BC70" i="107"/>
  <c r="AQ70" i="107"/>
  <c r="AZ70" i="107"/>
  <c r="AT70" i="107"/>
  <c r="AV70" i="107"/>
  <c r="AY70" i="107"/>
  <c r="AX70" i="107"/>
  <c r="AI70" i="107"/>
  <c r="AL70" i="107"/>
  <c r="AO95" i="107"/>
  <c r="BD95" i="107"/>
  <c r="BB95" i="107"/>
  <c r="AZ95" i="107"/>
  <c r="AX95" i="107"/>
  <c r="BA95" i="107"/>
  <c r="AY95" i="107"/>
  <c r="AL95" i="107"/>
  <c r="BC95" i="107"/>
  <c r="AW95" i="107"/>
  <c r="AS95" i="107"/>
  <c r="AP95" i="107"/>
  <c r="AV95" i="107"/>
  <c r="AU95" i="107"/>
  <c r="AI95" i="107"/>
  <c r="AT95" i="107"/>
  <c r="AR95" i="107"/>
  <c r="AQ95" i="107"/>
  <c r="AM95" i="107"/>
  <c r="AJ95" i="107"/>
  <c r="AN95" i="107"/>
  <c r="AK95" i="107"/>
  <c r="AG52" i="108"/>
  <c r="AD52" i="108"/>
  <c r="AA52" i="108"/>
  <c r="AH52" i="108"/>
  <c r="AB52" i="108"/>
  <c r="AC52" i="108"/>
  <c r="AF52" i="108"/>
  <c r="AE52" i="108"/>
  <c r="Z52" i="108"/>
  <c r="X52" i="108"/>
  <c r="Y52" i="108"/>
  <c r="AH77" i="108"/>
  <c r="AC77" i="108"/>
  <c r="Y77" i="108"/>
  <c r="Z77" i="108"/>
  <c r="AB77" i="108"/>
  <c r="X77" i="108"/>
  <c r="AD77" i="108"/>
  <c r="AF77" i="108"/>
  <c r="AA77" i="108"/>
  <c r="AE77" i="108"/>
  <c r="AG77" i="108"/>
  <c r="AY99" i="107"/>
  <c r="AL99" i="107"/>
  <c r="AX99" i="107"/>
  <c r="AO99" i="107"/>
  <c r="AI99" i="107"/>
  <c r="AP99" i="107"/>
  <c r="AW99" i="107"/>
  <c r="AQ99" i="107"/>
  <c r="AK99" i="107"/>
  <c r="AN99" i="107"/>
  <c r="AU99" i="107"/>
  <c r="AT99" i="107"/>
  <c r="BB99" i="107"/>
  <c r="AS99" i="107"/>
  <c r="BD99" i="107"/>
  <c r="AM99" i="107"/>
  <c r="AV99" i="107"/>
  <c r="BA99" i="107"/>
  <c r="AR99" i="107"/>
  <c r="AJ99" i="107"/>
  <c r="BC99" i="107"/>
  <c r="AZ99" i="107"/>
  <c r="BB76" i="107"/>
  <c r="BC76" i="107"/>
  <c r="AT76" i="107"/>
  <c r="R76" i="107"/>
  <c r="AL76" i="107"/>
  <c r="AZ76" i="107"/>
  <c r="P76" i="107"/>
  <c r="AQ76" i="107"/>
  <c r="AR76" i="107"/>
  <c r="BD76" i="107"/>
  <c r="AX76" i="107"/>
  <c r="AP76" i="107"/>
  <c r="AM76" i="107"/>
  <c r="AK76" i="107"/>
  <c r="AW76" i="107"/>
  <c r="BA76" i="107"/>
  <c r="AV76" i="107"/>
  <c r="AJ76" i="107"/>
  <c r="AN76" i="107"/>
  <c r="AY76" i="107"/>
  <c r="AI76" i="107"/>
  <c r="AU76" i="107"/>
  <c r="AO76" i="107"/>
  <c r="AS76" i="107"/>
  <c r="M36" i="51"/>
  <c r="M47" i="51"/>
  <c r="M28" i="51"/>
  <c r="M26" i="51"/>
  <c r="M38" i="51"/>
  <c r="M11" i="51"/>
  <c r="AG68" i="108"/>
  <c r="AA68" i="108"/>
  <c r="X68" i="108"/>
  <c r="AE68" i="108"/>
  <c r="AC68" i="108"/>
  <c r="Z68" i="108"/>
  <c r="AH68" i="108"/>
  <c r="AF68" i="108"/>
  <c r="AD68" i="108"/>
  <c r="AB68" i="108"/>
  <c r="Y68" i="108"/>
  <c r="BA74" i="107"/>
  <c r="AS74" i="107"/>
  <c r="AN74" i="107"/>
  <c r="R74" i="107"/>
  <c r="AR74" i="107"/>
  <c r="P74" i="107"/>
  <c r="AW74" i="107"/>
  <c r="AI74" i="107"/>
  <c r="BB74" i="107"/>
  <c r="AZ74" i="107"/>
  <c r="AV74" i="107"/>
  <c r="AU74" i="107"/>
  <c r="AM74" i="107"/>
  <c r="AT74" i="107"/>
  <c r="AX74" i="107"/>
  <c r="AJ74" i="107"/>
  <c r="BD74" i="107"/>
  <c r="AK74" i="107"/>
  <c r="AQ74" i="107"/>
  <c r="BC74" i="107"/>
  <c r="AY74" i="107"/>
  <c r="AP74" i="107"/>
  <c r="AO74" i="107"/>
  <c r="AL74" i="107"/>
  <c r="BD65" i="107"/>
  <c r="BA65" i="107"/>
  <c r="AZ65" i="107"/>
  <c r="AK65" i="107"/>
  <c r="AL65" i="107"/>
  <c r="AP65" i="107"/>
  <c r="BB65" i="107"/>
  <c r="AN65" i="107"/>
  <c r="AQ65" i="107"/>
  <c r="AS65" i="107"/>
  <c r="AU65" i="107"/>
  <c r="AV65" i="107"/>
  <c r="AY65" i="107"/>
  <c r="AI65" i="107"/>
  <c r="AO65" i="107"/>
  <c r="AM65" i="107"/>
  <c r="AX65" i="107"/>
  <c r="BC65" i="107"/>
  <c r="AW65" i="107"/>
  <c r="AR65" i="107"/>
  <c r="AJ65" i="107"/>
  <c r="AT65" i="107"/>
  <c r="AA48" i="108"/>
  <c r="AB48" i="108"/>
  <c r="AE48" i="108"/>
  <c r="AH48" i="108"/>
  <c r="X48" i="108"/>
  <c r="AG48" i="108"/>
  <c r="AD48" i="108"/>
  <c r="AF48" i="108"/>
  <c r="AC48" i="108"/>
  <c r="Z48" i="108"/>
  <c r="Y48" i="108"/>
  <c r="V48" i="55"/>
  <c r="V48" i="103" s="1"/>
  <c r="Y44" i="55"/>
  <c r="AH55" i="51"/>
  <c r="AH60" i="51" s="1"/>
  <c r="AH45" i="52" s="1"/>
  <c r="L48" i="56"/>
  <c r="M31" i="51"/>
  <c r="M25" i="51"/>
  <c r="P44" i="55"/>
  <c r="P49" i="55" s="1"/>
  <c r="W44" i="55"/>
  <c r="S55" i="51"/>
  <c r="S60" i="51" s="1"/>
  <c r="S19" i="52" s="1"/>
  <c r="M32" i="51"/>
  <c r="M17" i="51"/>
  <c r="M51" i="51"/>
  <c r="Q44" i="55"/>
  <c r="U55" i="51"/>
  <c r="U60" i="51" s="1"/>
  <c r="U47" i="52" s="1"/>
  <c r="X69" i="108"/>
  <c r="AG69" i="108"/>
  <c r="AC69" i="108"/>
  <c r="AB69" i="108"/>
  <c r="AH69" i="108"/>
  <c r="AD69" i="108"/>
  <c r="Z69" i="108"/>
  <c r="AA69" i="108"/>
  <c r="Y69" i="108"/>
  <c r="AF69" i="108"/>
  <c r="AE69" i="108"/>
  <c r="AK87" i="107"/>
  <c r="AQ87" i="107"/>
  <c r="AX87" i="107"/>
  <c r="BD87" i="107"/>
  <c r="AM87" i="107"/>
  <c r="AI87" i="107"/>
  <c r="AJ87" i="107"/>
  <c r="AO87" i="107"/>
  <c r="BA87" i="107"/>
  <c r="AN87" i="107"/>
  <c r="AR87" i="107"/>
  <c r="AW87" i="107"/>
  <c r="AP87" i="107"/>
  <c r="AU87" i="107"/>
  <c r="AT87" i="107"/>
  <c r="BC87" i="107"/>
  <c r="Z87" i="107"/>
  <c r="BB87" i="107"/>
  <c r="AL87" i="107"/>
  <c r="AZ87" i="107"/>
  <c r="AV87" i="107"/>
  <c r="AY87" i="107"/>
  <c r="AS87" i="107"/>
  <c r="X82" i="108"/>
  <c r="AH82" i="108"/>
  <c r="AA82" i="108"/>
  <c r="AF82" i="108"/>
  <c r="AC82" i="108"/>
  <c r="Z82" i="108"/>
  <c r="AE82" i="108"/>
  <c r="AD82" i="108"/>
  <c r="AB82" i="108"/>
  <c r="Y82" i="108"/>
  <c r="AG82" i="108"/>
  <c r="AT81" i="107"/>
  <c r="AL81" i="107"/>
  <c r="BA81" i="107"/>
  <c r="AZ81" i="107"/>
  <c r="AS81" i="107"/>
  <c r="AX81" i="107"/>
  <c r="BD81" i="107"/>
  <c r="AM81" i="107"/>
  <c r="AR81" i="107"/>
  <c r="BB81" i="107"/>
  <c r="AO81" i="107"/>
  <c r="AY81" i="107"/>
  <c r="AN81" i="107"/>
  <c r="AW81" i="107"/>
  <c r="AV81" i="107"/>
  <c r="AJ81" i="107"/>
  <c r="AP81" i="107"/>
  <c r="AU81" i="107"/>
  <c r="AK81" i="107"/>
  <c r="R81" i="107"/>
  <c r="AQ81" i="107"/>
  <c r="AI81" i="107"/>
  <c r="P81" i="107"/>
  <c r="BC81" i="107"/>
  <c r="AZ68" i="107"/>
  <c r="AP68" i="107"/>
  <c r="AO68" i="107"/>
  <c r="AT68" i="107"/>
  <c r="BA68" i="107"/>
  <c r="AU68" i="107"/>
  <c r="AL68" i="107"/>
  <c r="AX68" i="107"/>
  <c r="AW68" i="107"/>
  <c r="BD68" i="107"/>
  <c r="AR68" i="107"/>
  <c r="AV68" i="107"/>
  <c r="AS68" i="107"/>
  <c r="AK68" i="107"/>
  <c r="AY68" i="107"/>
  <c r="AI68" i="107"/>
  <c r="BB68" i="107"/>
  <c r="AN68" i="107"/>
  <c r="AJ68" i="107"/>
  <c r="AM68" i="107"/>
  <c r="AQ68" i="107"/>
  <c r="BC68" i="107"/>
  <c r="AV94" i="107"/>
  <c r="AT94" i="107"/>
  <c r="AW94" i="107"/>
  <c r="AQ94" i="107"/>
  <c r="AN94" i="107"/>
  <c r="AY94" i="107"/>
  <c r="AR94" i="107"/>
  <c r="AU94" i="107"/>
  <c r="BC94" i="107"/>
  <c r="AS94" i="107"/>
  <c r="BB94" i="107"/>
  <c r="BA94" i="107"/>
  <c r="AP94" i="107"/>
  <c r="AZ94" i="107"/>
  <c r="AJ94" i="107"/>
  <c r="AL94" i="107"/>
  <c r="BD94" i="107"/>
  <c r="AO94" i="107"/>
  <c r="AX94" i="107"/>
  <c r="AM94" i="107"/>
  <c r="AI94" i="107"/>
  <c r="AK94" i="107"/>
  <c r="AE51" i="108"/>
  <c r="AD51" i="108"/>
  <c r="X51" i="108"/>
  <c r="AG51" i="108"/>
  <c r="AH51" i="108"/>
  <c r="AC51" i="108"/>
  <c r="AF51" i="108"/>
  <c r="AB51" i="108"/>
  <c r="AA51" i="108"/>
  <c r="Z51" i="108"/>
  <c r="Y51" i="108"/>
  <c r="AC64" i="108"/>
  <c r="Y64" i="108"/>
  <c r="X64" i="108"/>
  <c r="AG64" i="108"/>
  <c r="AE64" i="108"/>
  <c r="AA64" i="108"/>
  <c r="Z64" i="108"/>
  <c r="AH64" i="108"/>
  <c r="AD64" i="108"/>
  <c r="AB64" i="108"/>
  <c r="AF64" i="108"/>
  <c r="AS78" i="107"/>
  <c r="P78" i="107"/>
  <c r="AJ78" i="107"/>
  <c r="AL78" i="107"/>
  <c r="AI78" i="107"/>
  <c r="AQ78" i="107"/>
  <c r="AT78" i="107"/>
  <c r="AK78" i="107"/>
  <c r="BC78" i="107"/>
  <c r="AM78" i="107"/>
  <c r="AP78" i="107"/>
  <c r="R78" i="107"/>
  <c r="AY78" i="107"/>
  <c r="BB78" i="107"/>
  <c r="BA78" i="107"/>
  <c r="AZ78" i="107"/>
  <c r="AO78" i="107"/>
  <c r="AX78" i="107"/>
  <c r="AU78" i="107"/>
  <c r="AV78" i="107"/>
  <c r="AR78" i="107"/>
  <c r="AW78" i="107"/>
  <c r="AN78" i="107"/>
  <c r="BD78" i="107"/>
  <c r="AS71" i="107"/>
  <c r="AY71" i="107"/>
  <c r="AX71" i="107"/>
  <c r="AM71" i="107"/>
  <c r="AV71" i="107"/>
  <c r="AW71" i="107"/>
  <c r="AJ71" i="107"/>
  <c r="BA71" i="107"/>
  <c r="AL71" i="107"/>
  <c r="AQ71" i="107"/>
  <c r="AZ71" i="107"/>
  <c r="BD71" i="107"/>
  <c r="AU71" i="107"/>
  <c r="AK71" i="107"/>
  <c r="AI71" i="107"/>
  <c r="AP71" i="107"/>
  <c r="AT71" i="107"/>
  <c r="AR71" i="107"/>
  <c r="BB71" i="107"/>
  <c r="AN71" i="107"/>
  <c r="AO71" i="107"/>
  <c r="BC71" i="107"/>
  <c r="AR86" i="107"/>
  <c r="AO86" i="107"/>
  <c r="AJ86" i="107"/>
  <c r="AI86" i="107"/>
  <c r="AU86" i="107"/>
  <c r="BB86" i="107"/>
  <c r="AS86" i="107"/>
  <c r="AZ86" i="107"/>
  <c r="AX86" i="107"/>
  <c r="AT86" i="107"/>
  <c r="AY86" i="107"/>
  <c r="AV86" i="107"/>
  <c r="BC86" i="107"/>
  <c r="AW86" i="107"/>
  <c r="AN86" i="107"/>
  <c r="AL86" i="107"/>
  <c r="BD86" i="107"/>
  <c r="AK86" i="107"/>
  <c r="AM86" i="107"/>
  <c r="BA86" i="107"/>
  <c r="AQ86" i="107"/>
  <c r="AP86" i="107"/>
  <c r="BC77" i="107"/>
  <c r="AS77" i="107"/>
  <c r="AZ77" i="107"/>
  <c r="BA77" i="107"/>
  <c r="AR77" i="107"/>
  <c r="AY77" i="107"/>
  <c r="AV77" i="107"/>
  <c r="BB77" i="107"/>
  <c r="AX77" i="107"/>
  <c r="AP77" i="107"/>
  <c r="AN77" i="107"/>
  <c r="AW77" i="107"/>
  <c r="AL77" i="107"/>
  <c r="AM77" i="107"/>
  <c r="AJ77" i="107"/>
  <c r="AT77" i="107"/>
  <c r="AU77" i="107"/>
  <c r="BD77" i="107"/>
  <c r="AI77" i="107"/>
  <c r="AK77" i="107"/>
  <c r="AO77" i="107"/>
  <c r="AQ77" i="107"/>
  <c r="AC55" i="51"/>
  <c r="AC60" i="51" s="1"/>
  <c r="AC16" i="52" s="1"/>
  <c r="AG80" i="108"/>
  <c r="AH80" i="108"/>
  <c r="AA80" i="108"/>
  <c r="AB80" i="108"/>
  <c r="X80" i="108"/>
  <c r="AF80" i="108"/>
  <c r="AD80" i="108"/>
  <c r="AC80" i="108"/>
  <c r="AE80" i="108"/>
  <c r="Y80" i="108"/>
  <c r="Z80" i="108"/>
  <c r="AZ91" i="107"/>
  <c r="AM91" i="107"/>
  <c r="Z91" i="107"/>
  <c r="AU91" i="107"/>
  <c r="BD91" i="107"/>
  <c r="AO91" i="107"/>
  <c r="AW91" i="107"/>
  <c r="BA91" i="107"/>
  <c r="AT91" i="107"/>
  <c r="AL91" i="107"/>
  <c r="AS91" i="107"/>
  <c r="BB91" i="107"/>
  <c r="AY91" i="107"/>
  <c r="AR91" i="107"/>
  <c r="AP91" i="107"/>
  <c r="AK91" i="107"/>
  <c r="AI91" i="107"/>
  <c r="AX91" i="107"/>
  <c r="AN91" i="107"/>
  <c r="AJ91" i="107"/>
  <c r="BC91" i="107"/>
  <c r="AV91" i="107"/>
  <c r="AQ91" i="107"/>
  <c r="AA60" i="108"/>
  <c r="X60" i="108"/>
  <c r="AG60" i="108"/>
  <c r="AE60" i="108"/>
  <c r="AB60" i="108"/>
  <c r="AF60" i="108"/>
  <c r="AD60" i="108"/>
  <c r="Z60" i="108"/>
  <c r="AC60" i="108"/>
  <c r="Y60" i="108"/>
  <c r="AH60" i="108"/>
  <c r="N48" i="57"/>
  <c r="N48" i="56"/>
  <c r="V48" i="57"/>
  <c r="V48" i="56"/>
  <c r="L28" i="52"/>
  <c r="L14" i="52"/>
  <c r="L29" i="52"/>
  <c r="L10" i="52"/>
  <c r="L5" i="52"/>
  <c r="L42" i="52"/>
  <c r="L19" i="52"/>
  <c r="L46" i="52"/>
  <c r="L35" i="52"/>
  <c r="L39" i="52"/>
  <c r="L33" i="52"/>
  <c r="L43" i="52"/>
  <c r="L26" i="52"/>
  <c r="L6" i="52"/>
  <c r="L21" i="52"/>
  <c r="L27" i="52"/>
  <c r="L50" i="52"/>
  <c r="L11" i="52"/>
  <c r="L17" i="52"/>
  <c r="L31" i="52"/>
  <c r="L25" i="52"/>
  <c r="L20" i="52"/>
  <c r="L49" i="52"/>
  <c r="L32" i="52"/>
  <c r="L24" i="52"/>
  <c r="L23" i="52"/>
  <c r="L15" i="52"/>
  <c r="L13" i="52"/>
  <c r="L37" i="52"/>
  <c r="L51" i="52"/>
  <c r="L41" i="52"/>
  <c r="L12" i="52"/>
  <c r="L45" i="52"/>
  <c r="L44" i="52"/>
  <c r="L7" i="52"/>
  <c r="L48" i="52"/>
  <c r="L22" i="52"/>
  <c r="L9" i="52"/>
  <c r="L16" i="52"/>
  <c r="L8" i="52"/>
  <c r="L18" i="52"/>
  <c r="L36" i="52"/>
  <c r="L30" i="52"/>
  <c r="L40" i="52"/>
  <c r="L34" i="52"/>
  <c r="L47" i="52"/>
  <c r="L38" i="52"/>
  <c r="AH26" i="52"/>
  <c r="AH29" i="52"/>
  <c r="AH41" i="52"/>
  <c r="AH9" i="52"/>
  <c r="AH12" i="52"/>
  <c r="AH19" i="52"/>
  <c r="AH40" i="52"/>
  <c r="AH35" i="52"/>
  <c r="AH36" i="52"/>
  <c r="AH6" i="52"/>
  <c r="AH13" i="52"/>
  <c r="AH17" i="52"/>
  <c r="AH37" i="52"/>
  <c r="AH46" i="52"/>
  <c r="AH18" i="52"/>
  <c r="AH5" i="52"/>
  <c r="AH33" i="52"/>
  <c r="AH23" i="52"/>
  <c r="AH24" i="52"/>
  <c r="AH48" i="52"/>
  <c r="AH28" i="52"/>
  <c r="AH21" i="52"/>
  <c r="AH25" i="52"/>
  <c r="AI20" i="52"/>
  <c r="AI12" i="52"/>
  <c r="AI19" i="52"/>
  <c r="AI17" i="52"/>
  <c r="AI48" i="52"/>
  <c r="AI41" i="52"/>
  <c r="AI51" i="52"/>
  <c r="AI50" i="52"/>
  <c r="AI21" i="52"/>
  <c r="AI24" i="52"/>
  <c r="AI47" i="52"/>
  <c r="AI33" i="52"/>
  <c r="AI18" i="52"/>
  <c r="AI15" i="52"/>
  <c r="AI13" i="52"/>
  <c r="AI11" i="52"/>
  <c r="AI37" i="52"/>
  <c r="AI6" i="52"/>
  <c r="AI32" i="52"/>
  <c r="AI49" i="52"/>
  <c r="AI22" i="52"/>
  <c r="AI31" i="52"/>
  <c r="AI28" i="52"/>
  <c r="AI46" i="52"/>
  <c r="AI16" i="52"/>
  <c r="AI9" i="52"/>
  <c r="AI5" i="52"/>
  <c r="AI10" i="52"/>
  <c r="AI36" i="52"/>
  <c r="AI29" i="52"/>
  <c r="AI45" i="52"/>
  <c r="AI39" i="52"/>
  <c r="AI43" i="52"/>
  <c r="AI34" i="52"/>
  <c r="AI38" i="52"/>
  <c r="AI26" i="52"/>
  <c r="AI14" i="52"/>
  <c r="AI7" i="52"/>
  <c r="AI25" i="52"/>
  <c r="AI8" i="52"/>
  <c r="AI23" i="52"/>
  <c r="AI35" i="52"/>
  <c r="AI30" i="52"/>
  <c r="AI40" i="52"/>
  <c r="AI44" i="52"/>
  <c r="AI27" i="52"/>
  <c r="AI42" i="52"/>
  <c r="P48" i="57"/>
  <c r="P48" i="56"/>
  <c r="T49" i="55"/>
  <c r="R11" i="56"/>
  <c r="R5" i="56"/>
  <c r="R21" i="56"/>
  <c r="R25" i="56"/>
  <c r="R13" i="56"/>
  <c r="R34" i="56"/>
  <c r="R42" i="56"/>
  <c r="R31" i="56"/>
  <c r="R15" i="56"/>
  <c r="R39" i="56"/>
  <c r="R9" i="56"/>
  <c r="R8" i="56"/>
  <c r="R32" i="56"/>
  <c r="R17" i="56"/>
  <c r="R30" i="56"/>
  <c r="R22" i="56"/>
  <c r="R41" i="56"/>
  <c r="R14" i="56"/>
  <c r="R33" i="56"/>
  <c r="R36" i="56"/>
  <c r="R10" i="56"/>
  <c r="R6" i="56"/>
  <c r="R24" i="56"/>
  <c r="R28" i="56"/>
  <c r="R37" i="56"/>
  <c r="R38" i="56"/>
  <c r="R27" i="56"/>
  <c r="R19" i="56"/>
  <c r="R12" i="56"/>
  <c r="R7" i="56"/>
  <c r="R29" i="56"/>
  <c r="R16" i="56"/>
  <c r="R20" i="56"/>
  <c r="R18" i="56"/>
  <c r="R26" i="56"/>
  <c r="R40" i="56"/>
  <c r="R35" i="56"/>
  <c r="R23" i="56"/>
  <c r="O25" i="52"/>
  <c r="O15" i="52"/>
  <c r="O18" i="52"/>
  <c r="O16" i="52"/>
  <c r="O30" i="52"/>
  <c r="O38" i="52"/>
  <c r="O28" i="52"/>
  <c r="O42" i="52"/>
  <c r="O32" i="52"/>
  <c r="O26" i="52"/>
  <c r="O36" i="52"/>
  <c r="O50" i="52"/>
  <c r="O19" i="52"/>
  <c r="O12" i="52"/>
  <c r="O13" i="52"/>
  <c r="O6" i="52"/>
  <c r="O23" i="52"/>
  <c r="O27" i="52"/>
  <c r="O44" i="52"/>
  <c r="O31" i="52"/>
  <c r="O48" i="52"/>
  <c r="O46" i="52"/>
  <c r="O29" i="52"/>
  <c r="O43" i="52"/>
  <c r="O17" i="52"/>
  <c r="O11" i="52"/>
  <c r="O8" i="52"/>
  <c r="O9" i="52"/>
  <c r="O40" i="52"/>
  <c r="O47" i="52"/>
  <c r="O37" i="52"/>
  <c r="O51" i="52"/>
  <c r="O24" i="52"/>
  <c r="O35" i="52"/>
  <c r="O49" i="52"/>
  <c r="O10" i="52"/>
  <c r="O20" i="52"/>
  <c r="O7" i="52"/>
  <c r="O5" i="52"/>
  <c r="O14" i="52"/>
  <c r="O33" i="52"/>
  <c r="O41" i="52"/>
  <c r="O21" i="52"/>
  <c r="O22" i="52"/>
  <c r="O45" i="52"/>
  <c r="O39" i="52"/>
  <c r="O34" i="52"/>
  <c r="S43" i="52"/>
  <c r="S15" i="52"/>
  <c r="S33" i="52"/>
  <c r="P23" i="52"/>
  <c r="P15" i="52"/>
  <c r="P8" i="52"/>
  <c r="P10" i="52"/>
  <c r="P9" i="52"/>
  <c r="P11" i="52"/>
  <c r="P50" i="52"/>
  <c r="P41" i="52"/>
  <c r="P51" i="52"/>
  <c r="P39" i="52"/>
  <c r="P46" i="52"/>
  <c r="P29" i="52"/>
  <c r="P21" i="52"/>
  <c r="P13" i="52"/>
  <c r="P5" i="52"/>
  <c r="P6" i="52"/>
  <c r="P12" i="52"/>
  <c r="P7" i="52"/>
  <c r="P31" i="52"/>
  <c r="P40" i="52"/>
  <c r="P36" i="52"/>
  <c r="P44" i="52"/>
  <c r="P43" i="52"/>
  <c r="P27" i="52"/>
  <c r="P19" i="52"/>
  <c r="P26" i="52"/>
  <c r="P24" i="52"/>
  <c r="P22" i="52"/>
  <c r="P20" i="52"/>
  <c r="P45" i="52"/>
  <c r="P47" i="52"/>
  <c r="P38" i="52"/>
  <c r="P49" i="52"/>
  <c r="P33" i="52"/>
  <c r="P48" i="52"/>
  <c r="P25" i="52"/>
  <c r="P17" i="52"/>
  <c r="P18" i="52"/>
  <c r="P16" i="52"/>
  <c r="P14" i="52"/>
  <c r="P28" i="52"/>
  <c r="P34" i="52"/>
  <c r="P32" i="52"/>
  <c r="P35" i="52"/>
  <c r="P42" i="52"/>
  <c r="P30" i="52"/>
  <c r="P37" i="52"/>
  <c r="U8" i="56"/>
  <c r="U29" i="56"/>
  <c r="U11" i="56"/>
  <c r="U41" i="56"/>
  <c r="U33" i="56"/>
  <c r="U15" i="56"/>
  <c r="U37" i="56"/>
  <c r="U40" i="56"/>
  <c r="U34" i="56"/>
  <c r="U9" i="56"/>
  <c r="U25" i="56"/>
  <c r="U35" i="56"/>
  <c r="U22" i="56"/>
  <c r="U42" i="56"/>
  <c r="U20" i="56"/>
  <c r="U26" i="56"/>
  <c r="U30" i="56"/>
  <c r="U14" i="56"/>
  <c r="U16" i="56"/>
  <c r="U7" i="56"/>
  <c r="U21" i="56"/>
  <c r="U6" i="56"/>
  <c r="U38" i="56"/>
  <c r="U19" i="56"/>
  <c r="U36" i="56"/>
  <c r="U23" i="56"/>
  <c r="U27" i="56"/>
  <c r="U31" i="56"/>
  <c r="U10" i="56"/>
  <c r="U5" i="56"/>
  <c r="U17" i="56"/>
  <c r="U18" i="56"/>
  <c r="U13" i="56"/>
  <c r="U39" i="56"/>
  <c r="U12" i="56"/>
  <c r="U24" i="56"/>
  <c r="U28" i="56"/>
  <c r="U32" i="56"/>
  <c r="L16" i="56"/>
  <c r="L7" i="56"/>
  <c r="L30" i="56"/>
  <c r="L30" i="58" s="1"/>
  <c r="L11" i="56"/>
  <c r="L25" i="56"/>
  <c r="L15" i="56"/>
  <c r="L15" i="57" s="1"/>
  <c r="L24" i="56"/>
  <c r="L24" i="58" s="1"/>
  <c r="L12" i="56"/>
  <c r="L34" i="56"/>
  <c r="L38" i="56"/>
  <c r="L10" i="56"/>
  <c r="L10" i="58" s="1"/>
  <c r="L5" i="56"/>
  <c r="L29" i="56"/>
  <c r="L26" i="56"/>
  <c r="L17" i="56"/>
  <c r="L8" i="56"/>
  <c r="L35" i="56"/>
  <c r="L35" i="58" s="1"/>
  <c r="L22" i="56"/>
  <c r="L18" i="56"/>
  <c r="L18" i="58" s="1"/>
  <c r="L28" i="56"/>
  <c r="L20" i="56"/>
  <c r="L42" i="56"/>
  <c r="L42" i="58" s="1"/>
  <c r="L31" i="56"/>
  <c r="L39" i="56"/>
  <c r="L39" i="57" s="1"/>
  <c r="L9" i="56"/>
  <c r="L13" i="56"/>
  <c r="L13" i="58" s="1"/>
  <c r="L21" i="56"/>
  <c r="L6" i="56"/>
  <c r="L33" i="56"/>
  <c r="L36" i="56"/>
  <c r="L36" i="58" s="1"/>
  <c r="L27" i="56"/>
  <c r="L27" i="57" s="1"/>
  <c r="L37" i="56"/>
  <c r="L41" i="56"/>
  <c r="L40" i="56"/>
  <c r="L32" i="56"/>
  <c r="L14" i="56"/>
  <c r="L23" i="56"/>
  <c r="L23" i="58" s="1"/>
  <c r="L19" i="56"/>
  <c r="L19" i="58" s="1"/>
  <c r="T48" i="57"/>
  <c r="T48" i="56"/>
  <c r="Z48" i="56"/>
  <c r="Z48" i="57"/>
  <c r="U48" i="56"/>
  <c r="U48" i="57"/>
  <c r="AA44" i="53"/>
  <c r="Z44" i="107" s="1"/>
  <c r="Z96" i="107" s="1"/>
  <c r="AA30" i="53"/>
  <c r="Z30" i="107" s="1"/>
  <c r="Z82" i="107" s="1"/>
  <c r="AA13" i="53"/>
  <c r="Z13" i="107" s="1"/>
  <c r="Z65" i="107" s="1"/>
  <c r="AA43" i="53"/>
  <c r="Z43" i="107" s="1"/>
  <c r="Z95" i="107" s="1"/>
  <c r="AA17" i="53"/>
  <c r="Z17" i="107" s="1"/>
  <c r="Z69" i="107" s="1"/>
  <c r="AA39" i="53"/>
  <c r="Z39" i="107" s="1"/>
  <c r="AA24" i="53"/>
  <c r="Z24" i="107" s="1"/>
  <c r="Z76" i="107" s="1"/>
  <c r="AA9" i="53"/>
  <c r="Z9" i="107" s="1"/>
  <c r="Z61" i="107" s="1"/>
  <c r="AA11" i="53"/>
  <c r="Z11" i="107" s="1"/>
  <c r="Z63" i="107" s="1"/>
  <c r="AA15" i="53"/>
  <c r="Z15" i="107" s="1"/>
  <c r="Z67" i="107" s="1"/>
  <c r="AA37" i="53"/>
  <c r="Z37" i="107" s="1"/>
  <c r="Z89" i="107" s="1"/>
  <c r="AA7" i="53"/>
  <c r="Z7" i="107" s="1"/>
  <c r="Z59" i="107" s="1"/>
  <c r="AA41" i="53"/>
  <c r="Z41" i="107" s="1"/>
  <c r="Z93" i="107" s="1"/>
  <c r="AA25" i="53"/>
  <c r="Z25" i="107" s="1"/>
  <c r="Z77" i="107" s="1"/>
  <c r="AA10" i="53"/>
  <c r="Z10" i="107" s="1"/>
  <c r="Z62" i="107" s="1"/>
  <c r="AA40" i="53"/>
  <c r="Z40" i="107" s="1"/>
  <c r="Z92" i="107" s="1"/>
  <c r="AA6" i="53"/>
  <c r="Z6" i="107" s="1"/>
  <c r="Z58" i="107" s="1"/>
  <c r="AA35" i="53"/>
  <c r="Z35" i="107" s="1"/>
  <c r="AA20" i="53"/>
  <c r="Z20" i="107" s="1"/>
  <c r="Z72" i="107" s="1"/>
  <c r="AA38" i="53"/>
  <c r="Z38" i="107" s="1"/>
  <c r="Z90" i="107" s="1"/>
  <c r="AA45" i="53"/>
  <c r="Z45" i="107" s="1"/>
  <c r="Z97" i="107" s="1"/>
  <c r="AA23" i="53"/>
  <c r="Z23" i="107" s="1"/>
  <c r="Z75" i="107" s="1"/>
  <c r="AA51" i="53"/>
  <c r="Z51" i="107" s="1"/>
  <c r="Z103" i="107" s="1"/>
  <c r="AA48" i="53"/>
  <c r="Z48" i="107" s="1"/>
  <c r="Z100" i="107" s="1"/>
  <c r="AA36" i="53"/>
  <c r="Z36" i="107" s="1"/>
  <c r="Z88" i="107" s="1"/>
  <c r="AA22" i="53"/>
  <c r="Z22" i="107" s="1"/>
  <c r="Z74" i="107" s="1"/>
  <c r="AA5" i="53"/>
  <c r="Z5" i="107" s="1"/>
  <c r="Z57" i="107" s="1"/>
  <c r="AA29" i="53"/>
  <c r="Z29" i="107" s="1"/>
  <c r="Z81" i="107" s="1"/>
  <c r="AA50" i="53"/>
  <c r="Z50" i="107" s="1"/>
  <c r="Z102" i="107" s="1"/>
  <c r="AA32" i="53"/>
  <c r="Z32" i="107" s="1"/>
  <c r="Z84" i="107" s="1"/>
  <c r="AA16" i="53"/>
  <c r="Z16" i="107" s="1"/>
  <c r="Z68" i="107" s="1"/>
  <c r="AA27" i="53"/>
  <c r="Z27" i="107" s="1"/>
  <c r="Z79" i="107" s="1"/>
  <c r="AA42" i="53"/>
  <c r="Z42" i="107" s="1"/>
  <c r="Z94" i="107" s="1"/>
  <c r="AA19" i="53"/>
  <c r="Z19" i="107" s="1"/>
  <c r="Z71" i="107" s="1"/>
  <c r="AA34" i="53"/>
  <c r="Z34" i="107" s="1"/>
  <c r="Z86" i="107" s="1"/>
  <c r="AA49" i="53"/>
  <c r="Z49" i="107" s="1"/>
  <c r="Z101" i="107" s="1"/>
  <c r="AA33" i="53"/>
  <c r="Z33" i="107" s="1"/>
  <c r="Z85" i="107" s="1"/>
  <c r="AA18" i="53"/>
  <c r="Z18" i="107" s="1"/>
  <c r="Z70" i="107" s="1"/>
  <c r="AA47" i="53"/>
  <c r="Z47" i="107" s="1"/>
  <c r="Z99" i="107" s="1"/>
  <c r="AA21" i="53"/>
  <c r="Z21" i="107" s="1"/>
  <c r="Z73" i="107" s="1"/>
  <c r="AA46" i="53"/>
  <c r="Z46" i="107" s="1"/>
  <c r="Z98" i="107" s="1"/>
  <c r="AA28" i="53"/>
  <c r="Z28" i="107" s="1"/>
  <c r="Z80" i="107" s="1"/>
  <c r="AA12" i="53"/>
  <c r="Z12" i="107" s="1"/>
  <c r="Z64" i="107" s="1"/>
  <c r="AA14" i="53"/>
  <c r="Z14" i="107" s="1"/>
  <c r="Z66" i="107" s="1"/>
  <c r="AA31" i="53"/>
  <c r="Z31" i="107" s="1"/>
  <c r="Z83" i="107" s="1"/>
  <c r="AA8" i="53"/>
  <c r="Z8" i="107" s="1"/>
  <c r="Z60" i="107" s="1"/>
  <c r="AA26" i="53"/>
  <c r="Z26" i="107" s="1"/>
  <c r="Z78" i="107" s="1"/>
  <c r="R24" i="52"/>
  <c r="R16" i="52"/>
  <c r="R19" i="52"/>
  <c r="R7" i="52"/>
  <c r="R8" i="52"/>
  <c r="R6" i="52"/>
  <c r="R43" i="52"/>
  <c r="R47" i="52"/>
  <c r="R49" i="52"/>
  <c r="R35" i="52"/>
  <c r="R42" i="52"/>
  <c r="R40" i="52"/>
  <c r="R22" i="52"/>
  <c r="R14" i="52"/>
  <c r="R9" i="52"/>
  <c r="R23" i="52"/>
  <c r="R5" i="52"/>
  <c r="R29" i="52"/>
  <c r="R44" i="52"/>
  <c r="R32" i="52"/>
  <c r="R38" i="52"/>
  <c r="R37" i="52"/>
  <c r="R39" i="52"/>
  <c r="R28" i="52"/>
  <c r="R20" i="52"/>
  <c r="R12" i="52"/>
  <c r="R25" i="52"/>
  <c r="R15" i="52"/>
  <c r="R21" i="52"/>
  <c r="R13" i="52"/>
  <c r="R45" i="52"/>
  <c r="R31" i="52"/>
  <c r="R51" i="52"/>
  <c r="R50" i="52"/>
  <c r="R36" i="52"/>
  <c r="R26" i="52"/>
  <c r="R18" i="52"/>
  <c r="R27" i="52"/>
  <c r="R17" i="52"/>
  <c r="R11" i="52"/>
  <c r="R10" i="52"/>
  <c r="R46" i="52"/>
  <c r="R30" i="52"/>
  <c r="R33" i="52"/>
  <c r="R34" i="52"/>
  <c r="R48" i="52"/>
  <c r="R41" i="52"/>
  <c r="V56" i="51"/>
  <c r="V54" i="102" s="1"/>
  <c r="V58" i="102" s="1"/>
  <c r="Y56" i="51"/>
  <c r="V60" i="51"/>
  <c r="M64" i="51"/>
  <c r="M70" i="51" s="1"/>
  <c r="X42" i="52"/>
  <c r="X49" i="52"/>
  <c r="X35" i="52"/>
  <c r="X20" i="52"/>
  <c r="X47" i="52"/>
  <c r="X50" i="52"/>
  <c r="X31" i="52"/>
  <c r="X37" i="52"/>
  <c r="X22" i="52"/>
  <c r="X45" i="52"/>
  <c r="X40" i="52"/>
  <c r="X41" i="52"/>
  <c r="X29" i="52"/>
  <c r="X21" i="52"/>
  <c r="X46" i="52"/>
  <c r="X34" i="52"/>
  <c r="X8" i="52"/>
  <c r="X32" i="52"/>
  <c r="X12" i="52"/>
  <c r="X9" i="52"/>
  <c r="X33" i="52"/>
  <c r="X17" i="52"/>
  <c r="X44" i="52"/>
  <c r="X16" i="52"/>
  <c r="X48" i="52"/>
  <c r="X10" i="52"/>
  <c r="X23" i="52"/>
  <c r="X14" i="52"/>
  <c r="X15" i="52"/>
  <c r="X39" i="52"/>
  <c r="X43" i="52"/>
  <c r="X38" i="52"/>
  <c r="X36" i="52"/>
  <c r="X27" i="52"/>
  <c r="X19" i="52"/>
  <c r="X28" i="52"/>
  <c r="X26" i="52"/>
  <c r="X5" i="52"/>
  <c r="X24" i="52"/>
  <c r="X11" i="52"/>
  <c r="X13" i="52"/>
  <c r="X30" i="52"/>
  <c r="X51" i="52"/>
  <c r="X25" i="52"/>
  <c r="X18" i="52"/>
  <c r="X6" i="52"/>
  <c r="X7" i="52"/>
  <c r="O8" i="56"/>
  <c r="O10" i="56"/>
  <c r="O7" i="56"/>
  <c r="O13" i="56"/>
  <c r="O38" i="56"/>
  <c r="O33" i="56"/>
  <c r="O14" i="56"/>
  <c r="O35" i="56"/>
  <c r="O9" i="56"/>
  <c r="O15" i="56"/>
  <c r="O30" i="56"/>
  <c r="O39" i="56"/>
  <c r="O31" i="56"/>
  <c r="O32" i="56"/>
  <c r="O36" i="56"/>
  <c r="O6" i="56"/>
  <c r="O26" i="56"/>
  <c r="O34" i="56"/>
  <c r="O24" i="56"/>
  <c r="O28" i="56"/>
  <c r="O37" i="56"/>
  <c r="O21" i="56"/>
  <c r="O16" i="56"/>
  <c r="O11" i="56"/>
  <c r="O23" i="56"/>
  <c r="O22" i="56"/>
  <c r="O40" i="56"/>
  <c r="O29" i="56"/>
  <c r="O19" i="56"/>
  <c r="O41" i="56"/>
  <c r="O20" i="56"/>
  <c r="O27" i="56"/>
  <c r="O17" i="56"/>
  <c r="O18" i="56"/>
  <c r="O12" i="56"/>
  <c r="O42" i="56"/>
  <c r="O25" i="56"/>
  <c r="O5" i="56"/>
  <c r="M11" i="56"/>
  <c r="M16" i="56"/>
  <c r="M10" i="56"/>
  <c r="M12" i="56"/>
  <c r="M18" i="56"/>
  <c r="M26" i="56"/>
  <c r="M31" i="56"/>
  <c r="M20" i="56"/>
  <c r="M24" i="56"/>
  <c r="M15" i="56"/>
  <c r="M9" i="56"/>
  <c r="M8" i="56"/>
  <c r="M40" i="56"/>
  <c r="M13" i="56"/>
  <c r="M34" i="56"/>
  <c r="M42" i="56"/>
  <c r="M32" i="56"/>
  <c r="M21" i="56"/>
  <c r="M25" i="56"/>
  <c r="M33" i="56"/>
  <c r="M7" i="56"/>
  <c r="M41" i="56"/>
  <c r="M36" i="56"/>
  <c r="M30" i="56"/>
  <c r="M22" i="56"/>
  <c r="M29" i="56"/>
  <c r="M19" i="56"/>
  <c r="M23" i="56"/>
  <c r="M27" i="56"/>
  <c r="M5" i="56"/>
  <c r="M37" i="56"/>
  <c r="M6" i="56"/>
  <c r="M17" i="56"/>
  <c r="M38" i="56"/>
  <c r="M14" i="56"/>
  <c r="M35" i="56"/>
  <c r="M39" i="56"/>
  <c r="M28" i="56"/>
  <c r="M48" i="56"/>
  <c r="M48" i="57"/>
  <c r="O48" i="56"/>
  <c r="O48" i="57"/>
  <c r="Z49" i="55"/>
  <c r="Z50" i="53"/>
  <c r="Y50" i="107" s="1"/>
  <c r="Y102" i="107" s="1"/>
  <c r="Z34" i="53"/>
  <c r="Y34" i="107" s="1"/>
  <c r="Y86" i="107" s="1"/>
  <c r="Z19" i="53"/>
  <c r="Y19" i="107" s="1"/>
  <c r="Y71" i="107" s="1"/>
  <c r="Z51" i="53"/>
  <c r="Y51" i="107" s="1"/>
  <c r="Y103" i="107" s="1"/>
  <c r="Z33" i="53"/>
  <c r="Y33" i="107" s="1"/>
  <c r="Y85" i="107" s="1"/>
  <c r="Z10" i="53"/>
  <c r="Y10" i="107" s="1"/>
  <c r="Y62" i="107" s="1"/>
  <c r="Z36" i="53"/>
  <c r="Y36" i="107" s="1"/>
  <c r="Y88" i="107" s="1"/>
  <c r="Z17" i="53"/>
  <c r="Y17" i="107" s="1"/>
  <c r="Y69" i="107" s="1"/>
  <c r="Z46" i="53"/>
  <c r="Y46" i="107" s="1"/>
  <c r="Y98" i="107" s="1"/>
  <c r="Z41" i="53"/>
  <c r="Y41" i="107" s="1"/>
  <c r="Y93" i="107" s="1"/>
  <c r="Z20" i="53"/>
  <c r="Y20" i="107" s="1"/>
  <c r="Y72" i="107" s="1"/>
  <c r="Z15" i="53"/>
  <c r="Y15" i="107" s="1"/>
  <c r="Y67" i="107" s="1"/>
  <c r="Z47" i="53"/>
  <c r="Y47" i="107" s="1"/>
  <c r="Y99" i="107" s="1"/>
  <c r="Z31" i="53"/>
  <c r="Y31" i="107" s="1"/>
  <c r="Y83" i="107" s="1"/>
  <c r="Z16" i="53"/>
  <c r="Y16" i="107" s="1"/>
  <c r="Y68" i="107" s="1"/>
  <c r="Z48" i="53"/>
  <c r="Y48" i="107" s="1"/>
  <c r="Y100" i="107" s="1"/>
  <c r="Z26" i="53"/>
  <c r="Y26" i="107" s="1"/>
  <c r="Y78" i="107" s="1"/>
  <c r="Z7" i="53"/>
  <c r="Y7" i="107" s="1"/>
  <c r="Y59" i="107" s="1"/>
  <c r="Z29" i="53"/>
  <c r="Y29" i="107" s="1"/>
  <c r="Y81" i="107" s="1"/>
  <c r="Z13" i="53"/>
  <c r="Y13" i="107" s="1"/>
  <c r="Y65" i="107" s="1"/>
  <c r="Z35" i="53"/>
  <c r="Y35" i="107" s="1"/>
  <c r="Y87" i="107" s="1"/>
  <c r="Z38" i="53"/>
  <c r="Y38" i="107" s="1"/>
  <c r="Y90" i="107" s="1"/>
  <c r="Z12" i="53"/>
  <c r="Y12" i="107" s="1"/>
  <c r="Y64" i="107" s="1"/>
  <c r="Z5" i="53"/>
  <c r="Y5" i="107" s="1"/>
  <c r="Y57" i="107" s="1"/>
  <c r="Z42" i="53"/>
  <c r="Y42" i="107" s="1"/>
  <c r="Y94" i="107" s="1"/>
  <c r="Z28" i="53"/>
  <c r="Y28" i="107" s="1"/>
  <c r="Y80" i="107" s="1"/>
  <c r="Z11" i="53"/>
  <c r="Y11" i="107" s="1"/>
  <c r="Y63" i="107" s="1"/>
  <c r="Z44" i="53"/>
  <c r="Y44" i="107" s="1"/>
  <c r="Y96" i="107" s="1"/>
  <c r="Z22" i="53"/>
  <c r="Y22" i="107" s="1"/>
  <c r="Y74" i="107" s="1"/>
  <c r="Z43" i="53"/>
  <c r="Y43" i="107" s="1"/>
  <c r="Y95" i="107" s="1"/>
  <c r="Z25" i="53"/>
  <c r="Y25" i="107" s="1"/>
  <c r="Y77" i="107" s="1"/>
  <c r="Z6" i="53"/>
  <c r="Y6" i="107" s="1"/>
  <c r="Y58" i="107" s="1"/>
  <c r="Z32" i="53"/>
  <c r="Y32" i="107" s="1"/>
  <c r="Y84" i="107" s="1"/>
  <c r="Z30" i="53"/>
  <c r="Y30" i="107" s="1"/>
  <c r="Y82" i="107" s="1"/>
  <c r="Z9" i="53"/>
  <c r="Y9" i="107" s="1"/>
  <c r="Y61" i="107" s="1"/>
  <c r="Z18" i="53"/>
  <c r="Y18" i="107" s="1"/>
  <c r="Y70" i="107" s="1"/>
  <c r="Z39" i="53"/>
  <c r="Y39" i="107" s="1"/>
  <c r="Y91" i="107" s="1"/>
  <c r="Z23" i="53"/>
  <c r="Y23" i="107" s="1"/>
  <c r="Y75" i="107" s="1"/>
  <c r="Z8" i="53"/>
  <c r="Y8" i="107" s="1"/>
  <c r="Y60" i="107" s="1"/>
  <c r="Z37" i="53"/>
  <c r="Y37" i="107" s="1"/>
  <c r="Y89" i="107" s="1"/>
  <c r="Z14" i="53"/>
  <c r="Y14" i="107" s="1"/>
  <c r="Y66" i="107" s="1"/>
  <c r="Z40" i="53"/>
  <c r="Y40" i="107" s="1"/>
  <c r="Y92" i="107" s="1"/>
  <c r="Z21" i="53"/>
  <c r="Y21" i="107" s="1"/>
  <c r="Y73" i="107" s="1"/>
  <c r="Z49" i="53"/>
  <c r="Y49" i="107" s="1"/>
  <c r="Y101" i="107" s="1"/>
  <c r="Z24" i="53"/>
  <c r="Y24" i="107" s="1"/>
  <c r="Y76" i="107" s="1"/>
  <c r="Z27" i="53"/>
  <c r="Y27" i="107" s="1"/>
  <c r="Y79" i="107" s="1"/>
  <c r="Z45" i="53"/>
  <c r="Y45" i="107" s="1"/>
  <c r="Y97" i="107" s="1"/>
  <c r="W50" i="52"/>
  <c r="W44" i="52"/>
  <c r="W30" i="52"/>
  <c r="W22" i="52"/>
  <c r="W14" i="52"/>
  <c r="W45" i="52"/>
  <c r="W41" i="52"/>
  <c r="W23" i="52"/>
  <c r="W46" i="52"/>
  <c r="W34" i="52"/>
  <c r="W5" i="52"/>
  <c r="W15" i="52"/>
  <c r="W47" i="52"/>
  <c r="W42" i="52"/>
  <c r="W28" i="52"/>
  <c r="W20" i="52"/>
  <c r="W12" i="52"/>
  <c r="W43" i="52"/>
  <c r="W39" i="52"/>
  <c r="W13" i="52"/>
  <c r="W29" i="52"/>
  <c r="W27" i="52"/>
  <c r="W25" i="52"/>
  <c r="W17" i="52"/>
  <c r="W40" i="52"/>
  <c r="W37" i="52"/>
  <c r="W26" i="52"/>
  <c r="W18" i="52"/>
  <c r="W51" i="52"/>
  <c r="W38" i="52"/>
  <c r="W36" i="52"/>
  <c r="W10" i="52"/>
  <c r="W21" i="52"/>
  <c r="W19" i="52"/>
  <c r="W33" i="52"/>
  <c r="W6" i="52"/>
  <c r="W49" i="52"/>
  <c r="W32" i="52"/>
  <c r="W24" i="52"/>
  <c r="W16" i="52"/>
  <c r="W48" i="52"/>
  <c r="W35" i="52"/>
  <c r="W31" i="52"/>
  <c r="W9" i="52"/>
  <c r="W7" i="52"/>
  <c r="W8" i="52"/>
  <c r="W11" i="52"/>
  <c r="Q22" i="52"/>
  <c r="Q13" i="52"/>
  <c r="Q14" i="52"/>
  <c r="Q8" i="52"/>
  <c r="Q40" i="52"/>
  <c r="Q38" i="52"/>
  <c r="Q12" i="52"/>
  <c r="Q42" i="52"/>
  <c r="Q41" i="52"/>
  <c r="Q43" i="52"/>
  <c r="Q34" i="52"/>
  <c r="Q28" i="52"/>
  <c r="Q16" i="52"/>
  <c r="Q10" i="52"/>
  <c r="Q9" i="52"/>
  <c r="Q5" i="52"/>
  <c r="Q33" i="52"/>
  <c r="Q35" i="52"/>
  <c r="Q44" i="52"/>
  <c r="Q39" i="52"/>
  <c r="Q30" i="52"/>
  <c r="Q32" i="52"/>
  <c r="Q19" i="52"/>
  <c r="Q26" i="52"/>
  <c r="Q29" i="52"/>
  <c r="Q6" i="52"/>
  <c r="Q46" i="52"/>
  <c r="Q15" i="52"/>
  <c r="Q49" i="52"/>
  <c r="Q51" i="52"/>
  <c r="Q37" i="52"/>
  <c r="Q20" i="52"/>
  <c r="Q50" i="52"/>
  <c r="Q25" i="52"/>
  <c r="Q47" i="52"/>
  <c r="Q24" i="52"/>
  <c r="Q21" i="52"/>
  <c r="Q27" i="52"/>
  <c r="Q23" i="52"/>
  <c r="Q36" i="52"/>
  <c r="Q7" i="52"/>
  <c r="Q31" i="52"/>
  <c r="Q18" i="52"/>
  <c r="Q17" i="52"/>
  <c r="Q11" i="52"/>
  <c r="Q45" i="52"/>
  <c r="Q48" i="52"/>
  <c r="AC18" i="52"/>
  <c r="AC49" i="52"/>
  <c r="AC51" i="52"/>
  <c r="AC14" i="52"/>
  <c r="AC12" i="52"/>
  <c r="AC28" i="52"/>
  <c r="AC48" i="52"/>
  <c r="AC25" i="52"/>
  <c r="AC33" i="52"/>
  <c r="AC44" i="52"/>
  <c r="AC7" i="52"/>
  <c r="AC34" i="52"/>
  <c r="AC36" i="52"/>
  <c r="L40" i="58"/>
  <c r="L28" i="57"/>
  <c r="L42" i="57"/>
  <c r="L26" i="58"/>
  <c r="L32" i="58"/>
  <c r="L31" i="58"/>
  <c r="L33" i="57"/>
  <c r="L16" i="58"/>
  <c r="L25" i="58"/>
  <c r="L12" i="57"/>
  <c r="L38" i="57"/>
  <c r="S46" i="58"/>
  <c r="S46" i="56"/>
  <c r="S46" i="57"/>
  <c r="S46" i="55"/>
  <c r="L31" i="57"/>
  <c r="L37" i="58"/>
  <c r="L16" i="57"/>
  <c r="L25" i="57"/>
  <c r="L34" i="58"/>
  <c r="Q45" i="58"/>
  <c r="Q45" i="55"/>
  <c r="Q45" i="57"/>
  <c r="Q45" i="56"/>
  <c r="L22" i="58"/>
  <c r="L28" i="58"/>
  <c r="L13" i="57"/>
  <c r="L37" i="57"/>
  <c r="L7" i="58"/>
  <c r="L11" i="58"/>
  <c r="AL54" i="53"/>
  <c r="AL54" i="54"/>
  <c r="AL54" i="52"/>
  <c r="S47" i="58"/>
  <c r="S47" i="57"/>
  <c r="S47" i="56"/>
  <c r="S47" i="55"/>
  <c r="L9" i="58"/>
  <c r="L21" i="58"/>
  <c r="L33" i="58"/>
  <c r="AB54" i="53"/>
  <c r="AB54" i="54"/>
  <c r="AB54" i="52"/>
  <c r="L7" i="57"/>
  <c r="L12" i="58"/>
  <c r="L38" i="58"/>
  <c r="D46" i="5"/>
  <c r="AB45" i="103" s="1"/>
  <c r="X49" i="103" s="1"/>
  <c r="D10" i="5"/>
  <c r="V49" i="55" l="1"/>
  <c r="L18" i="57"/>
  <c r="U6" i="52"/>
  <c r="L35" i="57"/>
  <c r="U23" i="52"/>
  <c r="S31" i="52"/>
  <c r="L24" i="57"/>
  <c r="U30" i="52"/>
  <c r="S16" i="52"/>
  <c r="AH16" i="52"/>
  <c r="AH27" i="52"/>
  <c r="AH32" i="52"/>
  <c r="L27" i="58"/>
  <c r="L15" i="58"/>
  <c r="AC42" i="52"/>
  <c r="U51" i="52"/>
  <c r="S45" i="52"/>
  <c r="AH42" i="52"/>
  <c r="AH30" i="52"/>
  <c r="AH8" i="52"/>
  <c r="S36" i="52"/>
  <c r="S46" i="52"/>
  <c r="G8" i="109"/>
  <c r="S11" i="52"/>
  <c r="AH47" i="52"/>
  <c r="AH20" i="52"/>
  <c r="AH34" i="52"/>
  <c r="L36" i="57"/>
  <c r="S51" i="52"/>
  <c r="U28" i="52"/>
  <c r="AC24" i="52"/>
  <c r="AC9" i="52"/>
  <c r="U32" i="52"/>
  <c r="AH10" i="52"/>
  <c r="AH44" i="52"/>
  <c r="AH31" i="52"/>
  <c r="O8" i="109"/>
  <c r="O11" i="109"/>
  <c r="M28" i="103"/>
  <c r="M29" i="103"/>
  <c r="M13" i="103"/>
  <c r="M16" i="103"/>
  <c r="O29" i="103"/>
  <c r="O6" i="103"/>
  <c r="O13" i="103"/>
  <c r="L6" i="103"/>
  <c r="L6" i="57"/>
  <c r="L6" i="108" s="1"/>
  <c r="L49" i="108" s="1"/>
  <c r="L6" i="58"/>
  <c r="L8" i="103"/>
  <c r="L8" i="57"/>
  <c r="L8" i="58"/>
  <c r="L8" i="108" s="1"/>
  <c r="L51" i="108" s="1"/>
  <c r="L11" i="103"/>
  <c r="L11" i="57"/>
  <c r="L11" i="108" s="1"/>
  <c r="L54" i="108" s="1"/>
  <c r="U5" i="103"/>
  <c r="U14" i="103"/>
  <c r="U15" i="103"/>
  <c r="M17" i="103"/>
  <c r="M24" i="103"/>
  <c r="O12" i="103"/>
  <c r="O30" i="103"/>
  <c r="L41" i="103"/>
  <c r="L41" i="57"/>
  <c r="L41" i="58"/>
  <c r="L20" i="103"/>
  <c r="L20" i="58"/>
  <c r="L20" i="57"/>
  <c r="L20" i="108" s="1"/>
  <c r="L63" i="108" s="1"/>
  <c r="L34" i="108"/>
  <c r="L77" i="108" s="1"/>
  <c r="L34" i="103"/>
  <c r="L34" i="57"/>
  <c r="U12" i="103"/>
  <c r="U38" i="103"/>
  <c r="U25" i="103"/>
  <c r="M7" i="103"/>
  <c r="O16" i="103"/>
  <c r="U49" i="52"/>
  <c r="U44" i="52"/>
  <c r="U42" i="52"/>
  <c r="U39" i="52"/>
  <c r="U16" i="52"/>
  <c r="U14" i="52"/>
  <c r="U43" i="52"/>
  <c r="U37" i="52"/>
  <c r="AC40" i="52"/>
  <c r="M40" i="103"/>
  <c r="O7" i="103"/>
  <c r="R27" i="54"/>
  <c r="U9" i="52"/>
  <c r="S14" i="52"/>
  <c r="R21" i="103"/>
  <c r="S21" i="103" s="1"/>
  <c r="AC29" i="52"/>
  <c r="M35" i="103"/>
  <c r="M30" i="103"/>
  <c r="M8" i="103"/>
  <c r="O5" i="103"/>
  <c r="O22" i="103"/>
  <c r="O32" i="103"/>
  <c r="O10" i="103"/>
  <c r="Y60" i="51"/>
  <c r="Y54" i="102"/>
  <c r="Y58" i="102" s="1"/>
  <c r="R22" i="54"/>
  <c r="R24" i="54"/>
  <c r="U45" i="52"/>
  <c r="U22" i="52"/>
  <c r="U17" i="52"/>
  <c r="P9" i="109"/>
  <c r="P7" i="109"/>
  <c r="P11" i="109"/>
  <c r="L27" i="108"/>
  <c r="L70" i="108" s="1"/>
  <c r="L27" i="103"/>
  <c r="L18" i="108"/>
  <c r="L61" i="108" s="1"/>
  <c r="L18" i="103"/>
  <c r="L24" i="108"/>
  <c r="L67" i="108" s="1"/>
  <c r="L24" i="103"/>
  <c r="U13" i="103"/>
  <c r="U21" i="103"/>
  <c r="U34" i="103"/>
  <c r="S32" i="52"/>
  <c r="S41" i="52"/>
  <c r="S8" i="52"/>
  <c r="S25" i="52"/>
  <c r="R23" i="103"/>
  <c r="S23" i="103" s="1"/>
  <c r="R38" i="103"/>
  <c r="S38" i="103" s="1"/>
  <c r="R17" i="103"/>
  <c r="S17" i="103" s="1"/>
  <c r="R5" i="103"/>
  <c r="G6" i="109"/>
  <c r="I8" i="110"/>
  <c r="I10" i="110"/>
  <c r="I6" i="110"/>
  <c r="R19" i="103"/>
  <c r="S19" i="103" s="1"/>
  <c r="R25" i="103"/>
  <c r="S25" i="103" s="1"/>
  <c r="AC19" i="52"/>
  <c r="M22" i="103"/>
  <c r="O40" i="103"/>
  <c r="U34" i="52"/>
  <c r="S30" i="52"/>
  <c r="R30" i="103"/>
  <c r="S30" i="103" s="1"/>
  <c r="L8" i="110"/>
  <c r="L10" i="110"/>
  <c r="L6" i="110"/>
  <c r="H6" i="109"/>
  <c r="AC50" i="52"/>
  <c r="AC31" i="52"/>
  <c r="U38" i="52"/>
  <c r="U40" i="52"/>
  <c r="U48" i="52"/>
  <c r="U25" i="52"/>
  <c r="L36" i="108"/>
  <c r="L79" i="108" s="1"/>
  <c r="L36" i="103"/>
  <c r="L22" i="103"/>
  <c r="L15" i="108"/>
  <c r="L58" i="108" s="1"/>
  <c r="L15" i="103"/>
  <c r="U18" i="103"/>
  <c r="U7" i="103"/>
  <c r="U40" i="103"/>
  <c r="S35" i="52"/>
  <c r="S9" i="52"/>
  <c r="S7" i="52"/>
  <c r="R35" i="103"/>
  <c r="S35" i="103" s="1"/>
  <c r="R37" i="103"/>
  <c r="S37" i="103" s="1"/>
  <c r="R32" i="103"/>
  <c r="S32" i="103" s="1"/>
  <c r="R11" i="103"/>
  <c r="S11" i="103" s="1"/>
  <c r="M55" i="51"/>
  <c r="M60" i="51" s="1"/>
  <c r="M37" i="52" s="1"/>
  <c r="C10" i="110"/>
  <c r="C6" i="110"/>
  <c r="C8" i="110"/>
  <c r="R22" i="103"/>
  <c r="S22" i="103" s="1"/>
  <c r="AC38" i="52"/>
  <c r="M39" i="103"/>
  <c r="M11" i="103"/>
  <c r="O36" i="103"/>
  <c r="U5" i="52"/>
  <c r="S39" i="52"/>
  <c r="S26" i="52"/>
  <c r="R27" i="103"/>
  <c r="S27" i="103" s="1"/>
  <c r="AC37" i="52"/>
  <c r="AC21" i="52"/>
  <c r="AC26" i="52"/>
  <c r="AC45" i="52"/>
  <c r="AC35" i="52"/>
  <c r="AC47" i="52"/>
  <c r="AD47" i="52" s="1"/>
  <c r="AC22" i="52"/>
  <c r="AC39" i="52"/>
  <c r="M38" i="103"/>
  <c r="M41" i="103"/>
  <c r="M15" i="103"/>
  <c r="O42" i="103"/>
  <c r="O11" i="103"/>
  <c r="O39" i="103"/>
  <c r="U26" i="52"/>
  <c r="U12" i="52"/>
  <c r="U15" i="52"/>
  <c r="U33" i="52"/>
  <c r="L33" i="108"/>
  <c r="L76" i="108" s="1"/>
  <c r="L33" i="103"/>
  <c r="L35" i="108"/>
  <c r="L78" i="108" s="1"/>
  <c r="L35" i="103"/>
  <c r="L25" i="108"/>
  <c r="L68" i="108" s="1"/>
  <c r="L25" i="103"/>
  <c r="U17" i="103"/>
  <c r="U16" i="103"/>
  <c r="U37" i="103"/>
  <c r="S38" i="52"/>
  <c r="S5" i="52"/>
  <c r="R40" i="103"/>
  <c r="S40" i="103" s="1"/>
  <c r="R28" i="103"/>
  <c r="S28" i="103" s="1"/>
  <c r="R8" i="103"/>
  <c r="S8" i="103" s="1"/>
  <c r="AH7" i="52"/>
  <c r="AH15" i="52"/>
  <c r="AH38" i="52"/>
  <c r="S13" i="52"/>
  <c r="S6" i="52"/>
  <c r="S34" i="52"/>
  <c r="S44" i="52"/>
  <c r="S29" i="52"/>
  <c r="S40" i="52"/>
  <c r="S49" i="52"/>
  <c r="S50" i="52"/>
  <c r="G8" i="110"/>
  <c r="G6" i="110"/>
  <c r="G10" i="110"/>
  <c r="M33" i="103"/>
  <c r="O18" i="103"/>
  <c r="O15" i="103"/>
  <c r="U11" i="52"/>
  <c r="U31" i="52"/>
  <c r="L21" i="108"/>
  <c r="L64" i="108" s="1"/>
  <c r="L21" i="103"/>
  <c r="L21" i="57"/>
  <c r="L17" i="103"/>
  <c r="L30" i="103"/>
  <c r="U10" i="103"/>
  <c r="U30" i="103"/>
  <c r="U33" i="103"/>
  <c r="S20" i="52"/>
  <c r="S17" i="52"/>
  <c r="S27" i="52"/>
  <c r="R18" i="103"/>
  <c r="S18" i="103" s="1"/>
  <c r="R6" i="103"/>
  <c r="S6" i="103" s="1"/>
  <c r="R39" i="103"/>
  <c r="S39" i="103" s="1"/>
  <c r="J6" i="110"/>
  <c r="J10" i="110"/>
  <c r="J8" i="110"/>
  <c r="AA53" i="102"/>
  <c r="M6" i="103"/>
  <c r="M20" i="103"/>
  <c r="O21" i="103"/>
  <c r="U13" i="52"/>
  <c r="AC32" i="52"/>
  <c r="AC41" i="52"/>
  <c r="AC41" i="54" s="1"/>
  <c r="AD41" i="54" s="1"/>
  <c r="AC30" i="52"/>
  <c r="O7" i="109"/>
  <c r="O9" i="109"/>
  <c r="M37" i="103"/>
  <c r="M25" i="103"/>
  <c r="M31" i="103"/>
  <c r="O17" i="103"/>
  <c r="O37" i="103"/>
  <c r="O9" i="103"/>
  <c r="U35" i="52"/>
  <c r="U21" i="52"/>
  <c r="U46" i="52"/>
  <c r="S12" i="52"/>
  <c r="S21" i="52"/>
  <c r="S37" i="52"/>
  <c r="R20" i="103"/>
  <c r="S20" i="103" s="1"/>
  <c r="R10" i="103"/>
  <c r="S10" i="103" s="1"/>
  <c r="R15" i="103"/>
  <c r="S15" i="103" s="1"/>
  <c r="N8" i="109"/>
  <c r="V38" i="56"/>
  <c r="V34" i="56"/>
  <c r="V15" i="56"/>
  <c r="V36" i="56"/>
  <c r="V33" i="56"/>
  <c r="V23" i="56"/>
  <c r="H8" i="110"/>
  <c r="H10" i="110"/>
  <c r="H6" i="110"/>
  <c r="O35" i="103"/>
  <c r="U24" i="52"/>
  <c r="R36" i="103"/>
  <c r="S36" i="103" s="1"/>
  <c r="AC46" i="52"/>
  <c r="AC27" i="52"/>
  <c r="AC43" i="52"/>
  <c r="AC23" i="52"/>
  <c r="AC23" i="54" s="1"/>
  <c r="AD23" i="54" s="1"/>
  <c r="M5" i="103"/>
  <c r="L29" i="103"/>
  <c r="O20" i="103"/>
  <c r="U8" i="103"/>
  <c r="S48" i="52"/>
  <c r="R34" i="103"/>
  <c r="S34" i="103" s="1"/>
  <c r="K8" i="110"/>
  <c r="K6" i="110"/>
  <c r="K10" i="110"/>
  <c r="U10" i="109"/>
  <c r="M21" i="103"/>
  <c r="M26" i="103"/>
  <c r="O27" i="103"/>
  <c r="O28" i="103"/>
  <c r="U50" i="52"/>
  <c r="U29" i="52"/>
  <c r="L23" i="103"/>
  <c r="L9" i="103"/>
  <c r="L16" i="108"/>
  <c r="L59" i="108" s="1"/>
  <c r="L16" i="103"/>
  <c r="U27" i="103"/>
  <c r="U20" i="103"/>
  <c r="U11" i="103"/>
  <c r="R16" i="103"/>
  <c r="S16" i="103" s="1"/>
  <c r="R31" i="103"/>
  <c r="S31" i="103" s="1"/>
  <c r="L9" i="57"/>
  <c r="L9" i="108" s="1"/>
  <c r="L52" i="108" s="1"/>
  <c r="AC15" i="52"/>
  <c r="AC11" i="52"/>
  <c r="AC17" i="52"/>
  <c r="M27" i="103"/>
  <c r="M32" i="103"/>
  <c r="M18" i="103"/>
  <c r="O24" i="103"/>
  <c r="O14" i="103"/>
  <c r="U19" i="52"/>
  <c r="U41" i="52"/>
  <c r="U18" i="52"/>
  <c r="L14" i="103"/>
  <c r="L39" i="103"/>
  <c r="L5" i="103"/>
  <c r="L5" i="58"/>
  <c r="U32" i="103"/>
  <c r="U23" i="103"/>
  <c r="U42" i="103"/>
  <c r="U29" i="103"/>
  <c r="S10" i="52"/>
  <c r="S42" i="52"/>
  <c r="S28" i="52"/>
  <c r="R29" i="103"/>
  <c r="S29" i="103" s="1"/>
  <c r="R33" i="103"/>
  <c r="S33" i="103" s="1"/>
  <c r="R42" i="103"/>
  <c r="S42" i="103" s="1"/>
  <c r="L17" i="58"/>
  <c r="AC6" i="52"/>
  <c r="AC8" i="52"/>
  <c r="AC20" i="52"/>
  <c r="M23" i="103"/>
  <c r="M42" i="103"/>
  <c r="M12" i="103"/>
  <c r="O41" i="103"/>
  <c r="O34" i="103"/>
  <c r="O33" i="103"/>
  <c r="R21" i="54"/>
  <c r="U27" i="52"/>
  <c r="U7" i="52"/>
  <c r="U20" i="52"/>
  <c r="L32" i="103"/>
  <c r="L31" i="108"/>
  <c r="L74" i="108" s="1"/>
  <c r="L31" i="103"/>
  <c r="L10" i="103"/>
  <c r="U28" i="103"/>
  <c r="U36" i="103"/>
  <c r="U22" i="103"/>
  <c r="S23" i="52"/>
  <c r="S47" i="52"/>
  <c r="R7" i="103"/>
  <c r="S7" i="103" s="1"/>
  <c r="R14" i="103"/>
  <c r="S14" i="103" s="1"/>
  <c r="L39" i="58"/>
  <c r="L39" i="108" s="1"/>
  <c r="L82" i="108" s="1"/>
  <c r="L30" i="57"/>
  <c r="L30" i="108" s="1"/>
  <c r="L73" i="108" s="1"/>
  <c r="L29" i="58"/>
  <c r="AC5" i="52"/>
  <c r="AC5" i="54" s="1"/>
  <c r="AC13" i="52"/>
  <c r="AC10" i="52"/>
  <c r="M19" i="103"/>
  <c r="M34" i="103"/>
  <c r="M10" i="103"/>
  <c r="O19" i="103"/>
  <c r="O26" i="103"/>
  <c r="O38" i="103"/>
  <c r="R23" i="54"/>
  <c r="U36" i="52"/>
  <c r="U36" i="54" s="1"/>
  <c r="U10" i="52"/>
  <c r="U8" i="52"/>
  <c r="U8" i="54" s="1"/>
  <c r="L40" i="103"/>
  <c r="L42" i="108"/>
  <c r="L85" i="108" s="1"/>
  <c r="L42" i="103"/>
  <c r="L38" i="108"/>
  <c r="L81" i="108" s="1"/>
  <c r="L38" i="103"/>
  <c r="U24" i="103"/>
  <c r="U19" i="103"/>
  <c r="U35" i="103"/>
  <c r="S22" i="52"/>
  <c r="S24" i="52"/>
  <c r="S18" i="52"/>
  <c r="AH43" i="52"/>
  <c r="AH50" i="52"/>
  <c r="AH22" i="52"/>
  <c r="AH49" i="52"/>
  <c r="AH14" i="52"/>
  <c r="AH51" i="52"/>
  <c r="AH39" i="52"/>
  <c r="AH11" i="52"/>
  <c r="B8" i="110"/>
  <c r="B6" i="110"/>
  <c r="B10" i="110"/>
  <c r="F10" i="110"/>
  <c r="F6" i="110"/>
  <c r="I10" i="109"/>
  <c r="I6" i="109"/>
  <c r="K8" i="109"/>
  <c r="K6" i="109"/>
  <c r="K10" i="109"/>
  <c r="G10" i="109"/>
  <c r="M14" i="103"/>
  <c r="M36" i="103"/>
  <c r="M9" i="103"/>
  <c r="O25" i="103"/>
  <c r="O23" i="103"/>
  <c r="O31" i="103"/>
  <c r="O8" i="103"/>
  <c r="R26" i="54"/>
  <c r="R28" i="54"/>
  <c r="L37" i="108"/>
  <c r="L80" i="108" s="1"/>
  <c r="L37" i="103"/>
  <c r="L28" i="108"/>
  <c r="L71" i="108" s="1"/>
  <c r="L28" i="103"/>
  <c r="L12" i="108"/>
  <c r="L55" i="108" s="1"/>
  <c r="L12" i="103"/>
  <c r="U39" i="103"/>
  <c r="U6" i="103"/>
  <c r="U9" i="103"/>
  <c r="R26" i="103"/>
  <c r="S26" i="103" s="1"/>
  <c r="R24" i="103"/>
  <c r="S24" i="103" s="1"/>
  <c r="R9" i="103"/>
  <c r="S9" i="103" s="1"/>
  <c r="E6" i="110"/>
  <c r="E10" i="110"/>
  <c r="E8" i="110"/>
  <c r="E8" i="109"/>
  <c r="N10" i="109"/>
  <c r="N6" i="109"/>
  <c r="W6" i="109"/>
  <c r="W10" i="109"/>
  <c r="W8" i="109"/>
  <c r="Q6" i="109"/>
  <c r="Q10" i="109"/>
  <c r="D8" i="109"/>
  <c r="D10" i="109"/>
  <c r="D6" i="109"/>
  <c r="M10" i="109"/>
  <c r="M6" i="109"/>
  <c r="O6" i="109"/>
  <c r="F8" i="110"/>
  <c r="P6" i="109"/>
  <c r="P10" i="109"/>
  <c r="P8" i="109"/>
  <c r="B8" i="109"/>
  <c r="B6" i="109"/>
  <c r="B10" i="109"/>
  <c r="S8" i="109"/>
  <c r="S6" i="109"/>
  <c r="S10" i="109"/>
  <c r="H10" i="109"/>
  <c r="H8" i="109"/>
  <c r="R8" i="109"/>
  <c r="C8" i="109"/>
  <c r="C10" i="109"/>
  <c r="C6" i="109"/>
  <c r="J6" i="109"/>
  <c r="J10" i="109"/>
  <c r="J8" i="109"/>
  <c r="T6" i="109"/>
  <c r="R29" i="54"/>
  <c r="L19" i="103"/>
  <c r="L13" i="108"/>
  <c r="L56" i="108" s="1"/>
  <c r="L13" i="103"/>
  <c r="L26" i="103"/>
  <c r="L7" i="108"/>
  <c r="L50" i="108" s="1"/>
  <c r="L7" i="103"/>
  <c r="U31" i="103"/>
  <c r="U26" i="103"/>
  <c r="U41" i="103"/>
  <c r="R12" i="103"/>
  <c r="S12" i="103" s="1"/>
  <c r="R41" i="103"/>
  <c r="S41" i="103" s="1"/>
  <c r="R13" i="103"/>
  <c r="S13" i="103" s="1"/>
  <c r="D10" i="110"/>
  <c r="D8" i="110"/>
  <c r="D6" i="110"/>
  <c r="T8" i="109"/>
  <c r="O10" i="109"/>
  <c r="I8" i="109"/>
  <c r="U6" i="109"/>
  <c r="U8" i="109"/>
  <c r="Q8" i="109"/>
  <c r="L8" i="109"/>
  <c r="L10" i="109"/>
  <c r="L6" i="109"/>
  <c r="E6" i="109"/>
  <c r="E10" i="109"/>
  <c r="R10" i="109"/>
  <c r="R6" i="109"/>
  <c r="Z22" i="102"/>
  <c r="Z43" i="102"/>
  <c r="Z50" i="102"/>
  <c r="Z46" i="102"/>
  <c r="Z20" i="102"/>
  <c r="Z32" i="102"/>
  <c r="Z27" i="102"/>
  <c r="Z28" i="102"/>
  <c r="Z23" i="102"/>
  <c r="Z12" i="102"/>
  <c r="Z35" i="102"/>
  <c r="Z30" i="102"/>
  <c r="Z8" i="102"/>
  <c r="Z5" i="102"/>
  <c r="Z49" i="102"/>
  <c r="Z33" i="102"/>
  <c r="Z6" i="102"/>
  <c r="Z24" i="102"/>
  <c r="Z38" i="102"/>
  <c r="Z42" i="102"/>
  <c r="Z47" i="102"/>
  <c r="Z29" i="102"/>
  <c r="Z19" i="102"/>
  <c r="Z11" i="102"/>
  <c r="Z31" i="102"/>
  <c r="Z21" i="102"/>
  <c r="Z45" i="102"/>
  <c r="Z39" i="102"/>
  <c r="Z41" i="102"/>
  <c r="Z25" i="102"/>
  <c r="Z17" i="102"/>
  <c r="Z34" i="102"/>
  <c r="Z36" i="102"/>
  <c r="Z48" i="102"/>
  <c r="Z44" i="102"/>
  <c r="Z14" i="102"/>
  <c r="Z37" i="102"/>
  <c r="Z15" i="102"/>
  <c r="Z10" i="102"/>
  <c r="Z13" i="102"/>
  <c r="Z7" i="102"/>
  <c r="Z40" i="102"/>
  <c r="Z9" i="102"/>
  <c r="Z26" i="102"/>
  <c r="Z51" i="102"/>
  <c r="Z16" i="102"/>
  <c r="Z18" i="102"/>
  <c r="M8" i="109"/>
  <c r="V6" i="109"/>
  <c r="V10" i="109"/>
  <c r="V8" i="109"/>
  <c r="F10" i="109"/>
  <c r="F6" i="109"/>
  <c r="F8" i="109"/>
  <c r="N49" i="55"/>
  <c r="Y17" i="52"/>
  <c r="Y14" i="52"/>
  <c r="Y12" i="52"/>
  <c r="Y47" i="52"/>
  <c r="Y28" i="52"/>
  <c r="Y32" i="52"/>
  <c r="Y39" i="52"/>
  <c r="Y40" i="52"/>
  <c r="Y44" i="52"/>
  <c r="Y27" i="52"/>
  <c r="Y29" i="52"/>
  <c r="Y36" i="52"/>
  <c r="Y25" i="52"/>
  <c r="Y13" i="52"/>
  <c r="Y5" i="52"/>
  <c r="Y6" i="52"/>
  <c r="Y7" i="52"/>
  <c r="Y26" i="52"/>
  <c r="Y49" i="52"/>
  <c r="Y30" i="52"/>
  <c r="Y43" i="52"/>
  <c r="Y41" i="52"/>
  <c r="Y23" i="52"/>
  <c r="Y34" i="52"/>
  <c r="Y19" i="52"/>
  <c r="Y16" i="52"/>
  <c r="Y50" i="52"/>
  <c r="Y46" i="52"/>
  <c r="Y38" i="52"/>
  <c r="Y42" i="52"/>
  <c r="Y15" i="52"/>
  <c r="Y11" i="52"/>
  <c r="Y10" i="52"/>
  <c r="Y48" i="52"/>
  <c r="Y24" i="52"/>
  <c r="Y45" i="52"/>
  <c r="Y18" i="52"/>
  <c r="Y9" i="52"/>
  <c r="Y22" i="52"/>
  <c r="Y35" i="52"/>
  <c r="Y21" i="52"/>
  <c r="Y31" i="52"/>
  <c r="Y8" i="52"/>
  <c r="Y20" i="52"/>
  <c r="Y33" i="52"/>
  <c r="Y37" i="52"/>
  <c r="Y51" i="52"/>
  <c r="AD36" i="52"/>
  <c r="AC36" i="54"/>
  <c r="AD36" i="54" s="1"/>
  <c r="AD34" i="52"/>
  <c r="AC34" i="54"/>
  <c r="AD34" i="54" s="1"/>
  <c r="AC7" i="54"/>
  <c r="AD7" i="54" s="1"/>
  <c r="AD7" i="52"/>
  <c r="AC47" i="54"/>
  <c r="AD47" i="54" s="1"/>
  <c r="AD41" i="52"/>
  <c r="AD13" i="52"/>
  <c r="AC13" i="54"/>
  <c r="AD13" i="54" s="1"/>
  <c r="AD31" i="52"/>
  <c r="AC31" i="54"/>
  <c r="AD31" i="54" s="1"/>
  <c r="AD28" i="52"/>
  <c r="AC28" i="54"/>
  <c r="AD28" i="54" s="1"/>
  <c r="AD20" i="52"/>
  <c r="AC20" i="54"/>
  <c r="AD20" i="54" s="1"/>
  <c r="AD50" i="52"/>
  <c r="AC50" i="54"/>
  <c r="AD50" i="54" s="1"/>
  <c r="AD9" i="52"/>
  <c r="AC9" i="54"/>
  <c r="AD9" i="54" s="1"/>
  <c r="AD17" i="52"/>
  <c r="AC17" i="54"/>
  <c r="AD17" i="54" s="1"/>
  <c r="Q17" i="54"/>
  <c r="Q36" i="54"/>
  <c r="Q24" i="54"/>
  <c r="Q24" i="53"/>
  <c r="Q20" i="54"/>
  <c r="Q15" i="54"/>
  <c r="Q26" i="54"/>
  <c r="Q39" i="54"/>
  <c r="Q5" i="54"/>
  <c r="Q53" i="52"/>
  <c r="Q58" i="52" s="1"/>
  <c r="Q23" i="53" s="1"/>
  <c r="Q28" i="54"/>
  <c r="Q42" i="54"/>
  <c r="Q8" i="54"/>
  <c r="W11" i="54"/>
  <c r="W31" i="54"/>
  <c r="W24" i="54"/>
  <c r="W33" i="54"/>
  <c r="W36" i="54"/>
  <c r="W26" i="54"/>
  <c r="W25" i="54"/>
  <c r="W39" i="54"/>
  <c r="W28" i="54"/>
  <c r="W53" i="52"/>
  <c r="W58" i="52" s="1"/>
  <c r="W32" i="53" s="1"/>
  <c r="V32" i="107" s="1"/>
  <c r="V84" i="107" s="1"/>
  <c r="W5" i="54"/>
  <c r="W41" i="54"/>
  <c r="W30" i="54"/>
  <c r="M28" i="57"/>
  <c r="M28" i="108" s="1"/>
  <c r="M71" i="108" s="1"/>
  <c r="M28" i="58"/>
  <c r="M38" i="57"/>
  <c r="M38" i="58"/>
  <c r="M5" i="57"/>
  <c r="M44" i="56"/>
  <c r="M5" i="58"/>
  <c r="M29" i="58"/>
  <c r="M29" i="57"/>
  <c r="M41" i="58"/>
  <c r="M41" i="57"/>
  <c r="M21" i="57"/>
  <c r="M21" i="58"/>
  <c r="M13" i="57"/>
  <c r="M13" i="108" s="1"/>
  <c r="M56" i="108" s="1"/>
  <c r="M13" i="58"/>
  <c r="M15" i="57"/>
  <c r="M15" i="108" s="1"/>
  <c r="M58" i="108" s="1"/>
  <c r="M15" i="58"/>
  <c r="M26" i="57"/>
  <c r="M26" i="108" s="1"/>
  <c r="M69" i="108" s="1"/>
  <c r="M26" i="58"/>
  <c r="M16" i="57"/>
  <c r="M16" i="58"/>
  <c r="O42" i="57"/>
  <c r="O42" i="108" s="1"/>
  <c r="O85" i="108" s="1"/>
  <c r="O42" i="58"/>
  <c r="O27" i="58"/>
  <c r="O27" i="57"/>
  <c r="O27" i="108" s="1"/>
  <c r="O70" i="108" s="1"/>
  <c r="O29" i="58"/>
  <c r="O29" i="57"/>
  <c r="O11" i="57"/>
  <c r="O11" i="108" s="1"/>
  <c r="O54" i="108" s="1"/>
  <c r="O11" i="58"/>
  <c r="O28" i="57"/>
  <c r="O28" i="108" s="1"/>
  <c r="O71" i="108" s="1"/>
  <c r="O28" i="58"/>
  <c r="O6" i="57"/>
  <c r="O6" i="108" s="1"/>
  <c r="O49" i="108" s="1"/>
  <c r="O6" i="58"/>
  <c r="O39" i="57"/>
  <c r="O39" i="108" s="1"/>
  <c r="O82" i="108" s="1"/>
  <c r="O39" i="58"/>
  <c r="O35" i="57"/>
  <c r="O35" i="58"/>
  <c r="O13" i="57"/>
  <c r="O13" i="108" s="1"/>
  <c r="O56" i="108" s="1"/>
  <c r="O13" i="58"/>
  <c r="X6" i="54"/>
  <c r="X30" i="54"/>
  <c r="X5" i="54"/>
  <c r="X53" i="52"/>
  <c r="X58" i="52" s="1"/>
  <c r="X12" i="102" s="1"/>
  <c r="X27" i="54"/>
  <c r="X39" i="54"/>
  <c r="X10" i="54"/>
  <c r="X17" i="54"/>
  <c r="X32" i="54"/>
  <c r="X21" i="54"/>
  <c r="X45" i="54"/>
  <c r="X50" i="54"/>
  <c r="X49" i="54"/>
  <c r="V50" i="52"/>
  <c r="V11" i="52"/>
  <c r="V32" i="52"/>
  <c r="V24" i="52"/>
  <c r="V16" i="52"/>
  <c r="V15" i="52"/>
  <c r="AB15" i="52" s="1"/>
  <c r="V36" i="52"/>
  <c r="V10" i="52"/>
  <c r="V29" i="52"/>
  <c r="V48" i="52"/>
  <c r="V5" i="52"/>
  <c r="V49" i="52"/>
  <c r="V46" i="52"/>
  <c r="V47" i="52"/>
  <c r="V30" i="52"/>
  <c r="V22" i="52"/>
  <c r="V33" i="52"/>
  <c r="V6" i="52"/>
  <c r="V31" i="52"/>
  <c r="V9" i="52"/>
  <c r="V21" i="52"/>
  <c r="V51" i="52"/>
  <c r="V27" i="52"/>
  <c r="V44" i="52"/>
  <c r="V39" i="52"/>
  <c r="V40" i="52"/>
  <c r="V28" i="52"/>
  <c r="V20" i="52"/>
  <c r="V25" i="52"/>
  <c r="V45" i="52"/>
  <c r="V23" i="52"/>
  <c r="V43" i="52"/>
  <c r="V14" i="52"/>
  <c r="V19" i="52"/>
  <c r="V35" i="52"/>
  <c r="V42" i="52"/>
  <c r="V34" i="52"/>
  <c r="V37" i="52"/>
  <c r="V26" i="52"/>
  <c r="V18" i="52"/>
  <c r="V17" i="52"/>
  <c r="V41" i="52"/>
  <c r="V13" i="52"/>
  <c r="V38" i="52"/>
  <c r="V7" i="52"/>
  <c r="V8" i="52"/>
  <c r="V12" i="52"/>
  <c r="R48" i="54"/>
  <c r="R46" i="54"/>
  <c r="R50" i="54"/>
  <c r="R13" i="54"/>
  <c r="R12" i="54"/>
  <c r="R37" i="54"/>
  <c r="R14" i="54"/>
  <c r="R35" i="54"/>
  <c r="R6" i="54"/>
  <c r="R16" i="54"/>
  <c r="U26" i="54"/>
  <c r="U39" i="54"/>
  <c r="U45" i="54"/>
  <c r="U42" i="54"/>
  <c r="U41" i="54"/>
  <c r="U6" i="54"/>
  <c r="AB6" i="52"/>
  <c r="U44" i="54"/>
  <c r="U46" i="54"/>
  <c r="U20" i="54"/>
  <c r="U49" i="54"/>
  <c r="U51" i="54"/>
  <c r="L14" i="58"/>
  <c r="L14" i="57"/>
  <c r="L44" i="56"/>
  <c r="L5" i="57"/>
  <c r="U32" i="58"/>
  <c r="U32" i="57"/>
  <c r="S32" i="108" s="1"/>
  <c r="S75" i="108" s="1"/>
  <c r="U39" i="58"/>
  <c r="U39" i="57"/>
  <c r="U5" i="58"/>
  <c r="U44" i="56"/>
  <c r="U5" i="57"/>
  <c r="U23" i="57"/>
  <c r="U23" i="58"/>
  <c r="U6" i="57"/>
  <c r="U6" i="58"/>
  <c r="U14" i="57"/>
  <c r="U14" i="58"/>
  <c r="U42" i="57"/>
  <c r="S42" i="108" s="1"/>
  <c r="S85" i="108" s="1"/>
  <c r="U42" i="58"/>
  <c r="U9" i="57"/>
  <c r="U9" i="58"/>
  <c r="S9" i="108" s="1"/>
  <c r="S52" i="108" s="1"/>
  <c r="U15" i="57"/>
  <c r="U15" i="58"/>
  <c r="U29" i="57"/>
  <c r="U29" i="58"/>
  <c r="P30" i="54"/>
  <c r="P34" i="54"/>
  <c r="P18" i="54"/>
  <c r="P33" i="54"/>
  <c r="P45" i="54"/>
  <c r="P26" i="54"/>
  <c r="P44" i="54"/>
  <c r="P7" i="54"/>
  <c r="P13" i="54"/>
  <c r="P39" i="54"/>
  <c r="P11" i="54"/>
  <c r="P15" i="54"/>
  <c r="O22" i="54"/>
  <c r="O14" i="54"/>
  <c r="O10" i="54"/>
  <c r="O51" i="54"/>
  <c r="O9" i="54"/>
  <c r="O43" i="54"/>
  <c r="O31" i="54"/>
  <c r="O6" i="54"/>
  <c r="O50" i="54"/>
  <c r="O42" i="54"/>
  <c r="O16" i="54"/>
  <c r="R26" i="57"/>
  <c r="R26" i="58"/>
  <c r="S26" i="58" s="1"/>
  <c r="S26" i="56"/>
  <c r="S29" i="56"/>
  <c r="R29" i="58"/>
  <c r="S29" i="58" s="1"/>
  <c r="R29" i="57"/>
  <c r="S29" i="57" s="1"/>
  <c r="R27" i="57"/>
  <c r="S27" i="57" s="1"/>
  <c r="S27" i="56"/>
  <c r="R27" i="58"/>
  <c r="S27" i="58" s="1"/>
  <c r="S24" i="56"/>
  <c r="R24" i="58"/>
  <c r="S24" i="58" s="1"/>
  <c r="R24" i="57"/>
  <c r="R33" i="58"/>
  <c r="S33" i="58" s="1"/>
  <c r="R33" i="57"/>
  <c r="S33" i="56"/>
  <c r="R30" i="58"/>
  <c r="S30" i="58" s="1"/>
  <c r="R30" i="57"/>
  <c r="S30" i="57" s="1"/>
  <c r="S30" i="56"/>
  <c r="R9" i="58"/>
  <c r="S9" i="58" s="1"/>
  <c r="S9" i="56"/>
  <c r="R9" i="57"/>
  <c r="R42" i="57"/>
  <c r="S42" i="57" s="1"/>
  <c r="S42" i="56"/>
  <c r="R42" i="58"/>
  <c r="S42" i="58" s="1"/>
  <c r="R21" i="57"/>
  <c r="S21" i="56"/>
  <c r="R21" i="58"/>
  <c r="S21" i="58" s="1"/>
  <c r="T8" i="56"/>
  <c r="T26" i="56"/>
  <c r="T11" i="56"/>
  <c r="T15" i="56"/>
  <c r="T20" i="56"/>
  <c r="T28" i="56"/>
  <c r="T17" i="56"/>
  <c r="T21" i="56"/>
  <c r="T25" i="56"/>
  <c r="T6" i="56"/>
  <c r="T22" i="56"/>
  <c r="T5" i="56"/>
  <c r="T32" i="56"/>
  <c r="T36" i="56"/>
  <c r="T12" i="56"/>
  <c r="T37" i="56"/>
  <c r="T41" i="56"/>
  <c r="T42" i="56"/>
  <c r="T16" i="56"/>
  <c r="T35" i="56"/>
  <c r="T18" i="56"/>
  <c r="T39" i="56"/>
  <c r="T27" i="56"/>
  <c r="T24" i="56"/>
  <c r="T29" i="56"/>
  <c r="T13" i="56"/>
  <c r="T38" i="56"/>
  <c r="T34" i="56"/>
  <c r="T10" i="56"/>
  <c r="T30" i="56"/>
  <c r="T7" i="56"/>
  <c r="T9" i="56"/>
  <c r="T33" i="56"/>
  <c r="T40" i="56"/>
  <c r="T19" i="56"/>
  <c r="T23" i="56"/>
  <c r="T31" i="56"/>
  <c r="T14" i="56"/>
  <c r="AI40" i="54"/>
  <c r="AI8" i="54"/>
  <c r="AI26" i="54"/>
  <c r="AI39" i="54"/>
  <c r="AI10" i="54"/>
  <c r="AI46" i="54"/>
  <c r="AI49" i="54"/>
  <c r="AI11" i="54"/>
  <c r="AI33" i="54"/>
  <c r="AI50" i="54"/>
  <c r="AI17" i="54"/>
  <c r="AH11" i="54"/>
  <c r="AH42" i="54"/>
  <c r="AH48" i="54"/>
  <c r="AH39" i="54"/>
  <c r="AH15" i="54"/>
  <c r="AH30" i="54"/>
  <c r="AH51" i="54"/>
  <c r="AH44" i="54"/>
  <c r="AH35" i="54"/>
  <c r="AH41" i="54"/>
  <c r="AH31" i="54"/>
  <c r="L47" i="54"/>
  <c r="L36" i="54"/>
  <c r="L9" i="54"/>
  <c r="L44" i="54"/>
  <c r="L51" i="54"/>
  <c r="L23" i="54"/>
  <c r="L20" i="54"/>
  <c r="L11" i="54"/>
  <c r="L6" i="54"/>
  <c r="L39" i="54"/>
  <c r="L42" i="54"/>
  <c r="L14" i="54"/>
  <c r="V15" i="57"/>
  <c r="V15" i="58"/>
  <c r="V34" i="57"/>
  <c r="V34" i="58"/>
  <c r="V38" i="57"/>
  <c r="V38" i="58"/>
  <c r="M36" i="52"/>
  <c r="AC24" i="54"/>
  <c r="AD24" i="54" s="1"/>
  <c r="AD24" i="52"/>
  <c r="AC15" i="54"/>
  <c r="AD15" i="54" s="1"/>
  <c r="AD15" i="52"/>
  <c r="AD19" i="52"/>
  <c r="AC19" i="54"/>
  <c r="AD19" i="54" s="1"/>
  <c r="AC44" i="54"/>
  <c r="AD44" i="54" s="1"/>
  <c r="AD44" i="52"/>
  <c r="AC42" i="54"/>
  <c r="AD42" i="54" s="1"/>
  <c r="AD42" i="52"/>
  <c r="AC25" i="54"/>
  <c r="AD25" i="54" s="1"/>
  <c r="AD25" i="52"/>
  <c r="AD22" i="52"/>
  <c r="AC22" i="54"/>
  <c r="AD22" i="54" s="1"/>
  <c r="AD30" i="52"/>
  <c r="AC30" i="54"/>
  <c r="AD30" i="54" s="1"/>
  <c r="AD10" i="52"/>
  <c r="AC10" i="54"/>
  <c r="AD10" i="54" s="1"/>
  <c r="AD45" i="52"/>
  <c r="AC45" i="54"/>
  <c r="AD45" i="54" s="1"/>
  <c r="AD49" i="52"/>
  <c r="AC49" i="54"/>
  <c r="AD49" i="54" s="1"/>
  <c r="Q48" i="54"/>
  <c r="Q48" i="53"/>
  <c r="Q18" i="54"/>
  <c r="Q23" i="54"/>
  <c r="Q47" i="54"/>
  <c r="Q47" i="53"/>
  <c r="Q47" i="107" s="1"/>
  <c r="Q99" i="107" s="1"/>
  <c r="Q37" i="54"/>
  <c r="Q46" i="54"/>
  <c r="Q19" i="54"/>
  <c r="Q44" i="54"/>
  <c r="Q44" i="53"/>
  <c r="Q44" i="107" s="1"/>
  <c r="Q96" i="107" s="1"/>
  <c r="Q9" i="54"/>
  <c r="Q34" i="54"/>
  <c r="Q34" i="53"/>
  <c r="Q12" i="54"/>
  <c r="Q14" i="54"/>
  <c r="W8" i="53"/>
  <c r="W8" i="54"/>
  <c r="W35" i="53"/>
  <c r="W35" i="54"/>
  <c r="W32" i="54"/>
  <c r="W19" i="54"/>
  <c r="W38" i="54"/>
  <c r="W37" i="54"/>
  <c r="W27" i="54"/>
  <c r="W43" i="54"/>
  <c r="W43" i="53"/>
  <c r="W42" i="54"/>
  <c r="W34" i="54"/>
  <c r="W45" i="54"/>
  <c r="W44" i="54"/>
  <c r="Z16" i="56"/>
  <c r="Z11" i="56"/>
  <c r="Z33" i="56"/>
  <c r="Z21" i="56"/>
  <c r="Z41" i="56"/>
  <c r="Z32" i="56"/>
  <c r="Z20" i="56"/>
  <c r="Z14" i="56"/>
  <c r="Z37" i="56"/>
  <c r="Z28" i="56"/>
  <c r="Z10" i="56"/>
  <c r="Z5" i="56"/>
  <c r="Z25" i="56"/>
  <c r="Z15" i="56"/>
  <c r="Z30" i="56"/>
  <c r="Z13" i="56"/>
  <c r="Z36" i="56"/>
  <c r="Z31" i="56"/>
  <c r="Z26" i="56"/>
  <c r="Z12" i="56"/>
  <c r="Z8" i="56"/>
  <c r="Z6" i="56"/>
  <c r="Z17" i="56"/>
  <c r="Z18" i="56"/>
  <c r="Z23" i="56"/>
  <c r="Z38" i="56"/>
  <c r="Z22" i="56"/>
  <c r="Z24" i="56"/>
  <c r="Z19" i="56"/>
  <c r="Z7" i="56"/>
  <c r="Z9" i="56"/>
  <c r="Z29" i="56"/>
  <c r="Z34" i="56"/>
  <c r="Z39" i="56"/>
  <c r="Z27" i="56"/>
  <c r="Z42" i="56"/>
  <c r="Z40" i="56"/>
  <c r="Z35" i="56"/>
  <c r="M39" i="57"/>
  <c r="M39" i="108" s="1"/>
  <c r="M82" i="108" s="1"/>
  <c r="M39" i="58"/>
  <c r="M17" i="57"/>
  <c r="M17" i="58"/>
  <c r="M27" i="57"/>
  <c r="M27" i="108" s="1"/>
  <c r="M70" i="108" s="1"/>
  <c r="M27" i="58"/>
  <c r="M22" i="57"/>
  <c r="M22" i="108" s="1"/>
  <c r="M65" i="108" s="1"/>
  <c r="M22" i="58"/>
  <c r="M7" i="58"/>
  <c r="M7" i="57"/>
  <c r="M7" i="108" s="1"/>
  <c r="M50" i="108" s="1"/>
  <c r="M32" i="57"/>
  <c r="M32" i="108" s="1"/>
  <c r="M75" i="108" s="1"/>
  <c r="M32" i="58"/>
  <c r="M40" i="57"/>
  <c r="M40" i="108" s="1"/>
  <c r="M83" i="108" s="1"/>
  <c r="M40" i="58"/>
  <c r="M24" i="57"/>
  <c r="M24" i="58"/>
  <c r="M18" i="57"/>
  <c r="M18" i="108" s="1"/>
  <c r="M61" i="108" s="1"/>
  <c r="M18" i="58"/>
  <c r="M11" i="57"/>
  <c r="M11" i="108" s="1"/>
  <c r="M54" i="108" s="1"/>
  <c r="M11" i="58"/>
  <c r="O12" i="57"/>
  <c r="O12" i="58"/>
  <c r="O20" i="58"/>
  <c r="O20" i="57"/>
  <c r="O40" i="57"/>
  <c r="O40" i="108" s="1"/>
  <c r="O83" i="108" s="1"/>
  <c r="O40" i="58"/>
  <c r="O16" i="57"/>
  <c r="O16" i="58"/>
  <c r="O24" i="57"/>
  <c r="O24" i="108" s="1"/>
  <c r="O67" i="108" s="1"/>
  <c r="O24" i="58"/>
  <c r="O36" i="58"/>
  <c r="O36" i="57"/>
  <c r="O30" i="57"/>
  <c r="O30" i="58"/>
  <c r="O14" i="57"/>
  <c r="O14" i="108" s="1"/>
  <c r="O57" i="108" s="1"/>
  <c r="O14" i="58"/>
  <c r="O7" i="57"/>
  <c r="O7" i="108" s="1"/>
  <c r="O50" i="108" s="1"/>
  <c r="O7" i="58"/>
  <c r="X18" i="53"/>
  <c r="X18" i="54"/>
  <c r="X13" i="54"/>
  <c r="X13" i="53"/>
  <c r="X26" i="54"/>
  <c r="X36" i="54"/>
  <c r="X36" i="53"/>
  <c r="X15" i="53"/>
  <c r="W15" i="107" s="1"/>
  <c r="W67" i="107" s="1"/>
  <c r="X15" i="54"/>
  <c r="X48" i="54"/>
  <c r="X33" i="54"/>
  <c r="X33" i="53"/>
  <c r="X8" i="54"/>
  <c r="X8" i="53"/>
  <c r="X29" i="54"/>
  <c r="X22" i="54"/>
  <c r="X22" i="53"/>
  <c r="X47" i="54"/>
  <c r="X47" i="53"/>
  <c r="X42" i="54"/>
  <c r="Y54" i="54"/>
  <c r="Y54" i="53"/>
  <c r="Y58" i="53" s="1"/>
  <c r="Y54" i="52"/>
  <c r="R34" i="54"/>
  <c r="R10" i="54"/>
  <c r="R18" i="54"/>
  <c r="R51" i="54"/>
  <c r="R20" i="54"/>
  <c r="R38" i="54"/>
  <c r="R53" i="52"/>
  <c r="R5" i="54"/>
  <c r="R49" i="54"/>
  <c r="R8" i="54"/>
  <c r="U28" i="54"/>
  <c r="U50" i="54"/>
  <c r="U32" i="54"/>
  <c r="U40" i="54"/>
  <c r="U13" i="54"/>
  <c r="U7" i="54"/>
  <c r="U53" i="52"/>
  <c r="U58" i="52" s="1"/>
  <c r="U12" i="53" s="1"/>
  <c r="U5" i="54"/>
  <c r="U15" i="54"/>
  <c r="U24" i="54"/>
  <c r="U17" i="54"/>
  <c r="AA53" i="53"/>
  <c r="L32" i="57"/>
  <c r="L32" i="108" s="1"/>
  <c r="L75" i="108" s="1"/>
  <c r="L17" i="57"/>
  <c r="L17" i="108" s="1"/>
  <c r="L60" i="108" s="1"/>
  <c r="L10" i="57"/>
  <c r="L10" i="108" s="1"/>
  <c r="L53" i="108" s="1"/>
  <c r="U28" i="57"/>
  <c r="U28" i="58"/>
  <c r="U13" i="57"/>
  <c r="U13" i="58"/>
  <c r="U10" i="57"/>
  <c r="S10" i="108" s="1"/>
  <c r="S53" i="108" s="1"/>
  <c r="U10" i="58"/>
  <c r="U36" i="58"/>
  <c r="U36" i="57"/>
  <c r="U21" i="58"/>
  <c r="U21" i="57"/>
  <c r="U30" i="57"/>
  <c r="S30" i="108" s="1"/>
  <c r="S73" i="108" s="1"/>
  <c r="U30" i="58"/>
  <c r="U22" i="57"/>
  <c r="U22" i="58"/>
  <c r="U34" i="57"/>
  <c r="U34" i="58"/>
  <c r="U33" i="57"/>
  <c r="S33" i="108" s="1"/>
  <c r="S76" i="108" s="1"/>
  <c r="U33" i="58"/>
  <c r="U8" i="57"/>
  <c r="U8" i="58"/>
  <c r="P42" i="54"/>
  <c r="P28" i="54"/>
  <c r="P17" i="54"/>
  <c r="P49" i="54"/>
  <c r="P20" i="54"/>
  <c r="P19" i="54"/>
  <c r="P36" i="54"/>
  <c r="P12" i="54"/>
  <c r="P21" i="54"/>
  <c r="P51" i="54"/>
  <c r="P9" i="54"/>
  <c r="P23" i="54"/>
  <c r="O34" i="54"/>
  <c r="O21" i="54"/>
  <c r="O21" i="53"/>
  <c r="O21" i="107" s="1"/>
  <c r="O73" i="107" s="1"/>
  <c r="O5" i="54"/>
  <c r="O53" i="52"/>
  <c r="O58" i="52" s="1"/>
  <c r="O5" i="53" s="1"/>
  <c r="O5" i="107" s="1"/>
  <c r="O57" i="107" s="1"/>
  <c r="O49" i="54"/>
  <c r="O37" i="54"/>
  <c r="O8" i="54"/>
  <c r="O29" i="54"/>
  <c r="O44" i="54"/>
  <c r="O13" i="54"/>
  <c r="O36" i="54"/>
  <c r="O28" i="54"/>
  <c r="O18" i="54"/>
  <c r="S23" i="56"/>
  <c r="R23" i="58"/>
  <c r="S23" i="58" s="1"/>
  <c r="R23" i="57"/>
  <c r="S18" i="56"/>
  <c r="R18" i="57"/>
  <c r="S18" i="57" s="1"/>
  <c r="R18" i="58"/>
  <c r="S18" i="58" s="1"/>
  <c r="S7" i="56"/>
  <c r="R7" i="58"/>
  <c r="S7" i="58" s="1"/>
  <c r="R7" i="57"/>
  <c r="R38" i="58"/>
  <c r="S38" i="58" s="1"/>
  <c r="R38" i="57"/>
  <c r="S38" i="57" s="1"/>
  <c r="S38" i="56"/>
  <c r="S6" i="56"/>
  <c r="R6" i="58"/>
  <c r="S6" i="58" s="1"/>
  <c r="R6" i="57"/>
  <c r="S14" i="56"/>
  <c r="R14" i="57"/>
  <c r="R14" i="58"/>
  <c r="S14" i="58" s="1"/>
  <c r="S17" i="56"/>
  <c r="R17" i="57"/>
  <c r="R17" i="58"/>
  <c r="S17" i="58" s="1"/>
  <c r="R39" i="57"/>
  <c r="S39" i="56"/>
  <c r="R39" i="58"/>
  <c r="S39" i="58" s="1"/>
  <c r="R34" i="57"/>
  <c r="R34" i="58"/>
  <c r="S34" i="58" s="1"/>
  <c r="S34" i="56"/>
  <c r="R5" i="57"/>
  <c r="S5" i="56"/>
  <c r="R5" i="58"/>
  <c r="R44" i="56"/>
  <c r="AI42" i="54"/>
  <c r="AI30" i="54"/>
  <c r="AI25" i="54"/>
  <c r="AI38" i="54"/>
  <c r="AI45" i="54"/>
  <c r="AI53" i="52"/>
  <c r="AI58" i="52" s="1"/>
  <c r="AI5" i="53" s="1"/>
  <c r="AE5" i="107" s="1"/>
  <c r="AE57" i="107" s="1"/>
  <c r="AI5" i="54"/>
  <c r="AI28" i="54"/>
  <c r="AI32" i="54"/>
  <c r="AI13" i="54"/>
  <c r="AI47" i="54"/>
  <c r="AI51" i="54"/>
  <c r="AI19" i="54"/>
  <c r="AH25" i="54"/>
  <c r="AH21" i="54"/>
  <c r="AH24" i="54"/>
  <c r="AH10" i="54"/>
  <c r="AH18" i="54"/>
  <c r="AH46" i="54"/>
  <c r="AH13" i="54"/>
  <c r="AH36" i="54"/>
  <c r="AH40" i="54"/>
  <c r="AH19" i="54"/>
  <c r="AH29" i="54"/>
  <c r="AH45" i="54"/>
  <c r="L34" i="54"/>
  <c r="L18" i="54"/>
  <c r="L22" i="54"/>
  <c r="L45" i="54"/>
  <c r="L37" i="54"/>
  <c r="L24" i="54"/>
  <c r="L25" i="54"/>
  <c r="L50" i="54"/>
  <c r="L26" i="54"/>
  <c r="L35" i="54"/>
  <c r="L5" i="54"/>
  <c r="L53" i="52"/>
  <c r="L58" i="52" s="1"/>
  <c r="L17" i="102" s="1"/>
  <c r="L28" i="54"/>
  <c r="M21" i="52"/>
  <c r="M27" i="52"/>
  <c r="M31" i="52"/>
  <c r="AD21" i="52"/>
  <c r="AC21" i="54"/>
  <c r="AD21" i="54" s="1"/>
  <c r="AD23" i="52"/>
  <c r="AD6" i="52"/>
  <c r="AC6" i="54"/>
  <c r="AD6" i="54" s="1"/>
  <c r="AD29" i="52"/>
  <c r="AC29" i="54"/>
  <c r="AD29" i="54" s="1"/>
  <c r="AD43" i="52"/>
  <c r="AC43" i="54"/>
  <c r="AD43" i="54" s="1"/>
  <c r="AD11" i="52"/>
  <c r="AC11" i="54"/>
  <c r="AD11" i="54" s="1"/>
  <c r="AD40" i="52"/>
  <c r="AC40" i="54"/>
  <c r="AD40" i="54" s="1"/>
  <c r="AD27" i="52"/>
  <c r="AD12" i="52"/>
  <c r="AC12" i="54"/>
  <c r="AD12" i="54" s="1"/>
  <c r="AD51" i="52"/>
  <c r="AC51" i="54"/>
  <c r="AD51" i="54" s="1"/>
  <c r="AD46" i="52"/>
  <c r="AC46" i="54"/>
  <c r="AD46" i="54" s="1"/>
  <c r="AD16" i="52"/>
  <c r="AC16" i="54"/>
  <c r="AD16" i="54" s="1"/>
  <c r="Q45" i="54"/>
  <c r="Q31" i="54"/>
  <c r="Q27" i="54"/>
  <c r="Q27" i="53"/>
  <c r="Q27" i="107" s="1"/>
  <c r="Q79" i="107" s="1"/>
  <c r="Q25" i="54"/>
  <c r="Q25" i="53"/>
  <c r="Q25" i="107" s="1"/>
  <c r="Q77" i="107" s="1"/>
  <c r="Q51" i="54"/>
  <c r="Q51" i="53"/>
  <c r="Q6" i="54"/>
  <c r="Q6" i="53"/>
  <c r="Q32" i="54"/>
  <c r="Q35" i="54"/>
  <c r="Q10" i="54"/>
  <c r="Q10" i="53"/>
  <c r="Q10" i="107" s="1"/>
  <c r="Q62" i="107" s="1"/>
  <c r="Q43" i="54"/>
  <c r="Q43" i="53"/>
  <c r="Q43" i="107" s="1"/>
  <c r="Q95" i="107" s="1"/>
  <c r="Q38" i="54"/>
  <c r="Q38" i="53"/>
  <c r="Q38" i="107" s="1"/>
  <c r="Q90" i="107" s="1"/>
  <c r="Q13" i="54"/>
  <c r="Q13" i="53"/>
  <c r="W7" i="54"/>
  <c r="W48" i="53"/>
  <c r="V48" i="107" s="1"/>
  <c r="V100" i="107" s="1"/>
  <c r="W48" i="54"/>
  <c r="W49" i="53"/>
  <c r="W49" i="54"/>
  <c r="W21" i="53"/>
  <c r="W21" i="54"/>
  <c r="W51" i="53"/>
  <c r="V51" i="107" s="1"/>
  <c r="V103" i="107" s="1"/>
  <c r="W51" i="54"/>
  <c r="W40" i="53"/>
  <c r="W40" i="54"/>
  <c r="W29" i="54"/>
  <c r="W12" i="53"/>
  <c r="W12" i="54"/>
  <c r="W47" i="54"/>
  <c r="W46" i="54"/>
  <c r="W14" i="54"/>
  <c r="W14" i="53"/>
  <c r="V14" i="107" s="1"/>
  <c r="V66" i="107" s="1"/>
  <c r="W50" i="54"/>
  <c r="W50" i="53"/>
  <c r="Z53" i="53"/>
  <c r="M35" i="57"/>
  <c r="M35" i="58"/>
  <c r="M6" i="57"/>
  <c r="M6" i="58"/>
  <c r="M23" i="57"/>
  <c r="M23" i="58"/>
  <c r="M30" i="58"/>
  <c r="M30" i="57"/>
  <c r="M33" i="57"/>
  <c r="M33" i="58"/>
  <c r="M42" i="57"/>
  <c r="M42" i="58"/>
  <c r="M8" i="57"/>
  <c r="M8" i="58"/>
  <c r="M20" i="57"/>
  <c r="M20" i="58"/>
  <c r="M12" i="57"/>
  <c r="M12" i="58"/>
  <c r="O5" i="57"/>
  <c r="O5" i="58"/>
  <c r="O44" i="56"/>
  <c r="O18" i="57"/>
  <c r="O18" i="108" s="1"/>
  <c r="O61" i="108" s="1"/>
  <c r="O18" i="58"/>
  <c r="O41" i="57"/>
  <c r="O41" i="108" s="1"/>
  <c r="O84" i="108" s="1"/>
  <c r="O41" i="58"/>
  <c r="O22" i="57"/>
  <c r="O22" i="58"/>
  <c r="O21" i="57"/>
  <c r="O21" i="58"/>
  <c r="O34" i="57"/>
  <c r="O34" i="58"/>
  <c r="O32" i="57"/>
  <c r="O32" i="58"/>
  <c r="O15" i="57"/>
  <c r="O15" i="58"/>
  <c r="O33" i="57"/>
  <c r="O33" i="58"/>
  <c r="O10" i="57"/>
  <c r="O10" i="58"/>
  <c r="X25" i="54"/>
  <c r="X25" i="53"/>
  <c r="X11" i="53"/>
  <c r="X11" i="54"/>
  <c r="X28" i="54"/>
  <c r="X28" i="53"/>
  <c r="W28" i="107" s="1"/>
  <c r="W80" i="107" s="1"/>
  <c r="X38" i="53"/>
  <c r="W38" i="107" s="1"/>
  <c r="W90" i="107" s="1"/>
  <c r="X38" i="54"/>
  <c r="X14" i="54"/>
  <c r="X16" i="54"/>
  <c r="X16" i="53"/>
  <c r="W16" i="107" s="1"/>
  <c r="W68" i="107" s="1"/>
  <c r="X9" i="54"/>
  <c r="X9" i="53"/>
  <c r="X34" i="54"/>
  <c r="X41" i="54"/>
  <c r="X41" i="53"/>
  <c r="W41" i="107" s="1"/>
  <c r="W93" i="107" s="1"/>
  <c r="X37" i="54"/>
  <c r="X37" i="53"/>
  <c r="W37" i="107" s="1"/>
  <c r="W89" i="107" s="1"/>
  <c r="X20" i="53"/>
  <c r="W20" i="107" s="1"/>
  <c r="W72" i="107" s="1"/>
  <c r="X20" i="54"/>
  <c r="V54" i="54"/>
  <c r="V54" i="52"/>
  <c r="V54" i="53"/>
  <c r="V58" i="53" s="1"/>
  <c r="R33" i="54"/>
  <c r="R11" i="54"/>
  <c r="R31" i="54"/>
  <c r="R15" i="54"/>
  <c r="R32" i="54"/>
  <c r="R40" i="54"/>
  <c r="R47" i="54"/>
  <c r="R7" i="54"/>
  <c r="U37" i="54"/>
  <c r="U11" i="54"/>
  <c r="U19" i="53"/>
  <c r="U19" i="54"/>
  <c r="U43" i="53"/>
  <c r="U43" i="54"/>
  <c r="U12" i="54"/>
  <c r="U21" i="54"/>
  <c r="U14" i="54"/>
  <c r="U22" i="54"/>
  <c r="U23" i="54"/>
  <c r="U23" i="53"/>
  <c r="T23" i="107" s="1"/>
  <c r="T75" i="107" s="1"/>
  <c r="U16" i="54"/>
  <c r="U30" i="53"/>
  <c r="U30" i="54"/>
  <c r="U25" i="54"/>
  <c r="L19" i="57"/>
  <c r="L19" i="108" s="1"/>
  <c r="L62" i="108" s="1"/>
  <c r="L40" i="57"/>
  <c r="L40" i="108" s="1"/>
  <c r="L83" i="108" s="1"/>
  <c r="L22" i="57"/>
  <c r="L22" i="108" s="1"/>
  <c r="L65" i="108" s="1"/>
  <c r="L26" i="57"/>
  <c r="L26" i="108" s="1"/>
  <c r="L69" i="108" s="1"/>
  <c r="U24" i="58"/>
  <c r="S24" i="108" s="1"/>
  <c r="S67" i="108" s="1"/>
  <c r="U24" i="57"/>
  <c r="U18" i="58"/>
  <c r="U18" i="57"/>
  <c r="U31" i="57"/>
  <c r="U31" i="58"/>
  <c r="U19" i="57"/>
  <c r="S19" i="108" s="1"/>
  <c r="S62" i="108" s="1"/>
  <c r="U19" i="58"/>
  <c r="U7" i="57"/>
  <c r="U7" i="58"/>
  <c r="U26" i="57"/>
  <c r="U26" i="58"/>
  <c r="U35" i="57"/>
  <c r="S35" i="108" s="1"/>
  <c r="S78" i="108" s="1"/>
  <c r="U35" i="58"/>
  <c r="U40" i="57"/>
  <c r="U40" i="58"/>
  <c r="U41" i="57"/>
  <c r="U41" i="58"/>
  <c r="P35" i="54"/>
  <c r="P14" i="54"/>
  <c r="P25" i="54"/>
  <c r="P38" i="54"/>
  <c r="P22" i="54"/>
  <c r="P27" i="54"/>
  <c r="P40" i="54"/>
  <c r="P6" i="54"/>
  <c r="P29" i="54"/>
  <c r="P41" i="54"/>
  <c r="P10" i="54"/>
  <c r="S53" i="52"/>
  <c r="O39" i="54"/>
  <c r="O41" i="54"/>
  <c r="O7" i="54"/>
  <c r="O35" i="54"/>
  <c r="O35" i="53"/>
  <c r="O35" i="107" s="1"/>
  <c r="O87" i="107" s="1"/>
  <c r="O47" i="54"/>
  <c r="O47" i="53"/>
  <c r="O47" i="107" s="1"/>
  <c r="O99" i="107" s="1"/>
  <c r="O11" i="54"/>
  <c r="O46" i="54"/>
  <c r="O27" i="54"/>
  <c r="O12" i="54"/>
  <c r="O26" i="54"/>
  <c r="O26" i="53"/>
  <c r="O26" i="107" s="1"/>
  <c r="O78" i="107" s="1"/>
  <c r="O38" i="54"/>
  <c r="O38" i="53"/>
  <c r="O38" i="107" s="1"/>
  <c r="O90" i="107" s="1"/>
  <c r="O15" i="54"/>
  <c r="R35" i="58"/>
  <c r="S35" i="58" s="1"/>
  <c r="S35" i="56"/>
  <c r="R35" i="57"/>
  <c r="R20" i="58"/>
  <c r="S20" i="58" s="1"/>
  <c r="S20" i="56"/>
  <c r="R20" i="57"/>
  <c r="R12" i="57"/>
  <c r="S12" i="57" s="1"/>
  <c r="S12" i="56"/>
  <c r="R12" i="58"/>
  <c r="S12" i="58" s="1"/>
  <c r="R37" i="58"/>
  <c r="S37" i="58" s="1"/>
  <c r="R37" i="57"/>
  <c r="S37" i="56"/>
  <c r="R10" i="57"/>
  <c r="S10" i="56"/>
  <c r="R10" i="58"/>
  <c r="S10" i="58" s="1"/>
  <c r="S41" i="56"/>
  <c r="R41" i="58"/>
  <c r="S41" i="58" s="1"/>
  <c r="R41" i="57"/>
  <c r="S41" i="57" s="1"/>
  <c r="R32" i="57"/>
  <c r="S32" i="57" s="1"/>
  <c r="R32" i="58"/>
  <c r="S32" i="58" s="1"/>
  <c r="S32" i="56"/>
  <c r="R15" i="57"/>
  <c r="S15" i="56"/>
  <c r="R15" i="58"/>
  <c r="S15" i="58" s="1"/>
  <c r="S13" i="56"/>
  <c r="R13" i="57"/>
  <c r="R13" i="58"/>
  <c r="S13" i="58" s="1"/>
  <c r="R11" i="57"/>
  <c r="S11" i="57" s="1"/>
  <c r="S11" i="56"/>
  <c r="R11" i="58"/>
  <c r="AI27" i="54"/>
  <c r="AI35" i="54"/>
  <c r="AI7" i="54"/>
  <c r="AI34" i="54"/>
  <c r="AI29" i="54"/>
  <c r="AI9" i="54"/>
  <c r="AI31" i="54"/>
  <c r="AI6" i="54"/>
  <c r="AI15" i="54"/>
  <c r="AI24" i="54"/>
  <c r="AI41" i="54"/>
  <c r="AI12" i="54"/>
  <c r="AH7" i="54"/>
  <c r="AH49" i="54"/>
  <c r="AH23" i="54"/>
  <c r="AH33" i="54"/>
  <c r="AH22" i="54"/>
  <c r="AH37" i="54"/>
  <c r="AH6" i="54"/>
  <c r="AH50" i="54"/>
  <c r="AH32" i="54"/>
  <c r="AH12" i="54"/>
  <c r="AH43" i="54"/>
  <c r="AH26" i="54"/>
  <c r="L40" i="54"/>
  <c r="L8" i="54"/>
  <c r="L48" i="54"/>
  <c r="L12" i="54"/>
  <c r="L12" i="53"/>
  <c r="L13" i="54"/>
  <c r="L32" i="54"/>
  <c r="L31" i="54"/>
  <c r="L27" i="54"/>
  <c r="L43" i="54"/>
  <c r="L46" i="54"/>
  <c r="L46" i="53"/>
  <c r="L10" i="54"/>
  <c r="V23" i="57"/>
  <c r="V23" i="58"/>
  <c r="V33" i="57"/>
  <c r="V33" i="58"/>
  <c r="V36" i="57"/>
  <c r="V36" i="58"/>
  <c r="M47" i="52"/>
  <c r="M19" i="52"/>
  <c r="M45" i="52"/>
  <c r="M25" i="52"/>
  <c r="AC35" i="54"/>
  <c r="AD35" i="54" s="1"/>
  <c r="AD35" i="52"/>
  <c r="AC32" i="54"/>
  <c r="AD32" i="54" s="1"/>
  <c r="AD32" i="52"/>
  <c r="AC53" i="52"/>
  <c r="AC58" i="52" s="1"/>
  <c r="AC5" i="53" s="1"/>
  <c r="AD5" i="52"/>
  <c r="AC26" i="54"/>
  <c r="AD26" i="54" s="1"/>
  <c r="AD26" i="52"/>
  <c r="AC33" i="54"/>
  <c r="AD33" i="54" s="1"/>
  <c r="AD33" i="52"/>
  <c r="AD37" i="52"/>
  <c r="AC37" i="54"/>
  <c r="AD37" i="54" s="1"/>
  <c r="AD48" i="52"/>
  <c r="AC48" i="54"/>
  <c r="AD48" i="54" s="1"/>
  <c r="AD14" i="52"/>
  <c r="AC14" i="54"/>
  <c r="AD14" i="54" s="1"/>
  <c r="AD38" i="52"/>
  <c r="AC38" i="54"/>
  <c r="AD38" i="54" s="1"/>
  <c r="AD39" i="52"/>
  <c r="AC39" i="54"/>
  <c r="AD39" i="54" s="1"/>
  <c r="AD18" i="52"/>
  <c r="AC18" i="54"/>
  <c r="AD18" i="54" s="1"/>
  <c r="Q11" i="54"/>
  <c r="Q11" i="53"/>
  <c r="Q11" i="107" s="1"/>
  <c r="Q63" i="107" s="1"/>
  <c r="Q7" i="54"/>
  <c r="Q7" i="53"/>
  <c r="Q21" i="54"/>
  <c r="Q21" i="53"/>
  <c r="Q21" i="107" s="1"/>
  <c r="Q73" i="107" s="1"/>
  <c r="Q50" i="54"/>
  <c r="Q49" i="54"/>
  <c r="Q49" i="53"/>
  <c r="Q49" i="107" s="1"/>
  <c r="Q101" i="107" s="1"/>
  <c r="Q29" i="54"/>
  <c r="Q29" i="53"/>
  <c r="Q30" i="54"/>
  <c r="Q33" i="54"/>
  <c r="Q33" i="53"/>
  <c r="Q33" i="107" s="1"/>
  <c r="Q85" i="107" s="1"/>
  <c r="Q16" i="54"/>
  <c r="Q16" i="53"/>
  <c r="Q41" i="54"/>
  <c r="Q40" i="54"/>
  <c r="Q40" i="53"/>
  <c r="Q40" i="107" s="1"/>
  <c r="Q92" i="107" s="1"/>
  <c r="Q22" i="54"/>
  <c r="Q22" i="53"/>
  <c r="Q22" i="107" s="1"/>
  <c r="Q74" i="107" s="1"/>
  <c r="W9" i="53"/>
  <c r="W9" i="54"/>
  <c r="W16" i="54"/>
  <c r="W6" i="53"/>
  <c r="W6" i="54"/>
  <c r="W10" i="53"/>
  <c r="V10" i="107" s="1"/>
  <c r="V62" i="107" s="1"/>
  <c r="W10" i="54"/>
  <c r="W18" i="54"/>
  <c r="W17" i="54"/>
  <c r="W17" i="53"/>
  <c r="V17" i="107" s="1"/>
  <c r="V69" i="107" s="1"/>
  <c r="W13" i="54"/>
  <c r="W13" i="53"/>
  <c r="V13" i="107" s="1"/>
  <c r="V65" i="107" s="1"/>
  <c r="W20" i="54"/>
  <c r="W15" i="54"/>
  <c r="W23" i="54"/>
  <c r="W22" i="54"/>
  <c r="W22" i="53"/>
  <c r="V22" i="107" s="1"/>
  <c r="V74" i="107" s="1"/>
  <c r="M14" i="57"/>
  <c r="M14" i="58"/>
  <c r="M37" i="57"/>
  <c r="M37" i="58"/>
  <c r="M19" i="58"/>
  <c r="M19" i="57"/>
  <c r="M19" i="108" s="1"/>
  <c r="M62" i="108" s="1"/>
  <c r="M36" i="57"/>
  <c r="M36" i="58"/>
  <c r="M25" i="57"/>
  <c r="M25" i="58"/>
  <c r="M34" i="57"/>
  <c r="M34" i="58"/>
  <c r="M34" i="108" s="1"/>
  <c r="M77" i="108" s="1"/>
  <c r="M9" i="57"/>
  <c r="M9" i="58"/>
  <c r="M9" i="108" s="1"/>
  <c r="M52" i="108" s="1"/>
  <c r="M31" i="57"/>
  <c r="M31" i="58"/>
  <c r="M10" i="57"/>
  <c r="M10" i="58"/>
  <c r="O25" i="57"/>
  <c r="O25" i="58"/>
  <c r="O17" i="57"/>
  <c r="O17" i="58"/>
  <c r="O19" i="57"/>
  <c r="O19" i="58"/>
  <c r="O23" i="58"/>
  <c r="O23" i="57"/>
  <c r="O23" i="108" s="1"/>
  <c r="O66" i="108" s="1"/>
  <c r="O37" i="57"/>
  <c r="O37" i="58"/>
  <c r="O26" i="57"/>
  <c r="O26" i="58"/>
  <c r="O31" i="57"/>
  <c r="O31" i="58"/>
  <c r="O9" i="58"/>
  <c r="O9" i="57"/>
  <c r="O38" i="57"/>
  <c r="O38" i="58"/>
  <c r="O8" i="58"/>
  <c r="O8" i="57"/>
  <c r="O8" i="108" s="1"/>
  <c r="O51" i="108" s="1"/>
  <c r="X7" i="54"/>
  <c r="X7" i="53"/>
  <c r="W7" i="107" s="1"/>
  <c r="W59" i="107" s="1"/>
  <c r="X51" i="54"/>
  <c r="X51" i="53"/>
  <c r="W51" i="107" s="1"/>
  <c r="W103" i="107" s="1"/>
  <c r="X24" i="54"/>
  <c r="X24" i="53"/>
  <c r="X19" i="54"/>
  <c r="X43" i="54"/>
  <c r="X43" i="53"/>
  <c r="W43" i="107" s="1"/>
  <c r="W95" i="107" s="1"/>
  <c r="X23" i="54"/>
  <c r="X23" i="53"/>
  <c r="W23" i="107" s="1"/>
  <c r="W75" i="107" s="1"/>
  <c r="X44" i="54"/>
  <c r="X44" i="53"/>
  <c r="W44" i="107" s="1"/>
  <c r="W96" i="107" s="1"/>
  <c r="X12" i="54"/>
  <c r="X12" i="53"/>
  <c r="W12" i="107" s="1"/>
  <c r="W64" i="107" s="1"/>
  <c r="X46" i="53"/>
  <c r="X46" i="54"/>
  <c r="X40" i="54"/>
  <c r="X40" i="53"/>
  <c r="W40" i="107" s="1"/>
  <c r="W92" i="107" s="1"/>
  <c r="X31" i="54"/>
  <c r="X31" i="53"/>
  <c r="W31" i="107" s="1"/>
  <c r="W83" i="107" s="1"/>
  <c r="X35" i="54"/>
  <c r="X35" i="53"/>
  <c r="W35" i="107" s="1"/>
  <c r="W87" i="107" s="1"/>
  <c r="R41" i="54"/>
  <c r="R30" i="54"/>
  <c r="R17" i="54"/>
  <c r="R36" i="54"/>
  <c r="R45" i="54"/>
  <c r="R25" i="54"/>
  <c r="R39" i="54"/>
  <c r="R44" i="54"/>
  <c r="R9" i="54"/>
  <c r="R42" i="54"/>
  <c r="R43" i="54"/>
  <c r="R19" i="54"/>
  <c r="U38" i="54"/>
  <c r="U35" i="54"/>
  <c r="U9" i="54"/>
  <c r="U47" i="53"/>
  <c r="U47" i="54"/>
  <c r="U29" i="54"/>
  <c r="U10" i="54"/>
  <c r="U10" i="53"/>
  <c r="U48" i="53"/>
  <c r="U48" i="54"/>
  <c r="U31" i="54"/>
  <c r="U34" i="54"/>
  <c r="AB34" i="52"/>
  <c r="U33" i="53"/>
  <c r="U33" i="54"/>
  <c r="L23" i="57"/>
  <c r="L23" i="108" s="1"/>
  <c r="L66" i="108" s="1"/>
  <c r="L29" i="57"/>
  <c r="L29" i="108" s="1"/>
  <c r="L72" i="108" s="1"/>
  <c r="U12" i="57"/>
  <c r="U12" i="58"/>
  <c r="U17" i="57"/>
  <c r="U17" i="58"/>
  <c r="U27" i="58"/>
  <c r="U27" i="57"/>
  <c r="S27" i="108" s="1"/>
  <c r="S70" i="108" s="1"/>
  <c r="U38" i="58"/>
  <c r="U38" i="57"/>
  <c r="S38" i="108" s="1"/>
  <c r="S81" i="108" s="1"/>
  <c r="U16" i="58"/>
  <c r="U16" i="57"/>
  <c r="S16" i="108" s="1"/>
  <c r="S59" i="108" s="1"/>
  <c r="U20" i="57"/>
  <c r="U20" i="58"/>
  <c r="U25" i="57"/>
  <c r="U25" i="58"/>
  <c r="U37" i="57"/>
  <c r="U37" i="58"/>
  <c r="U11" i="57"/>
  <c r="U11" i="58"/>
  <c r="P37" i="54"/>
  <c r="P32" i="54"/>
  <c r="P16" i="54"/>
  <c r="P48" i="54"/>
  <c r="P47" i="54"/>
  <c r="P24" i="54"/>
  <c r="P43" i="54"/>
  <c r="P31" i="54"/>
  <c r="P5" i="54"/>
  <c r="P53" i="52"/>
  <c r="P58" i="52" s="1"/>
  <c r="P21" i="53" s="1"/>
  <c r="P46" i="54"/>
  <c r="P50" i="54"/>
  <c r="P8" i="54"/>
  <c r="O45" i="54"/>
  <c r="O45" i="53"/>
  <c r="O45" i="107" s="1"/>
  <c r="O97" i="107" s="1"/>
  <c r="O33" i="54"/>
  <c r="O20" i="54"/>
  <c r="O24" i="54"/>
  <c r="O40" i="54"/>
  <c r="O17" i="54"/>
  <c r="O48" i="54"/>
  <c r="O48" i="53"/>
  <c r="O48" i="107" s="1"/>
  <c r="O100" i="107" s="1"/>
  <c r="O23" i="54"/>
  <c r="O23" i="53"/>
  <c r="O23" i="107" s="1"/>
  <c r="O75" i="107" s="1"/>
  <c r="O19" i="54"/>
  <c r="O32" i="54"/>
  <c r="O30" i="54"/>
  <c r="O25" i="54"/>
  <c r="R40" i="57"/>
  <c r="S40" i="56"/>
  <c r="R40" i="58"/>
  <c r="S40" i="58" s="1"/>
  <c r="R16" i="57"/>
  <c r="S16" i="56"/>
  <c r="R16" i="58"/>
  <c r="S16" i="58" s="1"/>
  <c r="R19" i="57"/>
  <c r="S19" i="56"/>
  <c r="R19" i="58"/>
  <c r="S19" i="58" s="1"/>
  <c r="R28" i="57"/>
  <c r="S28" i="56"/>
  <c r="R28" i="58"/>
  <c r="S28" i="58" s="1"/>
  <c r="S36" i="56"/>
  <c r="R36" i="57"/>
  <c r="R36" i="58"/>
  <c r="S36" i="58" s="1"/>
  <c r="S22" i="56"/>
  <c r="R22" i="57"/>
  <c r="R22" i="58"/>
  <c r="S22" i="58" s="1"/>
  <c r="S8" i="56"/>
  <c r="R8" i="57"/>
  <c r="S8" i="57" s="1"/>
  <c r="R8" i="58"/>
  <c r="S8" i="58" s="1"/>
  <c r="R31" i="58"/>
  <c r="S31" i="58" s="1"/>
  <c r="S31" i="56"/>
  <c r="R31" i="57"/>
  <c r="R25" i="58"/>
  <c r="S25" i="58" s="1"/>
  <c r="S25" i="56"/>
  <c r="R25" i="57"/>
  <c r="P16" i="56"/>
  <c r="P7" i="56"/>
  <c r="P38" i="56"/>
  <c r="P37" i="56"/>
  <c r="P20" i="56"/>
  <c r="P25" i="56"/>
  <c r="P12" i="56"/>
  <c r="P19" i="56"/>
  <c r="P13" i="56"/>
  <c r="P18" i="56"/>
  <c r="P10" i="56"/>
  <c r="P5" i="56"/>
  <c r="P41" i="56"/>
  <c r="P28" i="56"/>
  <c r="P36" i="56"/>
  <c r="P22" i="56"/>
  <c r="P29" i="56"/>
  <c r="P39" i="56"/>
  <c r="P30" i="56"/>
  <c r="P27" i="56"/>
  <c r="P8" i="56"/>
  <c r="P9" i="56"/>
  <c r="P42" i="56"/>
  <c r="P15" i="56"/>
  <c r="P24" i="56"/>
  <c r="P14" i="56"/>
  <c r="P26" i="56"/>
  <c r="P35" i="56"/>
  <c r="P23" i="56"/>
  <c r="P11" i="56"/>
  <c r="P6" i="56"/>
  <c r="P33" i="56"/>
  <c r="P32" i="56"/>
  <c r="P40" i="56"/>
  <c r="P31" i="56"/>
  <c r="P34" i="56"/>
  <c r="P17" i="56"/>
  <c r="P21" i="56"/>
  <c r="AI44" i="54"/>
  <c r="AI23" i="54"/>
  <c r="AI14" i="54"/>
  <c r="AI43" i="54"/>
  <c r="AI36" i="54"/>
  <c r="AI16" i="54"/>
  <c r="AI22" i="54"/>
  <c r="AI37" i="54"/>
  <c r="AI18" i="54"/>
  <c r="AI21" i="54"/>
  <c r="AI48" i="54"/>
  <c r="AI20" i="54"/>
  <c r="AH16" i="54"/>
  <c r="AH28" i="54"/>
  <c r="AH47" i="54"/>
  <c r="AH47" i="53"/>
  <c r="AD47" i="107" s="1"/>
  <c r="AD99" i="107" s="1"/>
  <c r="AH5" i="54"/>
  <c r="AH53" i="52"/>
  <c r="AH58" i="52" s="1"/>
  <c r="AH27" i="53" s="1"/>
  <c r="AH5" i="53"/>
  <c r="AD5" i="107" s="1"/>
  <c r="AD57" i="107" s="1"/>
  <c r="AH27" i="54"/>
  <c r="AH17" i="54"/>
  <c r="AH20" i="54"/>
  <c r="AH38" i="54"/>
  <c r="AH8" i="54"/>
  <c r="AH9" i="54"/>
  <c r="AH34" i="54"/>
  <c r="AH34" i="53"/>
  <c r="AD34" i="107" s="1"/>
  <c r="AD86" i="107" s="1"/>
  <c r="L38" i="54"/>
  <c r="L30" i="54"/>
  <c r="L16" i="54"/>
  <c r="L7" i="54"/>
  <c r="L7" i="53"/>
  <c r="L7" i="107" s="1"/>
  <c r="L59" i="107" s="1"/>
  <c r="L41" i="54"/>
  <c r="L15" i="54"/>
  <c r="L49" i="54"/>
  <c r="L17" i="54"/>
  <c r="L21" i="54"/>
  <c r="L33" i="54"/>
  <c r="L33" i="53"/>
  <c r="L33" i="107" s="1"/>
  <c r="L85" i="107" s="1"/>
  <c r="L19" i="54"/>
  <c r="L19" i="53"/>
  <c r="L19" i="107" s="1"/>
  <c r="L71" i="107" s="1"/>
  <c r="L29" i="54"/>
  <c r="M16" i="52"/>
  <c r="M5" i="52"/>
  <c r="M9" i="52"/>
  <c r="M6" i="52"/>
  <c r="M15" i="52"/>
  <c r="M10" i="52"/>
  <c r="M50" i="52"/>
  <c r="M46" i="52"/>
  <c r="AB45" i="58"/>
  <c r="AB45" i="57"/>
  <c r="X49" i="57" s="1"/>
  <c r="AB45" i="56"/>
  <c r="AB45" i="55"/>
  <c r="L44" i="58"/>
  <c r="T56" i="51"/>
  <c r="T54" i="102" s="1"/>
  <c r="E35" i="5"/>
  <c r="Q46" i="103" s="1"/>
  <c r="F35" i="5"/>
  <c r="Q47" i="103" s="1"/>
  <c r="F10" i="5"/>
  <c r="T56" i="102" s="1"/>
  <c r="E10" i="5"/>
  <c r="T55" i="102" s="1"/>
  <c r="D47" i="5"/>
  <c r="D29" i="5"/>
  <c r="AC18" i="53" l="1"/>
  <c r="W46" i="107"/>
  <c r="W98" i="107" s="1"/>
  <c r="Q29" i="107"/>
  <c r="Q81" i="107" s="1"/>
  <c r="L46" i="107"/>
  <c r="L98" i="107" s="1"/>
  <c r="W9" i="107"/>
  <c r="W61" i="107" s="1"/>
  <c r="W25" i="107"/>
  <c r="W77" i="107" s="1"/>
  <c r="W37" i="53"/>
  <c r="V37" i="107" s="1"/>
  <c r="V89" i="107" s="1"/>
  <c r="X26" i="102"/>
  <c r="AC37" i="53"/>
  <c r="AD37" i="53" s="1"/>
  <c r="Q48" i="107"/>
  <c r="Q100" i="107" s="1"/>
  <c r="X8" i="102"/>
  <c r="M6" i="108"/>
  <c r="M49" i="108" s="1"/>
  <c r="U7" i="53"/>
  <c r="P37" i="102"/>
  <c r="X37" i="102"/>
  <c r="AI27" i="53"/>
  <c r="O10" i="108"/>
  <c r="O53" i="108" s="1"/>
  <c r="S5" i="108"/>
  <c r="S48" i="108" s="1"/>
  <c r="X50" i="102"/>
  <c r="AI36" i="53"/>
  <c r="AE36" i="107" s="1"/>
  <c r="AE88" i="107" s="1"/>
  <c r="AI35" i="53"/>
  <c r="AI43" i="53"/>
  <c r="T30" i="107"/>
  <c r="T82" i="107" s="1"/>
  <c r="M20" i="108"/>
  <c r="M63" i="108" s="1"/>
  <c r="V12" i="107"/>
  <c r="V64" i="107" s="1"/>
  <c r="AH38" i="53"/>
  <c r="U34" i="53"/>
  <c r="O22" i="108"/>
  <c r="O65" i="108" s="1"/>
  <c r="AI28" i="53"/>
  <c r="AE28" i="107" s="1"/>
  <c r="AE80" i="107" s="1"/>
  <c r="O30" i="108"/>
  <c r="O73" i="108" s="1"/>
  <c r="O12" i="108"/>
  <c r="O55" i="108" s="1"/>
  <c r="W19" i="53"/>
  <c r="V19" i="107" s="1"/>
  <c r="V71" i="107" s="1"/>
  <c r="AI20" i="53"/>
  <c r="AE20" i="107" s="1"/>
  <c r="AE72" i="107" s="1"/>
  <c r="S11" i="108"/>
  <c r="S54" i="108" s="1"/>
  <c r="U38" i="53"/>
  <c r="AI6" i="53"/>
  <c r="AE6" i="107" s="1"/>
  <c r="AE58" i="107" s="1"/>
  <c r="S18" i="108"/>
  <c r="S61" i="108" s="1"/>
  <c r="U16" i="53"/>
  <c r="X14" i="53"/>
  <c r="O33" i="108"/>
  <c r="O76" i="108" s="1"/>
  <c r="X29" i="53"/>
  <c r="W29" i="107" s="1"/>
  <c r="W81" i="107" s="1"/>
  <c r="X26" i="53"/>
  <c r="W26" i="107" s="1"/>
  <c r="W78" i="107" s="1"/>
  <c r="O36" i="108"/>
  <c r="O79" i="108" s="1"/>
  <c r="W34" i="53"/>
  <c r="Q19" i="53"/>
  <c r="Q19" i="107" s="1"/>
  <c r="Q71" i="107" s="1"/>
  <c r="X9" i="102"/>
  <c r="P23" i="102"/>
  <c r="X17" i="102"/>
  <c r="X44" i="102"/>
  <c r="P9" i="102"/>
  <c r="X38" i="102"/>
  <c r="X41" i="102"/>
  <c r="P11" i="102"/>
  <c r="S37" i="108"/>
  <c r="S80" i="108" s="1"/>
  <c r="S17" i="108"/>
  <c r="S60" i="108" s="1"/>
  <c r="Q16" i="107"/>
  <c r="Q68" i="107" s="1"/>
  <c r="AI31" i="53"/>
  <c r="AE31" i="107" s="1"/>
  <c r="AE83" i="107" s="1"/>
  <c r="M42" i="108"/>
  <c r="M85" i="108" s="1"/>
  <c r="V50" i="107"/>
  <c r="V102" i="107" s="1"/>
  <c r="S21" i="108"/>
  <c r="S64" i="108" s="1"/>
  <c r="W8" i="107"/>
  <c r="W60" i="107" s="1"/>
  <c r="W13" i="107"/>
  <c r="W65" i="107" s="1"/>
  <c r="S39" i="108"/>
  <c r="S82" i="108" s="1"/>
  <c r="P12" i="102"/>
  <c r="X16" i="102"/>
  <c r="X31" i="102"/>
  <c r="M16" i="108"/>
  <c r="M59" i="108" s="1"/>
  <c r="P20" i="102"/>
  <c r="P39" i="102"/>
  <c r="X32" i="102"/>
  <c r="L41" i="108"/>
  <c r="L84" i="108" s="1"/>
  <c r="P28" i="102"/>
  <c r="X49" i="102"/>
  <c r="W50" i="102"/>
  <c r="AC48" i="53"/>
  <c r="S26" i="108"/>
  <c r="S69" i="108" s="1"/>
  <c r="M24" i="108"/>
  <c r="M67" i="108" s="1"/>
  <c r="X10" i="102"/>
  <c r="X24" i="102"/>
  <c r="X20" i="102"/>
  <c r="P42" i="102"/>
  <c r="S25" i="108"/>
  <c r="S68" i="108" s="1"/>
  <c r="S12" i="108"/>
  <c r="S55" i="108" s="1"/>
  <c r="M33" i="108"/>
  <c r="M76" i="108" s="1"/>
  <c r="AD27" i="107"/>
  <c r="AD79" i="107" s="1"/>
  <c r="U29" i="53"/>
  <c r="V6" i="107"/>
  <c r="V58" i="107" s="1"/>
  <c r="V21" i="107"/>
  <c r="V73" i="107" s="1"/>
  <c r="S8" i="108"/>
  <c r="S51" i="108" s="1"/>
  <c r="W18" i="107"/>
  <c r="W70" i="107" s="1"/>
  <c r="O16" i="108"/>
  <c r="O59" i="108" s="1"/>
  <c r="M17" i="108"/>
  <c r="M60" i="108" s="1"/>
  <c r="W27" i="53"/>
  <c r="X19" i="53"/>
  <c r="O17" i="108"/>
  <c r="O60" i="108" s="1"/>
  <c r="M25" i="108"/>
  <c r="M68" i="108" s="1"/>
  <c r="W15" i="53"/>
  <c r="V15" i="107" s="1"/>
  <c r="V67" i="107" s="1"/>
  <c r="Q30" i="53"/>
  <c r="L10" i="53"/>
  <c r="L10" i="107" s="1"/>
  <c r="L62" i="107" s="1"/>
  <c r="X34" i="53"/>
  <c r="W34" i="107" s="1"/>
  <c r="W86" i="107" s="1"/>
  <c r="O5" i="108"/>
  <c r="O48" i="108" s="1"/>
  <c r="W46" i="53"/>
  <c r="V46" i="107" s="1"/>
  <c r="V98" i="107" s="1"/>
  <c r="X42" i="53"/>
  <c r="X48" i="53"/>
  <c r="S14" i="108"/>
  <c r="S57" i="108" s="1"/>
  <c r="L5" i="108"/>
  <c r="L48" i="108" s="1"/>
  <c r="M5" i="108"/>
  <c r="M48" i="108" s="1"/>
  <c r="W25" i="53"/>
  <c r="V25" i="107" s="1"/>
  <c r="V77" i="107" s="1"/>
  <c r="P14" i="102"/>
  <c r="X14" i="102"/>
  <c r="X11" i="102"/>
  <c r="V40" i="56"/>
  <c r="V25" i="56"/>
  <c r="V11" i="56"/>
  <c r="V42" i="56"/>
  <c r="V5" i="56"/>
  <c r="V10" i="56"/>
  <c r="V30" i="56"/>
  <c r="V24" i="56"/>
  <c r="V16" i="56"/>
  <c r="V14" i="56"/>
  <c r="V41" i="56"/>
  <c r="V22" i="56"/>
  <c r="V12" i="56"/>
  <c r="V29" i="56"/>
  <c r="V17" i="56"/>
  <c r="V27" i="56"/>
  <c r="V19" i="56"/>
  <c r="V35" i="56"/>
  <c r="V7" i="56"/>
  <c r="V21" i="56"/>
  <c r="V13" i="56"/>
  <c r="V37" i="56"/>
  <c r="V39" i="56"/>
  <c r="V28" i="56"/>
  <c r="V32" i="56"/>
  <c r="V18" i="56"/>
  <c r="V9" i="56"/>
  <c r="V31" i="56"/>
  <c r="V8" i="56"/>
  <c r="V26" i="56"/>
  <c r="V6" i="56"/>
  <c r="V20" i="56"/>
  <c r="P28" i="103"/>
  <c r="S22" i="57"/>
  <c r="Q22" i="108"/>
  <c r="Q65" i="108" s="1"/>
  <c r="AD18" i="53"/>
  <c r="AA18" i="107"/>
  <c r="AA70" i="107" s="1"/>
  <c r="P16" i="103"/>
  <c r="O26" i="108"/>
  <c r="O69" i="108" s="1"/>
  <c r="P15" i="103"/>
  <c r="E9" i="110"/>
  <c r="E11" i="110"/>
  <c r="P10" i="103"/>
  <c r="M37" i="108"/>
  <c r="M80" i="108" s="1"/>
  <c r="O34" i="108"/>
  <c r="O77" i="108" s="1"/>
  <c r="AE43" i="107"/>
  <c r="AE95" i="107" s="1"/>
  <c r="O7" i="53"/>
  <c r="O7" i="107" s="1"/>
  <c r="O59" i="107" s="1"/>
  <c r="M12" i="108"/>
  <c r="M55" i="108" s="1"/>
  <c r="M23" i="108"/>
  <c r="M66" i="108" s="1"/>
  <c r="V49" i="107"/>
  <c r="V101" i="107" s="1"/>
  <c r="AI19" i="53"/>
  <c r="AE19" i="107" s="1"/>
  <c r="AE71" i="107" s="1"/>
  <c r="AI45" i="53"/>
  <c r="AE45" i="107" s="1"/>
  <c r="AE97" i="107" s="1"/>
  <c r="Q5" i="108"/>
  <c r="Q48" i="108" s="1"/>
  <c r="O34" i="53"/>
  <c r="O34" i="107" s="1"/>
  <c r="O86" i="107" s="1"/>
  <c r="Z22" i="103"/>
  <c r="AA22" i="103" s="1"/>
  <c r="Z30" i="103"/>
  <c r="AA30" i="103" s="1"/>
  <c r="Z33" i="103"/>
  <c r="AA33" i="103" s="1"/>
  <c r="T9" i="103"/>
  <c r="T35" i="103"/>
  <c r="T21" i="103"/>
  <c r="N20" i="56"/>
  <c r="N34" i="56"/>
  <c r="N8" i="56"/>
  <c r="N6" i="56"/>
  <c r="N15" i="56"/>
  <c r="Q15" i="56" s="1"/>
  <c r="N25" i="56"/>
  <c r="N10" i="56"/>
  <c r="N36" i="56"/>
  <c r="N27" i="56"/>
  <c r="N30" i="56"/>
  <c r="N12" i="56"/>
  <c r="N31" i="56"/>
  <c r="N22" i="56"/>
  <c r="N24" i="56"/>
  <c r="N26" i="56"/>
  <c r="N32" i="56"/>
  <c r="N19" i="56"/>
  <c r="N40" i="56"/>
  <c r="N13" i="56"/>
  <c r="N16" i="56"/>
  <c r="N37" i="56"/>
  <c r="N41" i="56"/>
  <c r="N5" i="56"/>
  <c r="N38" i="56"/>
  <c r="N33" i="56"/>
  <c r="N28" i="56"/>
  <c r="N18" i="56"/>
  <c r="N9" i="56"/>
  <c r="N21" i="56"/>
  <c r="N23" i="56"/>
  <c r="N7" i="56"/>
  <c r="N35" i="56"/>
  <c r="N42" i="56"/>
  <c r="N11" i="56"/>
  <c r="N29" i="56"/>
  <c r="N39" i="56"/>
  <c r="N14" i="56"/>
  <c r="N17" i="56"/>
  <c r="O18" i="102"/>
  <c r="L17" i="53"/>
  <c r="L17" i="107" s="1"/>
  <c r="L69" i="107" s="1"/>
  <c r="AI48" i="53"/>
  <c r="AE48" i="107" s="1"/>
  <c r="AE100" i="107" s="1"/>
  <c r="AI14" i="53"/>
  <c r="AE14" i="107" s="1"/>
  <c r="AE66" i="107" s="1"/>
  <c r="P32" i="103"/>
  <c r="P8" i="103"/>
  <c r="Q13" i="56"/>
  <c r="P13" i="103"/>
  <c r="S31" i="57"/>
  <c r="Q31" i="108"/>
  <c r="Q74" i="108" s="1"/>
  <c r="O25" i="53"/>
  <c r="O25" i="107" s="1"/>
  <c r="O77" i="107" s="1"/>
  <c r="M14" i="108"/>
  <c r="M57" i="108" s="1"/>
  <c r="AC26" i="53"/>
  <c r="AD26" i="53" s="1"/>
  <c r="L43" i="53"/>
  <c r="L43" i="107" s="1"/>
  <c r="L95" i="107" s="1"/>
  <c r="AI9" i="53"/>
  <c r="AE9" i="107" s="1"/>
  <c r="AE61" i="107" s="1"/>
  <c r="S11" i="58"/>
  <c r="Q11" i="108"/>
  <c r="Q54" i="108" s="1"/>
  <c r="S20" i="57"/>
  <c r="Q20" i="108"/>
  <c r="Q63" i="108" s="1"/>
  <c r="O12" i="53"/>
  <c r="O12" i="107" s="1"/>
  <c r="O64" i="107" s="1"/>
  <c r="U22" i="53"/>
  <c r="U11" i="53"/>
  <c r="O21" i="108"/>
  <c r="O64" i="108" s="1"/>
  <c r="W47" i="53"/>
  <c r="V47" i="107" s="1"/>
  <c r="V99" i="107" s="1"/>
  <c r="M34" i="52"/>
  <c r="S6" i="57"/>
  <c r="Q6" i="108"/>
  <c r="Q49" i="108" s="1"/>
  <c r="S23" i="57"/>
  <c r="Q23" i="108"/>
  <c r="Q66" i="108" s="1"/>
  <c r="W22" i="107"/>
  <c r="W74" i="107" s="1"/>
  <c r="W36" i="107"/>
  <c r="W88" i="107" s="1"/>
  <c r="O20" i="108"/>
  <c r="O63" i="108" s="1"/>
  <c r="Z35" i="103"/>
  <c r="AA35" i="103" s="1"/>
  <c r="Z38" i="103"/>
  <c r="AA38" i="103" s="1"/>
  <c r="Z15" i="103"/>
  <c r="AA15" i="103" s="1"/>
  <c r="Z11" i="103"/>
  <c r="AA11" i="103" s="1"/>
  <c r="T7" i="103"/>
  <c r="T16" i="103"/>
  <c r="T17" i="103"/>
  <c r="S15" i="108"/>
  <c r="S58" i="108" s="1"/>
  <c r="O29" i="108"/>
  <c r="O72" i="108" s="1"/>
  <c r="M38" i="108"/>
  <c r="M81" i="108" s="1"/>
  <c r="P41" i="103"/>
  <c r="AI12" i="53"/>
  <c r="AE12" i="107" s="1"/>
  <c r="AE64" i="107" s="1"/>
  <c r="W14" i="107"/>
  <c r="W66" i="107" s="1"/>
  <c r="Q6" i="107"/>
  <c r="Q58" i="107" s="1"/>
  <c r="AI51" i="53"/>
  <c r="AE51" i="107" s="1"/>
  <c r="AE103" i="107" s="1"/>
  <c r="AI38" i="53"/>
  <c r="AE38" i="107" s="1"/>
  <c r="AE90" i="107" s="1"/>
  <c r="S36" i="108"/>
  <c r="S79" i="108" s="1"/>
  <c r="U13" i="53"/>
  <c r="Z40" i="103"/>
  <c r="AA40" i="103" s="1"/>
  <c r="Z23" i="103"/>
  <c r="AA23" i="103" s="1"/>
  <c r="Z25" i="103"/>
  <c r="AA25" i="103" s="1"/>
  <c r="Z16" i="103"/>
  <c r="AA16" i="103" s="1"/>
  <c r="Q34" i="107"/>
  <c r="Q86" i="107" s="1"/>
  <c r="Q23" i="107"/>
  <c r="Q75" i="107" s="1"/>
  <c r="T30" i="103"/>
  <c r="T42" i="103"/>
  <c r="T28" i="103"/>
  <c r="S9" i="57"/>
  <c r="Q9" i="108"/>
  <c r="Q52" i="108" s="1"/>
  <c r="W26" i="53"/>
  <c r="V26" i="107" s="1"/>
  <c r="V78" i="107" s="1"/>
  <c r="O13" i="102"/>
  <c r="P5" i="103"/>
  <c r="W19" i="107"/>
  <c r="W71" i="107" s="1"/>
  <c r="S7" i="108"/>
  <c r="S50" i="108" s="1"/>
  <c r="O37" i="53"/>
  <c r="O37" i="107" s="1"/>
  <c r="O89" i="107" s="1"/>
  <c r="Q15" i="102"/>
  <c r="Q42" i="102"/>
  <c r="Q28" i="102"/>
  <c r="Q43" i="102"/>
  <c r="Q41" i="102"/>
  <c r="Q44" i="102"/>
  <c r="Q10" i="102"/>
  <c r="Q23" i="102"/>
  <c r="Q13" i="102"/>
  <c r="Q29" i="102"/>
  <c r="Q48" i="102"/>
  <c r="Q8" i="102"/>
  <c r="Q7" i="102"/>
  <c r="Q9" i="102"/>
  <c r="Q22" i="102"/>
  <c r="Q47" i="102"/>
  <c r="Q31" i="102"/>
  <c r="Q36" i="102"/>
  <c r="Q39" i="102"/>
  <c r="Q18" i="102"/>
  <c r="Q20" i="102"/>
  <c r="Q46" i="102"/>
  <c r="Q21" i="102"/>
  <c r="Q49" i="102"/>
  <c r="Q19" i="102"/>
  <c r="Q45" i="102"/>
  <c r="Q51" i="102"/>
  <c r="Q11" i="102"/>
  <c r="Q5" i="102"/>
  <c r="Q12" i="102"/>
  <c r="Q14" i="102"/>
  <c r="Q50" i="53"/>
  <c r="Q50" i="107" s="1"/>
  <c r="Q102" i="107" s="1"/>
  <c r="Q41" i="53"/>
  <c r="Q41" i="107" s="1"/>
  <c r="Q93" i="107" s="1"/>
  <c r="Q45" i="53"/>
  <c r="Q45" i="107" s="1"/>
  <c r="Q97" i="107" s="1"/>
  <c r="Q32" i="53"/>
  <c r="Q32" i="107" s="1"/>
  <c r="Q84" i="107" s="1"/>
  <c r="Q16" i="102"/>
  <c r="Q33" i="102"/>
  <c r="Q24" i="102"/>
  <c r="Q34" i="102"/>
  <c r="Q25" i="102"/>
  <c r="Q35" i="102"/>
  <c r="Q15" i="53"/>
  <c r="Q15" i="107" s="1"/>
  <c r="Q67" i="107" s="1"/>
  <c r="Q37" i="53"/>
  <c r="Q37" i="107" s="1"/>
  <c r="Q89" i="107" s="1"/>
  <c r="Q12" i="53"/>
  <c r="Q12" i="107" s="1"/>
  <c r="Q64" i="107" s="1"/>
  <c r="Q50" i="102"/>
  <c r="Q27" i="102"/>
  <c r="Q17" i="102"/>
  <c r="Q40" i="102"/>
  <c r="Q26" i="102"/>
  <c r="Q32" i="102"/>
  <c r="Q38" i="102"/>
  <c r="Q26" i="53"/>
  <c r="Q26" i="107" s="1"/>
  <c r="Q78" i="107" s="1"/>
  <c r="Q46" i="53"/>
  <c r="Q46" i="107" s="1"/>
  <c r="Q98" i="107" s="1"/>
  <c r="Q14" i="53"/>
  <c r="Q14" i="107" s="1"/>
  <c r="Q66" i="107" s="1"/>
  <c r="Q31" i="53"/>
  <c r="Q31" i="107" s="1"/>
  <c r="Q83" i="107" s="1"/>
  <c r="Q35" i="53"/>
  <c r="Q35" i="107" s="1"/>
  <c r="Q87" i="107" s="1"/>
  <c r="Q30" i="102"/>
  <c r="AI6" i="102"/>
  <c r="Q42" i="108"/>
  <c r="Q85" i="108" s="1"/>
  <c r="O28" i="102"/>
  <c r="Q37" i="102"/>
  <c r="W41" i="102"/>
  <c r="P21" i="103"/>
  <c r="S37" i="57"/>
  <c r="Q37" i="108"/>
  <c r="Q80" i="108" s="1"/>
  <c r="Q17" i="56"/>
  <c r="P17" i="103"/>
  <c r="S25" i="57"/>
  <c r="Q25" i="108"/>
  <c r="Q68" i="108" s="1"/>
  <c r="P42" i="103"/>
  <c r="M31" i="108"/>
  <c r="M74" i="108" s="1"/>
  <c r="AE27" i="107"/>
  <c r="AE79" i="107" s="1"/>
  <c r="P9" i="103"/>
  <c r="O17" i="53"/>
  <c r="O17" i="107" s="1"/>
  <c r="O69" i="107" s="1"/>
  <c r="L49" i="53"/>
  <c r="L49" i="107" s="1"/>
  <c r="L101" i="107" s="1"/>
  <c r="AI21" i="53"/>
  <c r="AE21" i="107" s="1"/>
  <c r="AE73" i="107" s="1"/>
  <c r="P6" i="103"/>
  <c r="P30" i="103"/>
  <c r="P12" i="103"/>
  <c r="S28" i="57"/>
  <c r="Q28" i="108"/>
  <c r="Q71" i="108" s="1"/>
  <c r="O30" i="53"/>
  <c r="O30" i="107" s="1"/>
  <c r="O82" i="107" s="1"/>
  <c r="T47" i="107"/>
  <c r="T99" i="107" s="1"/>
  <c r="O38" i="108"/>
  <c r="O81" i="108" s="1"/>
  <c r="O19" i="108"/>
  <c r="O62" i="108" s="1"/>
  <c r="L27" i="53"/>
  <c r="L27" i="107" s="1"/>
  <c r="L79" i="107" s="1"/>
  <c r="AI29" i="53"/>
  <c r="AE29" i="107" s="1"/>
  <c r="AE81" i="107" s="1"/>
  <c r="O39" i="53"/>
  <c r="O39" i="107" s="1"/>
  <c r="O91" i="107" s="1"/>
  <c r="U14" i="53"/>
  <c r="S34" i="57"/>
  <c r="Q34" i="108"/>
  <c r="Q77" i="108" s="1"/>
  <c r="L38" i="53"/>
  <c r="L38" i="107" s="1"/>
  <c r="L90" i="107" s="1"/>
  <c r="AH29" i="102"/>
  <c r="AH28" i="102"/>
  <c r="AH23" i="102"/>
  <c r="AH24" i="102"/>
  <c r="AH26" i="102"/>
  <c r="AH25" i="102"/>
  <c r="AH47" i="102"/>
  <c r="AH42" i="102"/>
  <c r="AH46" i="102"/>
  <c r="AH48" i="102"/>
  <c r="AH13" i="102"/>
  <c r="AH33" i="102"/>
  <c r="AH21" i="102"/>
  <c r="AH17" i="102"/>
  <c r="AH35" i="102"/>
  <c r="AH18" i="102"/>
  <c r="AH5" i="102"/>
  <c r="AH27" i="102"/>
  <c r="AH37" i="102"/>
  <c r="AH9" i="102"/>
  <c r="AH44" i="102"/>
  <c r="AH41" i="102"/>
  <c r="AH30" i="102"/>
  <c r="AH12" i="102"/>
  <c r="AH45" i="102"/>
  <c r="AH6" i="102"/>
  <c r="AH36" i="102"/>
  <c r="AH10" i="102"/>
  <c r="AH40" i="102"/>
  <c r="AH19" i="102"/>
  <c r="AH34" i="102"/>
  <c r="AH32" i="102"/>
  <c r="AH31" i="102"/>
  <c r="AH16" i="102"/>
  <c r="AH20" i="102"/>
  <c r="AH8" i="102"/>
  <c r="AH28" i="53"/>
  <c r="AD28" i="107" s="1"/>
  <c r="AD80" i="107" s="1"/>
  <c r="AI44" i="53"/>
  <c r="AE44" i="107" s="1"/>
  <c r="AE96" i="107" s="1"/>
  <c r="W24" i="107"/>
  <c r="W76" i="107" s="1"/>
  <c r="O9" i="108"/>
  <c r="O52" i="108" s="1"/>
  <c r="Q7" i="107"/>
  <c r="Q59" i="107" s="1"/>
  <c r="AI41" i="53"/>
  <c r="AE41" i="107" s="1"/>
  <c r="AE93" i="107" s="1"/>
  <c r="S35" i="57"/>
  <c r="Q35" i="108"/>
  <c r="Q78" i="108" s="1"/>
  <c r="O46" i="53"/>
  <c r="O46" i="107" s="1"/>
  <c r="O98" i="107" s="1"/>
  <c r="M8" i="108"/>
  <c r="M51" i="108" s="1"/>
  <c r="M35" i="108"/>
  <c r="M78" i="108" s="1"/>
  <c r="Q13" i="107"/>
  <c r="Q65" i="107" s="1"/>
  <c r="Q51" i="107"/>
  <c r="Q103" i="107" s="1"/>
  <c r="AI47" i="53"/>
  <c r="AE47" i="107" s="1"/>
  <c r="AE99" i="107" s="1"/>
  <c r="Z27" i="103"/>
  <c r="AA27" i="103" s="1"/>
  <c r="Z17" i="103"/>
  <c r="AA17" i="103" s="1"/>
  <c r="Z10" i="103"/>
  <c r="AA10" i="103" s="1"/>
  <c r="Q9" i="53"/>
  <c r="Q9" i="107" s="1"/>
  <c r="Q61" i="107" s="1"/>
  <c r="Q18" i="53"/>
  <c r="Q18" i="107" s="1"/>
  <c r="Q70" i="107" s="1"/>
  <c r="M7" i="52"/>
  <c r="T34" i="103"/>
  <c r="T37" i="103"/>
  <c r="T15" i="103"/>
  <c r="O35" i="108"/>
  <c r="O78" i="108" s="1"/>
  <c r="M21" i="108"/>
  <c r="M64" i="108" s="1"/>
  <c r="W30" i="53"/>
  <c r="V30" i="107" s="1"/>
  <c r="V82" i="107" s="1"/>
  <c r="W36" i="53"/>
  <c r="V36" i="107" s="1"/>
  <c r="V88" i="107" s="1"/>
  <c r="P7" i="103"/>
  <c r="S36" i="57"/>
  <c r="Q36" i="108"/>
  <c r="Q79" i="108" s="1"/>
  <c r="O28" i="53"/>
  <c r="O28" i="107" s="1"/>
  <c r="O80" i="107" s="1"/>
  <c r="O49" i="53"/>
  <c r="O49" i="107" s="1"/>
  <c r="O101" i="107" s="1"/>
  <c r="AB8" i="52"/>
  <c r="V34" i="107"/>
  <c r="V86" i="107" s="1"/>
  <c r="M41" i="108"/>
  <c r="M84" i="108" s="1"/>
  <c r="AI29" i="102"/>
  <c r="AH14" i="102"/>
  <c r="AH14" i="54"/>
  <c r="P40" i="103"/>
  <c r="S13" i="57"/>
  <c r="Q13" i="108"/>
  <c r="Q56" i="108" s="1"/>
  <c r="O19" i="53"/>
  <c r="O19" i="107" s="1"/>
  <c r="O71" i="107" s="1"/>
  <c r="S39" i="57"/>
  <c r="Q39" i="108"/>
  <c r="Q82" i="108" s="1"/>
  <c r="W33" i="53"/>
  <c r="V33" i="107" s="1"/>
  <c r="V85" i="107" s="1"/>
  <c r="U27" i="102"/>
  <c r="U27" i="53"/>
  <c r="U27" i="54"/>
  <c r="AC27" i="102"/>
  <c r="AD27" i="102" s="1"/>
  <c r="AC27" i="54"/>
  <c r="AD27" i="54" s="1"/>
  <c r="P14" i="103"/>
  <c r="P24" i="103"/>
  <c r="M10" i="108"/>
  <c r="M53" i="108" s="1"/>
  <c r="Q34" i="56"/>
  <c r="P34" i="103"/>
  <c r="P31" i="103"/>
  <c r="L23" i="102"/>
  <c r="L49" i="102"/>
  <c r="L31" i="102"/>
  <c r="L42" i="102"/>
  <c r="L21" i="102"/>
  <c r="L5" i="102"/>
  <c r="L28" i="102"/>
  <c r="L19" i="102"/>
  <c r="L39" i="102"/>
  <c r="L6" i="102"/>
  <c r="L33" i="102"/>
  <c r="L46" i="102"/>
  <c r="L29" i="102"/>
  <c r="L48" i="102"/>
  <c r="L14" i="102"/>
  <c r="L34" i="102"/>
  <c r="L43" i="102"/>
  <c r="L45" i="102"/>
  <c r="L36" i="102"/>
  <c r="L8" i="102"/>
  <c r="L18" i="102"/>
  <c r="L22" i="102"/>
  <c r="L30" i="102"/>
  <c r="L47" i="102"/>
  <c r="L21" i="53"/>
  <c r="L21" i="107" s="1"/>
  <c r="L73" i="107" s="1"/>
  <c r="L32" i="53"/>
  <c r="L32" i="107" s="1"/>
  <c r="L84" i="107" s="1"/>
  <c r="L32" i="102"/>
  <c r="L38" i="102"/>
  <c r="L25" i="102"/>
  <c r="L40" i="102"/>
  <c r="L51" i="102"/>
  <c r="L13" i="102"/>
  <c r="L16" i="102"/>
  <c r="L37" i="102"/>
  <c r="L24" i="102"/>
  <c r="L41" i="102"/>
  <c r="L44" i="102"/>
  <c r="L9" i="102"/>
  <c r="L7" i="102"/>
  <c r="L35" i="102"/>
  <c r="L12" i="102"/>
  <c r="L11" i="102"/>
  <c r="L27" i="102"/>
  <c r="L31" i="53"/>
  <c r="L31" i="107" s="1"/>
  <c r="L83" i="107" s="1"/>
  <c r="L15" i="102"/>
  <c r="L50" i="102"/>
  <c r="L16" i="53"/>
  <c r="L16" i="107" s="1"/>
  <c r="L68" i="107" s="1"/>
  <c r="P18" i="103"/>
  <c r="S40" i="57"/>
  <c r="Q40" i="108"/>
  <c r="Q83" i="108" s="1"/>
  <c r="L30" i="53"/>
  <c r="L30" i="107" s="1"/>
  <c r="L82" i="107" s="1"/>
  <c r="O40" i="53"/>
  <c r="O40" i="107" s="1"/>
  <c r="O92" i="107" s="1"/>
  <c r="L15" i="53"/>
  <c r="L15" i="107" s="1"/>
  <c r="L67" i="107" s="1"/>
  <c r="AI18" i="53"/>
  <c r="AE18" i="107" s="1"/>
  <c r="AE70" i="107" s="1"/>
  <c r="O20" i="53"/>
  <c r="O20" i="107" s="1"/>
  <c r="O72" i="107" s="1"/>
  <c r="AD48" i="53"/>
  <c r="AA48" i="107"/>
  <c r="AA100" i="107" s="1"/>
  <c r="L29" i="53"/>
  <c r="L29" i="107" s="1"/>
  <c r="L81" i="107" s="1"/>
  <c r="P35" i="103"/>
  <c r="Q22" i="56"/>
  <c r="P22" i="103"/>
  <c r="P37" i="103"/>
  <c r="S19" i="57"/>
  <c r="Q19" i="108"/>
  <c r="Q62" i="108" s="1"/>
  <c r="U18" i="53"/>
  <c r="U35" i="53"/>
  <c r="AC51" i="102"/>
  <c r="AD51" i="102" s="1"/>
  <c r="AC7" i="102"/>
  <c r="AD7" i="102" s="1"/>
  <c r="AC28" i="102"/>
  <c r="AD28" i="102" s="1"/>
  <c r="AC33" i="102"/>
  <c r="AD33" i="102" s="1"/>
  <c r="AC18" i="102"/>
  <c r="AD18" i="102" s="1"/>
  <c r="AC49" i="102"/>
  <c r="AD49" i="102" s="1"/>
  <c r="AC12" i="102"/>
  <c r="AD12" i="102" s="1"/>
  <c r="AC34" i="102"/>
  <c r="AD34" i="102" s="1"/>
  <c r="AC14" i="102"/>
  <c r="AD14" i="102" s="1"/>
  <c r="AC42" i="102"/>
  <c r="AD42" i="102" s="1"/>
  <c r="AC25" i="102"/>
  <c r="AD25" i="102" s="1"/>
  <c r="AC16" i="102"/>
  <c r="AD16" i="102" s="1"/>
  <c r="AC9" i="102"/>
  <c r="AD9" i="102" s="1"/>
  <c r="AC44" i="102"/>
  <c r="AD44" i="102" s="1"/>
  <c r="AC48" i="102"/>
  <c r="AD48" i="102" s="1"/>
  <c r="AC36" i="102"/>
  <c r="AD36" i="102" s="1"/>
  <c r="AC24" i="102"/>
  <c r="AD24" i="102" s="1"/>
  <c r="S10" i="57"/>
  <c r="Q10" i="108"/>
  <c r="Q53" i="108" s="1"/>
  <c r="O11" i="53"/>
  <c r="O11" i="107" s="1"/>
  <c r="O63" i="107" s="1"/>
  <c r="V40" i="107"/>
  <c r="V92" i="107" s="1"/>
  <c r="U8" i="53"/>
  <c r="L41" i="53"/>
  <c r="L41" i="107" s="1"/>
  <c r="L93" i="107" s="1"/>
  <c r="P26" i="103"/>
  <c r="P36" i="103"/>
  <c r="P38" i="103"/>
  <c r="O33" i="53"/>
  <c r="O33" i="107" s="1"/>
  <c r="O85" i="107" s="1"/>
  <c r="S20" i="108"/>
  <c r="S63" i="108" s="1"/>
  <c r="O31" i="108"/>
  <c r="O74" i="108" s="1"/>
  <c r="O25" i="108"/>
  <c r="O68" i="108" s="1"/>
  <c r="M36" i="108"/>
  <c r="M79" i="108" s="1"/>
  <c r="W20" i="53"/>
  <c r="V20" i="107" s="1"/>
  <c r="V72" i="107" s="1"/>
  <c r="W16" i="53"/>
  <c r="V16" i="107" s="1"/>
  <c r="V68" i="107" s="1"/>
  <c r="Q30" i="107"/>
  <c r="Q82" i="107" s="1"/>
  <c r="L13" i="53"/>
  <c r="L13" i="107" s="1"/>
  <c r="L65" i="107" s="1"/>
  <c r="AI15" i="53"/>
  <c r="AE15" i="107" s="1"/>
  <c r="AE67" i="107" s="1"/>
  <c r="AI7" i="53"/>
  <c r="AE7" i="107" s="1"/>
  <c r="AE59" i="107" s="1"/>
  <c r="O15" i="53"/>
  <c r="O15" i="107" s="1"/>
  <c r="O67" i="107" s="1"/>
  <c r="S41" i="108"/>
  <c r="S84" i="108" s="1"/>
  <c r="S31" i="108"/>
  <c r="S74" i="108" s="1"/>
  <c r="O15" i="108"/>
  <c r="O58" i="108" s="1"/>
  <c r="S7" i="57"/>
  <c r="Q7" i="108"/>
  <c r="Q50" i="108" s="1"/>
  <c r="O36" i="53"/>
  <c r="O36" i="107" s="1"/>
  <c r="O88" i="107" s="1"/>
  <c r="S34" i="108"/>
  <c r="S77" i="108" s="1"/>
  <c r="S13" i="108"/>
  <c r="S56" i="108" s="1"/>
  <c r="W33" i="107"/>
  <c r="W85" i="107" s="1"/>
  <c r="Z29" i="103"/>
  <c r="AA29" i="103" s="1"/>
  <c r="Z12" i="103"/>
  <c r="AA12" i="103" s="1"/>
  <c r="Z14" i="103"/>
  <c r="AA14" i="103" s="1"/>
  <c r="W42" i="53"/>
  <c r="V42" i="107" s="1"/>
  <c r="V94" i="107" s="1"/>
  <c r="T31" i="103"/>
  <c r="T29" i="103"/>
  <c r="T32" i="103"/>
  <c r="T8" i="103"/>
  <c r="B9" i="110"/>
  <c r="B11" i="110"/>
  <c r="M29" i="108"/>
  <c r="M72" i="108" s="1"/>
  <c r="X10" i="109"/>
  <c r="L20" i="102"/>
  <c r="AC8" i="102"/>
  <c r="AD8" i="102" s="1"/>
  <c r="AC8" i="54"/>
  <c r="AD8" i="54" s="1"/>
  <c r="AD8" i="52"/>
  <c r="U18" i="102"/>
  <c r="U18" i="54"/>
  <c r="AI48" i="102"/>
  <c r="Q27" i="108"/>
  <c r="Q70" i="108" s="1"/>
  <c r="S17" i="57"/>
  <c r="Q17" i="108"/>
  <c r="Q60" i="108" s="1"/>
  <c r="O49" i="102"/>
  <c r="O26" i="102"/>
  <c r="O38" i="102"/>
  <c r="O33" i="102"/>
  <c r="O14" i="102"/>
  <c r="O24" i="102"/>
  <c r="O29" i="102"/>
  <c r="O40" i="102"/>
  <c r="O9" i="102"/>
  <c r="O17" i="102"/>
  <c r="O16" i="102"/>
  <c r="O48" i="102"/>
  <c r="O15" i="102"/>
  <c r="O36" i="102"/>
  <c r="O22" i="102"/>
  <c r="O23" i="102"/>
  <c r="O6" i="102"/>
  <c r="O10" i="102"/>
  <c r="O11" i="102"/>
  <c r="O21" i="102"/>
  <c r="O32" i="102"/>
  <c r="O25" i="102"/>
  <c r="O7" i="102"/>
  <c r="O39" i="102"/>
  <c r="O51" i="102"/>
  <c r="O41" i="102"/>
  <c r="O30" i="102"/>
  <c r="O43" i="102"/>
  <c r="O37" i="102"/>
  <c r="O41" i="53"/>
  <c r="O41" i="107" s="1"/>
  <c r="O93" i="107" s="1"/>
  <c r="O27" i="53"/>
  <c r="O27" i="107" s="1"/>
  <c r="O79" i="107" s="1"/>
  <c r="O24" i="53"/>
  <c r="O24" i="107" s="1"/>
  <c r="O76" i="107" s="1"/>
  <c r="O32" i="53"/>
  <c r="O32" i="107" s="1"/>
  <c r="O84" i="107" s="1"/>
  <c r="O18" i="53"/>
  <c r="O18" i="107" s="1"/>
  <c r="O70" i="107" s="1"/>
  <c r="O12" i="102"/>
  <c r="O20" i="102"/>
  <c r="O35" i="102"/>
  <c r="O31" i="102"/>
  <c r="O47" i="102"/>
  <c r="O5" i="102"/>
  <c r="O8" i="53"/>
  <c r="O8" i="107" s="1"/>
  <c r="O60" i="107" s="1"/>
  <c r="O50" i="102"/>
  <c r="O44" i="102"/>
  <c r="O34" i="102"/>
  <c r="O19" i="102"/>
  <c r="O46" i="102"/>
  <c r="O42" i="102"/>
  <c r="O27" i="102"/>
  <c r="O8" i="102"/>
  <c r="O29" i="53"/>
  <c r="O29" i="107" s="1"/>
  <c r="O81" i="107" s="1"/>
  <c r="Z9" i="103"/>
  <c r="AA9" i="103" s="1"/>
  <c r="Z26" i="103"/>
  <c r="AA26" i="103" s="1"/>
  <c r="Z20" i="103"/>
  <c r="AA20" i="103" s="1"/>
  <c r="T23" i="103"/>
  <c r="T24" i="103"/>
  <c r="T5" i="103"/>
  <c r="AB40" i="52"/>
  <c r="W16" i="102"/>
  <c r="W19" i="102"/>
  <c r="W48" i="102"/>
  <c r="W28" i="102"/>
  <c r="W39" i="102"/>
  <c r="W18" i="102"/>
  <c r="W11" i="102"/>
  <c r="W27" i="102"/>
  <c r="W7" i="102"/>
  <c r="W51" i="102"/>
  <c r="W9" i="102"/>
  <c r="W30" i="102"/>
  <c r="W35" i="102"/>
  <c r="W20" i="102"/>
  <c r="W15" i="102"/>
  <c r="W33" i="102"/>
  <c r="W34" i="102"/>
  <c r="W21" i="102"/>
  <c r="W12" i="102"/>
  <c r="W10" i="102"/>
  <c r="W43" i="102"/>
  <c r="W49" i="102"/>
  <c r="W22" i="102"/>
  <c r="W32" i="102"/>
  <c r="W6" i="102"/>
  <c r="W25" i="102"/>
  <c r="W29" i="102"/>
  <c r="W14" i="102"/>
  <c r="W13" i="102"/>
  <c r="W31" i="102"/>
  <c r="W45" i="102"/>
  <c r="W40" i="102"/>
  <c r="W31" i="53"/>
  <c r="V31" i="107" s="1"/>
  <c r="V83" i="107" s="1"/>
  <c r="W38" i="53"/>
  <c r="V38" i="107" s="1"/>
  <c r="V90" i="107" s="1"/>
  <c r="W7" i="53"/>
  <c r="V7" i="107" s="1"/>
  <c r="V59" i="107" s="1"/>
  <c r="W29" i="53"/>
  <c r="V29" i="107" s="1"/>
  <c r="V81" i="107" s="1"/>
  <c r="W23" i="53"/>
  <c r="V23" i="107" s="1"/>
  <c r="V75" i="107" s="1"/>
  <c r="W42" i="102"/>
  <c r="W17" i="102"/>
  <c r="W5" i="102"/>
  <c r="W46" i="102"/>
  <c r="W45" i="53"/>
  <c r="V45" i="107" s="1"/>
  <c r="V97" i="107" s="1"/>
  <c r="W18" i="53"/>
  <c r="V18" i="107" s="1"/>
  <c r="V70" i="107" s="1"/>
  <c r="W23" i="102"/>
  <c r="W24" i="102"/>
  <c r="W38" i="102"/>
  <c r="W36" i="102"/>
  <c r="W37" i="102"/>
  <c r="W47" i="102"/>
  <c r="W8" i="102"/>
  <c r="W44" i="53"/>
  <c r="V44" i="107" s="1"/>
  <c r="V96" i="107" s="1"/>
  <c r="W26" i="102"/>
  <c r="W24" i="53"/>
  <c r="V24" i="107" s="1"/>
  <c r="V76" i="107" s="1"/>
  <c r="X6" i="109"/>
  <c r="U21" i="102"/>
  <c r="U21" i="53"/>
  <c r="T21" i="107" s="1"/>
  <c r="T73" i="107" s="1"/>
  <c r="L26" i="102"/>
  <c r="V9" i="107"/>
  <c r="V61" i="107" s="1"/>
  <c r="L12" i="107"/>
  <c r="L64" i="107" s="1"/>
  <c r="AE35" i="107"/>
  <c r="AE87" i="107" s="1"/>
  <c r="S15" i="57"/>
  <c r="Q15" i="108"/>
  <c r="Q58" i="108" s="1"/>
  <c r="S40" i="108"/>
  <c r="S83" i="108" s="1"/>
  <c r="W11" i="107"/>
  <c r="W63" i="107" s="1"/>
  <c r="O32" i="108"/>
  <c r="O75" i="108" s="1"/>
  <c r="M30" i="108"/>
  <c r="M73" i="108" s="1"/>
  <c r="O13" i="53"/>
  <c r="O13" i="107" s="1"/>
  <c r="O65" i="107" s="1"/>
  <c r="S22" i="108"/>
  <c r="S65" i="108" s="1"/>
  <c r="S28" i="108"/>
  <c r="S71" i="108" s="1"/>
  <c r="W42" i="107"/>
  <c r="W94" i="107" s="1"/>
  <c r="W48" i="107"/>
  <c r="W100" i="107" s="1"/>
  <c r="Z7" i="103"/>
  <c r="AA7" i="103" s="1"/>
  <c r="Z31" i="103"/>
  <c r="AA31" i="103" s="1"/>
  <c r="Z32" i="103"/>
  <c r="AA32" i="103" s="1"/>
  <c r="V43" i="107"/>
  <c r="V95" i="107" s="1"/>
  <c r="V35" i="107"/>
  <c r="V87" i="107" s="1"/>
  <c r="T19" i="103"/>
  <c r="T27" i="103"/>
  <c r="T22" i="103"/>
  <c r="S33" i="57"/>
  <c r="Q33" i="108"/>
  <c r="Q76" i="108" s="1"/>
  <c r="S6" i="108"/>
  <c r="S49" i="108" s="1"/>
  <c r="I9" i="110" s="1"/>
  <c r="L14" i="108"/>
  <c r="L57" i="108" s="1"/>
  <c r="B7" i="110" s="1"/>
  <c r="Q24" i="107"/>
  <c r="Q76" i="107" s="1"/>
  <c r="Q41" i="108"/>
  <c r="Q84" i="108" s="1"/>
  <c r="X8" i="109"/>
  <c r="W44" i="102"/>
  <c r="Q18" i="108"/>
  <c r="Q61" i="108" s="1"/>
  <c r="S16" i="57"/>
  <c r="Q16" i="108"/>
  <c r="Q59" i="108" s="1"/>
  <c r="Z19" i="103"/>
  <c r="AA19" i="103" s="1"/>
  <c r="Z36" i="103"/>
  <c r="AA36" i="103" s="1"/>
  <c r="Z41" i="103"/>
  <c r="AA41" i="103" s="1"/>
  <c r="T40" i="103"/>
  <c r="T39" i="103"/>
  <c r="T6" i="103"/>
  <c r="S21" i="57"/>
  <c r="Q21" i="108"/>
  <c r="Q64" i="108" s="1"/>
  <c r="S26" i="57"/>
  <c r="Q26" i="108"/>
  <c r="Q69" i="108" s="1"/>
  <c r="M39" i="52"/>
  <c r="M13" i="52"/>
  <c r="M33" i="52"/>
  <c r="M11" i="52"/>
  <c r="M30" i="52"/>
  <c r="M44" i="52"/>
  <c r="M18" i="52"/>
  <c r="M17" i="52"/>
  <c r="M38" i="52"/>
  <c r="M22" i="52"/>
  <c r="M24" i="52"/>
  <c r="M42" i="52"/>
  <c r="M35" i="52"/>
  <c r="M51" i="52"/>
  <c r="M23" i="52"/>
  <c r="M12" i="52"/>
  <c r="M28" i="52"/>
  <c r="M49" i="52"/>
  <c r="M20" i="52"/>
  <c r="M41" i="52"/>
  <c r="M14" i="52"/>
  <c r="M8" i="52"/>
  <c r="M40" i="52"/>
  <c r="M48" i="52"/>
  <c r="M26" i="52"/>
  <c r="M29" i="52"/>
  <c r="M43" i="52"/>
  <c r="M32" i="52"/>
  <c r="O37" i="108"/>
  <c r="O80" i="108" s="1"/>
  <c r="AI24" i="102"/>
  <c r="AI5" i="102"/>
  <c r="AI28" i="102"/>
  <c r="AI21" i="102"/>
  <c r="AI20" i="102"/>
  <c r="AI13" i="102"/>
  <c r="AI50" i="102"/>
  <c r="AI26" i="102"/>
  <c r="AI7" i="102"/>
  <c r="AI47" i="102"/>
  <c r="AI30" i="102"/>
  <c r="AI19" i="102"/>
  <c r="AI46" i="102"/>
  <c r="AI12" i="102"/>
  <c r="AI8" i="102"/>
  <c r="AI41" i="102"/>
  <c r="AI33" i="102"/>
  <c r="AI27" i="102"/>
  <c r="AI44" i="102"/>
  <c r="AI45" i="102"/>
  <c r="AI10" i="102"/>
  <c r="AI14" i="102"/>
  <c r="AI9" i="102"/>
  <c r="AI40" i="102"/>
  <c r="AI23" i="102"/>
  <c r="AI34" i="53"/>
  <c r="AE34" i="107" s="1"/>
  <c r="AE86" i="107" s="1"/>
  <c r="AI24" i="53"/>
  <c r="AE24" i="107" s="1"/>
  <c r="AE76" i="107" s="1"/>
  <c r="AI16" i="53"/>
  <c r="AE16" i="107" s="1"/>
  <c r="AE68" i="107" s="1"/>
  <c r="AI34" i="102"/>
  <c r="AI42" i="102"/>
  <c r="AI43" i="102"/>
  <c r="AI32" i="102"/>
  <c r="AI11" i="102"/>
  <c r="AI30" i="53"/>
  <c r="AE30" i="107" s="1"/>
  <c r="AE82" i="107" s="1"/>
  <c r="AI32" i="53"/>
  <c r="AE32" i="107" s="1"/>
  <c r="AE84" i="107" s="1"/>
  <c r="AI22" i="53"/>
  <c r="AE22" i="107" s="1"/>
  <c r="AE74" i="107" s="1"/>
  <c r="AI16" i="102"/>
  <c r="AI39" i="102"/>
  <c r="AI37" i="102"/>
  <c r="AI31" i="102"/>
  <c r="AI15" i="102"/>
  <c r="AI38" i="102"/>
  <c r="AI22" i="102"/>
  <c r="AI51" i="102"/>
  <c r="AI36" i="102"/>
  <c r="AI17" i="102"/>
  <c r="AI35" i="102"/>
  <c r="AI25" i="53"/>
  <c r="AE25" i="107" s="1"/>
  <c r="AE77" i="107" s="1"/>
  <c r="AI13" i="53"/>
  <c r="AE13" i="107" s="1"/>
  <c r="AE65" i="107" s="1"/>
  <c r="AI23" i="53"/>
  <c r="AE23" i="107" s="1"/>
  <c r="AE75" i="107" s="1"/>
  <c r="AI37" i="53"/>
  <c r="AE37" i="107" s="1"/>
  <c r="AE89" i="107" s="1"/>
  <c r="AI18" i="102"/>
  <c r="AI25" i="102"/>
  <c r="S14" i="57"/>
  <c r="Q14" i="108"/>
  <c r="Q57" i="108" s="1"/>
  <c r="O44" i="53"/>
  <c r="O44" i="107" s="1"/>
  <c r="O96" i="107" s="1"/>
  <c r="U51" i="102"/>
  <c r="U23" i="102"/>
  <c r="U47" i="102"/>
  <c r="U32" i="102"/>
  <c r="U30" i="102"/>
  <c r="U24" i="53"/>
  <c r="U31" i="53"/>
  <c r="U25" i="53"/>
  <c r="U6" i="102"/>
  <c r="U28" i="102"/>
  <c r="U37" i="53"/>
  <c r="U9" i="53"/>
  <c r="T9" i="107" s="1"/>
  <c r="T61" i="107" s="1"/>
  <c r="W47" i="107"/>
  <c r="W99" i="107" s="1"/>
  <c r="Z24" i="103"/>
  <c r="AA24" i="103" s="1"/>
  <c r="Z13" i="103"/>
  <c r="AA13" i="103" s="1"/>
  <c r="Z21" i="103"/>
  <c r="AA21" i="103" s="1"/>
  <c r="V27" i="107"/>
  <c r="V79" i="107" s="1"/>
  <c r="V8" i="107"/>
  <c r="V60" i="107" s="1"/>
  <c r="T33" i="103"/>
  <c r="T18" i="103"/>
  <c r="T25" i="103"/>
  <c r="S24" i="57"/>
  <c r="Q24" i="108"/>
  <c r="Q67" i="108" s="1"/>
  <c r="S29" i="108"/>
  <c r="S72" i="108" s="1"/>
  <c r="S23" i="108"/>
  <c r="S66" i="108" s="1"/>
  <c r="V12" i="102"/>
  <c r="C9" i="110"/>
  <c r="C11" i="110"/>
  <c r="W11" i="53"/>
  <c r="V11" i="107" s="1"/>
  <c r="V63" i="107" s="1"/>
  <c r="Q36" i="53"/>
  <c r="Q36" i="107" s="1"/>
  <c r="Q88" i="107" s="1"/>
  <c r="L10" i="102"/>
  <c r="Q12" i="108"/>
  <c r="Q55" i="108" s="1"/>
  <c r="O45" i="102"/>
  <c r="AI49" i="102"/>
  <c r="Q6" i="102"/>
  <c r="AC35" i="102"/>
  <c r="AD35" i="102" s="1"/>
  <c r="AC35" i="53"/>
  <c r="AD35" i="53" s="1"/>
  <c r="T22" i="107"/>
  <c r="T74" i="107" s="1"/>
  <c r="U22" i="102"/>
  <c r="T16" i="107"/>
  <c r="T68" i="107" s="1"/>
  <c r="U16" i="102"/>
  <c r="P47" i="102"/>
  <c r="P33" i="103"/>
  <c r="Q27" i="56"/>
  <c r="P27" i="103"/>
  <c r="P19" i="103"/>
  <c r="Z42" i="103"/>
  <c r="AA42" i="103" s="1"/>
  <c r="Z18" i="103"/>
  <c r="AA18" i="103" s="1"/>
  <c r="Z5" i="103"/>
  <c r="T10" i="103"/>
  <c r="T41" i="103"/>
  <c r="T20" i="103"/>
  <c r="X25" i="102"/>
  <c r="AH49" i="102"/>
  <c r="P21" i="102"/>
  <c r="X28" i="102"/>
  <c r="X29" i="102"/>
  <c r="AC6" i="102"/>
  <c r="AD6" i="102" s="1"/>
  <c r="U41" i="102"/>
  <c r="X35" i="102"/>
  <c r="X42" i="102"/>
  <c r="AC46" i="102"/>
  <c r="AD46" i="102" s="1"/>
  <c r="T35" i="107"/>
  <c r="T87" i="107" s="1"/>
  <c r="U35" i="102"/>
  <c r="P38" i="102"/>
  <c r="X43" i="102"/>
  <c r="AC45" i="102"/>
  <c r="AD45" i="102" s="1"/>
  <c r="U45" i="102"/>
  <c r="U39" i="102"/>
  <c r="P46" i="102"/>
  <c r="AH22" i="102"/>
  <c r="P19" i="102"/>
  <c r="T19" i="107"/>
  <c r="T71" i="107" s="1"/>
  <c r="U19" i="102"/>
  <c r="T29" i="107"/>
  <c r="T81" i="107" s="1"/>
  <c r="U29" i="102"/>
  <c r="P7" i="102"/>
  <c r="AA26" i="107"/>
  <c r="AA78" i="107" s="1"/>
  <c r="AC26" i="102"/>
  <c r="AD26" i="102" s="1"/>
  <c r="AA37" i="107"/>
  <c r="AA89" i="107" s="1"/>
  <c r="AC37" i="102"/>
  <c r="AD37" i="102" s="1"/>
  <c r="X45" i="102"/>
  <c r="Q32" i="108"/>
  <c r="Q75" i="108" s="1"/>
  <c r="T25" i="107"/>
  <c r="T77" i="107" s="1"/>
  <c r="U25" i="102"/>
  <c r="P44" i="102"/>
  <c r="U42" i="102"/>
  <c r="X7" i="102"/>
  <c r="P11" i="103"/>
  <c r="P39" i="103"/>
  <c r="P25" i="103"/>
  <c r="Z39" i="103"/>
  <c r="AA39" i="103" s="1"/>
  <c r="Z6" i="103"/>
  <c r="AA6" i="103" s="1"/>
  <c r="Z28" i="103"/>
  <c r="AA28" i="103" s="1"/>
  <c r="T38" i="103"/>
  <c r="T12" i="103"/>
  <c r="T11" i="103"/>
  <c r="AB36" i="52"/>
  <c r="AH50" i="102"/>
  <c r="P15" i="102"/>
  <c r="X48" i="102"/>
  <c r="X5" i="102"/>
  <c r="U50" i="102"/>
  <c r="X23" i="102"/>
  <c r="P5" i="102"/>
  <c r="X46" i="102"/>
  <c r="P35" i="102"/>
  <c r="X51" i="102"/>
  <c r="AC21" i="102"/>
  <c r="AD21" i="102" s="1"/>
  <c r="T48" i="107"/>
  <c r="T100" i="107" s="1"/>
  <c r="U48" i="102"/>
  <c r="X27" i="102"/>
  <c r="AC19" i="102"/>
  <c r="AD19" i="102" s="1"/>
  <c r="U44" i="102"/>
  <c r="Q23" i="56"/>
  <c r="P23" i="103"/>
  <c r="Q29" i="56"/>
  <c r="P29" i="103"/>
  <c r="Q20" i="56"/>
  <c r="P20" i="103"/>
  <c r="Z34" i="103"/>
  <c r="AA34" i="103" s="1"/>
  <c r="Z8" i="103"/>
  <c r="AA8" i="103" s="1"/>
  <c r="Z37" i="103"/>
  <c r="AA37" i="103" s="1"/>
  <c r="T14" i="103"/>
  <c r="T13" i="103"/>
  <c r="T36" i="103"/>
  <c r="W36" i="103" s="1"/>
  <c r="T26" i="103"/>
  <c r="V49" i="102"/>
  <c r="Z53" i="102"/>
  <c r="X21" i="102"/>
  <c r="P43" i="102"/>
  <c r="AH43" i="102"/>
  <c r="P17" i="102"/>
  <c r="Q29" i="108"/>
  <c r="Q72" i="108" s="1"/>
  <c r="P8" i="102"/>
  <c r="T24" i="107"/>
  <c r="T76" i="107" s="1"/>
  <c r="U24" i="102"/>
  <c r="T23" i="108"/>
  <c r="T66" i="108" s="1"/>
  <c r="V23" i="103"/>
  <c r="X34" i="102"/>
  <c r="AC30" i="102"/>
  <c r="AD30" i="102" s="1"/>
  <c r="X13" i="102"/>
  <c r="P45" i="102"/>
  <c r="X6" i="102"/>
  <c r="U40" i="102"/>
  <c r="P33" i="102"/>
  <c r="X22" i="102"/>
  <c r="U49" i="102"/>
  <c r="P13" i="102"/>
  <c r="AC17" i="102"/>
  <c r="AD17" i="102" s="1"/>
  <c r="M44" i="103"/>
  <c r="T33" i="108"/>
  <c r="T76" i="108" s="1"/>
  <c r="V33" i="103"/>
  <c r="AC41" i="102"/>
  <c r="AD41" i="102" s="1"/>
  <c r="X47" i="102"/>
  <c r="T33" i="107"/>
  <c r="T85" i="107" s="1"/>
  <c r="U33" i="102"/>
  <c r="T38" i="107"/>
  <c r="T90" i="107" s="1"/>
  <c r="U38" i="102"/>
  <c r="P48" i="102"/>
  <c r="M10" i="110"/>
  <c r="T8" i="107"/>
  <c r="T60" i="107" s="1"/>
  <c r="U8" i="102"/>
  <c r="P24" i="102"/>
  <c r="L44" i="103"/>
  <c r="AC11" i="102"/>
  <c r="AD11" i="102" s="1"/>
  <c r="T36" i="108"/>
  <c r="T79" i="108" s="1"/>
  <c r="V36" i="103"/>
  <c r="AC32" i="102"/>
  <c r="AD32" i="102" s="1"/>
  <c r="P34" i="102"/>
  <c r="AD38" i="107"/>
  <c r="AD90" i="107" s="1"/>
  <c r="AH38" i="102"/>
  <c r="Q8" i="108"/>
  <c r="Q51" i="108" s="1"/>
  <c r="U15" i="102"/>
  <c r="P51" i="102"/>
  <c r="AC31" i="102"/>
  <c r="AD31" i="102" s="1"/>
  <c r="S5" i="103"/>
  <c r="S44" i="103" s="1"/>
  <c r="R44" i="103"/>
  <c r="P30" i="102"/>
  <c r="X33" i="102"/>
  <c r="O44" i="103"/>
  <c r="M6" i="110"/>
  <c r="T10" i="107"/>
  <c r="T62" i="107" s="1"/>
  <c r="U10" i="102"/>
  <c r="AC10" i="102"/>
  <c r="AD10" i="102" s="1"/>
  <c r="P26" i="102"/>
  <c r="P16" i="102"/>
  <c r="AC15" i="102"/>
  <c r="AD15" i="102" s="1"/>
  <c r="T15" i="108"/>
  <c r="T58" i="108" s="1"/>
  <c r="V15" i="103"/>
  <c r="T13" i="107"/>
  <c r="T65" i="107" s="1"/>
  <c r="U13" i="102"/>
  <c r="X15" i="102"/>
  <c r="AH15" i="102"/>
  <c r="T12" i="107"/>
  <c r="T64" i="107" s="1"/>
  <c r="U12" i="102"/>
  <c r="U5" i="102"/>
  <c r="AC50" i="102"/>
  <c r="AD50" i="102" s="1"/>
  <c r="Q30" i="108"/>
  <c r="Q73" i="108" s="1"/>
  <c r="M8" i="110"/>
  <c r="U36" i="102"/>
  <c r="AC13" i="102"/>
  <c r="AD13" i="102" s="1"/>
  <c r="P18" i="102"/>
  <c r="T34" i="108"/>
  <c r="T77" i="108" s="1"/>
  <c r="V34" i="103"/>
  <c r="AH7" i="102"/>
  <c r="U26" i="102"/>
  <c r="AC38" i="102"/>
  <c r="AD38" i="102" s="1"/>
  <c r="P29" i="102"/>
  <c r="P36" i="102"/>
  <c r="X36" i="102"/>
  <c r="AC29" i="102"/>
  <c r="AD29" i="102" s="1"/>
  <c r="U9" i="102"/>
  <c r="AC40" i="102"/>
  <c r="AD40" i="102" s="1"/>
  <c r="X40" i="102"/>
  <c r="P50" i="102"/>
  <c r="X39" i="102"/>
  <c r="AH11" i="102"/>
  <c r="AA5" i="107"/>
  <c r="AA57" i="107" s="1"/>
  <c r="AC5" i="102"/>
  <c r="P10" i="102"/>
  <c r="T38" i="108"/>
  <c r="T81" i="108" s="1"/>
  <c r="V38" i="103"/>
  <c r="T31" i="107"/>
  <c r="T83" i="107" s="1"/>
  <c r="U31" i="102"/>
  <c r="P41" i="102"/>
  <c r="AC39" i="102"/>
  <c r="AD39" i="102" s="1"/>
  <c r="P27" i="102"/>
  <c r="T37" i="107"/>
  <c r="T89" i="107" s="1"/>
  <c r="U37" i="102"/>
  <c r="P25" i="102"/>
  <c r="X30" i="102"/>
  <c r="U44" i="103"/>
  <c r="AD39" i="107"/>
  <c r="AD91" i="107" s="1"/>
  <c r="AH39" i="102"/>
  <c r="U20" i="102"/>
  <c r="AA23" i="107"/>
  <c r="AA75" i="107" s="1"/>
  <c r="AC23" i="102"/>
  <c r="AD23" i="102" s="1"/>
  <c r="T11" i="107"/>
  <c r="T63" i="107" s="1"/>
  <c r="U11" i="102"/>
  <c r="AC22" i="102"/>
  <c r="AD22" i="102" s="1"/>
  <c r="P49" i="102"/>
  <c r="X18" i="102"/>
  <c r="T43" i="107"/>
  <c r="T95" i="107" s="1"/>
  <c r="U43" i="102"/>
  <c r="X19" i="102"/>
  <c r="P31" i="102"/>
  <c r="P32" i="102"/>
  <c r="AH51" i="102"/>
  <c r="T7" i="107"/>
  <c r="T59" i="107" s="1"/>
  <c r="U7" i="102"/>
  <c r="AC20" i="102"/>
  <c r="AD20" i="102" s="1"/>
  <c r="P22" i="102"/>
  <c r="P6" i="102"/>
  <c r="AC43" i="102"/>
  <c r="AD43" i="102" s="1"/>
  <c r="U46" i="102"/>
  <c r="P40" i="102"/>
  <c r="AC47" i="102"/>
  <c r="AD47" i="102" s="1"/>
  <c r="T34" i="107"/>
  <c r="T86" i="107" s="1"/>
  <c r="U34" i="102"/>
  <c r="Q38" i="108"/>
  <c r="Q81" i="108" s="1"/>
  <c r="U17" i="102"/>
  <c r="T14" i="107"/>
  <c r="T66" i="107" s="1"/>
  <c r="U14" i="102"/>
  <c r="P33" i="57"/>
  <c r="P33" i="58"/>
  <c r="P5" i="57"/>
  <c r="P5" i="108" s="1"/>
  <c r="P48" i="108" s="1"/>
  <c r="P44" i="56"/>
  <c r="P5" i="58"/>
  <c r="P53" i="54"/>
  <c r="M10" i="54"/>
  <c r="AH16" i="53"/>
  <c r="AD16" i="107" s="1"/>
  <c r="AD68" i="107" s="1"/>
  <c r="P31" i="57"/>
  <c r="P31" i="58"/>
  <c r="P6" i="57"/>
  <c r="P6" i="58"/>
  <c r="P26" i="57"/>
  <c r="P26" i="108" s="1"/>
  <c r="P69" i="108" s="1"/>
  <c r="P26" i="58"/>
  <c r="P42" i="57"/>
  <c r="P42" i="58"/>
  <c r="P30" i="57"/>
  <c r="P30" i="58"/>
  <c r="P36" i="57"/>
  <c r="P36" i="58"/>
  <c r="P36" i="108" s="1"/>
  <c r="P79" i="108" s="1"/>
  <c r="P10" i="58"/>
  <c r="P10" i="57"/>
  <c r="P12" i="58"/>
  <c r="P12" i="57"/>
  <c r="P12" i="108" s="1"/>
  <c r="P55" i="108" s="1"/>
  <c r="P38" i="58"/>
  <c r="P38" i="57"/>
  <c r="P38" i="108" s="1"/>
  <c r="P81" i="108" s="1"/>
  <c r="P47" i="53"/>
  <c r="P47" i="107" s="1"/>
  <c r="P99" i="107" s="1"/>
  <c r="P48" i="53"/>
  <c r="P48" i="107" s="1"/>
  <c r="P100" i="107" s="1"/>
  <c r="P32" i="53"/>
  <c r="P32" i="107" s="1"/>
  <c r="P84" i="107" s="1"/>
  <c r="P37" i="53"/>
  <c r="P37" i="107" s="1"/>
  <c r="P89" i="107" s="1"/>
  <c r="Q33" i="56"/>
  <c r="AC39" i="53"/>
  <c r="AA39" i="107" s="1"/>
  <c r="AA91" i="107" s="1"/>
  <c r="AC8" i="53"/>
  <c r="AA8" i="107" s="1"/>
  <c r="AA60" i="107" s="1"/>
  <c r="M25" i="54"/>
  <c r="AH26" i="53"/>
  <c r="AD26" i="107" s="1"/>
  <c r="AD78" i="107" s="1"/>
  <c r="AH43" i="53"/>
  <c r="AD43" i="107" s="1"/>
  <c r="AD95" i="107" s="1"/>
  <c r="AH37" i="53"/>
  <c r="AD37" i="107" s="1"/>
  <c r="AD89" i="107" s="1"/>
  <c r="AH33" i="53"/>
  <c r="AD33" i="107" s="1"/>
  <c r="AD85" i="107" s="1"/>
  <c r="AH23" i="53"/>
  <c r="AD23" i="107" s="1"/>
  <c r="AD75" i="107" s="1"/>
  <c r="AH7" i="53"/>
  <c r="AD7" i="107" s="1"/>
  <c r="AD59" i="107" s="1"/>
  <c r="P29" i="53"/>
  <c r="P38" i="53"/>
  <c r="P38" i="107" s="1"/>
  <c r="P90" i="107" s="1"/>
  <c r="P25" i="53"/>
  <c r="P25" i="107" s="1"/>
  <c r="P77" i="107" s="1"/>
  <c r="P14" i="53"/>
  <c r="P14" i="107" s="1"/>
  <c r="P66" i="107" s="1"/>
  <c r="P35" i="53"/>
  <c r="P35" i="107" s="1"/>
  <c r="P87" i="107" s="1"/>
  <c r="O44" i="57"/>
  <c r="AC16" i="53"/>
  <c r="AA16" i="107" s="1"/>
  <c r="AA68" i="107" s="1"/>
  <c r="AC27" i="53"/>
  <c r="AA27" i="107" s="1"/>
  <c r="AA79" i="107" s="1"/>
  <c r="AC40" i="53"/>
  <c r="AA40" i="107" s="1"/>
  <c r="AA92" i="107" s="1"/>
  <c r="AC6" i="53"/>
  <c r="AA6" i="107" s="1"/>
  <c r="AA58" i="107" s="1"/>
  <c r="M34" i="54"/>
  <c r="L53" i="54"/>
  <c r="L22" i="53"/>
  <c r="L22" i="107" s="1"/>
  <c r="L74" i="107" s="1"/>
  <c r="L18" i="53"/>
  <c r="L18" i="107" s="1"/>
  <c r="L70" i="107" s="1"/>
  <c r="L34" i="53"/>
  <c r="L34" i="107" s="1"/>
  <c r="L86" i="107" s="1"/>
  <c r="AH19" i="53"/>
  <c r="AD19" i="107" s="1"/>
  <c r="AD71" i="107" s="1"/>
  <c r="AH13" i="53"/>
  <c r="AD13" i="107" s="1"/>
  <c r="AD65" i="107" s="1"/>
  <c r="AI53" i="54"/>
  <c r="R44" i="58"/>
  <c r="S5" i="58"/>
  <c r="S44" i="58" s="1"/>
  <c r="P12" i="53"/>
  <c r="P12" i="107" s="1"/>
  <c r="P64" i="107" s="1"/>
  <c r="Q30" i="56"/>
  <c r="Q10" i="56"/>
  <c r="U40" i="53"/>
  <c r="T40" i="107" s="1"/>
  <c r="T92" i="107" s="1"/>
  <c r="U32" i="53"/>
  <c r="T32" i="107" s="1"/>
  <c r="T84" i="107" s="1"/>
  <c r="S58" i="52"/>
  <c r="R58" i="52"/>
  <c r="Z40" i="58"/>
  <c r="AA40" i="58" s="1"/>
  <c r="AA40" i="56"/>
  <c r="Z40" i="57"/>
  <c r="AA40" i="57" s="1"/>
  <c r="Z34" i="58"/>
  <c r="AA34" i="58" s="1"/>
  <c r="Z34" i="57"/>
  <c r="AA34" i="57" s="1"/>
  <c r="AA34" i="56"/>
  <c r="Z19" i="57"/>
  <c r="AA19" i="57" s="1"/>
  <c r="Z19" i="58"/>
  <c r="AA19" i="58" s="1"/>
  <c r="AA19" i="56"/>
  <c r="AA23" i="56"/>
  <c r="Z23" i="57"/>
  <c r="AA23" i="57" s="1"/>
  <c r="Z23" i="58"/>
  <c r="AA23" i="58" s="1"/>
  <c r="Z8" i="57"/>
  <c r="AA8" i="57" s="1"/>
  <c r="AA8" i="56"/>
  <c r="Z8" i="58"/>
  <c r="AA8" i="58" s="1"/>
  <c r="Z36" i="58"/>
  <c r="AA36" i="58" s="1"/>
  <c r="Z36" i="57"/>
  <c r="AA36" i="57" s="1"/>
  <c r="AA36" i="56"/>
  <c r="Z25" i="58"/>
  <c r="AA25" i="58" s="1"/>
  <c r="AA25" i="56"/>
  <c r="Z25" i="57"/>
  <c r="AA25" i="57" s="1"/>
  <c r="Z37" i="57"/>
  <c r="AA37" i="57" s="1"/>
  <c r="AA37" i="56"/>
  <c r="Z37" i="58"/>
  <c r="AA37" i="58" s="1"/>
  <c r="Z41" i="57"/>
  <c r="AA41" i="57" s="1"/>
  <c r="Z41" i="58"/>
  <c r="AA41" i="58" s="1"/>
  <c r="AA41" i="56"/>
  <c r="Z16" i="57"/>
  <c r="AA16" i="57" s="1"/>
  <c r="AA16" i="56"/>
  <c r="Z16" i="58"/>
  <c r="AA16" i="58" s="1"/>
  <c r="AC49" i="53"/>
  <c r="AA49" i="107" s="1"/>
  <c r="AA101" i="107" s="1"/>
  <c r="AC22" i="53"/>
  <c r="AA22" i="107" s="1"/>
  <c r="AA74" i="107" s="1"/>
  <c r="AC19" i="53"/>
  <c r="AA19" i="107" s="1"/>
  <c r="AA71" i="107" s="1"/>
  <c r="M37" i="54"/>
  <c r="M7" i="54"/>
  <c r="T31" i="58"/>
  <c r="T31" i="57"/>
  <c r="W31" i="56"/>
  <c r="T33" i="58"/>
  <c r="W33" i="58" s="1"/>
  <c r="T33" i="57"/>
  <c r="W33" i="57" s="1"/>
  <c r="W33" i="56"/>
  <c r="T10" i="58"/>
  <c r="W10" i="56"/>
  <c r="T10" i="57"/>
  <c r="T29" i="58"/>
  <c r="T29" i="57"/>
  <c r="W29" i="56"/>
  <c r="T18" i="58"/>
  <c r="W18" i="56"/>
  <c r="T18" i="57"/>
  <c r="W41" i="56"/>
  <c r="T41" i="58"/>
  <c r="T41" i="57"/>
  <c r="T32" i="57"/>
  <c r="W32" i="56"/>
  <c r="T32" i="58"/>
  <c r="T25" i="57"/>
  <c r="T25" i="58"/>
  <c r="W25" i="56"/>
  <c r="T20" i="57"/>
  <c r="T20" i="58"/>
  <c r="W20" i="56"/>
  <c r="T8" i="57"/>
  <c r="T8" i="58"/>
  <c r="W8" i="56"/>
  <c r="P15" i="53"/>
  <c r="P15" i="107" s="1"/>
  <c r="P67" i="107" s="1"/>
  <c r="P11" i="53"/>
  <c r="P11" i="107" s="1"/>
  <c r="P63" i="107" s="1"/>
  <c r="P39" i="53"/>
  <c r="P39" i="107" s="1"/>
  <c r="P91" i="107" s="1"/>
  <c r="U44" i="58"/>
  <c r="U51" i="53"/>
  <c r="T51" i="107" s="1"/>
  <c r="T103" i="107" s="1"/>
  <c r="U49" i="53"/>
  <c r="T49" i="107" s="1"/>
  <c r="T101" i="107" s="1"/>
  <c r="U20" i="53"/>
  <c r="T20" i="107" s="1"/>
  <c r="T72" i="107" s="1"/>
  <c r="V12" i="54"/>
  <c r="AB12" i="52"/>
  <c r="V13" i="54"/>
  <c r="V13" i="53"/>
  <c r="U13" i="107" s="1"/>
  <c r="U65" i="107" s="1"/>
  <c r="AB13" i="52"/>
  <c r="V26" i="54"/>
  <c r="AB26" i="52"/>
  <c r="V35" i="54"/>
  <c r="AB35" i="52"/>
  <c r="V23" i="54"/>
  <c r="AB23" i="52"/>
  <c r="V28" i="54"/>
  <c r="AB28" i="52"/>
  <c r="V27" i="53"/>
  <c r="U27" i="107" s="1"/>
  <c r="U79" i="107" s="1"/>
  <c r="V27" i="54"/>
  <c r="AB27" i="52"/>
  <c r="V31" i="54"/>
  <c r="AB31" i="52"/>
  <c r="V30" i="54"/>
  <c r="AB30" i="52"/>
  <c r="V53" i="52"/>
  <c r="V58" i="52" s="1"/>
  <c r="V36" i="53" s="1"/>
  <c r="V5" i="54"/>
  <c r="AB5" i="52"/>
  <c r="V5" i="53"/>
  <c r="U5" i="107" s="1"/>
  <c r="U57" i="107" s="1"/>
  <c r="V36" i="54"/>
  <c r="V32" i="54"/>
  <c r="AB32" i="52"/>
  <c r="X50" i="53"/>
  <c r="W50" i="107" s="1"/>
  <c r="W102" i="107" s="1"/>
  <c r="X45" i="53"/>
  <c r="W45" i="107" s="1"/>
  <c r="W97" i="107" s="1"/>
  <c r="X21" i="53"/>
  <c r="W21" i="107" s="1"/>
  <c r="W73" i="107" s="1"/>
  <c r="X32" i="53"/>
  <c r="W32" i="107" s="1"/>
  <c r="W84" i="107" s="1"/>
  <c r="X17" i="53"/>
  <c r="W17" i="107" s="1"/>
  <c r="W69" i="107" s="1"/>
  <c r="X10" i="53"/>
  <c r="W10" i="107" s="1"/>
  <c r="W62" i="107" s="1"/>
  <c r="X39" i="53"/>
  <c r="W39" i="107" s="1"/>
  <c r="W91" i="107" s="1"/>
  <c r="X27" i="53"/>
  <c r="W27" i="107" s="1"/>
  <c r="W79" i="107" s="1"/>
  <c r="X30" i="53"/>
  <c r="W30" i="107" s="1"/>
  <c r="W82" i="107" s="1"/>
  <c r="X6" i="53"/>
  <c r="W6" i="107" s="1"/>
  <c r="W58" i="107" s="1"/>
  <c r="W28" i="53"/>
  <c r="V28" i="107" s="1"/>
  <c r="V80" i="107" s="1"/>
  <c r="W39" i="53"/>
  <c r="V39" i="107" s="1"/>
  <c r="V91" i="107" s="1"/>
  <c r="Q53" i="54"/>
  <c r="AC50" i="53"/>
  <c r="AA50" i="107" s="1"/>
  <c r="AA102" i="107" s="1"/>
  <c r="Y20" i="54"/>
  <c r="Y35" i="54"/>
  <c r="Y45" i="54"/>
  <c r="Y11" i="54"/>
  <c r="Y46" i="54"/>
  <c r="Y34" i="54"/>
  <c r="Y30" i="54"/>
  <c r="AB30" i="54" s="1"/>
  <c r="Y6" i="54"/>
  <c r="Y36" i="54"/>
  <c r="AB36" i="54" s="1"/>
  <c r="Y40" i="54"/>
  <c r="Y47" i="54"/>
  <c r="M6" i="54"/>
  <c r="M50" i="54"/>
  <c r="P35" i="57"/>
  <c r="P35" i="58"/>
  <c r="P27" i="57"/>
  <c r="P27" i="58"/>
  <c r="P19" i="57"/>
  <c r="P19" i="58"/>
  <c r="L44" i="57"/>
  <c r="M5" i="54"/>
  <c r="M15" i="54"/>
  <c r="M16" i="54"/>
  <c r="AH9" i="53"/>
  <c r="AD9" i="107" s="1"/>
  <c r="AD61" i="107" s="1"/>
  <c r="AH8" i="53"/>
  <c r="AD8" i="107" s="1"/>
  <c r="AD60" i="107" s="1"/>
  <c r="AH20" i="53"/>
  <c r="AD20" i="107" s="1"/>
  <c r="AD72" i="107" s="1"/>
  <c r="AH17" i="53"/>
  <c r="AD17" i="107" s="1"/>
  <c r="AD69" i="107" s="1"/>
  <c r="AH53" i="54"/>
  <c r="P21" i="57"/>
  <c r="P21" i="58"/>
  <c r="P40" i="57"/>
  <c r="P40" i="108" s="1"/>
  <c r="P83" i="108" s="1"/>
  <c r="P40" i="58"/>
  <c r="P11" i="57"/>
  <c r="P11" i="58"/>
  <c r="P14" i="57"/>
  <c r="P14" i="58"/>
  <c r="P9" i="57"/>
  <c r="P9" i="108" s="1"/>
  <c r="P52" i="108" s="1"/>
  <c r="P9" i="58"/>
  <c r="P39" i="57"/>
  <c r="P39" i="58"/>
  <c r="P28" i="57"/>
  <c r="P28" i="58"/>
  <c r="P18" i="57"/>
  <c r="P18" i="58"/>
  <c r="P25" i="57"/>
  <c r="P25" i="58"/>
  <c r="P7" i="57"/>
  <c r="P7" i="58"/>
  <c r="P8" i="53"/>
  <c r="P8" i="107" s="1"/>
  <c r="P60" i="107" s="1"/>
  <c r="P50" i="53"/>
  <c r="P50" i="107" s="1"/>
  <c r="P102" i="107" s="1"/>
  <c r="P46" i="53"/>
  <c r="P46" i="107" s="1"/>
  <c r="P98" i="107" s="1"/>
  <c r="P5" i="53"/>
  <c r="P5" i="107" s="1"/>
  <c r="P57" i="107" s="1"/>
  <c r="P24" i="53"/>
  <c r="P16" i="53"/>
  <c r="P16" i="107" s="1"/>
  <c r="P68" i="107" s="1"/>
  <c r="AC38" i="53"/>
  <c r="AA38" i="107" s="1"/>
  <c r="AA90" i="107" s="1"/>
  <c r="AC14" i="53"/>
  <c r="AA14" i="107" s="1"/>
  <c r="AA66" i="107" s="1"/>
  <c r="AC33" i="53"/>
  <c r="AA33" i="107" s="1"/>
  <c r="AA85" i="107" s="1"/>
  <c r="AD53" i="52"/>
  <c r="AC32" i="53"/>
  <c r="AA32" i="107" s="1"/>
  <c r="AA84" i="107" s="1"/>
  <c r="M45" i="54"/>
  <c r="L48" i="53"/>
  <c r="L48" i="107" s="1"/>
  <c r="L100" i="107" s="1"/>
  <c r="L8" i="53"/>
  <c r="L8" i="107" s="1"/>
  <c r="L60" i="107" s="1"/>
  <c r="L40" i="53"/>
  <c r="L40" i="107" s="1"/>
  <c r="L92" i="107" s="1"/>
  <c r="AH32" i="53"/>
  <c r="AD32" i="107" s="1"/>
  <c r="AD84" i="107" s="1"/>
  <c r="AH50" i="53"/>
  <c r="AD50" i="107" s="1"/>
  <c r="AD102" i="107" s="1"/>
  <c r="AH22" i="53"/>
  <c r="AD22" i="107" s="1"/>
  <c r="AD74" i="107" s="1"/>
  <c r="AH49" i="53"/>
  <c r="AD49" i="107" s="1"/>
  <c r="AD101" i="107" s="1"/>
  <c r="P10" i="53"/>
  <c r="P10" i="107" s="1"/>
  <c r="P62" i="107" s="1"/>
  <c r="P41" i="53"/>
  <c r="P41" i="107" s="1"/>
  <c r="P93" i="107" s="1"/>
  <c r="P22" i="53"/>
  <c r="Q26" i="56"/>
  <c r="Q40" i="56"/>
  <c r="Q19" i="56"/>
  <c r="AC46" i="53"/>
  <c r="AA46" i="107" s="1"/>
  <c r="AA98" i="107" s="1"/>
  <c r="AC11" i="53"/>
  <c r="AA11" i="107" s="1"/>
  <c r="AA63" i="107" s="1"/>
  <c r="AC23" i="53"/>
  <c r="M31" i="54"/>
  <c r="L5" i="53"/>
  <c r="L5" i="107" s="1"/>
  <c r="L57" i="107" s="1"/>
  <c r="AI42" i="53"/>
  <c r="AE42" i="107" s="1"/>
  <c r="AE94" i="107" s="1"/>
  <c r="S44" i="56"/>
  <c r="O53" i="54"/>
  <c r="U17" i="53"/>
  <c r="T17" i="107" s="1"/>
  <c r="T69" i="107" s="1"/>
  <c r="U15" i="53"/>
  <c r="T15" i="107" s="1"/>
  <c r="T67" i="107" s="1"/>
  <c r="U5" i="53"/>
  <c r="T5" i="107" s="1"/>
  <c r="T57" i="107" s="1"/>
  <c r="U50" i="53"/>
  <c r="T50" i="107" s="1"/>
  <c r="T102" i="107" s="1"/>
  <c r="U28" i="53"/>
  <c r="T28" i="107" s="1"/>
  <c r="T80" i="107" s="1"/>
  <c r="Z42" i="57"/>
  <c r="AA42" i="57" s="1"/>
  <c r="Z42" i="58"/>
  <c r="AA42" i="58" s="1"/>
  <c r="AA42" i="56"/>
  <c r="Z29" i="57"/>
  <c r="AA29" i="57" s="1"/>
  <c r="AA29" i="56"/>
  <c r="Z29" i="58"/>
  <c r="AA29" i="58" s="1"/>
  <c r="AA24" i="56"/>
  <c r="Z24" i="57"/>
  <c r="AA24" i="57" s="1"/>
  <c r="Z24" i="58"/>
  <c r="AA24" i="58" s="1"/>
  <c r="AA18" i="56"/>
  <c r="Z18" i="58"/>
  <c r="AA18" i="58" s="1"/>
  <c r="Z18" i="57"/>
  <c r="AA18" i="57" s="1"/>
  <c r="Z12" i="57"/>
  <c r="AA12" i="57" s="1"/>
  <c r="Z12" i="58"/>
  <c r="AA12" i="58" s="1"/>
  <c r="AA12" i="56"/>
  <c r="AA13" i="56"/>
  <c r="Z13" i="57"/>
  <c r="AA13" i="57" s="1"/>
  <c r="Z13" i="58"/>
  <c r="AA13" i="58" s="1"/>
  <c r="Z44" i="56"/>
  <c r="Z5" i="58"/>
  <c r="Z5" i="57"/>
  <c r="V5" i="108" s="1"/>
  <c r="V48" i="108" s="1"/>
  <c r="AA5" i="56"/>
  <c r="Z14" i="57"/>
  <c r="AA14" i="57" s="1"/>
  <c r="Z14" i="58"/>
  <c r="AA14" i="58" s="1"/>
  <c r="AA14" i="56"/>
  <c r="AA21" i="56"/>
  <c r="Z21" i="58"/>
  <c r="AA21" i="58" s="1"/>
  <c r="Z21" i="57"/>
  <c r="AA21" i="57" s="1"/>
  <c r="AC45" i="53"/>
  <c r="AA45" i="107" s="1"/>
  <c r="AA97" i="107" s="1"/>
  <c r="AC25" i="53"/>
  <c r="AA25" i="107" s="1"/>
  <c r="AA77" i="107" s="1"/>
  <c r="M43" i="54"/>
  <c r="L14" i="53"/>
  <c r="L14" i="107" s="1"/>
  <c r="L66" i="107" s="1"/>
  <c r="L42" i="53"/>
  <c r="L42" i="107" s="1"/>
  <c r="L94" i="107" s="1"/>
  <c r="L39" i="53"/>
  <c r="L39" i="107" s="1"/>
  <c r="L91" i="107" s="1"/>
  <c r="L6" i="53"/>
  <c r="L6" i="107" s="1"/>
  <c r="L58" i="107" s="1"/>
  <c r="L11" i="53"/>
  <c r="L11" i="107" s="1"/>
  <c r="L63" i="107" s="1"/>
  <c r="L20" i="53"/>
  <c r="L20" i="107" s="1"/>
  <c r="L72" i="107" s="1"/>
  <c r="L23" i="53"/>
  <c r="L23" i="107" s="1"/>
  <c r="L75" i="107" s="1"/>
  <c r="L51" i="53"/>
  <c r="L51" i="107" s="1"/>
  <c r="L103" i="107" s="1"/>
  <c r="L44" i="53"/>
  <c r="L44" i="107" s="1"/>
  <c r="L96" i="107" s="1"/>
  <c r="AH41" i="53"/>
  <c r="AD41" i="107" s="1"/>
  <c r="AD93" i="107" s="1"/>
  <c r="AH35" i="53"/>
  <c r="AD35" i="107" s="1"/>
  <c r="AD87" i="107" s="1"/>
  <c r="AH44" i="53"/>
  <c r="AD44" i="107" s="1"/>
  <c r="AD96" i="107" s="1"/>
  <c r="AH30" i="53"/>
  <c r="AD30" i="107" s="1"/>
  <c r="AD82" i="107" s="1"/>
  <c r="AH15" i="53"/>
  <c r="AD15" i="107" s="1"/>
  <c r="AD67" i="107" s="1"/>
  <c r="AH48" i="53"/>
  <c r="AD48" i="107" s="1"/>
  <c r="AD100" i="107" s="1"/>
  <c r="AH11" i="53"/>
  <c r="AD11" i="107" s="1"/>
  <c r="AD63" i="107" s="1"/>
  <c r="AI10" i="53"/>
  <c r="AE10" i="107" s="1"/>
  <c r="AE62" i="107" s="1"/>
  <c r="AI39" i="53"/>
  <c r="AE39" i="107" s="1"/>
  <c r="AE91" i="107" s="1"/>
  <c r="AI26" i="53"/>
  <c r="AE26" i="107" s="1"/>
  <c r="AE78" i="107" s="1"/>
  <c r="T23" i="57"/>
  <c r="W23" i="57" s="1"/>
  <c r="W23" i="56"/>
  <c r="AB23" i="56" s="1"/>
  <c r="T23" i="58"/>
  <c r="W23" i="58" s="1"/>
  <c r="T9" i="58"/>
  <c r="W9" i="56"/>
  <c r="T9" i="57"/>
  <c r="T34" i="57"/>
  <c r="W34" i="57" s="1"/>
  <c r="W34" i="56"/>
  <c r="T34" i="58"/>
  <c r="W34" i="58" s="1"/>
  <c r="T24" i="58"/>
  <c r="T24" i="57"/>
  <c r="W24" i="56"/>
  <c r="T35" i="58"/>
  <c r="W35" i="56"/>
  <c r="T35" i="57"/>
  <c r="T37" i="58"/>
  <c r="W37" i="56"/>
  <c r="T37" i="57"/>
  <c r="T44" i="56"/>
  <c r="W5" i="56"/>
  <c r="T5" i="58"/>
  <c r="T5" i="57"/>
  <c r="W21" i="56"/>
  <c r="T21" i="57"/>
  <c r="T21" i="58"/>
  <c r="W15" i="56"/>
  <c r="T15" i="58"/>
  <c r="W15" i="58" s="1"/>
  <c r="T15" i="57"/>
  <c r="W15" i="57" s="1"/>
  <c r="P45" i="53"/>
  <c r="P45" i="107" s="1"/>
  <c r="P97" i="107" s="1"/>
  <c r="P18" i="53"/>
  <c r="P18" i="107" s="1"/>
  <c r="P70" i="107" s="1"/>
  <c r="P34" i="53"/>
  <c r="P34" i="107" s="1"/>
  <c r="P86" i="107" s="1"/>
  <c r="Q12" i="56"/>
  <c r="Q28" i="56"/>
  <c r="Q6" i="56"/>
  <c r="U41" i="53"/>
  <c r="T41" i="107" s="1"/>
  <c r="T93" i="107" s="1"/>
  <c r="U42" i="53"/>
  <c r="T42" i="107" s="1"/>
  <c r="T94" i="107" s="1"/>
  <c r="U45" i="53"/>
  <c r="T45" i="107" s="1"/>
  <c r="T97" i="107" s="1"/>
  <c r="V8" i="53"/>
  <c r="V8" i="54"/>
  <c r="V41" i="53"/>
  <c r="V41" i="54"/>
  <c r="AB41" i="52"/>
  <c r="V37" i="54"/>
  <c r="AB37" i="52"/>
  <c r="V19" i="54"/>
  <c r="AB19" i="52"/>
  <c r="V45" i="54"/>
  <c r="V45" i="53"/>
  <c r="AB45" i="52"/>
  <c r="V40" i="53"/>
  <c r="V40" i="54"/>
  <c r="V51" i="54"/>
  <c r="AB51" i="52"/>
  <c r="V6" i="54"/>
  <c r="V47" i="54"/>
  <c r="V47" i="53"/>
  <c r="U47" i="107" s="1"/>
  <c r="U99" i="107" s="1"/>
  <c r="AB47" i="52"/>
  <c r="V48" i="54"/>
  <c r="AB48" i="52"/>
  <c r="V48" i="53"/>
  <c r="V15" i="54"/>
  <c r="V15" i="53"/>
  <c r="U15" i="107" s="1"/>
  <c r="U67" i="107" s="1"/>
  <c r="V11" i="54"/>
  <c r="AB11" i="52"/>
  <c r="X49" i="53"/>
  <c r="W49" i="107" s="1"/>
  <c r="W101" i="107" s="1"/>
  <c r="X5" i="53"/>
  <c r="W5" i="107" s="1"/>
  <c r="W57" i="107" s="1"/>
  <c r="M44" i="58"/>
  <c r="W41" i="53"/>
  <c r="V41" i="107" s="1"/>
  <c r="V93" i="107" s="1"/>
  <c r="W5" i="53"/>
  <c r="V5" i="107" s="1"/>
  <c r="V57" i="107" s="1"/>
  <c r="Q8" i="53"/>
  <c r="Q8" i="107" s="1"/>
  <c r="Q60" i="107" s="1"/>
  <c r="Q42" i="53"/>
  <c r="Q42" i="107" s="1"/>
  <c r="Q94" i="107" s="1"/>
  <c r="Q28" i="53"/>
  <c r="Q28" i="107" s="1"/>
  <c r="Q80" i="107" s="1"/>
  <c r="Q5" i="53"/>
  <c r="Q5" i="107" s="1"/>
  <c r="Q57" i="107" s="1"/>
  <c r="AC20" i="53"/>
  <c r="AA20" i="107" s="1"/>
  <c r="AA72" i="107" s="1"/>
  <c r="AC13" i="53"/>
  <c r="AA13" i="107" s="1"/>
  <c r="AA65" i="107" s="1"/>
  <c r="AC41" i="53"/>
  <c r="AA41" i="107" s="1"/>
  <c r="AA93" i="107" s="1"/>
  <c r="AC34" i="53"/>
  <c r="AA34" i="107" s="1"/>
  <c r="AA86" i="107" s="1"/>
  <c r="AC36" i="53"/>
  <c r="AA36" i="107" s="1"/>
  <c r="AA88" i="107" s="1"/>
  <c r="Y51" i="54"/>
  <c r="Y8" i="54"/>
  <c r="Y22" i="54"/>
  <c r="Y24" i="54"/>
  <c r="Y15" i="54"/>
  <c r="AB15" i="54" s="1"/>
  <c r="Y50" i="54"/>
  <c r="Y23" i="54"/>
  <c r="Y49" i="54"/>
  <c r="Y53" i="52"/>
  <c r="Y58" i="52" s="1"/>
  <c r="Y28" i="102" s="1"/>
  <c r="Y5" i="54"/>
  <c r="Y29" i="54"/>
  <c r="Y39" i="54"/>
  <c r="Y12" i="54"/>
  <c r="AB12" i="54" s="1"/>
  <c r="M32" i="54"/>
  <c r="P17" i="57"/>
  <c r="P17" i="108" s="1"/>
  <c r="P60" i="108" s="1"/>
  <c r="P17" i="58"/>
  <c r="P32" i="57"/>
  <c r="P32" i="108" s="1"/>
  <c r="P75" i="108" s="1"/>
  <c r="P32" i="58"/>
  <c r="P23" i="57"/>
  <c r="P23" i="58"/>
  <c r="P24" i="57"/>
  <c r="P24" i="58"/>
  <c r="P8" i="57"/>
  <c r="P8" i="108" s="1"/>
  <c r="P51" i="108" s="1"/>
  <c r="P8" i="58"/>
  <c r="P29" i="57"/>
  <c r="P29" i="58"/>
  <c r="P41" i="57"/>
  <c r="P41" i="58"/>
  <c r="P13" i="58"/>
  <c r="P13" i="57"/>
  <c r="P20" i="58"/>
  <c r="P20" i="57"/>
  <c r="P16" i="58"/>
  <c r="P16" i="57"/>
  <c r="P31" i="53"/>
  <c r="P31" i="107" s="1"/>
  <c r="P83" i="107" s="1"/>
  <c r="P43" i="53"/>
  <c r="P43" i="107" s="1"/>
  <c r="P95" i="107" s="1"/>
  <c r="Q35" i="56"/>
  <c r="M19" i="54"/>
  <c r="AH12" i="53"/>
  <c r="AD12" i="107" s="1"/>
  <c r="AD64" i="107" s="1"/>
  <c r="AH6" i="53"/>
  <c r="AD6" i="107" s="1"/>
  <c r="AD58" i="107" s="1"/>
  <c r="P6" i="53"/>
  <c r="P6" i="107" s="1"/>
  <c r="P58" i="107" s="1"/>
  <c r="P40" i="53"/>
  <c r="P40" i="107" s="1"/>
  <c r="P92" i="107" s="1"/>
  <c r="P27" i="53"/>
  <c r="O44" i="58"/>
  <c r="AC51" i="53"/>
  <c r="AA51" i="107" s="1"/>
  <c r="AA103" i="107" s="1"/>
  <c r="AC43" i="53"/>
  <c r="AA43" i="107" s="1"/>
  <c r="AA95" i="107" s="1"/>
  <c r="AC21" i="53"/>
  <c r="AA21" i="107" s="1"/>
  <c r="AA73" i="107" s="1"/>
  <c r="M27" i="54"/>
  <c r="L28" i="53"/>
  <c r="L28" i="107" s="1"/>
  <c r="L80" i="107" s="1"/>
  <c r="L35" i="53"/>
  <c r="L35" i="107" s="1"/>
  <c r="L87" i="107" s="1"/>
  <c r="L26" i="53"/>
  <c r="L26" i="107" s="1"/>
  <c r="L78" i="107" s="1"/>
  <c r="L50" i="53"/>
  <c r="L50" i="107" s="1"/>
  <c r="L102" i="107" s="1"/>
  <c r="L24" i="53"/>
  <c r="L24" i="107" s="1"/>
  <c r="L76" i="107" s="1"/>
  <c r="L37" i="53"/>
  <c r="L37" i="107" s="1"/>
  <c r="L89" i="107" s="1"/>
  <c r="L45" i="53"/>
  <c r="L45" i="107" s="1"/>
  <c r="L97" i="107" s="1"/>
  <c r="AH45" i="53"/>
  <c r="AD45" i="107" s="1"/>
  <c r="AD97" i="107" s="1"/>
  <c r="AH29" i="53"/>
  <c r="AD29" i="107" s="1"/>
  <c r="AD81" i="107" s="1"/>
  <c r="AH40" i="53"/>
  <c r="AD40" i="107" s="1"/>
  <c r="AD92" i="107" s="1"/>
  <c r="AH36" i="53"/>
  <c r="AD36" i="107" s="1"/>
  <c r="AD88" i="107" s="1"/>
  <c r="AH46" i="53"/>
  <c r="AD46" i="107" s="1"/>
  <c r="AD98" i="107" s="1"/>
  <c r="AH10" i="53"/>
  <c r="AD10" i="107" s="1"/>
  <c r="AD62" i="107" s="1"/>
  <c r="AH24" i="53"/>
  <c r="AD24" i="107" s="1"/>
  <c r="AD76" i="107" s="1"/>
  <c r="AH21" i="53"/>
  <c r="AD21" i="107" s="1"/>
  <c r="AD73" i="107" s="1"/>
  <c r="S5" i="57"/>
  <c r="R44" i="57"/>
  <c r="P9" i="53"/>
  <c r="P9" i="107" s="1"/>
  <c r="P61" i="107" s="1"/>
  <c r="P51" i="53"/>
  <c r="P51" i="107" s="1"/>
  <c r="P103" i="107" s="1"/>
  <c r="P42" i="53"/>
  <c r="P42" i="107" s="1"/>
  <c r="P94" i="107" s="1"/>
  <c r="Q24" i="56"/>
  <c r="AB24" i="56" s="1"/>
  <c r="Q18" i="56"/>
  <c r="AB18" i="56" s="1"/>
  <c r="X18" i="58" s="1"/>
  <c r="Q21" i="56"/>
  <c r="AB21" i="56" s="1"/>
  <c r="Q32" i="56"/>
  <c r="AA27" i="56"/>
  <c r="Z27" i="58"/>
  <c r="AA27" i="58" s="1"/>
  <c r="Z27" i="57"/>
  <c r="AA27" i="57" s="1"/>
  <c r="AA9" i="56"/>
  <c r="Z9" i="58"/>
  <c r="AA9" i="58" s="1"/>
  <c r="Z9" i="57"/>
  <c r="AA9" i="57" s="1"/>
  <c r="Z22" i="57"/>
  <c r="AA22" i="57" s="1"/>
  <c r="AA22" i="56"/>
  <c r="Z22" i="58"/>
  <c r="AA22" i="58" s="1"/>
  <c r="Z17" i="57"/>
  <c r="AA17" i="57" s="1"/>
  <c r="AA17" i="56"/>
  <c r="Z17" i="58"/>
  <c r="AA17" i="58" s="1"/>
  <c r="AA26" i="56"/>
  <c r="Z26" i="57"/>
  <c r="AA26" i="57" s="1"/>
  <c r="Z26" i="58"/>
  <c r="AA26" i="58" s="1"/>
  <c r="AA30" i="56"/>
  <c r="Z30" i="57"/>
  <c r="AA30" i="57" s="1"/>
  <c r="Z30" i="58"/>
  <c r="AA30" i="58" s="1"/>
  <c r="AA10" i="56"/>
  <c r="Z10" i="58"/>
  <c r="AA10" i="58" s="1"/>
  <c r="Z10" i="57"/>
  <c r="AA10" i="57" s="1"/>
  <c r="Z20" i="57"/>
  <c r="AA20" i="57" s="1"/>
  <c r="Z20" i="58"/>
  <c r="AA20" i="58" s="1"/>
  <c r="AA20" i="56"/>
  <c r="AA33" i="56"/>
  <c r="Z33" i="57"/>
  <c r="AA33" i="57" s="1"/>
  <c r="Z33" i="58"/>
  <c r="AA33" i="58" s="1"/>
  <c r="AC10" i="53"/>
  <c r="AA10" i="107" s="1"/>
  <c r="AA62" i="107" s="1"/>
  <c r="AC42" i="53"/>
  <c r="AA42" i="107" s="1"/>
  <c r="AA94" i="107" s="1"/>
  <c r="AC15" i="53"/>
  <c r="AA15" i="107" s="1"/>
  <c r="AA67" i="107" s="1"/>
  <c r="M36" i="54"/>
  <c r="L9" i="53"/>
  <c r="L9" i="107" s="1"/>
  <c r="L61" i="107" s="1"/>
  <c r="L36" i="53"/>
  <c r="L36" i="107" s="1"/>
  <c r="L88" i="107" s="1"/>
  <c r="L47" i="53"/>
  <c r="L47" i="107" s="1"/>
  <c r="L99" i="107" s="1"/>
  <c r="AH31" i="53"/>
  <c r="AD31" i="107" s="1"/>
  <c r="AD83" i="107" s="1"/>
  <c r="AH39" i="53"/>
  <c r="AH42" i="53"/>
  <c r="AD42" i="107" s="1"/>
  <c r="AD94" i="107" s="1"/>
  <c r="AI17" i="53"/>
  <c r="AE17" i="107" s="1"/>
  <c r="AE69" i="107" s="1"/>
  <c r="AI50" i="53"/>
  <c r="AE50" i="107" s="1"/>
  <c r="AE102" i="107" s="1"/>
  <c r="AI33" i="53"/>
  <c r="AE33" i="107" s="1"/>
  <c r="AE85" i="107" s="1"/>
  <c r="AI11" i="53"/>
  <c r="AE11" i="107" s="1"/>
  <c r="AE63" i="107" s="1"/>
  <c r="AI49" i="53"/>
  <c r="AE49" i="107" s="1"/>
  <c r="AE101" i="107" s="1"/>
  <c r="AI46" i="53"/>
  <c r="AE46" i="107" s="1"/>
  <c r="AE98" i="107" s="1"/>
  <c r="AI8" i="53"/>
  <c r="AE8" i="107" s="1"/>
  <c r="AE60" i="107" s="1"/>
  <c r="AI40" i="53"/>
  <c r="AE40" i="107" s="1"/>
  <c r="AE92" i="107" s="1"/>
  <c r="W19" i="56"/>
  <c r="AB19" i="56" s="1"/>
  <c r="T19" i="57"/>
  <c r="T19" i="58"/>
  <c r="T7" i="57"/>
  <c r="W7" i="56"/>
  <c r="T7" i="58"/>
  <c r="T38" i="57"/>
  <c r="W38" i="57" s="1"/>
  <c r="W38" i="56"/>
  <c r="T38" i="58"/>
  <c r="W38" i="58" s="1"/>
  <c r="T27" i="57"/>
  <c r="W27" i="56"/>
  <c r="AB27" i="56" s="1"/>
  <c r="T27" i="58"/>
  <c r="W16" i="56"/>
  <c r="T16" i="58"/>
  <c r="T16" i="57"/>
  <c r="T12" i="57"/>
  <c r="W12" i="56"/>
  <c r="T12" i="58"/>
  <c r="W22" i="56"/>
  <c r="T22" i="58"/>
  <c r="T22" i="57"/>
  <c r="T17" i="58"/>
  <c r="T17" i="57"/>
  <c r="W17" i="56"/>
  <c r="T11" i="58"/>
  <c r="T11" i="57"/>
  <c r="W11" i="56"/>
  <c r="O16" i="53"/>
  <c r="O16" i="107" s="1"/>
  <c r="O68" i="107" s="1"/>
  <c r="O42" i="53"/>
  <c r="O42" i="107" s="1"/>
  <c r="O94" i="107" s="1"/>
  <c r="O50" i="53"/>
  <c r="O50" i="107" s="1"/>
  <c r="O102" i="107" s="1"/>
  <c r="O6" i="53"/>
  <c r="O6" i="107" s="1"/>
  <c r="O58" i="107" s="1"/>
  <c r="E11" i="109" s="1"/>
  <c r="O31" i="53"/>
  <c r="O31" i="107" s="1"/>
  <c r="O83" i="107" s="1"/>
  <c r="O9" i="53"/>
  <c r="O9" i="107" s="1"/>
  <c r="O61" i="107" s="1"/>
  <c r="O51" i="53"/>
  <c r="O51" i="107" s="1"/>
  <c r="O103" i="107" s="1"/>
  <c r="O14" i="53"/>
  <c r="O14" i="107" s="1"/>
  <c r="O66" i="107" s="1"/>
  <c r="O22" i="53"/>
  <c r="O22" i="107" s="1"/>
  <c r="O74" i="107" s="1"/>
  <c r="P13" i="53"/>
  <c r="P13" i="107" s="1"/>
  <c r="P65" i="107" s="1"/>
  <c r="P26" i="53"/>
  <c r="P33" i="53"/>
  <c r="P33" i="107" s="1"/>
  <c r="P85" i="107" s="1"/>
  <c r="P30" i="53"/>
  <c r="P30" i="107" s="1"/>
  <c r="P82" i="107" s="1"/>
  <c r="U44" i="57"/>
  <c r="Q14" i="56"/>
  <c r="U46" i="53"/>
  <c r="T46" i="107" s="1"/>
  <c r="T98" i="107" s="1"/>
  <c r="U44" i="53"/>
  <c r="T44" i="107" s="1"/>
  <c r="T96" i="107" s="1"/>
  <c r="U6" i="53"/>
  <c r="T6" i="107" s="1"/>
  <c r="T58" i="107" s="1"/>
  <c r="U36" i="53"/>
  <c r="T36" i="107" s="1"/>
  <c r="T88" i="107" s="1"/>
  <c r="U39" i="53"/>
  <c r="T39" i="107" s="1"/>
  <c r="T91" i="107" s="1"/>
  <c r="U26" i="53"/>
  <c r="T26" i="107" s="1"/>
  <c r="T78" i="107" s="1"/>
  <c r="V7" i="54"/>
  <c r="V7" i="53"/>
  <c r="U7" i="107" s="1"/>
  <c r="U59" i="107" s="1"/>
  <c r="AB7" i="52"/>
  <c r="V17" i="54"/>
  <c r="AB17" i="52"/>
  <c r="V34" i="54"/>
  <c r="V34" i="53"/>
  <c r="U34" i="107" s="1"/>
  <c r="U86" i="107" s="1"/>
  <c r="V14" i="53"/>
  <c r="U14" i="107" s="1"/>
  <c r="U66" i="107" s="1"/>
  <c r="V14" i="54"/>
  <c r="AB14" i="52"/>
  <c r="V25" i="53"/>
  <c r="V25" i="54"/>
  <c r="AB25" i="52"/>
  <c r="V39" i="54"/>
  <c r="AB39" i="52"/>
  <c r="V21" i="54"/>
  <c r="AB21" i="52"/>
  <c r="V33" i="54"/>
  <c r="V33" i="53"/>
  <c r="U33" i="107" s="1"/>
  <c r="U85" i="107" s="1"/>
  <c r="AB33" i="52"/>
  <c r="V46" i="53"/>
  <c r="V46" i="54"/>
  <c r="AB46" i="52"/>
  <c r="V29" i="54"/>
  <c r="AB29" i="52"/>
  <c r="V16" i="54"/>
  <c r="V16" i="53"/>
  <c r="AB16" i="52"/>
  <c r="V50" i="54"/>
  <c r="AB50" i="52"/>
  <c r="V50" i="53"/>
  <c r="U50" i="107" s="1"/>
  <c r="U102" i="107" s="1"/>
  <c r="X53" i="54"/>
  <c r="AC17" i="53"/>
  <c r="AA17" i="107" s="1"/>
  <c r="AA69" i="107" s="1"/>
  <c r="AC28" i="53"/>
  <c r="AA28" i="107" s="1"/>
  <c r="AA80" i="107" s="1"/>
  <c r="AC47" i="53"/>
  <c r="AA47" i="107" s="1"/>
  <c r="AA99" i="107" s="1"/>
  <c r="Y37" i="54"/>
  <c r="AB37" i="54" s="1"/>
  <c r="Y31" i="54"/>
  <c r="AB31" i="54" s="1"/>
  <c r="Y9" i="54"/>
  <c r="Y48" i="54"/>
  <c r="Y42" i="54"/>
  <c r="Y16" i="54"/>
  <c r="Y41" i="54"/>
  <c r="AB41" i="54" s="1"/>
  <c r="Y26" i="54"/>
  <c r="AB26" i="54" s="1"/>
  <c r="Y13" i="54"/>
  <c r="Y27" i="54"/>
  <c r="AB27" i="54" s="1"/>
  <c r="Y32" i="54"/>
  <c r="Y14" i="54"/>
  <c r="M46" i="54"/>
  <c r="M9" i="54"/>
  <c r="P34" i="57"/>
  <c r="P34" i="58"/>
  <c r="P15" i="57"/>
  <c r="P15" i="58"/>
  <c r="P22" i="57"/>
  <c r="P22" i="58"/>
  <c r="P37" i="57"/>
  <c r="P37" i="108" s="1"/>
  <c r="P80" i="108" s="1"/>
  <c r="P37" i="58"/>
  <c r="AD5" i="53"/>
  <c r="AC53" i="54"/>
  <c r="AD5" i="54"/>
  <c r="AD53" i="54" s="1"/>
  <c r="M47" i="54"/>
  <c r="Q38" i="56"/>
  <c r="AB38" i="56" s="1"/>
  <c r="Q42" i="56"/>
  <c r="Q36" i="56"/>
  <c r="AC12" i="53"/>
  <c r="AA12" i="107" s="1"/>
  <c r="AA64" i="107" s="1"/>
  <c r="AC29" i="53"/>
  <c r="AA29" i="107" s="1"/>
  <c r="AA81" i="107" s="1"/>
  <c r="M21" i="54"/>
  <c r="L25" i="53"/>
  <c r="L25" i="107" s="1"/>
  <c r="L77" i="107" s="1"/>
  <c r="AH18" i="53"/>
  <c r="AD18" i="107" s="1"/>
  <c r="AD70" i="107" s="1"/>
  <c r="AH25" i="53"/>
  <c r="AD25" i="107" s="1"/>
  <c r="AD77" i="107" s="1"/>
  <c r="P23" i="53"/>
  <c r="P36" i="53"/>
  <c r="P36" i="107" s="1"/>
  <c r="P88" i="107" s="1"/>
  <c r="P19" i="53"/>
  <c r="P19" i="107" s="1"/>
  <c r="P71" i="107" s="1"/>
  <c r="P20" i="53"/>
  <c r="P20" i="107" s="1"/>
  <c r="P72" i="107" s="1"/>
  <c r="P49" i="53"/>
  <c r="P49" i="107" s="1"/>
  <c r="P101" i="107" s="1"/>
  <c r="P17" i="53"/>
  <c r="P17" i="107" s="1"/>
  <c r="P69" i="107" s="1"/>
  <c r="P28" i="53"/>
  <c r="R53" i="54"/>
  <c r="AA35" i="56"/>
  <c r="Z35" i="57"/>
  <c r="AA35" i="57" s="1"/>
  <c r="Z35" i="58"/>
  <c r="AA35" i="58" s="1"/>
  <c r="Z39" i="57"/>
  <c r="AA39" i="57" s="1"/>
  <c r="AA39" i="56"/>
  <c r="Z39" i="58"/>
  <c r="AA39" i="58" s="1"/>
  <c r="Z7" i="57"/>
  <c r="AA7" i="57" s="1"/>
  <c r="AA7" i="56"/>
  <c r="Z7" i="58"/>
  <c r="AA7" i="58" s="1"/>
  <c r="Z38" i="58"/>
  <c r="AA38" i="58" s="1"/>
  <c r="AA38" i="56"/>
  <c r="Z38" i="57"/>
  <c r="AA38" i="57" s="1"/>
  <c r="Z6" i="58"/>
  <c r="AA6" i="58" s="1"/>
  <c r="AA6" i="56"/>
  <c r="Z6" i="57"/>
  <c r="AA6" i="57" s="1"/>
  <c r="Z31" i="57"/>
  <c r="AA31" i="57" s="1"/>
  <c r="AA31" i="56"/>
  <c r="Z31" i="58"/>
  <c r="AA31" i="58" s="1"/>
  <c r="Z15" i="57"/>
  <c r="AA15" i="57" s="1"/>
  <c r="Z15" i="58"/>
  <c r="AA15" i="58" s="1"/>
  <c r="AA15" i="56"/>
  <c r="Z28" i="58"/>
  <c r="AA28" i="58" s="1"/>
  <c r="AA28" i="56"/>
  <c r="Z28" i="57"/>
  <c r="AA28" i="57" s="1"/>
  <c r="Z32" i="58"/>
  <c r="AA32" i="58" s="1"/>
  <c r="Z32" i="57"/>
  <c r="AA32" i="57" s="1"/>
  <c r="AA32" i="56"/>
  <c r="Z11" i="58"/>
  <c r="AA11" i="58" s="1"/>
  <c r="Z11" i="57"/>
  <c r="AA11" i="57" s="1"/>
  <c r="AA11" i="56"/>
  <c r="AC30" i="53"/>
  <c r="AA30" i="107" s="1"/>
  <c r="AA82" i="107" s="1"/>
  <c r="AC44" i="53"/>
  <c r="AA44" i="107" s="1"/>
  <c r="AA96" i="107" s="1"/>
  <c r="AC24" i="53"/>
  <c r="AA24" i="107" s="1"/>
  <c r="AA76" i="107" s="1"/>
  <c r="M29" i="54"/>
  <c r="AH14" i="53"/>
  <c r="AD14" i="107" s="1"/>
  <c r="AD66" i="107" s="1"/>
  <c r="AH51" i="53"/>
  <c r="AD51" i="107" s="1"/>
  <c r="AD103" i="107" s="1"/>
  <c r="W14" i="56"/>
  <c r="T14" i="57"/>
  <c r="T14" i="58"/>
  <c r="W40" i="56"/>
  <c r="T40" i="58"/>
  <c r="T40" i="57"/>
  <c r="T30" i="57"/>
  <c r="T30" i="58"/>
  <c r="W30" i="56"/>
  <c r="T13" i="57"/>
  <c r="T13" i="58"/>
  <c r="W13" i="56"/>
  <c r="AB13" i="56" s="1"/>
  <c r="W39" i="56"/>
  <c r="T39" i="58"/>
  <c r="T39" i="57"/>
  <c r="W42" i="56"/>
  <c r="T42" i="58"/>
  <c r="T42" i="57"/>
  <c r="T36" i="57"/>
  <c r="W36" i="57" s="1"/>
  <c r="T36" i="58"/>
  <c r="W36" i="58" s="1"/>
  <c r="W36" i="56"/>
  <c r="W6" i="56"/>
  <c r="T6" i="58"/>
  <c r="T6" i="57"/>
  <c r="W28" i="56"/>
  <c r="T28" i="57"/>
  <c r="T28" i="58"/>
  <c r="W26" i="56"/>
  <c r="T26" i="57"/>
  <c r="T26" i="58"/>
  <c r="O43" i="53"/>
  <c r="O43" i="107" s="1"/>
  <c r="O95" i="107" s="1"/>
  <c r="O10" i="53"/>
  <c r="O10" i="107" s="1"/>
  <c r="O62" i="107" s="1"/>
  <c r="P7" i="53"/>
  <c r="P7" i="107" s="1"/>
  <c r="P59" i="107" s="1"/>
  <c r="P44" i="53"/>
  <c r="P44" i="107" s="1"/>
  <c r="P96" i="107" s="1"/>
  <c r="Q11" i="56"/>
  <c r="Q5" i="56"/>
  <c r="Q8" i="56"/>
  <c r="AB8" i="56" s="1"/>
  <c r="Q39" i="56"/>
  <c r="Q37" i="56"/>
  <c r="V38" i="54"/>
  <c r="AB38" i="52"/>
  <c r="V18" i="53"/>
  <c r="V18" i="54"/>
  <c r="AB18" i="52"/>
  <c r="V42" i="54"/>
  <c r="V42" i="53"/>
  <c r="U42" i="107" s="1"/>
  <c r="U94" i="107" s="1"/>
  <c r="AB42" i="52"/>
  <c r="V43" i="53"/>
  <c r="V43" i="54"/>
  <c r="AB43" i="52"/>
  <c r="V20" i="53"/>
  <c r="V20" i="54"/>
  <c r="AB20" i="52"/>
  <c r="V44" i="54"/>
  <c r="AB44" i="52"/>
  <c r="V9" i="53"/>
  <c r="V9" i="54"/>
  <c r="AB9" i="52"/>
  <c r="V22" i="54"/>
  <c r="V22" i="53"/>
  <c r="U22" i="107" s="1"/>
  <c r="U74" i="107" s="1"/>
  <c r="AB22" i="52"/>
  <c r="V49" i="54"/>
  <c r="AB49" i="52"/>
  <c r="V10" i="54"/>
  <c r="AB10" i="52"/>
  <c r="V10" i="53"/>
  <c r="U10" i="107" s="1"/>
  <c r="U62" i="107" s="1"/>
  <c r="V24" i="53"/>
  <c r="U24" i="107" s="1"/>
  <c r="U76" i="107" s="1"/>
  <c r="V24" i="54"/>
  <c r="AB24" i="52"/>
  <c r="M44" i="57"/>
  <c r="W53" i="54"/>
  <c r="Q39" i="53"/>
  <c r="Q39" i="107" s="1"/>
  <c r="Q91" i="107" s="1"/>
  <c r="Q20" i="53"/>
  <c r="Q20" i="107" s="1"/>
  <c r="Q72" i="107" s="1"/>
  <c r="Q17" i="53"/>
  <c r="Q17" i="107" s="1"/>
  <c r="Q69" i="107" s="1"/>
  <c r="AC9" i="53"/>
  <c r="AA9" i="107" s="1"/>
  <c r="AA61" i="107" s="1"/>
  <c r="AC31" i="53"/>
  <c r="AA31" i="107" s="1"/>
  <c r="AA83" i="107" s="1"/>
  <c r="AC7" i="53"/>
  <c r="AA7" i="107" s="1"/>
  <c r="AA59" i="107" s="1"/>
  <c r="Y33" i="54"/>
  <c r="Y21" i="54"/>
  <c r="AB21" i="54" s="1"/>
  <c r="Y18" i="54"/>
  <c r="Y10" i="54"/>
  <c r="Y38" i="54"/>
  <c r="Y19" i="54"/>
  <c r="AB19" i="54" s="1"/>
  <c r="Y43" i="54"/>
  <c r="Y7" i="54"/>
  <c r="AB7" i="54" s="1"/>
  <c r="Y25" i="54"/>
  <c r="Y44" i="54"/>
  <c r="Y28" i="54"/>
  <c r="AB28" i="54" s="1"/>
  <c r="Y17" i="54"/>
  <c r="E42" i="5"/>
  <c r="X46" i="103" s="1"/>
  <c r="E21" i="5"/>
  <c r="AE55" i="102" s="1"/>
  <c r="AO54" i="102" s="1"/>
  <c r="T56" i="54"/>
  <c r="T56" i="53"/>
  <c r="T56" i="52"/>
  <c r="T54" i="53"/>
  <c r="T54" i="54"/>
  <c r="T54" i="52"/>
  <c r="Q46" i="58"/>
  <c r="Q46" i="57"/>
  <c r="Q46" i="56"/>
  <c r="Q46" i="55"/>
  <c r="T55" i="53"/>
  <c r="T55" i="54"/>
  <c r="T55" i="52"/>
  <c r="AM56" i="51"/>
  <c r="AM54" i="54"/>
  <c r="AM54" i="52"/>
  <c r="AM54" i="102" s="1"/>
  <c r="Q47" i="58"/>
  <c r="Q47" i="57"/>
  <c r="Q47" i="56"/>
  <c r="Q47" i="55"/>
  <c r="X24" i="58"/>
  <c r="T58" i="51"/>
  <c r="T57" i="51"/>
  <c r="F46" i="5"/>
  <c r="AB47" i="103" s="1"/>
  <c r="F47" i="5"/>
  <c r="F29" i="5"/>
  <c r="AM56" i="102" s="1"/>
  <c r="T9" i="109" l="1"/>
  <c r="T15" i="109" s="1"/>
  <c r="R5" i="108"/>
  <c r="R48" i="108" s="1"/>
  <c r="V6" i="57"/>
  <c r="T6" i="108" s="1"/>
  <c r="T49" i="108" s="1"/>
  <c r="V6" i="103"/>
  <c r="V6" i="58"/>
  <c r="V7" i="58"/>
  <c r="W7" i="58" s="1"/>
  <c r="V7" i="103"/>
  <c r="W7" i="103" s="1"/>
  <c r="V7" i="57"/>
  <c r="T7" i="108" s="1"/>
  <c r="T50" i="108" s="1"/>
  <c r="V30" i="57"/>
  <c r="T30" i="108" s="1"/>
  <c r="T73" i="108" s="1"/>
  <c r="V30" i="58"/>
  <c r="V30" i="103"/>
  <c r="P22" i="108"/>
  <c r="P65" i="108" s="1"/>
  <c r="Q11" i="109"/>
  <c r="U9" i="109"/>
  <c r="U14" i="109" s="1"/>
  <c r="V26" i="103"/>
  <c r="W26" i="103" s="1"/>
  <c r="V26" i="57"/>
  <c r="T26" i="108" s="1"/>
  <c r="T69" i="108" s="1"/>
  <c r="V26" i="58"/>
  <c r="V35" i="103"/>
  <c r="V35" i="58"/>
  <c r="V35" i="57"/>
  <c r="V10" i="103"/>
  <c r="V10" i="57"/>
  <c r="V10" i="58"/>
  <c r="W10" i="58" s="1"/>
  <c r="W6" i="58"/>
  <c r="X8" i="58"/>
  <c r="Y8" i="58" s="1"/>
  <c r="W13" i="57"/>
  <c r="W41" i="57"/>
  <c r="Y14" i="102"/>
  <c r="V8" i="103"/>
  <c r="V8" i="57"/>
  <c r="V8" i="58"/>
  <c r="W8" i="58" s="1"/>
  <c r="V19" i="58"/>
  <c r="V19" i="57"/>
  <c r="V19" i="103"/>
  <c r="W19" i="103" s="1"/>
  <c r="V5" i="103"/>
  <c r="V5" i="57"/>
  <c r="V44" i="56"/>
  <c r="V5" i="58"/>
  <c r="U43" i="107"/>
  <c r="U95" i="107" s="1"/>
  <c r="V31" i="103"/>
  <c r="V31" i="58"/>
  <c r="W31" i="58" s="1"/>
  <c r="V31" i="57"/>
  <c r="V27" i="57"/>
  <c r="V27" i="103"/>
  <c r="W27" i="103" s="1"/>
  <c r="V27" i="58"/>
  <c r="V42" i="58"/>
  <c r="W42" i="58" s="1"/>
  <c r="V42" i="57"/>
  <c r="V42" i="103"/>
  <c r="AB43" i="54"/>
  <c r="W6" i="57"/>
  <c r="AB16" i="54"/>
  <c r="AB8" i="54"/>
  <c r="AB10" i="54"/>
  <c r="P15" i="108"/>
  <c r="P58" i="108" s="1"/>
  <c r="W12" i="57"/>
  <c r="P29" i="108"/>
  <c r="P72" i="108" s="1"/>
  <c r="P7" i="108"/>
  <c r="P50" i="108" s="1"/>
  <c r="P14" i="108"/>
  <c r="P57" i="108" s="1"/>
  <c r="X21" i="58"/>
  <c r="Y21" i="58" s="1"/>
  <c r="AB18" i="54"/>
  <c r="U9" i="107"/>
  <c r="U61" i="107" s="1"/>
  <c r="W30" i="58"/>
  <c r="U16" i="107"/>
  <c r="U68" i="107" s="1"/>
  <c r="W19" i="58"/>
  <c r="W9" i="57"/>
  <c r="W8" i="57"/>
  <c r="P6" i="108"/>
  <c r="P49" i="108" s="1"/>
  <c r="E7" i="110"/>
  <c r="E13" i="110" s="1"/>
  <c r="V9" i="57"/>
  <c r="V9" i="103"/>
  <c r="W9" i="103" s="1"/>
  <c r="V9" i="58"/>
  <c r="W9" i="58" s="1"/>
  <c r="V17" i="103"/>
  <c r="W17" i="103" s="1"/>
  <c r="V17" i="57"/>
  <c r="V17" i="58"/>
  <c r="W17" i="58" s="1"/>
  <c r="V11" i="103"/>
  <c r="V11" i="57"/>
  <c r="T11" i="108" s="1"/>
  <c r="T54" i="108" s="1"/>
  <c r="V11" i="58"/>
  <c r="X38" i="58"/>
  <c r="T18" i="107"/>
  <c r="T70" i="107" s="1"/>
  <c r="J7" i="109" s="1"/>
  <c r="J13" i="109" s="1"/>
  <c r="W42" i="103"/>
  <c r="V18" i="57"/>
  <c r="V18" i="58"/>
  <c r="W18" i="58" s="1"/>
  <c r="V18" i="103"/>
  <c r="W18" i="103" s="1"/>
  <c r="V29" i="103"/>
  <c r="V29" i="57"/>
  <c r="T29" i="108" s="1"/>
  <c r="T72" i="108" s="1"/>
  <c r="V29" i="58"/>
  <c r="V25" i="58"/>
  <c r="V25" i="57"/>
  <c r="T25" i="108" s="1"/>
  <c r="T68" i="108" s="1"/>
  <c r="V25" i="103"/>
  <c r="W25" i="103" s="1"/>
  <c r="W11" i="58"/>
  <c r="U41" i="107"/>
  <c r="U93" i="107" s="1"/>
  <c r="W20" i="58"/>
  <c r="W31" i="57"/>
  <c r="P10" i="108"/>
  <c r="P53" i="108" s="1"/>
  <c r="P31" i="108"/>
  <c r="P74" i="108" s="1"/>
  <c r="T27" i="107"/>
  <c r="T79" i="107" s="1"/>
  <c r="W30" i="103"/>
  <c r="V32" i="57"/>
  <c r="W32" i="57" s="1"/>
  <c r="V32" i="58"/>
  <c r="V32" i="103"/>
  <c r="V12" i="103"/>
  <c r="V12" i="58"/>
  <c r="W12" i="58" s="1"/>
  <c r="V12" i="57"/>
  <c r="T12" i="108" s="1"/>
  <c r="T55" i="108" s="1"/>
  <c r="V40" i="103"/>
  <c r="W40" i="103" s="1"/>
  <c r="V40" i="57"/>
  <c r="V40" i="58"/>
  <c r="W35" i="57"/>
  <c r="W6" i="103"/>
  <c r="Y50" i="102"/>
  <c r="W8" i="103"/>
  <c r="W35" i="103"/>
  <c r="V28" i="57"/>
  <c r="V28" i="58"/>
  <c r="W28" i="58" s="1"/>
  <c r="V28" i="103"/>
  <c r="W28" i="103" s="1"/>
  <c r="V22" i="103"/>
  <c r="W22" i="103" s="1"/>
  <c r="V22" i="58"/>
  <c r="W22" i="58" s="1"/>
  <c r="V22" i="57"/>
  <c r="W19" i="57"/>
  <c r="W26" i="57"/>
  <c r="W27" i="58"/>
  <c r="U25" i="107"/>
  <c r="U77" i="107" s="1"/>
  <c r="W17" i="57"/>
  <c r="P19" i="108"/>
  <c r="P62" i="108" s="1"/>
  <c r="W11" i="103"/>
  <c r="W39" i="103"/>
  <c r="W32" i="103"/>
  <c r="T27" i="108"/>
  <c r="T70" i="108" s="1"/>
  <c r="V39" i="103"/>
  <c r="V39" i="58"/>
  <c r="V39" i="57"/>
  <c r="T39" i="108" s="1"/>
  <c r="T82" i="108" s="1"/>
  <c r="V41" i="58"/>
  <c r="W41" i="58" s="1"/>
  <c r="V41" i="57"/>
  <c r="V41" i="103"/>
  <c r="W41" i="103" s="1"/>
  <c r="W30" i="57"/>
  <c r="W26" i="58"/>
  <c r="W40" i="58"/>
  <c r="U20" i="107"/>
  <c r="U72" i="107" s="1"/>
  <c r="AB32" i="54"/>
  <c r="W25" i="58"/>
  <c r="W12" i="103"/>
  <c r="W29" i="103"/>
  <c r="V37" i="103"/>
  <c r="W37" i="103" s="1"/>
  <c r="V37" i="57"/>
  <c r="T37" i="108" s="1"/>
  <c r="T80" i="108" s="1"/>
  <c r="V37" i="58"/>
  <c r="W37" i="58" s="1"/>
  <c r="V14" i="57"/>
  <c r="V14" i="58"/>
  <c r="W14" i="58" s="1"/>
  <c r="V14" i="103"/>
  <c r="W14" i="103" s="1"/>
  <c r="U18" i="107"/>
  <c r="U70" i="107" s="1"/>
  <c r="W42" i="57"/>
  <c r="AB17" i="56"/>
  <c r="U40" i="107"/>
  <c r="U92" i="107" s="1"/>
  <c r="U8" i="107"/>
  <c r="U60" i="107" s="1"/>
  <c r="AB37" i="56"/>
  <c r="W27" i="57"/>
  <c r="P23" i="108"/>
  <c r="P66" i="108" s="1"/>
  <c r="W35" i="58"/>
  <c r="W39" i="58"/>
  <c r="W14" i="57"/>
  <c r="U46" i="107"/>
  <c r="U98" i="107" s="1"/>
  <c r="W22" i="57"/>
  <c r="U48" i="107"/>
  <c r="U100" i="107" s="1"/>
  <c r="U45" i="107"/>
  <c r="U97" i="107" s="1"/>
  <c r="P27" i="108"/>
  <c r="P70" i="108" s="1"/>
  <c r="U36" i="107"/>
  <c r="U88" i="107" s="1"/>
  <c r="W25" i="57"/>
  <c r="W29" i="58"/>
  <c r="W33" i="103"/>
  <c r="W38" i="103"/>
  <c r="W31" i="103"/>
  <c r="C7" i="110"/>
  <c r="C13" i="110" s="1"/>
  <c r="T35" i="108"/>
  <c r="T78" i="108" s="1"/>
  <c r="V13" i="57"/>
  <c r="V13" i="103"/>
  <c r="W13" i="103" s="1"/>
  <c r="V13" i="58"/>
  <c r="W13" i="58" s="1"/>
  <c r="V16" i="103"/>
  <c r="W16" i="103" s="1"/>
  <c r="V16" i="57"/>
  <c r="W16" i="57" s="1"/>
  <c r="V16" i="58"/>
  <c r="W16" i="58" s="1"/>
  <c r="W32" i="58"/>
  <c r="W10" i="57"/>
  <c r="W10" i="103"/>
  <c r="V20" i="103"/>
  <c r="W20" i="103" s="1"/>
  <c r="V20" i="58"/>
  <c r="V20" i="57"/>
  <c r="T20" i="108" s="1"/>
  <c r="T63" i="108" s="1"/>
  <c r="V21" i="103"/>
  <c r="W21" i="103" s="1"/>
  <c r="V21" i="57"/>
  <c r="W21" i="57" s="1"/>
  <c r="V21" i="58"/>
  <c r="W21" i="58" s="1"/>
  <c r="T21" i="108"/>
  <c r="T64" i="108" s="1"/>
  <c r="V24" i="103"/>
  <c r="W24" i="103" s="1"/>
  <c r="V24" i="57"/>
  <c r="V24" i="58"/>
  <c r="W24" i="58" s="1"/>
  <c r="F9" i="110"/>
  <c r="F14" i="110" s="1"/>
  <c r="F11" i="110"/>
  <c r="J11" i="109"/>
  <c r="J9" i="109"/>
  <c r="J15" i="109" s="1"/>
  <c r="X19" i="58"/>
  <c r="AB38" i="54"/>
  <c r="X13" i="58"/>
  <c r="Y13" i="58" s="1"/>
  <c r="AB22" i="56"/>
  <c r="M7" i="109"/>
  <c r="M13" i="109" s="1"/>
  <c r="M11" i="109"/>
  <c r="M9" i="109"/>
  <c r="M14" i="109" s="1"/>
  <c r="S38" i="102"/>
  <c r="S34" i="102"/>
  <c r="S10" i="102"/>
  <c r="S40" i="102"/>
  <c r="S9" i="102"/>
  <c r="S27" i="102"/>
  <c r="S42" i="102"/>
  <c r="S45" i="102"/>
  <c r="S7" i="102"/>
  <c r="S35" i="102"/>
  <c r="S48" i="102"/>
  <c r="S14" i="102"/>
  <c r="S20" i="102"/>
  <c r="S49" i="102"/>
  <c r="S31" i="102"/>
  <c r="S44" i="102"/>
  <c r="S21" i="102"/>
  <c r="S41" i="102"/>
  <c r="S11" i="102"/>
  <c r="S37" i="102"/>
  <c r="S32" i="102"/>
  <c r="S30" i="102"/>
  <c r="S17" i="102"/>
  <c r="S50" i="102"/>
  <c r="S22" i="102"/>
  <c r="S43" i="102"/>
  <c r="S5" i="102"/>
  <c r="S26" i="102"/>
  <c r="S36" i="102"/>
  <c r="S15" i="102"/>
  <c r="S24" i="102"/>
  <c r="S51" i="102"/>
  <c r="S6" i="102"/>
  <c r="S25" i="102"/>
  <c r="S47" i="102"/>
  <c r="S39" i="102"/>
  <c r="S8" i="102"/>
  <c r="S23" i="102"/>
  <c r="S28" i="102"/>
  <c r="S19" i="102"/>
  <c r="S18" i="102"/>
  <c r="S16" i="102"/>
  <c r="S12" i="102"/>
  <c r="S13" i="102"/>
  <c r="S33" i="102"/>
  <c r="S29" i="102"/>
  <c r="S46" i="102"/>
  <c r="M48" i="54"/>
  <c r="M42" i="54"/>
  <c r="R27" i="108"/>
  <c r="R70" i="108" s="1"/>
  <c r="Y46" i="102"/>
  <c r="R8" i="108"/>
  <c r="R51" i="108" s="1"/>
  <c r="P34" i="108"/>
  <c r="P77" i="108" s="1"/>
  <c r="V43" i="102"/>
  <c r="Y23" i="102"/>
  <c r="V14" i="102"/>
  <c r="AB14" i="102" s="1"/>
  <c r="N39" i="103"/>
  <c r="Q39" i="103" s="1"/>
  <c r="N39" i="57"/>
  <c r="Q39" i="57" s="1"/>
  <c r="N39" i="58"/>
  <c r="N38" i="103"/>
  <c r="Q38" i="103" s="1"/>
  <c r="N38" i="57"/>
  <c r="N38" i="58"/>
  <c r="N38" i="108" s="1"/>
  <c r="N81" i="108" s="1"/>
  <c r="N31" i="108"/>
  <c r="N74" i="108" s="1"/>
  <c r="N31" i="103"/>
  <c r="Q31" i="103" s="1"/>
  <c r="N31" i="57"/>
  <c r="N31" i="58"/>
  <c r="Y36" i="102"/>
  <c r="V8" i="102"/>
  <c r="V33" i="108"/>
  <c r="V76" i="108" s="1"/>
  <c r="AB17" i="54"/>
  <c r="V44" i="53"/>
  <c r="U44" i="107" s="1"/>
  <c r="U96" i="107" s="1"/>
  <c r="F9" i="109"/>
  <c r="F14" i="109" s="1"/>
  <c r="U53" i="54"/>
  <c r="V21" i="53"/>
  <c r="U21" i="107" s="1"/>
  <c r="U73" i="107" s="1"/>
  <c r="S44" i="57"/>
  <c r="V19" i="53"/>
  <c r="U19" i="107" s="1"/>
  <c r="U71" i="107" s="1"/>
  <c r="R14" i="108"/>
  <c r="R57" i="108" s="1"/>
  <c r="Y30" i="102"/>
  <c r="V34" i="102"/>
  <c r="V6" i="108"/>
  <c r="V49" i="108" s="1"/>
  <c r="Y44" i="102"/>
  <c r="Y27" i="102"/>
  <c r="V28" i="102"/>
  <c r="AB28" i="102" s="1"/>
  <c r="M40" i="54"/>
  <c r="M24" i="54"/>
  <c r="R6" i="108"/>
  <c r="R49" i="108" s="1"/>
  <c r="Y7" i="102"/>
  <c r="V29" i="108"/>
  <c r="V72" i="108" s="1"/>
  <c r="V24" i="102"/>
  <c r="V33" i="102"/>
  <c r="V41" i="102"/>
  <c r="AB41" i="102" s="1"/>
  <c r="V11" i="108"/>
  <c r="V54" i="108" s="1"/>
  <c r="N29" i="108"/>
  <c r="N72" i="108" s="1"/>
  <c r="N29" i="103"/>
  <c r="Q29" i="103" s="1"/>
  <c r="N29" i="58"/>
  <c r="Q29" i="58" s="1"/>
  <c r="N29" i="57"/>
  <c r="Q29" i="57" s="1"/>
  <c r="N5" i="108"/>
  <c r="N48" i="108" s="1"/>
  <c r="N5" i="103"/>
  <c r="N5" i="57"/>
  <c r="N5" i="58"/>
  <c r="N44" i="56"/>
  <c r="N12" i="103"/>
  <c r="Q12" i="103" s="1"/>
  <c r="N12" i="58"/>
  <c r="N12" i="57"/>
  <c r="N12" i="108" s="1"/>
  <c r="N55" i="108" s="1"/>
  <c r="AD5" i="102"/>
  <c r="AD53" i="102" s="1"/>
  <c r="AC53" i="102"/>
  <c r="V44" i="102"/>
  <c r="V18" i="108"/>
  <c r="V61" i="108" s="1"/>
  <c r="L9" i="109"/>
  <c r="L15" i="109" s="1"/>
  <c r="M8" i="54"/>
  <c r="M22" i="54"/>
  <c r="Y13" i="102"/>
  <c r="Y22" i="102"/>
  <c r="R19" i="108"/>
  <c r="R62" i="108" s="1"/>
  <c r="Y35" i="102"/>
  <c r="V40" i="102"/>
  <c r="R32" i="108"/>
  <c r="R75" i="108" s="1"/>
  <c r="V10" i="108"/>
  <c r="V53" i="108" s="1"/>
  <c r="V36" i="102"/>
  <c r="AB36" i="102" s="1"/>
  <c r="P44" i="103"/>
  <c r="V38" i="102"/>
  <c r="Y24" i="102"/>
  <c r="V7" i="102"/>
  <c r="N11" i="103"/>
  <c r="Q11" i="103" s="1"/>
  <c r="N11" i="58"/>
  <c r="N11" i="57"/>
  <c r="Q11" i="57" s="1"/>
  <c r="N41" i="103"/>
  <c r="Q41" i="103" s="1"/>
  <c r="N41" i="58"/>
  <c r="N41" i="108" s="1"/>
  <c r="N84" i="108" s="1"/>
  <c r="N41" i="57"/>
  <c r="Q41" i="57" s="1"/>
  <c r="N30" i="103"/>
  <c r="Q30" i="103" s="1"/>
  <c r="N30" i="57"/>
  <c r="N30" i="108" s="1"/>
  <c r="N73" i="108" s="1"/>
  <c r="N30" i="58"/>
  <c r="Y34" i="102"/>
  <c r="I7" i="110"/>
  <c r="I13" i="110" s="1"/>
  <c r="V30" i="108"/>
  <c r="V73" i="108" s="1"/>
  <c r="AB33" i="54"/>
  <c r="AB48" i="54"/>
  <c r="B11" i="109"/>
  <c r="V6" i="53"/>
  <c r="U6" i="107" s="1"/>
  <c r="U58" i="107" s="1"/>
  <c r="K11" i="109" s="1"/>
  <c r="V30" i="53"/>
  <c r="U30" i="107" s="1"/>
  <c r="U82" i="107" s="1"/>
  <c r="V11" i="53"/>
  <c r="U11" i="107" s="1"/>
  <c r="U63" i="107" s="1"/>
  <c r="B7" i="109"/>
  <c r="B13" i="109" s="1"/>
  <c r="M53" i="52"/>
  <c r="M58" i="52" s="1"/>
  <c r="Q31" i="56"/>
  <c r="Q9" i="109"/>
  <c r="Q15" i="109" s="1"/>
  <c r="V37" i="108"/>
  <c r="V80" i="108" s="1"/>
  <c r="X53" i="102"/>
  <c r="Y11" i="102"/>
  <c r="V39" i="108"/>
  <c r="V82" i="108" s="1"/>
  <c r="Y10" i="102"/>
  <c r="Y41" i="102"/>
  <c r="V26" i="102"/>
  <c r="V21" i="108"/>
  <c r="V64" i="108" s="1"/>
  <c r="AI53" i="102"/>
  <c r="M14" i="54"/>
  <c r="M38" i="54"/>
  <c r="R39" i="108"/>
  <c r="R82" i="108" s="1"/>
  <c r="V20" i="108"/>
  <c r="V63" i="108" s="1"/>
  <c r="Y38" i="102"/>
  <c r="AB38" i="102" s="1"/>
  <c r="L53" i="102"/>
  <c r="V22" i="102"/>
  <c r="AB22" i="102" s="1"/>
  <c r="V25" i="102"/>
  <c r="W15" i="103"/>
  <c r="V16" i="108"/>
  <c r="V59" i="108" s="1"/>
  <c r="V15" i="108"/>
  <c r="V58" i="108" s="1"/>
  <c r="N42" i="103"/>
  <c r="Q42" i="103" s="1"/>
  <c r="N42" i="57"/>
  <c r="N42" i="58"/>
  <c r="Q42" i="58" s="1"/>
  <c r="N37" i="103"/>
  <c r="N37" i="57"/>
  <c r="N37" i="58"/>
  <c r="Q37" i="58" s="1"/>
  <c r="N27" i="103"/>
  <c r="Q27" i="103" s="1"/>
  <c r="N27" i="57"/>
  <c r="N27" i="108" s="1"/>
  <c r="N70" i="108" s="1"/>
  <c r="N27" i="58"/>
  <c r="Q27" i="58" s="1"/>
  <c r="I11" i="110"/>
  <c r="Q35" i="57"/>
  <c r="Q30" i="58"/>
  <c r="AB44" i="54"/>
  <c r="V29" i="53"/>
  <c r="U29" i="107" s="1"/>
  <c r="U81" i="107" s="1"/>
  <c r="V39" i="53"/>
  <c r="U39" i="107" s="1"/>
  <c r="U91" i="107" s="1"/>
  <c r="V17" i="53"/>
  <c r="U17" i="107" s="1"/>
  <c r="U69" i="107" s="1"/>
  <c r="V37" i="53"/>
  <c r="U37" i="107" s="1"/>
  <c r="U89" i="107" s="1"/>
  <c r="AB25" i="54"/>
  <c r="V49" i="53"/>
  <c r="U49" i="107" s="1"/>
  <c r="U101" i="107" s="1"/>
  <c r="V38" i="53"/>
  <c r="U38" i="107" s="1"/>
  <c r="U90" i="107" s="1"/>
  <c r="AB14" i="54"/>
  <c r="AB23" i="54"/>
  <c r="G11" i="109"/>
  <c r="G7" i="109"/>
  <c r="G13" i="109" s="1"/>
  <c r="V51" i="53"/>
  <c r="U51" i="107" s="1"/>
  <c r="U103" i="107" s="1"/>
  <c r="AB34" i="56"/>
  <c r="B14" i="110"/>
  <c r="I14" i="110"/>
  <c r="C14" i="110"/>
  <c r="E14" i="110"/>
  <c r="Y39" i="102"/>
  <c r="V42" i="102"/>
  <c r="V42" i="108"/>
  <c r="V85" i="108" s="1"/>
  <c r="M41" i="54"/>
  <c r="M17" i="54"/>
  <c r="Y16" i="102"/>
  <c r="V37" i="102"/>
  <c r="R29" i="108"/>
  <c r="R72" i="108" s="1"/>
  <c r="P24" i="108"/>
  <c r="P67" i="108" s="1"/>
  <c r="Y32" i="102"/>
  <c r="R15" i="108"/>
  <c r="R58" i="108" s="1"/>
  <c r="V17" i="108"/>
  <c r="V60" i="108" s="1"/>
  <c r="V31" i="102"/>
  <c r="B9" i="109"/>
  <c r="B14" i="109" s="1"/>
  <c r="Y51" i="102"/>
  <c r="N35" i="103"/>
  <c r="Q35" i="103" s="1"/>
  <c r="N35" i="58"/>
  <c r="N35" i="108" s="1"/>
  <c r="N78" i="108" s="1"/>
  <c r="N35" i="57"/>
  <c r="N16" i="103"/>
  <c r="Q16" i="103" s="1"/>
  <c r="N16" i="58"/>
  <c r="Q16" i="58" s="1"/>
  <c r="N16" i="57"/>
  <c r="Q16" i="57" s="1"/>
  <c r="N36" i="108"/>
  <c r="N79" i="108" s="1"/>
  <c r="N36" i="103"/>
  <c r="Q36" i="103" s="1"/>
  <c r="N36" i="57"/>
  <c r="Q36" i="57" s="1"/>
  <c r="N36" i="58"/>
  <c r="Q36" i="58" s="1"/>
  <c r="Y45" i="102"/>
  <c r="V22" i="108"/>
  <c r="V65" i="108" s="1"/>
  <c r="P28" i="108"/>
  <c r="P71" i="108" s="1"/>
  <c r="F7" i="109"/>
  <c r="F13" i="109" s="1"/>
  <c r="F11" i="109"/>
  <c r="Q39" i="58"/>
  <c r="F15" i="110"/>
  <c r="B15" i="110"/>
  <c r="C15" i="110"/>
  <c r="E15" i="110"/>
  <c r="I15" i="110"/>
  <c r="AB24" i="102"/>
  <c r="V8" i="108"/>
  <c r="V51" i="108" s="1"/>
  <c r="Y43" i="102"/>
  <c r="Y20" i="102"/>
  <c r="R11" i="108"/>
  <c r="R54" i="108" s="1"/>
  <c r="P25" i="108"/>
  <c r="P68" i="108" s="1"/>
  <c r="Y48" i="102"/>
  <c r="Y17" i="102"/>
  <c r="V13" i="108"/>
  <c r="V56" i="108" s="1"/>
  <c r="M20" i="54"/>
  <c r="M18" i="54"/>
  <c r="R40" i="108"/>
  <c r="R83" i="108" s="1"/>
  <c r="W53" i="102"/>
  <c r="V26" i="108"/>
  <c r="V69" i="108" s="1"/>
  <c r="Y21" i="102"/>
  <c r="P35" i="108"/>
  <c r="P78" i="108" s="1"/>
  <c r="V20" i="102"/>
  <c r="AB20" i="102" s="1"/>
  <c r="V17" i="102"/>
  <c r="AH53" i="102"/>
  <c r="P30" i="108"/>
  <c r="P73" i="108" s="1"/>
  <c r="V25" i="108"/>
  <c r="V68" i="108" s="1"/>
  <c r="V38" i="108"/>
  <c r="V81" i="108" s="1"/>
  <c r="N7" i="103"/>
  <c r="Q7" i="103" s="1"/>
  <c r="N7" i="58"/>
  <c r="N7" i="108" s="1"/>
  <c r="N50" i="108" s="1"/>
  <c r="Q7" i="56"/>
  <c r="AB7" i="56" s="1"/>
  <c r="N7" i="57"/>
  <c r="Q7" i="57" s="1"/>
  <c r="N13" i="103"/>
  <c r="Q13" i="103" s="1"/>
  <c r="N13" i="58"/>
  <c r="N13" i="57"/>
  <c r="Q13" i="57" s="1"/>
  <c r="N10" i="103"/>
  <c r="Q10" i="103" s="1"/>
  <c r="N10" i="57"/>
  <c r="Q10" i="57" s="1"/>
  <c r="N10" i="58"/>
  <c r="Q10" i="58" s="1"/>
  <c r="AB16" i="56"/>
  <c r="AB13" i="54"/>
  <c r="Q38" i="57"/>
  <c r="Y49" i="102"/>
  <c r="AB49" i="102" s="1"/>
  <c r="R20" i="108"/>
  <c r="R63" i="108" s="1"/>
  <c r="V5" i="102"/>
  <c r="M49" i="54"/>
  <c r="M44" i="54"/>
  <c r="Y9" i="102"/>
  <c r="O15" i="109"/>
  <c r="P15" i="109"/>
  <c r="V32" i="108"/>
  <c r="V75" i="108" s="1"/>
  <c r="P13" i="109"/>
  <c r="O13" i="109"/>
  <c r="W5" i="103"/>
  <c r="T44" i="103"/>
  <c r="O53" i="102"/>
  <c r="R31" i="108"/>
  <c r="R74" i="108" s="1"/>
  <c r="Y26" i="102"/>
  <c r="R37" i="108"/>
  <c r="R80" i="108" s="1"/>
  <c r="V27" i="108"/>
  <c r="V70" i="108" s="1"/>
  <c r="G9" i="109"/>
  <c r="G15" i="109" s="1"/>
  <c r="V23" i="102"/>
  <c r="R17" i="108"/>
  <c r="R60" i="108" s="1"/>
  <c r="N23" i="103"/>
  <c r="Q23" i="103" s="1"/>
  <c r="N23" i="57"/>
  <c r="Q23" i="57" s="1"/>
  <c r="N23" i="58"/>
  <c r="Q23" i="58" s="1"/>
  <c r="N40" i="108"/>
  <c r="N83" i="108" s="1"/>
  <c r="N40" i="103"/>
  <c r="Q40" i="103" s="1"/>
  <c r="N40" i="58"/>
  <c r="Q40" i="58" s="1"/>
  <c r="N40" i="57"/>
  <c r="Q40" i="57" s="1"/>
  <c r="N25" i="103"/>
  <c r="Q25" i="103" s="1"/>
  <c r="Q25" i="56"/>
  <c r="N25" i="57"/>
  <c r="Q25" i="57" s="1"/>
  <c r="N25" i="58"/>
  <c r="V48" i="102"/>
  <c r="R21" i="108"/>
  <c r="R64" i="108" s="1"/>
  <c r="G9" i="110"/>
  <c r="G14" i="110" s="1"/>
  <c r="G11" i="110"/>
  <c r="G7" i="110"/>
  <c r="G13" i="110" s="1"/>
  <c r="AB41" i="56"/>
  <c r="Q38" i="58"/>
  <c r="R26" i="108"/>
  <c r="R69" i="108" s="1"/>
  <c r="V34" i="108"/>
  <c r="V77" i="108" s="1"/>
  <c r="Y33" i="102"/>
  <c r="V50" i="102"/>
  <c r="AB50" i="102" s="1"/>
  <c r="R12" i="108"/>
  <c r="R55" i="108" s="1"/>
  <c r="P39" i="108"/>
  <c r="P82" i="108" s="1"/>
  <c r="Y37" i="102"/>
  <c r="Y25" i="102"/>
  <c r="R25" i="108"/>
  <c r="R68" i="108" s="1"/>
  <c r="V24" i="108"/>
  <c r="V67" i="108" s="1"/>
  <c r="AB23" i="102"/>
  <c r="M28" i="54"/>
  <c r="M30" i="54"/>
  <c r="V41" i="108"/>
  <c r="V84" i="108" s="1"/>
  <c r="V9" i="108"/>
  <c r="V52" i="108" s="1"/>
  <c r="V18" i="102"/>
  <c r="AB18" i="102" s="1"/>
  <c r="V15" i="102"/>
  <c r="AB15" i="102" s="1"/>
  <c r="W34" i="103"/>
  <c r="R28" i="108"/>
  <c r="R71" i="108" s="1"/>
  <c r="V23" i="108"/>
  <c r="V66" i="108" s="1"/>
  <c r="V35" i="108"/>
  <c r="V78" i="108" s="1"/>
  <c r="N21" i="103"/>
  <c r="Q21" i="103" s="1"/>
  <c r="N21" i="57"/>
  <c r="Q21" i="57" s="1"/>
  <c r="N21" i="58"/>
  <c r="Q21" i="58" s="1"/>
  <c r="N19" i="103"/>
  <c r="Q19" i="103" s="1"/>
  <c r="N19" i="58"/>
  <c r="Q19" i="58" s="1"/>
  <c r="N19" i="57"/>
  <c r="Q19" i="57" s="1"/>
  <c r="N15" i="103"/>
  <c r="Q15" i="103" s="1"/>
  <c r="N15" i="57"/>
  <c r="Q15" i="57" s="1"/>
  <c r="N15" i="58"/>
  <c r="Q15" i="58" s="1"/>
  <c r="U7" i="109"/>
  <c r="U13" i="109" s="1"/>
  <c r="L11" i="109"/>
  <c r="L7" i="109"/>
  <c r="L13" i="109" s="1"/>
  <c r="AB20" i="56"/>
  <c r="AB7" i="102"/>
  <c r="B13" i="110"/>
  <c r="Y15" i="102"/>
  <c r="R41" i="108"/>
  <c r="R84" i="108" s="1"/>
  <c r="V27" i="102"/>
  <c r="AB27" i="102" s="1"/>
  <c r="M12" i="54"/>
  <c r="M11" i="54"/>
  <c r="M53" i="54" s="1"/>
  <c r="Y12" i="102"/>
  <c r="AB12" i="102" s="1"/>
  <c r="V31" i="108"/>
  <c r="V74" i="108" s="1"/>
  <c r="Y47" i="102"/>
  <c r="Y42" i="102"/>
  <c r="R34" i="108"/>
  <c r="R77" i="108" s="1"/>
  <c r="V13" i="102"/>
  <c r="AB13" i="102" s="1"/>
  <c r="V10" i="102"/>
  <c r="AB10" i="102" s="1"/>
  <c r="P41" i="108"/>
  <c r="P84" i="108" s="1"/>
  <c r="V29" i="102"/>
  <c r="R16" i="108"/>
  <c r="R59" i="108" s="1"/>
  <c r="N9" i="103"/>
  <c r="Q9" i="103" s="1"/>
  <c r="N9" i="57"/>
  <c r="Q9" i="57" s="1"/>
  <c r="N9" i="58"/>
  <c r="Q9" i="58" s="1"/>
  <c r="Q9" i="56"/>
  <c r="AB9" i="56" s="1"/>
  <c r="N32" i="103"/>
  <c r="Q32" i="103" s="1"/>
  <c r="N32" i="58"/>
  <c r="Q32" i="58" s="1"/>
  <c r="N32" i="57"/>
  <c r="Q32" i="57" s="1"/>
  <c r="N6" i="103"/>
  <c r="Q6" i="103" s="1"/>
  <c r="N6" i="57"/>
  <c r="Q6" i="57" s="1"/>
  <c r="N6" i="58"/>
  <c r="Q6" i="58" s="1"/>
  <c r="V51" i="102"/>
  <c r="AB51" i="102" s="1"/>
  <c r="R35" i="108"/>
  <c r="R78" i="108" s="1"/>
  <c r="U11" i="109"/>
  <c r="Q7" i="58"/>
  <c r="Q12" i="58"/>
  <c r="R36" i="108"/>
  <c r="R79" i="108" s="1"/>
  <c r="P20" i="108"/>
  <c r="P63" i="108" s="1"/>
  <c r="AB44" i="102"/>
  <c r="V46" i="102"/>
  <c r="R38" i="108"/>
  <c r="R81" i="108" s="1"/>
  <c r="P11" i="108"/>
  <c r="P54" i="108" s="1"/>
  <c r="F7" i="110" s="1"/>
  <c r="F13" i="110" s="1"/>
  <c r="V32" i="102"/>
  <c r="AB32" i="102" s="1"/>
  <c r="Y19" i="102"/>
  <c r="R18" i="108"/>
  <c r="R61" i="108" s="1"/>
  <c r="M23" i="54"/>
  <c r="M33" i="54"/>
  <c r="V36" i="108"/>
  <c r="V79" i="108" s="1"/>
  <c r="V11" i="102"/>
  <c r="R24" i="108"/>
  <c r="R67" i="108" s="1"/>
  <c r="V14" i="108"/>
  <c r="V57" i="108" s="1"/>
  <c r="P18" i="108"/>
  <c r="P61" i="108" s="1"/>
  <c r="V6" i="102"/>
  <c r="T7" i="109"/>
  <c r="T13" i="109" s="1"/>
  <c r="Q53" i="102"/>
  <c r="R42" i="108"/>
  <c r="R85" i="108" s="1"/>
  <c r="V40" i="108"/>
  <c r="V83" i="108" s="1"/>
  <c r="Q41" i="56"/>
  <c r="N18" i="103"/>
  <c r="Q18" i="103" s="1"/>
  <c r="N18" i="58"/>
  <c r="N18" i="57"/>
  <c r="Q18" i="57" s="1"/>
  <c r="N26" i="103"/>
  <c r="Q26" i="103" s="1"/>
  <c r="N26" i="57"/>
  <c r="Q26" i="57" s="1"/>
  <c r="N26" i="58"/>
  <c r="Q26" i="58" s="1"/>
  <c r="N8" i="103"/>
  <c r="Q8" i="103" s="1"/>
  <c r="N8" i="57"/>
  <c r="N8" i="58"/>
  <c r="Q8" i="58" s="1"/>
  <c r="P16" i="108"/>
  <c r="P59" i="108" s="1"/>
  <c r="AB15" i="56"/>
  <c r="Q31" i="58"/>
  <c r="AB37" i="102"/>
  <c r="U53" i="102"/>
  <c r="Y8" i="102"/>
  <c r="R10" i="108"/>
  <c r="R53" i="108" s="1"/>
  <c r="V35" i="102"/>
  <c r="AB35" i="102" s="1"/>
  <c r="M51" i="102"/>
  <c r="M51" i="54"/>
  <c r="M13" i="54"/>
  <c r="Y5" i="102"/>
  <c r="R22" i="108"/>
  <c r="R65" i="108" s="1"/>
  <c r="V7" i="108"/>
  <c r="V50" i="108" s="1"/>
  <c r="L11" i="110" s="1"/>
  <c r="Y6" i="102"/>
  <c r="W23" i="103"/>
  <c r="P14" i="109"/>
  <c r="T14" i="109"/>
  <c r="O14" i="109"/>
  <c r="Y31" i="102"/>
  <c r="T11" i="109"/>
  <c r="P42" i="108"/>
  <c r="P85" i="108" s="1"/>
  <c r="P21" i="108"/>
  <c r="P64" i="108" s="1"/>
  <c r="V9" i="102"/>
  <c r="Y29" i="102"/>
  <c r="V21" i="102"/>
  <c r="AB21" i="102" s="1"/>
  <c r="R7" i="108"/>
  <c r="R50" i="108" s="1"/>
  <c r="N17" i="108"/>
  <c r="N60" i="108" s="1"/>
  <c r="N17" i="103"/>
  <c r="Q17" i="103" s="1"/>
  <c r="N17" i="57"/>
  <c r="Q17" i="57" s="1"/>
  <c r="N17" i="58"/>
  <c r="Q17" i="58" s="1"/>
  <c r="N28" i="108"/>
  <c r="N71" i="108" s="1"/>
  <c r="N28" i="103"/>
  <c r="Q28" i="103" s="1"/>
  <c r="N28" i="57"/>
  <c r="Q28" i="57" s="1"/>
  <c r="N28" i="58"/>
  <c r="Q28" i="58" s="1"/>
  <c r="N24" i="103"/>
  <c r="Q24" i="103" s="1"/>
  <c r="N24" i="58"/>
  <c r="Q24" i="58" s="1"/>
  <c r="N24" i="57"/>
  <c r="Q24" i="57" s="1"/>
  <c r="N34" i="108"/>
  <c r="N77" i="108" s="1"/>
  <c r="N34" i="103"/>
  <c r="Q34" i="103" s="1"/>
  <c r="N34" i="57"/>
  <c r="Q34" i="57" s="1"/>
  <c r="N34" i="58"/>
  <c r="Q34" i="58" s="1"/>
  <c r="V19" i="102"/>
  <c r="AB19" i="102" s="1"/>
  <c r="R9" i="108"/>
  <c r="R52" i="108" s="1"/>
  <c r="Q16" i="56"/>
  <c r="E7" i="109"/>
  <c r="E13" i="109" s="1"/>
  <c r="Q11" i="58"/>
  <c r="Q35" i="58"/>
  <c r="AB25" i="56"/>
  <c r="AB29" i="56"/>
  <c r="R19" i="102"/>
  <c r="R18" i="102"/>
  <c r="R12" i="102"/>
  <c r="R33" i="102"/>
  <c r="R45" i="102"/>
  <c r="R35" i="102"/>
  <c r="R10" i="102"/>
  <c r="R40" i="102"/>
  <c r="R9" i="102"/>
  <c r="R27" i="102"/>
  <c r="R20" i="102"/>
  <c r="R42" i="102"/>
  <c r="R49" i="102"/>
  <c r="R31" i="102"/>
  <c r="R7" i="102"/>
  <c r="R48" i="102"/>
  <c r="R14" i="102"/>
  <c r="R44" i="102"/>
  <c r="R21" i="102"/>
  <c r="R17" i="102"/>
  <c r="R22" i="102"/>
  <c r="R41" i="102"/>
  <c r="R11" i="102"/>
  <c r="R37" i="102"/>
  <c r="R32" i="102"/>
  <c r="R30" i="102"/>
  <c r="R29" i="102"/>
  <c r="R50" i="102"/>
  <c r="R43" i="102"/>
  <c r="R5" i="102"/>
  <c r="R26" i="102"/>
  <c r="R6" i="102"/>
  <c r="R25" i="102"/>
  <c r="R36" i="102"/>
  <c r="R47" i="102"/>
  <c r="R15" i="102"/>
  <c r="R24" i="102"/>
  <c r="R51" i="102"/>
  <c r="R8" i="102"/>
  <c r="R28" i="102"/>
  <c r="R16" i="102"/>
  <c r="R39" i="102"/>
  <c r="R23" i="102"/>
  <c r="R34" i="102"/>
  <c r="R46" i="102"/>
  <c r="R38" i="102"/>
  <c r="R13" i="102"/>
  <c r="Q31" i="57"/>
  <c r="AB46" i="102"/>
  <c r="R13" i="108"/>
  <c r="R56" i="108" s="1"/>
  <c r="P53" i="102"/>
  <c r="Y40" i="102"/>
  <c r="AB40" i="102" s="1"/>
  <c r="V39" i="102"/>
  <c r="AB39" i="102" s="1"/>
  <c r="V28" i="108"/>
  <c r="V71" i="108" s="1"/>
  <c r="AB42" i="102"/>
  <c r="V30" i="102"/>
  <c r="AB30" i="102" s="1"/>
  <c r="AA5" i="103"/>
  <c r="AA44" i="103" s="1"/>
  <c r="Z44" i="103"/>
  <c r="P33" i="108"/>
  <c r="P76" i="108" s="1"/>
  <c r="AA35" i="107"/>
  <c r="AA87" i="107" s="1"/>
  <c r="Q7" i="109" s="1"/>
  <c r="Q13" i="109" s="1"/>
  <c r="Y18" i="102"/>
  <c r="R33" i="108"/>
  <c r="R76" i="108" s="1"/>
  <c r="M26" i="54"/>
  <c r="M35" i="54"/>
  <c r="M39" i="54"/>
  <c r="V19" i="108"/>
  <c r="V62" i="108" s="1"/>
  <c r="V47" i="102"/>
  <c r="AB47" i="102" s="1"/>
  <c r="R23" i="108"/>
  <c r="R66" i="108" s="1"/>
  <c r="V12" i="108"/>
  <c r="V55" i="108" s="1"/>
  <c r="E9" i="109"/>
  <c r="E15" i="109" s="1"/>
  <c r="Q37" i="103"/>
  <c r="V16" i="102"/>
  <c r="AB16" i="102" s="1"/>
  <c r="V45" i="102"/>
  <c r="AB45" i="102" s="1"/>
  <c r="R30" i="108"/>
  <c r="R73" i="108" s="1"/>
  <c r="P13" i="108"/>
  <c r="P56" i="108" s="1"/>
  <c r="N14" i="103"/>
  <c r="Q14" i="103" s="1"/>
  <c r="N14" i="58"/>
  <c r="Q14" i="58" s="1"/>
  <c r="N14" i="57"/>
  <c r="Q14" i="57" s="1"/>
  <c r="N33" i="103"/>
  <c r="Q33" i="103" s="1"/>
  <c r="N33" i="58"/>
  <c r="Q33" i="58" s="1"/>
  <c r="N33" i="57"/>
  <c r="Q33" i="57" s="1"/>
  <c r="N22" i="103"/>
  <c r="Q22" i="103" s="1"/>
  <c r="N22" i="57"/>
  <c r="N22" i="108" s="1"/>
  <c r="N65" i="108" s="1"/>
  <c r="N22" i="58"/>
  <c r="Q22" i="58" s="1"/>
  <c r="N20" i="108"/>
  <c r="N63" i="108" s="1"/>
  <c r="N20" i="103"/>
  <c r="Q20" i="103" s="1"/>
  <c r="N20" i="57"/>
  <c r="Q20" i="57" s="1"/>
  <c r="N20" i="58"/>
  <c r="Q20" i="58" s="1"/>
  <c r="X27" i="58"/>
  <c r="Y27" i="58" s="1"/>
  <c r="X17" i="58"/>
  <c r="X16" i="58"/>
  <c r="X23" i="58"/>
  <c r="AB10" i="53"/>
  <c r="AD7" i="53"/>
  <c r="AD9" i="53"/>
  <c r="AB39" i="56"/>
  <c r="AD30" i="53"/>
  <c r="AD29" i="53"/>
  <c r="AB42" i="54"/>
  <c r="AB9" i="54"/>
  <c r="AD10" i="53"/>
  <c r="AB32" i="56"/>
  <c r="AH53" i="53"/>
  <c r="Y24" i="53"/>
  <c r="X24" i="107" s="1"/>
  <c r="X76" i="107" s="1"/>
  <c r="Y34" i="53"/>
  <c r="X34" i="107" s="1"/>
  <c r="X86" i="107" s="1"/>
  <c r="Y45" i="53"/>
  <c r="X45" i="107" s="1"/>
  <c r="X97" i="107" s="1"/>
  <c r="Y31" i="53"/>
  <c r="X31" i="107" s="1"/>
  <c r="X83" i="107" s="1"/>
  <c r="Y30" i="53"/>
  <c r="X30" i="107" s="1"/>
  <c r="X82" i="107" s="1"/>
  <c r="Y10" i="53"/>
  <c r="X10" i="107" s="1"/>
  <c r="X62" i="107" s="1"/>
  <c r="Y42" i="53"/>
  <c r="X42" i="107" s="1"/>
  <c r="X94" i="107" s="1"/>
  <c r="Y14" i="53"/>
  <c r="X14" i="107" s="1"/>
  <c r="X66" i="107" s="1"/>
  <c r="Y15" i="53"/>
  <c r="X15" i="107" s="1"/>
  <c r="X67" i="107" s="1"/>
  <c r="Y5" i="53"/>
  <c r="X5" i="107" s="1"/>
  <c r="X57" i="107" s="1"/>
  <c r="Y25" i="53"/>
  <c r="X25" i="107" s="1"/>
  <c r="X77" i="107" s="1"/>
  <c r="Y13" i="53"/>
  <c r="X13" i="107" s="1"/>
  <c r="X65" i="107" s="1"/>
  <c r="Y19" i="53"/>
  <c r="X19" i="107" s="1"/>
  <c r="X71" i="107" s="1"/>
  <c r="Y32" i="53"/>
  <c r="X32" i="107" s="1"/>
  <c r="X84" i="107" s="1"/>
  <c r="Y16" i="53"/>
  <c r="X16" i="107" s="1"/>
  <c r="X68" i="107" s="1"/>
  <c r="Y28" i="53"/>
  <c r="X28" i="107" s="1"/>
  <c r="X80" i="107" s="1"/>
  <c r="Y37" i="53"/>
  <c r="X37" i="107" s="1"/>
  <c r="X89" i="107" s="1"/>
  <c r="Y23" i="53"/>
  <c r="X23" i="107" s="1"/>
  <c r="X75" i="107" s="1"/>
  <c r="Y47" i="53"/>
  <c r="X47" i="107" s="1"/>
  <c r="X99" i="107" s="1"/>
  <c r="Y48" i="53"/>
  <c r="X48" i="107" s="1"/>
  <c r="X100" i="107" s="1"/>
  <c r="Y7" i="53"/>
  <c r="X7" i="107" s="1"/>
  <c r="X59" i="107" s="1"/>
  <c r="Y12" i="53"/>
  <c r="X12" i="107" s="1"/>
  <c r="X64" i="107" s="1"/>
  <c r="Y50" i="53"/>
  <c r="X50" i="107" s="1"/>
  <c r="X102" i="107" s="1"/>
  <c r="Y39" i="53"/>
  <c r="X39" i="107" s="1"/>
  <c r="X91" i="107" s="1"/>
  <c r="Y21" i="53"/>
  <c r="X21" i="107" s="1"/>
  <c r="X73" i="107" s="1"/>
  <c r="Y6" i="53"/>
  <c r="X6" i="107" s="1"/>
  <c r="X58" i="107" s="1"/>
  <c r="Y29" i="53"/>
  <c r="X29" i="107" s="1"/>
  <c r="X81" i="107" s="1"/>
  <c r="Y26" i="53"/>
  <c r="X26" i="107" s="1"/>
  <c r="X78" i="107" s="1"/>
  <c r="Y11" i="53"/>
  <c r="X11" i="107" s="1"/>
  <c r="X63" i="107" s="1"/>
  <c r="Y49" i="53"/>
  <c r="X49" i="107" s="1"/>
  <c r="X101" i="107" s="1"/>
  <c r="Y9" i="53"/>
  <c r="X9" i="107" s="1"/>
  <c r="X61" i="107" s="1"/>
  <c r="Y20" i="53"/>
  <c r="X20" i="107" s="1"/>
  <c r="X72" i="107" s="1"/>
  <c r="Y22" i="53"/>
  <c r="X22" i="107" s="1"/>
  <c r="X74" i="107" s="1"/>
  <c r="Y40" i="53"/>
  <c r="X40" i="107" s="1"/>
  <c r="X92" i="107" s="1"/>
  <c r="Y51" i="53"/>
  <c r="X51" i="107" s="1"/>
  <c r="X103" i="107" s="1"/>
  <c r="Y18" i="53"/>
  <c r="X18" i="107" s="1"/>
  <c r="X70" i="107" s="1"/>
  <c r="Y27" i="53"/>
  <c r="X27" i="107" s="1"/>
  <c r="X79" i="107" s="1"/>
  <c r="Y41" i="53"/>
  <c r="X41" i="107" s="1"/>
  <c r="X93" i="107" s="1"/>
  <c r="Y33" i="53"/>
  <c r="X33" i="107" s="1"/>
  <c r="X85" i="107" s="1"/>
  <c r="Y38" i="53"/>
  <c r="X38" i="107" s="1"/>
  <c r="X90" i="107" s="1"/>
  <c r="Y35" i="53"/>
  <c r="X35" i="107" s="1"/>
  <c r="X87" i="107" s="1"/>
  <c r="Y46" i="53"/>
  <c r="X46" i="107" s="1"/>
  <c r="X98" i="107" s="1"/>
  <c r="Y44" i="53"/>
  <c r="X44" i="107" s="1"/>
  <c r="X96" i="107" s="1"/>
  <c r="Y8" i="53"/>
  <c r="X8" i="107" s="1"/>
  <c r="X60" i="107" s="1"/>
  <c r="Y43" i="53"/>
  <c r="X43" i="107" s="1"/>
  <c r="X95" i="107" s="1"/>
  <c r="Y17" i="53"/>
  <c r="X17" i="107" s="1"/>
  <c r="X69" i="107" s="1"/>
  <c r="Y36" i="53"/>
  <c r="X36" i="107" s="1"/>
  <c r="X88" i="107" s="1"/>
  <c r="AB22" i="54"/>
  <c r="AB51" i="54"/>
  <c r="AD41" i="53"/>
  <c r="Q53" i="53"/>
  <c r="AD25" i="53"/>
  <c r="AA5" i="58"/>
  <c r="AA44" i="58" s="1"/>
  <c r="Z44" i="58"/>
  <c r="U53" i="53"/>
  <c r="AB40" i="56"/>
  <c r="AD33" i="53"/>
  <c r="M48" i="53"/>
  <c r="M48" i="107" s="1"/>
  <c r="M100" i="107" s="1"/>
  <c r="M13" i="53"/>
  <c r="M13" i="107" s="1"/>
  <c r="M65" i="107" s="1"/>
  <c r="V23" i="53"/>
  <c r="U23" i="107" s="1"/>
  <c r="U75" i="107" s="1"/>
  <c r="V26" i="53"/>
  <c r="U26" i="107" s="1"/>
  <c r="U78" i="107" s="1"/>
  <c r="V12" i="53"/>
  <c r="U12" i="107" s="1"/>
  <c r="U64" i="107" s="1"/>
  <c r="AB10" i="56"/>
  <c r="AD6" i="53"/>
  <c r="AD16" i="53"/>
  <c r="AB33" i="56"/>
  <c r="Q13" i="58"/>
  <c r="X37" i="58"/>
  <c r="AD24" i="53"/>
  <c r="AB36" i="56"/>
  <c r="AD28" i="53"/>
  <c r="AD15" i="53"/>
  <c r="O53" i="53"/>
  <c r="AD43" i="53"/>
  <c r="AB35" i="56"/>
  <c r="AB29" i="54"/>
  <c r="AD13" i="53"/>
  <c r="AB6" i="56"/>
  <c r="W5" i="57"/>
  <c r="T44" i="57"/>
  <c r="L53" i="53"/>
  <c r="AD11" i="53"/>
  <c r="P53" i="53"/>
  <c r="AB40" i="54"/>
  <c r="AB6" i="54"/>
  <c r="AB34" i="54"/>
  <c r="AB11" i="54"/>
  <c r="AB35" i="54"/>
  <c r="AD50" i="53"/>
  <c r="V32" i="53"/>
  <c r="U32" i="107" s="1"/>
  <c r="U84" i="107" s="1"/>
  <c r="AB53" i="52"/>
  <c r="V31" i="53"/>
  <c r="U31" i="107" s="1"/>
  <c r="U83" i="107" s="1"/>
  <c r="V35" i="53"/>
  <c r="U35" i="107" s="1"/>
  <c r="U87" i="107" s="1"/>
  <c r="AD19" i="53"/>
  <c r="AD49" i="53"/>
  <c r="R37" i="53"/>
  <c r="R37" i="107" s="1"/>
  <c r="R89" i="107" s="1"/>
  <c r="R9" i="53"/>
  <c r="R9" i="107" s="1"/>
  <c r="R61" i="107" s="1"/>
  <c r="R41" i="53"/>
  <c r="R41" i="107" s="1"/>
  <c r="R93" i="107" s="1"/>
  <c r="R18" i="53"/>
  <c r="R18" i="107" s="1"/>
  <c r="R70" i="107" s="1"/>
  <c r="R19" i="53"/>
  <c r="R19" i="107" s="1"/>
  <c r="R71" i="107" s="1"/>
  <c r="R11" i="53"/>
  <c r="R11" i="107" s="1"/>
  <c r="R63" i="107" s="1"/>
  <c r="R36" i="53"/>
  <c r="R36" i="107" s="1"/>
  <c r="R88" i="107" s="1"/>
  <c r="R25" i="53"/>
  <c r="R25" i="107" s="1"/>
  <c r="R77" i="107" s="1"/>
  <c r="R40" i="53"/>
  <c r="R40" i="107" s="1"/>
  <c r="R92" i="107" s="1"/>
  <c r="R6" i="53"/>
  <c r="R6" i="107" s="1"/>
  <c r="R58" i="107" s="1"/>
  <c r="R50" i="53"/>
  <c r="R50" i="107" s="1"/>
  <c r="R102" i="107" s="1"/>
  <c r="R12" i="53"/>
  <c r="R12" i="107" s="1"/>
  <c r="R64" i="107" s="1"/>
  <c r="R38" i="53"/>
  <c r="R38" i="107" s="1"/>
  <c r="R90" i="107" s="1"/>
  <c r="R22" i="53"/>
  <c r="R33" i="53"/>
  <c r="R33" i="107" s="1"/>
  <c r="R85" i="107" s="1"/>
  <c r="R42" i="53"/>
  <c r="R42" i="107" s="1"/>
  <c r="R94" i="107" s="1"/>
  <c r="R48" i="53"/>
  <c r="R48" i="107" s="1"/>
  <c r="R100" i="107" s="1"/>
  <c r="R17" i="53"/>
  <c r="R17" i="107" s="1"/>
  <c r="R69" i="107" s="1"/>
  <c r="R31" i="53"/>
  <c r="R31" i="107" s="1"/>
  <c r="R83" i="107" s="1"/>
  <c r="R20" i="53"/>
  <c r="R20" i="107" s="1"/>
  <c r="R72" i="107" s="1"/>
  <c r="R35" i="53"/>
  <c r="R35" i="107" s="1"/>
  <c r="R87" i="107" s="1"/>
  <c r="R7" i="53"/>
  <c r="R7" i="107" s="1"/>
  <c r="R59" i="107" s="1"/>
  <c r="R51" i="53"/>
  <c r="R51" i="107" s="1"/>
  <c r="R103" i="107" s="1"/>
  <c r="R28" i="53"/>
  <c r="R32" i="53"/>
  <c r="R32" i="107" s="1"/>
  <c r="R84" i="107" s="1"/>
  <c r="R23" i="53"/>
  <c r="R30" i="53"/>
  <c r="R30" i="107" s="1"/>
  <c r="R82" i="107" s="1"/>
  <c r="R49" i="53"/>
  <c r="R49" i="107" s="1"/>
  <c r="R101" i="107" s="1"/>
  <c r="R34" i="53"/>
  <c r="R34" i="107" s="1"/>
  <c r="R86" i="107" s="1"/>
  <c r="R27" i="53"/>
  <c r="R45" i="53"/>
  <c r="R45" i="107" s="1"/>
  <c r="R97" i="107" s="1"/>
  <c r="R44" i="53"/>
  <c r="R44" i="107" s="1"/>
  <c r="R96" i="107" s="1"/>
  <c r="R47" i="53"/>
  <c r="R47" i="107" s="1"/>
  <c r="R99" i="107" s="1"/>
  <c r="R16" i="53"/>
  <c r="R16" i="107" s="1"/>
  <c r="R68" i="107" s="1"/>
  <c r="R21" i="53"/>
  <c r="R39" i="53"/>
  <c r="R39" i="107" s="1"/>
  <c r="R91" i="107" s="1"/>
  <c r="R29" i="53"/>
  <c r="R14" i="53"/>
  <c r="R14" i="107" s="1"/>
  <c r="R66" i="107" s="1"/>
  <c r="R10" i="53"/>
  <c r="R10" i="107" s="1"/>
  <c r="R62" i="107" s="1"/>
  <c r="R8" i="53"/>
  <c r="R8" i="107" s="1"/>
  <c r="R60" i="107" s="1"/>
  <c r="R46" i="53"/>
  <c r="R46" i="107" s="1"/>
  <c r="R98" i="107" s="1"/>
  <c r="R26" i="53"/>
  <c r="R13" i="53"/>
  <c r="R13" i="107" s="1"/>
  <c r="R65" i="107" s="1"/>
  <c r="R5" i="53"/>
  <c r="R5" i="107" s="1"/>
  <c r="R57" i="107" s="1"/>
  <c r="R43" i="53"/>
  <c r="R43" i="107" s="1"/>
  <c r="R95" i="107" s="1"/>
  <c r="R24" i="53"/>
  <c r="R15" i="53"/>
  <c r="R15" i="107" s="1"/>
  <c r="R67" i="107" s="1"/>
  <c r="M25" i="53"/>
  <c r="M25" i="107" s="1"/>
  <c r="M77" i="107" s="1"/>
  <c r="AD39" i="53"/>
  <c r="P44" i="57"/>
  <c r="AD31" i="53"/>
  <c r="AD44" i="53"/>
  <c r="AB42" i="56"/>
  <c r="AD42" i="53"/>
  <c r="AI53" i="53"/>
  <c r="AB49" i="54"/>
  <c r="AB50" i="54"/>
  <c r="AB24" i="54"/>
  <c r="AD36" i="53"/>
  <c r="AD20" i="53"/>
  <c r="W53" i="53"/>
  <c r="AB28" i="56"/>
  <c r="T44" i="58"/>
  <c r="W5" i="58"/>
  <c r="AD45" i="53"/>
  <c r="AA44" i="56"/>
  <c r="AB26" i="56"/>
  <c r="AD32" i="53"/>
  <c r="AD14" i="53"/>
  <c r="V53" i="54"/>
  <c r="AB5" i="54"/>
  <c r="M7" i="53"/>
  <c r="M7" i="107" s="1"/>
  <c r="M59" i="107" s="1"/>
  <c r="S23" i="53"/>
  <c r="S48" i="53"/>
  <c r="S17" i="53"/>
  <c r="S35" i="53"/>
  <c r="S7" i="53"/>
  <c r="S33" i="53"/>
  <c r="S50" i="53"/>
  <c r="S12" i="53"/>
  <c r="S38" i="53"/>
  <c r="S49" i="53"/>
  <c r="S31" i="53"/>
  <c r="S20" i="53"/>
  <c r="S14" i="53"/>
  <c r="S34" i="53"/>
  <c r="S27" i="53"/>
  <c r="S47" i="53"/>
  <c r="S16" i="53"/>
  <c r="S30" i="53"/>
  <c r="S51" i="53"/>
  <c r="S28" i="53"/>
  <c r="S32" i="53"/>
  <c r="S8" i="53"/>
  <c r="S45" i="53"/>
  <c r="S44" i="53"/>
  <c r="S9" i="53"/>
  <c r="S46" i="53"/>
  <c r="S26" i="53"/>
  <c r="S43" i="53"/>
  <c r="S24" i="53"/>
  <c r="S10" i="53"/>
  <c r="S21" i="53"/>
  <c r="S39" i="53"/>
  <c r="S29" i="53"/>
  <c r="S19" i="53"/>
  <c r="S13" i="53"/>
  <c r="S5" i="53"/>
  <c r="S22" i="53"/>
  <c r="S11" i="53"/>
  <c r="S40" i="53"/>
  <c r="S6" i="53"/>
  <c r="S41" i="53"/>
  <c r="S18" i="53"/>
  <c r="S15" i="53"/>
  <c r="S37" i="53"/>
  <c r="S42" i="53"/>
  <c r="S36" i="53"/>
  <c r="S25" i="53"/>
  <c r="AD40" i="53"/>
  <c r="AD8" i="53"/>
  <c r="P44" i="58"/>
  <c r="Q5" i="58"/>
  <c r="Q44" i="56"/>
  <c r="AB5" i="56"/>
  <c r="AB11" i="56"/>
  <c r="AD12" i="53"/>
  <c r="AC53" i="53"/>
  <c r="AD47" i="53"/>
  <c r="AD17" i="53"/>
  <c r="AB14" i="56"/>
  <c r="AB30" i="56"/>
  <c r="AD21" i="53"/>
  <c r="AD51" i="53"/>
  <c r="AB39" i="54"/>
  <c r="Y53" i="54"/>
  <c r="AD34" i="53"/>
  <c r="X53" i="53"/>
  <c r="AB12" i="56"/>
  <c r="W44" i="56"/>
  <c r="AA5" i="57"/>
  <c r="AA44" i="57" s="1"/>
  <c r="Z44" i="57"/>
  <c r="AD23" i="53"/>
  <c r="AD46" i="53"/>
  <c r="AD38" i="53"/>
  <c r="AB47" i="54"/>
  <c r="AB46" i="54"/>
  <c r="AB45" i="54"/>
  <c r="AB20" i="54"/>
  <c r="V28" i="53"/>
  <c r="U28" i="107" s="1"/>
  <c r="U80" i="107" s="1"/>
  <c r="AD22" i="53"/>
  <c r="AB31" i="56"/>
  <c r="M34" i="53"/>
  <c r="M34" i="107" s="1"/>
  <c r="M86" i="107" s="1"/>
  <c r="AD27" i="53"/>
  <c r="AM54" i="53"/>
  <c r="Y18" i="58"/>
  <c r="Y19" i="58"/>
  <c r="Y38" i="58"/>
  <c r="AB38" i="58" s="1"/>
  <c r="Y24" i="58"/>
  <c r="AE57" i="51"/>
  <c r="AE55" i="54"/>
  <c r="AE55" i="53"/>
  <c r="AO54" i="53" s="1"/>
  <c r="AE55" i="52"/>
  <c r="AB47" i="58"/>
  <c r="AB47" i="57"/>
  <c r="AB47" i="55"/>
  <c r="AB47" i="56"/>
  <c r="X46" i="58"/>
  <c r="X46" i="55"/>
  <c r="X46" i="57"/>
  <c r="X46" i="56"/>
  <c r="X49" i="56" s="1"/>
  <c r="X19" i="103" s="1"/>
  <c r="Y19" i="103" s="1"/>
  <c r="AM56" i="53"/>
  <c r="AM56" i="54"/>
  <c r="AM56" i="52"/>
  <c r="AM58" i="51"/>
  <c r="E43" i="5"/>
  <c r="Y46" i="103" s="1"/>
  <c r="E23" i="5"/>
  <c r="AG55" i="102" s="1"/>
  <c r="J14" i="109" l="1"/>
  <c r="B15" i="109"/>
  <c r="U15" i="109"/>
  <c r="N33" i="108"/>
  <c r="N76" i="108" s="1"/>
  <c r="N15" i="108"/>
  <c r="N58" i="108" s="1"/>
  <c r="W44" i="103"/>
  <c r="T28" i="108"/>
  <c r="T71" i="108" s="1"/>
  <c r="T40" i="108"/>
  <c r="T83" i="108" s="1"/>
  <c r="W37" i="57"/>
  <c r="V44" i="57"/>
  <c r="T5" i="108"/>
  <c r="T48" i="108" s="1"/>
  <c r="AB27" i="58"/>
  <c r="L9" i="110"/>
  <c r="L15" i="110" s="1"/>
  <c r="V44" i="103"/>
  <c r="N24" i="108"/>
  <c r="N67" i="108" s="1"/>
  <c r="AB9" i="102"/>
  <c r="Q27" i="57"/>
  <c r="AB48" i="102"/>
  <c r="N23" i="108"/>
  <c r="N66" i="108" s="1"/>
  <c r="N16" i="108"/>
  <c r="N59" i="108" s="1"/>
  <c r="N37" i="108"/>
  <c r="N80" i="108" s="1"/>
  <c r="AB8" i="102"/>
  <c r="N39" i="108"/>
  <c r="N82" i="108" s="1"/>
  <c r="T24" i="108"/>
  <c r="T67" i="108" s="1"/>
  <c r="W24" i="57"/>
  <c r="W28" i="57"/>
  <c r="T17" i="108"/>
  <c r="T60" i="108" s="1"/>
  <c r="N18" i="108"/>
  <c r="N61" i="108" s="1"/>
  <c r="N32" i="108"/>
  <c r="N75" i="108" s="1"/>
  <c r="Q12" i="57"/>
  <c r="N25" i="108"/>
  <c r="N68" i="108" s="1"/>
  <c r="AB13" i="58"/>
  <c r="T41" i="108"/>
  <c r="T84" i="108" s="1"/>
  <c r="T18" i="108"/>
  <c r="T61" i="108" s="1"/>
  <c r="T31" i="108"/>
  <c r="T74" i="108" s="1"/>
  <c r="T19" i="108"/>
  <c r="T62" i="108" s="1"/>
  <c r="N14" i="108"/>
  <c r="N57" i="108" s="1"/>
  <c r="X23" i="103"/>
  <c r="Y23" i="103" s="1"/>
  <c r="N19" i="108"/>
  <c r="N62" i="108" s="1"/>
  <c r="Q30" i="57"/>
  <c r="N11" i="108"/>
  <c r="N54" i="108" s="1"/>
  <c r="W44" i="58"/>
  <c r="N42" i="108"/>
  <c r="N85" i="108" s="1"/>
  <c r="AB34" i="102"/>
  <c r="Q18" i="58"/>
  <c r="T16" i="108"/>
  <c r="T59" i="108" s="1"/>
  <c r="W29" i="57"/>
  <c r="W11" i="57"/>
  <c r="T9" i="108"/>
  <c r="T52" i="108" s="1"/>
  <c r="T8" i="108"/>
  <c r="T51" i="108" s="1"/>
  <c r="T10" i="108"/>
  <c r="T53" i="108" s="1"/>
  <c r="X25" i="58"/>
  <c r="Y25" i="58" s="1"/>
  <c r="AB25" i="58" s="1"/>
  <c r="H9" i="110"/>
  <c r="H14" i="110" s="1"/>
  <c r="T22" i="108"/>
  <c r="T65" i="108" s="1"/>
  <c r="W20" i="57"/>
  <c r="T32" i="108"/>
  <c r="T75" i="108" s="1"/>
  <c r="W18" i="57"/>
  <c r="AB29" i="102"/>
  <c r="N21" i="108"/>
  <c r="N64" i="108" s="1"/>
  <c r="X8" i="103"/>
  <c r="Y8" i="103" s="1"/>
  <c r="AB26" i="102"/>
  <c r="W7" i="57"/>
  <c r="W44" i="57" s="1"/>
  <c r="AD53" i="53"/>
  <c r="N8" i="108"/>
  <c r="N51" i="108" s="1"/>
  <c r="X41" i="58"/>
  <c r="U41" i="108" s="1"/>
  <c r="U84" i="108" s="1"/>
  <c r="AB6" i="102"/>
  <c r="AB31" i="102"/>
  <c r="T13" i="108"/>
  <c r="T56" i="108" s="1"/>
  <c r="T14" i="108"/>
  <c r="T57" i="108" s="1"/>
  <c r="W39" i="57"/>
  <c r="K9" i="109"/>
  <c r="K15" i="109" s="1"/>
  <c r="W40" i="57"/>
  <c r="T42" i="108"/>
  <c r="T85" i="108" s="1"/>
  <c r="V44" i="58"/>
  <c r="Q14" i="109"/>
  <c r="M15" i="109"/>
  <c r="E14" i="109"/>
  <c r="L14" i="109"/>
  <c r="F15" i="109"/>
  <c r="G14" i="109"/>
  <c r="G15" i="110"/>
  <c r="X9" i="103"/>
  <c r="Y9" i="103" s="1"/>
  <c r="X9" i="58"/>
  <c r="Y9" i="58" s="1"/>
  <c r="AB9" i="58" s="1"/>
  <c r="AB24" i="58"/>
  <c r="X14" i="58"/>
  <c r="Y14" i="58" s="1"/>
  <c r="AB14" i="58" s="1"/>
  <c r="X14" i="103"/>
  <c r="Y14" i="103" s="1"/>
  <c r="M16" i="53"/>
  <c r="M16" i="107" s="1"/>
  <c r="M68" i="107" s="1"/>
  <c r="M21" i="102"/>
  <c r="M25" i="102"/>
  <c r="M32" i="53"/>
  <c r="M32" i="107" s="1"/>
  <c r="M84" i="107" s="1"/>
  <c r="M9" i="102"/>
  <c r="M15" i="102"/>
  <c r="M6" i="102"/>
  <c r="M45" i="53"/>
  <c r="M45" i="107" s="1"/>
  <c r="M97" i="107" s="1"/>
  <c r="M43" i="53"/>
  <c r="M43" i="107" s="1"/>
  <c r="M95" i="107" s="1"/>
  <c r="M19" i="53"/>
  <c r="M19" i="107" s="1"/>
  <c r="M71" i="107" s="1"/>
  <c r="M37" i="102"/>
  <c r="M47" i="102"/>
  <c r="M27" i="102"/>
  <c r="M27" i="53"/>
  <c r="M27" i="107" s="1"/>
  <c r="M79" i="107" s="1"/>
  <c r="M45" i="102"/>
  <c r="M31" i="102"/>
  <c r="M46" i="53"/>
  <c r="M46" i="107" s="1"/>
  <c r="M98" i="107" s="1"/>
  <c r="M21" i="53"/>
  <c r="M21" i="107" s="1"/>
  <c r="M73" i="107" s="1"/>
  <c r="M15" i="53"/>
  <c r="M15" i="107" s="1"/>
  <c r="M67" i="107" s="1"/>
  <c r="M36" i="53"/>
  <c r="M36" i="107" s="1"/>
  <c r="M88" i="107" s="1"/>
  <c r="M47" i="53"/>
  <c r="M47" i="107" s="1"/>
  <c r="M99" i="107" s="1"/>
  <c r="M19" i="102"/>
  <c r="M5" i="53"/>
  <c r="M5" i="107" s="1"/>
  <c r="M57" i="107" s="1"/>
  <c r="M10" i="102"/>
  <c r="M5" i="102"/>
  <c r="M16" i="102"/>
  <c r="M46" i="102"/>
  <c r="M31" i="53"/>
  <c r="M31" i="107" s="1"/>
  <c r="M83" i="107" s="1"/>
  <c r="M29" i="53"/>
  <c r="M29" i="107" s="1"/>
  <c r="M81" i="107" s="1"/>
  <c r="M50" i="102"/>
  <c r="M36" i="102"/>
  <c r="M9" i="53"/>
  <c r="M9" i="107" s="1"/>
  <c r="M61" i="107" s="1"/>
  <c r="M28" i="53"/>
  <c r="M28" i="107" s="1"/>
  <c r="M80" i="107" s="1"/>
  <c r="AB21" i="58"/>
  <c r="X12" i="103"/>
  <c r="Y12" i="103" s="1"/>
  <c r="M11" i="53"/>
  <c r="M11" i="107" s="1"/>
  <c r="M63" i="107" s="1"/>
  <c r="M26" i="53"/>
  <c r="M26" i="107" s="1"/>
  <c r="M78" i="107" s="1"/>
  <c r="X40" i="103"/>
  <c r="Y40" i="103" s="1"/>
  <c r="X11" i="103"/>
  <c r="Y11" i="103" s="1"/>
  <c r="X26" i="103"/>
  <c r="Y26" i="103" s="1"/>
  <c r="H9" i="109"/>
  <c r="H11" i="109"/>
  <c r="H7" i="109"/>
  <c r="H13" i="109" s="1"/>
  <c r="M18" i="53"/>
  <c r="M18" i="107" s="1"/>
  <c r="M70" i="107" s="1"/>
  <c r="M8" i="53"/>
  <c r="M8" i="107" s="1"/>
  <c r="M60" i="107" s="1"/>
  <c r="M35" i="102"/>
  <c r="Q25" i="58"/>
  <c r="M32" i="102"/>
  <c r="M49" i="102"/>
  <c r="AB17" i="102"/>
  <c r="M34" i="102"/>
  <c r="AB11" i="102"/>
  <c r="N44" i="57"/>
  <c r="Q5" i="57"/>
  <c r="AB43" i="102"/>
  <c r="X29" i="103"/>
  <c r="Y29" i="103" s="1"/>
  <c r="M20" i="53"/>
  <c r="M20" i="107" s="1"/>
  <c r="M72" i="107" s="1"/>
  <c r="X29" i="58"/>
  <c r="Y29" i="58" s="1"/>
  <c r="AB29" i="58" s="1"/>
  <c r="Q8" i="57"/>
  <c r="X38" i="103"/>
  <c r="Y38" i="103" s="1"/>
  <c r="X24" i="103"/>
  <c r="Y24" i="103" s="1"/>
  <c r="X18" i="103"/>
  <c r="Y18" i="103" s="1"/>
  <c r="M38" i="102"/>
  <c r="N44" i="103"/>
  <c r="Q5" i="103"/>
  <c r="Q44" i="103" s="1"/>
  <c r="X37" i="103"/>
  <c r="Y37" i="103" s="1"/>
  <c r="L7" i="110"/>
  <c r="L13" i="110" s="1"/>
  <c r="X31" i="103"/>
  <c r="Y31" i="103" s="1"/>
  <c r="AB18" i="58"/>
  <c r="X17" i="103"/>
  <c r="Y17" i="103" s="1"/>
  <c r="V53" i="102"/>
  <c r="Q41" i="58"/>
  <c r="N13" i="108"/>
  <c r="N56" i="108" s="1"/>
  <c r="Q37" i="57"/>
  <c r="X7" i="58"/>
  <c r="X7" i="103"/>
  <c r="Y7" i="103" s="1"/>
  <c r="AB19" i="58"/>
  <c r="X32" i="58"/>
  <c r="Y32" i="58" s="1"/>
  <c r="AB32" i="58" s="1"/>
  <c r="X32" i="103"/>
  <c r="Y32" i="103" s="1"/>
  <c r="M18" i="102"/>
  <c r="X5" i="103"/>
  <c r="X42" i="103"/>
  <c r="Y42" i="103" s="1"/>
  <c r="X6" i="103"/>
  <c r="Y6" i="103" s="1"/>
  <c r="M17" i="53"/>
  <c r="M17" i="107" s="1"/>
  <c r="M69" i="107" s="1"/>
  <c r="R53" i="102"/>
  <c r="S58" i="102" s="1"/>
  <c r="M6" i="53"/>
  <c r="M6" i="107" s="1"/>
  <c r="M58" i="107" s="1"/>
  <c r="M51" i="53"/>
  <c r="M51" i="107" s="1"/>
  <c r="M103" i="107" s="1"/>
  <c r="M42" i="53"/>
  <c r="M42" i="107" s="1"/>
  <c r="M94" i="107" s="1"/>
  <c r="M26" i="102"/>
  <c r="Y53" i="102"/>
  <c r="AB5" i="102"/>
  <c r="M30" i="102"/>
  <c r="X21" i="103"/>
  <c r="Y21" i="103" s="1"/>
  <c r="M24" i="102"/>
  <c r="M41" i="102"/>
  <c r="M39" i="53"/>
  <c r="M39" i="107" s="1"/>
  <c r="M91" i="107" s="1"/>
  <c r="N9" i="109"/>
  <c r="N11" i="109"/>
  <c r="N7" i="109"/>
  <c r="N13" i="109" s="1"/>
  <c r="M22" i="53"/>
  <c r="M22" i="107" s="1"/>
  <c r="M74" i="107" s="1"/>
  <c r="M44" i="53"/>
  <c r="M44" i="107" s="1"/>
  <c r="M96" i="107" s="1"/>
  <c r="X33" i="103"/>
  <c r="Y33" i="103" s="1"/>
  <c r="M30" i="53"/>
  <c r="M30" i="107" s="1"/>
  <c r="M82" i="107" s="1"/>
  <c r="X39" i="103"/>
  <c r="Y39" i="103" s="1"/>
  <c r="Q44" i="58"/>
  <c r="M50" i="53"/>
  <c r="M50" i="107" s="1"/>
  <c r="M102" i="107" s="1"/>
  <c r="M35" i="53"/>
  <c r="M35" i="107" s="1"/>
  <c r="M87" i="107" s="1"/>
  <c r="M23" i="53"/>
  <c r="M23" i="107" s="1"/>
  <c r="M75" i="107" s="1"/>
  <c r="M14" i="102"/>
  <c r="M22" i="102"/>
  <c r="H7" i="110"/>
  <c r="H13" i="110" s="1"/>
  <c r="X35" i="58"/>
  <c r="Y35" i="58" s="1"/>
  <c r="AB35" i="58" s="1"/>
  <c r="X35" i="103"/>
  <c r="Y35" i="103" s="1"/>
  <c r="X10" i="103"/>
  <c r="Y10" i="103" s="1"/>
  <c r="M40" i="53"/>
  <c r="M40" i="107" s="1"/>
  <c r="M92" i="107" s="1"/>
  <c r="M14" i="53"/>
  <c r="M14" i="107" s="1"/>
  <c r="M66" i="107" s="1"/>
  <c r="M13" i="102"/>
  <c r="X16" i="103"/>
  <c r="Y16" i="103" s="1"/>
  <c r="M17" i="102"/>
  <c r="X34" i="58"/>
  <c r="X34" i="103"/>
  <c r="Y34" i="103" s="1"/>
  <c r="AB25" i="102"/>
  <c r="X22" i="103"/>
  <c r="Y22" i="103" s="1"/>
  <c r="X22" i="58"/>
  <c r="H11" i="110"/>
  <c r="X28" i="58"/>
  <c r="Y28" i="58" s="1"/>
  <c r="AB28" i="58" s="1"/>
  <c r="X28" i="103"/>
  <c r="Y28" i="103" s="1"/>
  <c r="X30" i="103"/>
  <c r="Y30" i="103" s="1"/>
  <c r="M37" i="53"/>
  <c r="M37" i="107" s="1"/>
  <c r="M89" i="107" s="1"/>
  <c r="M10" i="53"/>
  <c r="M10" i="107" s="1"/>
  <c r="M62" i="107" s="1"/>
  <c r="M24" i="53"/>
  <c r="M24" i="107" s="1"/>
  <c r="M76" i="107" s="1"/>
  <c r="M33" i="53"/>
  <c r="M33" i="107" s="1"/>
  <c r="M85" i="107" s="1"/>
  <c r="M33" i="102"/>
  <c r="M28" i="102"/>
  <c r="M40" i="102"/>
  <c r="M42" i="102"/>
  <c r="M41" i="53"/>
  <c r="M41" i="107" s="1"/>
  <c r="M93" i="107" s="1"/>
  <c r="M12" i="53"/>
  <c r="M12" i="107" s="1"/>
  <c r="M64" i="107" s="1"/>
  <c r="N9" i="108"/>
  <c r="N52" i="108" s="1"/>
  <c r="M11" i="102"/>
  <c r="M8" i="102"/>
  <c r="X13" i="103"/>
  <c r="Y13" i="103" s="1"/>
  <c r="K7" i="109"/>
  <c r="K13" i="109" s="1"/>
  <c r="M39" i="102"/>
  <c r="X25" i="103"/>
  <c r="Y25" i="103" s="1"/>
  <c r="M7" i="102"/>
  <c r="M23" i="102"/>
  <c r="X41" i="103"/>
  <c r="Y41" i="103" s="1"/>
  <c r="M44" i="102"/>
  <c r="Q22" i="57"/>
  <c r="AB33" i="102"/>
  <c r="M48" i="102"/>
  <c r="AB8" i="58"/>
  <c r="X20" i="58"/>
  <c r="X20" i="103"/>
  <c r="Y20" i="103" s="1"/>
  <c r="V53" i="53"/>
  <c r="X36" i="103"/>
  <c r="Y36" i="103" s="1"/>
  <c r="M49" i="53"/>
  <c r="M49" i="107" s="1"/>
  <c r="M101" i="107" s="1"/>
  <c r="M38" i="53"/>
  <c r="M38" i="107" s="1"/>
  <c r="M90" i="107" s="1"/>
  <c r="M29" i="102"/>
  <c r="N6" i="108"/>
  <c r="N49" i="108" s="1"/>
  <c r="D9" i="110" s="1"/>
  <c r="M12" i="102"/>
  <c r="N10" i="108"/>
  <c r="N53" i="108" s="1"/>
  <c r="Q42" i="57"/>
  <c r="S53" i="102"/>
  <c r="X27" i="103"/>
  <c r="Y27" i="103" s="1"/>
  <c r="U19" i="108"/>
  <c r="U62" i="108" s="1"/>
  <c r="X15" i="58"/>
  <c r="X15" i="103"/>
  <c r="Y15" i="103" s="1"/>
  <c r="N26" i="108"/>
  <c r="N69" i="108" s="1"/>
  <c r="M43" i="102"/>
  <c r="M20" i="102"/>
  <c r="N44" i="58"/>
  <c r="Y23" i="58"/>
  <c r="AB23" i="58" s="1"/>
  <c r="Y16" i="58"/>
  <c r="AB16" i="58" s="1"/>
  <c r="Y37" i="58"/>
  <c r="AB37" i="58" s="1"/>
  <c r="Y17" i="58"/>
  <c r="AB17" i="58" s="1"/>
  <c r="X12" i="58"/>
  <c r="AB53" i="54"/>
  <c r="X6" i="58"/>
  <c r="X36" i="58"/>
  <c r="U36" i="108" s="1"/>
  <c r="U79" i="108" s="1"/>
  <c r="X10" i="58"/>
  <c r="U10" i="108" s="1"/>
  <c r="U53" i="108" s="1"/>
  <c r="AB26" i="53"/>
  <c r="AB43" i="53"/>
  <c r="AB40" i="53"/>
  <c r="AB49" i="53"/>
  <c r="AB6" i="53"/>
  <c r="AB7" i="53"/>
  <c r="AB37" i="53"/>
  <c r="AB19" i="53"/>
  <c r="AB15" i="53"/>
  <c r="AB45" i="53"/>
  <c r="AB42" i="53"/>
  <c r="AB44" i="53"/>
  <c r="X31" i="58"/>
  <c r="AB28" i="53"/>
  <c r="X11" i="58"/>
  <c r="X26" i="58"/>
  <c r="R53" i="53"/>
  <c r="S58" i="53" s="1"/>
  <c r="AB31" i="53"/>
  <c r="AB23" i="53"/>
  <c r="AB8" i="53"/>
  <c r="AB38" i="53"/>
  <c r="AB27" i="53"/>
  <c r="AB11" i="53"/>
  <c r="AB21" i="53"/>
  <c r="AB39" i="53"/>
  <c r="AB48" i="53"/>
  <c r="AB13" i="53"/>
  <c r="AB14" i="53"/>
  <c r="AB34" i="53"/>
  <c r="AB20" i="53"/>
  <c r="S53" i="53"/>
  <c r="X33" i="58"/>
  <c r="AB12" i="53"/>
  <c r="X40" i="58"/>
  <c r="U40" i="108" s="1"/>
  <c r="U83" i="108" s="1"/>
  <c r="AB36" i="53"/>
  <c r="AB33" i="53"/>
  <c r="AB18" i="53"/>
  <c r="AB50" i="53"/>
  <c r="AB47" i="53"/>
  <c r="AB16" i="53"/>
  <c r="AB25" i="53"/>
  <c r="AB30" i="53"/>
  <c r="AB22" i="53"/>
  <c r="X30" i="58"/>
  <c r="AB44" i="56"/>
  <c r="X5" i="58"/>
  <c r="U5" i="108" s="1"/>
  <c r="U48" i="108" s="1"/>
  <c r="X42" i="58"/>
  <c r="U42" i="108" s="1"/>
  <c r="U85" i="108" s="1"/>
  <c r="AB35" i="53"/>
  <c r="AB32" i="53"/>
  <c r="AB17" i="53"/>
  <c r="AB46" i="53"/>
  <c r="AB41" i="53"/>
  <c r="AB51" i="53"/>
  <c r="AB9" i="53"/>
  <c r="AB29" i="53"/>
  <c r="Y53" i="53"/>
  <c r="AB5" i="53"/>
  <c r="AB24" i="53"/>
  <c r="X39" i="58"/>
  <c r="U39" i="108" s="1"/>
  <c r="U82" i="108" s="1"/>
  <c r="Y46" i="57"/>
  <c r="Y46" i="55"/>
  <c r="Y46" i="56"/>
  <c r="Y46" i="58"/>
  <c r="X28" i="57"/>
  <c r="X26" i="57"/>
  <c r="X33" i="57"/>
  <c r="X42" i="57"/>
  <c r="X27" i="57"/>
  <c r="U27" i="108" s="1"/>
  <c r="U70" i="108" s="1"/>
  <c r="X7" i="57"/>
  <c r="X18" i="57"/>
  <c r="U18" i="108" s="1"/>
  <c r="U61" i="108" s="1"/>
  <c r="X8" i="57"/>
  <c r="U8" i="108" s="1"/>
  <c r="U51" i="108" s="1"/>
  <c r="X30" i="57"/>
  <c r="X17" i="57"/>
  <c r="U17" i="108" s="1"/>
  <c r="U60" i="108" s="1"/>
  <c r="X31" i="57"/>
  <c r="X19" i="57"/>
  <c r="X9" i="57"/>
  <c r="X36" i="57"/>
  <c r="X22" i="57"/>
  <c r="X29" i="57"/>
  <c r="X23" i="57"/>
  <c r="U23" i="108" s="1"/>
  <c r="U66" i="108" s="1"/>
  <c r="X41" i="57"/>
  <c r="X35" i="57"/>
  <c r="X14" i="57"/>
  <c r="X34" i="57"/>
  <c r="X12" i="57"/>
  <c r="X11" i="57"/>
  <c r="X10" i="57"/>
  <c r="X20" i="57"/>
  <c r="X40" i="57"/>
  <c r="X5" i="57"/>
  <c r="X21" i="57"/>
  <c r="U21" i="108" s="1"/>
  <c r="U64" i="108" s="1"/>
  <c r="X32" i="57"/>
  <c r="X39" i="57"/>
  <c r="X6" i="57"/>
  <c r="X15" i="57"/>
  <c r="X16" i="57"/>
  <c r="U16" i="108" s="1"/>
  <c r="U59" i="108" s="1"/>
  <c r="X13" i="57"/>
  <c r="U13" i="108" s="1"/>
  <c r="U56" i="108" s="1"/>
  <c r="X24" i="57"/>
  <c r="U24" i="108" s="1"/>
  <c r="U67" i="108" s="1"/>
  <c r="X25" i="57"/>
  <c r="X37" i="57"/>
  <c r="U37" i="108" s="1"/>
  <c r="U80" i="108" s="1"/>
  <c r="X38" i="57"/>
  <c r="U38" i="108" s="1"/>
  <c r="U81" i="108" s="1"/>
  <c r="AG55" i="54"/>
  <c r="AG55" i="53"/>
  <c r="AG55" i="52"/>
  <c r="AG57" i="51"/>
  <c r="E46" i="5"/>
  <c r="AB46" i="103" s="1"/>
  <c r="E29" i="5"/>
  <c r="AM55" i="102" s="1"/>
  <c r="E47" i="5"/>
  <c r="U14" i="108" l="1"/>
  <c r="U57" i="108" s="1"/>
  <c r="U29" i="108"/>
  <c r="U72" i="108" s="1"/>
  <c r="U25" i="108"/>
  <c r="U68" i="108" s="1"/>
  <c r="Y41" i="58"/>
  <c r="AB41" i="58" s="1"/>
  <c r="L14" i="110"/>
  <c r="U9" i="108"/>
  <c r="U52" i="108" s="1"/>
  <c r="K14" i="109"/>
  <c r="J9" i="110"/>
  <c r="J7" i="110"/>
  <c r="J13" i="110" s="1"/>
  <c r="J11" i="110"/>
  <c r="U6" i="108"/>
  <c r="U49" i="108" s="1"/>
  <c r="K9" i="110" s="1"/>
  <c r="H15" i="110"/>
  <c r="U33" i="108"/>
  <c r="U76" i="108" s="1"/>
  <c r="U32" i="108"/>
  <c r="U75" i="108" s="1"/>
  <c r="U35" i="108"/>
  <c r="U78" i="108" s="1"/>
  <c r="U28" i="108"/>
  <c r="U71" i="108" s="1"/>
  <c r="D14" i="110"/>
  <c r="D15" i="110"/>
  <c r="AB53" i="102"/>
  <c r="M53" i="53"/>
  <c r="U20" i="108"/>
  <c r="U63" i="108" s="1"/>
  <c r="Y20" i="58"/>
  <c r="AB20" i="58" s="1"/>
  <c r="D11" i="110"/>
  <c r="Y5" i="103"/>
  <c r="Y44" i="103" s="1"/>
  <c r="X44" i="103"/>
  <c r="D7" i="110"/>
  <c r="D13" i="110" s="1"/>
  <c r="U12" i="108"/>
  <c r="U55" i="108" s="1"/>
  <c r="N14" i="109"/>
  <c r="N15" i="109"/>
  <c r="C11" i="109"/>
  <c r="U7" i="108"/>
  <c r="U50" i="108" s="1"/>
  <c r="Y7" i="58"/>
  <c r="AB7" i="58" s="1"/>
  <c r="U30" i="108"/>
  <c r="U73" i="108" s="1"/>
  <c r="M53" i="102"/>
  <c r="U26" i="108"/>
  <c r="U69" i="108" s="1"/>
  <c r="U15" i="108"/>
  <c r="U58" i="108" s="1"/>
  <c r="Y15" i="58"/>
  <c r="AB15" i="58" s="1"/>
  <c r="U22" i="108"/>
  <c r="U65" i="108" s="1"/>
  <c r="Y22" i="58"/>
  <c r="AB22" i="58" s="1"/>
  <c r="U11" i="108"/>
  <c r="U54" i="108" s="1"/>
  <c r="C7" i="109"/>
  <c r="C13" i="109" s="1"/>
  <c r="C9" i="109"/>
  <c r="U31" i="108"/>
  <c r="U74" i="108" s="1"/>
  <c r="Q44" i="57"/>
  <c r="U34" i="108"/>
  <c r="U77" i="108" s="1"/>
  <c r="Y34" i="58"/>
  <c r="AB34" i="58" s="1"/>
  <c r="H14" i="109"/>
  <c r="H15" i="109"/>
  <c r="Y5" i="58"/>
  <c r="X44" i="58"/>
  <c r="Y10" i="58"/>
  <c r="AB10" i="58" s="1"/>
  <c r="AJ10" i="103" s="1"/>
  <c r="Y11" i="58"/>
  <c r="AB11" i="58" s="1"/>
  <c r="Y31" i="58"/>
  <c r="AB31" i="58" s="1"/>
  <c r="Y6" i="58"/>
  <c r="AB6" i="58" s="1"/>
  <c r="AB53" i="53"/>
  <c r="Y42" i="58"/>
  <c r="AB42" i="58" s="1"/>
  <c r="Y40" i="58"/>
  <c r="AB40" i="58" s="1"/>
  <c r="Y33" i="58"/>
  <c r="AB33" i="58" s="1"/>
  <c r="S19" i="54"/>
  <c r="S19" i="107" s="1"/>
  <c r="S71" i="107" s="1"/>
  <c r="S34" i="54"/>
  <c r="S34" i="107" s="1"/>
  <c r="S86" i="107" s="1"/>
  <c r="S10" i="54"/>
  <c r="S10" i="107" s="1"/>
  <c r="S62" i="107" s="1"/>
  <c r="S26" i="54"/>
  <c r="S26" i="107" s="1"/>
  <c r="S78" i="107" s="1"/>
  <c r="S12" i="54"/>
  <c r="S12" i="107" s="1"/>
  <c r="S64" i="107" s="1"/>
  <c r="S16" i="54"/>
  <c r="S16" i="107" s="1"/>
  <c r="S68" i="107" s="1"/>
  <c r="S21" i="54"/>
  <c r="S21" i="107" s="1"/>
  <c r="S73" i="107" s="1"/>
  <c r="S5" i="54"/>
  <c r="S5" i="107" s="1"/>
  <c r="S57" i="107" s="1"/>
  <c r="S33" i="54"/>
  <c r="S33" i="107" s="1"/>
  <c r="S85" i="107" s="1"/>
  <c r="S20" i="54"/>
  <c r="S20" i="107" s="1"/>
  <c r="S72" i="107" s="1"/>
  <c r="S15" i="54"/>
  <c r="S15" i="107" s="1"/>
  <c r="S67" i="107" s="1"/>
  <c r="S27" i="54"/>
  <c r="S27" i="107" s="1"/>
  <c r="S79" i="107" s="1"/>
  <c r="S43" i="54"/>
  <c r="S43" i="107" s="1"/>
  <c r="S95" i="107" s="1"/>
  <c r="S47" i="54"/>
  <c r="S47" i="107" s="1"/>
  <c r="S99" i="107" s="1"/>
  <c r="S41" i="54"/>
  <c r="S41" i="107" s="1"/>
  <c r="S93" i="107" s="1"/>
  <c r="S30" i="54"/>
  <c r="S30" i="107" s="1"/>
  <c r="S82" i="107" s="1"/>
  <c r="S17" i="54"/>
  <c r="S17" i="107" s="1"/>
  <c r="S69" i="107" s="1"/>
  <c r="S50" i="54"/>
  <c r="S50" i="107" s="1"/>
  <c r="S102" i="107" s="1"/>
  <c r="S39" i="54"/>
  <c r="S39" i="107" s="1"/>
  <c r="S91" i="107" s="1"/>
  <c r="S8" i="54"/>
  <c r="S8" i="107" s="1"/>
  <c r="S60" i="107" s="1"/>
  <c r="S45" i="54"/>
  <c r="S45" i="107" s="1"/>
  <c r="S97" i="107" s="1"/>
  <c r="S25" i="54"/>
  <c r="S25" i="107" s="1"/>
  <c r="S77" i="107" s="1"/>
  <c r="S32" i="54"/>
  <c r="S32" i="107" s="1"/>
  <c r="S84" i="107" s="1"/>
  <c r="S14" i="54"/>
  <c r="S14" i="107" s="1"/>
  <c r="S66" i="107" s="1"/>
  <c r="S6" i="54"/>
  <c r="S6" i="107" s="1"/>
  <c r="S58" i="107" s="1"/>
  <c r="S48" i="54"/>
  <c r="S48" i="107" s="1"/>
  <c r="S100" i="107" s="1"/>
  <c r="S46" i="54"/>
  <c r="S46" i="107" s="1"/>
  <c r="S98" i="107" s="1"/>
  <c r="S31" i="54"/>
  <c r="S31" i="107" s="1"/>
  <c r="S83" i="107" s="1"/>
  <c r="S29" i="54"/>
  <c r="S29" i="107" s="1"/>
  <c r="S81" i="107" s="1"/>
  <c r="S13" i="54"/>
  <c r="S13" i="107" s="1"/>
  <c r="S65" i="107" s="1"/>
  <c r="S28" i="54"/>
  <c r="S28" i="107" s="1"/>
  <c r="S80" i="107" s="1"/>
  <c r="S9" i="54"/>
  <c r="S9" i="107" s="1"/>
  <c r="S61" i="107" s="1"/>
  <c r="S35" i="54"/>
  <c r="S35" i="107" s="1"/>
  <c r="S87" i="107" s="1"/>
  <c r="S42" i="54"/>
  <c r="S42" i="107" s="1"/>
  <c r="S94" i="107" s="1"/>
  <c r="S37" i="54"/>
  <c r="S37" i="107" s="1"/>
  <c r="S89" i="107" s="1"/>
  <c r="S22" i="54"/>
  <c r="S22" i="107" s="1"/>
  <c r="S74" i="107" s="1"/>
  <c r="S49" i="54"/>
  <c r="S49" i="107" s="1"/>
  <c r="S101" i="107" s="1"/>
  <c r="S36" i="54"/>
  <c r="S36" i="107" s="1"/>
  <c r="S88" i="107" s="1"/>
  <c r="S38" i="54"/>
  <c r="S38" i="107" s="1"/>
  <c r="S90" i="107" s="1"/>
  <c r="S40" i="54"/>
  <c r="S40" i="107" s="1"/>
  <c r="S92" i="107" s="1"/>
  <c r="S18" i="54"/>
  <c r="S18" i="107" s="1"/>
  <c r="S70" i="107" s="1"/>
  <c r="S7" i="54"/>
  <c r="S7" i="107" s="1"/>
  <c r="S59" i="107" s="1"/>
  <c r="S44" i="54"/>
  <c r="S44" i="107" s="1"/>
  <c r="S96" i="107" s="1"/>
  <c r="S24" i="54"/>
  <c r="S24" i="107" s="1"/>
  <c r="S76" i="107" s="1"/>
  <c r="S11" i="54"/>
  <c r="S11" i="107" s="1"/>
  <c r="S63" i="107" s="1"/>
  <c r="S51" i="54"/>
  <c r="S51" i="107" s="1"/>
  <c r="S103" i="107" s="1"/>
  <c r="S23" i="54"/>
  <c r="S23" i="107" s="1"/>
  <c r="S75" i="107" s="1"/>
  <c r="Y26" i="58"/>
  <c r="AB26" i="58" s="1"/>
  <c r="Y36" i="58"/>
  <c r="AB36" i="58" s="1"/>
  <c r="Y12" i="58"/>
  <c r="AB12" i="58" s="1"/>
  <c r="AJ12" i="103" s="1"/>
  <c r="Y39" i="58"/>
  <c r="AB39" i="58" s="1"/>
  <c r="Y30" i="58"/>
  <c r="AB30" i="58" s="1"/>
  <c r="AJ30" i="103" s="1"/>
  <c r="Y16" i="57"/>
  <c r="AB16" i="57" s="1"/>
  <c r="AJ16" i="103" s="1"/>
  <c r="Y20" i="57"/>
  <c r="AB20" i="57" s="1"/>
  <c r="Y9" i="57"/>
  <c r="AB9" i="57" s="1"/>
  <c r="AJ9" i="103" s="1"/>
  <c r="Y37" i="57"/>
  <c r="AB37" i="57" s="1"/>
  <c r="AA511" i="96" s="1"/>
  <c r="Y32" i="57"/>
  <c r="AB32" i="57" s="1"/>
  <c r="AJ32" i="103" s="1"/>
  <c r="Y34" i="57"/>
  <c r="AB34" i="57" s="1"/>
  <c r="Y23" i="57"/>
  <c r="AB23" i="57" s="1"/>
  <c r="AJ23" i="103" s="1"/>
  <c r="Y30" i="57"/>
  <c r="AB30" i="57" s="1"/>
  <c r="Y27" i="57"/>
  <c r="AB27" i="57" s="1"/>
  <c r="AJ27" i="103" s="1"/>
  <c r="Y28" i="57"/>
  <c r="AB28" i="57" s="1"/>
  <c r="AJ28" i="103" s="1"/>
  <c r="Y25" i="57"/>
  <c r="AB25" i="57" s="1"/>
  <c r="AJ25" i="103" s="1"/>
  <c r="Y15" i="57"/>
  <c r="AB15" i="57" s="1"/>
  <c r="Y21" i="57"/>
  <c r="AB21" i="57" s="1"/>
  <c r="AJ21" i="103" s="1"/>
  <c r="Y10" i="57"/>
  <c r="AB10" i="57" s="1"/>
  <c r="Y14" i="57"/>
  <c r="AB14" i="57" s="1"/>
  <c r="AA415" i="96" s="1"/>
  <c r="AG415" i="96" s="1"/>
  <c r="Y29" i="57"/>
  <c r="AB29" i="57" s="1"/>
  <c r="AJ29" i="103" s="1"/>
  <c r="Y19" i="57"/>
  <c r="AB19" i="57" s="1"/>
  <c r="AJ19" i="103" s="1"/>
  <c r="Y8" i="57"/>
  <c r="AB8" i="57" s="1"/>
  <c r="AJ8" i="103" s="1"/>
  <c r="Y42" i="57"/>
  <c r="AB42" i="57" s="1"/>
  <c r="Y24" i="57"/>
  <c r="AB24" i="57" s="1"/>
  <c r="Y6" i="57"/>
  <c r="AB6" i="57" s="1"/>
  <c r="Y11" i="57"/>
  <c r="AB11" i="57" s="1"/>
  <c r="Y31" i="57"/>
  <c r="AB31" i="57" s="1"/>
  <c r="Y33" i="57"/>
  <c r="AB33" i="57" s="1"/>
  <c r="Y35" i="57"/>
  <c r="AB35" i="57" s="1"/>
  <c r="AJ35" i="103" s="1"/>
  <c r="Y22" i="57"/>
  <c r="AB22" i="57" s="1"/>
  <c r="Y18" i="57"/>
  <c r="AB18" i="57" s="1"/>
  <c r="AJ18" i="103" s="1"/>
  <c r="Y38" i="57"/>
  <c r="AB38" i="57" s="1"/>
  <c r="Y13" i="57"/>
  <c r="AB13" i="57" s="1"/>
  <c r="Y39" i="57"/>
  <c r="AB39" i="57" s="1"/>
  <c r="Y40" i="57"/>
  <c r="AB40" i="57" s="1"/>
  <c r="Y12" i="57"/>
  <c r="AB12" i="57" s="1"/>
  <c r="Y41" i="57"/>
  <c r="AB41" i="57" s="1"/>
  <c r="AJ41" i="103" s="1"/>
  <c r="Y36" i="57"/>
  <c r="AB36" i="57" s="1"/>
  <c r="Y17" i="57"/>
  <c r="AB17" i="57" s="1"/>
  <c r="AJ17" i="103" s="1"/>
  <c r="Y7" i="57"/>
  <c r="AB7" i="57" s="1"/>
  <c r="Y26" i="57"/>
  <c r="AB26" i="57" s="1"/>
  <c r="Y5" i="57"/>
  <c r="X44" i="57"/>
  <c r="AM55" i="54"/>
  <c r="AM55" i="52"/>
  <c r="AM55" i="53"/>
  <c r="AB46" i="58"/>
  <c r="AB46" i="55"/>
  <c r="AB46" i="57"/>
  <c r="AB46" i="56"/>
  <c r="AM57" i="51"/>
  <c r="K11" i="110" l="1"/>
  <c r="AJ31" i="103"/>
  <c r="AJ22" i="103"/>
  <c r="J14" i="110"/>
  <c r="J15" i="110"/>
  <c r="K7" i="110"/>
  <c r="AG511" i="96"/>
  <c r="L511" i="100"/>
  <c r="O511" i="100" s="1"/>
  <c r="AA638" i="96"/>
  <c r="AG638" i="96" s="1"/>
  <c r="AA521" i="96"/>
  <c r="AG521" i="96" s="1"/>
  <c r="AA414" i="96"/>
  <c r="AG414" i="96" s="1"/>
  <c r="AJ37" i="103"/>
  <c r="AJ7" i="103"/>
  <c r="AJ11" i="103"/>
  <c r="AA635" i="96"/>
  <c r="AG635" i="96" s="1"/>
  <c r="AA631" i="96"/>
  <c r="AG631" i="96" s="1"/>
  <c r="AA409" i="96"/>
  <c r="AG409" i="96" s="1"/>
  <c r="AA514" i="96"/>
  <c r="AA516" i="96"/>
  <c r="AG516" i="96" s="1"/>
  <c r="AA510" i="96"/>
  <c r="AA157" i="97"/>
  <c r="AA145" i="97"/>
  <c r="AA402" i="96"/>
  <c r="AG402" i="96" s="1"/>
  <c r="AJ34" i="103"/>
  <c r="AJ42" i="103"/>
  <c r="AA178" i="97"/>
  <c r="AA167" i="97"/>
  <c r="AA424" i="96"/>
  <c r="AG424" i="96" s="1"/>
  <c r="AA417" i="96"/>
  <c r="AG417" i="96" s="1"/>
  <c r="AA175" i="97"/>
  <c r="AA170" i="97"/>
  <c r="AA422" i="96"/>
  <c r="AG422" i="96" s="1"/>
  <c r="AA172" i="97"/>
  <c r="AA433" i="96"/>
  <c r="AG433" i="96" s="1"/>
  <c r="AA168" i="97"/>
  <c r="AA169" i="97"/>
  <c r="AA173" i="97"/>
  <c r="AA174" i="97"/>
  <c r="AA166" i="97"/>
  <c r="AA432" i="96"/>
  <c r="AG432" i="96" s="1"/>
  <c r="AA420" i="96"/>
  <c r="AG420" i="96" s="1"/>
  <c r="AA163" i="97"/>
  <c r="AA176" i="97"/>
  <c r="AA177" i="97"/>
  <c r="AA431" i="96"/>
  <c r="AG431" i="96" s="1"/>
  <c r="AA429" i="96"/>
  <c r="AG429" i="96" s="1"/>
  <c r="AA434" i="96"/>
  <c r="AG434" i="96" s="1"/>
  <c r="AA181" i="97"/>
  <c r="AA165" i="97"/>
  <c r="AA419" i="96"/>
  <c r="AG419" i="96" s="1"/>
  <c r="AA179" i="97"/>
  <c r="AA425" i="96"/>
  <c r="AG425" i="96" s="1"/>
  <c r="AA428" i="96"/>
  <c r="AG428" i="96" s="1"/>
  <c r="AA171" i="97"/>
  <c r="AA430" i="96"/>
  <c r="AG430" i="96" s="1"/>
  <c r="AA435" i="96"/>
  <c r="AG435" i="96" s="1"/>
  <c r="AA418" i="96"/>
  <c r="AG418" i="96" s="1"/>
  <c r="AA182" i="97"/>
  <c r="AA416" i="96"/>
  <c r="AA423" i="96"/>
  <c r="AG423" i="96" s="1"/>
  <c r="AA426" i="96"/>
  <c r="AG426" i="96" s="1"/>
  <c r="AA427" i="96"/>
  <c r="AG427" i="96" s="1"/>
  <c r="AA164" i="97"/>
  <c r="AA180" i="97"/>
  <c r="AA421" i="96"/>
  <c r="AG421" i="96" s="1"/>
  <c r="AJ39" i="103"/>
  <c r="AA397" i="96"/>
  <c r="AG397" i="96" s="1"/>
  <c r="AA153" i="97"/>
  <c r="AA149" i="97"/>
  <c r="AJ15" i="103"/>
  <c r="AJ20" i="103"/>
  <c r="AA519" i="96"/>
  <c r="AA162" i="97"/>
  <c r="AA404" i="96"/>
  <c r="AG404" i="96" s="1"/>
  <c r="AA520" i="96"/>
  <c r="AJ14" i="103"/>
  <c r="AA639" i="96"/>
  <c r="AA408" i="96"/>
  <c r="AG408" i="96" s="1"/>
  <c r="AA640" i="96"/>
  <c r="AJ13" i="103"/>
  <c r="AA136" i="97"/>
  <c r="AA379" i="96"/>
  <c r="AG379" i="96" s="1"/>
  <c r="AA125" i="97"/>
  <c r="AA133" i="97"/>
  <c r="AA137" i="97"/>
  <c r="AA384" i="96"/>
  <c r="AG384" i="96" s="1"/>
  <c r="AA130" i="97"/>
  <c r="AA140" i="97"/>
  <c r="AA135" i="97"/>
  <c r="AA127" i="97"/>
  <c r="AA393" i="96"/>
  <c r="AG393" i="96" s="1"/>
  <c r="AA389" i="96"/>
  <c r="AG389" i="96" s="1"/>
  <c r="AA395" i="96"/>
  <c r="AG395" i="96" s="1"/>
  <c r="AA392" i="96"/>
  <c r="AG392" i="96" s="1"/>
  <c r="AA381" i="96"/>
  <c r="AG381" i="96" s="1"/>
  <c r="AA383" i="96"/>
  <c r="AG383" i="96" s="1"/>
  <c r="AA391" i="96"/>
  <c r="AG391" i="96" s="1"/>
  <c r="AA385" i="96"/>
  <c r="AG385" i="96" s="1"/>
  <c r="AA394" i="96"/>
  <c r="AG394" i="96" s="1"/>
  <c r="AA126" i="97"/>
  <c r="AA380" i="96"/>
  <c r="AG380" i="96" s="1"/>
  <c r="AA382" i="96"/>
  <c r="AG382" i="96" s="1"/>
  <c r="AA129" i="97"/>
  <c r="AA141" i="97"/>
  <c r="AA390" i="96"/>
  <c r="AG390" i="96" s="1"/>
  <c r="AA388" i="96"/>
  <c r="AG388" i="96" s="1"/>
  <c r="AA128" i="97"/>
  <c r="AA387" i="96"/>
  <c r="AG387" i="96" s="1"/>
  <c r="AA378" i="96"/>
  <c r="AG378" i="96" s="1"/>
  <c r="AA386" i="96"/>
  <c r="AG386" i="96" s="1"/>
  <c r="AA142" i="97"/>
  <c r="AA131" i="97"/>
  <c r="AA132" i="97"/>
  <c r="AA139" i="97"/>
  <c r="AA134" i="97"/>
  <c r="AA138" i="97"/>
  <c r="AA143" i="97"/>
  <c r="AA160" i="97"/>
  <c r="AA410" i="96"/>
  <c r="AG410" i="96" s="1"/>
  <c r="AA154" i="97"/>
  <c r="AA159" i="97"/>
  <c r="AA151" i="97"/>
  <c r="AA152" i="97"/>
  <c r="AA148" i="97"/>
  <c r="AA155" i="97"/>
  <c r="AA407" i="96"/>
  <c r="AG407" i="96" s="1"/>
  <c r="AA401" i="96"/>
  <c r="AG401" i="96" s="1"/>
  <c r="AA406" i="96"/>
  <c r="AG406" i="96" s="1"/>
  <c r="AA400" i="96"/>
  <c r="AG400" i="96" s="1"/>
  <c r="AA144" i="97"/>
  <c r="AA398" i="96"/>
  <c r="AG398" i="96" s="1"/>
  <c r="AA413" i="96"/>
  <c r="AG413" i="96" s="1"/>
  <c r="AA158" i="97"/>
  <c r="AA150" i="97"/>
  <c r="AA412" i="96"/>
  <c r="AG412" i="96" s="1"/>
  <c r="AA156" i="97"/>
  <c r="AA641" i="96"/>
  <c r="AA637" i="96"/>
  <c r="AA633" i="96"/>
  <c r="AJ36" i="103"/>
  <c r="I9" i="109"/>
  <c r="AA229" i="97"/>
  <c r="AA193" i="97"/>
  <c r="AA454" i="96"/>
  <c r="AG454" i="96" s="1"/>
  <c r="AA206" i="97"/>
  <c r="AA188" i="97"/>
  <c r="AA213" i="97"/>
  <c r="AA495" i="96"/>
  <c r="AG495" i="96" s="1"/>
  <c r="AA226" i="97"/>
  <c r="AA190" i="97"/>
  <c r="AA442" i="96"/>
  <c r="AG442" i="96" s="1"/>
  <c r="AA183" i="97"/>
  <c r="AA189" i="97"/>
  <c r="AA195" i="97"/>
  <c r="AA497" i="96"/>
  <c r="AG497" i="96" s="1"/>
  <c r="AA210" i="97"/>
  <c r="AA436" i="96"/>
  <c r="AG436" i="96" s="1"/>
  <c r="AA194" i="97"/>
  <c r="AA483" i="96"/>
  <c r="AG483" i="96" s="1"/>
  <c r="AA223" i="97"/>
  <c r="AA187" i="97"/>
  <c r="AA486" i="96"/>
  <c r="AG486" i="96" s="1"/>
  <c r="AA487" i="96"/>
  <c r="AG487" i="96" s="1"/>
  <c r="AA484" i="96"/>
  <c r="AG484" i="96" s="1"/>
  <c r="AA481" i="96"/>
  <c r="AG481" i="96" s="1"/>
  <c r="AA477" i="96"/>
  <c r="AG477" i="96" s="1"/>
  <c r="AA197" i="97"/>
  <c r="AA457" i="96"/>
  <c r="AG457" i="96" s="1"/>
  <c r="AA453" i="96"/>
  <c r="AG453" i="96" s="1"/>
  <c r="AA463" i="96"/>
  <c r="AG463" i="96" s="1"/>
  <c r="AA200" i="97"/>
  <c r="AA471" i="96"/>
  <c r="AG471" i="96" s="1"/>
  <c r="AA220" i="97"/>
  <c r="AA184" i="97"/>
  <c r="AA474" i="96"/>
  <c r="AG474" i="96" s="1"/>
  <c r="AA469" i="96"/>
  <c r="AG469" i="96" s="1"/>
  <c r="AA465" i="96"/>
  <c r="AG465" i="96" s="1"/>
  <c r="AA460" i="96"/>
  <c r="AG460" i="96" s="1"/>
  <c r="AA492" i="96"/>
  <c r="AG492" i="96" s="1"/>
  <c r="AA470" i="96"/>
  <c r="AG470" i="96" s="1"/>
  <c r="AA459" i="96"/>
  <c r="AG459" i="96" s="1"/>
  <c r="AA217" i="97"/>
  <c r="AA491" i="96"/>
  <c r="AG491" i="96" s="1"/>
  <c r="AA462" i="96"/>
  <c r="AG462" i="96" s="1"/>
  <c r="AA451" i="96"/>
  <c r="AG451" i="96" s="1"/>
  <c r="AA448" i="96"/>
  <c r="AG448" i="96" s="1"/>
  <c r="AA445" i="96"/>
  <c r="AG445" i="96" s="1"/>
  <c r="AA441" i="96"/>
  <c r="AG441" i="96" s="1"/>
  <c r="AA473" i="96"/>
  <c r="AG473" i="96" s="1"/>
  <c r="AA489" i="96"/>
  <c r="AG489" i="96" s="1"/>
  <c r="AA236" i="97"/>
  <c r="AA447" i="96"/>
  <c r="AG447" i="96" s="1"/>
  <c r="AA214" i="97"/>
  <c r="AA479" i="96"/>
  <c r="AG479" i="96" s="1"/>
  <c r="AA450" i="96"/>
  <c r="AG450" i="96" s="1"/>
  <c r="AA468" i="96"/>
  <c r="AG468" i="96" s="1"/>
  <c r="AA228" i="97"/>
  <c r="AA234" i="97"/>
  <c r="AA476" i="96"/>
  <c r="AG476" i="96" s="1"/>
  <c r="AA456" i="96"/>
  <c r="AG456" i="96" s="1"/>
  <c r="AA439" i="96"/>
  <c r="AG439" i="96" s="1"/>
  <c r="AA494" i="96"/>
  <c r="AG494" i="96" s="1"/>
  <c r="AA211" i="97"/>
  <c r="AA438" i="96"/>
  <c r="AG438" i="96" s="1"/>
  <c r="AA215" i="97"/>
  <c r="AA221" i="97"/>
  <c r="AA458" i="96"/>
  <c r="AG458" i="96" s="1"/>
  <c r="AA437" i="96"/>
  <c r="AG437" i="96" s="1"/>
  <c r="AA207" i="97"/>
  <c r="AA219" i="97"/>
  <c r="AA231" i="97"/>
  <c r="AA440" i="96"/>
  <c r="AG440" i="96" s="1"/>
  <c r="AA467" i="96"/>
  <c r="AG467" i="96" s="1"/>
  <c r="AA222" i="97"/>
  <c r="AA244" i="97"/>
  <c r="AA208" i="97"/>
  <c r="AA455" i="96"/>
  <c r="AG455" i="96" s="1"/>
  <c r="AA239" i="97"/>
  <c r="AA209" i="97"/>
  <c r="AA192" i="97"/>
  <c r="AA198" i="97"/>
  <c r="AA240" i="97"/>
  <c r="AA452" i="96"/>
  <c r="AG452" i="96" s="1"/>
  <c r="AA480" i="96"/>
  <c r="AG480" i="96" s="1"/>
  <c r="AA241" i="97"/>
  <c r="AA205" i="97"/>
  <c r="AA443" i="96"/>
  <c r="AG443" i="96" s="1"/>
  <c r="AA186" i="97"/>
  <c r="AA482" i="96"/>
  <c r="AG482" i="96" s="1"/>
  <c r="AA185" i="97"/>
  <c r="AA227" i="97"/>
  <c r="AA243" i="97"/>
  <c r="AA212" i="97"/>
  <c r="AA488" i="96"/>
  <c r="AG488" i="96" s="1"/>
  <c r="AA216" i="97"/>
  <c r="AA230" i="97"/>
  <c r="AA238" i="97"/>
  <c r="AA202" i="97"/>
  <c r="AA490" i="96"/>
  <c r="AG490" i="96" s="1"/>
  <c r="AA203" i="97"/>
  <c r="AA485" i="96"/>
  <c r="AG485" i="96" s="1"/>
  <c r="AA464" i="96"/>
  <c r="AG464" i="96" s="1"/>
  <c r="AA237" i="97"/>
  <c r="AA204" i="97"/>
  <c r="AA444" i="96"/>
  <c r="AG444" i="96" s="1"/>
  <c r="AA475" i="96"/>
  <c r="AG475" i="96" s="1"/>
  <c r="AA232" i="97"/>
  <c r="AA461" i="96"/>
  <c r="AG461" i="96" s="1"/>
  <c r="AA233" i="97"/>
  <c r="AA235" i="97"/>
  <c r="AA199" i="97"/>
  <c r="AA478" i="96"/>
  <c r="AG478" i="96" s="1"/>
  <c r="AA242" i="97"/>
  <c r="AA449" i="96"/>
  <c r="AG449" i="96" s="1"/>
  <c r="AA446" i="96"/>
  <c r="AG446" i="96" s="1"/>
  <c r="AA224" i="97"/>
  <c r="AA191" i="97"/>
  <c r="AA493" i="96"/>
  <c r="AG493" i="96" s="1"/>
  <c r="AA472" i="96"/>
  <c r="AG472" i="96" s="1"/>
  <c r="AA196" i="97"/>
  <c r="AA466" i="96"/>
  <c r="AG466" i="96" s="1"/>
  <c r="AA225" i="97"/>
  <c r="AA201" i="97"/>
  <c r="AA496" i="96"/>
  <c r="AG496" i="96" s="1"/>
  <c r="AA218" i="97"/>
  <c r="AJ26" i="103"/>
  <c r="AJ33" i="103"/>
  <c r="AA518" i="96"/>
  <c r="AA634" i="96"/>
  <c r="AA636" i="96"/>
  <c r="AA405" i="96"/>
  <c r="AG405" i="96" s="1"/>
  <c r="AJ40" i="103"/>
  <c r="AA399" i="96"/>
  <c r="AG399" i="96" s="1"/>
  <c r="M11" i="110"/>
  <c r="AA632" i="96"/>
  <c r="AA411" i="96"/>
  <c r="AG411" i="96" s="1"/>
  <c r="AA147" i="97"/>
  <c r="AA512" i="96"/>
  <c r="AA396" i="96"/>
  <c r="AG396" i="96" s="1"/>
  <c r="C15" i="109"/>
  <c r="C14" i="109"/>
  <c r="AA146" i="97"/>
  <c r="AA161" i="97"/>
  <c r="AA501" i="96"/>
  <c r="AA500" i="96"/>
  <c r="AA509" i="96"/>
  <c r="AA499" i="96"/>
  <c r="AA507" i="96"/>
  <c r="AA506" i="96"/>
  <c r="AA503" i="96"/>
  <c r="AA502" i="96"/>
  <c r="AJ38" i="103"/>
  <c r="AA498" i="96"/>
  <c r="AA508" i="96"/>
  <c r="AA505" i="96"/>
  <c r="AA504" i="96"/>
  <c r="AA513" i="96"/>
  <c r="AA517" i="96"/>
  <c r="I11" i="109"/>
  <c r="I7" i="109"/>
  <c r="I13" i="109" s="1"/>
  <c r="AA403" i="96"/>
  <c r="AG403" i="96" s="1"/>
  <c r="AA630" i="96"/>
  <c r="AG630" i="96" s="1"/>
  <c r="AA515" i="96"/>
  <c r="L515" i="100" s="1"/>
  <c r="O515" i="100" s="1"/>
  <c r="AJ24" i="103"/>
  <c r="L516" i="100"/>
  <c r="O516" i="100" s="1"/>
  <c r="M7" i="110"/>
  <c r="M13" i="110" s="1"/>
  <c r="K13" i="110"/>
  <c r="M9" i="110"/>
  <c r="K15" i="110"/>
  <c r="K14" i="110"/>
  <c r="G9" i="101"/>
  <c r="I9" i="101" s="1"/>
  <c r="G14" i="101"/>
  <c r="I14" i="101" s="1"/>
  <c r="AJ6" i="103"/>
  <c r="AA629" i="96"/>
  <c r="AG629" i="96" s="1"/>
  <c r="AA625" i="96"/>
  <c r="AG625" i="96" s="1"/>
  <c r="AA621" i="96"/>
  <c r="AG621" i="96" s="1"/>
  <c r="AA617" i="96"/>
  <c r="AG617" i="96" s="1"/>
  <c r="AA249" i="97"/>
  <c r="AA251" i="97"/>
  <c r="AA253" i="97"/>
  <c r="AA628" i="96"/>
  <c r="AG628" i="96" s="1"/>
  <c r="AA624" i="96"/>
  <c r="AG624" i="96" s="1"/>
  <c r="AA620" i="96"/>
  <c r="AG620" i="96" s="1"/>
  <c r="AA255" i="97"/>
  <c r="AA246" i="97"/>
  <c r="AA257" i="97"/>
  <c r="AA248" i="97"/>
  <c r="AA627" i="96"/>
  <c r="AG627" i="96" s="1"/>
  <c r="AA623" i="96"/>
  <c r="AG623" i="96" s="1"/>
  <c r="AA619" i="96"/>
  <c r="AG619" i="96" s="1"/>
  <c r="AA250" i="97"/>
  <c r="AA252" i="97"/>
  <c r="AA626" i="96"/>
  <c r="AG626" i="96" s="1"/>
  <c r="AA622" i="96"/>
  <c r="AG622" i="96" s="1"/>
  <c r="AA618" i="96"/>
  <c r="AG618" i="96" s="1"/>
  <c r="AA254" i="97"/>
  <c r="AA245" i="97"/>
  <c r="AA256" i="97"/>
  <c r="AA247" i="97"/>
  <c r="AA298" i="96"/>
  <c r="AG298" i="96" s="1"/>
  <c r="AA294" i="96"/>
  <c r="AG294" i="96" s="1"/>
  <c r="AA290" i="96"/>
  <c r="AG290" i="96" s="1"/>
  <c r="AA84" i="97"/>
  <c r="AA75" i="97"/>
  <c r="AA78" i="97"/>
  <c r="AA77" i="97"/>
  <c r="AA79" i="97"/>
  <c r="AA301" i="96"/>
  <c r="AG301" i="96" s="1"/>
  <c r="AA297" i="96"/>
  <c r="AG297" i="96" s="1"/>
  <c r="AA293" i="96"/>
  <c r="AG293" i="96" s="1"/>
  <c r="AA81" i="97"/>
  <c r="AA83" i="97"/>
  <c r="AA74" i="97"/>
  <c r="AA300" i="96"/>
  <c r="AG300" i="96" s="1"/>
  <c r="AA296" i="96"/>
  <c r="AG296" i="96" s="1"/>
  <c r="AA292" i="96"/>
  <c r="AG292" i="96" s="1"/>
  <c r="AA85" i="97"/>
  <c r="AA76" i="97"/>
  <c r="AA299" i="96"/>
  <c r="AG299" i="96" s="1"/>
  <c r="AA295" i="96"/>
  <c r="AG295" i="96" s="1"/>
  <c r="AA291" i="96"/>
  <c r="AG291" i="96" s="1"/>
  <c r="AA80" i="97"/>
  <c r="AA82" i="97"/>
  <c r="AA375" i="96"/>
  <c r="AG375" i="96" s="1"/>
  <c r="AA124" i="97"/>
  <c r="AA121" i="97"/>
  <c r="AA118" i="97"/>
  <c r="AA115" i="97"/>
  <c r="AA112" i="97"/>
  <c r="AA371" i="96"/>
  <c r="AG371" i="96" s="1"/>
  <c r="AA370" i="96"/>
  <c r="AG370" i="96" s="1"/>
  <c r="AA366" i="96"/>
  <c r="AG366" i="96" s="1"/>
  <c r="AA111" i="97"/>
  <c r="AA114" i="97"/>
  <c r="AA377" i="96"/>
  <c r="AG377" i="96" s="1"/>
  <c r="AA117" i="97"/>
  <c r="AA376" i="96"/>
  <c r="AG376" i="96" s="1"/>
  <c r="AA120" i="97"/>
  <c r="AA374" i="96"/>
  <c r="AG374" i="96" s="1"/>
  <c r="AA123" i="97"/>
  <c r="AA373" i="96"/>
  <c r="AG373" i="96" s="1"/>
  <c r="AA113" i="97"/>
  <c r="AA116" i="97"/>
  <c r="AA369" i="96"/>
  <c r="AG369" i="96" s="1"/>
  <c r="AA368" i="96"/>
  <c r="AG368" i="96" s="1"/>
  <c r="AA119" i="97"/>
  <c r="AA365" i="96"/>
  <c r="AG365" i="96" s="1"/>
  <c r="AA122" i="97"/>
  <c r="AA372" i="96"/>
  <c r="AG372" i="96" s="1"/>
  <c r="AA367" i="96"/>
  <c r="AG367" i="96" s="1"/>
  <c r="AA364" i="96"/>
  <c r="AG364" i="96" s="1"/>
  <c r="AA531" i="96"/>
  <c r="AA530" i="96"/>
  <c r="AA527" i="96"/>
  <c r="AA526" i="96"/>
  <c r="AA522" i="96"/>
  <c r="AA528" i="96"/>
  <c r="AA525" i="96"/>
  <c r="AA524" i="96"/>
  <c r="AA523" i="96"/>
  <c r="AA533" i="96"/>
  <c r="AA532" i="96"/>
  <c r="AA529" i="96"/>
  <c r="AA363" i="96"/>
  <c r="AA351" i="96"/>
  <c r="AA339" i="96"/>
  <c r="AA327" i="96"/>
  <c r="AA359" i="96"/>
  <c r="AA347" i="96"/>
  <c r="AA335" i="96"/>
  <c r="AA358" i="96"/>
  <c r="AA346" i="96"/>
  <c r="AA334" i="96"/>
  <c r="AA354" i="96"/>
  <c r="AA342" i="96"/>
  <c r="AA330" i="96"/>
  <c r="AA361" i="96"/>
  <c r="AA343" i="96"/>
  <c r="AA360" i="96"/>
  <c r="AA341" i="96"/>
  <c r="AA357" i="96"/>
  <c r="AA340" i="96"/>
  <c r="AA356" i="96"/>
  <c r="AA338" i="96"/>
  <c r="AA110" i="97"/>
  <c r="AA355" i="96"/>
  <c r="AA337" i="96"/>
  <c r="AA352" i="96"/>
  <c r="AA333" i="96"/>
  <c r="AA350" i="96"/>
  <c r="AA332" i="96"/>
  <c r="AA348" i="96"/>
  <c r="AA329" i="96"/>
  <c r="AA345" i="96"/>
  <c r="AA344" i="96"/>
  <c r="AA336" i="96"/>
  <c r="AA328" i="96"/>
  <c r="AA353" i="96"/>
  <c r="AA331" i="96"/>
  <c r="AA326" i="96"/>
  <c r="AA362" i="96"/>
  <c r="AA349" i="96"/>
  <c r="AA615" i="96"/>
  <c r="AA603" i="96"/>
  <c r="AA591" i="96"/>
  <c r="AA579" i="96"/>
  <c r="AA567" i="96"/>
  <c r="AA555" i="96"/>
  <c r="AA543" i="96"/>
  <c r="AA614" i="96"/>
  <c r="AA602" i="96"/>
  <c r="AA590" i="96"/>
  <c r="AA578" i="96"/>
  <c r="AA566" i="96"/>
  <c r="AA554" i="96"/>
  <c r="AA542" i="96"/>
  <c r="AA611" i="96"/>
  <c r="AA599" i="96"/>
  <c r="AA587" i="96"/>
  <c r="AA575" i="96"/>
  <c r="AA563" i="96"/>
  <c r="AA551" i="96"/>
  <c r="AA539" i="96"/>
  <c r="AA610" i="96"/>
  <c r="AA598" i="96"/>
  <c r="AA586" i="96"/>
  <c r="AA574" i="96"/>
  <c r="AA562" i="96"/>
  <c r="AA550" i="96"/>
  <c r="AA538" i="96"/>
  <c r="AA606" i="96"/>
  <c r="AA594" i="96"/>
  <c r="AA582" i="96"/>
  <c r="AA570" i="96"/>
  <c r="AA558" i="96"/>
  <c r="AA546" i="96"/>
  <c r="AA534" i="96"/>
  <c r="AA609" i="96"/>
  <c r="AA589" i="96"/>
  <c r="AA569" i="96"/>
  <c r="AA548" i="96"/>
  <c r="AA608" i="96"/>
  <c r="AA588" i="96"/>
  <c r="AA568" i="96"/>
  <c r="AA547" i="96"/>
  <c r="AA607" i="96"/>
  <c r="AA585" i="96"/>
  <c r="AA565" i="96"/>
  <c r="AA545" i="96"/>
  <c r="AA605" i="96"/>
  <c r="AA584" i="96"/>
  <c r="AA564" i="96"/>
  <c r="AA544" i="96"/>
  <c r="AA604" i="96"/>
  <c r="AA583" i="96"/>
  <c r="AA561" i="96"/>
  <c r="AA541" i="96"/>
  <c r="AA600" i="96"/>
  <c r="AA580" i="96"/>
  <c r="AA559" i="96"/>
  <c r="AA537" i="96"/>
  <c r="AA597" i="96"/>
  <c r="AA577" i="96"/>
  <c r="AA557" i="96"/>
  <c r="AA536" i="96"/>
  <c r="AA616" i="96"/>
  <c r="AA595" i="96"/>
  <c r="AA573" i="96"/>
  <c r="AA553" i="96"/>
  <c r="AA571" i="96"/>
  <c r="AA560" i="96"/>
  <c r="AA556" i="96"/>
  <c r="AA612" i="96"/>
  <c r="AA549" i="96"/>
  <c r="AA613" i="96"/>
  <c r="AA552" i="96"/>
  <c r="AA601" i="96"/>
  <c r="AA540" i="96"/>
  <c r="AA596" i="96"/>
  <c r="AA535" i="96"/>
  <c r="AA593" i="96"/>
  <c r="AA581" i="96"/>
  <c r="AA576" i="96"/>
  <c r="AA572" i="96"/>
  <c r="AA592" i="96"/>
  <c r="AA247" i="96"/>
  <c r="AA235" i="96"/>
  <c r="AA175" i="96"/>
  <c r="AA163" i="96"/>
  <c r="AA71" i="96"/>
  <c r="AA47" i="96"/>
  <c r="AA243" i="96"/>
  <c r="AA231" i="96"/>
  <c r="AA171" i="96"/>
  <c r="AA159" i="96"/>
  <c r="AA79" i="96"/>
  <c r="AA67" i="96"/>
  <c r="AA242" i="96"/>
  <c r="AA230" i="96"/>
  <c r="AA170" i="96"/>
  <c r="AA158" i="96"/>
  <c r="AA78" i="96"/>
  <c r="AA66" i="96"/>
  <c r="AA42" i="96"/>
  <c r="AA238" i="96"/>
  <c r="AA178" i="96"/>
  <c r="AA166" i="96"/>
  <c r="AA74" i="96"/>
  <c r="AA62" i="96"/>
  <c r="AA38" i="96"/>
  <c r="AA239" i="96"/>
  <c r="AA179" i="96"/>
  <c r="AA161" i="96"/>
  <c r="AA69" i="96"/>
  <c r="AA237" i="96"/>
  <c r="AA177" i="96"/>
  <c r="AA160" i="96"/>
  <c r="AA68" i="96"/>
  <c r="AA49" i="96"/>
  <c r="AA236" i="96"/>
  <c r="AA176" i="96"/>
  <c r="AA65" i="96"/>
  <c r="AA48" i="96"/>
  <c r="AA234" i="96"/>
  <c r="AA174" i="96"/>
  <c r="AA64" i="96"/>
  <c r="AA46" i="96"/>
  <c r="AA233" i="96"/>
  <c r="AA173" i="96"/>
  <c r="AA81" i="96"/>
  <c r="AA63" i="96"/>
  <c r="AA45" i="96"/>
  <c r="AA248" i="96"/>
  <c r="AA169" i="96"/>
  <c r="AA77" i="96"/>
  <c r="AA43" i="96"/>
  <c r="AA246" i="96"/>
  <c r="AA244" i="96"/>
  <c r="AA165" i="96"/>
  <c r="AA73" i="96"/>
  <c r="AA39" i="96"/>
  <c r="AA41" i="96"/>
  <c r="AA181" i="96"/>
  <c r="AA80" i="96"/>
  <c r="AA40" i="96"/>
  <c r="AA249" i="96"/>
  <c r="AA180" i="96"/>
  <c r="AA76" i="96"/>
  <c r="AA241" i="96"/>
  <c r="AA168" i="96"/>
  <c r="AA72" i="96"/>
  <c r="AA44" i="96"/>
  <c r="AA245" i="96"/>
  <c r="AA172" i="96"/>
  <c r="AA75" i="96"/>
  <c r="AA240" i="96"/>
  <c r="AA167" i="96"/>
  <c r="AA70" i="96"/>
  <c r="AA232" i="96"/>
  <c r="AA164" i="96"/>
  <c r="AA162" i="96"/>
  <c r="S53" i="54"/>
  <c r="AB5" i="58"/>
  <c r="Y44" i="58"/>
  <c r="Y44" i="57"/>
  <c r="AB5" i="57"/>
  <c r="L630" i="100" l="1"/>
  <c r="O630" i="100" s="1"/>
  <c r="L638" i="100"/>
  <c r="O638" i="100" s="1"/>
  <c r="L521" i="100"/>
  <c r="O521" i="100" s="1"/>
  <c r="L635" i="100"/>
  <c r="O635" i="100" s="1"/>
  <c r="L631" i="100"/>
  <c r="O631" i="100" s="1"/>
  <c r="AG508" i="96"/>
  <c r="L508" i="100"/>
  <c r="O508" i="100" s="1"/>
  <c r="AG636" i="96"/>
  <c r="L636" i="100"/>
  <c r="O636" i="100" s="1"/>
  <c r="AG637" i="96"/>
  <c r="L637" i="100"/>
  <c r="O637" i="100" s="1"/>
  <c r="L514" i="100"/>
  <c r="O514" i="100" s="1"/>
  <c r="AG514" i="96"/>
  <c r="AG498" i="96"/>
  <c r="L498" i="100"/>
  <c r="O498" i="100" s="1"/>
  <c r="AG634" i="96"/>
  <c r="L634" i="100"/>
  <c r="O634" i="100" s="1"/>
  <c r="AG641" i="96"/>
  <c r="L641" i="100"/>
  <c r="O641" i="100" s="1"/>
  <c r="AG639" i="96"/>
  <c r="L639" i="100"/>
  <c r="O639" i="100" s="1"/>
  <c r="L518" i="100"/>
  <c r="O518" i="100" s="1"/>
  <c r="AG518" i="96"/>
  <c r="L502" i="100"/>
  <c r="O502" i="100" s="1"/>
  <c r="AG502" i="96"/>
  <c r="L520" i="100"/>
  <c r="O520" i="100" s="1"/>
  <c r="AG520" i="96"/>
  <c r="AG503" i="96"/>
  <c r="L503" i="100"/>
  <c r="O503" i="100" s="1"/>
  <c r="AG512" i="96"/>
  <c r="L512" i="100"/>
  <c r="O512" i="100" s="1"/>
  <c r="AG506" i="96"/>
  <c r="L506" i="100"/>
  <c r="O506" i="100" s="1"/>
  <c r="AP4" i="96"/>
  <c r="AQ4" i="96" s="1"/>
  <c r="AC10" i="100"/>
  <c r="AG507" i="96"/>
  <c r="L507" i="100"/>
  <c r="O507" i="100" s="1"/>
  <c r="AG519" i="96"/>
  <c r="L519" i="100"/>
  <c r="O519" i="100" s="1"/>
  <c r="L499" i="100"/>
  <c r="O499" i="100" s="1"/>
  <c r="AG499" i="96"/>
  <c r="AG632" i="96"/>
  <c r="L632" i="100"/>
  <c r="L416" i="100"/>
  <c r="O416" i="100" s="1"/>
  <c r="L412" i="100"/>
  <c r="O412" i="100" s="1"/>
  <c r="L424" i="100"/>
  <c r="O424" i="100" s="1"/>
  <c r="L378" i="100"/>
  <c r="O378" i="100" s="1"/>
  <c r="L420" i="100"/>
  <c r="O420" i="100" s="1"/>
  <c r="L393" i="100"/>
  <c r="O393" i="100" s="1"/>
  <c r="L398" i="100"/>
  <c r="O398" i="100" s="1"/>
  <c r="L383" i="100"/>
  <c r="O383" i="100" s="1"/>
  <c r="L372" i="100"/>
  <c r="O372" i="100" s="1"/>
  <c r="L411" i="100"/>
  <c r="O411" i="100" s="1"/>
  <c r="L405" i="100"/>
  <c r="O405" i="100" s="1"/>
  <c r="L414" i="100"/>
  <c r="O414" i="100" s="1"/>
  <c r="L392" i="100"/>
  <c r="O392" i="100" s="1"/>
  <c r="L376" i="100"/>
  <c r="L364" i="100"/>
  <c r="O364" i="100" s="1"/>
  <c r="L399" i="100"/>
  <c r="O399" i="100" s="1"/>
  <c r="L366" i="100"/>
  <c r="O366" i="100" s="1"/>
  <c r="L388" i="100"/>
  <c r="O388" i="100" s="1"/>
  <c r="L415" i="100"/>
  <c r="O415" i="100" s="1"/>
  <c r="L367" i="100"/>
  <c r="O367" i="100" s="1"/>
  <c r="L404" i="100"/>
  <c r="O404" i="100" s="1"/>
  <c r="L418" i="100"/>
  <c r="O418" i="100" s="1"/>
  <c r="L386" i="100"/>
  <c r="O386" i="100" s="1"/>
  <c r="L417" i="100"/>
  <c r="O417" i="100" s="1"/>
  <c r="L432" i="100"/>
  <c r="O432" i="100" s="1"/>
  <c r="L385" i="100"/>
  <c r="O385" i="100" s="1"/>
  <c r="L429" i="100"/>
  <c r="O429" i="100" s="1"/>
  <c r="L387" i="100"/>
  <c r="O387" i="100" s="1"/>
  <c r="L380" i="100"/>
  <c r="O380" i="100" s="1"/>
  <c r="L381" i="100"/>
  <c r="O381" i="100" s="1"/>
  <c r="L423" i="100"/>
  <c r="O423" i="100" s="1"/>
  <c r="L371" i="100"/>
  <c r="O371" i="100" s="1"/>
  <c r="L403" i="100"/>
  <c r="O403" i="100" s="1"/>
  <c r="L406" i="100"/>
  <c r="O406" i="100" s="1"/>
  <c r="L407" i="100"/>
  <c r="O407" i="100" s="1"/>
  <c r="L374" i="100"/>
  <c r="L408" i="100"/>
  <c r="O408" i="100" s="1"/>
  <c r="L389" i="100"/>
  <c r="O389" i="100" s="1"/>
  <c r="L409" i="100"/>
  <c r="O409" i="100" s="1"/>
  <c r="L402" i="100"/>
  <c r="O402" i="100" s="1"/>
  <c r="L379" i="100"/>
  <c r="O379" i="100" s="1"/>
  <c r="L382" i="100"/>
  <c r="O382" i="100" s="1"/>
  <c r="AG416" i="96"/>
  <c r="L368" i="100"/>
  <c r="O368" i="100" s="1"/>
  <c r="L400" i="100"/>
  <c r="O400" i="100" s="1"/>
  <c r="L430" i="100"/>
  <c r="O430" i="100" s="1"/>
  <c r="L396" i="100"/>
  <c r="O396" i="100" s="1"/>
  <c r="L377" i="100"/>
  <c r="L431" i="100"/>
  <c r="O431" i="100" s="1"/>
  <c r="L390" i="100"/>
  <c r="O390" i="100" s="1"/>
  <c r="L434" i="100"/>
  <c r="O434" i="100" s="1"/>
  <c r="L433" i="100"/>
  <c r="O433" i="100" s="1"/>
  <c r="L391" i="100"/>
  <c r="O391" i="100" s="1"/>
  <c r="L421" i="100"/>
  <c r="O421" i="100" s="1"/>
  <c r="L384" i="100"/>
  <c r="O384" i="100" s="1"/>
  <c r="L427" i="100"/>
  <c r="O427" i="100" s="1"/>
  <c r="L397" i="100"/>
  <c r="O397" i="100" s="1"/>
  <c r="L425" i="100"/>
  <c r="O425" i="100" s="1"/>
  <c r="L428" i="100"/>
  <c r="O428" i="100" s="1"/>
  <c r="L426" i="100"/>
  <c r="O426" i="100" s="1"/>
  <c r="L373" i="100"/>
  <c r="O373" i="100" s="1"/>
  <c r="L413" i="100"/>
  <c r="O413" i="100" s="1"/>
  <c r="L435" i="100"/>
  <c r="O435" i="100" s="1"/>
  <c r="L401" i="100"/>
  <c r="O401" i="100" s="1"/>
  <c r="L422" i="100"/>
  <c r="O422" i="100" s="1"/>
  <c r="L419" i="100"/>
  <c r="O419" i="100" s="1"/>
  <c r="L365" i="100"/>
  <c r="O365" i="100" s="1"/>
  <c r="L395" i="100"/>
  <c r="O395" i="100" s="1"/>
  <c r="L369" i="100"/>
  <c r="O369" i="100" s="1"/>
  <c r="L375" i="100"/>
  <c r="O375" i="100" s="1"/>
  <c r="L410" i="100"/>
  <c r="O410" i="100" s="1"/>
  <c r="L370" i="100"/>
  <c r="L394" i="100"/>
  <c r="O394" i="100" s="1"/>
  <c r="AG517" i="96"/>
  <c r="L517" i="100"/>
  <c r="O517" i="100" s="1"/>
  <c r="AG509" i="96"/>
  <c r="L509" i="100"/>
  <c r="O509" i="100" s="1"/>
  <c r="AG513" i="96"/>
  <c r="L513" i="100"/>
  <c r="O513" i="100" s="1"/>
  <c r="AG500" i="96"/>
  <c r="L500" i="100"/>
  <c r="O500" i="100" s="1"/>
  <c r="I14" i="109"/>
  <c r="I15" i="109"/>
  <c r="AG504" i="96"/>
  <c r="L504" i="100"/>
  <c r="O504" i="100" s="1"/>
  <c r="L501" i="100"/>
  <c r="O501" i="100" s="1"/>
  <c r="AG501" i="96"/>
  <c r="AG510" i="96"/>
  <c r="L510" i="100"/>
  <c r="O510" i="100" s="1"/>
  <c r="AG515" i="96"/>
  <c r="AG505" i="96"/>
  <c r="L505" i="100"/>
  <c r="O505" i="100" s="1"/>
  <c r="AG633" i="96"/>
  <c r="L633" i="100"/>
  <c r="O633" i="100" s="1"/>
  <c r="L640" i="100"/>
  <c r="O640" i="100" s="1"/>
  <c r="AG640" i="96"/>
  <c r="M15" i="110"/>
  <c r="M14" i="110"/>
  <c r="AJ5" i="103"/>
  <c r="G8" i="101"/>
  <c r="I8" i="101" s="1"/>
  <c r="G13" i="101"/>
  <c r="I13" i="101" s="1"/>
  <c r="AG249" i="96"/>
  <c r="L300" i="100"/>
  <c r="O300" i="100" s="1"/>
  <c r="L296" i="100"/>
  <c r="O296" i="100" s="1"/>
  <c r="L292" i="100"/>
  <c r="O292" i="100" s="1"/>
  <c r="L299" i="100"/>
  <c r="O299" i="100" s="1"/>
  <c r="L295" i="100"/>
  <c r="O295" i="100" s="1"/>
  <c r="L291" i="100"/>
  <c r="O291" i="100" s="1"/>
  <c r="L298" i="100"/>
  <c r="O298" i="100" s="1"/>
  <c r="L293" i="100"/>
  <c r="O293" i="100" s="1"/>
  <c r="L297" i="100"/>
  <c r="O297" i="100" s="1"/>
  <c r="L290" i="100"/>
  <c r="O290" i="100" s="1"/>
  <c r="L294" i="100"/>
  <c r="O294" i="100" s="1"/>
  <c r="L301" i="100"/>
  <c r="O301" i="100" s="1"/>
  <c r="L249" i="100"/>
  <c r="O249" i="100" s="1"/>
  <c r="AG69" i="96"/>
  <c r="L69" i="100"/>
  <c r="O69" i="100" s="1"/>
  <c r="AG535" i="96"/>
  <c r="L535" i="100"/>
  <c r="O535" i="100" s="1"/>
  <c r="AG571" i="96"/>
  <c r="L571" i="100"/>
  <c r="O571" i="100" s="1"/>
  <c r="AG48" i="96"/>
  <c r="L48" i="100"/>
  <c r="O48" i="100" s="1"/>
  <c r="AG47" i="96"/>
  <c r="L47" i="100"/>
  <c r="O47" i="100" s="1"/>
  <c r="AG609" i="96"/>
  <c r="L609" i="100"/>
  <c r="O609" i="100" s="1"/>
  <c r="AG340" i="96"/>
  <c r="L340" i="100"/>
  <c r="O340" i="100" s="1"/>
  <c r="AG525" i="96"/>
  <c r="L525" i="100"/>
  <c r="O525" i="100" s="1"/>
  <c r="AG80" i="96"/>
  <c r="L80" i="100"/>
  <c r="O80" i="100" s="1"/>
  <c r="AG540" i="96"/>
  <c r="L540" i="100"/>
  <c r="O540" i="100" s="1"/>
  <c r="AG44" i="96"/>
  <c r="L44" i="100"/>
  <c r="O44" i="100" s="1"/>
  <c r="AG164" i="96"/>
  <c r="L164" i="100"/>
  <c r="O164" i="100" s="1"/>
  <c r="AG76" i="96"/>
  <c r="L76" i="100"/>
  <c r="O76" i="100" s="1"/>
  <c r="AG246" i="96"/>
  <c r="L246" i="100"/>
  <c r="O246" i="100" s="1"/>
  <c r="AG174" i="96"/>
  <c r="L174" i="100"/>
  <c r="O174" i="100" s="1"/>
  <c r="AG177" i="96"/>
  <c r="L177" i="100"/>
  <c r="O177" i="100" s="1"/>
  <c r="AG171" i="96"/>
  <c r="L171" i="100"/>
  <c r="O171" i="100" s="1"/>
  <c r="AG581" i="96"/>
  <c r="L581" i="100"/>
  <c r="O581" i="100" s="1"/>
  <c r="AG560" i="96"/>
  <c r="L560" i="100"/>
  <c r="O560" i="100" s="1"/>
  <c r="AG537" i="96"/>
  <c r="L537" i="100"/>
  <c r="O537" i="100" s="1"/>
  <c r="AG605" i="96"/>
  <c r="L605" i="100"/>
  <c r="O605" i="100" s="1"/>
  <c r="AG548" i="96"/>
  <c r="L548" i="100"/>
  <c r="O548" i="100" s="1"/>
  <c r="AG550" i="96"/>
  <c r="L550" i="100"/>
  <c r="O550" i="100" s="1"/>
  <c r="AG599" i="96"/>
  <c r="L599" i="100"/>
  <c r="O599" i="100" s="1"/>
  <c r="AG555" i="96"/>
  <c r="L555" i="100"/>
  <c r="O555" i="100" s="1"/>
  <c r="AG328" i="96"/>
  <c r="L328" i="100"/>
  <c r="O328" i="100" s="1"/>
  <c r="AG334" i="96"/>
  <c r="L334" i="100"/>
  <c r="O334" i="100" s="1"/>
  <c r="AG533" i="96"/>
  <c r="L533" i="100"/>
  <c r="O533" i="100" s="1"/>
  <c r="AG232" i="96"/>
  <c r="L232" i="100"/>
  <c r="O232" i="100" s="1"/>
  <c r="AG180" i="96"/>
  <c r="L180" i="100"/>
  <c r="O180" i="100" s="1"/>
  <c r="AG43" i="96"/>
  <c r="L43" i="100"/>
  <c r="O43" i="100" s="1"/>
  <c r="AG234" i="96"/>
  <c r="L234" i="100"/>
  <c r="O234" i="100" s="1"/>
  <c r="AG237" i="96"/>
  <c r="L237" i="100"/>
  <c r="O237" i="100" s="1"/>
  <c r="AG42" i="96"/>
  <c r="L42" i="100"/>
  <c r="O42" i="100" s="1"/>
  <c r="AG231" i="96"/>
  <c r="L231" i="100"/>
  <c r="O231" i="100" s="1"/>
  <c r="AG593" i="96"/>
  <c r="L593" i="100"/>
  <c r="O593" i="100" s="1"/>
  <c r="AG559" i="96"/>
  <c r="L559" i="100"/>
  <c r="O559" i="100" s="1"/>
  <c r="AG569" i="96"/>
  <c r="L569" i="100"/>
  <c r="O569" i="100" s="1"/>
  <c r="AG562" i="96"/>
  <c r="L562" i="100"/>
  <c r="O562" i="100" s="1"/>
  <c r="AG611" i="96"/>
  <c r="L611" i="100"/>
  <c r="O611" i="100" s="1"/>
  <c r="AG567" i="96"/>
  <c r="L567" i="100"/>
  <c r="O567" i="100" s="1"/>
  <c r="AG336" i="96"/>
  <c r="L336" i="100"/>
  <c r="O336" i="100" s="1"/>
  <c r="AG338" i="96"/>
  <c r="L338" i="100"/>
  <c r="O338" i="100" s="1"/>
  <c r="AG346" i="96"/>
  <c r="L346" i="100"/>
  <c r="O346" i="100" s="1"/>
  <c r="AG523" i="96"/>
  <c r="L523" i="100"/>
  <c r="O523" i="100" s="1"/>
  <c r="AG66" i="96"/>
  <c r="L66" i="100"/>
  <c r="O66" i="100" s="1"/>
  <c r="AG545" i="96"/>
  <c r="L545" i="100"/>
  <c r="O545" i="100" s="1"/>
  <c r="AG589" i="96"/>
  <c r="L589" i="100"/>
  <c r="O589" i="100" s="1"/>
  <c r="AG574" i="96"/>
  <c r="L574" i="100"/>
  <c r="O574" i="100" s="1"/>
  <c r="AG579" i="96"/>
  <c r="L579" i="100"/>
  <c r="O579" i="100" s="1"/>
  <c r="AG344" i="96"/>
  <c r="L344" i="100"/>
  <c r="O344" i="100" s="1"/>
  <c r="AG356" i="96"/>
  <c r="L356" i="100"/>
  <c r="O356" i="100" s="1"/>
  <c r="AG358" i="96"/>
  <c r="L358" i="100"/>
  <c r="O358" i="100" s="1"/>
  <c r="AG524" i="96"/>
  <c r="L524" i="100"/>
  <c r="O524" i="100" s="1"/>
  <c r="AG600" i="96"/>
  <c r="L600" i="100"/>
  <c r="O600" i="100" s="1"/>
  <c r="AG77" i="96"/>
  <c r="L77" i="100"/>
  <c r="O77" i="100" s="1"/>
  <c r="AG161" i="96"/>
  <c r="L161" i="100"/>
  <c r="O161" i="100" s="1"/>
  <c r="AG598" i="96"/>
  <c r="L598" i="100"/>
  <c r="O598" i="100" s="1"/>
  <c r="AG528" i="96"/>
  <c r="L528" i="100"/>
  <c r="O528" i="100" s="1"/>
  <c r="AG45" i="96"/>
  <c r="L45" i="100"/>
  <c r="O45" i="100" s="1"/>
  <c r="AG239" i="96"/>
  <c r="L239" i="100"/>
  <c r="O239" i="100" s="1"/>
  <c r="AG170" i="96"/>
  <c r="L170" i="100"/>
  <c r="O170" i="100" s="1"/>
  <c r="AG163" i="96"/>
  <c r="L163" i="100"/>
  <c r="O163" i="100" s="1"/>
  <c r="AG601" i="96"/>
  <c r="L601" i="100"/>
  <c r="O601" i="100" s="1"/>
  <c r="AG595" i="96"/>
  <c r="L595" i="100"/>
  <c r="O595" i="100" s="1"/>
  <c r="AG561" i="96"/>
  <c r="L561" i="100"/>
  <c r="O561" i="100" s="1"/>
  <c r="AG607" i="96"/>
  <c r="L607" i="100"/>
  <c r="O607" i="100" s="1"/>
  <c r="AG546" i="96"/>
  <c r="L546" i="100"/>
  <c r="O546" i="100" s="1"/>
  <c r="AG610" i="96"/>
  <c r="L610" i="100"/>
  <c r="O610" i="100" s="1"/>
  <c r="AG566" i="96"/>
  <c r="L566" i="100"/>
  <c r="O566" i="100" s="1"/>
  <c r="AG615" i="96"/>
  <c r="L615" i="100"/>
  <c r="O615" i="100" s="1"/>
  <c r="AG348" i="96"/>
  <c r="L348" i="100"/>
  <c r="O348" i="100" s="1"/>
  <c r="AG341" i="96"/>
  <c r="L341" i="100"/>
  <c r="O341" i="100" s="1"/>
  <c r="AG359" i="96"/>
  <c r="L359" i="100"/>
  <c r="O359" i="100" s="1"/>
  <c r="AG522" i="96"/>
  <c r="L522" i="100"/>
  <c r="AG553" i="96"/>
  <c r="L553" i="100"/>
  <c r="O553" i="100" s="1"/>
  <c r="AG248" i="96"/>
  <c r="L248" i="100"/>
  <c r="O248" i="100" s="1"/>
  <c r="AG357" i="96"/>
  <c r="L357" i="100"/>
  <c r="O357" i="100" s="1"/>
  <c r="AG70" i="96"/>
  <c r="L70" i="100"/>
  <c r="O70" i="100" s="1"/>
  <c r="AG243" i="96"/>
  <c r="L243" i="100"/>
  <c r="O243" i="100" s="1"/>
  <c r="AG580" i="96"/>
  <c r="L580" i="100"/>
  <c r="O580" i="100" s="1"/>
  <c r="AG40" i="96"/>
  <c r="L40" i="100"/>
  <c r="O40" i="100" s="1"/>
  <c r="AG78" i="96"/>
  <c r="L78" i="100"/>
  <c r="O78" i="100" s="1"/>
  <c r="AG596" i="96"/>
  <c r="L596" i="100"/>
  <c r="O596" i="100" s="1"/>
  <c r="AG565" i="96"/>
  <c r="L565" i="100"/>
  <c r="O565" i="100" s="1"/>
  <c r="AG591" i="96"/>
  <c r="L591" i="100"/>
  <c r="O591" i="100" s="1"/>
  <c r="AG335" i="96"/>
  <c r="L335" i="100"/>
  <c r="O335" i="100" s="1"/>
  <c r="AG240" i="96"/>
  <c r="L240" i="100"/>
  <c r="O240" i="100" s="1"/>
  <c r="AG179" i="96"/>
  <c r="L179" i="100"/>
  <c r="O179" i="100" s="1"/>
  <c r="AG71" i="96"/>
  <c r="L71" i="100"/>
  <c r="O71" i="100" s="1"/>
  <c r="AG541" i="96"/>
  <c r="L541" i="100"/>
  <c r="O541" i="100" s="1"/>
  <c r="AG585" i="96"/>
  <c r="L585" i="100"/>
  <c r="O585" i="100" s="1"/>
  <c r="AG534" i="96"/>
  <c r="L534" i="100"/>
  <c r="O534" i="100" s="1"/>
  <c r="AG554" i="96"/>
  <c r="L554" i="100"/>
  <c r="O554" i="100" s="1"/>
  <c r="AG603" i="96"/>
  <c r="L603" i="100"/>
  <c r="O603" i="100" s="1"/>
  <c r="AG329" i="96"/>
  <c r="L329" i="100"/>
  <c r="O329" i="100" s="1"/>
  <c r="AG347" i="96"/>
  <c r="L347" i="100"/>
  <c r="O347" i="100" s="1"/>
  <c r="AG75" i="96"/>
  <c r="L75" i="100"/>
  <c r="O75" i="100" s="1"/>
  <c r="AG181" i="96"/>
  <c r="L181" i="100"/>
  <c r="O181" i="100" s="1"/>
  <c r="AG176" i="96"/>
  <c r="L176" i="100"/>
  <c r="O176" i="100" s="1"/>
  <c r="AG172" i="96"/>
  <c r="L172" i="100"/>
  <c r="O172" i="100" s="1"/>
  <c r="AG41" i="96"/>
  <c r="L41" i="100"/>
  <c r="O41" i="100" s="1"/>
  <c r="AG63" i="96"/>
  <c r="L63" i="100"/>
  <c r="O63" i="100" s="1"/>
  <c r="AG236" i="96"/>
  <c r="L236" i="100"/>
  <c r="O236" i="100" s="1"/>
  <c r="AG38" i="96"/>
  <c r="L38" i="100"/>
  <c r="AG230" i="96"/>
  <c r="L230" i="100"/>
  <c r="O230" i="100" s="1"/>
  <c r="AG175" i="96"/>
  <c r="L175" i="100"/>
  <c r="O175" i="100" s="1"/>
  <c r="AG552" i="96"/>
  <c r="L552" i="100"/>
  <c r="O552" i="100" s="1"/>
  <c r="AG616" i="96"/>
  <c r="L629" i="100"/>
  <c r="O629" i="100" s="1"/>
  <c r="L625" i="100"/>
  <c r="O625" i="100" s="1"/>
  <c r="L621" i="100"/>
  <c r="O621" i="100" s="1"/>
  <c r="L617" i="100"/>
  <c r="O617" i="100" s="1"/>
  <c r="L628" i="100"/>
  <c r="O628" i="100" s="1"/>
  <c r="L624" i="100"/>
  <c r="O624" i="100" s="1"/>
  <c r="L620" i="100"/>
  <c r="O620" i="100" s="1"/>
  <c r="L623" i="100"/>
  <c r="O623" i="100" s="1"/>
  <c r="L618" i="100"/>
  <c r="O618" i="100" s="1"/>
  <c r="L627" i="100"/>
  <c r="O627" i="100" s="1"/>
  <c r="L622" i="100"/>
  <c r="O622" i="100" s="1"/>
  <c r="L619" i="100"/>
  <c r="O619" i="100" s="1"/>
  <c r="L626" i="100"/>
  <c r="O626" i="100" s="1"/>
  <c r="L616" i="100"/>
  <c r="O616" i="100" s="1"/>
  <c r="AG583" i="96"/>
  <c r="L583" i="100"/>
  <c r="O583" i="100" s="1"/>
  <c r="AG558" i="96"/>
  <c r="L558" i="100"/>
  <c r="O558" i="100" s="1"/>
  <c r="AG578" i="96"/>
  <c r="L578" i="100"/>
  <c r="O578" i="100" s="1"/>
  <c r="AG332" i="96"/>
  <c r="L332" i="100"/>
  <c r="O332" i="100" s="1"/>
  <c r="AG360" i="96"/>
  <c r="L360" i="100"/>
  <c r="O360" i="100" s="1"/>
  <c r="AG327" i="96"/>
  <c r="L327" i="100"/>
  <c r="O327" i="100" s="1"/>
  <c r="AG526" i="96"/>
  <c r="L526" i="100"/>
  <c r="O526" i="100" s="1"/>
  <c r="AG245" i="96"/>
  <c r="L245" i="100"/>
  <c r="O245" i="100" s="1"/>
  <c r="AG39" i="96"/>
  <c r="L39" i="100"/>
  <c r="O39" i="100" s="1"/>
  <c r="AG81" i="96"/>
  <c r="L81" i="100"/>
  <c r="O81" i="100" s="1"/>
  <c r="AG62" i="96"/>
  <c r="L62" i="100"/>
  <c r="O62" i="100" s="1"/>
  <c r="AG242" i="96"/>
  <c r="L242" i="100"/>
  <c r="O242" i="100" s="1"/>
  <c r="AG235" i="96"/>
  <c r="L235" i="100"/>
  <c r="O235" i="100" s="1"/>
  <c r="AG613" i="96"/>
  <c r="L613" i="100"/>
  <c r="O613" i="100" s="1"/>
  <c r="AG604" i="96"/>
  <c r="L604" i="100"/>
  <c r="O604" i="100" s="1"/>
  <c r="AG547" i="96"/>
  <c r="L547" i="100"/>
  <c r="O547" i="100" s="1"/>
  <c r="AG570" i="96"/>
  <c r="L570" i="100"/>
  <c r="O570" i="100" s="1"/>
  <c r="AG539" i="96"/>
  <c r="L539" i="100"/>
  <c r="O539" i="100" s="1"/>
  <c r="AG590" i="96"/>
  <c r="L590" i="100"/>
  <c r="O590" i="100" s="1"/>
  <c r="AG349" i="96"/>
  <c r="L349" i="100"/>
  <c r="O349" i="100" s="1"/>
  <c r="AG350" i="96"/>
  <c r="L350" i="100"/>
  <c r="O350" i="100" s="1"/>
  <c r="AG343" i="96"/>
  <c r="L343" i="100"/>
  <c r="O343" i="100" s="1"/>
  <c r="AG339" i="96"/>
  <c r="L339" i="100"/>
  <c r="O339" i="100" s="1"/>
  <c r="AG527" i="96"/>
  <c r="L527" i="100"/>
  <c r="O527" i="100" s="1"/>
  <c r="AG169" i="96"/>
  <c r="L169" i="100"/>
  <c r="O169" i="100" s="1"/>
  <c r="AG73" i="96"/>
  <c r="L73" i="100"/>
  <c r="O73" i="100" s="1"/>
  <c r="AG173" i="96"/>
  <c r="L173" i="100"/>
  <c r="O173" i="100" s="1"/>
  <c r="AG74" i="96"/>
  <c r="L74" i="100"/>
  <c r="O74" i="100" s="1"/>
  <c r="AG247" i="96"/>
  <c r="L247" i="100"/>
  <c r="O247" i="100" s="1"/>
  <c r="AG549" i="96"/>
  <c r="L549" i="100"/>
  <c r="O549" i="100" s="1"/>
  <c r="AG536" i="96"/>
  <c r="L536" i="100"/>
  <c r="O536" i="100" s="1"/>
  <c r="AG568" i="96"/>
  <c r="L568" i="100"/>
  <c r="O568" i="100" s="1"/>
  <c r="AG582" i="96"/>
  <c r="L582" i="100"/>
  <c r="O582" i="100" s="1"/>
  <c r="AG551" i="96"/>
  <c r="L551" i="100"/>
  <c r="O551" i="100" s="1"/>
  <c r="AG602" i="96"/>
  <c r="L602" i="100"/>
  <c r="O602" i="100" s="1"/>
  <c r="AG362" i="96"/>
  <c r="L362" i="100"/>
  <c r="O362" i="100" s="1"/>
  <c r="AG333" i="96"/>
  <c r="L333" i="100"/>
  <c r="O333" i="100" s="1"/>
  <c r="AG361" i="96"/>
  <c r="L361" i="100"/>
  <c r="O361" i="100" s="1"/>
  <c r="AG351" i="96"/>
  <c r="L351" i="100"/>
  <c r="O351" i="100" s="1"/>
  <c r="AG530" i="96"/>
  <c r="L530" i="100"/>
  <c r="O530" i="100" s="1"/>
  <c r="O370" i="100"/>
  <c r="O374" i="100"/>
  <c r="AG345" i="96"/>
  <c r="L345" i="100"/>
  <c r="O345" i="100" s="1"/>
  <c r="AG65" i="96"/>
  <c r="L65" i="100"/>
  <c r="O65" i="100" s="1"/>
  <c r="AG72" i="96"/>
  <c r="L72" i="100"/>
  <c r="O72" i="100" s="1"/>
  <c r="AG165" i="96"/>
  <c r="L165" i="100"/>
  <c r="O165" i="100" s="1"/>
  <c r="AG233" i="96"/>
  <c r="L233" i="100"/>
  <c r="O233" i="100" s="1"/>
  <c r="AG49" i="96"/>
  <c r="L49" i="100"/>
  <c r="O49" i="100" s="1"/>
  <c r="AG166" i="96"/>
  <c r="L166" i="100"/>
  <c r="O166" i="100" s="1"/>
  <c r="AG67" i="96"/>
  <c r="L67" i="100"/>
  <c r="O67" i="100" s="1"/>
  <c r="AG592" i="96"/>
  <c r="L592" i="100"/>
  <c r="O592" i="100" s="1"/>
  <c r="AG612" i="96"/>
  <c r="L612" i="100"/>
  <c r="O612" i="100" s="1"/>
  <c r="AG557" i="96"/>
  <c r="L557" i="100"/>
  <c r="O557" i="100" s="1"/>
  <c r="AG544" i="96"/>
  <c r="L544" i="100"/>
  <c r="O544" i="100" s="1"/>
  <c r="AG588" i="96"/>
  <c r="L588" i="100"/>
  <c r="O588" i="100" s="1"/>
  <c r="AG594" i="96"/>
  <c r="L594" i="100"/>
  <c r="O594" i="100" s="1"/>
  <c r="AG563" i="96"/>
  <c r="L563" i="100"/>
  <c r="O563" i="100" s="1"/>
  <c r="AG614" i="96"/>
  <c r="L614" i="100"/>
  <c r="O614" i="100" s="1"/>
  <c r="AG326" i="96"/>
  <c r="L492" i="100"/>
  <c r="O492" i="100" s="1"/>
  <c r="L480" i="100"/>
  <c r="O480" i="100" s="1"/>
  <c r="L468" i="100"/>
  <c r="O468" i="100" s="1"/>
  <c r="L456" i="100"/>
  <c r="O456" i="100" s="1"/>
  <c r="L438" i="100"/>
  <c r="O438" i="100" s="1"/>
  <c r="L487" i="100"/>
  <c r="O487" i="100" s="1"/>
  <c r="L475" i="100"/>
  <c r="O475" i="100" s="1"/>
  <c r="L463" i="100"/>
  <c r="O463" i="100" s="1"/>
  <c r="L451" i="100"/>
  <c r="O451" i="100" s="1"/>
  <c r="L440" i="100"/>
  <c r="O440" i="100" s="1"/>
  <c r="L494" i="100"/>
  <c r="O494" i="100" s="1"/>
  <c r="L482" i="100"/>
  <c r="O482" i="100" s="1"/>
  <c r="L470" i="100"/>
  <c r="O470" i="100" s="1"/>
  <c r="L458" i="100"/>
  <c r="O458" i="100" s="1"/>
  <c r="L442" i="100"/>
  <c r="O442" i="100" s="1"/>
  <c r="L473" i="100"/>
  <c r="O473" i="100" s="1"/>
  <c r="L464" i="100"/>
  <c r="O464" i="100" s="1"/>
  <c r="L455" i="100"/>
  <c r="O455" i="100" s="1"/>
  <c r="L441" i="100"/>
  <c r="O441" i="100" s="1"/>
  <c r="L436" i="100"/>
  <c r="L496" i="100"/>
  <c r="O496" i="100" s="1"/>
  <c r="L493" i="100"/>
  <c r="O493" i="100" s="1"/>
  <c r="L461" i="100"/>
  <c r="O461" i="100" s="1"/>
  <c r="L452" i="100"/>
  <c r="O452" i="100" s="1"/>
  <c r="L490" i="100"/>
  <c r="O490" i="100" s="1"/>
  <c r="L484" i="100"/>
  <c r="O484" i="100" s="1"/>
  <c r="L481" i="100"/>
  <c r="O481" i="100" s="1"/>
  <c r="L449" i="100"/>
  <c r="O449" i="100" s="1"/>
  <c r="L478" i="100"/>
  <c r="O478" i="100" s="1"/>
  <c r="L472" i="100"/>
  <c r="O472" i="100" s="1"/>
  <c r="L469" i="100"/>
  <c r="O469" i="100" s="1"/>
  <c r="L446" i="100"/>
  <c r="O446" i="100" s="1"/>
  <c r="L466" i="100"/>
  <c r="O466" i="100" s="1"/>
  <c r="L460" i="100"/>
  <c r="O460" i="100" s="1"/>
  <c r="L457" i="100"/>
  <c r="O457" i="100" s="1"/>
  <c r="L443" i="100"/>
  <c r="O443" i="100" s="1"/>
  <c r="L326" i="100"/>
  <c r="L471" i="100"/>
  <c r="O471" i="100" s="1"/>
  <c r="L462" i="100"/>
  <c r="O462" i="100" s="1"/>
  <c r="L453" i="100"/>
  <c r="O453" i="100" s="1"/>
  <c r="L491" i="100"/>
  <c r="O491" i="100" s="1"/>
  <c r="L459" i="100"/>
  <c r="O459" i="100" s="1"/>
  <c r="L450" i="100"/>
  <c r="O450" i="100" s="1"/>
  <c r="L439" i="100"/>
  <c r="O439" i="100" s="1"/>
  <c r="L488" i="100"/>
  <c r="O488" i="100" s="1"/>
  <c r="L479" i="100"/>
  <c r="O479" i="100" s="1"/>
  <c r="L465" i="100"/>
  <c r="O465" i="100" s="1"/>
  <c r="L474" i="100"/>
  <c r="O474" i="100" s="1"/>
  <c r="L495" i="100"/>
  <c r="O495" i="100" s="1"/>
  <c r="L486" i="100"/>
  <c r="O486" i="100" s="1"/>
  <c r="L477" i="100"/>
  <c r="O477" i="100" s="1"/>
  <c r="L454" i="100"/>
  <c r="O454" i="100" s="1"/>
  <c r="L485" i="100"/>
  <c r="O485" i="100" s="1"/>
  <c r="L467" i="100"/>
  <c r="O467" i="100" s="1"/>
  <c r="L445" i="100"/>
  <c r="O445" i="100" s="1"/>
  <c r="L437" i="100"/>
  <c r="O437" i="100" s="1"/>
  <c r="L489" i="100"/>
  <c r="O489" i="100" s="1"/>
  <c r="L476" i="100"/>
  <c r="O476" i="100" s="1"/>
  <c r="L444" i="100"/>
  <c r="O444" i="100" s="1"/>
  <c r="L448" i="100"/>
  <c r="O448" i="100" s="1"/>
  <c r="L497" i="100"/>
  <c r="O497" i="100" s="1"/>
  <c r="L447" i="100"/>
  <c r="O447" i="100" s="1"/>
  <c r="L483" i="100"/>
  <c r="O483" i="100" s="1"/>
  <c r="AG352" i="96"/>
  <c r="L352" i="100"/>
  <c r="O352" i="100" s="1"/>
  <c r="AG330" i="96"/>
  <c r="L330" i="100"/>
  <c r="O330" i="100" s="1"/>
  <c r="AG363" i="96"/>
  <c r="L363" i="100"/>
  <c r="O363" i="100" s="1"/>
  <c r="AG531" i="96"/>
  <c r="L531" i="100"/>
  <c r="O531" i="100" s="1"/>
  <c r="AG542" i="96"/>
  <c r="L542" i="100"/>
  <c r="O542" i="100" s="1"/>
  <c r="AG158" i="96"/>
  <c r="L158" i="100"/>
  <c r="O158" i="100" s="1"/>
  <c r="AG162" i="96"/>
  <c r="L162" i="100"/>
  <c r="O162" i="100" s="1"/>
  <c r="AG168" i="96"/>
  <c r="L168" i="100"/>
  <c r="O168" i="100" s="1"/>
  <c r="AG244" i="96"/>
  <c r="L244" i="100"/>
  <c r="O244" i="100" s="1"/>
  <c r="AG46" i="96"/>
  <c r="L46" i="100"/>
  <c r="O46" i="100" s="1"/>
  <c r="AG68" i="96"/>
  <c r="L68" i="100"/>
  <c r="O68" i="100" s="1"/>
  <c r="AG178" i="96"/>
  <c r="L178" i="100"/>
  <c r="O178" i="100" s="1"/>
  <c r="AG79" i="96"/>
  <c r="L79" i="100"/>
  <c r="O79" i="100" s="1"/>
  <c r="AG572" i="96"/>
  <c r="L572" i="100"/>
  <c r="O572" i="100" s="1"/>
  <c r="AG556" i="96"/>
  <c r="L556" i="100"/>
  <c r="O556" i="100" s="1"/>
  <c r="AG577" i="96"/>
  <c r="L577" i="100"/>
  <c r="O577" i="100" s="1"/>
  <c r="AG564" i="96"/>
  <c r="L564" i="100"/>
  <c r="O564" i="100" s="1"/>
  <c r="AG608" i="96"/>
  <c r="L608" i="100"/>
  <c r="O608" i="100" s="1"/>
  <c r="AG606" i="96"/>
  <c r="L606" i="100"/>
  <c r="O606" i="100" s="1"/>
  <c r="AG575" i="96"/>
  <c r="L575" i="100"/>
  <c r="O575" i="100" s="1"/>
  <c r="AG331" i="96"/>
  <c r="L331" i="100"/>
  <c r="O331" i="100" s="1"/>
  <c r="AG337" i="96"/>
  <c r="L337" i="100"/>
  <c r="O337" i="100" s="1"/>
  <c r="AG342" i="96"/>
  <c r="L342" i="100"/>
  <c r="O342" i="100" s="1"/>
  <c r="AG529" i="96"/>
  <c r="L529" i="100"/>
  <c r="O529" i="100" s="1"/>
  <c r="O377" i="100"/>
  <c r="AG167" i="96"/>
  <c r="L167" i="100"/>
  <c r="O167" i="100" s="1"/>
  <c r="AG586" i="96"/>
  <c r="L586" i="100"/>
  <c r="O586" i="100" s="1"/>
  <c r="AG573" i="96"/>
  <c r="L573" i="100"/>
  <c r="O573" i="100" s="1"/>
  <c r="AG241" i="96"/>
  <c r="L241" i="100"/>
  <c r="O241" i="100" s="1"/>
  <c r="AG64" i="96"/>
  <c r="L64" i="100"/>
  <c r="O64" i="100" s="1"/>
  <c r="AG160" i="96"/>
  <c r="L160" i="100"/>
  <c r="O160" i="100" s="1"/>
  <c r="AG238" i="96"/>
  <c r="L238" i="100"/>
  <c r="O238" i="100" s="1"/>
  <c r="AG159" i="96"/>
  <c r="L159" i="100"/>
  <c r="O159" i="100" s="1"/>
  <c r="AG576" i="96"/>
  <c r="L576" i="100"/>
  <c r="O576" i="100" s="1"/>
  <c r="AG597" i="96"/>
  <c r="L597" i="100"/>
  <c r="O597" i="100" s="1"/>
  <c r="AG584" i="96"/>
  <c r="L584" i="100"/>
  <c r="O584" i="100" s="1"/>
  <c r="AG538" i="96"/>
  <c r="L538" i="100"/>
  <c r="O538" i="100" s="1"/>
  <c r="AG587" i="96"/>
  <c r="L587" i="100"/>
  <c r="O587" i="100" s="1"/>
  <c r="AG543" i="96"/>
  <c r="L543" i="100"/>
  <c r="O543" i="100" s="1"/>
  <c r="AG353" i="96"/>
  <c r="L353" i="100"/>
  <c r="O353" i="100" s="1"/>
  <c r="AG355" i="96"/>
  <c r="L355" i="100"/>
  <c r="O355" i="100" s="1"/>
  <c r="AG354" i="96"/>
  <c r="L354" i="100"/>
  <c r="O354" i="100" s="1"/>
  <c r="AG532" i="96"/>
  <c r="L532" i="100"/>
  <c r="O532" i="100" s="1"/>
  <c r="O376" i="100"/>
  <c r="AA322" i="96"/>
  <c r="AG322" i="96" s="1"/>
  <c r="AA318" i="96"/>
  <c r="AG318" i="96" s="1"/>
  <c r="AA314" i="96"/>
  <c r="AG314" i="96" s="1"/>
  <c r="AA105" i="97"/>
  <c r="AA108" i="97"/>
  <c r="AA107" i="97"/>
  <c r="AA98" i="97"/>
  <c r="AA109" i="97"/>
  <c r="AA100" i="97"/>
  <c r="AA325" i="96"/>
  <c r="AG325" i="96" s="1"/>
  <c r="AA321" i="96"/>
  <c r="AG321" i="96" s="1"/>
  <c r="AA317" i="96"/>
  <c r="AG317" i="96" s="1"/>
  <c r="AA102" i="97"/>
  <c r="AA104" i="97"/>
  <c r="AA324" i="96"/>
  <c r="AG324" i="96" s="1"/>
  <c r="AA320" i="96"/>
  <c r="AG320" i="96" s="1"/>
  <c r="AA316" i="96"/>
  <c r="AG316" i="96" s="1"/>
  <c r="AA106" i="97"/>
  <c r="AA99" i="97"/>
  <c r="AA323" i="96"/>
  <c r="AG323" i="96" s="1"/>
  <c r="AA319" i="96"/>
  <c r="AG319" i="96" s="1"/>
  <c r="AA315" i="96"/>
  <c r="AG315" i="96" s="1"/>
  <c r="AA101" i="97"/>
  <c r="AA103" i="97"/>
  <c r="AA279" i="96"/>
  <c r="AA223" i="96"/>
  <c r="AA211" i="96"/>
  <c r="AA115" i="96"/>
  <c r="AA103" i="96"/>
  <c r="AA59" i="96"/>
  <c r="AA287" i="96"/>
  <c r="AA275" i="96"/>
  <c r="AA219" i="96"/>
  <c r="AA207" i="96"/>
  <c r="AA111" i="96"/>
  <c r="AA55" i="96"/>
  <c r="AA286" i="96"/>
  <c r="AA274" i="96"/>
  <c r="AA218" i="96"/>
  <c r="AA206" i="96"/>
  <c r="AA110" i="96"/>
  <c r="AA54" i="96"/>
  <c r="AA282" i="96"/>
  <c r="AA270" i="96"/>
  <c r="AA226" i="96"/>
  <c r="AA214" i="96"/>
  <c r="AA118" i="96"/>
  <c r="AA106" i="96"/>
  <c r="AA50" i="96"/>
  <c r="AA277" i="96"/>
  <c r="AA221" i="96"/>
  <c r="AA107" i="96"/>
  <c r="AA51" i="96"/>
  <c r="AA276" i="96"/>
  <c r="AA220" i="96"/>
  <c r="AA105" i="96"/>
  <c r="AA273" i="96"/>
  <c r="AA217" i="96"/>
  <c r="AA121" i="96"/>
  <c r="AA104" i="96"/>
  <c r="AA272" i="96"/>
  <c r="AA216" i="96"/>
  <c r="AA120" i="96"/>
  <c r="AA102" i="96"/>
  <c r="AA289" i="96"/>
  <c r="AA271" i="96"/>
  <c r="AA215" i="96"/>
  <c r="AA119" i="96"/>
  <c r="AA285" i="96"/>
  <c r="AA229" i="96"/>
  <c r="AA212" i="96"/>
  <c r="AA116" i="96"/>
  <c r="AA60" i="96"/>
  <c r="AA284" i="96"/>
  <c r="AA228" i="96"/>
  <c r="AA281" i="96"/>
  <c r="AA225" i="96"/>
  <c r="AA208" i="96"/>
  <c r="AA112" i="96"/>
  <c r="AA56" i="96"/>
  <c r="AA280" i="96"/>
  <c r="AA209" i="96"/>
  <c r="AA108" i="96"/>
  <c r="AA278" i="96"/>
  <c r="AA213" i="96"/>
  <c r="AA52" i="96"/>
  <c r="AA283" i="96"/>
  <c r="AA210" i="96"/>
  <c r="AA61" i="96"/>
  <c r="AA227" i="96"/>
  <c r="AA58" i="96"/>
  <c r="AA222" i="96"/>
  <c r="AA114" i="96"/>
  <c r="AA53" i="96"/>
  <c r="AA288" i="96"/>
  <c r="AA113" i="96"/>
  <c r="AA109" i="96"/>
  <c r="AA224" i="96"/>
  <c r="AA117" i="96"/>
  <c r="AA57" i="96"/>
  <c r="AB44" i="58"/>
  <c r="AB44" i="57"/>
  <c r="D18" i="101" l="1"/>
  <c r="O632" i="100"/>
  <c r="W12" i="100" s="1"/>
  <c r="T12" i="100"/>
  <c r="AC12" i="100"/>
  <c r="AP6" i="96"/>
  <c r="AQ6" i="96" s="1"/>
  <c r="AP5" i="96"/>
  <c r="AQ5" i="96" s="1"/>
  <c r="AP3" i="96"/>
  <c r="AQ3" i="96" s="1"/>
  <c r="AG58" i="96"/>
  <c r="L58" i="100"/>
  <c r="O58" i="100" s="1"/>
  <c r="AG112" i="96"/>
  <c r="L112" i="100"/>
  <c r="O112" i="100" s="1"/>
  <c r="AG217" i="96"/>
  <c r="L217" i="100"/>
  <c r="O217" i="100" s="1"/>
  <c r="AG227" i="96"/>
  <c r="L227" i="100"/>
  <c r="O227" i="100" s="1"/>
  <c r="AG208" i="96"/>
  <c r="L208" i="100"/>
  <c r="O208" i="100" s="1"/>
  <c r="AG119" i="96"/>
  <c r="L119" i="100"/>
  <c r="O119" i="100" s="1"/>
  <c r="AG273" i="96"/>
  <c r="L273" i="100"/>
  <c r="O273" i="100" s="1"/>
  <c r="AG118" i="96"/>
  <c r="L118" i="100"/>
  <c r="O118" i="100" s="1"/>
  <c r="AG279" i="96"/>
  <c r="L279" i="100"/>
  <c r="O279" i="100" s="1"/>
  <c r="AG61" i="96"/>
  <c r="L61" i="100"/>
  <c r="O61" i="100" s="1"/>
  <c r="AG225" i="96"/>
  <c r="L225" i="100"/>
  <c r="O225" i="100" s="1"/>
  <c r="AG215" i="96"/>
  <c r="L215" i="100"/>
  <c r="O215" i="100" s="1"/>
  <c r="AG105" i="96"/>
  <c r="L105" i="100"/>
  <c r="O105" i="100" s="1"/>
  <c r="AG214" i="96"/>
  <c r="L214" i="100"/>
  <c r="O214" i="100" s="1"/>
  <c r="AG55" i="96"/>
  <c r="L55" i="100"/>
  <c r="O55" i="100" s="1"/>
  <c r="AG57" i="96"/>
  <c r="L57" i="100"/>
  <c r="O57" i="100" s="1"/>
  <c r="AG210" i="96"/>
  <c r="L210" i="100"/>
  <c r="O210" i="100" s="1"/>
  <c r="AG281" i="96"/>
  <c r="L281" i="100"/>
  <c r="O281" i="100" s="1"/>
  <c r="AG271" i="96"/>
  <c r="L271" i="100"/>
  <c r="O271" i="100" s="1"/>
  <c r="AG220" i="96"/>
  <c r="L220" i="100"/>
  <c r="O220" i="100" s="1"/>
  <c r="AG226" i="96"/>
  <c r="L226" i="100"/>
  <c r="O226" i="100" s="1"/>
  <c r="AG111" i="96"/>
  <c r="L111" i="100"/>
  <c r="O111" i="100" s="1"/>
  <c r="AG117" i="96"/>
  <c r="L117" i="100"/>
  <c r="O117" i="100" s="1"/>
  <c r="AG283" i="96"/>
  <c r="L283" i="100"/>
  <c r="O283" i="100" s="1"/>
  <c r="AG228" i="96"/>
  <c r="L228" i="100"/>
  <c r="O228" i="100" s="1"/>
  <c r="AG289" i="96"/>
  <c r="L322" i="100"/>
  <c r="O322" i="100" s="1"/>
  <c r="L318" i="100"/>
  <c r="O318" i="100" s="1"/>
  <c r="L314" i="100"/>
  <c r="O314" i="100" s="1"/>
  <c r="L325" i="100"/>
  <c r="O325" i="100" s="1"/>
  <c r="L321" i="100"/>
  <c r="O321" i="100" s="1"/>
  <c r="L317" i="100"/>
  <c r="O317" i="100" s="1"/>
  <c r="L320" i="100"/>
  <c r="O320" i="100" s="1"/>
  <c r="L324" i="100"/>
  <c r="O324" i="100" s="1"/>
  <c r="L315" i="100"/>
  <c r="O315" i="100" s="1"/>
  <c r="L319" i="100"/>
  <c r="O319" i="100" s="1"/>
  <c r="L323" i="100"/>
  <c r="O323" i="100" s="1"/>
  <c r="L316" i="100"/>
  <c r="O316" i="100" s="1"/>
  <c r="L289" i="100"/>
  <c r="O289" i="100" s="1"/>
  <c r="AG276" i="96"/>
  <c r="L276" i="100"/>
  <c r="O276" i="100" s="1"/>
  <c r="AG270" i="96"/>
  <c r="L270" i="100"/>
  <c r="O270" i="100" s="1"/>
  <c r="AG207" i="96"/>
  <c r="L207" i="100"/>
  <c r="O207" i="100" s="1"/>
  <c r="T10" i="100"/>
  <c r="O436" i="100"/>
  <c r="W10" i="100" s="1"/>
  <c r="O38" i="100"/>
  <c r="AG60" i="96"/>
  <c r="L60" i="100"/>
  <c r="O60" i="100" s="1"/>
  <c r="AG224" i="96"/>
  <c r="L224" i="100"/>
  <c r="O224" i="100" s="1"/>
  <c r="AG52" i="96"/>
  <c r="L52" i="100"/>
  <c r="O52" i="100" s="1"/>
  <c r="AG284" i="96"/>
  <c r="L284" i="100"/>
  <c r="O284" i="100" s="1"/>
  <c r="AG102" i="96"/>
  <c r="L102" i="100"/>
  <c r="O102" i="100" s="1"/>
  <c r="AG282" i="96"/>
  <c r="L282" i="100"/>
  <c r="O282" i="100" s="1"/>
  <c r="AG219" i="96"/>
  <c r="L219" i="100"/>
  <c r="O219" i="100" s="1"/>
  <c r="AG109" i="96"/>
  <c r="L109" i="100"/>
  <c r="O109" i="100" s="1"/>
  <c r="AG213" i="96"/>
  <c r="L213" i="100"/>
  <c r="O213" i="100" s="1"/>
  <c r="AG120" i="96"/>
  <c r="L120" i="100"/>
  <c r="O120" i="100" s="1"/>
  <c r="AG51" i="96"/>
  <c r="L51" i="100"/>
  <c r="O51" i="100" s="1"/>
  <c r="AG275" i="96"/>
  <c r="L275" i="100"/>
  <c r="O275" i="100" s="1"/>
  <c r="O522" i="100"/>
  <c r="W11" i="100" s="1"/>
  <c r="T11" i="100"/>
  <c r="AG107" i="96"/>
  <c r="L107" i="100"/>
  <c r="O107" i="100" s="1"/>
  <c r="AC11" i="100"/>
  <c r="AG278" i="96"/>
  <c r="L278" i="100"/>
  <c r="O278" i="100" s="1"/>
  <c r="AG116" i="96"/>
  <c r="L116" i="100"/>
  <c r="O116" i="100" s="1"/>
  <c r="AG113" i="96"/>
  <c r="L113" i="100"/>
  <c r="O113" i="100" s="1"/>
  <c r="AG216" i="96"/>
  <c r="L216" i="100"/>
  <c r="O216" i="100" s="1"/>
  <c r="AG54" i="96"/>
  <c r="L54" i="100"/>
  <c r="O54" i="100" s="1"/>
  <c r="AG287" i="96"/>
  <c r="L287" i="100"/>
  <c r="O287" i="100" s="1"/>
  <c r="AG288" i="96"/>
  <c r="L288" i="100"/>
  <c r="O288" i="100" s="1"/>
  <c r="AG108" i="96"/>
  <c r="L108" i="100"/>
  <c r="O108" i="100" s="1"/>
  <c r="AG272" i="96"/>
  <c r="L272" i="100"/>
  <c r="O272" i="100" s="1"/>
  <c r="AG221" i="96"/>
  <c r="L221" i="100"/>
  <c r="O221" i="100" s="1"/>
  <c r="AG110" i="96"/>
  <c r="L110" i="100"/>
  <c r="O110" i="100" s="1"/>
  <c r="AG59" i="96"/>
  <c r="L59" i="100"/>
  <c r="O59" i="100" s="1"/>
  <c r="AG53" i="96"/>
  <c r="L53" i="100"/>
  <c r="O53" i="100" s="1"/>
  <c r="AG209" i="96"/>
  <c r="L209" i="100"/>
  <c r="O209" i="100" s="1"/>
  <c r="AG212" i="96"/>
  <c r="L212" i="100"/>
  <c r="O212" i="100" s="1"/>
  <c r="AG277" i="96"/>
  <c r="L277" i="100"/>
  <c r="O277" i="100" s="1"/>
  <c r="AG206" i="96"/>
  <c r="L206" i="100"/>
  <c r="O206" i="100" s="1"/>
  <c r="AG103" i="96"/>
  <c r="L103" i="100"/>
  <c r="O103" i="100" s="1"/>
  <c r="AG114" i="96"/>
  <c r="L114" i="100"/>
  <c r="O114" i="100" s="1"/>
  <c r="AG280" i="96"/>
  <c r="L280" i="100"/>
  <c r="O280" i="100" s="1"/>
  <c r="AG229" i="96"/>
  <c r="L229" i="100"/>
  <c r="O229" i="100" s="1"/>
  <c r="AG104" i="96"/>
  <c r="L104" i="100"/>
  <c r="O104" i="100" s="1"/>
  <c r="AG218" i="96"/>
  <c r="L218" i="100"/>
  <c r="O218" i="100" s="1"/>
  <c r="AG115" i="96"/>
  <c r="L115" i="100"/>
  <c r="O115" i="100" s="1"/>
  <c r="AG222" i="96"/>
  <c r="L222" i="100"/>
  <c r="O222" i="100" s="1"/>
  <c r="AG56" i="96"/>
  <c r="L56" i="100"/>
  <c r="O56" i="100" s="1"/>
  <c r="AG285" i="96"/>
  <c r="L285" i="100"/>
  <c r="O285" i="100" s="1"/>
  <c r="AG121" i="96"/>
  <c r="L121" i="100"/>
  <c r="O121" i="100" s="1"/>
  <c r="AG50" i="96"/>
  <c r="L50" i="100"/>
  <c r="O50" i="100" s="1"/>
  <c r="AG274" i="96"/>
  <c r="L274" i="100"/>
  <c r="O274" i="100" s="1"/>
  <c r="AG211" i="96"/>
  <c r="L211" i="100"/>
  <c r="O211" i="100" s="1"/>
  <c r="T9" i="100"/>
  <c r="O326" i="100"/>
  <c r="W9" i="100" s="1"/>
  <c r="AG286" i="96"/>
  <c r="L286" i="100"/>
  <c r="O286" i="100" s="1"/>
  <c r="AC9" i="100"/>
  <c r="AG106" i="96"/>
  <c r="L106" i="100"/>
  <c r="O106" i="100" s="1"/>
  <c r="AG223" i="96"/>
  <c r="L223" i="100"/>
  <c r="O223" i="100" s="1"/>
  <c r="Z12" i="100" l="1"/>
  <c r="AH12" i="100" s="1"/>
  <c r="Z10" i="100"/>
  <c r="AH10" i="100" s="1"/>
  <c r="AP8" i="96"/>
  <c r="AQ8" i="96" s="1"/>
  <c r="AP2" i="96"/>
  <c r="AP7" i="96" s="1"/>
  <c r="Z11" i="100"/>
  <c r="AH11" i="100" s="1"/>
  <c r="Z9" i="100"/>
  <c r="AH9" i="100" s="1"/>
  <c r="AC7" i="100"/>
  <c r="T7" i="100"/>
  <c r="W7" i="100"/>
  <c r="AQ7" i="96" l="1"/>
  <c r="AP9" i="96"/>
  <c r="AQ9" i="96" s="1"/>
  <c r="Z7" i="100"/>
  <c r="AH7" i="100" s="1"/>
  <c r="AQ2" i="96"/>
  <c r="D57" i="5"/>
  <c r="D58" i="5"/>
  <c r="D59" i="5"/>
  <c r="D60" i="5" l="1"/>
  <c r="N632" i="100" l="1"/>
  <c r="K632" i="100"/>
  <c r="N81" i="100"/>
  <c r="K81" i="100"/>
  <c r="AF471" i="96"/>
  <c r="Z471" i="96"/>
  <c r="N112" i="100"/>
  <c r="K112" i="100"/>
  <c r="AF73" i="104"/>
  <c r="Z73" i="104"/>
  <c r="N525" i="100"/>
  <c r="K525" i="100"/>
  <c r="AF301" i="96"/>
  <c r="Z301" i="96"/>
  <c r="AG62" i="107"/>
  <c r="AG10" i="107"/>
  <c r="AF386" i="104"/>
  <c r="Z386" i="104"/>
  <c r="AF379" i="96"/>
  <c r="Z379" i="96"/>
  <c r="N157" i="100"/>
  <c r="K157" i="100"/>
  <c r="N508" i="100"/>
  <c r="K508" i="100"/>
  <c r="AF388" i="96"/>
  <c r="Z388" i="96"/>
  <c r="N423" i="100"/>
  <c r="K423" i="100"/>
  <c r="AG46" i="102"/>
  <c r="AE46" i="102"/>
  <c r="AO46" i="102"/>
  <c r="N458" i="100"/>
  <c r="K458" i="100"/>
  <c r="AL48" i="102"/>
  <c r="AJ48" i="102"/>
  <c r="AF220" i="104"/>
  <c r="Z220" i="104"/>
  <c r="N5" i="100"/>
  <c r="K5" i="100"/>
  <c r="AE302" i="104"/>
  <c r="Y302" i="104"/>
  <c r="AE163" i="97"/>
  <c r="Z163" i="97"/>
  <c r="AE306" i="104"/>
  <c r="Y306" i="104"/>
  <c r="AG469" i="104"/>
  <c r="AA469" i="104"/>
  <c r="AF126" i="104"/>
  <c r="Z126" i="104"/>
  <c r="AF463" i="96"/>
  <c r="Z463" i="96"/>
  <c r="N609" i="100"/>
  <c r="K609" i="100"/>
  <c r="AE138" i="104"/>
  <c r="Y138" i="104"/>
  <c r="AE186" i="97"/>
  <c r="Z186" i="97"/>
  <c r="AL18" i="54"/>
  <c r="AJ18" i="54"/>
  <c r="AF445" i="96"/>
  <c r="Z445" i="96"/>
  <c r="AG208" i="104"/>
  <c r="AA208" i="104"/>
  <c r="AF41" i="96"/>
  <c r="AP55" i="54"/>
  <c r="AP53" i="54"/>
  <c r="AM10" i="54"/>
  <c r="T10" i="54"/>
  <c r="N10" i="54"/>
  <c r="AL49" i="102"/>
  <c r="AJ49" i="102"/>
  <c r="AF207" i="104"/>
  <c r="Z207" i="104"/>
  <c r="AF325" i="96"/>
  <c r="Z325" i="96"/>
  <c r="AF401" i="96"/>
  <c r="Z401" i="96"/>
  <c r="AG288" i="104"/>
  <c r="AA288" i="104"/>
  <c r="AF366" i="96"/>
  <c r="Z366" i="96"/>
  <c r="AG448" i="104"/>
  <c r="AA448" i="104"/>
  <c r="AM36" i="102"/>
  <c r="T36" i="102"/>
  <c r="N36" i="102"/>
  <c r="AF85" i="107"/>
  <c r="AF33" i="107"/>
  <c r="AF347" i="104"/>
  <c r="Z347" i="104"/>
  <c r="N246" i="100"/>
  <c r="K246" i="100"/>
  <c r="AE129" i="97"/>
  <c r="Z129" i="97"/>
  <c r="AF639" i="96"/>
  <c r="N105" i="100"/>
  <c r="K105" i="100"/>
  <c r="N368" i="100"/>
  <c r="K368" i="100"/>
  <c r="N127" i="100"/>
  <c r="K127" i="100"/>
  <c r="N581" i="100"/>
  <c r="K581" i="100"/>
  <c r="AF404" i="104"/>
  <c r="Z404" i="104"/>
  <c r="AG82" i="107"/>
  <c r="AG30" i="107"/>
  <c r="AE207" i="97"/>
  <c r="Z207" i="97"/>
  <c r="AG407" i="104"/>
  <c r="AA407" i="104"/>
  <c r="AF319" i="104"/>
  <c r="Z319" i="104"/>
  <c r="AF331" i="104"/>
  <c r="Z331" i="104"/>
  <c r="N71" i="100"/>
  <c r="K71" i="100"/>
  <c r="AF10" i="102"/>
  <c r="AP10" i="102"/>
  <c r="AE242" i="97"/>
  <c r="Z242" i="97"/>
  <c r="AF132" i="96"/>
  <c r="N326" i="100"/>
  <c r="V9" i="100"/>
  <c r="AJ9" i="100"/>
  <c r="AG76" i="104"/>
  <c r="AA76" i="104"/>
  <c r="AF380" i="104"/>
  <c r="Z380" i="104"/>
  <c r="AE256" i="97"/>
  <c r="Z256" i="97"/>
  <c r="AE164" i="97"/>
  <c r="Z164" i="97"/>
  <c r="AG19" i="53"/>
  <c r="AF81" i="104"/>
  <c r="Z81" i="104"/>
  <c r="AF600" i="104"/>
  <c r="Z600" i="104"/>
  <c r="AG425" i="104"/>
  <c r="AA425" i="104"/>
  <c r="AG472" i="104"/>
  <c r="AA472" i="104"/>
  <c r="AF78" i="104"/>
  <c r="Z78" i="104"/>
  <c r="N297" i="100"/>
  <c r="K297" i="100"/>
  <c r="AG75" i="107"/>
  <c r="AG23" i="107"/>
  <c r="AF490" i="96"/>
  <c r="Z490" i="96"/>
  <c r="AF9" i="104"/>
  <c r="Z9" i="104"/>
  <c r="N225" i="100"/>
  <c r="K225" i="100"/>
  <c r="N37" i="100"/>
  <c r="K37" i="100"/>
  <c r="AJ6" i="97"/>
  <c r="Z183" i="97"/>
  <c r="AE183" i="97"/>
  <c r="AE10" i="100"/>
  <c r="AF24" i="104"/>
  <c r="Z24" i="104"/>
  <c r="N177" i="100"/>
  <c r="K177" i="100"/>
  <c r="AG467" i="104"/>
  <c r="AA467" i="104"/>
  <c r="AG160" i="104"/>
  <c r="AA160" i="104"/>
  <c r="N29" i="100"/>
  <c r="K29" i="100"/>
  <c r="AF411" i="96"/>
  <c r="Z411" i="96"/>
  <c r="AI35" i="103"/>
  <c r="AL35" i="103"/>
  <c r="AB35" i="103"/>
  <c r="Z127" i="96"/>
  <c r="AF127" i="96"/>
  <c r="Z71" i="96"/>
  <c r="AF71" i="96"/>
  <c r="AG408" i="104"/>
  <c r="AA408" i="104"/>
  <c r="AM15" i="53"/>
  <c r="T15" i="53"/>
  <c r="N15" i="53"/>
  <c r="N323" i="100"/>
  <c r="K323" i="100"/>
  <c r="AG511" i="104"/>
  <c r="AA511" i="104"/>
  <c r="AM18" i="53"/>
  <c r="T18" i="53"/>
  <c r="N18" i="53"/>
  <c r="AF286" i="104"/>
  <c r="Z286" i="104"/>
  <c r="AF103" i="107"/>
  <c r="AF51" i="107"/>
  <c r="AE77" i="97"/>
  <c r="Z77" i="97"/>
  <c r="AF356" i="96"/>
  <c r="AF297" i="96"/>
  <c r="Z297" i="96"/>
  <c r="N633" i="100"/>
  <c r="K633" i="100"/>
  <c r="N433" i="100"/>
  <c r="K433" i="100"/>
  <c r="AL12" i="54"/>
  <c r="AJ12" i="54"/>
  <c r="M59" i="100"/>
  <c r="J59" i="100"/>
  <c r="AL8" i="96"/>
  <c r="AD27" i="97"/>
  <c r="Y27" i="97"/>
  <c r="N464" i="100"/>
  <c r="K464" i="100"/>
  <c r="M55" i="100"/>
  <c r="J55" i="100"/>
  <c r="AG392" i="104"/>
  <c r="AA392" i="104"/>
  <c r="AE145" i="104"/>
  <c r="Y145" i="104"/>
  <c r="N492" i="100"/>
  <c r="K492" i="100"/>
  <c r="AF292" i="104"/>
  <c r="Z292" i="104"/>
  <c r="AL10" i="54"/>
  <c r="AJ10" i="54"/>
  <c r="AF6" i="54"/>
  <c r="AP6" i="54"/>
  <c r="AF19" i="102"/>
  <c r="AP19" i="102"/>
  <c r="Z41" i="96"/>
  <c r="K41" i="100"/>
  <c r="N41" i="100"/>
  <c r="AE16" i="97"/>
  <c r="Z16" i="97"/>
  <c r="AF541" i="96"/>
  <c r="AF38" i="102"/>
  <c r="AP38" i="102"/>
  <c r="AF214" i="104"/>
  <c r="Z214" i="104"/>
  <c r="AG14" i="102"/>
  <c r="AE14" i="102"/>
  <c r="AO14" i="102"/>
  <c r="AZ33" i="102"/>
  <c r="AX33" i="102"/>
  <c r="AG9" i="54"/>
  <c r="AE9" i="54"/>
  <c r="AO9" i="54"/>
  <c r="AL47" i="53"/>
  <c r="AJ47" i="53"/>
  <c r="AG380" i="104"/>
  <c r="AA380" i="104"/>
  <c r="N46" i="102"/>
  <c r="T46" i="102"/>
  <c r="AM46" i="102"/>
  <c r="Z581" i="96"/>
  <c r="AF581" i="96"/>
  <c r="AG242" i="104"/>
  <c r="AA242" i="104"/>
  <c r="N459" i="100"/>
  <c r="K459" i="100"/>
  <c r="AF613" i="104"/>
  <c r="Z613" i="104"/>
  <c r="AL16" i="54"/>
  <c r="AJ16" i="54"/>
  <c r="Z633" i="96"/>
  <c r="AF633" i="96"/>
  <c r="AM35" i="53"/>
  <c r="T35" i="53"/>
  <c r="N35" i="53"/>
  <c r="AG535" i="104"/>
  <c r="AA535" i="104"/>
  <c r="V15" i="109"/>
  <c r="V9" i="109"/>
  <c r="V14" i="109"/>
  <c r="AB94" i="107"/>
  <c r="AB42" i="107"/>
  <c r="N394" i="100"/>
  <c r="K394" i="100"/>
  <c r="N129" i="100"/>
  <c r="K129" i="100"/>
  <c r="AF7" i="100"/>
  <c r="X7" i="100"/>
  <c r="R7" i="100"/>
  <c r="AG473" i="104"/>
  <c r="AA473" i="104"/>
  <c r="N121" i="100"/>
  <c r="K121" i="100"/>
  <c r="AF31" i="96"/>
  <c r="AM39" i="53"/>
  <c r="T39" i="53"/>
  <c r="N39" i="53"/>
  <c r="AE267" i="96"/>
  <c r="AD91" i="97"/>
  <c r="Y91" i="97"/>
  <c r="AG41" i="54"/>
  <c r="AE41" i="54"/>
  <c r="AO41" i="54"/>
  <c r="AF489" i="96"/>
  <c r="Z489" i="96"/>
  <c r="AE269" i="104"/>
  <c r="Y269" i="104"/>
  <c r="N293" i="100"/>
  <c r="K293" i="100"/>
  <c r="M100" i="100"/>
  <c r="J100" i="100"/>
  <c r="AM37" i="54"/>
  <c r="T37" i="54"/>
  <c r="N37" i="54"/>
  <c r="AF540" i="104"/>
  <c r="Z540" i="104"/>
  <c r="AG49" i="54"/>
  <c r="AE49" i="54"/>
  <c r="AO49" i="54"/>
  <c r="N244" i="100"/>
  <c r="K244" i="100"/>
  <c r="AL11" i="54"/>
  <c r="AJ11" i="54"/>
  <c r="AE3" i="104"/>
  <c r="Y3" i="104"/>
  <c r="AG10" i="53"/>
  <c r="AF521" i="96"/>
  <c r="AO8" i="102"/>
  <c r="AE8" i="102"/>
  <c r="AG8" i="102"/>
  <c r="Y59" i="96"/>
  <c r="AE59" i="96"/>
  <c r="AF391" i="96"/>
  <c r="Z391" i="96"/>
  <c r="N628" i="100"/>
  <c r="K628" i="100"/>
  <c r="AG568" i="104"/>
  <c r="AA568" i="104"/>
  <c r="AD56" i="97"/>
  <c r="Y56" i="97"/>
  <c r="M135" i="100"/>
  <c r="J135" i="100"/>
  <c r="Z37" i="96"/>
  <c r="AF37" i="96"/>
  <c r="F20" i="101"/>
  <c r="AF277" i="96"/>
  <c r="AF149" i="96"/>
  <c r="AP30" i="53"/>
  <c r="AF30" i="53"/>
  <c r="AC30" i="107"/>
  <c r="AC82" i="107"/>
  <c r="N455" i="100"/>
  <c r="K455" i="100"/>
  <c r="AF210" i="104"/>
  <c r="Z210" i="104"/>
  <c r="AL13" i="102"/>
  <c r="AJ13" i="102"/>
  <c r="AP43" i="53"/>
  <c r="AF43" i="53"/>
  <c r="AC43" i="107"/>
  <c r="AC95" i="107"/>
  <c r="N287" i="100"/>
  <c r="K287" i="100"/>
  <c r="AE39" i="97"/>
  <c r="Z39" i="97"/>
  <c r="AL47" i="54"/>
  <c r="AJ47" i="54"/>
  <c r="AG562" i="104"/>
  <c r="AA562" i="104"/>
  <c r="AF32" i="54"/>
  <c r="AP32" i="54"/>
  <c r="AG403" i="104"/>
  <c r="AA403" i="104"/>
  <c r="N620" i="100"/>
  <c r="K620" i="100"/>
  <c r="AF148" i="104"/>
  <c r="Z148" i="104"/>
  <c r="AF527" i="104"/>
  <c r="Z527" i="104"/>
  <c r="AF7" i="102"/>
  <c r="AP7" i="102"/>
  <c r="N171" i="100"/>
  <c r="K171" i="100"/>
  <c r="N641" i="100"/>
  <c r="K641" i="100"/>
  <c r="Y267" i="96"/>
  <c r="J267" i="100"/>
  <c r="M267" i="100"/>
  <c r="AG573" i="104"/>
  <c r="AA573" i="104"/>
  <c r="AE40" i="104"/>
  <c r="Y40" i="104"/>
  <c r="AG297" i="104"/>
  <c r="AA297" i="104"/>
  <c r="N46" i="53"/>
  <c r="T46" i="53"/>
  <c r="AM46" i="53"/>
  <c r="AG463" i="104"/>
  <c r="AA463" i="104"/>
  <c r="AE254" i="104"/>
  <c r="Y254" i="104"/>
  <c r="AE305" i="104"/>
  <c r="Y305" i="104"/>
  <c r="AG336" i="104"/>
  <c r="AA336" i="104"/>
  <c r="AF273" i="104"/>
  <c r="Z273" i="104"/>
  <c r="Z149" i="96"/>
  <c r="K149" i="100"/>
  <c r="N149" i="100"/>
  <c r="N336" i="100"/>
  <c r="K336" i="100"/>
  <c r="AG222" i="104"/>
  <c r="AA222" i="104"/>
  <c r="AE231" i="97"/>
  <c r="Z231" i="97"/>
  <c r="AZ17" i="102"/>
  <c r="AX17" i="102"/>
  <c r="AF76" i="107"/>
  <c r="AF24" i="107"/>
  <c r="M189" i="100"/>
  <c r="J189" i="100"/>
  <c r="AG18" i="54"/>
  <c r="AE18" i="54"/>
  <c r="AO18" i="54"/>
  <c r="AL5" i="96"/>
  <c r="AK5" i="96"/>
  <c r="S7" i="123"/>
  <c r="AB10" i="103"/>
  <c r="AL10" i="103"/>
  <c r="AI10" i="103"/>
  <c r="AF335" i="104"/>
  <c r="Z335" i="104"/>
  <c r="AM15" i="54"/>
  <c r="T15" i="54"/>
  <c r="N15" i="54"/>
  <c r="N298" i="100"/>
  <c r="K298" i="100"/>
  <c r="Z171" i="96"/>
  <c r="AF171" i="96"/>
  <c r="AM41" i="102"/>
  <c r="T41" i="102"/>
  <c r="N41" i="102"/>
  <c r="N72" i="100"/>
  <c r="K72" i="100"/>
  <c r="AG68" i="104"/>
  <c r="AA68" i="104"/>
  <c r="AC91" i="107"/>
  <c r="AC39" i="107"/>
  <c r="AF39" i="53"/>
  <c r="AP39" i="53"/>
  <c r="AM35" i="54"/>
  <c r="T35" i="54"/>
  <c r="N35" i="54"/>
  <c r="AE140" i="104"/>
  <c r="Y140" i="104"/>
  <c r="N384" i="100"/>
  <c r="K384" i="100"/>
  <c r="N500" i="100"/>
  <c r="K500" i="100"/>
  <c r="AE14" i="97"/>
  <c r="Z14" i="97"/>
  <c r="AF292" i="96"/>
  <c r="Z292" i="96"/>
  <c r="N43" i="100"/>
  <c r="K43" i="100"/>
  <c r="AF349" i="104"/>
  <c r="Z349" i="104"/>
  <c r="N361" i="100"/>
  <c r="K361" i="100"/>
  <c r="AE139" i="97"/>
  <c r="Z139" i="97"/>
  <c r="AD32" i="97"/>
  <c r="Y32" i="97"/>
  <c r="AE216" i="97"/>
  <c r="Z216" i="97"/>
  <c r="N279" i="100"/>
  <c r="K279" i="100"/>
  <c r="AM32" i="53"/>
  <c r="T32" i="53"/>
  <c r="N32" i="53"/>
  <c r="AE191" i="97"/>
  <c r="Z191" i="97"/>
  <c r="AL44" i="53"/>
  <c r="AJ44" i="53"/>
  <c r="AG23" i="54"/>
  <c r="AE23" i="54"/>
  <c r="AO23" i="54"/>
  <c r="M95" i="100"/>
  <c r="J95" i="100"/>
  <c r="AF169" i="104"/>
  <c r="Z169" i="104"/>
  <c r="AE258" i="104"/>
  <c r="Y258" i="104"/>
  <c r="AG471" i="104"/>
  <c r="AA471" i="104"/>
  <c r="AK11" i="53"/>
  <c r="AK11" i="102"/>
  <c r="AK11" i="54"/>
  <c r="AB81" i="107"/>
  <c r="AB29" i="107"/>
  <c r="AE181" i="97"/>
  <c r="Z181" i="97"/>
  <c r="AL33" i="54"/>
  <c r="AJ33" i="54"/>
  <c r="AF6" i="104"/>
  <c r="Z6" i="104"/>
  <c r="AZ22" i="102"/>
  <c r="AX22" i="102"/>
  <c r="AD13" i="97"/>
  <c r="Y13" i="97"/>
  <c r="N49" i="102"/>
  <c r="T49" i="102"/>
  <c r="AM49" i="102"/>
  <c r="AG418" i="104"/>
  <c r="AA418" i="104"/>
  <c r="AO10" i="53"/>
  <c r="AE10" i="53"/>
  <c r="AB10" i="107"/>
  <c r="AB62" i="107"/>
  <c r="AF339" i="96"/>
  <c r="AF574" i="104"/>
  <c r="Z574" i="104"/>
  <c r="Z356" i="96"/>
  <c r="K356" i="100"/>
  <c r="N356" i="100"/>
  <c r="AG61" i="107"/>
  <c r="AG9" i="107"/>
  <c r="AG280" i="104"/>
  <c r="AA280" i="104"/>
  <c r="AO19" i="53"/>
  <c r="AE19" i="53"/>
  <c r="AB19" i="107"/>
  <c r="AB71" i="107"/>
  <c r="AE31" i="104"/>
  <c r="Y31" i="104"/>
  <c r="AK11" i="51"/>
  <c r="AK11" i="52"/>
  <c r="AG11" i="107"/>
  <c r="AG63" i="107"/>
  <c r="N413" i="100"/>
  <c r="K413" i="100"/>
  <c r="N468" i="100"/>
  <c r="K468" i="100"/>
  <c r="AE187" i="97"/>
  <c r="Z187" i="97"/>
  <c r="AK30" i="102"/>
  <c r="AK30" i="53"/>
  <c r="AK30" i="51"/>
  <c r="AK30" i="52"/>
  <c r="AK30" i="54"/>
  <c r="AE29" i="96"/>
  <c r="M137" i="100"/>
  <c r="J137" i="100"/>
  <c r="Y189" i="96"/>
  <c r="AE189" i="96"/>
  <c r="AE264" i="104"/>
  <c r="Y264" i="104"/>
  <c r="AE259" i="96"/>
  <c r="AF359" i="104"/>
  <c r="Z359" i="104"/>
  <c r="AM28" i="54"/>
  <c r="T28" i="54"/>
  <c r="N28" i="54"/>
  <c r="AL40" i="54"/>
  <c r="AJ40" i="54"/>
  <c r="N570" i="100"/>
  <c r="K570" i="100"/>
  <c r="AZ38" i="102"/>
  <c r="AX38" i="102"/>
  <c r="AL7" i="102"/>
  <c r="AJ7" i="102"/>
  <c r="AE27" i="96"/>
  <c r="AO48" i="54"/>
  <c r="AE48" i="54"/>
  <c r="AG48" i="54"/>
  <c r="AG506" i="104"/>
  <c r="AA506" i="104"/>
  <c r="AG9" i="100"/>
  <c r="Y9" i="100"/>
  <c r="K326" i="100"/>
  <c r="S9" i="100"/>
  <c r="AF578" i="104"/>
  <c r="Z578" i="104"/>
  <c r="AB68" i="107"/>
  <c r="AB16" i="107"/>
  <c r="AG599" i="104"/>
  <c r="AA599" i="104"/>
  <c r="AE201" i="97"/>
  <c r="Z201" i="97"/>
  <c r="Z361" i="96"/>
  <c r="AF361" i="96"/>
  <c r="AB58" i="107"/>
  <c r="AB6" i="107"/>
  <c r="AF49" i="54"/>
  <c r="AP49" i="54"/>
  <c r="AG105" i="104"/>
  <c r="AA105" i="104"/>
  <c r="AF28" i="104"/>
  <c r="Z28" i="104"/>
  <c r="AG69" i="107"/>
  <c r="AG17" i="107"/>
  <c r="AE158" i="97"/>
  <c r="Z158" i="97"/>
  <c r="AC90" i="107"/>
  <c r="AP38" i="53"/>
  <c r="AF38" i="53"/>
  <c r="AC38" i="107"/>
  <c r="AF605" i="104"/>
  <c r="Z605" i="104"/>
  <c r="AF231" i="104"/>
  <c r="Z231" i="104"/>
  <c r="AF537" i="104"/>
  <c r="Z537" i="104"/>
  <c r="AM12" i="53"/>
  <c r="T12" i="53"/>
  <c r="N12" i="53"/>
  <c r="N411" i="100"/>
  <c r="K411" i="100"/>
  <c r="AG296" i="104"/>
  <c r="AA296" i="104"/>
  <c r="AF31" i="102"/>
  <c r="AP31" i="102"/>
  <c r="AF70" i="104"/>
  <c r="Z70" i="104"/>
  <c r="AF93" i="107"/>
  <c r="AF41" i="107"/>
  <c r="Z521" i="96"/>
  <c r="K521" i="100"/>
  <c r="N521" i="100"/>
  <c r="N78" i="100"/>
  <c r="K78" i="100"/>
  <c r="AF483" i="104"/>
  <c r="Z483" i="104"/>
  <c r="AF325" i="104"/>
  <c r="Z325" i="104"/>
  <c r="Z43" i="96"/>
  <c r="AF43" i="96"/>
  <c r="N587" i="100"/>
  <c r="K587" i="100"/>
  <c r="AO29" i="53"/>
  <c r="AE29" i="53"/>
  <c r="AG29" i="53"/>
  <c r="Z132" i="96"/>
  <c r="K132" i="100"/>
  <c r="N132" i="100"/>
  <c r="Z639" i="96"/>
  <c r="K639" i="100"/>
  <c r="N639" i="100"/>
  <c r="Z112" i="96"/>
  <c r="AF112" i="96"/>
  <c r="N299" i="100"/>
  <c r="K299" i="100"/>
  <c r="Z339" i="96"/>
  <c r="K339" i="100"/>
  <c r="N339" i="100"/>
  <c r="N108" i="100"/>
  <c r="K108" i="100"/>
  <c r="N627" i="100"/>
  <c r="K627" i="100"/>
  <c r="AE179" i="97"/>
  <c r="Z179" i="97"/>
  <c r="Y55" i="96"/>
  <c r="AE55" i="96"/>
  <c r="N551" i="100"/>
  <c r="K551" i="100"/>
  <c r="AG528" i="104"/>
  <c r="AA528" i="104"/>
  <c r="N393" i="100"/>
  <c r="K393" i="100"/>
  <c r="AE160" i="97"/>
  <c r="Z160" i="97"/>
  <c r="Y135" i="96"/>
  <c r="AE135" i="96"/>
  <c r="AE127" i="97"/>
  <c r="Z127" i="97"/>
  <c r="AE209" i="97"/>
  <c r="Z209" i="97"/>
  <c r="Z177" i="96"/>
  <c r="AF177" i="96"/>
  <c r="N497" i="100"/>
  <c r="K497" i="100"/>
  <c r="AE113" i="97"/>
  <c r="Z113" i="97"/>
  <c r="AE13" i="104"/>
  <c r="Y13" i="104"/>
  <c r="N482" i="100"/>
  <c r="K482" i="100"/>
  <c r="AG395" i="104"/>
  <c r="AA395" i="104"/>
  <c r="AG602" i="104"/>
  <c r="AA602" i="104"/>
  <c r="Z129" i="96"/>
  <c r="AF129" i="96"/>
  <c r="AG432" i="104"/>
  <c r="AA432" i="104"/>
  <c r="M190" i="100"/>
  <c r="J190" i="100"/>
  <c r="AO27" i="54"/>
  <c r="AE27" i="54"/>
  <c r="AG27" i="54"/>
  <c r="AM34" i="53"/>
  <c r="T34" i="53"/>
  <c r="N34" i="53"/>
  <c r="AF221" i="104"/>
  <c r="Z221" i="104"/>
  <c r="AG39" i="104"/>
  <c r="AA39" i="104"/>
  <c r="AG510" i="104"/>
  <c r="AA510" i="104"/>
  <c r="AE224" i="97"/>
  <c r="Z224" i="97"/>
  <c r="N76" i="100"/>
  <c r="K76" i="100"/>
  <c r="N38" i="100"/>
  <c r="K38" i="100"/>
  <c r="AE40" i="97"/>
  <c r="Z40" i="97"/>
  <c r="M92" i="100"/>
  <c r="J92" i="100"/>
  <c r="AO32" i="102"/>
  <c r="AE32" i="102"/>
  <c r="AG32" i="102"/>
  <c r="N115" i="100"/>
  <c r="K115" i="100"/>
  <c r="AG622" i="104"/>
  <c r="AA622" i="104"/>
  <c r="N87" i="107"/>
  <c r="N35" i="107"/>
  <c r="AG383" i="104"/>
  <c r="AA383" i="104"/>
  <c r="AF232" i="96"/>
  <c r="AG317" i="104"/>
  <c r="AA317" i="104"/>
  <c r="AM33" i="54"/>
  <c r="T33" i="54"/>
  <c r="N33" i="54"/>
  <c r="N221" i="100"/>
  <c r="K221" i="100"/>
  <c r="AG24" i="54"/>
  <c r="AE24" i="54"/>
  <c r="AO24" i="54"/>
  <c r="AM29" i="54"/>
  <c r="T29" i="54"/>
  <c r="N29" i="54"/>
  <c r="AM8" i="54"/>
  <c r="T8" i="54"/>
  <c r="N8" i="54"/>
  <c r="AE150" i="97"/>
  <c r="Z150" i="97"/>
  <c r="AE79" i="97"/>
  <c r="Z79" i="97"/>
  <c r="AF482" i="96"/>
  <c r="Z482" i="96"/>
  <c r="AF288" i="104"/>
  <c r="Z288" i="104"/>
  <c r="AE255" i="97"/>
  <c r="Z255" i="97"/>
  <c r="AG77" i="107"/>
  <c r="AG25" i="107"/>
  <c r="S13" i="123"/>
  <c r="AB22" i="103"/>
  <c r="AL22" i="103"/>
  <c r="AI22" i="103"/>
  <c r="AE82" i="104"/>
  <c r="Y82" i="104"/>
  <c r="AF493" i="104"/>
  <c r="Z493" i="104"/>
  <c r="N588" i="100"/>
  <c r="K588" i="100"/>
  <c r="AF435" i="96"/>
  <c r="Z435" i="96"/>
  <c r="AF217" i="104"/>
  <c r="Z217" i="104"/>
  <c r="AF178" i="104"/>
  <c r="Z178" i="104"/>
  <c r="N212" i="100"/>
  <c r="K212" i="100"/>
  <c r="AG45" i="54"/>
  <c r="AE45" i="54"/>
  <c r="AO45" i="54"/>
  <c r="AF409" i="104"/>
  <c r="Z409" i="104"/>
  <c r="N487" i="100"/>
  <c r="K487" i="100"/>
  <c r="Z5" i="96"/>
  <c r="AF5" i="96"/>
  <c r="AE28" i="97"/>
  <c r="Z28" i="97"/>
  <c r="Z632" i="96"/>
  <c r="AF632" i="96"/>
  <c r="Y95" i="96"/>
  <c r="AE95" i="96"/>
  <c r="AF426" i="96"/>
  <c r="Z426" i="96"/>
  <c r="AF575" i="104"/>
  <c r="Z575" i="104"/>
  <c r="Z78" i="96"/>
  <c r="AF78" i="96"/>
  <c r="AK8" i="96"/>
  <c r="AK9" i="96"/>
  <c r="AL9" i="96"/>
  <c r="AF155" i="104"/>
  <c r="Z155" i="104"/>
  <c r="AG388" i="104"/>
  <c r="AA388" i="104"/>
  <c r="AK9" i="53"/>
  <c r="AK9" i="102"/>
  <c r="AK9" i="52"/>
  <c r="AK9" i="54"/>
  <c r="AL46" i="102"/>
  <c r="AJ46" i="102"/>
  <c r="M200" i="100"/>
  <c r="J200" i="100"/>
  <c r="Z525" i="96"/>
  <c r="AF525" i="96"/>
  <c r="AF5" i="54"/>
  <c r="AP5" i="54"/>
  <c r="Y200" i="96"/>
  <c r="AE200" i="96"/>
  <c r="AE59" i="104"/>
  <c r="Y59" i="104"/>
  <c r="AE195" i="96"/>
  <c r="AG598" i="104"/>
  <c r="AA598" i="104"/>
  <c r="AF59" i="104"/>
  <c r="Z59" i="104"/>
  <c r="AZ20" i="102"/>
  <c r="AX20" i="102"/>
  <c r="AG358" i="104"/>
  <c r="AA358" i="104"/>
  <c r="AG54" i="104"/>
  <c r="AA54" i="104"/>
  <c r="N98" i="107"/>
  <c r="N46" i="107"/>
  <c r="AE233" i="97"/>
  <c r="Z233" i="97"/>
  <c r="AF492" i="104"/>
  <c r="Z492" i="104"/>
  <c r="AF332" i="96"/>
  <c r="N116" i="100"/>
  <c r="K116" i="100"/>
  <c r="AL20" i="53"/>
  <c r="AJ20" i="53"/>
  <c r="AE51" i="96"/>
  <c r="N8" i="102"/>
  <c r="T8" i="102"/>
  <c r="AM8" i="102"/>
  <c r="Z332" i="96"/>
  <c r="K332" i="100"/>
  <c r="N332" i="100"/>
  <c r="AF497" i="96"/>
  <c r="Z497" i="96"/>
  <c r="AF550" i="96"/>
  <c r="AM41" i="53"/>
  <c r="T41" i="53"/>
  <c r="N41" i="53"/>
  <c r="N596" i="100"/>
  <c r="K596" i="100"/>
  <c r="N247" i="100"/>
  <c r="K247" i="100"/>
  <c r="AG579" i="104"/>
  <c r="AA579" i="104"/>
  <c r="AE303" i="104"/>
  <c r="Y303" i="104"/>
  <c r="AG604" i="104"/>
  <c r="AA604" i="104"/>
  <c r="AE33" i="104"/>
  <c r="Y33" i="104"/>
  <c r="AF430" i="96"/>
  <c r="Z430" i="96"/>
  <c r="AG492" i="104"/>
  <c r="AA492" i="104"/>
  <c r="R13" i="109"/>
  <c r="R7" i="109"/>
  <c r="AG321" i="104"/>
  <c r="AA321" i="104"/>
  <c r="AF213" i="104"/>
  <c r="Z213" i="104"/>
  <c r="AF559" i="104"/>
  <c r="Z559" i="104"/>
  <c r="AG542" i="104"/>
  <c r="AA542" i="104"/>
  <c r="N79" i="100"/>
  <c r="K79" i="100"/>
  <c r="AG481" i="104"/>
  <c r="AA481" i="104"/>
  <c r="AF210" i="96"/>
  <c r="AF350" i="96"/>
  <c r="N483" i="100"/>
  <c r="K483" i="100"/>
  <c r="AF394" i="104"/>
  <c r="Z394" i="104"/>
  <c r="AF89" i="107"/>
  <c r="AF37" i="107"/>
  <c r="AG576" i="104"/>
  <c r="AA576" i="104"/>
  <c r="M91" i="100"/>
  <c r="J91" i="100"/>
  <c r="AF370" i="96"/>
  <c r="Z370" i="96"/>
  <c r="AF10" i="54"/>
  <c r="AP10" i="54"/>
  <c r="AM42" i="53"/>
  <c r="T42" i="53"/>
  <c r="N42" i="53"/>
  <c r="AE11" i="100"/>
  <c r="AE245" i="97"/>
  <c r="Z245" i="97"/>
  <c r="N119" i="100"/>
  <c r="K119" i="100"/>
  <c r="AL44" i="102"/>
  <c r="AJ44" i="102"/>
  <c r="AG75" i="104"/>
  <c r="AA75" i="104"/>
  <c r="AF36" i="104"/>
  <c r="Z36" i="104"/>
  <c r="N367" i="100"/>
  <c r="K367" i="100"/>
  <c r="AF11" i="102"/>
  <c r="AP11" i="102"/>
  <c r="AG406" i="104"/>
  <c r="AA406" i="104"/>
  <c r="AL25" i="102"/>
  <c r="AJ25" i="102"/>
  <c r="AG6" i="54"/>
  <c r="AE6" i="54"/>
  <c r="AO6" i="54"/>
  <c r="I11" i="101"/>
  <c r="G11" i="101"/>
  <c r="Z550" i="96"/>
  <c r="K550" i="100"/>
  <c r="N550" i="100"/>
  <c r="AG538" i="104"/>
  <c r="AA538" i="104"/>
  <c r="AF19" i="104"/>
  <c r="Z19" i="104"/>
  <c r="AE34" i="97"/>
  <c r="Z34" i="97"/>
  <c r="AL25" i="54"/>
  <c r="AJ25" i="54"/>
  <c r="AF65" i="107"/>
  <c r="AF13" i="107"/>
  <c r="AF546" i="104"/>
  <c r="Z546" i="104"/>
  <c r="AF412" i="104"/>
  <c r="Z412" i="104"/>
  <c r="AF369" i="104"/>
  <c r="Z369" i="104"/>
  <c r="AG178" i="104"/>
  <c r="AA178" i="104"/>
  <c r="M36" i="100"/>
  <c r="J36" i="100"/>
  <c r="AE310" i="96"/>
  <c r="Y310" i="96"/>
  <c r="AM24" i="102"/>
  <c r="T24" i="102"/>
  <c r="N24" i="102"/>
  <c r="AF233" i="104"/>
  <c r="Z233" i="104"/>
  <c r="AG348" i="104"/>
  <c r="AA348" i="104"/>
  <c r="AF95" i="107"/>
  <c r="AF43" i="107"/>
  <c r="M54" i="100"/>
  <c r="J54" i="100"/>
  <c r="AF218" i="96"/>
  <c r="N344" i="100"/>
  <c r="K344" i="100"/>
  <c r="AG37" i="102"/>
  <c r="AE37" i="102"/>
  <c r="AO37" i="102"/>
  <c r="AG174" i="104"/>
  <c r="AA174" i="104"/>
  <c r="N392" i="100"/>
  <c r="K392" i="100"/>
  <c r="M269" i="100"/>
  <c r="J269" i="100"/>
  <c r="AF559" i="96"/>
  <c r="AB74" i="107"/>
  <c r="AB22" i="107"/>
  <c r="AM43" i="54"/>
  <c r="T43" i="54"/>
  <c r="N43" i="54"/>
  <c r="AJ7" i="97"/>
  <c r="AE198" i="97"/>
  <c r="Z198" i="97"/>
  <c r="AC79" i="107"/>
  <c r="AC27" i="107"/>
  <c r="AF27" i="53"/>
  <c r="AP27" i="53"/>
  <c r="AE26" i="104"/>
  <c r="Y26" i="104"/>
  <c r="AG98" i="107"/>
  <c r="AG46" i="107"/>
  <c r="N8" i="100"/>
  <c r="K8" i="100"/>
  <c r="AF62" i="107"/>
  <c r="AF10" i="107"/>
  <c r="N446" i="100"/>
  <c r="K446" i="100"/>
  <c r="AF355" i="104"/>
  <c r="Z355" i="104"/>
  <c r="M35" i="100"/>
  <c r="J35" i="100"/>
  <c r="Z570" i="96"/>
  <c r="AF570" i="96"/>
  <c r="AG249" i="104"/>
  <c r="AA249" i="104"/>
  <c r="AE104" i="97"/>
  <c r="Z104" i="97"/>
  <c r="Z225" i="96"/>
  <c r="AF225" i="96"/>
  <c r="AG546" i="104"/>
  <c r="AA546" i="104"/>
  <c r="Z116" i="96"/>
  <c r="AF116" i="96"/>
  <c r="N407" i="100"/>
  <c r="K407" i="100"/>
  <c r="AF461" i="96"/>
  <c r="Z461" i="96"/>
  <c r="AF461" i="104"/>
  <c r="Z461" i="104"/>
  <c r="AM15" i="102"/>
  <c r="T15" i="102"/>
  <c r="N15" i="102"/>
  <c r="AK3" i="96"/>
  <c r="AL3" i="96"/>
  <c r="AZ11" i="102"/>
  <c r="AX11" i="102"/>
  <c r="AE125" i="97"/>
  <c r="Z125" i="97"/>
  <c r="AF440" i="104"/>
  <c r="Z440" i="104"/>
  <c r="N270" i="100"/>
  <c r="K270" i="100"/>
  <c r="AF396" i="104"/>
  <c r="Z396" i="104"/>
  <c r="AF314" i="96"/>
  <c r="Z314" i="96"/>
  <c r="AD90" i="97"/>
  <c r="Y90" i="97"/>
  <c r="AF448" i="96"/>
  <c r="Z448" i="96"/>
  <c r="AF576" i="96"/>
  <c r="AF230" i="96"/>
  <c r="AF520" i="104"/>
  <c r="Z520" i="104"/>
  <c r="AE203" i="97"/>
  <c r="Z203" i="97"/>
  <c r="AK46" i="54"/>
  <c r="AK46" i="53"/>
  <c r="AK46" i="51"/>
  <c r="AK46" i="52"/>
  <c r="AK46" i="102"/>
  <c r="AF421" i="96"/>
  <c r="Z421" i="96"/>
  <c r="AF582" i="104"/>
  <c r="Z582" i="104"/>
  <c r="AF84" i="107"/>
  <c r="AF32" i="107"/>
  <c r="AF447" i="96"/>
  <c r="Z447" i="96"/>
  <c r="AC77" i="107"/>
  <c r="AC25" i="107"/>
  <c r="AF25" i="53"/>
  <c r="AP25" i="53"/>
  <c r="N614" i="100"/>
  <c r="K614" i="100"/>
  <c r="Z81" i="96"/>
  <c r="AF81" i="96"/>
  <c r="AF321" i="104"/>
  <c r="Z321" i="104"/>
  <c r="AF425" i="96"/>
  <c r="Z425" i="96"/>
  <c r="AF31" i="54"/>
  <c r="AP31" i="54"/>
  <c r="AF368" i="96"/>
  <c r="Z368" i="96"/>
  <c r="AE65" i="97"/>
  <c r="Z65" i="97"/>
  <c r="AG634" i="104"/>
  <c r="AA634" i="104"/>
  <c r="N618" i="100"/>
  <c r="K618" i="100"/>
  <c r="AF41" i="102"/>
  <c r="AP41" i="102"/>
  <c r="AF28" i="54"/>
  <c r="AP28" i="54"/>
  <c r="AZ47" i="102"/>
  <c r="AX47" i="102"/>
  <c r="Z587" i="96"/>
  <c r="AF587" i="96"/>
  <c r="AF464" i="104"/>
  <c r="Z464" i="104"/>
  <c r="AF509" i="104"/>
  <c r="Z509" i="104"/>
  <c r="AG554" i="104"/>
  <c r="AA554" i="104"/>
  <c r="N242" i="100"/>
  <c r="K242" i="100"/>
  <c r="AF68" i="104"/>
  <c r="Z68" i="104"/>
  <c r="AF146" i="96"/>
  <c r="Z218" i="96"/>
  <c r="K218" i="100"/>
  <c r="N218" i="100"/>
  <c r="AE8" i="96"/>
  <c r="AG368" i="104"/>
  <c r="AA368" i="104"/>
  <c r="AE146" i="97"/>
  <c r="Z146" i="97"/>
  <c r="AF617" i="96"/>
  <c r="Z617" i="96"/>
  <c r="AM47" i="53"/>
  <c r="T47" i="53"/>
  <c r="N47" i="53"/>
  <c r="AF534" i="104"/>
  <c r="Z534" i="104"/>
  <c r="AF177" i="104"/>
  <c r="Z177" i="104"/>
  <c r="AG424" i="104"/>
  <c r="AA424" i="104"/>
  <c r="Z8" i="96"/>
  <c r="AF8" i="96"/>
  <c r="Y35" i="96"/>
  <c r="AE35" i="96"/>
  <c r="AM27" i="52"/>
  <c r="AX27" i="102"/>
  <c r="AZ27" i="102"/>
  <c r="N58" i="52"/>
  <c r="N53" i="52"/>
  <c r="Y51" i="96"/>
  <c r="J51" i="100"/>
  <c r="M51" i="100"/>
  <c r="AF525" i="104"/>
  <c r="Z525" i="104"/>
  <c r="AG315" i="104"/>
  <c r="AA315" i="104"/>
  <c r="N48" i="53"/>
  <c r="T48" i="53"/>
  <c r="AM48" i="53"/>
  <c r="AF343" i="104"/>
  <c r="Z343" i="104"/>
  <c r="Z270" i="96"/>
  <c r="AF270" i="96"/>
  <c r="Z108" i="96"/>
  <c r="AF108" i="96"/>
  <c r="Z105" i="96"/>
  <c r="AF105" i="96"/>
  <c r="Y195" i="96"/>
  <c r="J195" i="100"/>
  <c r="M195" i="100"/>
  <c r="N75" i="107"/>
  <c r="N23" i="107"/>
  <c r="Y100" i="96"/>
  <c r="AE100" i="96"/>
  <c r="AO39" i="54"/>
  <c r="AE39" i="54"/>
  <c r="AG39" i="54"/>
  <c r="AK10" i="102"/>
  <c r="AK10" i="53"/>
  <c r="AK10" i="52"/>
  <c r="AK10" i="54"/>
  <c r="Z576" i="96"/>
  <c r="K576" i="100"/>
  <c r="N576" i="100"/>
  <c r="Z230" i="96"/>
  <c r="K230" i="100"/>
  <c r="N230" i="100"/>
  <c r="AF299" i="104"/>
  <c r="Z299" i="104"/>
  <c r="AF452" i="104"/>
  <c r="Z452" i="104"/>
  <c r="Y29" i="96"/>
  <c r="J29" i="100"/>
  <c r="M29" i="100"/>
  <c r="AF174" i="96"/>
  <c r="AG610" i="104"/>
  <c r="AA610" i="104"/>
  <c r="AF421" i="104"/>
  <c r="Z421" i="104"/>
  <c r="AG235" i="104"/>
  <c r="AA235" i="104"/>
  <c r="N602" i="100"/>
  <c r="K602" i="100"/>
  <c r="M252" i="100"/>
  <c r="J252" i="100"/>
  <c r="AE38" i="97"/>
  <c r="Z38" i="97"/>
  <c r="AF426" i="104"/>
  <c r="Z426" i="104"/>
  <c r="N294" i="100"/>
  <c r="K294" i="100"/>
  <c r="AF347" i="96"/>
  <c r="AE54" i="104"/>
  <c r="Y54" i="104"/>
  <c r="AF23" i="102"/>
  <c r="AP23" i="102"/>
  <c r="AF337" i="104"/>
  <c r="Z337" i="104"/>
  <c r="Z72" i="96"/>
  <c r="AF72" i="96"/>
  <c r="AE10" i="96"/>
  <c r="AM38" i="53"/>
  <c r="T38" i="53"/>
  <c r="N38" i="53"/>
  <c r="AZ43" i="102"/>
  <c r="AX43" i="102"/>
  <c r="AM43" i="52"/>
  <c r="AF174" i="104"/>
  <c r="Z174" i="104"/>
  <c r="AZ39" i="102"/>
  <c r="AX39" i="102"/>
  <c r="Z146" i="96"/>
  <c r="K146" i="100"/>
  <c r="N146" i="100"/>
  <c r="Y8" i="96"/>
  <c r="J8" i="100"/>
  <c r="M8" i="100"/>
  <c r="AG73" i="104"/>
  <c r="AA73" i="104"/>
  <c r="AF561" i="104"/>
  <c r="Z561" i="104"/>
  <c r="AF223" i="104"/>
  <c r="Z223" i="104"/>
  <c r="AG7" i="53"/>
  <c r="AG512" i="104"/>
  <c r="AA512" i="104"/>
  <c r="AE182" i="96"/>
  <c r="AF635" i="96"/>
  <c r="N151" i="100"/>
  <c r="K151" i="100"/>
  <c r="N491" i="100"/>
  <c r="K491" i="100"/>
  <c r="AD6" i="97"/>
  <c r="Y6" i="97"/>
  <c r="AG179" i="104"/>
  <c r="AA179" i="104"/>
  <c r="AZ19" i="102"/>
  <c r="AX19" i="102"/>
  <c r="AG340" i="104"/>
  <c r="AA340" i="104"/>
  <c r="AF323" i="104"/>
  <c r="Z323" i="104"/>
  <c r="Z174" i="96"/>
  <c r="K174" i="100"/>
  <c r="N174" i="100"/>
  <c r="AF100" i="107"/>
  <c r="AF48" i="107"/>
  <c r="AB88" i="107"/>
  <c r="AB36" i="107"/>
  <c r="AE53" i="54"/>
  <c r="AG5" i="54"/>
  <c r="AE5" i="54"/>
  <c r="AO5" i="54"/>
  <c r="AE76" i="97"/>
  <c r="Z76" i="97"/>
  <c r="AF446" i="104"/>
  <c r="Z446" i="104"/>
  <c r="AE196" i="97"/>
  <c r="Z196" i="97"/>
  <c r="AF234" i="96"/>
  <c r="AF131" i="96"/>
  <c r="AL35" i="102"/>
  <c r="AJ35" i="102"/>
  <c r="AG465" i="104"/>
  <c r="AA465" i="104"/>
  <c r="AF379" i="104"/>
  <c r="Z379" i="104"/>
  <c r="AG65" i="107"/>
  <c r="AG13" i="107"/>
  <c r="AG285" i="104"/>
  <c r="AA285" i="104"/>
  <c r="AF25" i="96"/>
  <c r="N395" i="100"/>
  <c r="K395" i="100"/>
  <c r="AD58" i="97"/>
  <c r="Y58" i="97"/>
  <c r="AF612" i="96"/>
  <c r="Z246" i="96"/>
  <c r="AF246" i="96"/>
  <c r="AE32" i="96"/>
  <c r="AG474" i="104"/>
  <c r="AA474" i="104"/>
  <c r="Z221" i="96"/>
  <c r="AF221" i="96"/>
  <c r="U23" i="123"/>
  <c r="AM39" i="52"/>
  <c r="R23" i="123"/>
  <c r="N61" i="107"/>
  <c r="N9" i="107"/>
  <c r="Z596" i="96"/>
  <c r="AF596" i="96"/>
  <c r="AF331" i="96"/>
  <c r="N494" i="100"/>
  <c r="K494" i="100"/>
  <c r="AF247" i="104"/>
  <c r="Z247" i="104"/>
  <c r="AO7" i="53"/>
  <c r="AE7" i="53"/>
  <c r="AB7" i="107"/>
  <c r="AB59" i="107"/>
  <c r="Y182" i="96"/>
  <c r="J182" i="100"/>
  <c r="M182" i="100"/>
  <c r="Z635" i="96"/>
  <c r="K635" i="100"/>
  <c r="N635" i="100"/>
  <c r="AM33" i="53"/>
  <c r="T33" i="53"/>
  <c r="N33" i="53"/>
  <c r="AG365" i="104"/>
  <c r="AA365" i="104"/>
  <c r="AL20" i="54"/>
  <c r="AJ20" i="54"/>
  <c r="AG218" i="104"/>
  <c r="AA218" i="104"/>
  <c r="M254" i="100"/>
  <c r="J254" i="100"/>
  <c r="AF333" i="96"/>
  <c r="N456" i="100"/>
  <c r="K456" i="100"/>
  <c r="AF410" i="104"/>
  <c r="Z410" i="104"/>
  <c r="AG593" i="104"/>
  <c r="AA593" i="104"/>
  <c r="AK23" i="102"/>
  <c r="AK23" i="53"/>
  <c r="AK23" i="51"/>
  <c r="AK23" i="52"/>
  <c r="AK23" i="54"/>
  <c r="Z541" i="96"/>
  <c r="K541" i="100"/>
  <c r="N541" i="100"/>
  <c r="AO42" i="53"/>
  <c r="AE42" i="53"/>
  <c r="AG42" i="53"/>
  <c r="AL22" i="53"/>
  <c r="AJ22" i="53"/>
  <c r="Z31" i="96"/>
  <c r="K31" i="100"/>
  <c r="N31" i="100"/>
  <c r="N457" i="100"/>
  <c r="K457" i="100"/>
  <c r="AE25" i="97"/>
  <c r="Z25" i="97"/>
  <c r="Z76" i="96"/>
  <c r="AF76" i="96"/>
  <c r="AF330" i="104"/>
  <c r="Z330" i="104"/>
  <c r="Y137" i="96"/>
  <c r="AE137" i="96"/>
  <c r="Y259" i="96"/>
  <c r="J259" i="100"/>
  <c r="M259" i="100"/>
  <c r="N477" i="100"/>
  <c r="K477" i="100"/>
  <c r="Z277" i="96"/>
  <c r="K277" i="100"/>
  <c r="N277" i="100"/>
  <c r="AO36" i="53"/>
  <c r="AE36" i="53"/>
  <c r="AG36" i="53"/>
  <c r="AG32" i="53"/>
  <c r="AG277" i="104"/>
  <c r="AA277" i="104"/>
  <c r="AF432" i="96"/>
  <c r="Z432" i="96"/>
  <c r="AG356" i="104"/>
  <c r="AA356" i="104"/>
  <c r="AL18" i="102"/>
  <c r="AJ18" i="102"/>
  <c r="Z287" i="96"/>
  <c r="AF287" i="96"/>
  <c r="Z234" i="96"/>
  <c r="K234" i="100"/>
  <c r="N234" i="100"/>
  <c r="Z131" i="96"/>
  <c r="K131" i="100"/>
  <c r="N131" i="100"/>
  <c r="AF87" i="107"/>
  <c r="AF35" i="107"/>
  <c r="AF11" i="104"/>
  <c r="Z11" i="104"/>
  <c r="AO55" i="102"/>
  <c r="AO53" i="102"/>
  <c r="AG16" i="54"/>
  <c r="AE16" i="54"/>
  <c r="AO16" i="54"/>
  <c r="AG475" i="104"/>
  <c r="AA475" i="104"/>
  <c r="AF542" i="104"/>
  <c r="Z542" i="104"/>
  <c r="AG439" i="104"/>
  <c r="AA439" i="104"/>
  <c r="Z25" i="96"/>
  <c r="K25" i="100"/>
  <c r="N25" i="100"/>
  <c r="U22" i="123"/>
  <c r="AM38" i="52"/>
  <c r="R22" i="123"/>
  <c r="Z29" i="96"/>
  <c r="AF29" i="96"/>
  <c r="Y32" i="96"/>
  <c r="J32" i="100"/>
  <c r="M32" i="100"/>
  <c r="AG384" i="104"/>
  <c r="AA384" i="104"/>
  <c r="AF381" i="96"/>
  <c r="Z381" i="96"/>
  <c r="AF97" i="107"/>
  <c r="AF45" i="107"/>
  <c r="AK58" i="52"/>
  <c r="AK53" i="52"/>
  <c r="AG456" i="104"/>
  <c r="AA456" i="104"/>
  <c r="AF388" i="104"/>
  <c r="Z388" i="104"/>
  <c r="AE37" i="104"/>
  <c r="Y37" i="104"/>
  <c r="AF565" i="96"/>
  <c r="AG102" i="104"/>
  <c r="AA102" i="104"/>
  <c r="AG355" i="104"/>
  <c r="AA355" i="104"/>
  <c r="M138" i="100"/>
  <c r="J138" i="100"/>
  <c r="N211" i="100"/>
  <c r="K211" i="100"/>
  <c r="AE94" i="96"/>
  <c r="AO51" i="102"/>
  <c r="AE51" i="102"/>
  <c r="AG51" i="102"/>
  <c r="M57" i="100"/>
  <c r="J57" i="100"/>
  <c r="AF625" i="104"/>
  <c r="Z625" i="104"/>
  <c r="AE312" i="104"/>
  <c r="Y312" i="104"/>
  <c r="AE151" i="97"/>
  <c r="Z151" i="97"/>
  <c r="AF577" i="104"/>
  <c r="Z577" i="104"/>
  <c r="AG284" i="104"/>
  <c r="AA284" i="104"/>
  <c r="AL6" i="96"/>
  <c r="AK6" i="96"/>
  <c r="Z151" i="96"/>
  <c r="AF151" i="96"/>
  <c r="Y10" i="96"/>
  <c r="J10" i="100"/>
  <c r="M10" i="100"/>
  <c r="AG71" i="107"/>
  <c r="AG19" i="107"/>
  <c r="Z565" i="96"/>
  <c r="K565" i="100"/>
  <c r="N565" i="100"/>
  <c r="Z350" i="96"/>
  <c r="K350" i="100"/>
  <c r="N350" i="100"/>
  <c r="AF14" i="104"/>
  <c r="Z14" i="104"/>
  <c r="AF439" i="96"/>
  <c r="Z439" i="96"/>
  <c r="N167" i="100"/>
  <c r="K167" i="100"/>
  <c r="N130" i="100"/>
  <c r="K130" i="100"/>
  <c r="AE208" i="97"/>
  <c r="Z208" i="97"/>
  <c r="N475" i="100"/>
  <c r="K475" i="100"/>
  <c r="AF225" i="104"/>
  <c r="Z225" i="104"/>
  <c r="AF552" i="96"/>
  <c r="AL8" i="53"/>
  <c r="AJ8" i="53"/>
  <c r="AF175" i="104"/>
  <c r="Z175" i="104"/>
  <c r="N227" i="100"/>
  <c r="K227" i="100"/>
  <c r="N401" i="100"/>
  <c r="K401" i="100"/>
  <c r="AM20" i="53"/>
  <c r="T20" i="53"/>
  <c r="N20" i="53"/>
  <c r="Z333" i="96"/>
  <c r="K333" i="100"/>
  <c r="N333" i="100"/>
  <c r="AB99" i="107"/>
  <c r="AB47" i="107"/>
  <c r="AL43" i="53"/>
  <c r="AJ43" i="53"/>
  <c r="N97" i="107"/>
  <c r="N45" i="107"/>
  <c r="AF63" i="107"/>
  <c r="AF11" i="107"/>
  <c r="AF621" i="104"/>
  <c r="Z621" i="104"/>
  <c r="AE96" i="104"/>
  <c r="Y96" i="104"/>
  <c r="AZ31" i="102"/>
  <c r="AX31" i="102"/>
  <c r="AF42" i="104"/>
  <c r="Z42" i="104"/>
  <c r="AL7" i="96"/>
  <c r="AK7" i="96"/>
  <c r="AD33" i="97"/>
  <c r="Y33" i="97"/>
  <c r="N375" i="100"/>
  <c r="K375" i="100"/>
  <c r="AM29" i="102"/>
  <c r="T29" i="102"/>
  <c r="N29" i="102"/>
  <c r="AB75" i="107"/>
  <c r="AB23" i="107"/>
  <c r="AE5" i="97"/>
  <c r="Z5" i="97"/>
  <c r="N213" i="100"/>
  <c r="K213" i="100"/>
  <c r="AF532" i="104"/>
  <c r="Z532" i="104"/>
  <c r="Z552" i="96"/>
  <c r="K552" i="100"/>
  <c r="N552" i="100"/>
  <c r="AF431" i="104"/>
  <c r="Z431" i="104"/>
  <c r="AE161" i="97"/>
  <c r="Z161" i="97"/>
  <c r="AF44" i="104"/>
  <c r="Z44" i="104"/>
  <c r="AD88" i="97"/>
  <c r="Y88" i="97"/>
  <c r="AK17" i="54"/>
  <c r="AK17" i="53"/>
  <c r="AK17" i="51"/>
  <c r="AK17" i="52"/>
  <c r="AK17" i="102"/>
  <c r="AL48" i="54"/>
  <c r="AJ48" i="54"/>
  <c r="N73" i="107"/>
  <c r="N21" i="107"/>
  <c r="AE256" i="104"/>
  <c r="Y256" i="104"/>
  <c r="AF52" i="104"/>
  <c r="Z52" i="104"/>
  <c r="AG237" i="104"/>
  <c r="AA237" i="104"/>
  <c r="AL15" i="53"/>
  <c r="AJ15" i="53"/>
  <c r="AE49" i="97"/>
  <c r="Z49" i="97"/>
  <c r="Z242" i="96"/>
  <c r="AF242" i="96"/>
  <c r="AE9" i="96"/>
  <c r="AO32" i="53"/>
  <c r="AE32" i="53"/>
  <c r="AB32" i="107"/>
  <c r="AB84" i="107"/>
  <c r="Y138" i="96"/>
  <c r="AE138" i="96"/>
  <c r="Z244" i="96"/>
  <c r="AF244" i="96"/>
  <c r="AF432" i="104"/>
  <c r="Z432" i="104"/>
  <c r="AF234" i="104"/>
  <c r="Z234" i="104"/>
  <c r="AF60" i="104"/>
  <c r="Z60" i="104"/>
  <c r="AO29" i="54"/>
  <c r="AE29" i="54"/>
  <c r="AG29" i="54"/>
  <c r="Y252" i="96"/>
  <c r="AE252" i="96"/>
  <c r="AF452" i="96"/>
  <c r="Z452" i="96"/>
  <c r="AP31" i="53"/>
  <c r="AF31" i="53"/>
  <c r="AC31" i="107"/>
  <c r="AC83" i="107"/>
  <c r="AF338" i="104"/>
  <c r="Z338" i="104"/>
  <c r="Z211" i="96"/>
  <c r="AF211" i="96"/>
  <c r="Y94" i="96"/>
  <c r="J94" i="100"/>
  <c r="M94" i="100"/>
  <c r="AK32" i="53"/>
  <c r="AK32" i="102"/>
  <c r="AK32" i="54"/>
  <c r="Z609" i="96"/>
  <c r="AF609" i="96"/>
  <c r="AF371" i="96"/>
  <c r="Z371" i="96"/>
  <c r="AF481" i="96"/>
  <c r="Z481" i="96"/>
  <c r="AO22" i="53"/>
  <c r="AE22" i="53"/>
  <c r="AG22" i="53"/>
  <c r="M204" i="100"/>
  <c r="J204" i="100"/>
  <c r="N621" i="100"/>
  <c r="K621" i="100"/>
  <c r="N229" i="100"/>
  <c r="K229" i="100"/>
  <c r="AF602" i="104"/>
  <c r="Z602" i="104"/>
  <c r="AE145" i="97"/>
  <c r="Z145" i="97"/>
  <c r="AG438" i="104"/>
  <c r="AA438" i="104"/>
  <c r="AF509" i="96"/>
  <c r="AF391" i="104"/>
  <c r="Z391" i="104"/>
  <c r="AL18" i="53"/>
  <c r="AJ18" i="53"/>
  <c r="N85" i="107"/>
  <c r="N33" i="107"/>
  <c r="AE126" i="97"/>
  <c r="Z126" i="97"/>
  <c r="AF476" i="96"/>
  <c r="Z476" i="96"/>
  <c r="N24" i="100"/>
  <c r="K24" i="100"/>
  <c r="AF413" i="96"/>
  <c r="Z413" i="96"/>
  <c r="AL47" i="102"/>
  <c r="AJ47" i="102"/>
  <c r="M139" i="100"/>
  <c r="J139" i="100"/>
  <c r="M44" i="100"/>
  <c r="J44" i="100"/>
  <c r="AF4" i="104"/>
  <c r="Z4" i="104"/>
  <c r="AF357" i="96"/>
  <c r="AE71" i="97"/>
  <c r="Z71" i="97"/>
  <c r="AF53" i="104"/>
  <c r="Z53" i="104"/>
  <c r="AF22" i="104"/>
  <c r="Z22" i="104"/>
  <c r="AF5" i="104"/>
  <c r="Z5" i="104"/>
  <c r="N507" i="100"/>
  <c r="K507" i="100"/>
  <c r="AG431" i="104"/>
  <c r="AA431" i="104"/>
  <c r="AF605" i="96"/>
  <c r="N77" i="100"/>
  <c r="K77" i="100"/>
  <c r="AF166" i="104"/>
  <c r="Z166" i="104"/>
  <c r="AG165" i="104"/>
  <c r="AA165" i="104"/>
  <c r="Z279" i="96"/>
  <c r="AF279" i="96"/>
  <c r="N354" i="100"/>
  <c r="K354" i="100"/>
  <c r="Z509" i="96"/>
  <c r="K509" i="100"/>
  <c r="N509" i="100"/>
  <c r="N322" i="100"/>
  <c r="K322" i="100"/>
  <c r="AL41" i="53"/>
  <c r="AJ41" i="53"/>
  <c r="AE167" i="97"/>
  <c r="Z167" i="97"/>
  <c r="N26" i="100"/>
  <c r="K26" i="100"/>
  <c r="N64" i="100"/>
  <c r="K64" i="100"/>
  <c r="AG521" i="104"/>
  <c r="AA521" i="104"/>
  <c r="Z24" i="96"/>
  <c r="AF24" i="96"/>
  <c r="AF373" i="96"/>
  <c r="Z373" i="96"/>
  <c r="Z111" i="97"/>
  <c r="AE111" i="97"/>
  <c r="AJ8" i="97"/>
  <c r="Z357" i="96"/>
  <c r="K357" i="100"/>
  <c r="N357" i="100"/>
  <c r="AF487" i="104"/>
  <c r="Z487" i="104"/>
  <c r="AI30" i="103"/>
  <c r="AL30" i="103"/>
  <c r="AB30" i="103"/>
  <c r="S23" i="123"/>
  <c r="AG206" i="104"/>
  <c r="AA206" i="104"/>
  <c r="N391" i="100"/>
  <c r="K391" i="100"/>
  <c r="AG435" i="104"/>
  <c r="AA435" i="104"/>
  <c r="AF466" i="104"/>
  <c r="Z466" i="104"/>
  <c r="M313" i="100"/>
  <c r="J313" i="100"/>
  <c r="Y92" i="96"/>
  <c r="AE92" i="96"/>
  <c r="AE24" i="97"/>
  <c r="Z24" i="97"/>
  <c r="AG409" i="104"/>
  <c r="AA409" i="104"/>
  <c r="AF470" i="96"/>
  <c r="Z470" i="96"/>
  <c r="N568" i="100"/>
  <c r="K568" i="100"/>
  <c r="AJ53" i="53"/>
  <c r="AL5" i="53"/>
  <c r="AJ5" i="53"/>
  <c r="AF51" i="54"/>
  <c r="AP51" i="54"/>
  <c r="AF16" i="102"/>
  <c r="AP16" i="102"/>
  <c r="AZ45" i="102"/>
  <c r="AX45" i="102"/>
  <c r="AG427" i="104"/>
  <c r="AA427" i="104"/>
  <c r="AF289" i="104"/>
  <c r="Z289" i="104"/>
  <c r="N366" i="100"/>
  <c r="K366" i="100"/>
  <c r="AE143" i="104"/>
  <c r="Y143" i="104"/>
  <c r="Z157" i="96"/>
  <c r="AF157" i="96"/>
  <c r="AE9" i="104"/>
  <c r="Y9" i="104"/>
  <c r="N535" i="100"/>
  <c r="K535" i="100"/>
  <c r="Z115" i="96"/>
  <c r="AF115" i="96"/>
  <c r="AG584" i="104"/>
  <c r="AA584" i="104"/>
  <c r="Y91" i="96"/>
  <c r="AE91" i="96"/>
  <c r="AF160" i="104"/>
  <c r="Z160" i="104"/>
  <c r="Z588" i="96"/>
  <c r="AF588" i="96"/>
  <c r="AG116" i="104"/>
  <c r="AA116" i="104"/>
  <c r="AF175" i="96"/>
  <c r="AF609" i="104"/>
  <c r="Z609" i="104"/>
  <c r="AG457" i="104"/>
  <c r="AA457" i="104"/>
  <c r="AE47" i="96"/>
  <c r="AC92" i="107"/>
  <c r="AP40" i="53"/>
  <c r="AF40" i="53"/>
  <c r="AC40" i="107"/>
  <c r="AF224" i="104"/>
  <c r="Z224" i="104"/>
  <c r="AF58" i="107"/>
  <c r="AF6" i="107"/>
  <c r="N593" i="100"/>
  <c r="K593" i="100"/>
  <c r="AF75" i="104"/>
  <c r="Z75" i="104"/>
  <c r="AF320" i="96"/>
  <c r="Z320" i="96"/>
  <c r="AE47" i="104"/>
  <c r="Y47" i="104"/>
  <c r="AF441" i="96"/>
  <c r="Z441" i="96"/>
  <c r="AG8" i="54"/>
  <c r="AE8" i="54"/>
  <c r="AO8" i="54"/>
  <c r="AF26" i="102"/>
  <c r="AP26" i="102"/>
  <c r="N451" i="100"/>
  <c r="K451" i="100"/>
  <c r="AG35" i="53"/>
  <c r="AE35" i="97"/>
  <c r="Z35" i="97"/>
  <c r="AL14" i="54"/>
  <c r="AJ14" i="54"/>
  <c r="AF490" i="104"/>
  <c r="Z490" i="104"/>
  <c r="N47" i="100"/>
  <c r="K47" i="100"/>
  <c r="AG232" i="104"/>
  <c r="AA232" i="104"/>
  <c r="AC88" i="107"/>
  <c r="AC36" i="107"/>
  <c r="AF36" i="53"/>
  <c r="AP36" i="53"/>
  <c r="AG524" i="104"/>
  <c r="AA524" i="104"/>
  <c r="N600" i="100"/>
  <c r="K600" i="100"/>
  <c r="AM9" i="53"/>
  <c r="T9" i="53"/>
  <c r="N9" i="53"/>
  <c r="AL19" i="54"/>
  <c r="AJ19" i="54"/>
  <c r="N469" i="100"/>
  <c r="K469" i="100"/>
  <c r="AG412" i="104"/>
  <c r="AA412" i="104"/>
  <c r="Z347" i="96"/>
  <c r="K347" i="100"/>
  <c r="N347" i="100"/>
  <c r="AE311" i="96"/>
  <c r="Y311" i="96"/>
  <c r="AF406" i="96"/>
  <c r="Z406" i="96"/>
  <c r="AF463" i="104"/>
  <c r="Z463" i="104"/>
  <c r="AF448" i="104"/>
  <c r="Z448" i="104"/>
  <c r="Y190" i="96"/>
  <c r="AE190" i="96"/>
  <c r="Y36" i="96"/>
  <c r="AE36" i="96"/>
  <c r="Y27" i="96"/>
  <c r="J27" i="100"/>
  <c r="M27" i="100"/>
  <c r="AJ53" i="54"/>
  <c r="AL5" i="54"/>
  <c r="AJ5" i="54"/>
  <c r="AK13" i="54"/>
  <c r="AK13" i="102"/>
  <c r="AK13" i="51"/>
  <c r="AK13" i="52"/>
  <c r="AK13" i="53"/>
  <c r="Z232" i="96"/>
  <c r="K232" i="100"/>
  <c r="N232" i="100"/>
  <c r="AF57" i="104"/>
  <c r="Z57" i="104"/>
  <c r="AE159" i="97"/>
  <c r="Z159" i="97"/>
  <c r="Z612" i="96"/>
  <c r="K612" i="100"/>
  <c r="N612" i="100"/>
  <c r="Z500" i="96"/>
  <c r="AF500" i="96"/>
  <c r="AO16" i="53"/>
  <c r="AE16" i="53"/>
  <c r="AG16" i="53"/>
  <c r="AE190" i="104"/>
  <c r="Y190" i="104"/>
  <c r="AF3" i="104"/>
  <c r="Z3" i="104"/>
  <c r="Z331" i="96"/>
  <c r="K331" i="100"/>
  <c r="N331" i="100"/>
  <c r="Z210" i="96"/>
  <c r="K210" i="100"/>
  <c r="N210" i="100"/>
  <c r="AK25" i="53"/>
  <c r="AK25" i="102"/>
  <c r="AK25" i="51"/>
  <c r="AK25" i="52"/>
  <c r="AK25" i="54"/>
  <c r="AE135" i="97"/>
  <c r="Z135" i="97"/>
  <c r="AL38" i="53"/>
  <c r="AJ38" i="53"/>
  <c r="AF226" i="104"/>
  <c r="Z226" i="104"/>
  <c r="Z559" i="96"/>
  <c r="K559" i="100"/>
  <c r="N559" i="100"/>
  <c r="Z535" i="96"/>
  <c r="AF535" i="96"/>
  <c r="AG533" i="104"/>
  <c r="AA533" i="104"/>
  <c r="AF402" i="96"/>
  <c r="Z402" i="96"/>
  <c r="AL6" i="102"/>
  <c r="AJ6" i="102"/>
  <c r="AF539" i="104"/>
  <c r="Z539" i="104"/>
  <c r="Z175" i="96"/>
  <c r="K175" i="100"/>
  <c r="N175" i="100"/>
  <c r="AC100" i="107"/>
  <c r="AC48" i="107"/>
  <c r="AF48" i="53"/>
  <c r="AP48" i="53"/>
  <c r="Y47" i="96"/>
  <c r="J47" i="100"/>
  <c r="M47" i="100"/>
  <c r="N45" i="102"/>
  <c r="T45" i="102"/>
  <c r="AM45" i="102"/>
  <c r="AE4" i="97"/>
  <c r="Z4" i="97"/>
  <c r="AG45" i="104"/>
  <c r="AA45" i="104"/>
  <c r="AE136" i="104"/>
  <c r="Y136" i="104"/>
  <c r="AF453" i="96"/>
  <c r="Z453" i="96"/>
  <c r="AG158" i="104"/>
  <c r="AA158" i="104"/>
  <c r="AF33" i="104"/>
  <c r="Z33" i="104"/>
  <c r="AM38" i="102"/>
  <c r="T38" i="102"/>
  <c r="N38" i="102"/>
  <c r="AE260" i="96"/>
  <c r="N442" i="100"/>
  <c r="K442" i="100"/>
  <c r="AF295" i="96"/>
  <c r="Z295" i="96"/>
  <c r="AF123" i="104"/>
  <c r="Z123" i="104"/>
  <c r="AG543" i="104"/>
  <c r="AA543" i="104"/>
  <c r="AO35" i="53"/>
  <c r="AE35" i="53"/>
  <c r="AB35" i="107"/>
  <c r="AB87" i="107"/>
  <c r="N4" i="100"/>
  <c r="K4" i="100"/>
  <c r="N425" i="100"/>
  <c r="K425" i="100"/>
  <c r="Z593" i="96"/>
  <c r="AF593" i="96"/>
  <c r="Z26" i="96"/>
  <c r="AF26" i="96"/>
  <c r="N99" i="107"/>
  <c r="N47" i="107"/>
  <c r="AL12" i="53"/>
  <c r="AJ12" i="53"/>
  <c r="AG499" i="104"/>
  <c r="AA499" i="104"/>
  <c r="AG522" i="104"/>
  <c r="AA522" i="104"/>
  <c r="N123" i="100"/>
  <c r="K123" i="100"/>
  <c r="AC63" i="107"/>
  <c r="AC11" i="107"/>
  <c r="AF11" i="53"/>
  <c r="AP11" i="53"/>
  <c r="AF618" i="104"/>
  <c r="Z618" i="104"/>
  <c r="N223" i="100"/>
  <c r="K223" i="100"/>
  <c r="N601" i="100"/>
  <c r="K601" i="100"/>
  <c r="AB9" i="100"/>
  <c r="AF179" i="104"/>
  <c r="Z179" i="104"/>
  <c r="AG112" i="104"/>
  <c r="AA112" i="104"/>
  <c r="Z508" i="96"/>
  <c r="AF508" i="96"/>
  <c r="N444" i="100"/>
  <c r="K444" i="100"/>
  <c r="AF494" i="104"/>
  <c r="Z494" i="104"/>
  <c r="AF531" i="104"/>
  <c r="Z531" i="104"/>
  <c r="M306" i="100"/>
  <c r="J306" i="100"/>
  <c r="AB89" i="107"/>
  <c r="AB37" i="107"/>
  <c r="N78" i="107"/>
  <c r="N26" i="107"/>
  <c r="N100" i="107"/>
  <c r="N48" i="107"/>
  <c r="AF340" i="104"/>
  <c r="Z340" i="104"/>
  <c r="AG519" i="104"/>
  <c r="AA519" i="104"/>
  <c r="M26" i="100"/>
  <c r="J26" i="100"/>
  <c r="AG569" i="104"/>
  <c r="AA569" i="104"/>
  <c r="AL19" i="102"/>
  <c r="AJ19" i="102"/>
  <c r="N398" i="100"/>
  <c r="K398" i="100"/>
  <c r="AG507" i="104"/>
  <c r="AA507" i="104"/>
  <c r="AP51" i="53"/>
  <c r="AF51" i="53"/>
  <c r="AC51" i="107"/>
  <c r="AC103" i="107"/>
  <c r="AD5" i="97"/>
  <c r="Y5" i="97"/>
  <c r="AF280" i="104"/>
  <c r="Z280" i="104"/>
  <c r="AG209" i="104"/>
  <c r="AA209" i="104"/>
  <c r="AF563" i="104"/>
  <c r="Z563" i="104"/>
  <c r="AM21" i="54"/>
  <c r="T21" i="54"/>
  <c r="N21" i="54"/>
  <c r="AG559" i="104"/>
  <c r="AA559" i="104"/>
  <c r="M43" i="100"/>
  <c r="J43" i="100"/>
  <c r="N516" i="100"/>
  <c r="K516" i="100"/>
  <c r="N14" i="53"/>
  <c r="T14" i="53"/>
  <c r="AM14" i="53"/>
  <c r="AG47" i="54"/>
  <c r="AE47" i="54"/>
  <c r="AO47" i="54"/>
  <c r="N39" i="54"/>
  <c r="T39" i="54"/>
  <c r="AM39" i="54"/>
  <c r="Y204" i="96"/>
  <c r="AE204" i="96"/>
  <c r="AK19" i="53"/>
  <c r="AK19" i="102"/>
  <c r="AK19" i="51"/>
  <c r="AK19" i="52"/>
  <c r="AK19" i="54"/>
  <c r="AF24" i="102"/>
  <c r="AP24" i="102"/>
  <c r="AF35" i="54"/>
  <c r="AP35" i="54"/>
  <c r="Z38" i="96"/>
  <c r="AF38" i="96"/>
  <c r="Z354" i="96"/>
  <c r="AF354" i="96"/>
  <c r="N33" i="100"/>
  <c r="K33" i="100"/>
  <c r="N82" i="107"/>
  <c r="N30" i="107"/>
  <c r="AG442" i="104"/>
  <c r="AA442" i="104"/>
  <c r="Z247" i="96"/>
  <c r="AF247" i="96"/>
  <c r="Z33" i="96"/>
  <c r="AF33" i="96"/>
  <c r="AF455" i="104"/>
  <c r="Z455" i="104"/>
  <c r="U5" i="123"/>
  <c r="AM17" i="52"/>
  <c r="R5" i="123"/>
  <c r="AZ7" i="102"/>
  <c r="AX7" i="102"/>
  <c r="AF403" i="96"/>
  <c r="Z403" i="96"/>
  <c r="AK53" i="54"/>
  <c r="AG24" i="53"/>
  <c r="N430" i="100"/>
  <c r="K430" i="100"/>
  <c r="AF290" i="104"/>
  <c r="Z290" i="104"/>
  <c r="Z551" i="96"/>
  <c r="AF551" i="96"/>
  <c r="AE221" i="97"/>
  <c r="Z221" i="97"/>
  <c r="AE86" i="104"/>
  <c r="Y86" i="104"/>
  <c r="N518" i="100"/>
  <c r="K518" i="100"/>
  <c r="AF243" i="104"/>
  <c r="Z243" i="104"/>
  <c r="AG36" i="102"/>
  <c r="AE36" i="102"/>
  <c r="AO36" i="102"/>
  <c r="Z602" i="96"/>
  <c r="AF602" i="96"/>
  <c r="N443" i="100"/>
  <c r="K443" i="100"/>
  <c r="AL48" i="52"/>
  <c r="Y54" i="96"/>
  <c r="AE54" i="96"/>
  <c r="AG177" i="104"/>
  <c r="AA177" i="104"/>
  <c r="AF241" i="104"/>
  <c r="Z241" i="104"/>
  <c r="M311" i="100"/>
  <c r="J311" i="100"/>
  <c r="AE78" i="97"/>
  <c r="Z78" i="97"/>
  <c r="AD4" i="97"/>
  <c r="Y4" i="97"/>
  <c r="N522" i="100"/>
  <c r="K522" i="100"/>
  <c r="N364" i="100"/>
  <c r="K364" i="100"/>
  <c r="AF567" i="104"/>
  <c r="Z567" i="104"/>
  <c r="AF270" i="104"/>
  <c r="Z270" i="104"/>
  <c r="AO45" i="102"/>
  <c r="AE45" i="102"/>
  <c r="AG45" i="102"/>
  <c r="AF215" i="96"/>
  <c r="AF111" i="104"/>
  <c r="Z111" i="104"/>
  <c r="Z641" i="96"/>
  <c r="AF641" i="96"/>
  <c r="AF603" i="96"/>
  <c r="N474" i="100"/>
  <c r="K474" i="100"/>
  <c r="AO15" i="54"/>
  <c r="AE15" i="54"/>
  <c r="AG15" i="54"/>
  <c r="N493" i="100"/>
  <c r="K493" i="100"/>
  <c r="AE37" i="96"/>
  <c r="AO37" i="53"/>
  <c r="AE37" i="53"/>
  <c r="AG37" i="53"/>
  <c r="N315" i="100"/>
  <c r="K315" i="100"/>
  <c r="AZ13" i="102"/>
  <c r="AX13" i="102"/>
  <c r="AG17" i="53"/>
  <c r="AF360" i="96"/>
  <c r="AE153" i="97"/>
  <c r="Z153" i="97"/>
  <c r="N495" i="100"/>
  <c r="K495" i="100"/>
  <c r="AG357" i="104"/>
  <c r="AA357" i="104"/>
  <c r="AE262" i="96"/>
  <c r="AF505" i="96"/>
  <c r="AE194" i="96"/>
  <c r="AE119" i="97"/>
  <c r="Z119" i="97"/>
  <c r="N540" i="100"/>
  <c r="K540" i="100"/>
  <c r="AF367" i="96"/>
  <c r="Z367" i="96"/>
  <c r="N237" i="100"/>
  <c r="K237" i="100"/>
  <c r="AG556" i="104"/>
  <c r="AA556" i="104"/>
  <c r="AG430" i="104"/>
  <c r="AA430" i="104"/>
  <c r="AF562" i="104"/>
  <c r="Z562" i="104"/>
  <c r="AG328" i="104"/>
  <c r="AA328" i="104"/>
  <c r="AE72" i="97"/>
  <c r="Z72" i="97"/>
  <c r="AG399" i="104"/>
  <c r="AA399" i="104"/>
  <c r="AF160" i="96"/>
  <c r="M53" i="100"/>
  <c r="J53" i="100"/>
  <c r="M49" i="100"/>
  <c r="J49" i="100"/>
  <c r="AE114" i="97"/>
  <c r="Z114" i="97"/>
  <c r="AO24" i="53"/>
  <c r="AE24" i="53"/>
  <c r="AB24" i="107"/>
  <c r="AB76" i="107"/>
  <c r="AE39" i="104"/>
  <c r="Y39" i="104"/>
  <c r="AF569" i="104"/>
  <c r="Z569" i="104"/>
  <c r="AF398" i="104"/>
  <c r="Z398" i="104"/>
  <c r="AL46" i="53"/>
  <c r="AJ46" i="53"/>
  <c r="N385" i="100"/>
  <c r="K385" i="100"/>
  <c r="AE131" i="97"/>
  <c r="Z131" i="97"/>
  <c r="AE255" i="104"/>
  <c r="Y255" i="104"/>
  <c r="AF58" i="104"/>
  <c r="Z58" i="104"/>
  <c r="AF517" i="104"/>
  <c r="Z517" i="104"/>
  <c r="AF14" i="102"/>
  <c r="AP14" i="102"/>
  <c r="AL27" i="54"/>
  <c r="AJ27" i="54"/>
  <c r="Z518" i="96"/>
  <c r="AF518" i="96"/>
  <c r="Y9" i="96"/>
  <c r="J9" i="100"/>
  <c r="M9" i="100"/>
  <c r="AJ48" i="52"/>
  <c r="AJ48" i="53"/>
  <c r="AL48" i="53"/>
  <c r="AG322" i="104"/>
  <c r="AA322" i="104"/>
  <c r="AF45" i="102"/>
  <c r="AP45" i="102"/>
  <c r="AF430" i="104"/>
  <c r="Z430" i="104"/>
  <c r="AO6" i="53"/>
  <c r="AE6" i="53"/>
  <c r="AG6" i="53"/>
  <c r="AG71" i="104"/>
  <c r="AA71" i="104"/>
  <c r="AE313" i="104"/>
  <c r="Y313" i="104"/>
  <c r="Z227" i="96"/>
  <c r="AF227" i="96"/>
  <c r="AE142" i="104"/>
  <c r="Y142" i="104"/>
  <c r="AL53" i="53"/>
  <c r="AZ30" i="102"/>
  <c r="AX30" i="102"/>
  <c r="AE144" i="97"/>
  <c r="Z144" i="97"/>
  <c r="Z522" i="96"/>
  <c r="AF522" i="96"/>
  <c r="AF53" i="102"/>
  <c r="AF327" i="104"/>
  <c r="Z327" i="104"/>
  <c r="AF72" i="104"/>
  <c r="Z72" i="104"/>
  <c r="AE105" i="97"/>
  <c r="Z105" i="97"/>
  <c r="AG551" i="104"/>
  <c r="AA551" i="104"/>
  <c r="AE134" i="97"/>
  <c r="Z134" i="97"/>
  <c r="Z215" i="96"/>
  <c r="K215" i="100"/>
  <c r="N215" i="100"/>
  <c r="AE263" i="104"/>
  <c r="Y263" i="104"/>
  <c r="AG401" i="104"/>
  <c r="AA401" i="104"/>
  <c r="AF49" i="104"/>
  <c r="Z49" i="104"/>
  <c r="Z603" i="96"/>
  <c r="K603" i="100"/>
  <c r="N603" i="100"/>
  <c r="AF450" i="96"/>
  <c r="Z450" i="96"/>
  <c r="AF275" i="96"/>
  <c r="N370" i="100"/>
  <c r="K370" i="100"/>
  <c r="N597" i="100"/>
  <c r="K597" i="100"/>
  <c r="Y37" i="96"/>
  <c r="J37" i="100"/>
  <c r="M37" i="100"/>
  <c r="Z229" i="96"/>
  <c r="AF229" i="96"/>
  <c r="AF147" i="104"/>
  <c r="Z147" i="104"/>
  <c r="N479" i="100"/>
  <c r="K479" i="100"/>
  <c r="AF510" i="104"/>
  <c r="Z510" i="104"/>
  <c r="AF50" i="54"/>
  <c r="AP50" i="54"/>
  <c r="M12" i="100"/>
  <c r="J12" i="100"/>
  <c r="Y194" i="96"/>
  <c r="J194" i="100"/>
  <c r="M194" i="100"/>
  <c r="AF74" i="107"/>
  <c r="AF22" i="107"/>
  <c r="AG464" i="104"/>
  <c r="AA464" i="104"/>
  <c r="AG583" i="104"/>
  <c r="AA583" i="104"/>
  <c r="AE305" i="96"/>
  <c r="Y305" i="96"/>
  <c r="AG329" i="104"/>
  <c r="AA329" i="104"/>
  <c r="AG46" i="104"/>
  <c r="AA46" i="104"/>
  <c r="AF579" i="104"/>
  <c r="Z579" i="104"/>
  <c r="AE196" i="104"/>
  <c r="Y196" i="104"/>
  <c r="AF590" i="96"/>
  <c r="M257" i="100"/>
  <c r="J257" i="100"/>
  <c r="AG612" i="104"/>
  <c r="AA612" i="104"/>
  <c r="Z160" i="96"/>
  <c r="K160" i="100"/>
  <c r="N160" i="100"/>
  <c r="AG115" i="104"/>
  <c r="AA115" i="104"/>
  <c r="AF46" i="54"/>
  <c r="AP46" i="54"/>
  <c r="Z275" i="96"/>
  <c r="K275" i="100"/>
  <c r="N275" i="100"/>
  <c r="AF398" i="96"/>
  <c r="Z398" i="96"/>
  <c r="Z597" i="96"/>
  <c r="AF597" i="96"/>
  <c r="AG58" i="104"/>
  <c r="AA58" i="104"/>
  <c r="AE152" i="97"/>
  <c r="Z152" i="97"/>
  <c r="N152" i="100"/>
  <c r="K152" i="100"/>
  <c r="AL39" i="102"/>
  <c r="AJ39" i="102"/>
  <c r="AE261" i="104"/>
  <c r="Y261" i="104"/>
  <c r="AF378" i="104"/>
  <c r="Z378" i="104"/>
  <c r="AE130" i="97"/>
  <c r="Z130" i="97"/>
  <c r="AE169" i="97"/>
  <c r="Z169" i="97"/>
  <c r="N32" i="100"/>
  <c r="K32" i="100"/>
  <c r="AE99" i="104"/>
  <c r="Y99" i="104"/>
  <c r="AG441" i="104"/>
  <c r="AA441" i="104"/>
  <c r="AB83" i="107"/>
  <c r="AB31" i="107"/>
  <c r="AF53" i="96"/>
  <c r="AF18" i="102"/>
  <c r="AP18" i="102"/>
  <c r="AG109" i="104"/>
  <c r="AA109" i="104"/>
  <c r="N153" i="100"/>
  <c r="K153" i="100"/>
  <c r="M6" i="100"/>
  <c r="J6" i="100"/>
  <c r="AF399" i="104"/>
  <c r="Z399" i="104"/>
  <c r="AG421" i="104"/>
  <c r="AA421" i="104"/>
  <c r="Z590" i="96"/>
  <c r="K590" i="100"/>
  <c r="N590" i="100"/>
  <c r="AF22" i="102"/>
  <c r="AP22" i="102"/>
  <c r="AF554" i="104"/>
  <c r="Z554" i="104"/>
  <c r="AG495" i="104"/>
  <c r="AA495" i="104"/>
  <c r="AE13" i="96"/>
  <c r="N378" i="100"/>
  <c r="K378" i="100"/>
  <c r="AF415" i="104"/>
  <c r="Z415" i="104"/>
  <c r="AF181" i="104"/>
  <c r="Z181" i="104"/>
  <c r="AK32" i="51"/>
  <c r="AK32" i="52"/>
  <c r="AG32" i="107"/>
  <c r="AG84" i="107"/>
  <c r="AG462" i="104"/>
  <c r="AA462" i="104"/>
  <c r="AF590" i="104"/>
  <c r="Z590" i="104"/>
  <c r="Z79" i="96"/>
  <c r="AF79" i="96"/>
  <c r="AE266" i="104"/>
  <c r="Y266" i="104"/>
  <c r="AF129" i="104"/>
  <c r="Z129" i="104"/>
  <c r="Z505" i="96"/>
  <c r="K505" i="100"/>
  <c r="N505" i="100"/>
  <c r="AF552" i="104"/>
  <c r="Z552" i="104"/>
  <c r="AG110" i="104"/>
  <c r="AA110" i="104"/>
  <c r="Z614" i="96"/>
  <c r="AF614" i="96"/>
  <c r="AG227" i="104"/>
  <c r="AA227" i="104"/>
  <c r="AF380" i="96"/>
  <c r="Z380" i="96"/>
  <c r="AE31" i="97"/>
  <c r="Z31" i="97"/>
  <c r="AG410" i="104"/>
  <c r="AA410" i="104"/>
  <c r="AE81" i="97"/>
  <c r="Z81" i="97"/>
  <c r="AE15" i="97"/>
  <c r="Z15" i="97"/>
  <c r="AF274" i="104"/>
  <c r="Z274" i="104"/>
  <c r="AG282" i="104"/>
  <c r="AA282" i="104"/>
  <c r="AE139" i="104"/>
  <c r="Y139" i="104"/>
  <c r="Z212" i="96"/>
  <c r="AF212" i="96"/>
  <c r="AF408" i="96"/>
  <c r="Z408" i="96"/>
  <c r="Z32" i="96"/>
  <c r="AF32" i="96"/>
  <c r="Y254" i="96"/>
  <c r="AE254" i="96"/>
  <c r="AE136" i="97"/>
  <c r="Z136" i="97"/>
  <c r="AE235" i="97"/>
  <c r="Z235" i="97"/>
  <c r="R19" i="123"/>
  <c r="U19" i="123"/>
  <c r="AE204" i="104"/>
  <c r="Y204" i="104"/>
  <c r="AF526" i="104"/>
  <c r="Z526" i="104"/>
  <c r="Z53" i="96"/>
  <c r="K53" i="100"/>
  <c r="N53" i="100"/>
  <c r="N91" i="107"/>
  <c r="N39" i="107"/>
  <c r="AE90" i="104"/>
  <c r="Y90" i="104"/>
  <c r="AE267" i="104"/>
  <c r="Y267" i="104"/>
  <c r="AF460" i="104"/>
  <c r="Z460" i="104"/>
  <c r="AG419" i="104"/>
  <c r="AA419" i="104"/>
  <c r="Z360" i="96"/>
  <c r="K360" i="100"/>
  <c r="N360" i="100"/>
  <c r="AF40" i="102"/>
  <c r="AP40" i="102"/>
  <c r="AG466" i="104"/>
  <c r="AA466" i="104"/>
  <c r="N80" i="107"/>
  <c r="N28" i="107"/>
  <c r="N235" i="100"/>
  <c r="K235" i="100"/>
  <c r="AE147" i="97"/>
  <c r="Z147" i="97"/>
  <c r="U13" i="123"/>
  <c r="AM31" i="52"/>
  <c r="R13" i="123"/>
  <c r="Z123" i="96"/>
  <c r="AF123" i="96"/>
  <c r="AB70" i="107"/>
  <c r="AB18" i="107"/>
  <c r="AD60" i="97"/>
  <c r="Y60" i="97"/>
  <c r="AF344" i="104"/>
  <c r="Z344" i="104"/>
  <c r="AG207" i="104"/>
  <c r="AA207" i="104"/>
  <c r="AG527" i="104"/>
  <c r="AA527" i="104"/>
  <c r="AL6" i="104"/>
  <c r="AK6" i="104"/>
  <c r="Y13" i="96"/>
  <c r="J13" i="100"/>
  <c r="M13" i="100"/>
  <c r="N353" i="100"/>
  <c r="K353" i="100"/>
  <c r="AD51" i="97"/>
  <c r="Y51" i="97"/>
  <c r="AF431" i="96"/>
  <c r="Z431" i="96"/>
  <c r="AG624" i="104"/>
  <c r="AA624" i="104"/>
  <c r="N638" i="100"/>
  <c r="K638" i="100"/>
  <c r="AF454" i="104"/>
  <c r="Z454" i="104"/>
  <c r="N426" i="100"/>
  <c r="K426" i="100"/>
  <c r="AL30" i="54"/>
  <c r="AJ30" i="54"/>
  <c r="M46" i="100"/>
  <c r="J46" i="100"/>
  <c r="AG343" i="104"/>
  <c r="AA343" i="104"/>
  <c r="AG214" i="104"/>
  <c r="AA214" i="104"/>
  <c r="AG638" i="104"/>
  <c r="AA638" i="104"/>
  <c r="AG34" i="54"/>
  <c r="AE34" i="54"/>
  <c r="AO34" i="54"/>
  <c r="AG547" i="104"/>
  <c r="AA547" i="104"/>
  <c r="AF544" i="104"/>
  <c r="Z544" i="104"/>
  <c r="AG502" i="104"/>
  <c r="AA502" i="104"/>
  <c r="AG9" i="102"/>
  <c r="AE9" i="102"/>
  <c r="AO9" i="102"/>
  <c r="AF106" i="104"/>
  <c r="Z106" i="104"/>
  <c r="AO23" i="53"/>
  <c r="AE23" i="53"/>
  <c r="AG23" i="53"/>
  <c r="AF181" i="96"/>
  <c r="AF439" i="104"/>
  <c r="Z439" i="104"/>
  <c r="AG42" i="54"/>
  <c r="AE42" i="54"/>
  <c r="AO42" i="54"/>
  <c r="N327" i="100"/>
  <c r="K327" i="100"/>
  <c r="AM27" i="54"/>
  <c r="T27" i="54"/>
  <c r="N27" i="54"/>
  <c r="AL50" i="53"/>
  <c r="AJ50" i="53"/>
  <c r="AF610" i="104"/>
  <c r="Z610" i="104"/>
  <c r="N517" i="100"/>
  <c r="K517" i="100"/>
  <c r="AG605" i="104"/>
  <c r="AA605" i="104"/>
  <c r="AF377" i="96"/>
  <c r="Z377" i="96"/>
  <c r="AL20" i="102"/>
  <c r="AJ20" i="102"/>
  <c r="AE33" i="97"/>
  <c r="Z33" i="97"/>
  <c r="AG38" i="102"/>
  <c r="AE38" i="102"/>
  <c r="AO38" i="102"/>
  <c r="AG294" i="104"/>
  <c r="AA294" i="104"/>
  <c r="AG6" i="102"/>
  <c r="AE6" i="102"/>
  <c r="AO6" i="102"/>
  <c r="AF633" i="104"/>
  <c r="Z633" i="104"/>
  <c r="N465" i="100"/>
  <c r="K465" i="100"/>
  <c r="AL15" i="102"/>
  <c r="AJ15" i="102"/>
  <c r="AM6" i="54"/>
  <c r="T6" i="54"/>
  <c r="N6" i="54"/>
  <c r="M261" i="100"/>
  <c r="J261" i="100"/>
  <c r="AF13" i="96"/>
  <c r="AG378" i="104"/>
  <c r="AA378" i="104"/>
  <c r="AF373" i="104"/>
  <c r="Z373" i="104"/>
  <c r="AF110" i="104"/>
  <c r="Z110" i="104"/>
  <c r="AZ29" i="102"/>
  <c r="AX29" i="102"/>
  <c r="AM29" i="52"/>
  <c r="AG212" i="104"/>
  <c r="AA212" i="104"/>
  <c r="AL22" i="102"/>
  <c r="AJ22" i="102"/>
  <c r="AG582" i="104"/>
  <c r="AA582" i="104"/>
  <c r="AF173" i="104"/>
  <c r="Z173" i="104"/>
  <c r="N158" i="100"/>
  <c r="K158" i="100"/>
  <c r="N67" i="107"/>
  <c r="N15" i="107"/>
  <c r="M97" i="100"/>
  <c r="J97" i="100"/>
  <c r="N324" i="100"/>
  <c r="K324" i="100"/>
  <c r="AF403" i="104"/>
  <c r="Z403" i="104"/>
  <c r="N480" i="100"/>
  <c r="K480" i="100"/>
  <c r="AB98" i="107"/>
  <c r="AB46" i="107"/>
  <c r="AL49" i="54"/>
  <c r="AJ49" i="54"/>
  <c r="AE252" i="97"/>
  <c r="Z252" i="97"/>
  <c r="N417" i="100"/>
  <c r="K417" i="100"/>
  <c r="Y262" i="96"/>
  <c r="J262" i="100"/>
  <c r="M262" i="100"/>
  <c r="AL29" i="102"/>
  <c r="AJ29" i="102"/>
  <c r="AG635" i="104"/>
  <c r="AA635" i="104"/>
  <c r="AF397" i="96"/>
  <c r="Z397" i="96"/>
  <c r="AG623" i="104"/>
  <c r="AA623" i="104"/>
  <c r="AM36" i="52"/>
  <c r="AX36" i="102"/>
  <c r="AZ36" i="102"/>
  <c r="N292" i="100"/>
  <c r="K292" i="100"/>
  <c r="AF623" i="96"/>
  <c r="Z623" i="96"/>
  <c r="AP7" i="53"/>
  <c r="AF7" i="53"/>
  <c r="AC7" i="107"/>
  <c r="AC59" i="107"/>
  <c r="Z507" i="96"/>
  <c r="AF507" i="96"/>
  <c r="AO17" i="53"/>
  <c r="AE17" i="53"/>
  <c r="AB17" i="107"/>
  <c r="AB69" i="107"/>
  <c r="AJ58" i="52"/>
  <c r="AJ53" i="52"/>
  <c r="AG620" i="104"/>
  <c r="AA620" i="104"/>
  <c r="Z47" i="96"/>
  <c r="AF47" i="96"/>
  <c r="Z568" i="96"/>
  <c r="AF568" i="96"/>
  <c r="AE195" i="97"/>
  <c r="Z195" i="97"/>
  <c r="AD3" i="97"/>
  <c r="Y3" i="97"/>
  <c r="AG240" i="104"/>
  <c r="AA240" i="104"/>
  <c r="Y49" i="96"/>
  <c r="AE49" i="96"/>
  <c r="AF392" i="104"/>
  <c r="Z392" i="104"/>
  <c r="AF621" i="96"/>
  <c r="Z621" i="96"/>
  <c r="N410" i="100"/>
  <c r="K410" i="100"/>
  <c r="AF104" i="96"/>
  <c r="AF154" i="104"/>
  <c r="Z154" i="104"/>
  <c r="AL37" i="102"/>
  <c r="AJ37" i="102"/>
  <c r="AM47" i="102"/>
  <c r="T47" i="102"/>
  <c r="N47" i="102"/>
  <c r="Z13" i="96"/>
  <c r="K13" i="100"/>
  <c r="N13" i="100"/>
  <c r="N388" i="100"/>
  <c r="K388" i="100"/>
  <c r="N122" i="100"/>
  <c r="K122" i="100"/>
  <c r="AE201" i="104"/>
  <c r="Y201" i="104"/>
  <c r="N68" i="100"/>
  <c r="K68" i="100"/>
  <c r="M34" i="100"/>
  <c r="J34" i="100"/>
  <c r="AF511" i="104"/>
  <c r="Z511" i="104"/>
  <c r="N582" i="100"/>
  <c r="K582" i="100"/>
  <c r="AD57" i="97"/>
  <c r="Y57" i="97"/>
  <c r="AG371" i="104"/>
  <c r="AA371" i="104"/>
  <c r="AF317" i="96"/>
  <c r="Z317" i="96"/>
  <c r="AF29" i="104"/>
  <c r="Z29" i="104"/>
  <c r="AC67" i="107"/>
  <c r="AC15" i="107"/>
  <c r="AF15" i="53"/>
  <c r="AP15" i="53"/>
  <c r="AF573" i="96"/>
  <c r="AG364" i="104"/>
  <c r="AA364" i="104"/>
  <c r="AE100" i="104"/>
  <c r="Y100" i="104"/>
  <c r="AF77" i="104"/>
  <c r="Z77" i="104"/>
  <c r="AE11" i="104"/>
  <c r="Y11" i="104"/>
  <c r="AG601" i="104"/>
  <c r="AA601" i="104"/>
  <c r="AE7" i="97"/>
  <c r="Z7" i="97"/>
  <c r="AG21" i="53"/>
  <c r="AB32" i="103"/>
  <c r="AL32" i="103"/>
  <c r="AI32" i="103"/>
  <c r="AG40" i="104"/>
  <c r="AA40" i="104"/>
  <c r="Y46" i="96"/>
  <c r="AE46" i="96"/>
  <c r="AF51" i="104"/>
  <c r="Z51" i="104"/>
  <c r="AF455" i="96"/>
  <c r="Z455" i="96"/>
  <c r="AF91" i="107"/>
  <c r="AF39" i="107"/>
  <c r="AF437" i="104"/>
  <c r="Z437" i="104"/>
  <c r="AM28" i="102"/>
  <c r="N28" i="102"/>
  <c r="T28" i="102"/>
  <c r="AM7" i="54"/>
  <c r="T7" i="54"/>
  <c r="N7" i="54"/>
  <c r="AE44" i="104"/>
  <c r="Y44" i="104"/>
  <c r="N404" i="100"/>
  <c r="K404" i="100"/>
  <c r="AG40" i="102"/>
  <c r="AE40" i="102"/>
  <c r="AO40" i="102"/>
  <c r="AG301" i="104"/>
  <c r="AA301" i="104"/>
  <c r="Z152" i="96"/>
  <c r="AF152" i="96"/>
  <c r="AF473" i="104"/>
  <c r="Z473" i="104"/>
  <c r="Z213" i="96"/>
  <c r="AF213" i="96"/>
  <c r="AF467" i="104"/>
  <c r="Z467" i="104"/>
  <c r="Y260" i="96"/>
  <c r="J260" i="100"/>
  <c r="M260" i="100"/>
  <c r="S7" i="100"/>
  <c r="Y7" i="100"/>
  <c r="AG7" i="100"/>
  <c r="Z119" i="96"/>
  <c r="AF119" i="96"/>
  <c r="AE199" i="97"/>
  <c r="Z199" i="97"/>
  <c r="AF23" i="104"/>
  <c r="Z23" i="104"/>
  <c r="AD28" i="97"/>
  <c r="Y28" i="97"/>
  <c r="AF276" i="104"/>
  <c r="Z276" i="104"/>
  <c r="S15" i="123"/>
  <c r="S25" i="123"/>
  <c r="AI33" i="103"/>
  <c r="AL33" i="103"/>
  <c r="AB33" i="103"/>
  <c r="S20" i="123"/>
  <c r="AF417" i="96"/>
  <c r="Z417" i="96"/>
  <c r="AF281" i="104"/>
  <c r="Z281" i="104"/>
  <c r="AO31" i="53"/>
  <c r="AE31" i="53"/>
  <c r="AG31" i="53"/>
  <c r="Z4" i="96"/>
  <c r="AF4" i="96"/>
  <c r="AE241" i="97"/>
  <c r="Z241" i="97"/>
  <c r="AG539" i="104"/>
  <c r="AA539" i="104"/>
  <c r="AM12" i="102"/>
  <c r="T12" i="102"/>
  <c r="N12" i="102"/>
  <c r="AE253" i="97"/>
  <c r="Z253" i="97"/>
  <c r="AE257" i="97"/>
  <c r="Z257" i="97"/>
  <c r="AF341" i="104"/>
  <c r="Z341" i="104"/>
  <c r="N488" i="100"/>
  <c r="K488" i="100"/>
  <c r="N371" i="100"/>
  <c r="K371" i="100"/>
  <c r="AE86" i="96"/>
  <c r="I13" i="123"/>
  <c r="AM13" i="52"/>
  <c r="F13" i="123"/>
  <c r="AL17" i="53"/>
  <c r="AJ17" i="53"/>
  <c r="Z77" i="96"/>
  <c r="AF77" i="96"/>
  <c r="AL9" i="102"/>
  <c r="AJ9" i="102"/>
  <c r="AF21" i="54"/>
  <c r="AP21" i="54"/>
  <c r="AF400" i="96"/>
  <c r="Z400" i="96"/>
  <c r="AF112" i="104"/>
  <c r="Z112" i="104"/>
  <c r="N440" i="100"/>
  <c r="K440" i="100"/>
  <c r="Z573" i="96"/>
  <c r="K573" i="100"/>
  <c r="N573" i="100"/>
  <c r="AE142" i="97"/>
  <c r="Z142" i="97"/>
  <c r="N284" i="100"/>
  <c r="K284" i="100"/>
  <c r="AF300" i="96"/>
  <c r="Z300" i="96"/>
  <c r="N62" i="107"/>
  <c r="N10" i="107"/>
  <c r="R33" i="123"/>
  <c r="U33" i="123"/>
  <c r="AV4" i="104"/>
  <c r="AU4" i="104"/>
  <c r="AG589" i="104"/>
  <c r="AA589" i="104"/>
  <c r="AE85" i="96"/>
  <c r="AF501" i="104"/>
  <c r="Z501" i="104"/>
  <c r="AO21" i="53"/>
  <c r="AE21" i="53"/>
  <c r="AB21" i="107"/>
  <c r="AB73" i="107"/>
  <c r="N615" i="100"/>
  <c r="K615" i="100"/>
  <c r="Y261" i="96"/>
  <c r="AE261" i="96"/>
  <c r="AA7" i="100"/>
  <c r="AF79" i="104"/>
  <c r="Z79" i="104"/>
  <c r="AG544" i="104"/>
  <c r="AA544" i="104"/>
  <c r="AE66" i="97"/>
  <c r="Z66" i="97"/>
  <c r="N239" i="100"/>
  <c r="K239" i="100"/>
  <c r="AB97" i="107"/>
  <c r="AB45" i="107"/>
  <c r="AM19" i="102"/>
  <c r="T19" i="102"/>
  <c r="N19" i="102"/>
  <c r="AZ32" i="102"/>
  <c r="AX32" i="102"/>
  <c r="AE308" i="96"/>
  <c r="Y308" i="96"/>
  <c r="AG101" i="107"/>
  <c r="AG49" i="107"/>
  <c r="AG224" i="104"/>
  <c r="AA224" i="104"/>
  <c r="AF8" i="102"/>
  <c r="AP8" i="102"/>
  <c r="AE168" i="97"/>
  <c r="Z168" i="97"/>
  <c r="AF316" i="96"/>
  <c r="Z316" i="96"/>
  <c r="AF209" i="96"/>
  <c r="Z237" i="96"/>
  <c r="AF237" i="96"/>
  <c r="AL17" i="54"/>
  <c r="AJ17" i="54"/>
  <c r="AF558" i="96"/>
  <c r="AE35" i="104"/>
  <c r="Y35" i="104"/>
  <c r="AG345" i="104"/>
  <c r="AA345" i="104"/>
  <c r="AG60" i="104"/>
  <c r="AA60" i="104"/>
  <c r="N161" i="100"/>
  <c r="K161" i="100"/>
  <c r="AE223" i="97"/>
  <c r="Z223" i="97"/>
  <c r="AF521" i="104"/>
  <c r="Z521" i="104"/>
  <c r="Y86" i="96"/>
  <c r="J86" i="100"/>
  <c r="M86" i="100"/>
  <c r="AF354" i="104"/>
  <c r="Z354" i="104"/>
  <c r="AG571" i="104"/>
  <c r="AA571" i="104"/>
  <c r="AM49" i="53"/>
  <c r="T49" i="53"/>
  <c r="N49" i="53"/>
  <c r="AF499" i="104"/>
  <c r="Z499" i="104"/>
  <c r="Z344" i="96"/>
  <c r="AF344" i="96"/>
  <c r="AM37" i="53"/>
  <c r="T37" i="53"/>
  <c r="N37" i="53"/>
  <c r="AE237" i="97"/>
  <c r="Z237" i="97"/>
  <c r="AG65" i="104"/>
  <c r="AA65" i="104"/>
  <c r="N606" i="100"/>
  <c r="K606" i="100"/>
  <c r="AF56" i="104"/>
  <c r="Z56" i="104"/>
  <c r="AG561" i="104"/>
  <c r="AA561" i="104"/>
  <c r="AL5" i="102"/>
  <c r="AJ5" i="102"/>
  <c r="AJ53" i="102"/>
  <c r="AZ50" i="102"/>
  <c r="AX50" i="102"/>
  <c r="AL26" i="53"/>
  <c r="AJ26" i="53"/>
  <c r="AM51" i="52"/>
  <c r="AX51" i="102"/>
  <c r="AZ51" i="102"/>
  <c r="AF345" i="104"/>
  <c r="Z345" i="104"/>
  <c r="Y85" i="96"/>
  <c r="J85" i="100"/>
  <c r="M85" i="100"/>
  <c r="AF412" i="96"/>
  <c r="Z412" i="96"/>
  <c r="AF495" i="104"/>
  <c r="Z495" i="104"/>
  <c r="AG458" i="104"/>
  <c r="AA458" i="104"/>
  <c r="AL19" i="53"/>
  <c r="AJ19" i="53"/>
  <c r="N30" i="100"/>
  <c r="K30" i="100"/>
  <c r="AD93" i="97"/>
  <c r="Y93" i="97"/>
  <c r="AF99" i="107"/>
  <c r="AF47" i="107"/>
  <c r="AG14" i="53"/>
  <c r="AE187" i="104"/>
  <c r="Y187" i="104"/>
  <c r="AE45" i="97"/>
  <c r="Z45" i="97"/>
  <c r="AI42" i="103"/>
  <c r="AL42" i="103"/>
  <c r="AB42" i="103"/>
  <c r="S33" i="123"/>
  <c r="AG609" i="104"/>
  <c r="AA609" i="104"/>
  <c r="N363" i="100"/>
  <c r="K363" i="100"/>
  <c r="AF462" i="96"/>
  <c r="Z462" i="96"/>
  <c r="N450" i="100"/>
  <c r="K450" i="100"/>
  <c r="AG41" i="104"/>
  <c r="AA41" i="104"/>
  <c r="AF31" i="104"/>
  <c r="Z31" i="104"/>
  <c r="AF240" i="104"/>
  <c r="Z240" i="104"/>
  <c r="AG118" i="104"/>
  <c r="AA118" i="104"/>
  <c r="U12" i="123"/>
  <c r="AM30" i="52"/>
  <c r="R12" i="123"/>
  <c r="Y12" i="96"/>
  <c r="AE12" i="96"/>
  <c r="Z209" i="96"/>
  <c r="K209" i="100"/>
  <c r="N209" i="100"/>
  <c r="AF169" i="96"/>
  <c r="AO47" i="53"/>
  <c r="AE47" i="53"/>
  <c r="AG47" i="53"/>
  <c r="Z540" i="96"/>
  <c r="AF540" i="96"/>
  <c r="N27" i="53"/>
  <c r="T27" i="53"/>
  <c r="AM27" i="53"/>
  <c r="AF468" i="104"/>
  <c r="Z468" i="104"/>
  <c r="N481" i="100"/>
  <c r="K481" i="100"/>
  <c r="AO27" i="102"/>
  <c r="AE27" i="102"/>
  <c r="AG27" i="102"/>
  <c r="N562" i="100"/>
  <c r="K562" i="100"/>
  <c r="AG64" i="107"/>
  <c r="AG12" i="107"/>
  <c r="AD95" i="97"/>
  <c r="Y95" i="97"/>
  <c r="AO34" i="102"/>
  <c r="AE34" i="102"/>
  <c r="AG34" i="102"/>
  <c r="AG505" i="104"/>
  <c r="AA505" i="104"/>
  <c r="AF66" i="107"/>
  <c r="AF14" i="107"/>
  <c r="Z121" i="96"/>
  <c r="AF121" i="96"/>
  <c r="Y257" i="96"/>
  <c r="AE257" i="96"/>
  <c r="AL49" i="53"/>
  <c r="AJ49" i="53"/>
  <c r="Z169" i="96"/>
  <c r="K169" i="100"/>
  <c r="N169" i="100"/>
  <c r="AZ44" i="102"/>
  <c r="AX44" i="102"/>
  <c r="AM44" i="52"/>
  <c r="AE29" i="104"/>
  <c r="Y29" i="104"/>
  <c r="N416" i="100"/>
  <c r="K416" i="100"/>
  <c r="N409" i="100"/>
  <c r="K409" i="100"/>
  <c r="M255" i="100"/>
  <c r="J255" i="100"/>
  <c r="N389" i="100"/>
  <c r="K389" i="100"/>
  <c r="AF74" i="96"/>
  <c r="AE18" i="97"/>
  <c r="Z18" i="97"/>
  <c r="Z130" i="96"/>
  <c r="AF130" i="96"/>
  <c r="N533" i="100"/>
  <c r="K533" i="100"/>
  <c r="AF19" i="54"/>
  <c r="AP19" i="54"/>
  <c r="Z30" i="96"/>
  <c r="AF30" i="96"/>
  <c r="N415" i="100"/>
  <c r="K415" i="100"/>
  <c r="AF420" i="96"/>
  <c r="Z420" i="96"/>
  <c r="AF493" i="96"/>
  <c r="Z493" i="96"/>
  <c r="AE186" i="104"/>
  <c r="Y186" i="104"/>
  <c r="AD87" i="97"/>
  <c r="Y87" i="97"/>
  <c r="AG500" i="104"/>
  <c r="AA500" i="104"/>
  <c r="AM23" i="53"/>
  <c r="T23" i="53"/>
  <c r="N23" i="53"/>
  <c r="AE32" i="97"/>
  <c r="Z32" i="97"/>
  <c r="AF47" i="104"/>
  <c r="Z47" i="104"/>
  <c r="Y44" i="96"/>
  <c r="AE44" i="96"/>
  <c r="N553" i="100"/>
  <c r="K553" i="100"/>
  <c r="AE162" i="97"/>
  <c r="Z162" i="97"/>
  <c r="N66" i="100"/>
  <c r="K66" i="100"/>
  <c r="AF275" i="104"/>
  <c r="Z275" i="104"/>
  <c r="AM34" i="54"/>
  <c r="T34" i="54"/>
  <c r="N34" i="54"/>
  <c r="AL36" i="54"/>
  <c r="AJ36" i="54"/>
  <c r="AG243" i="104"/>
  <c r="AA243" i="104"/>
  <c r="AG486" i="104"/>
  <c r="AA486" i="104"/>
  <c r="AE193" i="97"/>
  <c r="Z193" i="97"/>
  <c r="Z158" i="96"/>
  <c r="AF158" i="96"/>
  <c r="AF623" i="104"/>
  <c r="Z623" i="104"/>
  <c r="N24" i="54"/>
  <c r="T24" i="54"/>
  <c r="AM24" i="54"/>
  <c r="AL51" i="53"/>
  <c r="AJ51" i="53"/>
  <c r="AD97" i="97"/>
  <c r="Y97" i="97"/>
  <c r="AF214" i="96"/>
  <c r="AG375" i="104"/>
  <c r="AA375" i="104"/>
  <c r="AF206" i="104"/>
  <c r="Z206" i="104"/>
  <c r="AC60" i="107"/>
  <c r="AC8" i="107"/>
  <c r="AF8" i="53"/>
  <c r="AP8" i="53"/>
  <c r="AF61" i="104"/>
  <c r="Z61" i="104"/>
  <c r="AF8" i="104"/>
  <c r="Z8" i="104"/>
  <c r="AF422" i="96"/>
  <c r="Z422" i="96"/>
  <c r="AE227" i="97"/>
  <c r="Z227" i="97"/>
  <c r="AM44" i="54"/>
  <c r="T44" i="54"/>
  <c r="N44" i="54"/>
  <c r="AG245" i="104"/>
  <c r="AA245" i="104"/>
  <c r="Y53" i="96"/>
  <c r="AE53" i="96"/>
  <c r="N561" i="100"/>
  <c r="K561" i="100"/>
  <c r="AE50" i="96"/>
  <c r="Z66" i="96"/>
  <c r="AF66" i="96"/>
  <c r="M302" i="100"/>
  <c r="J302" i="100"/>
  <c r="AF30" i="104"/>
  <c r="Z30" i="104"/>
  <c r="AG167" i="104"/>
  <c r="AA167" i="104"/>
  <c r="AF407" i="104"/>
  <c r="Z407" i="104"/>
  <c r="AG413" i="104"/>
  <c r="AA413" i="104"/>
  <c r="N328" i="100"/>
  <c r="K328" i="100"/>
  <c r="AF18" i="96"/>
  <c r="AF405" i="96"/>
  <c r="Z405" i="96"/>
  <c r="AB86" i="107"/>
  <c r="AB34" i="107"/>
  <c r="AG362" i="104"/>
  <c r="AA362" i="104"/>
  <c r="AG85" i="107"/>
  <c r="AG33" i="107"/>
  <c r="AG493" i="104"/>
  <c r="AA493" i="104"/>
  <c r="M253" i="100"/>
  <c r="J253" i="100"/>
  <c r="AG485" i="104"/>
  <c r="AA485" i="104"/>
  <c r="Z214" i="96"/>
  <c r="K214" i="100"/>
  <c r="N214" i="100"/>
  <c r="AE101" i="97"/>
  <c r="Z101" i="97"/>
  <c r="AE42" i="97"/>
  <c r="Z42" i="97"/>
  <c r="AF442" i="104"/>
  <c r="Z442" i="104"/>
  <c r="AF215" i="104"/>
  <c r="Z215" i="104"/>
  <c r="Z104" i="96"/>
  <c r="K104" i="100"/>
  <c r="N104" i="100"/>
  <c r="Y50" i="96"/>
  <c r="J50" i="100"/>
  <c r="M50" i="100"/>
  <c r="Z600" i="96"/>
  <c r="AF600" i="96"/>
  <c r="AF418" i="104"/>
  <c r="Z418" i="104"/>
  <c r="Z561" i="96"/>
  <c r="AF561" i="96"/>
  <c r="AF512" i="96"/>
  <c r="AF429" i="96"/>
  <c r="Z429" i="96"/>
  <c r="Z336" i="96"/>
  <c r="AF336" i="96"/>
  <c r="AF383" i="104"/>
  <c r="Z383" i="104"/>
  <c r="Z601" i="96"/>
  <c r="AF601" i="96"/>
  <c r="AE7" i="96"/>
  <c r="N365" i="100"/>
  <c r="K365" i="100"/>
  <c r="N54" i="100"/>
  <c r="K54" i="100"/>
  <c r="Z533" i="96"/>
  <c r="AF533" i="96"/>
  <c r="AF443" i="96"/>
  <c r="Z443" i="96"/>
  <c r="Y255" i="96"/>
  <c r="AE255" i="96"/>
  <c r="M191" i="100"/>
  <c r="J191" i="100"/>
  <c r="AB20" i="103"/>
  <c r="AL20" i="103"/>
  <c r="AI20" i="103"/>
  <c r="AF419" i="96"/>
  <c r="Z419" i="96"/>
  <c r="AF580" i="96"/>
  <c r="N125" i="100"/>
  <c r="K125" i="100"/>
  <c r="AF616" i="104"/>
  <c r="Z616" i="104"/>
  <c r="AF625" i="96"/>
  <c r="Z625" i="96"/>
  <c r="AF339" i="104"/>
  <c r="Z339" i="104"/>
  <c r="AE189" i="97"/>
  <c r="Z189" i="97"/>
  <c r="AO14" i="53"/>
  <c r="AE14" i="53"/>
  <c r="AB14" i="107"/>
  <c r="AB66" i="107"/>
  <c r="AG168" i="104"/>
  <c r="AA168" i="104"/>
  <c r="AF511" i="96"/>
  <c r="R7" i="123"/>
  <c r="AM19" i="52"/>
  <c r="U7" i="123"/>
  <c r="AG577" i="104"/>
  <c r="AA577" i="104"/>
  <c r="AF50" i="104"/>
  <c r="Z50" i="104"/>
  <c r="AD31" i="97"/>
  <c r="Y31" i="97"/>
  <c r="AI7" i="100"/>
  <c r="U7" i="100"/>
  <c r="J2" i="100"/>
  <c r="M2" i="100"/>
  <c r="AG286" i="104"/>
  <c r="AA286" i="104"/>
  <c r="AO28" i="102"/>
  <c r="AE28" i="102"/>
  <c r="AG28" i="102"/>
  <c r="AB93" i="107"/>
  <c r="AB41" i="107"/>
  <c r="N9" i="102"/>
  <c r="T9" i="102"/>
  <c r="AM9" i="102"/>
  <c r="N377" i="100"/>
  <c r="K377" i="100"/>
  <c r="AE32" i="104"/>
  <c r="Y32" i="104"/>
  <c r="AF35" i="104"/>
  <c r="Z35" i="104"/>
  <c r="Z511" i="96"/>
  <c r="K511" i="100"/>
  <c r="N511" i="100"/>
  <c r="AF281" i="96"/>
  <c r="AG386" i="104"/>
  <c r="AA386" i="104"/>
  <c r="AF399" i="96"/>
  <c r="Z399" i="96"/>
  <c r="AG60" i="107"/>
  <c r="AG8" i="107"/>
  <c r="AG325" i="104"/>
  <c r="AA325" i="104"/>
  <c r="N249" i="100"/>
  <c r="K249" i="100"/>
  <c r="AE184" i="96"/>
  <c r="AF36" i="102"/>
  <c r="AP36" i="102"/>
  <c r="I6" i="101"/>
  <c r="G6" i="101"/>
  <c r="AE268" i="104"/>
  <c r="Y268" i="104"/>
  <c r="N155" i="100"/>
  <c r="K155" i="100"/>
  <c r="N400" i="100"/>
  <c r="K400" i="100"/>
  <c r="M134" i="100"/>
  <c r="J134" i="100"/>
  <c r="AG385" i="104"/>
  <c r="AA385" i="104"/>
  <c r="AB61" i="107"/>
  <c r="AB9" i="107"/>
  <c r="N503" i="100"/>
  <c r="K503" i="100"/>
  <c r="AF216" i="104"/>
  <c r="Z216" i="104"/>
  <c r="AE98" i="104"/>
  <c r="Y98" i="104"/>
  <c r="AK15" i="53"/>
  <c r="AK15" i="54"/>
  <c r="AK15" i="102"/>
  <c r="AG108" i="104"/>
  <c r="AA108" i="104"/>
  <c r="AO41" i="53"/>
  <c r="AE41" i="53"/>
  <c r="AG41" i="53"/>
  <c r="AF617" i="104"/>
  <c r="Z617" i="104"/>
  <c r="AV9" i="104"/>
  <c r="AU9" i="104"/>
  <c r="N60" i="100"/>
  <c r="K60" i="100"/>
  <c r="AE260" i="104"/>
  <c r="Y260" i="104"/>
  <c r="Y6" i="96"/>
  <c r="AE6" i="96"/>
  <c r="AE191" i="104"/>
  <c r="Y191" i="104"/>
  <c r="AG480" i="104"/>
  <c r="AA480" i="104"/>
  <c r="AF372" i="104"/>
  <c r="Z372" i="104"/>
  <c r="AF12" i="104"/>
  <c r="Z12" i="104"/>
  <c r="AC58" i="107"/>
  <c r="AC6" i="107"/>
  <c r="AF6" i="53"/>
  <c r="AP6" i="53"/>
  <c r="AG30" i="54"/>
  <c r="AE30" i="54"/>
  <c r="AO30" i="54"/>
  <c r="AF506" i="96"/>
  <c r="AF411" i="104"/>
  <c r="Z411" i="104"/>
  <c r="AG36" i="54"/>
  <c r="AE36" i="54"/>
  <c r="AO36" i="54"/>
  <c r="AL13" i="54"/>
  <c r="AJ13" i="54"/>
  <c r="N274" i="100"/>
  <c r="K274" i="100"/>
  <c r="AE93" i="104"/>
  <c r="Y93" i="104"/>
  <c r="AE43" i="104"/>
  <c r="Y43" i="104"/>
  <c r="AF499" i="96"/>
  <c r="N22" i="100"/>
  <c r="K22" i="100"/>
  <c r="AF374" i="96"/>
  <c r="Z374" i="96"/>
  <c r="X11" i="109"/>
  <c r="D11" i="109"/>
  <c r="Z281" i="96"/>
  <c r="K281" i="100"/>
  <c r="N281" i="100"/>
  <c r="Z161" i="96"/>
  <c r="AF161" i="96"/>
  <c r="AF38" i="54"/>
  <c r="AP38" i="54"/>
  <c r="AE148" i="97"/>
  <c r="Z148" i="97"/>
  <c r="AL5" i="52"/>
  <c r="Z605" i="96"/>
  <c r="K605" i="100"/>
  <c r="N605" i="100"/>
  <c r="AL28" i="54"/>
  <c r="AJ28" i="54"/>
  <c r="AF423" i="104"/>
  <c r="Z423" i="104"/>
  <c r="I10" i="101"/>
  <c r="G10" i="101"/>
  <c r="AO26" i="102"/>
  <c r="AE26" i="102"/>
  <c r="AG26" i="102"/>
  <c r="Z516" i="96"/>
  <c r="AF516" i="96"/>
  <c r="N449" i="100"/>
  <c r="K449" i="100"/>
  <c r="AP19" i="53"/>
  <c r="AF19" i="53"/>
  <c r="AC19" i="107"/>
  <c r="AC71" i="107"/>
  <c r="AF550" i="104"/>
  <c r="Z550" i="104"/>
  <c r="AF384" i="96"/>
  <c r="Z384" i="96"/>
  <c r="AF296" i="104"/>
  <c r="Z296" i="104"/>
  <c r="AE246" i="97"/>
  <c r="Z246" i="97"/>
  <c r="AG39" i="53"/>
  <c r="Z64" i="96"/>
  <c r="AF64" i="96"/>
  <c r="Y253" i="96"/>
  <c r="AE253" i="96"/>
  <c r="Z503" i="96"/>
  <c r="AF503" i="96"/>
  <c r="AF7" i="104"/>
  <c r="Z7" i="104"/>
  <c r="N466" i="100"/>
  <c r="K466" i="100"/>
  <c r="AC99" i="107"/>
  <c r="AP47" i="53"/>
  <c r="AF47" i="53"/>
  <c r="AC47" i="107"/>
  <c r="AF604" i="104"/>
  <c r="Z604" i="104"/>
  <c r="AE36" i="104"/>
  <c r="Y36" i="104"/>
  <c r="Z74" i="96"/>
  <c r="K74" i="100"/>
  <c r="N74" i="100"/>
  <c r="AE84" i="97"/>
  <c r="Z84" i="97"/>
  <c r="AL9" i="54"/>
  <c r="AJ9" i="54"/>
  <c r="AE204" i="97"/>
  <c r="Z204" i="97"/>
  <c r="AF591" i="96"/>
  <c r="AM28" i="53"/>
  <c r="N28" i="53"/>
  <c r="T28" i="53"/>
  <c r="AG44" i="54"/>
  <c r="AE44" i="54"/>
  <c r="AO44" i="54"/>
  <c r="Y7" i="96"/>
  <c r="J7" i="100"/>
  <c r="M7" i="100"/>
  <c r="AE58" i="104"/>
  <c r="Y58" i="104"/>
  <c r="AO35" i="102"/>
  <c r="AE35" i="102"/>
  <c r="AG35" i="102"/>
  <c r="AE183" i="96"/>
  <c r="Z239" i="96"/>
  <c r="AF239" i="96"/>
  <c r="AE92" i="104"/>
  <c r="Y92" i="104"/>
  <c r="Z499" i="96"/>
  <c r="K499" i="100"/>
  <c r="N499" i="100"/>
  <c r="AF442" i="96"/>
  <c r="Z442" i="96"/>
  <c r="AE41" i="104"/>
  <c r="Y41" i="104"/>
  <c r="Y34" i="96"/>
  <c r="AE34" i="96"/>
  <c r="AM25" i="53"/>
  <c r="T25" i="53"/>
  <c r="N25" i="53"/>
  <c r="N631" i="100"/>
  <c r="K631" i="100"/>
  <c r="AZ49" i="102"/>
  <c r="AX49" i="102"/>
  <c r="N72" i="107"/>
  <c r="N20" i="107"/>
  <c r="AG41" i="102"/>
  <c r="AE41" i="102"/>
  <c r="AO41" i="102"/>
  <c r="AE256" i="96"/>
  <c r="AL29" i="54"/>
  <c r="AJ29" i="54"/>
  <c r="AG121" i="104"/>
  <c r="AA121" i="104"/>
  <c r="AM14" i="54"/>
  <c r="T14" i="54"/>
  <c r="N14" i="54"/>
  <c r="Z125" i="96"/>
  <c r="AF125" i="96"/>
  <c r="AK15" i="52"/>
  <c r="AG15" i="107"/>
  <c r="AG67" i="107"/>
  <c r="N63" i="107"/>
  <c r="N11" i="107"/>
  <c r="AE87" i="104"/>
  <c r="Y87" i="104"/>
  <c r="AV3" i="104"/>
  <c r="AI29" i="103"/>
  <c r="AL29" i="103"/>
  <c r="AB29" i="103"/>
  <c r="S22" i="123"/>
  <c r="AG351" i="104"/>
  <c r="AA351" i="104"/>
  <c r="AG213" i="104"/>
  <c r="AA213" i="104"/>
  <c r="AE34" i="104"/>
  <c r="Y34" i="104"/>
  <c r="S10" i="100"/>
  <c r="Y10" i="100"/>
  <c r="AG10" i="100"/>
  <c r="AG489" i="104"/>
  <c r="AA489" i="104"/>
  <c r="M193" i="100"/>
  <c r="J193" i="100"/>
  <c r="AF601" i="104"/>
  <c r="Z601" i="104"/>
  <c r="AF47" i="102"/>
  <c r="AP47" i="102"/>
  <c r="AF71" i="104"/>
  <c r="Z71" i="104"/>
  <c r="AF460" i="96"/>
  <c r="Z460" i="96"/>
  <c r="AF491" i="96"/>
  <c r="Z491" i="96"/>
  <c r="AG239" i="104"/>
  <c r="AA239" i="104"/>
  <c r="AE205" i="104"/>
  <c r="Y205" i="104"/>
  <c r="AF366" i="104"/>
  <c r="Z366" i="104"/>
  <c r="AF53" i="53"/>
  <c r="N80" i="100"/>
  <c r="K80" i="100"/>
  <c r="AF340" i="96"/>
  <c r="AG353" i="104"/>
  <c r="AA353" i="104"/>
  <c r="N431" i="100"/>
  <c r="K431" i="100"/>
  <c r="AF322" i="96"/>
  <c r="Z322" i="96"/>
  <c r="AE239" i="97"/>
  <c r="Z239" i="97"/>
  <c r="N295" i="100"/>
  <c r="K295" i="100"/>
  <c r="AO37" i="54"/>
  <c r="AE37" i="54"/>
  <c r="AG37" i="54"/>
  <c r="N30" i="54"/>
  <c r="T30" i="54"/>
  <c r="AM30" i="54"/>
  <c r="AF389" i="104"/>
  <c r="Z389" i="104"/>
  <c r="AF18" i="104"/>
  <c r="Z18" i="104"/>
  <c r="Z223" i="96"/>
  <c r="AF223" i="96"/>
  <c r="AF324" i="104"/>
  <c r="Z324" i="104"/>
  <c r="AO39" i="53"/>
  <c r="AE39" i="53"/>
  <c r="AB39" i="107"/>
  <c r="AB91" i="107"/>
  <c r="Z284" i="96"/>
  <c r="AF284" i="96"/>
  <c r="AZ10" i="102"/>
  <c r="AX10" i="102"/>
  <c r="AO11" i="54"/>
  <c r="AE11" i="54"/>
  <c r="AG11" i="54"/>
  <c r="AG339" i="104"/>
  <c r="AA339" i="104"/>
  <c r="AE253" i="104"/>
  <c r="Y253" i="104"/>
  <c r="AG120" i="104"/>
  <c r="AA120" i="104"/>
  <c r="AF55" i="104"/>
  <c r="Z55" i="104"/>
  <c r="N42" i="102"/>
  <c r="T42" i="102"/>
  <c r="AM42" i="102"/>
  <c r="Z591" i="96"/>
  <c r="K591" i="100"/>
  <c r="N591" i="100"/>
  <c r="AG443" i="104"/>
  <c r="AA443" i="104"/>
  <c r="AG405" i="104"/>
  <c r="AA405" i="104"/>
  <c r="Z22" i="96"/>
  <c r="AF22" i="96"/>
  <c r="AF369" i="96"/>
  <c r="Z369" i="96"/>
  <c r="N11" i="102"/>
  <c r="T11" i="102"/>
  <c r="AM11" i="102"/>
  <c r="Z615" i="96"/>
  <c r="AF615" i="96"/>
  <c r="AF358" i="104"/>
  <c r="Z358" i="104"/>
  <c r="AG180" i="104"/>
  <c r="AA180" i="104"/>
  <c r="AF423" i="96"/>
  <c r="Z423" i="96"/>
  <c r="Y183" i="96"/>
  <c r="J183" i="100"/>
  <c r="M183" i="100"/>
  <c r="AF508" i="104"/>
  <c r="Z508" i="104"/>
  <c r="AF480" i="96"/>
  <c r="Z480" i="96"/>
  <c r="AP34" i="53"/>
  <c r="AF34" i="53"/>
  <c r="AC34" i="107"/>
  <c r="AC86" i="107"/>
  <c r="AF65" i="104"/>
  <c r="Z65" i="104"/>
  <c r="AG516" i="104"/>
  <c r="AA516" i="104"/>
  <c r="Z582" i="96"/>
  <c r="AF582" i="96"/>
  <c r="AF495" i="96"/>
  <c r="Z495" i="96"/>
  <c r="AG234" i="104"/>
  <c r="AA234" i="104"/>
  <c r="Z327" i="96"/>
  <c r="AF327" i="96"/>
  <c r="AG363" i="104"/>
  <c r="AA363" i="104"/>
  <c r="AF39" i="104"/>
  <c r="Z39" i="104"/>
  <c r="N17" i="53"/>
  <c r="T17" i="53"/>
  <c r="AM17" i="53"/>
  <c r="AO21" i="102"/>
  <c r="AE21" i="102"/>
  <c r="AG21" i="102"/>
  <c r="AE217" i="97"/>
  <c r="Z217" i="97"/>
  <c r="AE37" i="97"/>
  <c r="Z37" i="97"/>
  <c r="AF9" i="54"/>
  <c r="AP9" i="54"/>
  <c r="N56" i="100"/>
  <c r="K56" i="100"/>
  <c r="AG487" i="104"/>
  <c r="AA487" i="104"/>
  <c r="AF21" i="102"/>
  <c r="AP21" i="102"/>
  <c r="AI26" i="103"/>
  <c r="AL26" i="103"/>
  <c r="AB26" i="103"/>
  <c r="S18" i="123"/>
  <c r="AK33" i="53"/>
  <c r="AK33" i="102"/>
  <c r="AK33" i="51"/>
  <c r="AK33" i="52"/>
  <c r="AK33" i="54"/>
  <c r="AF536" i="96"/>
  <c r="AP18" i="53"/>
  <c r="AF18" i="53"/>
  <c r="AC18" i="107"/>
  <c r="AC70" i="107"/>
  <c r="AF46" i="104"/>
  <c r="Z46" i="104"/>
  <c r="AM21" i="53"/>
  <c r="T21" i="53"/>
  <c r="N21" i="53"/>
  <c r="AE116" i="97"/>
  <c r="Z116" i="97"/>
  <c r="AF444" i="96"/>
  <c r="Z444" i="96"/>
  <c r="N383" i="100"/>
  <c r="K383" i="100"/>
  <c r="AF24" i="54"/>
  <c r="AP24" i="54"/>
  <c r="AL8" i="54"/>
  <c r="AJ8" i="54"/>
  <c r="N379" i="100"/>
  <c r="K379" i="100"/>
  <c r="F49" i="5"/>
  <c r="F48" i="5"/>
  <c r="AM53" i="54"/>
  <c r="N273" i="100"/>
  <c r="K273" i="100"/>
  <c r="N103" i="100"/>
  <c r="K103" i="100"/>
  <c r="AG74" i="104"/>
  <c r="AA74" i="104"/>
  <c r="AE46" i="104"/>
  <c r="Y46" i="104"/>
  <c r="AQ5" i="104"/>
  <c r="AP5" i="104"/>
  <c r="AG498" i="104"/>
  <c r="AA498" i="104"/>
  <c r="AF538" i="96"/>
  <c r="AM31" i="102"/>
  <c r="T31" i="102"/>
  <c r="N31" i="102"/>
  <c r="AG354" i="104"/>
  <c r="AA354" i="104"/>
  <c r="AF55" i="96"/>
  <c r="AE196" i="96"/>
  <c r="W13" i="109"/>
  <c r="W7" i="109"/>
  <c r="M268" i="100"/>
  <c r="J268" i="100"/>
  <c r="AK44" i="53"/>
  <c r="AK44" i="54"/>
  <c r="AK44" i="102"/>
  <c r="N526" i="100"/>
  <c r="K526" i="100"/>
  <c r="Z536" i="96"/>
  <c r="K536" i="100"/>
  <c r="N536" i="100"/>
  <c r="AG91" i="107"/>
  <c r="AG39" i="107"/>
  <c r="AF159" i="104"/>
  <c r="Z159" i="104"/>
  <c r="AG482" i="104"/>
  <c r="AA482" i="104"/>
  <c r="AL37" i="54"/>
  <c r="AJ37" i="54"/>
  <c r="AG616" i="104"/>
  <c r="AA616" i="104"/>
  <c r="AG372" i="104"/>
  <c r="AA372" i="104"/>
  <c r="AG113" i="104"/>
  <c r="AA113" i="104"/>
  <c r="AG390" i="104"/>
  <c r="AA390" i="104"/>
  <c r="N325" i="100"/>
  <c r="K325" i="100"/>
  <c r="AG451" i="104"/>
  <c r="AA451" i="104"/>
  <c r="N547" i="100"/>
  <c r="K547" i="100"/>
  <c r="AE303" i="96"/>
  <c r="Y303" i="96"/>
  <c r="AG5" i="102"/>
  <c r="AE5" i="102"/>
  <c r="AO5" i="102"/>
  <c r="AE53" i="102"/>
  <c r="AF385" i="104"/>
  <c r="Z385" i="104"/>
  <c r="AF377" i="104"/>
  <c r="Z377" i="104"/>
  <c r="AM51" i="53"/>
  <c r="T51" i="53"/>
  <c r="N51" i="53"/>
  <c r="AL9" i="104"/>
  <c r="AK9" i="104"/>
  <c r="AG382" i="104"/>
  <c r="AA382" i="104"/>
  <c r="Z235" i="96"/>
  <c r="AF235" i="96"/>
  <c r="N40" i="53"/>
  <c r="T40" i="53"/>
  <c r="AM40" i="53"/>
  <c r="AL38" i="102"/>
  <c r="AJ38" i="102"/>
  <c r="AF43" i="102"/>
  <c r="AP43" i="102"/>
  <c r="AF41" i="54"/>
  <c r="AP41" i="54"/>
  <c r="AG210" i="104"/>
  <c r="AA210" i="104"/>
  <c r="AK2" i="96"/>
  <c r="AL2" i="96"/>
  <c r="Z606" i="96"/>
  <c r="AF606" i="96"/>
  <c r="AG423" i="104"/>
  <c r="AA423" i="104"/>
  <c r="AF30" i="54"/>
  <c r="AP30" i="54"/>
  <c r="N37" i="102"/>
  <c r="T37" i="102"/>
  <c r="AM37" i="102"/>
  <c r="N11" i="54"/>
  <c r="T11" i="54"/>
  <c r="AM11" i="54"/>
  <c r="AL34" i="54"/>
  <c r="AJ34" i="54"/>
  <c r="AE85" i="104"/>
  <c r="Y85" i="104"/>
  <c r="AF415" i="96"/>
  <c r="Z415" i="96"/>
  <c r="AF571" i="104"/>
  <c r="Z571" i="104"/>
  <c r="AF420" i="104"/>
  <c r="Z420" i="104"/>
  <c r="AP26" i="53"/>
  <c r="AF26" i="53"/>
  <c r="AC26" i="107"/>
  <c r="AC78" i="107"/>
  <c r="AI25" i="103"/>
  <c r="AL25" i="103"/>
  <c r="AB25" i="103"/>
  <c r="S17" i="123"/>
  <c r="AF94" i="107"/>
  <c r="AF42" i="107"/>
  <c r="AF352" i="104"/>
  <c r="Z352" i="104"/>
  <c r="AE251" i="97"/>
  <c r="Z251" i="97"/>
  <c r="N434" i="100"/>
  <c r="K434" i="100"/>
  <c r="AG43" i="104"/>
  <c r="AA43" i="104"/>
  <c r="Z631" i="96"/>
  <c r="AF631" i="96"/>
  <c r="AF491" i="104"/>
  <c r="Z491" i="104"/>
  <c r="AG164" i="104"/>
  <c r="AA164" i="104"/>
  <c r="N14" i="102"/>
  <c r="T14" i="102"/>
  <c r="AM14" i="102"/>
  <c r="N11" i="53"/>
  <c r="T11" i="53"/>
  <c r="AM11" i="53"/>
  <c r="AL34" i="53"/>
  <c r="AJ34" i="53"/>
  <c r="AE80" i="97"/>
  <c r="Z80" i="97"/>
  <c r="AO34" i="53"/>
  <c r="AE34" i="53"/>
  <c r="AG34" i="53"/>
  <c r="AF336" i="104"/>
  <c r="Z336" i="104"/>
  <c r="AI16" i="103"/>
  <c r="AL16" i="103"/>
  <c r="AB16" i="103"/>
  <c r="S8" i="123"/>
  <c r="AF390" i="104"/>
  <c r="Z390" i="104"/>
  <c r="Z68" i="96"/>
  <c r="AF68" i="96"/>
  <c r="AF606" i="104"/>
  <c r="Z606" i="104"/>
  <c r="AG444" i="104"/>
  <c r="AA444" i="104"/>
  <c r="AF17" i="104"/>
  <c r="Z17" i="104"/>
  <c r="N412" i="100"/>
  <c r="K412" i="100"/>
  <c r="AG563" i="104"/>
  <c r="AA563" i="104"/>
  <c r="AF272" i="104"/>
  <c r="Z272" i="104"/>
  <c r="AF69" i="107"/>
  <c r="AF17" i="107"/>
  <c r="N422" i="100"/>
  <c r="K422" i="100"/>
  <c r="AE194" i="104"/>
  <c r="Y194" i="104"/>
  <c r="Z55" i="96"/>
  <c r="K55" i="100"/>
  <c r="N55" i="100"/>
  <c r="Y196" i="96"/>
  <c r="J196" i="100"/>
  <c r="M196" i="100"/>
  <c r="AG347" i="104"/>
  <c r="AA347" i="104"/>
  <c r="AF346" i="104"/>
  <c r="Z346" i="104"/>
  <c r="AK44" i="51"/>
  <c r="AK44" i="52"/>
  <c r="AG44" i="107"/>
  <c r="AG96" i="107"/>
  <c r="N619" i="100"/>
  <c r="K619" i="100"/>
  <c r="AL21" i="54"/>
  <c r="AJ21" i="54"/>
  <c r="AG248" i="104"/>
  <c r="AA248" i="104"/>
  <c r="AF133" i="104"/>
  <c r="Z133" i="104"/>
  <c r="N484" i="100"/>
  <c r="K484" i="100"/>
  <c r="AF367" i="104"/>
  <c r="Z367" i="104"/>
  <c r="AF613" i="96"/>
  <c r="N96" i="107"/>
  <c r="N44" i="107"/>
  <c r="AF386" i="96"/>
  <c r="Z386" i="96"/>
  <c r="AL14" i="102"/>
  <c r="AJ14" i="102"/>
  <c r="AG211" i="104"/>
  <c r="AA211" i="104"/>
  <c r="AF14" i="96"/>
  <c r="AE83" i="97"/>
  <c r="Z83" i="97"/>
  <c r="AL51" i="54"/>
  <c r="AJ51" i="54"/>
  <c r="AE202" i="104"/>
  <c r="Y202" i="104"/>
  <c r="AF425" i="104"/>
  <c r="Z425" i="104"/>
  <c r="AE9" i="97"/>
  <c r="Z9" i="97"/>
  <c r="AF66" i="104"/>
  <c r="Z66" i="104"/>
  <c r="I14" i="123"/>
  <c r="F14" i="123"/>
  <c r="AG633" i="104"/>
  <c r="AA633" i="104"/>
  <c r="Z2" i="97"/>
  <c r="AE2" i="97"/>
  <c r="AE7" i="100"/>
  <c r="AE121" i="97"/>
  <c r="Z121" i="97"/>
  <c r="AG281" i="104"/>
  <c r="AA281" i="104"/>
  <c r="N486" i="100"/>
  <c r="K486" i="100"/>
  <c r="AF577" i="96"/>
  <c r="AF9" i="96"/>
  <c r="Z153" i="96"/>
  <c r="AF153" i="96"/>
  <c r="AG615" i="104"/>
  <c r="AA615" i="104"/>
  <c r="AF413" i="104"/>
  <c r="Z413" i="104"/>
  <c r="AF164" i="96"/>
  <c r="N52" i="100"/>
  <c r="K52" i="100"/>
  <c r="AE202" i="96"/>
  <c r="AE250" i="97"/>
  <c r="Z250" i="97"/>
  <c r="AG225" i="104"/>
  <c r="AA225" i="104"/>
  <c r="N41" i="54"/>
  <c r="T41" i="54"/>
  <c r="AM41" i="54"/>
  <c r="AF410" i="96"/>
  <c r="Z410" i="96"/>
  <c r="AG621" i="104"/>
  <c r="AA621" i="104"/>
  <c r="AF343" i="96"/>
  <c r="AM19" i="53"/>
  <c r="T19" i="53"/>
  <c r="N19" i="53"/>
  <c r="AG367" i="104"/>
  <c r="AA367" i="104"/>
  <c r="AF382" i="96"/>
  <c r="Z382" i="96"/>
  <c r="AG588" i="104"/>
  <c r="AA588" i="104"/>
  <c r="AF465" i="104"/>
  <c r="Z465" i="104"/>
  <c r="AF151" i="104"/>
  <c r="Z151" i="104"/>
  <c r="AF67" i="96"/>
  <c r="AL17" i="52"/>
  <c r="Z181" i="96"/>
  <c r="K181" i="100"/>
  <c r="N181" i="100"/>
  <c r="N92" i="107"/>
  <c r="N40" i="107"/>
  <c r="Y26" i="96"/>
  <c r="AE26" i="96"/>
  <c r="Z638" i="96"/>
  <c r="AF638" i="96"/>
  <c r="AF319" i="96"/>
  <c r="Z319" i="96"/>
  <c r="Z328" i="96"/>
  <c r="AF328" i="96"/>
  <c r="AF107" i="96"/>
  <c r="AE184" i="104"/>
  <c r="Y184" i="104"/>
  <c r="AE11" i="96"/>
  <c r="Z18" i="96"/>
  <c r="K18" i="100"/>
  <c r="N18" i="100"/>
  <c r="Z512" i="96"/>
  <c r="K512" i="100"/>
  <c r="N512" i="100"/>
  <c r="AE20" i="97"/>
  <c r="Z20" i="97"/>
  <c r="AF429" i="104"/>
  <c r="Z429" i="104"/>
  <c r="AF114" i="104"/>
  <c r="Z114" i="104"/>
  <c r="AO13" i="102"/>
  <c r="AE13" i="102"/>
  <c r="AG13" i="102"/>
  <c r="Y191" i="96"/>
  <c r="AE191" i="96"/>
  <c r="Z558" i="96"/>
  <c r="K558" i="100"/>
  <c r="N558" i="100"/>
  <c r="N32" i="54"/>
  <c r="T32" i="54"/>
  <c r="AM32" i="54"/>
  <c r="Y268" i="96"/>
  <c r="AE268" i="96"/>
  <c r="N84" i="107"/>
  <c r="N32" i="107"/>
  <c r="AG478" i="104"/>
  <c r="AA478" i="104"/>
  <c r="AG161" i="104"/>
  <c r="AA161" i="104"/>
  <c r="AE55" i="104"/>
  <c r="Y55" i="104"/>
  <c r="AF291" i="104"/>
  <c r="Z291" i="104"/>
  <c r="Z577" i="96"/>
  <c r="K577" i="100"/>
  <c r="N577" i="100"/>
  <c r="Z9" i="96"/>
  <c r="K9" i="100"/>
  <c r="N9" i="100"/>
  <c r="AG176" i="104"/>
  <c r="AA176" i="104"/>
  <c r="AK5" i="53"/>
  <c r="AK5" i="102"/>
  <c r="AK5" i="54"/>
  <c r="AE53" i="104"/>
  <c r="Y53" i="104"/>
  <c r="N133" i="100"/>
  <c r="K133" i="100"/>
  <c r="AF102" i="107"/>
  <c r="AF50" i="107"/>
  <c r="AG379" i="104"/>
  <c r="AA379" i="104"/>
  <c r="N374" i="100"/>
  <c r="K374" i="100"/>
  <c r="AV8" i="96"/>
  <c r="AG494" i="104"/>
  <c r="AA494" i="104"/>
  <c r="AG393" i="104"/>
  <c r="AA393" i="104"/>
  <c r="N473" i="100"/>
  <c r="K473" i="100"/>
  <c r="AG574" i="104"/>
  <c r="AA574" i="104"/>
  <c r="AF158" i="104"/>
  <c r="Z158" i="104"/>
  <c r="N447" i="100"/>
  <c r="K447" i="100"/>
  <c r="AF434" i="104"/>
  <c r="Z434" i="104"/>
  <c r="Y202" i="96"/>
  <c r="J202" i="100"/>
  <c r="M202" i="100"/>
  <c r="AF36" i="96"/>
  <c r="N280" i="100"/>
  <c r="K280" i="100"/>
  <c r="AE48" i="96"/>
  <c r="Z343" i="96"/>
  <c r="K343" i="100"/>
  <c r="N343" i="100"/>
  <c r="AF467" i="96"/>
  <c r="Z467" i="96"/>
  <c r="AE200" i="97"/>
  <c r="Z200" i="97"/>
  <c r="N589" i="100"/>
  <c r="K589" i="100"/>
  <c r="N373" i="100"/>
  <c r="K373" i="100"/>
  <c r="AG452" i="104"/>
  <c r="AA452" i="104"/>
  <c r="M265" i="100"/>
  <c r="J265" i="100"/>
  <c r="Y43" i="96"/>
  <c r="AE43" i="96"/>
  <c r="AG525" i="104"/>
  <c r="AA525" i="104"/>
  <c r="AF516" i="104"/>
  <c r="Z516" i="104"/>
  <c r="AF2" i="104"/>
  <c r="Z2" i="104"/>
  <c r="Z353" i="96"/>
  <c r="AF353" i="96"/>
  <c r="AG387" i="104"/>
  <c r="AA387" i="104"/>
  <c r="Y57" i="96"/>
  <c r="AE57" i="96"/>
  <c r="AI18" i="103"/>
  <c r="AL18" i="103"/>
  <c r="AB18" i="103"/>
  <c r="AE46" i="97"/>
  <c r="Z46" i="97"/>
  <c r="AO18" i="53"/>
  <c r="AE18" i="53"/>
  <c r="AG18" i="53"/>
  <c r="N402" i="100"/>
  <c r="K402" i="100"/>
  <c r="AE166" i="97"/>
  <c r="Z166" i="97"/>
  <c r="Y139" i="96"/>
  <c r="AE139" i="96"/>
  <c r="AF383" i="96"/>
  <c r="Z383" i="96"/>
  <c r="AF479" i="104"/>
  <c r="Z479" i="104"/>
  <c r="Z553" i="96"/>
  <c r="AF553" i="96"/>
  <c r="N427" i="100"/>
  <c r="K427" i="100"/>
  <c r="Z580" i="96"/>
  <c r="K580" i="100"/>
  <c r="N580" i="100"/>
  <c r="AF124" i="104"/>
  <c r="Z124" i="104"/>
  <c r="N498" i="100"/>
  <c r="V11" i="100"/>
  <c r="AJ11" i="100"/>
  <c r="AK39" i="54"/>
  <c r="AK39" i="102"/>
  <c r="AK39" i="51"/>
  <c r="AK39" i="52"/>
  <c r="AK39" i="53"/>
  <c r="AF315" i="104"/>
  <c r="Z315" i="104"/>
  <c r="AG491" i="104"/>
  <c r="AA491" i="104"/>
  <c r="Z363" i="96"/>
  <c r="AF363" i="96"/>
  <c r="AF74" i="104"/>
  <c r="Z74" i="104"/>
  <c r="Z67" i="96"/>
  <c r="K67" i="100"/>
  <c r="N67" i="100"/>
  <c r="AJ17" i="52"/>
  <c r="AJ17" i="102"/>
  <c r="AL17" i="102"/>
  <c r="AF278" i="104"/>
  <c r="Z278" i="104"/>
  <c r="U30" i="123"/>
  <c r="AM49" i="52"/>
  <c r="R30" i="123"/>
  <c r="Z167" i="96"/>
  <c r="AF167" i="96"/>
  <c r="AG295" i="104"/>
  <c r="AA295" i="104"/>
  <c r="Z107" i="96"/>
  <c r="K107" i="100"/>
  <c r="N107" i="100"/>
  <c r="Y11" i="96"/>
  <c r="J11" i="100"/>
  <c r="M11" i="100"/>
  <c r="Y256" i="96"/>
  <c r="J256" i="100"/>
  <c r="M256" i="100"/>
  <c r="Z562" i="96"/>
  <c r="AF562" i="96"/>
  <c r="N272" i="100"/>
  <c r="K272" i="100"/>
  <c r="AF456" i="96"/>
  <c r="Z456" i="96"/>
  <c r="AL35" i="53"/>
  <c r="AJ35" i="53"/>
  <c r="AF116" i="104"/>
  <c r="Z116" i="104"/>
  <c r="AG470" i="104"/>
  <c r="AA470" i="104"/>
  <c r="AJ47" i="52"/>
  <c r="AL47" i="52"/>
  <c r="AG53" i="104"/>
  <c r="AA53" i="104"/>
  <c r="AD55" i="97"/>
  <c r="Y55" i="97"/>
  <c r="AO42" i="102"/>
  <c r="AE42" i="102"/>
  <c r="AG42" i="102"/>
  <c r="AP45" i="53"/>
  <c r="AF45" i="53"/>
  <c r="AC45" i="107"/>
  <c r="AC97" i="107"/>
  <c r="AG66" i="104"/>
  <c r="AA66" i="104"/>
  <c r="AF103" i="104"/>
  <c r="Z103" i="104"/>
  <c r="AO45" i="53"/>
  <c r="AE45" i="53"/>
  <c r="AG45" i="53"/>
  <c r="AF17" i="54"/>
  <c r="AP17" i="54"/>
  <c r="Z133" i="96"/>
  <c r="AF133" i="96"/>
  <c r="AL19" i="52"/>
  <c r="AG80" i="104"/>
  <c r="AA80" i="104"/>
  <c r="AL4" i="96"/>
  <c r="AK4" i="96"/>
  <c r="Z517" i="96"/>
  <c r="AF517" i="96"/>
  <c r="AF374" i="104"/>
  <c r="Z374" i="104"/>
  <c r="AF570" i="104"/>
  <c r="Z570" i="104"/>
  <c r="N554" i="100"/>
  <c r="K554" i="100"/>
  <c r="M38" i="100"/>
  <c r="J38" i="100"/>
  <c r="AG449" i="104"/>
  <c r="AA449" i="104"/>
  <c r="AE183" i="104"/>
  <c r="Y183" i="104"/>
  <c r="AE106" i="97"/>
  <c r="Z106" i="97"/>
  <c r="Z122" i="96"/>
  <c r="AF122" i="96"/>
  <c r="N231" i="100"/>
  <c r="K231" i="100"/>
  <c r="AG541" i="104"/>
  <c r="AA541" i="104"/>
  <c r="AK8" i="54"/>
  <c r="AK8" i="53"/>
  <c r="AK8" i="51"/>
  <c r="AK8" i="52"/>
  <c r="AK8" i="102"/>
  <c r="AG520" i="104"/>
  <c r="AA520" i="104"/>
  <c r="Y48" i="96"/>
  <c r="J48" i="100"/>
  <c r="M48" i="100"/>
  <c r="AF283" i="96"/>
  <c r="AG611" i="104"/>
  <c r="AA611" i="104"/>
  <c r="N88" i="107"/>
  <c r="N36" i="107"/>
  <c r="Z526" i="96"/>
  <c r="AF526" i="96"/>
  <c r="AF238" i="96"/>
  <c r="AG349" i="104"/>
  <c r="AA349" i="104"/>
  <c r="AG331" i="104"/>
  <c r="AA331" i="104"/>
  <c r="AM17" i="102"/>
  <c r="T17" i="102"/>
  <c r="N17" i="102"/>
  <c r="AD12" i="97"/>
  <c r="Y12" i="97"/>
  <c r="AF211" i="104"/>
  <c r="Z211" i="104"/>
  <c r="N74" i="107"/>
  <c r="N22" i="107"/>
  <c r="N58" i="107"/>
  <c r="N6" i="107"/>
  <c r="AF329" i="104"/>
  <c r="Z329" i="104"/>
  <c r="AG422" i="104"/>
  <c r="AA422" i="104"/>
  <c r="AF458" i="104"/>
  <c r="Z458" i="104"/>
  <c r="AE60" i="104"/>
  <c r="Y60" i="104"/>
  <c r="AE177" i="97"/>
  <c r="Z177" i="97"/>
  <c r="Z238" i="96"/>
  <c r="K238" i="100"/>
  <c r="N238" i="100"/>
  <c r="AG106" i="104"/>
  <c r="AA106" i="104"/>
  <c r="AF576" i="104"/>
  <c r="Z576" i="104"/>
  <c r="AF20" i="104"/>
  <c r="Z20" i="104"/>
  <c r="AF551" i="104"/>
  <c r="Z551" i="104"/>
  <c r="N95" i="107"/>
  <c r="N43" i="107"/>
  <c r="AF394" i="96"/>
  <c r="Z394" i="96"/>
  <c r="AO19" i="54"/>
  <c r="AE19" i="54"/>
  <c r="AG19" i="54"/>
  <c r="AK49" i="102"/>
  <c r="AK49" i="53"/>
  <c r="AK49" i="51"/>
  <c r="AK49" i="52"/>
  <c r="AK49" i="54"/>
  <c r="AD11" i="97"/>
  <c r="Y11" i="97"/>
  <c r="N109" i="100"/>
  <c r="K109" i="100"/>
  <c r="Z110" i="97"/>
  <c r="AE110" i="97"/>
  <c r="AE9" i="100"/>
  <c r="R14" i="123"/>
  <c r="AM32" i="52"/>
  <c r="U14" i="123"/>
  <c r="N452" i="100"/>
  <c r="K452" i="100"/>
  <c r="Y97" i="96"/>
  <c r="AE97" i="96"/>
  <c r="Z272" i="96"/>
  <c r="AF272" i="96"/>
  <c r="Z14" i="96"/>
  <c r="K14" i="100"/>
  <c r="N14" i="100"/>
  <c r="AJ9" i="97"/>
  <c r="AU8" i="96"/>
  <c r="AU9" i="96"/>
  <c r="AV9" i="96"/>
  <c r="AL6" i="54"/>
  <c r="AJ6" i="54"/>
  <c r="AF641" i="104"/>
  <c r="Z641" i="104"/>
  <c r="N438" i="100"/>
  <c r="K438" i="100"/>
  <c r="AF541" i="104"/>
  <c r="Z541" i="104"/>
  <c r="AG468" i="104"/>
  <c r="AA468" i="104"/>
  <c r="AF583" i="104"/>
  <c r="Z583" i="104"/>
  <c r="AE3" i="97"/>
  <c r="Z3" i="97"/>
  <c r="Z52" i="96"/>
  <c r="AF52" i="96"/>
  <c r="AG59" i="104"/>
  <c r="AA59" i="104"/>
  <c r="K436" i="100"/>
  <c r="N436" i="100"/>
  <c r="V10" i="100"/>
  <c r="AJ10" i="100"/>
  <c r="AO46" i="53"/>
  <c r="AE46" i="53"/>
  <c r="AG46" i="53"/>
  <c r="AE192" i="104"/>
  <c r="Y192" i="104"/>
  <c r="M90" i="100"/>
  <c r="J90" i="100"/>
  <c r="AE132" i="97"/>
  <c r="Z132" i="97"/>
  <c r="AF462" i="104"/>
  <c r="Z462" i="104"/>
  <c r="AG99" i="107"/>
  <c r="AG47" i="107"/>
  <c r="M30" i="100"/>
  <c r="J30" i="100"/>
  <c r="AC89" i="107"/>
  <c r="AC37" i="107"/>
  <c r="AF37" i="53"/>
  <c r="AP37" i="53"/>
  <c r="AF324" i="96"/>
  <c r="Z324" i="96"/>
  <c r="AL41" i="102"/>
  <c r="AJ41" i="102"/>
  <c r="Z274" i="96"/>
  <c r="AF274" i="96"/>
  <c r="AF216" i="96"/>
  <c r="AF538" i="104"/>
  <c r="Z538" i="104"/>
  <c r="AG320" i="104"/>
  <c r="AA320" i="104"/>
  <c r="AF355" i="96"/>
  <c r="AE45" i="96"/>
  <c r="N420" i="100"/>
  <c r="K420" i="100"/>
  <c r="AG173" i="104"/>
  <c r="AA173" i="104"/>
  <c r="AF235" i="104"/>
  <c r="Z235" i="104"/>
  <c r="AG361" i="104"/>
  <c r="AA361" i="104"/>
  <c r="AF316" i="104"/>
  <c r="Z316" i="104"/>
  <c r="AG175" i="104"/>
  <c r="AA175" i="104"/>
  <c r="AG460" i="104"/>
  <c r="AA460" i="104"/>
  <c r="AB65" i="107"/>
  <c r="AB13" i="107"/>
  <c r="N359" i="100"/>
  <c r="K359" i="100"/>
  <c r="AL35" i="52"/>
  <c r="AG560" i="104"/>
  <c r="AA560" i="104"/>
  <c r="AF20" i="102"/>
  <c r="AP20" i="102"/>
  <c r="AQ6" i="104"/>
  <c r="AP6" i="104"/>
  <c r="AG630" i="104"/>
  <c r="AA630" i="104"/>
  <c r="N75" i="100"/>
  <c r="K75" i="100"/>
  <c r="Z216" i="96"/>
  <c r="K216" i="100"/>
  <c r="N216" i="100"/>
  <c r="N28" i="100"/>
  <c r="K28" i="100"/>
  <c r="AF285" i="104"/>
  <c r="Z285" i="104"/>
  <c r="Z355" i="96"/>
  <c r="K355" i="100"/>
  <c r="N355" i="100"/>
  <c r="AF104" i="104"/>
  <c r="Z104" i="104"/>
  <c r="Y45" i="96"/>
  <c r="J45" i="100"/>
  <c r="M45" i="100"/>
  <c r="M145" i="100"/>
  <c r="J145" i="100"/>
  <c r="AF28" i="102"/>
  <c r="AP28" i="102"/>
  <c r="AF573" i="104"/>
  <c r="Z573" i="104"/>
  <c r="AF26" i="54"/>
  <c r="AP26" i="54"/>
  <c r="AE94" i="104"/>
  <c r="Y94" i="104"/>
  <c r="AF248" i="104"/>
  <c r="Z248" i="104"/>
  <c r="AL2" i="104"/>
  <c r="N578" i="100"/>
  <c r="K578" i="100"/>
  <c r="N531" i="100"/>
  <c r="K531" i="100"/>
  <c r="AG391" i="104"/>
  <c r="AA391" i="104"/>
  <c r="AB96" i="107"/>
  <c r="AB44" i="107"/>
  <c r="M203" i="100"/>
  <c r="J203" i="100"/>
  <c r="M52" i="100"/>
  <c r="J52" i="100"/>
  <c r="AF485" i="96"/>
  <c r="Z485" i="96"/>
  <c r="AC96" i="107"/>
  <c r="AC44" i="107"/>
  <c r="AF44" i="53"/>
  <c r="AP44" i="53"/>
  <c r="AF489" i="104"/>
  <c r="Z489" i="104"/>
  <c r="AF167" i="104"/>
  <c r="Z167" i="104"/>
  <c r="AZ21" i="102"/>
  <c r="AX21" i="102"/>
  <c r="Y38" i="96"/>
  <c r="AE38" i="96"/>
  <c r="Z613" i="96"/>
  <c r="K613" i="100"/>
  <c r="N613" i="100"/>
  <c r="Z164" i="96"/>
  <c r="K164" i="100"/>
  <c r="N164" i="100"/>
  <c r="AG107" i="104"/>
  <c r="AA107" i="104"/>
  <c r="AE262" i="104"/>
  <c r="Y262" i="104"/>
  <c r="AP50" i="53"/>
  <c r="AF50" i="53"/>
  <c r="AC50" i="107"/>
  <c r="AC102" i="107"/>
  <c r="N625" i="100"/>
  <c r="K625" i="100"/>
  <c r="AE52" i="104"/>
  <c r="Y52" i="104"/>
  <c r="AF471" i="104"/>
  <c r="Z471" i="104"/>
  <c r="Z60" i="96"/>
  <c r="AF60" i="96"/>
  <c r="AF27" i="102"/>
  <c r="AP27" i="102"/>
  <c r="AE170" i="97"/>
  <c r="Z170" i="97"/>
  <c r="Y184" i="96"/>
  <c r="J184" i="100"/>
  <c r="M184" i="100"/>
  <c r="AM6" i="53"/>
  <c r="T6" i="53"/>
  <c r="N6" i="53"/>
  <c r="Z506" i="96"/>
  <c r="K506" i="100"/>
  <c r="N506" i="100"/>
  <c r="Z283" i="96"/>
  <c r="K283" i="100"/>
  <c r="N283" i="100"/>
  <c r="AF506" i="104"/>
  <c r="Z506" i="104"/>
  <c r="AF626" i="104"/>
  <c r="Z626" i="104"/>
  <c r="AG594" i="104"/>
  <c r="AA594" i="104"/>
  <c r="S15" i="109"/>
  <c r="S9" i="109"/>
  <c r="S14" i="109"/>
  <c r="AM9" i="54"/>
  <c r="N9" i="54"/>
  <c r="T9" i="54"/>
  <c r="N90" i="107"/>
  <c r="N38" i="107"/>
  <c r="AE95" i="104"/>
  <c r="Y95" i="104"/>
  <c r="AG565" i="104"/>
  <c r="AA565" i="104"/>
  <c r="AL29" i="53"/>
  <c r="AJ29" i="53"/>
  <c r="AG404" i="104"/>
  <c r="AA404" i="104"/>
  <c r="AF488" i="104"/>
  <c r="Z488" i="104"/>
  <c r="AG76" i="107"/>
  <c r="AG24" i="107"/>
  <c r="AF475" i="104"/>
  <c r="Z475" i="104"/>
  <c r="AG20" i="102"/>
  <c r="AE20" i="102"/>
  <c r="AO20" i="102"/>
  <c r="AV2" i="96"/>
  <c r="AG420" i="104"/>
  <c r="AA420" i="104"/>
  <c r="AG613" i="104"/>
  <c r="AA613" i="104"/>
  <c r="AG641" i="104"/>
  <c r="AA641" i="104"/>
  <c r="AG32" i="54"/>
  <c r="AE32" i="54"/>
  <c r="AO32" i="54"/>
  <c r="AK2" i="104"/>
  <c r="AK7" i="104"/>
  <c r="AL7" i="104"/>
  <c r="AC74" i="107"/>
  <c r="AC22" i="107"/>
  <c r="AF22" i="53"/>
  <c r="AP22" i="53"/>
  <c r="AL23" i="53"/>
  <c r="AJ23" i="53"/>
  <c r="AE26" i="97"/>
  <c r="Z26" i="97"/>
  <c r="AL43" i="54"/>
  <c r="AJ43" i="54"/>
  <c r="AF618" i="96"/>
  <c r="Z618" i="96"/>
  <c r="N240" i="100"/>
  <c r="K240" i="100"/>
  <c r="AF25" i="54"/>
  <c r="AP25" i="54"/>
  <c r="AG426" i="104"/>
  <c r="AA426" i="104"/>
  <c r="AG501" i="104"/>
  <c r="AA501" i="104"/>
  <c r="AE182" i="97"/>
  <c r="Z182" i="97"/>
  <c r="M4" i="100"/>
  <c r="J4" i="100"/>
  <c r="M89" i="100"/>
  <c r="J89" i="100"/>
  <c r="AF165" i="104"/>
  <c r="Z165" i="104"/>
  <c r="N634" i="100"/>
  <c r="K634" i="100"/>
  <c r="Y193" i="96"/>
  <c r="AE193" i="96"/>
  <c r="AF96" i="107"/>
  <c r="AF44" i="107"/>
  <c r="AF620" i="96"/>
  <c r="Z620" i="96"/>
  <c r="AF12" i="102"/>
  <c r="AP12" i="102"/>
  <c r="AF457" i="104"/>
  <c r="Z457" i="104"/>
  <c r="AG572" i="104"/>
  <c r="AA572" i="104"/>
  <c r="AE36" i="97"/>
  <c r="Z36" i="97"/>
  <c r="Z547" i="96"/>
  <c r="AF547" i="96"/>
  <c r="AE178" i="97"/>
  <c r="Z178" i="97"/>
  <c r="Z56" i="96"/>
  <c r="AF56" i="96"/>
  <c r="N6" i="100"/>
  <c r="K6" i="100"/>
  <c r="AF222" i="104"/>
  <c r="Z222" i="104"/>
  <c r="AF407" i="96"/>
  <c r="Z407" i="96"/>
  <c r="AE200" i="104"/>
  <c r="Y200" i="104"/>
  <c r="AE310" i="104"/>
  <c r="Y310" i="104"/>
  <c r="AE189" i="104"/>
  <c r="Y189" i="104"/>
  <c r="AO50" i="102"/>
  <c r="AE50" i="102"/>
  <c r="AG50" i="102"/>
  <c r="AG64" i="104"/>
  <c r="AA64" i="104"/>
  <c r="AG7" i="102"/>
  <c r="AE7" i="102"/>
  <c r="AO7" i="102"/>
  <c r="AF475" i="96"/>
  <c r="Z475" i="96"/>
  <c r="AE192" i="97"/>
  <c r="Z192" i="97"/>
  <c r="Y30" i="96"/>
  <c r="AE30" i="96"/>
  <c r="AE182" i="104"/>
  <c r="Y182" i="104"/>
  <c r="AL40" i="53"/>
  <c r="AJ40" i="53"/>
  <c r="N598" i="100"/>
  <c r="K598" i="100"/>
  <c r="Y2" i="96"/>
  <c r="AE2" i="96"/>
  <c r="AU2" i="96"/>
  <c r="AU7" i="96"/>
  <c r="AV7" i="96"/>
  <c r="AE88" i="104"/>
  <c r="Y88" i="104"/>
  <c r="AG555" i="104"/>
  <c r="AA555" i="104"/>
  <c r="AG51" i="53"/>
  <c r="N68" i="107"/>
  <c r="N16" i="107"/>
  <c r="Z54" i="96"/>
  <c r="AF54" i="96"/>
  <c r="AF128" i="96"/>
  <c r="AF437" i="96"/>
  <c r="Z437" i="96"/>
  <c r="N59" i="107"/>
  <c r="N7" i="107"/>
  <c r="AB11" i="100"/>
  <c r="AF98" i="107"/>
  <c r="AF46" i="107"/>
  <c r="AO51" i="53"/>
  <c r="AE51" i="53"/>
  <c r="AB51" i="107"/>
  <c r="AB103" i="107"/>
  <c r="AF375" i="96"/>
  <c r="Z375" i="96"/>
  <c r="N19" i="100"/>
  <c r="K19" i="100"/>
  <c r="AM26" i="102"/>
  <c r="T26" i="102"/>
  <c r="N26" i="102"/>
  <c r="AF9" i="102"/>
  <c r="AP9" i="102"/>
  <c r="Z128" i="96"/>
  <c r="K128" i="100"/>
  <c r="N128" i="100"/>
  <c r="AE43" i="97"/>
  <c r="Z43" i="97"/>
  <c r="AF41" i="104"/>
  <c r="Z41" i="104"/>
  <c r="N81" i="107"/>
  <c r="N29" i="107"/>
  <c r="AG43" i="102"/>
  <c r="AE43" i="102"/>
  <c r="AO43" i="102"/>
  <c r="Z538" i="96"/>
  <c r="K538" i="100"/>
  <c r="N538" i="100"/>
  <c r="AG618" i="104"/>
  <c r="AA618" i="104"/>
  <c r="AF512" i="104"/>
  <c r="Z512" i="104"/>
  <c r="AF597" i="104"/>
  <c r="Z597" i="104"/>
  <c r="Z36" i="96"/>
  <c r="K36" i="100"/>
  <c r="N36" i="100"/>
  <c r="AE23" i="97"/>
  <c r="Z23" i="97"/>
  <c r="AE149" i="97"/>
  <c r="Z149" i="97"/>
  <c r="AF556" i="104"/>
  <c r="Z556" i="104"/>
  <c r="N16" i="100"/>
  <c r="K16" i="100"/>
  <c r="AF513" i="104"/>
  <c r="Z513" i="104"/>
  <c r="AG575" i="104"/>
  <c r="AA575" i="104"/>
  <c r="N17" i="54"/>
  <c r="T17" i="54"/>
  <c r="AM17" i="54"/>
  <c r="N386" i="100"/>
  <c r="K386" i="100"/>
  <c r="AF27" i="104"/>
  <c r="Z27" i="104"/>
  <c r="AF472" i="96"/>
  <c r="Z472" i="96"/>
  <c r="AG619" i="104"/>
  <c r="AA619" i="104"/>
  <c r="AZ40" i="102"/>
  <c r="AX40" i="102"/>
  <c r="N624" i="100"/>
  <c r="K624" i="100"/>
  <c r="AF479" i="96"/>
  <c r="Z479" i="96"/>
  <c r="AL7" i="53"/>
  <c r="AJ7" i="53"/>
  <c r="N6" i="102"/>
  <c r="T6" i="102"/>
  <c r="AM6" i="102"/>
  <c r="AM14" i="52"/>
  <c r="AX14" i="102"/>
  <c r="AZ14" i="102"/>
  <c r="AE99" i="97"/>
  <c r="Z99" i="97"/>
  <c r="AF162" i="96"/>
  <c r="AE8" i="104"/>
  <c r="Y8" i="104"/>
  <c r="AM7" i="53"/>
  <c r="T7" i="53"/>
  <c r="N7" i="53"/>
  <c r="AF498" i="96"/>
  <c r="AU5" i="96"/>
  <c r="AV5" i="96"/>
  <c r="AF473" i="96"/>
  <c r="Z473" i="96"/>
  <c r="AL36" i="102"/>
  <c r="AJ36" i="102"/>
  <c r="Z6" i="96"/>
  <c r="AF6" i="96"/>
  <c r="AG159" i="104"/>
  <c r="AA159" i="104"/>
  <c r="AF428" i="104"/>
  <c r="Z428" i="104"/>
  <c r="AE306" i="96"/>
  <c r="Y306" i="96"/>
  <c r="AF417" i="104"/>
  <c r="Z417" i="104"/>
  <c r="AF63" i="104"/>
  <c r="Z63" i="104"/>
  <c r="AL53" i="102"/>
  <c r="N154" i="100"/>
  <c r="K154" i="100"/>
  <c r="AG119" i="104"/>
  <c r="AA119" i="104"/>
  <c r="AE311" i="104"/>
  <c r="Y311" i="104"/>
  <c r="AL11" i="53"/>
  <c r="AJ11" i="53"/>
  <c r="AL32" i="54"/>
  <c r="AJ32" i="54"/>
  <c r="N63" i="100"/>
  <c r="K63" i="100"/>
  <c r="AF20" i="54"/>
  <c r="AP20" i="54"/>
  <c r="N118" i="100"/>
  <c r="K118" i="100"/>
  <c r="AG596" i="104"/>
  <c r="AA596" i="104"/>
  <c r="AF38" i="104"/>
  <c r="Z38" i="104"/>
  <c r="AF16" i="54"/>
  <c r="AP16" i="54"/>
  <c r="AU3" i="104"/>
  <c r="AU8" i="104"/>
  <c r="AV8" i="104"/>
  <c r="AG455" i="104"/>
  <c r="AA455" i="104"/>
  <c r="N94" i="107"/>
  <c r="N42" i="107"/>
  <c r="AE41" i="96"/>
  <c r="AL23" i="102"/>
  <c r="AJ23" i="102"/>
  <c r="AF581" i="104"/>
  <c r="Z581" i="104"/>
  <c r="N60" i="107"/>
  <c r="N8" i="107"/>
  <c r="N539" i="100"/>
  <c r="K539" i="100"/>
  <c r="AF294" i="104"/>
  <c r="Z294" i="104"/>
  <c r="AG316" i="104"/>
  <c r="AA316" i="104"/>
  <c r="AO16" i="102"/>
  <c r="AE16" i="102"/>
  <c r="AG16" i="102"/>
  <c r="AF351" i="104"/>
  <c r="Z351" i="104"/>
  <c r="Z554" i="96"/>
  <c r="AF554" i="96"/>
  <c r="AF598" i="104"/>
  <c r="Z598" i="104"/>
  <c r="AG566" i="104"/>
  <c r="AA566" i="104"/>
  <c r="AF371" i="104"/>
  <c r="Z371" i="104"/>
  <c r="N454" i="100"/>
  <c r="K454" i="100"/>
  <c r="AF507" i="104"/>
  <c r="Z507" i="104"/>
  <c r="AF593" i="104"/>
  <c r="Z593" i="104"/>
  <c r="AG287" i="104"/>
  <c r="AA287" i="104"/>
  <c r="I12" i="101"/>
  <c r="G12" i="101"/>
  <c r="N243" i="100"/>
  <c r="K243" i="100"/>
  <c r="AF156" i="96"/>
  <c r="AG488" i="104"/>
  <c r="AA488" i="104"/>
  <c r="N43" i="53"/>
  <c r="T43" i="53"/>
  <c r="AM43" i="53"/>
  <c r="AE211" i="97"/>
  <c r="Z211" i="97"/>
  <c r="AF532" i="96"/>
  <c r="AE141" i="96"/>
  <c r="AM13" i="53"/>
  <c r="T13" i="53"/>
  <c r="N13" i="53"/>
  <c r="AG226" i="104"/>
  <c r="AA226" i="104"/>
  <c r="N41" i="107"/>
  <c r="N93" i="107"/>
  <c r="N37" i="107"/>
  <c r="N89" i="107"/>
  <c r="AF564" i="96"/>
  <c r="AQ2" i="104"/>
  <c r="AJ19" i="52"/>
  <c r="AF19" i="107"/>
  <c r="AF71" i="107"/>
  <c r="AG275" i="104"/>
  <c r="AA275" i="104"/>
  <c r="AE40" i="96"/>
  <c r="T53" i="52"/>
  <c r="AF288" i="96"/>
  <c r="AF501" i="96"/>
  <c r="N318" i="100"/>
  <c r="K318" i="100"/>
  <c r="AF427" i="104"/>
  <c r="Z427" i="104"/>
  <c r="AF299" i="96"/>
  <c r="Z299" i="96"/>
  <c r="N33" i="102"/>
  <c r="T33" i="102"/>
  <c r="AM33" i="102"/>
  <c r="AF362" i="104"/>
  <c r="Z362" i="104"/>
  <c r="M28" i="100"/>
  <c r="J28" i="100"/>
  <c r="AF548" i="104"/>
  <c r="Z548" i="104"/>
  <c r="AG50" i="54"/>
  <c r="AE50" i="54"/>
  <c r="AO50" i="54"/>
  <c r="AF34" i="54"/>
  <c r="AP34" i="54"/>
  <c r="N110" i="100"/>
  <c r="K110" i="100"/>
  <c r="Z598" i="96"/>
  <c r="AF598" i="96"/>
  <c r="AF57" i="96"/>
  <c r="AG476" i="104"/>
  <c r="AA476" i="104"/>
  <c r="N71" i="107"/>
  <c r="N19" i="107"/>
  <c r="AG581" i="104"/>
  <c r="AA581" i="104"/>
  <c r="N76" i="107"/>
  <c r="N24" i="107"/>
  <c r="S24" i="123"/>
  <c r="AI31" i="103"/>
  <c r="AL31" i="103"/>
  <c r="AB31" i="103"/>
  <c r="AL16" i="53"/>
  <c r="AJ16" i="53"/>
  <c r="AF60" i="107"/>
  <c r="AF8" i="107"/>
  <c r="AE185" i="104"/>
  <c r="Y185" i="104"/>
  <c r="AF591" i="104"/>
  <c r="Z591" i="104"/>
  <c r="AG636" i="104"/>
  <c r="AA636" i="104"/>
  <c r="Y41" i="96"/>
  <c r="J41" i="100"/>
  <c r="M41" i="100"/>
  <c r="AZ16" i="102"/>
  <c r="AX16" i="102"/>
  <c r="AF34" i="96"/>
  <c r="AM45" i="53"/>
  <c r="T45" i="53"/>
  <c r="N45" i="53"/>
  <c r="AE228" i="97"/>
  <c r="Z228" i="97"/>
  <c r="G19" i="101"/>
  <c r="D19" i="101"/>
  <c r="F19" i="101"/>
  <c r="Q35" i="123"/>
  <c r="AM16" i="52"/>
  <c r="T35" i="123"/>
  <c r="Z532" i="96"/>
  <c r="K532" i="100"/>
  <c r="N532" i="100"/>
  <c r="AG72" i="104"/>
  <c r="AA72" i="104"/>
  <c r="Z243" i="96"/>
  <c r="AF243" i="96"/>
  <c r="Z156" i="96"/>
  <c r="K156" i="100"/>
  <c r="N156" i="100"/>
  <c r="Y141" i="96"/>
  <c r="J141" i="100"/>
  <c r="M141" i="100"/>
  <c r="Z231" i="96"/>
  <c r="AF231" i="96"/>
  <c r="AK12" i="102"/>
  <c r="AK12" i="53"/>
  <c r="AK12" i="51"/>
  <c r="AK12" i="52"/>
  <c r="AK12" i="54"/>
  <c r="AE226" i="97"/>
  <c r="Z226" i="97"/>
  <c r="AF43" i="54"/>
  <c r="AP43" i="54"/>
  <c r="AP41" i="53"/>
  <c r="AF41" i="53"/>
  <c r="AC41" i="107"/>
  <c r="AC93" i="107"/>
  <c r="AF440" i="96"/>
  <c r="Z440" i="96"/>
  <c r="Z109" i="96"/>
  <c r="AF109" i="96"/>
  <c r="AE120" i="97"/>
  <c r="Z120" i="97"/>
  <c r="AG63" i="104"/>
  <c r="AA63" i="104"/>
  <c r="Z564" i="96"/>
  <c r="K564" i="100"/>
  <c r="N564" i="100"/>
  <c r="AE229" i="97"/>
  <c r="Z229" i="97"/>
  <c r="Z155" i="96"/>
  <c r="AF155" i="96"/>
  <c r="AF3" i="96"/>
  <c r="Y40" i="96"/>
  <c r="J40" i="100"/>
  <c r="M40" i="100"/>
  <c r="AO53" i="53"/>
  <c r="AO55" i="53"/>
  <c r="Z288" i="96"/>
  <c r="K288" i="100"/>
  <c r="N288" i="100"/>
  <c r="N290" i="100"/>
  <c r="K290" i="100"/>
  <c r="AL50" i="54"/>
  <c r="AJ50" i="54"/>
  <c r="Z589" i="96"/>
  <c r="AF589" i="96"/>
  <c r="AG100" i="107"/>
  <c r="AG48" i="107"/>
  <c r="AM38" i="54"/>
  <c r="T38" i="54"/>
  <c r="N38" i="54"/>
  <c r="AF8" i="54"/>
  <c r="AP8" i="54"/>
  <c r="AG47" i="104"/>
  <c r="AA47" i="104"/>
  <c r="AG333" i="104"/>
  <c r="AA333" i="104"/>
  <c r="Z28" i="96"/>
  <c r="AF28" i="96"/>
  <c r="AG477" i="104"/>
  <c r="AA477" i="104"/>
  <c r="AF228" i="96"/>
  <c r="AF459" i="96"/>
  <c r="Z459" i="96"/>
  <c r="AG567" i="104"/>
  <c r="AA567" i="104"/>
  <c r="AG514" i="104"/>
  <c r="AA514" i="104"/>
  <c r="AF326" i="96"/>
  <c r="AU3" i="96"/>
  <c r="AV3" i="96"/>
  <c r="AE312" i="96"/>
  <c r="Y312" i="96"/>
  <c r="AF438" i="104"/>
  <c r="Z438" i="104"/>
  <c r="AE50" i="104"/>
  <c r="Y50" i="104"/>
  <c r="AL31" i="54"/>
  <c r="AJ31" i="54"/>
  <c r="AF290" i="96"/>
  <c r="Z290" i="96"/>
  <c r="AF32" i="102"/>
  <c r="AP32" i="102"/>
  <c r="AD30" i="97"/>
  <c r="Y30" i="97"/>
  <c r="AF492" i="96"/>
  <c r="Z492" i="96"/>
  <c r="AE138" i="97"/>
  <c r="Z138" i="97"/>
  <c r="AG17" i="102"/>
  <c r="AE17" i="102"/>
  <c r="AO17" i="102"/>
  <c r="AE141" i="104"/>
  <c r="Y141" i="104"/>
  <c r="Z359" i="96"/>
  <c r="AF359" i="96"/>
  <c r="AP53" i="53"/>
  <c r="AP55" i="53"/>
  <c r="N248" i="100"/>
  <c r="K248" i="100"/>
  <c r="AG592" i="104"/>
  <c r="AA592" i="104"/>
  <c r="AE3" i="96"/>
  <c r="AC62" i="107"/>
  <c r="AP10" i="53"/>
  <c r="AF10" i="53"/>
  <c r="AC10" i="107"/>
  <c r="AE42" i="104"/>
  <c r="Y42" i="104"/>
  <c r="AC81" i="107"/>
  <c r="AP29" i="53"/>
  <c r="AF29" i="53"/>
  <c r="AC29" i="107"/>
  <c r="AE225" i="97"/>
  <c r="Z225" i="97"/>
  <c r="AF631" i="104"/>
  <c r="Z631" i="104"/>
  <c r="N117" i="100"/>
  <c r="K117" i="100"/>
  <c r="AG459" i="104"/>
  <c r="AA459" i="104"/>
  <c r="N79" i="107"/>
  <c r="N27" i="107"/>
  <c r="N519" i="100"/>
  <c r="K519" i="100"/>
  <c r="M258" i="100"/>
  <c r="J258" i="100"/>
  <c r="AF296" i="96"/>
  <c r="Z296" i="96"/>
  <c r="AG530" i="104"/>
  <c r="AA530" i="104"/>
  <c r="Z80" i="96"/>
  <c r="AF80" i="96"/>
  <c r="AE108" i="97"/>
  <c r="Z108" i="97"/>
  <c r="AF364" i="104"/>
  <c r="Z364" i="104"/>
  <c r="AP42" i="53"/>
  <c r="AF42" i="53"/>
  <c r="AC42" i="107"/>
  <c r="AC94" i="107"/>
  <c r="Z273" i="96"/>
  <c r="AF273" i="96"/>
  <c r="L63" i="51"/>
  <c r="Z248" i="96"/>
  <c r="AF248" i="96"/>
  <c r="AP55" i="102"/>
  <c r="AP53" i="102"/>
  <c r="M251" i="100"/>
  <c r="J251" i="100"/>
  <c r="AF162" i="104"/>
  <c r="Z162" i="104"/>
  <c r="N69" i="107"/>
  <c r="N17" i="107"/>
  <c r="AE75" i="97"/>
  <c r="Z75" i="97"/>
  <c r="AF485" i="104"/>
  <c r="Z485" i="104"/>
  <c r="AE107" i="97"/>
  <c r="Z107" i="97"/>
  <c r="M42" i="100"/>
  <c r="J42" i="100"/>
  <c r="AF635" i="104"/>
  <c r="Z635" i="104"/>
  <c r="AG292" i="104"/>
  <c r="AA292" i="104"/>
  <c r="AG81" i="107"/>
  <c r="AG29" i="107"/>
  <c r="AO9" i="53"/>
  <c r="AE9" i="53"/>
  <c r="AG9" i="53"/>
  <c r="AF530" i="104"/>
  <c r="Z530" i="104"/>
  <c r="AB60" i="107"/>
  <c r="AB8" i="107"/>
  <c r="AL51" i="102"/>
  <c r="AJ51" i="102"/>
  <c r="AF44" i="102"/>
  <c r="AP44" i="102"/>
  <c r="N50" i="53"/>
  <c r="T50" i="53"/>
  <c r="AM50" i="53"/>
  <c r="AF242" i="104"/>
  <c r="Z242" i="104"/>
  <c r="AF483" i="96"/>
  <c r="Z483" i="96"/>
  <c r="Y258" i="96"/>
  <c r="AE258" i="96"/>
  <c r="AG504" i="104"/>
  <c r="AA504" i="104"/>
  <c r="AM20" i="54"/>
  <c r="T20" i="54"/>
  <c r="N20" i="54"/>
  <c r="N421" i="100"/>
  <c r="K421" i="100"/>
  <c r="AL53" i="52"/>
  <c r="AG47" i="102"/>
  <c r="AE47" i="102"/>
  <c r="AO47" i="102"/>
  <c r="AB12" i="100"/>
  <c r="AL46" i="52"/>
  <c r="AB28" i="103"/>
  <c r="AL28" i="103"/>
  <c r="AI28" i="103"/>
  <c r="AE5" i="104"/>
  <c r="Y5" i="104"/>
  <c r="N362" i="100"/>
  <c r="K362" i="100"/>
  <c r="AG44" i="104"/>
  <c r="AA44" i="104"/>
  <c r="AF555" i="104"/>
  <c r="Z555" i="104"/>
  <c r="AG181" i="104"/>
  <c r="AA181" i="104"/>
  <c r="AM5" i="102"/>
  <c r="N5" i="102"/>
  <c r="T5" i="102"/>
  <c r="T53" i="102"/>
  <c r="AF357" i="104"/>
  <c r="Z357" i="104"/>
  <c r="AG454" i="104"/>
  <c r="AA454" i="104"/>
  <c r="AF628" i="104"/>
  <c r="Z628" i="104"/>
  <c r="AF504" i="96"/>
  <c r="AF287" i="104"/>
  <c r="Z287" i="104"/>
  <c r="AE307" i="104"/>
  <c r="Y307" i="104"/>
  <c r="AF535" i="104"/>
  <c r="Z535" i="104"/>
  <c r="AF494" i="96"/>
  <c r="Z494" i="96"/>
  <c r="AK48" i="53"/>
  <c r="AK48" i="54"/>
  <c r="AK48" i="51"/>
  <c r="AK48" i="52"/>
  <c r="AK48" i="102"/>
  <c r="Z340" i="96"/>
  <c r="K340" i="100"/>
  <c r="N340" i="100"/>
  <c r="AO21" i="54"/>
  <c r="AE21" i="54"/>
  <c r="AG21" i="54"/>
  <c r="N101" i="107"/>
  <c r="N49" i="107"/>
  <c r="AF109" i="104"/>
  <c r="Z109" i="104"/>
  <c r="AF342" i="104"/>
  <c r="Z342" i="104"/>
  <c r="AF127" i="104"/>
  <c r="Z127" i="104"/>
  <c r="Y145" i="96"/>
  <c r="AE145" i="96"/>
  <c r="AL27" i="53"/>
  <c r="AJ27" i="53"/>
  <c r="Z118" i="96"/>
  <c r="AF118" i="96"/>
  <c r="AP5" i="102"/>
  <c r="AF5" i="102"/>
  <c r="AD7" i="97"/>
  <c r="Y7" i="97"/>
  <c r="AF637" i="104"/>
  <c r="Z637" i="104"/>
  <c r="AF387" i="104"/>
  <c r="Z387" i="104"/>
  <c r="AE48" i="97"/>
  <c r="Z48" i="97"/>
  <c r="Y251" i="96"/>
  <c r="AE251" i="96"/>
  <c r="AF478" i="104"/>
  <c r="Z478" i="104"/>
  <c r="Z578" i="96"/>
  <c r="AF578" i="96"/>
  <c r="AF434" i="96"/>
  <c r="Z434" i="96"/>
  <c r="AG537" i="104"/>
  <c r="AA537" i="104"/>
  <c r="AG111" i="104"/>
  <c r="AA111" i="104"/>
  <c r="AE252" i="104"/>
  <c r="Y252" i="104"/>
  <c r="AZ8" i="102"/>
  <c r="AX8" i="102"/>
  <c r="AG626" i="104"/>
  <c r="AA626" i="104"/>
  <c r="M198" i="100"/>
  <c r="J198" i="100"/>
  <c r="AL16" i="102"/>
  <c r="AJ16" i="102"/>
  <c r="AJ35" i="52"/>
  <c r="AJ35" i="54"/>
  <c r="AL35" i="54"/>
  <c r="AK22" i="102"/>
  <c r="AK22" i="53"/>
  <c r="AK22" i="54"/>
  <c r="N358" i="100"/>
  <c r="K358" i="100"/>
  <c r="M96" i="100"/>
  <c r="J96" i="100"/>
  <c r="AD96" i="97"/>
  <c r="Y96" i="97"/>
  <c r="AF595" i="104"/>
  <c r="Z595" i="104"/>
  <c r="AE73" i="97"/>
  <c r="Z73" i="97"/>
  <c r="AF468" i="96"/>
  <c r="Z468" i="96"/>
  <c r="AF166" i="96"/>
  <c r="AM37" i="52"/>
  <c r="AX37" i="102"/>
  <c r="AZ37" i="102"/>
  <c r="AE197" i="97"/>
  <c r="Z197" i="97"/>
  <c r="AG550" i="104"/>
  <c r="AA550" i="104"/>
  <c r="AZ9" i="102"/>
  <c r="AX9" i="102"/>
  <c r="N408" i="100"/>
  <c r="K408" i="100"/>
  <c r="AF607" i="104"/>
  <c r="Z607" i="104"/>
  <c r="AJ46" i="52"/>
  <c r="AJ46" i="54"/>
  <c r="AL46" i="54"/>
  <c r="AF69" i="96"/>
  <c r="AF168" i="104"/>
  <c r="Z168" i="104"/>
  <c r="N549" i="100"/>
  <c r="K549" i="100"/>
  <c r="AG5" i="53"/>
  <c r="AE53" i="53"/>
  <c r="AG231" i="104"/>
  <c r="AA231" i="104"/>
  <c r="AG397" i="104"/>
  <c r="AA397" i="104"/>
  <c r="AF608" i="96"/>
  <c r="AG632" i="104"/>
  <c r="AA632" i="104"/>
  <c r="N176" i="100"/>
  <c r="K176" i="100"/>
  <c r="AF624" i="104"/>
  <c r="Z624" i="104"/>
  <c r="AF397" i="104"/>
  <c r="Z397" i="104"/>
  <c r="AF409" i="96"/>
  <c r="Z409" i="96"/>
  <c r="M84" i="100"/>
  <c r="J84" i="100"/>
  <c r="AF23" i="54"/>
  <c r="AP23" i="54"/>
  <c r="N567" i="100"/>
  <c r="K567" i="100"/>
  <c r="AF294" i="96"/>
  <c r="Z294" i="96"/>
  <c r="AO46" i="54"/>
  <c r="AE46" i="54"/>
  <c r="AG46" i="54"/>
  <c r="AL45" i="54"/>
  <c r="AJ45" i="54"/>
  <c r="Z63" i="96"/>
  <c r="AF63" i="96"/>
  <c r="AF557" i="96"/>
  <c r="AF350" i="104"/>
  <c r="Z350" i="104"/>
  <c r="AG445" i="104"/>
  <c r="AA445" i="104"/>
  <c r="M199" i="100"/>
  <c r="J199" i="100"/>
  <c r="AF111" i="96"/>
  <c r="AF396" i="96"/>
  <c r="Z396" i="96"/>
  <c r="AM31" i="53"/>
  <c r="T31" i="53"/>
  <c r="N31" i="53"/>
  <c r="AP27" i="54"/>
  <c r="AF27" i="54"/>
  <c r="M185" i="100"/>
  <c r="J185" i="100"/>
  <c r="AD54" i="97"/>
  <c r="Y54" i="97"/>
  <c r="AF348" i="104"/>
  <c r="Z348" i="104"/>
  <c r="AE215" i="97"/>
  <c r="Z215" i="97"/>
  <c r="AZ35" i="102"/>
  <c r="AX35" i="102"/>
  <c r="W11" i="109"/>
  <c r="AF224" i="96"/>
  <c r="AE140" i="97"/>
  <c r="Z140" i="97"/>
  <c r="S11" i="109"/>
  <c r="AZ25" i="102"/>
  <c r="AX25" i="102"/>
  <c r="Y3" i="96"/>
  <c r="J3" i="100"/>
  <c r="M3" i="100"/>
  <c r="AF378" i="96"/>
  <c r="Z378" i="96"/>
  <c r="Z228" i="96"/>
  <c r="K228" i="100"/>
  <c r="N228" i="100"/>
  <c r="AG48" i="104"/>
  <c r="AA48" i="104"/>
  <c r="Z110" i="96"/>
  <c r="AF110" i="96"/>
  <c r="AF58" i="102"/>
  <c r="AM53" i="102"/>
  <c r="AE58" i="102"/>
  <c r="AG298" i="104"/>
  <c r="AA298" i="104"/>
  <c r="AF406" i="104"/>
  <c r="Z406" i="104"/>
  <c r="AF628" i="96"/>
  <c r="Z628" i="96"/>
  <c r="N53" i="102"/>
  <c r="N65" i="51"/>
  <c r="AF390" i="96"/>
  <c r="Z390" i="96"/>
  <c r="Z608" i="96"/>
  <c r="K608" i="100"/>
  <c r="N608" i="100"/>
  <c r="Y42" i="96"/>
  <c r="AE42" i="96"/>
  <c r="AO38" i="54"/>
  <c r="AE38" i="54"/>
  <c r="AG38" i="54"/>
  <c r="AF161" i="104"/>
  <c r="Z161" i="104"/>
  <c r="AO13" i="53"/>
  <c r="AE13" i="53"/>
  <c r="AG13" i="53"/>
  <c r="AE62" i="97"/>
  <c r="Z62" i="97"/>
  <c r="Z19" i="96"/>
  <c r="AF19" i="96"/>
  <c r="Z557" i="96"/>
  <c r="K557" i="100"/>
  <c r="N557" i="100"/>
  <c r="N630" i="100"/>
  <c r="V12" i="100"/>
  <c r="AJ12" i="100"/>
  <c r="AF12" i="54"/>
  <c r="AP12" i="54"/>
  <c r="Z240" i="96"/>
  <c r="AF240" i="96"/>
  <c r="Z117" i="96"/>
  <c r="AF117" i="96"/>
  <c r="Z111" i="96"/>
  <c r="K111" i="100"/>
  <c r="N111" i="100"/>
  <c r="AG496" i="104"/>
  <c r="AA496" i="104"/>
  <c r="AF80" i="104"/>
  <c r="Z80" i="104"/>
  <c r="AG483" i="104"/>
  <c r="AA483" i="104"/>
  <c r="AF334" i="96"/>
  <c r="AG564" i="104"/>
  <c r="AA564" i="104"/>
  <c r="AG223" i="104"/>
  <c r="AA223" i="104"/>
  <c r="N369" i="100"/>
  <c r="K369" i="100"/>
  <c r="AF335" i="96"/>
  <c r="AF67" i="107"/>
  <c r="AF15" i="107"/>
  <c r="Y185" i="96"/>
  <c r="AE185" i="96"/>
  <c r="N321" i="100"/>
  <c r="K321" i="100"/>
  <c r="AZ6" i="102"/>
  <c r="AX6" i="102"/>
  <c r="AE143" i="97"/>
  <c r="Z143" i="97"/>
  <c r="AG220" i="104"/>
  <c r="AA220" i="104"/>
  <c r="N599" i="100"/>
  <c r="K599" i="100"/>
  <c r="N607" i="100"/>
  <c r="K607" i="100"/>
  <c r="AF293" i="104"/>
  <c r="Z293" i="104"/>
  <c r="AZ18" i="102"/>
  <c r="AX18" i="102"/>
  <c r="AG479" i="104"/>
  <c r="AA479" i="104"/>
  <c r="AL21" i="53"/>
  <c r="AJ21" i="53"/>
  <c r="AE61" i="104"/>
  <c r="Y61" i="104"/>
  <c r="AF365" i="104"/>
  <c r="Z365" i="104"/>
  <c r="M144" i="100"/>
  <c r="J144" i="100"/>
  <c r="AF13" i="54"/>
  <c r="AP13" i="54"/>
  <c r="AF519" i="104"/>
  <c r="Z519" i="104"/>
  <c r="AF451" i="104"/>
  <c r="Z451" i="104"/>
  <c r="AA38" i="104"/>
  <c r="AG38" i="104"/>
  <c r="AP2" i="104"/>
  <c r="AP7" i="104"/>
  <c r="AQ7" i="104"/>
  <c r="AG51" i="104"/>
  <c r="AA51" i="104"/>
  <c r="AE313" i="96"/>
  <c r="Y313" i="96"/>
  <c r="AE250" i="96"/>
  <c r="T19" i="52"/>
  <c r="AO19" i="102"/>
  <c r="AE19" i="102"/>
  <c r="AG19" i="102"/>
  <c r="AE244" i="97"/>
  <c r="Z244" i="97"/>
  <c r="D13" i="109"/>
  <c r="AP33" i="53"/>
  <c r="AF33" i="53"/>
  <c r="AC33" i="107"/>
  <c r="AC85" i="107"/>
  <c r="AF39" i="54"/>
  <c r="AP39" i="54"/>
  <c r="AF560" i="96"/>
  <c r="AC98" i="107"/>
  <c r="AC46" i="107"/>
  <c r="AP46" i="53"/>
  <c r="AF46" i="53"/>
  <c r="AG78" i="104"/>
  <c r="AA78" i="104"/>
  <c r="AF146" i="104"/>
  <c r="Z146" i="104"/>
  <c r="AG517" i="104"/>
  <c r="AA517" i="104"/>
  <c r="AE112" i="97"/>
  <c r="Z112" i="97"/>
  <c r="AF334" i="104"/>
  <c r="Z334" i="104"/>
  <c r="N314" i="100"/>
  <c r="K314" i="100"/>
  <c r="AF47" i="54"/>
  <c r="AP47" i="54"/>
  <c r="AF48" i="104"/>
  <c r="Z48" i="104"/>
  <c r="N179" i="100"/>
  <c r="K179" i="100"/>
  <c r="AF456" i="104"/>
  <c r="Z456" i="104"/>
  <c r="AG531" i="104"/>
  <c r="AA531" i="104"/>
  <c r="AF218" i="104"/>
  <c r="Z218" i="104"/>
  <c r="AG50" i="104"/>
  <c r="AA50" i="104"/>
  <c r="D49" i="5"/>
  <c r="D62" i="5"/>
  <c r="D48" i="5"/>
  <c r="D52" i="5"/>
  <c r="N338" i="100"/>
  <c r="K338" i="100"/>
  <c r="AG102" i="107"/>
  <c r="AG50" i="107"/>
  <c r="AF514" i="96"/>
  <c r="AG92" i="107"/>
  <c r="AG40" i="107"/>
  <c r="AG43" i="54"/>
  <c r="AE43" i="54"/>
  <c r="AO43" i="54"/>
  <c r="S5" i="123"/>
  <c r="AB8" i="103"/>
  <c r="AL8" i="103"/>
  <c r="AI8" i="103"/>
  <c r="AF156" i="104"/>
  <c r="Z156" i="104"/>
  <c r="AE194" i="97"/>
  <c r="Z194" i="97"/>
  <c r="N611" i="100"/>
  <c r="K611" i="100"/>
  <c r="AF282" i="96"/>
  <c r="AM48" i="54"/>
  <c r="T48" i="54"/>
  <c r="N48" i="54"/>
  <c r="N316" i="100"/>
  <c r="K316" i="100"/>
  <c r="AD50" i="97"/>
  <c r="Y50" i="97"/>
  <c r="AG513" i="104"/>
  <c r="AA513" i="104"/>
  <c r="Z634" i="96"/>
  <c r="AF634" i="96"/>
  <c r="AF40" i="54"/>
  <c r="AP40" i="54"/>
  <c r="N7" i="102"/>
  <c r="T7" i="102"/>
  <c r="AM7" i="102"/>
  <c r="AE100" i="97"/>
  <c r="Z100" i="97"/>
  <c r="AF474" i="104"/>
  <c r="Z474" i="104"/>
  <c r="AF88" i="107"/>
  <c r="AF36" i="107"/>
  <c r="Z16" i="96"/>
  <c r="AF16" i="96"/>
  <c r="Y28" i="96"/>
  <c r="AE28" i="96"/>
  <c r="AG228" i="104"/>
  <c r="AA228" i="104"/>
  <c r="AF105" i="104"/>
  <c r="Z105" i="104"/>
  <c r="N30" i="53"/>
  <c r="T30" i="53"/>
  <c r="AM30" i="53"/>
  <c r="N478" i="100"/>
  <c r="K478" i="100"/>
  <c r="Z154" i="96"/>
  <c r="AF154" i="96"/>
  <c r="AF17" i="102"/>
  <c r="AP17" i="102"/>
  <c r="AD35" i="97"/>
  <c r="Y35" i="97"/>
  <c r="M58" i="100"/>
  <c r="J58" i="100"/>
  <c r="N485" i="100"/>
  <c r="K485" i="100"/>
  <c r="Z3" i="96"/>
  <c r="K3" i="100"/>
  <c r="N3" i="100"/>
  <c r="AE22" i="97"/>
  <c r="Z22" i="97"/>
  <c r="AF346" i="96"/>
  <c r="M98" i="100"/>
  <c r="J98" i="100"/>
  <c r="AK47" i="102"/>
  <c r="AK47" i="54"/>
  <c r="AK47" i="51"/>
  <c r="AK47" i="52"/>
  <c r="AK47" i="53"/>
  <c r="AF323" i="96"/>
  <c r="Z323" i="96"/>
  <c r="Z567" i="96"/>
  <c r="AF567" i="96"/>
  <c r="N594" i="100"/>
  <c r="K594" i="100"/>
  <c r="N53" i="53"/>
  <c r="Z162" i="96"/>
  <c r="K162" i="100"/>
  <c r="N162" i="100"/>
  <c r="AP46" i="102"/>
  <c r="AF46" i="102"/>
  <c r="AF320" i="104"/>
  <c r="Z320" i="104"/>
  <c r="AK50" i="54"/>
  <c r="AK50" i="53"/>
  <c r="AK50" i="51"/>
  <c r="AK50" i="52"/>
  <c r="AK50" i="102"/>
  <c r="AG230" i="104"/>
  <c r="AA230" i="104"/>
  <c r="AF62" i="104"/>
  <c r="Z62" i="104"/>
  <c r="AF465" i="96"/>
  <c r="Z465" i="96"/>
  <c r="N126" i="100"/>
  <c r="K126" i="100"/>
  <c r="AK8" i="104"/>
  <c r="AL8" i="104"/>
  <c r="N168" i="100"/>
  <c r="K168" i="100"/>
  <c r="AE58" i="52"/>
  <c r="AM53" i="52"/>
  <c r="AF58" i="52"/>
  <c r="AF64" i="104"/>
  <c r="Z64" i="104"/>
  <c r="AO10" i="102"/>
  <c r="AE10" i="102"/>
  <c r="AG10" i="102"/>
  <c r="Z57" i="96"/>
  <c r="K57" i="100"/>
  <c r="N57" i="100"/>
  <c r="Y198" i="96"/>
  <c r="AE198" i="96"/>
  <c r="Z176" i="96"/>
  <c r="AF176" i="96"/>
  <c r="AG12" i="54"/>
  <c r="AE12" i="54"/>
  <c r="AO12" i="54"/>
  <c r="Y250" i="96"/>
  <c r="J250" i="100"/>
  <c r="M250" i="100"/>
  <c r="AO22" i="54"/>
  <c r="AE22" i="54"/>
  <c r="AG22" i="54"/>
  <c r="AE309" i="96"/>
  <c r="Y309" i="96"/>
  <c r="N286" i="100"/>
  <c r="K286" i="100"/>
  <c r="AF230" i="104"/>
  <c r="Z230" i="104"/>
  <c r="AE266" i="96"/>
  <c r="D7" i="109"/>
  <c r="X7" i="109"/>
  <c r="X13" i="109"/>
  <c r="AF321" i="96"/>
  <c r="Z321" i="96"/>
  <c r="Z560" i="96"/>
  <c r="K560" i="100"/>
  <c r="N560" i="100"/>
  <c r="AG52" i="104"/>
  <c r="AA52" i="104"/>
  <c r="N320" i="100"/>
  <c r="K320" i="100"/>
  <c r="AD34" i="97"/>
  <c r="Y34" i="97"/>
  <c r="AO44" i="53"/>
  <c r="AE44" i="53"/>
  <c r="AG44" i="53"/>
  <c r="Y199" i="96"/>
  <c r="AE199" i="96"/>
  <c r="AD9" i="97"/>
  <c r="Y9" i="97"/>
  <c r="AG434" i="104"/>
  <c r="AA434" i="104"/>
  <c r="M310" i="100"/>
  <c r="J310" i="100"/>
  <c r="AF470" i="104"/>
  <c r="Z470" i="104"/>
  <c r="AF472" i="104"/>
  <c r="Z472" i="104"/>
  <c r="N397" i="100"/>
  <c r="K397" i="100"/>
  <c r="AF392" i="96"/>
  <c r="Z392" i="96"/>
  <c r="AF67" i="104"/>
  <c r="Z67" i="104"/>
  <c r="N20" i="100"/>
  <c r="K20" i="100"/>
  <c r="AF246" i="104"/>
  <c r="Z246" i="104"/>
  <c r="N545" i="100"/>
  <c r="K545" i="100"/>
  <c r="N424" i="100"/>
  <c r="K424" i="100"/>
  <c r="Z514" i="96"/>
  <c r="K514" i="100"/>
  <c r="N514" i="100"/>
  <c r="AF592" i="104"/>
  <c r="Z592" i="104"/>
  <c r="Z539" i="96"/>
  <c r="AF539" i="96"/>
  <c r="AM18" i="54"/>
  <c r="T18" i="54"/>
  <c r="N18" i="54"/>
  <c r="AF419" i="104"/>
  <c r="Z419" i="104"/>
  <c r="Z282" i="96"/>
  <c r="K282" i="100"/>
  <c r="N282" i="100"/>
  <c r="AE6" i="97"/>
  <c r="Z6" i="97"/>
  <c r="AL38" i="54"/>
  <c r="AJ38" i="54"/>
  <c r="AC75" i="107"/>
  <c r="AC23" i="107"/>
  <c r="AF23" i="53"/>
  <c r="AP23" i="53"/>
  <c r="AF566" i="96"/>
  <c r="AG83" i="107"/>
  <c r="AG31" i="107"/>
  <c r="AF523" i="104"/>
  <c r="Z523" i="104"/>
  <c r="AF37" i="102"/>
  <c r="AP37" i="102"/>
  <c r="AM25" i="102"/>
  <c r="T25" i="102"/>
  <c r="N25" i="102"/>
  <c r="AE184" i="97"/>
  <c r="Z184" i="97"/>
  <c r="AE30" i="97"/>
  <c r="Z30" i="97"/>
  <c r="Z504" i="96"/>
  <c r="K504" i="100"/>
  <c r="N504" i="100"/>
  <c r="Y134" i="96"/>
  <c r="AE134" i="96"/>
  <c r="AO25" i="54"/>
  <c r="AE25" i="54"/>
  <c r="AG25" i="54"/>
  <c r="AD37" i="97"/>
  <c r="Y37" i="97"/>
  <c r="AG314" i="104"/>
  <c r="AA314" i="104"/>
  <c r="AE45" i="104"/>
  <c r="Y45" i="104"/>
  <c r="Z501" i="96"/>
  <c r="K501" i="100"/>
  <c r="N501" i="100"/>
  <c r="AF381" i="104"/>
  <c r="Z381" i="104"/>
  <c r="AE193" i="104"/>
  <c r="Y193" i="104"/>
  <c r="AL10" i="102"/>
  <c r="AJ10" i="102"/>
  <c r="N585" i="100"/>
  <c r="K585" i="100"/>
  <c r="Y58" i="96"/>
  <c r="AE58" i="96"/>
  <c r="Y90" i="96"/>
  <c r="AE90" i="96"/>
  <c r="AG381" i="104"/>
  <c r="AA381" i="104"/>
  <c r="AL24" i="54"/>
  <c r="AJ24" i="54"/>
  <c r="Z346" i="96"/>
  <c r="K346" i="100"/>
  <c r="N346" i="100"/>
  <c r="Y98" i="96"/>
  <c r="AE98" i="96"/>
  <c r="N453" i="100"/>
  <c r="K453" i="100"/>
  <c r="AF48" i="54"/>
  <c r="AP48" i="54"/>
  <c r="N414" i="100"/>
  <c r="K414" i="100"/>
  <c r="AF37" i="104"/>
  <c r="Z37" i="104"/>
  <c r="AF370" i="104"/>
  <c r="Z370" i="104"/>
  <c r="T53" i="53"/>
  <c r="N5" i="53"/>
  <c r="T5" i="53"/>
  <c r="AM5" i="53"/>
  <c r="Z585" i="96"/>
  <c r="AF585" i="96"/>
  <c r="AE190" i="97"/>
  <c r="Z190" i="97"/>
  <c r="Y203" i="96"/>
  <c r="AE203" i="96"/>
  <c r="AP24" i="53"/>
  <c r="AF24" i="53"/>
  <c r="AC24" i="107"/>
  <c r="AC76" i="107"/>
  <c r="AF171" i="104"/>
  <c r="Z171" i="104"/>
  <c r="T53" i="54"/>
  <c r="AM5" i="54"/>
  <c r="N5" i="54"/>
  <c r="T5" i="54"/>
  <c r="AG437" i="104"/>
  <c r="AA437" i="104"/>
  <c r="AG540" i="104"/>
  <c r="AA540" i="104"/>
  <c r="AF86" i="107"/>
  <c r="AF34" i="107"/>
  <c r="AG283" i="104"/>
  <c r="AA283" i="104"/>
  <c r="N53" i="54"/>
  <c r="Z126" i="96"/>
  <c r="AF126" i="96"/>
  <c r="AO22" i="102"/>
  <c r="AE22" i="102"/>
  <c r="AG22" i="102"/>
  <c r="N439" i="100"/>
  <c r="K439" i="100"/>
  <c r="AF549" i="104"/>
  <c r="Z549" i="104"/>
  <c r="AE155" i="97"/>
  <c r="Z155" i="97"/>
  <c r="AE243" i="97"/>
  <c r="Z243" i="97"/>
  <c r="Z531" i="96"/>
  <c r="AF531" i="96"/>
  <c r="AE257" i="104"/>
  <c r="Y257" i="104"/>
  <c r="AG15" i="53"/>
  <c r="Y266" i="96"/>
  <c r="J266" i="100"/>
  <c r="M266" i="100"/>
  <c r="AG532" i="104"/>
  <c r="AA532" i="104"/>
  <c r="Z286" i="96"/>
  <c r="AF286" i="96"/>
  <c r="AG597" i="104"/>
  <c r="AA597" i="104"/>
  <c r="AF207" i="96"/>
  <c r="Y84" i="96"/>
  <c r="AE84" i="96"/>
  <c r="AG44" i="102"/>
  <c r="AE44" i="102"/>
  <c r="AO44" i="102"/>
  <c r="AZ24" i="102"/>
  <c r="AX24" i="102"/>
  <c r="AF528" i="104"/>
  <c r="Z528" i="104"/>
  <c r="R11" i="109"/>
  <c r="AD36" i="97"/>
  <c r="Y36" i="97"/>
  <c r="AF206" i="96"/>
  <c r="AF536" i="104"/>
  <c r="Z536" i="104"/>
  <c r="AM22" i="102"/>
  <c r="T22" i="102"/>
  <c r="N22" i="102"/>
  <c r="AF148" i="96"/>
  <c r="AE84" i="104"/>
  <c r="Y84" i="104"/>
  <c r="AE117" i="97"/>
  <c r="Z117" i="97"/>
  <c r="AM51" i="102"/>
  <c r="T51" i="102"/>
  <c r="N51" i="102"/>
  <c r="N510" i="100"/>
  <c r="K510" i="100"/>
  <c r="N61" i="100"/>
  <c r="K61" i="100"/>
  <c r="AE172" i="97"/>
  <c r="Z172" i="97"/>
  <c r="AF113" i="104"/>
  <c r="Z113" i="104"/>
  <c r="AG48" i="102"/>
  <c r="AE48" i="102"/>
  <c r="AO48" i="102"/>
  <c r="AF402" i="104"/>
  <c r="Z402" i="104"/>
  <c r="N610" i="100"/>
  <c r="K610" i="100"/>
  <c r="N42" i="100"/>
  <c r="K42" i="100"/>
  <c r="AE10" i="104"/>
  <c r="Y10" i="104"/>
  <c r="N349" i="100"/>
  <c r="K349" i="100"/>
  <c r="AC61" i="107"/>
  <c r="AC9" i="107"/>
  <c r="AF9" i="53"/>
  <c r="AP9" i="53"/>
  <c r="AE101" i="104"/>
  <c r="Y101" i="104"/>
  <c r="AG585" i="104"/>
  <c r="AA585" i="104"/>
  <c r="Z207" i="96"/>
  <c r="K207" i="100"/>
  <c r="N207" i="100"/>
  <c r="AF523" i="96"/>
  <c r="AM40" i="54"/>
  <c r="T40" i="54"/>
  <c r="N40" i="54"/>
  <c r="AG53" i="54"/>
  <c r="R15" i="109"/>
  <c r="AO5" i="53"/>
  <c r="AE5" i="53"/>
  <c r="AB5" i="107"/>
  <c r="AB57" i="107"/>
  <c r="R9" i="109"/>
  <c r="R14" i="109"/>
  <c r="AF566" i="104"/>
  <c r="Z566" i="104"/>
  <c r="AF163" i="96"/>
  <c r="AE248" i="97"/>
  <c r="Z248" i="97"/>
  <c r="Z206" i="96"/>
  <c r="K206" i="100"/>
  <c r="N206" i="100"/>
  <c r="N390" i="100"/>
  <c r="K390" i="100"/>
  <c r="M264" i="100"/>
  <c r="J264" i="100"/>
  <c r="AM16" i="102"/>
  <c r="T16" i="102"/>
  <c r="N16" i="102"/>
  <c r="Z148" i="96"/>
  <c r="K148" i="100"/>
  <c r="N148" i="100"/>
  <c r="AG13" i="54"/>
  <c r="AE13" i="54"/>
  <c r="AO13" i="54"/>
  <c r="AF217" i="96"/>
  <c r="AK53" i="53"/>
  <c r="AE247" i="97"/>
  <c r="Z247" i="97"/>
  <c r="AF547" i="104"/>
  <c r="Z547" i="104"/>
  <c r="N86" i="107"/>
  <c r="N34" i="107"/>
  <c r="M312" i="100"/>
  <c r="J312" i="100"/>
  <c r="AG396" i="104"/>
  <c r="AA396" i="104"/>
  <c r="AF76" i="104"/>
  <c r="Z76" i="104"/>
  <c r="AE156" i="97"/>
  <c r="Z156" i="97"/>
  <c r="AF416" i="104"/>
  <c r="Z416" i="104"/>
  <c r="AF466" i="96"/>
  <c r="Z466" i="96"/>
  <c r="AF620" i="104"/>
  <c r="Z620" i="104"/>
  <c r="AF626" i="96"/>
  <c r="Z626" i="96"/>
  <c r="Z103" i="96"/>
  <c r="AF103" i="96"/>
  <c r="Z611" i="96"/>
  <c r="AF611" i="96"/>
  <c r="AW11" i="102"/>
  <c r="AW12" i="102"/>
  <c r="AW7" i="102"/>
  <c r="AW8" i="102"/>
  <c r="AW10" i="102"/>
  <c r="AW6" i="102"/>
  <c r="AW5" i="102"/>
  <c r="AW9" i="102"/>
  <c r="AW13" i="102"/>
  <c r="G17" i="101"/>
  <c r="AW14" i="102"/>
  <c r="AL23" i="54"/>
  <c r="AJ23" i="54"/>
  <c r="AG586" i="104"/>
  <c r="AA586" i="104"/>
  <c r="AE218" i="97"/>
  <c r="Z218" i="97"/>
  <c r="AF21" i="104"/>
  <c r="Z21" i="104"/>
  <c r="AO15" i="53"/>
  <c r="AE15" i="53"/>
  <c r="AB15" i="107"/>
  <c r="AB67" i="107"/>
  <c r="AF282" i="104"/>
  <c r="Z282" i="104"/>
  <c r="N470" i="100"/>
  <c r="K470" i="100"/>
  <c r="N102" i="107"/>
  <c r="N50" i="107"/>
  <c r="Z594" i="96"/>
  <c r="AF594" i="96"/>
  <c r="N406" i="100"/>
  <c r="K406" i="100"/>
  <c r="AK29" i="54"/>
  <c r="AK29" i="102"/>
  <c r="AK29" i="51"/>
  <c r="AK29" i="52"/>
  <c r="AK29" i="53"/>
  <c r="Z523" i="96"/>
  <c r="K523" i="100"/>
  <c r="N523" i="100"/>
  <c r="AF558" i="104"/>
  <c r="Z558" i="104"/>
  <c r="AI7" i="103"/>
  <c r="AL7" i="103"/>
  <c r="AB7" i="103"/>
  <c r="AV6" i="104"/>
  <c r="Z630" i="104"/>
  <c r="AF630" i="104"/>
  <c r="AU6" i="104"/>
  <c r="AG20" i="53"/>
  <c r="AE236" i="97"/>
  <c r="Z236" i="97"/>
  <c r="AO8" i="53"/>
  <c r="AE8" i="53"/>
  <c r="AG8" i="53"/>
  <c r="Z217" i="96"/>
  <c r="K217" i="100"/>
  <c r="N217" i="100"/>
  <c r="N472" i="100"/>
  <c r="K472" i="100"/>
  <c r="Z168" i="96"/>
  <c r="AF168" i="96"/>
  <c r="AG276" i="104"/>
  <c r="AA276" i="104"/>
  <c r="AG337" i="104"/>
  <c r="AA337" i="104"/>
  <c r="Z519" i="96"/>
  <c r="AF519" i="96"/>
  <c r="AE48" i="104"/>
  <c r="Y48" i="104"/>
  <c r="N502" i="100"/>
  <c r="K502" i="100"/>
  <c r="AE123" i="97"/>
  <c r="Z123" i="97"/>
  <c r="AF237" i="104"/>
  <c r="Z237" i="104"/>
  <c r="N399" i="100"/>
  <c r="K399" i="100"/>
  <c r="AF30" i="102"/>
  <c r="AP30" i="102"/>
  <c r="AG450" i="104"/>
  <c r="AA450" i="104"/>
  <c r="AF424" i="96"/>
  <c r="Z424" i="96"/>
  <c r="AF596" i="104"/>
  <c r="Z596" i="104"/>
  <c r="AF484" i="104"/>
  <c r="Z484" i="104"/>
  <c r="AF488" i="96"/>
  <c r="Z488" i="96"/>
  <c r="AF564" i="104"/>
  <c r="Z564" i="104"/>
  <c r="AL21" i="102"/>
  <c r="AJ21" i="102"/>
  <c r="N462" i="100"/>
  <c r="K462" i="100"/>
  <c r="AF102" i="104"/>
  <c r="Z102" i="104"/>
  <c r="AL15" i="52"/>
  <c r="Z224" i="96"/>
  <c r="K224" i="100"/>
  <c r="N224" i="100"/>
  <c r="AF295" i="104"/>
  <c r="Z295" i="104"/>
  <c r="AG273" i="104"/>
  <c r="AA273" i="104"/>
  <c r="AF638" i="104"/>
  <c r="Z638" i="104"/>
  <c r="AE251" i="104"/>
  <c r="Y251" i="104"/>
  <c r="AF322" i="104"/>
  <c r="Z322" i="104"/>
  <c r="N150" i="100"/>
  <c r="K150" i="100"/>
  <c r="AO30" i="102"/>
  <c r="AE30" i="102"/>
  <c r="AG30" i="102"/>
  <c r="AC65" i="107"/>
  <c r="AP13" i="53"/>
  <c r="AF13" i="53"/>
  <c r="AC13" i="107"/>
  <c r="AF634" i="104"/>
  <c r="Z634" i="104"/>
  <c r="AG49" i="53"/>
  <c r="AF611" i="104"/>
  <c r="Z611" i="104"/>
  <c r="AG14" i="54"/>
  <c r="AE14" i="54"/>
  <c r="AO14" i="54"/>
  <c r="M82" i="100"/>
  <c r="J82" i="100"/>
  <c r="AG342" i="104"/>
  <c r="AA342" i="104"/>
  <c r="AF482" i="104"/>
  <c r="Z482" i="104"/>
  <c r="AL31" i="53"/>
  <c r="AJ31" i="53"/>
  <c r="AG78" i="107"/>
  <c r="AG26" i="107"/>
  <c r="AG637" i="104"/>
  <c r="AA637" i="104"/>
  <c r="AF236" i="104"/>
  <c r="Z236" i="104"/>
  <c r="AG590" i="104"/>
  <c r="AA590" i="104"/>
  <c r="AF59" i="96"/>
  <c r="AG484" i="104"/>
  <c r="AA484" i="104"/>
  <c r="AF557" i="104"/>
  <c r="Z557" i="104"/>
  <c r="AE174" i="97"/>
  <c r="Z174" i="97"/>
  <c r="N405" i="100"/>
  <c r="K405" i="100"/>
  <c r="AK22" i="51"/>
  <c r="AK22" i="52"/>
  <c r="AG22" i="107"/>
  <c r="AG74" i="107"/>
  <c r="AF422" i="104"/>
  <c r="Z422" i="104"/>
  <c r="M303" i="100"/>
  <c r="J303" i="100"/>
  <c r="Z20" i="96"/>
  <c r="AF20" i="96"/>
  <c r="Z335" i="96"/>
  <c r="K335" i="100"/>
  <c r="N335" i="100"/>
  <c r="AJ51" i="52"/>
  <c r="AL51" i="52"/>
  <c r="AE304" i="104"/>
  <c r="Y304" i="104"/>
  <c r="N50" i="54"/>
  <c r="T50" i="54"/>
  <c r="AM50" i="54"/>
  <c r="AE97" i="104"/>
  <c r="Y97" i="104"/>
  <c r="Y4" i="96"/>
  <c r="AE4" i="96"/>
  <c r="Z545" i="96"/>
  <c r="AF545" i="96"/>
  <c r="AE199" i="104"/>
  <c r="Y199" i="104"/>
  <c r="AF170" i="104"/>
  <c r="Z170" i="104"/>
  <c r="AG300" i="104"/>
  <c r="AA300" i="104"/>
  <c r="AE124" i="97"/>
  <c r="Z124" i="97"/>
  <c r="Z34" i="96"/>
  <c r="K34" i="100"/>
  <c r="N34" i="100"/>
  <c r="AJ15" i="52"/>
  <c r="AJ15" i="54"/>
  <c r="AL15" i="54"/>
  <c r="Z599" i="96"/>
  <c r="AF599" i="96"/>
  <c r="Z338" i="96"/>
  <c r="AF338" i="96"/>
  <c r="N103" i="107"/>
  <c r="N51" i="107"/>
  <c r="AD89" i="97"/>
  <c r="Y89" i="97"/>
  <c r="AF29" i="54"/>
  <c r="AP29" i="54"/>
  <c r="M188" i="100"/>
  <c r="J188" i="100"/>
  <c r="N419" i="100"/>
  <c r="K419" i="100"/>
  <c r="AK31" i="54"/>
  <c r="AK31" i="53"/>
  <c r="AK31" i="51"/>
  <c r="AK31" i="52"/>
  <c r="AK31" i="102"/>
  <c r="AO49" i="53"/>
  <c r="AE49" i="53"/>
  <c r="AB49" i="107"/>
  <c r="AB101" i="107"/>
  <c r="AG461" i="104"/>
  <c r="AA461" i="104"/>
  <c r="AG536" i="104"/>
  <c r="AA536" i="104"/>
  <c r="AF149" i="104"/>
  <c r="Z149" i="104"/>
  <c r="AF524" i="104"/>
  <c r="Z524" i="104"/>
  <c r="AD92" i="97"/>
  <c r="Y92" i="97"/>
  <c r="AE30" i="104"/>
  <c r="Y30" i="104"/>
  <c r="AL31" i="102"/>
  <c r="AJ31" i="102"/>
  <c r="AE4" i="104"/>
  <c r="Y4" i="104"/>
  <c r="Z59" i="96"/>
  <c r="K59" i="100"/>
  <c r="N59" i="100"/>
  <c r="M197" i="100"/>
  <c r="J197" i="100"/>
  <c r="AE12" i="104"/>
  <c r="Y12" i="104"/>
  <c r="AF477" i="96"/>
  <c r="Z477" i="96"/>
  <c r="AG70" i="107"/>
  <c r="AG18" i="107"/>
  <c r="N40" i="100"/>
  <c r="K40" i="100"/>
  <c r="N352" i="100"/>
  <c r="K352" i="100"/>
  <c r="AF132" i="104"/>
  <c r="Z132" i="104"/>
  <c r="N616" i="100"/>
  <c r="K616" i="100"/>
  <c r="AE27" i="97"/>
  <c r="Z27" i="97"/>
  <c r="N403" i="100"/>
  <c r="K403" i="100"/>
  <c r="AF630" i="96"/>
  <c r="AU6" i="96"/>
  <c r="AV6" i="96"/>
  <c r="AG169" i="104"/>
  <c r="AA169" i="104"/>
  <c r="Z69" i="96"/>
  <c r="K69" i="100"/>
  <c r="N69" i="100"/>
  <c r="N147" i="100"/>
  <c r="K147" i="100"/>
  <c r="Z566" i="96"/>
  <c r="K566" i="100"/>
  <c r="N566" i="100"/>
  <c r="Y89" i="96"/>
  <c r="AE89" i="96"/>
  <c r="N463" i="100"/>
  <c r="K463" i="100"/>
  <c r="AG370" i="104"/>
  <c r="AA370" i="104"/>
  <c r="N319" i="100"/>
  <c r="K319" i="100"/>
  <c r="AF32" i="104"/>
  <c r="Z32" i="104"/>
  <c r="N62" i="100"/>
  <c r="K62" i="100"/>
  <c r="AG529" i="104"/>
  <c r="AA529" i="104"/>
  <c r="AG400" i="104"/>
  <c r="AA400" i="104"/>
  <c r="AD8" i="97"/>
  <c r="Y8" i="97"/>
  <c r="M101" i="100"/>
  <c r="J101" i="100"/>
  <c r="AF70" i="96"/>
  <c r="Z163" i="96"/>
  <c r="K163" i="100"/>
  <c r="N163" i="100"/>
  <c r="AG236" i="104"/>
  <c r="AA236" i="104"/>
  <c r="Z280" i="96"/>
  <c r="AF280" i="96"/>
  <c r="Y52" i="96"/>
  <c r="AE52" i="96"/>
  <c r="Y264" i="96"/>
  <c r="AE264" i="96"/>
  <c r="AF414" i="104"/>
  <c r="Z414" i="104"/>
  <c r="N23" i="102"/>
  <c r="T23" i="102"/>
  <c r="AM23" i="102"/>
  <c r="Z334" i="96"/>
  <c r="K334" i="100"/>
  <c r="N334" i="100"/>
  <c r="AF382" i="104"/>
  <c r="Z382" i="104"/>
  <c r="AF469" i="104"/>
  <c r="Z469" i="104"/>
  <c r="N13" i="102"/>
  <c r="T13" i="102"/>
  <c r="AM13" i="102"/>
  <c r="AG55" i="104"/>
  <c r="AA55" i="104"/>
  <c r="AL42" i="102"/>
  <c r="AJ42" i="102"/>
  <c r="M136" i="100"/>
  <c r="J136" i="100"/>
  <c r="Z510" i="96"/>
  <c r="AF510" i="96"/>
  <c r="AF496" i="96"/>
  <c r="Z496" i="96"/>
  <c r="Z61" i="96"/>
  <c r="AF61" i="96"/>
  <c r="AG374" i="104"/>
  <c r="AA374" i="104"/>
  <c r="AD94" i="97"/>
  <c r="Y94" i="97"/>
  <c r="Z166" i="96"/>
  <c r="K166" i="100"/>
  <c r="N166" i="100"/>
  <c r="R18" i="123"/>
  <c r="AM35" i="52"/>
  <c r="U18" i="123"/>
  <c r="AK24" i="54"/>
  <c r="AK24" i="53"/>
  <c r="AK24" i="51"/>
  <c r="AK24" i="52"/>
  <c r="AK24" i="102"/>
  <c r="Z349" i="96"/>
  <c r="AF349" i="96"/>
  <c r="AF314" i="104"/>
  <c r="Z314" i="104"/>
  <c r="AF115" i="104"/>
  <c r="Z115" i="104"/>
  <c r="AG433" i="104"/>
  <c r="AA433" i="104"/>
  <c r="AF39" i="102"/>
  <c r="AP39" i="102"/>
  <c r="T32" i="52"/>
  <c r="AP32" i="53"/>
  <c r="AF32" i="53"/>
  <c r="AC32" i="107"/>
  <c r="AC84" i="107"/>
  <c r="AC66" i="107"/>
  <c r="AC14" i="107"/>
  <c r="AF14" i="53"/>
  <c r="AP14" i="53"/>
  <c r="AO25" i="102"/>
  <c r="AE25" i="102"/>
  <c r="AG25" i="102"/>
  <c r="AF560" i="104"/>
  <c r="Z560" i="104"/>
  <c r="N617" i="100"/>
  <c r="K617" i="100"/>
  <c r="AG11" i="100"/>
  <c r="Y11" i="100"/>
  <c r="Z498" i="96"/>
  <c r="K498" i="100"/>
  <c r="S11" i="100"/>
  <c r="AG614" i="104"/>
  <c r="AA614" i="104"/>
  <c r="AE198" i="104"/>
  <c r="Y198" i="104"/>
  <c r="N437" i="100"/>
  <c r="K437" i="100"/>
  <c r="AF58" i="96"/>
  <c r="N640" i="100"/>
  <c r="K640" i="100"/>
  <c r="AF393" i="104"/>
  <c r="Z393" i="104"/>
  <c r="AG557" i="104"/>
  <c r="AA557" i="104"/>
  <c r="AF629" i="104"/>
  <c r="Z629" i="104"/>
  <c r="AF545" i="104"/>
  <c r="Z545" i="104"/>
  <c r="M305" i="100"/>
  <c r="J305" i="100"/>
  <c r="AG163" i="104"/>
  <c r="AA163" i="104"/>
  <c r="N543" i="100"/>
  <c r="K543" i="100"/>
  <c r="N15" i="100"/>
  <c r="K15" i="100"/>
  <c r="AG104" i="104"/>
  <c r="AA104" i="104"/>
  <c r="AF342" i="96"/>
  <c r="AF632" i="104"/>
  <c r="Z632" i="104"/>
  <c r="Z58" i="96"/>
  <c r="K58" i="100"/>
  <c r="N58" i="100"/>
  <c r="AO7" i="54"/>
  <c r="AE7" i="54"/>
  <c r="AG7" i="54"/>
  <c r="AF640" i="104"/>
  <c r="Z640" i="104"/>
  <c r="AF447" i="104"/>
  <c r="Z447" i="104"/>
  <c r="AV7" i="104"/>
  <c r="AU7" i="104"/>
  <c r="AF365" i="96"/>
  <c r="Z365" i="96"/>
  <c r="AB10" i="100"/>
  <c r="AE28" i="104"/>
  <c r="Y28" i="104"/>
  <c r="AF107" i="104"/>
  <c r="Z107" i="104"/>
  <c r="AF361" i="104"/>
  <c r="Z361" i="104"/>
  <c r="AF34" i="104"/>
  <c r="Z34" i="104"/>
  <c r="AF414" i="96"/>
  <c r="Z414" i="96"/>
  <c r="AE175" i="97"/>
  <c r="Z175" i="97"/>
  <c r="AG580" i="104"/>
  <c r="AA580" i="104"/>
  <c r="AL26" i="102"/>
  <c r="AJ26" i="102"/>
  <c r="AL32" i="102"/>
  <c r="AJ32" i="102"/>
  <c r="AG117" i="104"/>
  <c r="AA117" i="104"/>
  <c r="AG62" i="104"/>
  <c r="AA62" i="104"/>
  <c r="AM50" i="102"/>
  <c r="T50" i="102"/>
  <c r="N50" i="102"/>
  <c r="AG508" i="104"/>
  <c r="AA508" i="104"/>
  <c r="N428" i="100"/>
  <c r="K428" i="100"/>
  <c r="AG272" i="104"/>
  <c r="AA272" i="104"/>
  <c r="AK53" i="102"/>
  <c r="AF172" i="104"/>
  <c r="Z172" i="104"/>
  <c r="AF351" i="96"/>
  <c r="AO20" i="53"/>
  <c r="AE20" i="53"/>
  <c r="AB20" i="107"/>
  <c r="AB72" i="107"/>
  <c r="N387" i="100"/>
  <c r="K387" i="100"/>
  <c r="Z75" i="96"/>
  <c r="AF75" i="96"/>
  <c r="AL23" i="52"/>
  <c r="AG350" i="104"/>
  <c r="AA350" i="104"/>
  <c r="AC73" i="107"/>
  <c r="AC21" i="107"/>
  <c r="AF21" i="53"/>
  <c r="AP21" i="53"/>
  <c r="AZ23" i="102"/>
  <c r="AX23" i="102"/>
  <c r="M60" i="100"/>
  <c r="J60" i="100"/>
  <c r="AE203" i="104"/>
  <c r="Y203" i="104"/>
  <c r="Z342" i="96"/>
  <c r="K342" i="100"/>
  <c r="N342" i="100"/>
  <c r="Y136" i="96"/>
  <c r="AE136" i="96"/>
  <c r="AE142" i="96"/>
  <c r="AG80" i="107"/>
  <c r="AG28" i="107"/>
  <c r="AE83" i="96"/>
  <c r="AM36" i="53"/>
  <c r="T36" i="53"/>
  <c r="N36" i="53"/>
  <c r="AG49" i="102"/>
  <c r="AE49" i="102"/>
  <c r="AO49" i="102"/>
  <c r="AF209" i="104"/>
  <c r="Z209" i="104"/>
  <c r="AF121" i="104"/>
  <c r="Z121" i="104"/>
  <c r="Z436" i="96"/>
  <c r="AF436" i="96"/>
  <c r="AU4" i="96"/>
  <c r="AV4" i="96"/>
  <c r="AE82" i="97"/>
  <c r="Z82" i="97"/>
  <c r="AF328" i="104"/>
  <c r="Z328" i="104"/>
  <c r="AG171" i="104"/>
  <c r="AA171" i="104"/>
  <c r="Z358" i="96"/>
  <c r="AF358" i="96"/>
  <c r="AF239" i="104"/>
  <c r="Z239" i="104"/>
  <c r="Y96" i="96"/>
  <c r="AE96" i="96"/>
  <c r="AG279" i="104"/>
  <c r="AA279" i="104"/>
  <c r="AE137" i="104"/>
  <c r="Y137" i="104"/>
  <c r="N26" i="53"/>
  <c r="T26" i="53"/>
  <c r="AM26" i="53"/>
  <c r="AE220" i="97"/>
  <c r="Z220" i="97"/>
  <c r="AO53" i="54"/>
  <c r="AO55" i="54"/>
  <c r="AG79" i="104"/>
  <c r="AA79" i="104"/>
  <c r="N44" i="102"/>
  <c r="T44" i="102"/>
  <c r="AM44" i="102"/>
  <c r="AK40" i="54"/>
  <c r="AK40" i="53"/>
  <c r="AK40" i="51"/>
  <c r="AK40" i="52"/>
  <c r="AK40" i="102"/>
  <c r="AF585" i="104"/>
  <c r="Z585" i="104"/>
  <c r="AG330" i="104"/>
  <c r="AA330" i="104"/>
  <c r="AG49" i="104"/>
  <c r="AA49" i="104"/>
  <c r="AF579" i="96"/>
  <c r="AE188" i="104"/>
  <c r="Y188" i="104"/>
  <c r="AK20" i="53"/>
  <c r="AK20" i="54"/>
  <c r="AK20" i="102"/>
  <c r="Z351" i="96"/>
  <c r="K351" i="100"/>
  <c r="N351" i="100"/>
  <c r="AL41" i="52"/>
  <c r="AF603" i="104"/>
  <c r="Z603" i="104"/>
  <c r="AG341" i="104"/>
  <c r="AA341" i="104"/>
  <c r="AF176" i="104"/>
  <c r="Z176" i="104"/>
  <c r="AF524" i="96"/>
  <c r="AE128" i="97"/>
  <c r="Z128" i="97"/>
  <c r="AF503" i="104"/>
  <c r="Z503" i="104"/>
  <c r="AL18" i="52"/>
  <c r="AE89" i="104"/>
  <c r="Y89" i="104"/>
  <c r="N23" i="100"/>
  <c r="K23" i="100"/>
  <c r="AF227" i="104"/>
  <c r="Z227" i="104"/>
  <c r="N380" i="100"/>
  <c r="K380" i="100"/>
  <c r="AL30" i="102"/>
  <c r="AJ30" i="102"/>
  <c r="Y142" i="96"/>
  <c r="J142" i="100"/>
  <c r="M142" i="100"/>
  <c r="Y83" i="96"/>
  <c r="J83" i="100"/>
  <c r="M83" i="100"/>
  <c r="AD29" i="97"/>
  <c r="Y29" i="97"/>
  <c r="M186" i="100"/>
  <c r="J186" i="100"/>
  <c r="N381" i="100"/>
  <c r="K381" i="100"/>
  <c r="AG369" i="104"/>
  <c r="AA369" i="104"/>
  <c r="L69" i="51"/>
  <c r="R24" i="123"/>
  <c r="AM40" i="52"/>
  <c r="U24" i="123"/>
  <c r="AD26" i="97"/>
  <c r="Y26" i="97"/>
  <c r="N623" i="100"/>
  <c r="K623" i="100"/>
  <c r="Z502" i="96"/>
  <c r="AF502" i="96"/>
  <c r="AF376" i="96"/>
  <c r="Z376" i="96"/>
  <c r="AK20" i="51"/>
  <c r="AK20" i="52"/>
  <c r="AG20" i="107"/>
  <c r="AG72" i="107"/>
  <c r="AJ41" i="52"/>
  <c r="AJ41" i="54"/>
  <c r="AL41" i="54"/>
  <c r="AF474" i="96"/>
  <c r="Z474" i="96"/>
  <c r="Z607" i="96"/>
  <c r="AF607" i="96"/>
  <c r="Z524" i="96"/>
  <c r="K524" i="100"/>
  <c r="N524" i="100"/>
  <c r="AL33" i="53"/>
  <c r="AJ33" i="53"/>
  <c r="U6" i="123"/>
  <c r="AM18" i="52"/>
  <c r="R6" i="123"/>
  <c r="AJ18" i="52"/>
  <c r="AF18" i="107"/>
  <c r="AF70" i="107"/>
  <c r="Z362" i="96"/>
  <c r="AF362" i="96"/>
  <c r="AE13" i="97"/>
  <c r="Z13" i="97"/>
  <c r="AF14" i="54"/>
  <c r="T14" i="52"/>
  <c r="AP14" i="54"/>
  <c r="N337" i="100"/>
  <c r="K337" i="100"/>
  <c r="N542" i="100"/>
  <c r="K542" i="100"/>
  <c r="AE49" i="104"/>
  <c r="Y49" i="104"/>
  <c r="AF33" i="102"/>
  <c r="AP33" i="102"/>
  <c r="AF514" i="104"/>
  <c r="Z514" i="104"/>
  <c r="Y86" i="97"/>
  <c r="AD86" i="97"/>
  <c r="AJ5" i="97"/>
  <c r="AG606" i="104"/>
  <c r="AA606" i="104"/>
  <c r="AG172" i="104"/>
  <c r="AA172" i="104"/>
  <c r="AL6" i="52"/>
  <c r="AE85" i="97"/>
  <c r="Z85" i="97"/>
  <c r="AJ6" i="52"/>
  <c r="AJ6" i="53"/>
  <c r="AL6" i="53"/>
  <c r="AM45" i="54"/>
  <c r="T45" i="54"/>
  <c r="N45" i="54"/>
  <c r="AL37" i="52"/>
  <c r="AI17" i="103"/>
  <c r="AL17" i="103"/>
  <c r="AB17" i="103"/>
  <c r="S10" i="123"/>
  <c r="AI21" i="103"/>
  <c r="AL21" i="103"/>
  <c r="AB21" i="103"/>
  <c r="S12" i="123"/>
  <c r="AZ26" i="102"/>
  <c r="AX26" i="102"/>
  <c r="AE202" i="97"/>
  <c r="Z202" i="97"/>
  <c r="AG570" i="104"/>
  <c r="AA570" i="104"/>
  <c r="AF318" i="104"/>
  <c r="Z318" i="104"/>
  <c r="AG233" i="104"/>
  <c r="AA233" i="104"/>
  <c r="AF164" i="104"/>
  <c r="Z164" i="104"/>
  <c r="Z70" i="96"/>
  <c r="K70" i="100"/>
  <c r="N70" i="100"/>
  <c r="AF122" i="104"/>
  <c r="Z122" i="104"/>
  <c r="AO40" i="54"/>
  <c r="AE40" i="54"/>
  <c r="AG40" i="54"/>
  <c r="AQ9" i="104"/>
  <c r="AP9" i="104"/>
  <c r="AJ37" i="52"/>
  <c r="AJ37" i="53"/>
  <c r="AL37" i="53"/>
  <c r="AG318" i="104"/>
  <c r="AA318" i="104"/>
  <c r="AF571" i="96"/>
  <c r="AG56" i="104"/>
  <c r="AA56" i="104"/>
  <c r="N222" i="100"/>
  <c r="K222" i="100"/>
  <c r="AK16" i="53"/>
  <c r="AK16" i="54"/>
  <c r="AK16" i="102"/>
  <c r="AF301" i="104"/>
  <c r="Z301" i="104"/>
  <c r="N83" i="107"/>
  <c r="N31" i="107"/>
  <c r="AF18" i="54"/>
  <c r="AP18" i="54"/>
  <c r="AF580" i="104"/>
  <c r="Z580" i="104"/>
  <c r="AE134" i="104"/>
  <c r="Y134" i="104"/>
  <c r="AI9" i="103"/>
  <c r="AL9" i="103"/>
  <c r="AB9" i="103"/>
  <c r="S6" i="123"/>
  <c r="M304" i="100"/>
  <c r="J304" i="100"/>
  <c r="F18" i="101"/>
  <c r="AE11" i="97"/>
  <c r="Z11" i="97"/>
  <c r="AG608" i="104"/>
  <c r="AA608" i="104"/>
  <c r="AF65" i="96"/>
  <c r="AG38" i="53"/>
  <c r="Y82" i="96"/>
  <c r="AE82" i="96"/>
  <c r="AL33" i="52"/>
  <c r="N534" i="100"/>
  <c r="K534" i="100"/>
  <c r="AF446" i="96"/>
  <c r="Z446" i="96"/>
  <c r="AG12" i="102"/>
  <c r="AE12" i="102"/>
  <c r="AO12" i="102"/>
  <c r="N572" i="100"/>
  <c r="K572" i="100"/>
  <c r="AM49" i="54"/>
  <c r="T49" i="54"/>
  <c r="N49" i="54"/>
  <c r="AG271" i="104"/>
  <c r="AA271" i="104"/>
  <c r="AF459" i="104"/>
  <c r="Z459" i="104"/>
  <c r="AF604" i="96"/>
  <c r="Z571" i="96"/>
  <c r="K571" i="100"/>
  <c r="N571" i="100"/>
  <c r="AG79" i="107"/>
  <c r="AG27" i="107"/>
  <c r="AM23" i="54"/>
  <c r="T23" i="54"/>
  <c r="N23" i="54"/>
  <c r="AF572" i="104"/>
  <c r="Z572" i="104"/>
  <c r="AK16" i="52"/>
  <c r="AG16" i="107"/>
  <c r="AG68" i="107"/>
  <c r="AE140" i="96"/>
  <c r="AF46" i="96"/>
  <c r="N622" i="100"/>
  <c r="K622" i="100"/>
  <c r="AF236" i="96"/>
  <c r="AF364" i="96"/>
  <c r="Z364" i="96"/>
  <c r="AF404" i="96"/>
  <c r="Z404" i="96"/>
  <c r="AE122" i="97"/>
  <c r="Z122" i="97"/>
  <c r="AG627" i="104"/>
  <c r="AA627" i="104"/>
  <c r="N38" i="51"/>
  <c r="N38" i="52"/>
  <c r="T38" i="52"/>
  <c r="AO38" i="53"/>
  <c r="AE38" i="53"/>
  <c r="AB38" i="107"/>
  <c r="AB90" i="107"/>
  <c r="Y265" i="96"/>
  <c r="AE265" i="96"/>
  <c r="AJ33" i="52"/>
  <c r="AJ33" i="102"/>
  <c r="AL33" i="102"/>
  <c r="N537" i="100"/>
  <c r="K537" i="100"/>
  <c r="AF341" i="96"/>
  <c r="AG324" i="104"/>
  <c r="AA324" i="104"/>
  <c r="AI27" i="103"/>
  <c r="AL27" i="103"/>
  <c r="AB27" i="103"/>
  <c r="S19" i="123"/>
  <c r="AE265" i="104"/>
  <c r="Y265" i="104"/>
  <c r="N39" i="102"/>
  <c r="T39" i="102"/>
  <c r="AM39" i="102"/>
  <c r="N37" i="51"/>
  <c r="N37" i="52"/>
  <c r="T37" i="52"/>
  <c r="AP37" i="54"/>
  <c r="AF37" i="54"/>
  <c r="AF464" i="96"/>
  <c r="Z464" i="96"/>
  <c r="Z604" i="96"/>
  <c r="K604" i="100"/>
  <c r="N604" i="100"/>
  <c r="AF438" i="96"/>
  <c r="Z438" i="96"/>
  <c r="AF486" i="96"/>
  <c r="Z486" i="96"/>
  <c r="AF333" i="104"/>
  <c r="Z333" i="104"/>
  <c r="Y140" i="96"/>
  <c r="J140" i="100"/>
  <c r="M140" i="100"/>
  <c r="AE64" i="97"/>
  <c r="Z64" i="97"/>
  <c r="N219" i="100"/>
  <c r="K219" i="100"/>
  <c r="N445" i="100"/>
  <c r="K445" i="100"/>
  <c r="AL42" i="53"/>
  <c r="AJ42" i="53"/>
  <c r="AF119" i="104"/>
  <c r="Z119" i="104"/>
  <c r="AG338" i="104"/>
  <c r="AA338" i="104"/>
  <c r="AF636" i="104"/>
  <c r="Z636" i="104"/>
  <c r="AF543" i="104"/>
  <c r="Z543" i="104"/>
  <c r="AF21" i="96"/>
  <c r="Z341" i="96"/>
  <c r="K341" i="100"/>
  <c r="N341" i="100"/>
  <c r="M309" i="100"/>
  <c r="J309" i="100"/>
  <c r="AF153" i="104"/>
  <c r="Z153" i="104"/>
  <c r="AF486" i="104"/>
  <c r="Z486" i="104"/>
  <c r="AG11" i="53"/>
  <c r="N529" i="100"/>
  <c r="K529" i="100"/>
  <c r="AF298" i="96"/>
  <c r="Z298" i="96"/>
  <c r="AZ15" i="102"/>
  <c r="AX15" i="102"/>
  <c r="AG352" i="104"/>
  <c r="AA352" i="104"/>
  <c r="AF300" i="104"/>
  <c r="Z300" i="104"/>
  <c r="AC80" i="107"/>
  <c r="AC28" i="107"/>
  <c r="AF28" i="53"/>
  <c r="AP28" i="53"/>
  <c r="AF487" i="96"/>
  <c r="Z487" i="96"/>
  <c r="AE27" i="104"/>
  <c r="Y27" i="104"/>
  <c r="M88" i="100"/>
  <c r="J88" i="100"/>
  <c r="AE212" i="97"/>
  <c r="Z212" i="97"/>
  <c r="AF575" i="96"/>
  <c r="AL39" i="52"/>
  <c r="Z579" i="96"/>
  <c r="K579" i="100"/>
  <c r="N579" i="100"/>
  <c r="N441" i="100"/>
  <c r="K441" i="100"/>
  <c r="AF614" i="104"/>
  <c r="Z614" i="104"/>
  <c r="AI40" i="103"/>
  <c r="AL40" i="103"/>
  <c r="AB40" i="103"/>
  <c r="S30" i="123"/>
  <c r="W15" i="109"/>
  <c r="AK5" i="52"/>
  <c r="AG5" i="107"/>
  <c r="AG57" i="107"/>
  <c r="W9" i="109"/>
  <c r="W14" i="109"/>
  <c r="AK7" i="54"/>
  <c r="AK7" i="102"/>
  <c r="AK7" i="53"/>
  <c r="I8" i="123"/>
  <c r="F7" i="123"/>
  <c r="I7" i="123"/>
  <c r="T8" i="52"/>
  <c r="AM8" i="52"/>
  <c r="F8" i="123"/>
  <c r="AG323" i="104"/>
  <c r="AA323" i="104"/>
  <c r="AE222" i="97"/>
  <c r="Z222" i="97"/>
  <c r="Y144" i="96"/>
  <c r="AE144" i="96"/>
  <c r="AK28" i="102"/>
  <c r="AK28" i="53"/>
  <c r="AK28" i="51"/>
  <c r="AK28" i="52"/>
  <c r="AK28" i="54"/>
  <c r="AO29" i="102"/>
  <c r="AE29" i="102"/>
  <c r="AG29" i="102"/>
  <c r="Y60" i="96"/>
  <c r="AE60" i="96"/>
  <c r="AF518" i="104"/>
  <c r="Z518" i="104"/>
  <c r="N317" i="100"/>
  <c r="K317" i="100"/>
  <c r="Z150" i="96"/>
  <c r="AF150" i="96"/>
  <c r="AF599" i="104"/>
  <c r="Z599" i="104"/>
  <c r="N16" i="53"/>
  <c r="T16" i="53"/>
  <c r="AM16" i="53"/>
  <c r="AG274" i="104"/>
  <c r="AA274" i="104"/>
  <c r="N77" i="107"/>
  <c r="N25" i="107"/>
  <c r="AF395" i="104"/>
  <c r="Z395" i="104"/>
  <c r="AF229" i="104"/>
  <c r="Z229" i="104"/>
  <c r="AF356" i="104"/>
  <c r="Z356" i="104"/>
  <c r="AF69" i="104"/>
  <c r="Z69" i="104"/>
  <c r="N300" i="100"/>
  <c r="K300" i="100"/>
  <c r="N345" i="100"/>
  <c r="K345" i="100"/>
  <c r="AG246" i="104"/>
  <c r="AA246" i="104"/>
  <c r="Z345" i="96"/>
  <c r="AF345" i="96"/>
  <c r="AG334" i="104"/>
  <c r="AA334" i="104"/>
  <c r="AK7" i="52"/>
  <c r="AG7" i="107"/>
  <c r="AG59" i="107"/>
  <c r="Z65" i="96"/>
  <c r="K65" i="100"/>
  <c r="N65" i="100"/>
  <c r="AO31" i="54"/>
  <c r="AE31" i="54"/>
  <c r="AG31" i="54"/>
  <c r="AF11" i="54"/>
  <c r="AP11" i="54"/>
  <c r="AG290" i="104"/>
  <c r="AA290" i="104"/>
  <c r="AG617" i="104"/>
  <c r="AA617" i="104"/>
  <c r="AB85" i="107"/>
  <c r="AB33" i="107"/>
  <c r="Z21" i="96"/>
  <c r="K21" i="100"/>
  <c r="N21" i="100"/>
  <c r="AK21" i="54"/>
  <c r="AK21" i="53"/>
  <c r="AK21" i="102"/>
  <c r="M263" i="100"/>
  <c r="J263" i="100"/>
  <c r="AE304" i="96"/>
  <c r="Y304" i="96"/>
  <c r="Z542" i="96"/>
  <c r="AF542" i="96"/>
  <c r="AO11" i="53"/>
  <c r="AE11" i="53"/>
  <c r="AB11" i="107"/>
  <c r="AB63" i="107"/>
  <c r="AF433" i="96"/>
  <c r="Z433" i="96"/>
  <c r="Z529" i="96"/>
  <c r="AF529" i="96"/>
  <c r="AE157" i="97"/>
  <c r="Z157" i="97"/>
  <c r="AF372" i="96"/>
  <c r="Z372" i="96"/>
  <c r="AF120" i="104"/>
  <c r="Z120" i="104"/>
  <c r="AF615" i="104"/>
  <c r="Z615" i="104"/>
  <c r="N46" i="54"/>
  <c r="T46" i="54"/>
  <c r="AM46" i="54"/>
  <c r="AG88" i="107"/>
  <c r="AG36" i="107"/>
  <c r="M56" i="100"/>
  <c r="J56" i="100"/>
  <c r="AZ41" i="102"/>
  <c r="AX41" i="102"/>
  <c r="N41" i="51"/>
  <c r="N41" i="52"/>
  <c r="T41" i="52"/>
  <c r="AM41" i="52"/>
  <c r="N170" i="100"/>
  <c r="K170" i="100"/>
  <c r="AF15" i="104"/>
  <c r="Z15" i="104"/>
  <c r="AF428" i="96"/>
  <c r="Z428" i="96"/>
  <c r="N429" i="100"/>
  <c r="K429" i="100"/>
  <c r="AE31" i="96"/>
  <c r="AF385" i="96"/>
  <c r="Z385" i="96"/>
  <c r="AE69" i="97"/>
  <c r="Z69" i="97"/>
  <c r="AG639" i="104"/>
  <c r="AA639" i="104"/>
  <c r="AG373" i="104"/>
  <c r="AA373" i="104"/>
  <c r="N106" i="100"/>
  <c r="K106" i="100"/>
  <c r="AP7" i="54"/>
  <c r="AF7" i="54"/>
  <c r="AL26" i="54"/>
  <c r="AJ26" i="54"/>
  <c r="AE102" i="97"/>
  <c r="Z102" i="97"/>
  <c r="AF291" i="96"/>
  <c r="Z291" i="96"/>
  <c r="AF584" i="104"/>
  <c r="Z584" i="104"/>
  <c r="AF278" i="96"/>
  <c r="AE109" i="97"/>
  <c r="Z109" i="97"/>
  <c r="AE192" i="96"/>
  <c r="AO24" i="102"/>
  <c r="AE24" i="102"/>
  <c r="AG24" i="102"/>
  <c r="AF515" i="104"/>
  <c r="Z515" i="104"/>
  <c r="AG217" i="104"/>
  <c r="AA217" i="104"/>
  <c r="N47" i="54"/>
  <c r="T47" i="54"/>
  <c r="AM47" i="54"/>
  <c r="AF478" i="96"/>
  <c r="Z478" i="96"/>
  <c r="Z42" i="96"/>
  <c r="AF42" i="96"/>
  <c r="AG523" i="104"/>
  <c r="AA523" i="104"/>
  <c r="Z179" i="96"/>
  <c r="AF179" i="96"/>
  <c r="AG440" i="104"/>
  <c r="AA440" i="104"/>
  <c r="AD52" i="97"/>
  <c r="Y52" i="97"/>
  <c r="E15" i="123"/>
  <c r="N9" i="52"/>
  <c r="T9" i="52"/>
  <c r="AM9" i="52"/>
  <c r="H15" i="123"/>
  <c r="AZ5" i="102"/>
  <c r="AX5" i="102"/>
  <c r="AF180" i="96"/>
  <c r="Z147" i="96"/>
  <c r="AF147" i="96"/>
  <c r="AF245" i="104"/>
  <c r="Z245" i="104"/>
  <c r="AF35" i="96"/>
  <c r="AJ23" i="52"/>
  <c r="AF23" i="107"/>
  <c r="AF75" i="107"/>
  <c r="AF130" i="104"/>
  <c r="Z130" i="104"/>
  <c r="Z326" i="104"/>
  <c r="AF326" i="104"/>
  <c r="AK3" i="104"/>
  <c r="AL3" i="104"/>
  <c r="AK27" i="102"/>
  <c r="AK27" i="54"/>
  <c r="AK27" i="51"/>
  <c r="AK27" i="52"/>
  <c r="AK27" i="53"/>
  <c r="AG166" i="104"/>
  <c r="AA166" i="104"/>
  <c r="AG77" i="104"/>
  <c r="AA77" i="104"/>
  <c r="AJ2" i="97"/>
  <c r="Y2" i="97"/>
  <c r="AD2" i="97"/>
  <c r="AD7" i="100"/>
  <c r="AJ39" i="54"/>
  <c r="AL39" i="54"/>
  <c r="AF360" i="104"/>
  <c r="Z360" i="104"/>
  <c r="AF477" i="104"/>
  <c r="Z477" i="104"/>
  <c r="S32" i="123"/>
  <c r="L68" i="51"/>
  <c r="Z62" i="96"/>
  <c r="AF62" i="96"/>
  <c r="AP5" i="53"/>
  <c r="AF5" i="53"/>
  <c r="AC5" i="107"/>
  <c r="AC57" i="107"/>
  <c r="S7" i="109"/>
  <c r="S13" i="109"/>
  <c r="Z337" i="96"/>
  <c r="AF337" i="96"/>
  <c r="M307" i="100"/>
  <c r="J307" i="100"/>
  <c r="AG12" i="53"/>
  <c r="AF39" i="96"/>
  <c r="AF92" i="107"/>
  <c r="AF40" i="107"/>
  <c r="AK43" i="102"/>
  <c r="AK43" i="54"/>
  <c r="AK43" i="53"/>
  <c r="AL42" i="54"/>
  <c r="AJ42" i="54"/>
  <c r="AG428" i="104"/>
  <c r="AA428" i="104"/>
  <c r="AF418" i="96"/>
  <c r="Z418" i="96"/>
  <c r="AE185" i="97"/>
  <c r="Z185" i="97"/>
  <c r="Y31" i="96"/>
  <c r="J31" i="100"/>
  <c r="M31" i="100"/>
  <c r="AO10" i="54"/>
  <c r="AE10" i="54"/>
  <c r="AG10" i="54"/>
  <c r="AL34" i="52"/>
  <c r="AL9" i="53"/>
  <c r="AJ9" i="53"/>
  <c r="AP12" i="53"/>
  <c r="AF12" i="53"/>
  <c r="AC12" i="107"/>
  <c r="AC64" i="107"/>
  <c r="AF587" i="104"/>
  <c r="Z587" i="104"/>
  <c r="Z106" i="96"/>
  <c r="AF106" i="96"/>
  <c r="AB34" i="103"/>
  <c r="AL34" i="103"/>
  <c r="AI34" i="103"/>
  <c r="AE98" i="97"/>
  <c r="Z98" i="97"/>
  <c r="N178" i="100"/>
  <c r="K178" i="100"/>
  <c r="M99" i="100"/>
  <c r="J99" i="100"/>
  <c r="Z180" i="96"/>
  <c r="K180" i="100"/>
  <c r="N180" i="100"/>
  <c r="Z35" i="96"/>
  <c r="K35" i="100"/>
  <c r="N35" i="100"/>
  <c r="N42" i="54"/>
  <c r="T42" i="54"/>
  <c r="AM42" i="54"/>
  <c r="AG48" i="53"/>
  <c r="Y188" i="96"/>
  <c r="AE188" i="96"/>
  <c r="AG335" i="104"/>
  <c r="AA335" i="104"/>
  <c r="AE249" i="97"/>
  <c r="Z249" i="97"/>
  <c r="Y186" i="96"/>
  <c r="AE186" i="96"/>
  <c r="AL24" i="102"/>
  <c r="AJ24" i="102"/>
  <c r="AF401" i="104"/>
  <c r="Z401" i="104"/>
  <c r="N291" i="100"/>
  <c r="K291" i="100"/>
  <c r="N24" i="53"/>
  <c r="T24" i="53"/>
  <c r="AM24" i="53"/>
  <c r="AA640" i="104"/>
  <c r="AG640" i="104"/>
  <c r="AF283" i="104"/>
  <c r="Z283" i="104"/>
  <c r="Z630" i="96"/>
  <c r="K630" i="100"/>
  <c r="S12" i="100"/>
  <c r="Y12" i="100"/>
  <c r="AG12" i="100"/>
  <c r="R32" i="123"/>
  <c r="U32" i="123"/>
  <c r="AO12" i="53"/>
  <c r="AE12" i="53"/>
  <c r="AB12" i="107"/>
  <c r="AB64" i="107"/>
  <c r="Z39" i="96"/>
  <c r="K39" i="100"/>
  <c r="N39" i="100"/>
  <c r="AL27" i="102"/>
  <c r="AJ27" i="102"/>
  <c r="AF16" i="104"/>
  <c r="Z16" i="104"/>
  <c r="N29" i="53"/>
  <c r="T29" i="53"/>
  <c r="AM29" i="53"/>
  <c r="Z639" i="104"/>
  <c r="AF639" i="104"/>
  <c r="N44" i="53"/>
  <c r="T44" i="53"/>
  <c r="AM44" i="53"/>
  <c r="AF368" i="104"/>
  <c r="Z368" i="104"/>
  <c r="AJ34" i="52"/>
  <c r="AJ34" i="102"/>
  <c r="AL34" i="102"/>
  <c r="AB77" i="107"/>
  <c r="AB25" i="107"/>
  <c r="AE240" i="97"/>
  <c r="Z240" i="97"/>
  <c r="AL38" i="52"/>
  <c r="AL5" i="104"/>
  <c r="AK5" i="104"/>
  <c r="N124" i="100"/>
  <c r="K124" i="100"/>
  <c r="AG359" i="104"/>
  <c r="AA359" i="104"/>
  <c r="AL49" i="52"/>
  <c r="N592" i="100"/>
  <c r="K592" i="100"/>
  <c r="AF249" i="104"/>
  <c r="Z249" i="104"/>
  <c r="AE213" i="97"/>
  <c r="Z213" i="97"/>
  <c r="AF583" i="96"/>
  <c r="AF318" i="96"/>
  <c r="Z318" i="96"/>
  <c r="AG162" i="104"/>
  <c r="AA162" i="104"/>
  <c r="AL13" i="52"/>
  <c r="Y197" i="96"/>
  <c r="AE197" i="96"/>
  <c r="AF387" i="96"/>
  <c r="Z387" i="96"/>
  <c r="AF624" i="96"/>
  <c r="Z624" i="96"/>
  <c r="AF232" i="104"/>
  <c r="Z232" i="104"/>
  <c r="AF42" i="54"/>
  <c r="AP42" i="54"/>
  <c r="AF315" i="96"/>
  <c r="Z315" i="96"/>
  <c r="AJ38" i="52"/>
  <c r="AF38" i="107"/>
  <c r="AF90" i="107"/>
  <c r="AG289" i="104"/>
  <c r="AA289" i="104"/>
  <c r="AK26" i="102"/>
  <c r="AK26" i="53"/>
  <c r="AK26" i="51"/>
  <c r="AK26" i="52"/>
  <c r="AK26" i="54"/>
  <c r="AG552" i="104"/>
  <c r="AA552" i="104"/>
  <c r="Z124" i="96"/>
  <c r="AF124" i="96"/>
  <c r="AF117" i="104"/>
  <c r="Z117" i="104"/>
  <c r="AG446" i="104"/>
  <c r="AA446" i="104"/>
  <c r="AF45" i="54"/>
  <c r="AP45" i="54"/>
  <c r="N65" i="107"/>
  <c r="N13" i="107"/>
  <c r="AF284" i="104"/>
  <c r="Z284" i="104"/>
  <c r="AG447" i="104"/>
  <c r="AA447" i="104"/>
  <c r="X14" i="109"/>
  <c r="X9" i="109"/>
  <c r="X15" i="109"/>
  <c r="Y2" i="104"/>
  <c r="AE2" i="104"/>
  <c r="AU2" i="104"/>
  <c r="AV2" i="104"/>
  <c r="AE176" i="97"/>
  <c r="Z176" i="97"/>
  <c r="Z583" i="96"/>
  <c r="K583" i="100"/>
  <c r="N583" i="100"/>
  <c r="Z610" i="96"/>
  <c r="AF610" i="96"/>
  <c r="AF622" i="104"/>
  <c r="Z622" i="104"/>
  <c r="AJ13" i="52"/>
  <c r="AJ13" i="53"/>
  <c r="AL13" i="53"/>
  <c r="Z40" i="96"/>
  <c r="AF40" i="96"/>
  <c r="AE165" i="97"/>
  <c r="Z165" i="97"/>
  <c r="AF405" i="104"/>
  <c r="Z405" i="104"/>
  <c r="AG58" i="107"/>
  <c r="AG6" i="107"/>
  <c r="N26" i="54"/>
  <c r="T26" i="54"/>
  <c r="AM26" i="54"/>
  <c r="N10" i="102"/>
  <c r="T10" i="102"/>
  <c r="AM10" i="102"/>
  <c r="AF530" i="96"/>
  <c r="I7" i="101"/>
  <c r="G7" i="101"/>
  <c r="AF619" i="96"/>
  <c r="Z619" i="96"/>
  <c r="AC87" i="107"/>
  <c r="AC35" i="107"/>
  <c r="AF35" i="53"/>
  <c r="AP35" i="53"/>
  <c r="AF10" i="96"/>
  <c r="AL53" i="54"/>
  <c r="AK6" i="102"/>
  <c r="AK6" i="54"/>
  <c r="AK7" i="51"/>
  <c r="AK55" i="51"/>
  <c r="AK60" i="51"/>
  <c r="AK6" i="52"/>
  <c r="AK6" i="53"/>
  <c r="N40" i="102"/>
  <c r="T40" i="102"/>
  <c r="AM40" i="102"/>
  <c r="AE21" i="97"/>
  <c r="Z21" i="97"/>
  <c r="AZ12" i="102"/>
  <c r="AX12" i="102"/>
  <c r="AG558" i="104"/>
  <c r="AA558" i="104"/>
  <c r="AG238" i="104"/>
  <c r="AA238" i="104"/>
  <c r="N490" i="100"/>
  <c r="K490" i="100"/>
  <c r="AO48" i="53"/>
  <c r="AE48" i="53"/>
  <c r="AB48" i="107"/>
  <c r="AB100" i="107"/>
  <c r="Z537" i="96"/>
  <c r="AF537" i="96"/>
  <c r="U10" i="123"/>
  <c r="AM26" i="52"/>
  <c r="R10" i="123"/>
  <c r="AG417" i="104"/>
  <c r="AA417" i="104"/>
  <c r="Z543" i="96"/>
  <c r="AF543" i="96"/>
  <c r="AK43" i="51"/>
  <c r="AK43" i="52"/>
  <c r="AG43" i="107"/>
  <c r="AG95" i="107"/>
  <c r="Z10" i="96"/>
  <c r="K10" i="100"/>
  <c r="N10" i="100"/>
  <c r="AG453" i="104"/>
  <c r="AA453" i="104"/>
  <c r="AG114" i="104"/>
  <c r="AA114" i="104"/>
  <c r="AF353" i="104"/>
  <c r="Z353" i="104"/>
  <c r="N271" i="100"/>
  <c r="K271" i="100"/>
  <c r="AE250" i="104"/>
  <c r="Y250" i="104"/>
  <c r="AF384" i="104"/>
  <c r="Z384" i="104"/>
  <c r="AG411" i="104"/>
  <c r="AA411" i="104"/>
  <c r="AF544" i="96"/>
  <c r="Z575" i="96"/>
  <c r="K575" i="100"/>
  <c r="N575" i="100"/>
  <c r="AE171" i="97"/>
  <c r="Z171" i="97"/>
  <c r="AM27" i="102"/>
  <c r="T27" i="102"/>
  <c r="N27" i="102"/>
  <c r="AL45" i="52"/>
  <c r="AG61" i="104"/>
  <c r="AA61" i="104"/>
  <c r="Z236" i="96"/>
  <c r="K236" i="100"/>
  <c r="N236" i="100"/>
  <c r="AG39" i="102"/>
  <c r="AE39" i="102"/>
  <c r="N39" i="51"/>
  <c r="N39" i="52"/>
  <c r="T39" i="52"/>
  <c r="AO39" i="102"/>
  <c r="AL27" i="52"/>
  <c r="AE44" i="97"/>
  <c r="Z44" i="97"/>
  <c r="AF150" i="104"/>
  <c r="Z150" i="104"/>
  <c r="AF228" i="104"/>
  <c r="Z228" i="104"/>
  <c r="AF629" i="96"/>
  <c r="Z629" i="96"/>
  <c r="AF128" i="104"/>
  <c r="Z128" i="104"/>
  <c r="AG291" i="104"/>
  <c r="AA291" i="104"/>
  <c r="N556" i="100"/>
  <c r="K556" i="100"/>
  <c r="AJ45" i="53"/>
  <c r="AL45" i="53"/>
  <c r="Z271" i="96"/>
  <c r="AF271" i="96"/>
  <c r="AD59" i="97"/>
  <c r="Y59" i="97"/>
  <c r="AF444" i="104"/>
  <c r="Z444" i="104"/>
  <c r="AM19" i="54"/>
  <c r="T19" i="54"/>
  <c r="AJ19" i="51"/>
  <c r="N19" i="51"/>
  <c r="N19" i="52"/>
  <c r="N19" i="54"/>
  <c r="AF424" i="104"/>
  <c r="Z424" i="104"/>
  <c r="N448" i="100"/>
  <c r="K448" i="100"/>
  <c r="AF238" i="104"/>
  <c r="Z238" i="104"/>
  <c r="AJ27" i="52"/>
  <c r="AF27" i="107"/>
  <c r="AF79" i="107"/>
  <c r="N29" i="51"/>
  <c r="N29" i="52"/>
  <c r="T29" i="52"/>
  <c r="AP29" i="102"/>
  <c r="AF29" i="102"/>
  <c r="N348" i="100"/>
  <c r="K348" i="100"/>
  <c r="AF157" i="104"/>
  <c r="Z157" i="104"/>
  <c r="AG515" i="104"/>
  <c r="AA515" i="104"/>
  <c r="AF627" i="96"/>
  <c r="Z627" i="96"/>
  <c r="AE205" i="96"/>
  <c r="AG319" i="104"/>
  <c r="AA319" i="104"/>
  <c r="AM13" i="54"/>
  <c r="T13" i="54"/>
  <c r="N13" i="54"/>
  <c r="AF49" i="96"/>
  <c r="AF555" i="96"/>
  <c r="AE51" i="104"/>
  <c r="Y51" i="104"/>
  <c r="AF317" i="104"/>
  <c r="Z317" i="104"/>
  <c r="AG509" i="104"/>
  <c r="AA509" i="104"/>
  <c r="AA429" i="104"/>
  <c r="AG429" i="104"/>
  <c r="AM34" i="102"/>
  <c r="T34" i="102"/>
  <c r="N34" i="102"/>
  <c r="AF298" i="104"/>
  <c r="Z298" i="104"/>
  <c r="AE302" i="96"/>
  <c r="Y302" i="96"/>
  <c r="AG26" i="54"/>
  <c r="AE26" i="54"/>
  <c r="AO26" i="54"/>
  <c r="AF219" i="104"/>
  <c r="Z219" i="104"/>
  <c r="AC69" i="107"/>
  <c r="AC17" i="107"/>
  <c r="AF17" i="53"/>
  <c r="AP17" i="53"/>
  <c r="AG366" i="104"/>
  <c r="AA366" i="104"/>
  <c r="AJ13" i="51"/>
  <c r="N13" i="51"/>
  <c r="N13" i="52"/>
  <c r="T13" i="52"/>
  <c r="AP13" i="102"/>
  <c r="AF13" i="102"/>
  <c r="N467" i="100"/>
  <c r="K467" i="100"/>
  <c r="AL22" i="54"/>
  <c r="AJ22" i="54"/>
  <c r="AG376" i="104"/>
  <c r="AA376" i="104"/>
  <c r="AF51" i="102"/>
  <c r="AP51" i="102"/>
  <c r="AF33" i="54"/>
  <c r="AP33" i="54"/>
  <c r="AF61" i="107"/>
  <c r="AF9" i="107"/>
  <c r="AG81" i="104"/>
  <c r="AA81" i="104"/>
  <c r="N489" i="100"/>
  <c r="K489" i="100"/>
  <c r="N586" i="100"/>
  <c r="K586" i="100"/>
  <c r="AG11" i="102"/>
  <c r="AE11" i="102"/>
  <c r="AO11" i="102"/>
  <c r="AE8" i="97"/>
  <c r="Z8" i="97"/>
  <c r="Z534" i="96"/>
  <c r="AF534" i="96"/>
  <c r="N574" i="100"/>
  <c r="K574" i="100"/>
  <c r="N27" i="100"/>
  <c r="K27" i="100"/>
  <c r="AB78" i="107"/>
  <c r="AB26" i="107"/>
  <c r="M5" i="100"/>
  <c r="J5" i="100"/>
  <c r="AF59" i="107"/>
  <c r="AF7" i="107"/>
  <c r="AG170" i="104"/>
  <c r="AA170" i="104"/>
  <c r="AF594" i="104"/>
  <c r="Z594" i="104"/>
  <c r="AF449" i="104"/>
  <c r="Z449" i="104"/>
  <c r="AL29" i="52"/>
  <c r="D14" i="109"/>
  <c r="N5" i="107"/>
  <c r="N57" i="107"/>
  <c r="D9" i="109"/>
  <c r="D15" i="109"/>
  <c r="Z530" i="96"/>
  <c r="K530" i="100"/>
  <c r="N530" i="100"/>
  <c r="AI41" i="103"/>
  <c r="AL41" i="103"/>
  <c r="AB41" i="103"/>
  <c r="AA631" i="104"/>
  <c r="AG631" i="104"/>
  <c r="AP42" i="102"/>
  <c r="AF42" i="102"/>
  <c r="AK14" i="53"/>
  <c r="AK14" i="54"/>
  <c r="AK14" i="102"/>
  <c r="AG17" i="54"/>
  <c r="AE17" i="54"/>
  <c r="T17" i="52"/>
  <c r="AO17" i="54"/>
  <c r="AF13" i="104"/>
  <c r="Z13" i="104"/>
  <c r="AF152" i="104"/>
  <c r="Z152" i="104"/>
  <c r="AF131" i="104"/>
  <c r="Z131" i="104"/>
  <c r="T18" i="52"/>
  <c r="AO18" i="102"/>
  <c r="AE18" i="102"/>
  <c r="AG18" i="102"/>
  <c r="AL26" i="52"/>
  <c r="AF520" i="96"/>
  <c r="S29" i="123"/>
  <c r="AF180" i="104"/>
  <c r="Z180" i="104"/>
  <c r="AK41" i="102"/>
  <c r="AK41" i="54"/>
  <c r="AK41" i="53"/>
  <c r="AG219" i="104"/>
  <c r="AA219" i="104"/>
  <c r="AF289" i="96"/>
  <c r="AG270" i="104"/>
  <c r="AA270" i="104"/>
  <c r="AA436" i="104"/>
  <c r="AG436" i="104"/>
  <c r="AP4" i="104"/>
  <c r="AQ4" i="104"/>
  <c r="AG69" i="104"/>
  <c r="AA69" i="104"/>
  <c r="AE141" i="97"/>
  <c r="Z141" i="97"/>
  <c r="AF58" i="53"/>
  <c r="AE58" i="53"/>
  <c r="AE230" i="97"/>
  <c r="Z230" i="97"/>
  <c r="AG628" i="104"/>
  <c r="AA628" i="104"/>
  <c r="AD61" i="97"/>
  <c r="Y61" i="97"/>
  <c r="AF443" i="104"/>
  <c r="Z443" i="104"/>
  <c r="Y263" i="96"/>
  <c r="AE263" i="96"/>
  <c r="AK18" i="102"/>
  <c r="AK18" i="54"/>
  <c r="AK18" i="51"/>
  <c r="AK18" i="52"/>
  <c r="AK18" i="53"/>
  <c r="AF226" i="96"/>
  <c r="AJ45" i="52"/>
  <c r="AJ45" i="102"/>
  <c r="AL45" i="102"/>
  <c r="Z352" i="96"/>
  <c r="AF352" i="96"/>
  <c r="N513" i="100"/>
  <c r="K513" i="100"/>
  <c r="AF49" i="102"/>
  <c r="AP49" i="102"/>
  <c r="AP8" i="104"/>
  <c r="AQ8" i="104"/>
  <c r="AG600" i="104"/>
  <c r="AA600" i="104"/>
  <c r="N51" i="54"/>
  <c r="T51" i="54"/>
  <c r="AM51" i="54"/>
  <c r="AL12" i="102"/>
  <c r="AJ12" i="102"/>
  <c r="N36" i="54"/>
  <c r="T36" i="54"/>
  <c r="AM36" i="54"/>
  <c r="AG299" i="104"/>
  <c r="AA299" i="104"/>
  <c r="AL28" i="102"/>
  <c r="AJ28" i="102"/>
  <c r="AG415" i="104"/>
  <c r="AA415" i="104"/>
  <c r="AF114" i="96"/>
  <c r="Z222" i="96"/>
  <c r="AF222" i="96"/>
  <c r="AK35" i="102"/>
  <c r="AK35" i="53"/>
  <c r="AK35" i="54"/>
  <c r="AJ29" i="51"/>
  <c r="AJ29" i="52"/>
  <c r="AF29" i="107"/>
  <c r="AF81" i="107"/>
  <c r="N208" i="100"/>
  <c r="K208" i="100"/>
  <c r="Z433" i="104"/>
  <c r="AF433" i="104"/>
  <c r="AE205" i="97"/>
  <c r="Z205" i="97"/>
  <c r="AF445" i="104"/>
  <c r="Z445" i="104"/>
  <c r="AK14" i="51"/>
  <c r="AK14" i="52"/>
  <c r="AG14" i="107"/>
  <c r="AG66" i="107"/>
  <c r="AF245" i="96"/>
  <c r="AF449" i="96"/>
  <c r="Z449" i="96"/>
  <c r="AF53" i="54"/>
  <c r="AJ26" i="52"/>
  <c r="AF26" i="107"/>
  <c r="AF78" i="107"/>
  <c r="AF113" i="96"/>
  <c r="AI38" i="103"/>
  <c r="AL38" i="103"/>
  <c r="AB38" i="103"/>
  <c r="AA503" i="104"/>
  <c r="AG503" i="104"/>
  <c r="AG344" i="104"/>
  <c r="AA344" i="104"/>
  <c r="AF40" i="104"/>
  <c r="Z40" i="104"/>
  <c r="N35" i="102"/>
  <c r="T35" i="102"/>
  <c r="AM35" i="102"/>
  <c r="AJ41" i="51"/>
  <c r="AK41" i="51"/>
  <c r="AK41" i="52"/>
  <c r="AG41" i="107"/>
  <c r="AG93" i="107"/>
  <c r="Z289" i="96"/>
  <c r="K289" i="100"/>
  <c r="N289" i="100"/>
  <c r="U17" i="123"/>
  <c r="R17" i="123"/>
  <c r="N563" i="100"/>
  <c r="K563" i="100"/>
  <c r="AE234" i="97"/>
  <c r="Z234" i="97"/>
  <c r="N14" i="51"/>
  <c r="N14" i="52"/>
  <c r="N14" i="107"/>
  <c r="N66" i="107"/>
  <c r="AG215" i="104"/>
  <c r="AA215" i="104"/>
  <c r="Z226" i="96"/>
  <c r="K226" i="100"/>
  <c r="N226" i="100"/>
  <c r="N461" i="100"/>
  <c r="K461" i="100"/>
  <c r="Z572" i="96"/>
  <c r="AF572" i="96"/>
  <c r="Z15" i="96"/>
  <c r="AF15" i="96"/>
  <c r="N44" i="51"/>
  <c r="N44" i="52"/>
  <c r="T44" i="52"/>
  <c r="AP44" i="54"/>
  <c r="AF44" i="54"/>
  <c r="Z640" i="96"/>
  <c r="AF640" i="96"/>
  <c r="Z513" i="96"/>
  <c r="AF513" i="96"/>
  <c r="Q34" i="123"/>
  <c r="AM15" i="52"/>
  <c r="T34" i="123"/>
  <c r="AA326" i="104"/>
  <c r="AG326" i="104"/>
  <c r="AP3" i="104"/>
  <c r="AQ3" i="104"/>
  <c r="AF297" i="104"/>
  <c r="Z297" i="104"/>
  <c r="AF586" i="104"/>
  <c r="Z586" i="104"/>
  <c r="N20" i="102"/>
  <c r="T20" i="102"/>
  <c r="AM20" i="102"/>
  <c r="AF619" i="104"/>
  <c r="Z619" i="104"/>
  <c r="AG27" i="53"/>
  <c r="AC68" i="107"/>
  <c r="T16" i="52"/>
  <c r="AP16" i="53"/>
  <c r="AF16" i="53"/>
  <c r="AC16" i="107"/>
  <c r="AK42" i="53"/>
  <c r="AK42" i="54"/>
  <c r="AK42" i="102"/>
  <c r="AK45" i="54"/>
  <c r="AK45" i="102"/>
  <c r="AK45" i="53"/>
  <c r="AF500" i="104"/>
  <c r="Z500" i="104"/>
  <c r="Z556" i="96"/>
  <c r="AF556" i="96"/>
  <c r="Z114" i="96"/>
  <c r="K114" i="100"/>
  <c r="N114" i="100"/>
  <c r="AF502" i="104"/>
  <c r="Z502" i="104"/>
  <c r="AK35" i="51"/>
  <c r="AK35" i="52"/>
  <c r="AG35" i="107"/>
  <c r="AG87" i="107"/>
  <c r="AG293" i="104"/>
  <c r="AA293" i="104"/>
  <c r="Z173" i="97"/>
  <c r="AE173" i="97"/>
  <c r="AF82" i="107"/>
  <c r="AF30" i="107"/>
  <c r="AL32" i="52"/>
  <c r="AF469" i="96"/>
  <c r="Z469" i="96"/>
  <c r="AF10" i="104"/>
  <c r="Z10" i="104"/>
  <c r="AF12" i="96"/>
  <c r="AG497" i="104"/>
  <c r="AA497" i="104"/>
  <c r="AE83" i="104"/>
  <c r="Y83" i="104"/>
  <c r="Y56" i="96"/>
  <c r="AE56" i="96"/>
  <c r="AO33" i="53"/>
  <c r="AE33" i="53"/>
  <c r="AG33" i="53"/>
  <c r="Z245" i="96"/>
  <c r="K245" i="100"/>
  <c r="N245" i="100"/>
  <c r="AF15" i="102"/>
  <c r="AP15" i="102"/>
  <c r="AE188" i="97"/>
  <c r="Z188" i="97"/>
  <c r="AE19" i="97"/>
  <c r="Z19" i="97"/>
  <c r="AE6" i="104"/>
  <c r="Y6" i="104"/>
  <c r="AL43" i="52"/>
  <c r="N220" i="100"/>
  <c r="K220" i="100"/>
  <c r="N626" i="100"/>
  <c r="K626" i="100"/>
  <c r="AE254" i="97"/>
  <c r="Z254" i="97"/>
  <c r="AF17" i="96"/>
  <c r="AM34" i="52"/>
  <c r="AX34" i="102"/>
  <c r="AZ34" i="102"/>
  <c r="AL28" i="53"/>
  <c r="AJ28" i="53"/>
  <c r="N32" i="51"/>
  <c r="N32" i="52"/>
  <c r="N32" i="102"/>
  <c r="T32" i="102"/>
  <c r="AM32" i="102"/>
  <c r="AM22" i="54"/>
  <c r="T22" i="54"/>
  <c r="N22" i="54"/>
  <c r="AE12" i="97"/>
  <c r="Z12" i="97"/>
  <c r="AL30" i="53"/>
  <c r="AJ30" i="53"/>
  <c r="AF15" i="54"/>
  <c r="AP15" i="54"/>
  <c r="AF627" i="104"/>
  <c r="Z627" i="104"/>
  <c r="AO25" i="53"/>
  <c r="AE25" i="53"/>
  <c r="AG25" i="53"/>
  <c r="AJ27" i="51"/>
  <c r="N27" i="51"/>
  <c r="N27" i="52"/>
  <c r="T27" i="52"/>
  <c r="AO27" i="53"/>
  <c r="AE27" i="53"/>
  <c r="AB27" i="107"/>
  <c r="AB79" i="107"/>
  <c r="AE308" i="104"/>
  <c r="Y308" i="104"/>
  <c r="AK42" i="51"/>
  <c r="AK42" i="52"/>
  <c r="AG42" i="107"/>
  <c r="AG94" i="107"/>
  <c r="AK45" i="51"/>
  <c r="AK45" i="52"/>
  <c r="AG45" i="107"/>
  <c r="AG97" i="107"/>
  <c r="AK36" i="54"/>
  <c r="AK36" i="102"/>
  <c r="AK36" i="51"/>
  <c r="AK36" i="52"/>
  <c r="AK36" i="53"/>
  <c r="Z219" i="96"/>
  <c r="AF219" i="96"/>
  <c r="AF522" i="104"/>
  <c r="Z522" i="104"/>
  <c r="AJ32" i="51"/>
  <c r="AJ32" i="52"/>
  <c r="AJ32" i="53"/>
  <c r="AL32" i="53"/>
  <c r="AG332" i="104"/>
  <c r="AA332" i="104"/>
  <c r="Z12" i="96"/>
  <c r="K12" i="100"/>
  <c r="N12" i="100"/>
  <c r="AJ42" i="52"/>
  <c r="AL42" i="52"/>
  <c r="AE57" i="104"/>
  <c r="Y57" i="104"/>
  <c r="N372" i="100"/>
  <c r="K372" i="100"/>
  <c r="AL14" i="53"/>
  <c r="AJ14" i="53"/>
  <c r="AE74" i="97"/>
  <c r="Z74" i="97"/>
  <c r="Z348" i="96"/>
  <c r="AF348" i="96"/>
  <c r="AF34" i="102"/>
  <c r="N34" i="51"/>
  <c r="N34" i="52"/>
  <c r="T34" i="52"/>
  <c r="AP34" i="102"/>
  <c r="S26" i="123"/>
  <c r="S21" i="123"/>
  <c r="S16" i="123"/>
  <c r="R28" i="123"/>
  <c r="U28" i="123"/>
  <c r="N435" i="100"/>
  <c r="K435" i="100"/>
  <c r="AF44" i="96"/>
  <c r="AF68" i="107"/>
  <c r="AF16" i="107"/>
  <c r="AE39" i="96"/>
  <c r="AG15" i="102"/>
  <c r="AE15" i="102"/>
  <c r="N15" i="52"/>
  <c r="T15" i="52"/>
  <c r="AO15" i="102"/>
  <c r="AF451" i="96"/>
  <c r="Z451" i="96"/>
  <c r="AG549" i="104"/>
  <c r="AA549" i="104"/>
  <c r="AE143" i="96"/>
  <c r="N172" i="100"/>
  <c r="K172" i="100"/>
  <c r="AF277" i="104"/>
  <c r="Z277" i="104"/>
  <c r="S14" i="123"/>
  <c r="AB23" i="103"/>
  <c r="AL23" i="103"/>
  <c r="AI23" i="103"/>
  <c r="AE33" i="96"/>
  <c r="AL50" i="52"/>
  <c r="AF608" i="104"/>
  <c r="Z608" i="104"/>
  <c r="AI24" i="103"/>
  <c r="AL24" i="103"/>
  <c r="AB24" i="103"/>
  <c r="AA490" i="104"/>
  <c r="AG490" i="104"/>
  <c r="AE38" i="104"/>
  <c r="Y38" i="104"/>
  <c r="Z23" i="96"/>
  <c r="AF23" i="96"/>
  <c r="Z208" i="96"/>
  <c r="AF208" i="96"/>
  <c r="Z44" i="96"/>
  <c r="K44" i="100"/>
  <c r="N44" i="100"/>
  <c r="Y39" i="96"/>
  <c r="J39" i="100"/>
  <c r="M39" i="100"/>
  <c r="AI19" i="103"/>
  <c r="AL19" i="103"/>
  <c r="AB19" i="103"/>
  <c r="AF249" i="96"/>
  <c r="AD53" i="97"/>
  <c r="Y53" i="97"/>
  <c r="AG402" i="104"/>
  <c r="AA402" i="104"/>
  <c r="AF83" i="107"/>
  <c r="AF31" i="107"/>
  <c r="AF244" i="104"/>
  <c r="Z244" i="104"/>
  <c r="AE269" i="96"/>
  <c r="AG244" i="104"/>
  <c r="AA244" i="104"/>
  <c r="N330" i="100"/>
  <c r="K330" i="100"/>
  <c r="N120" i="100"/>
  <c r="K120" i="100"/>
  <c r="AF163" i="104"/>
  <c r="Z163" i="104"/>
  <c r="Y33" i="96"/>
  <c r="J33" i="100"/>
  <c r="M33" i="100"/>
  <c r="AJ50" i="52"/>
  <c r="AJ50" i="102"/>
  <c r="AL50" i="102"/>
  <c r="AF45" i="96"/>
  <c r="N159" i="100"/>
  <c r="K159" i="100"/>
  <c r="AF48" i="96"/>
  <c r="AG50" i="53"/>
  <c r="AE41" i="97"/>
  <c r="Z41" i="97"/>
  <c r="AP25" i="102"/>
  <c r="AF25" i="102"/>
  <c r="AF584" i="96"/>
  <c r="K296" i="100"/>
  <c r="N296" i="100"/>
  <c r="AC101" i="107"/>
  <c r="AC49" i="107"/>
  <c r="AF49" i="53"/>
  <c r="N49" i="51"/>
  <c r="N49" i="52"/>
  <c r="T49" i="52"/>
  <c r="AP49" i="53"/>
  <c r="N70" i="107"/>
  <c r="N18" i="107"/>
  <c r="AG90" i="107"/>
  <c r="AG38" i="107"/>
  <c r="AF363" i="104"/>
  <c r="Z363" i="104"/>
  <c r="N25" i="54"/>
  <c r="T25" i="54"/>
  <c r="AM25" i="54"/>
  <c r="Z278" i="96"/>
  <c r="K278" i="100"/>
  <c r="N278" i="100"/>
  <c r="N376" i="100"/>
  <c r="K376" i="100"/>
  <c r="AF612" i="104"/>
  <c r="Z612" i="104"/>
  <c r="AK21" i="51"/>
  <c r="AK21" i="52"/>
  <c r="AG21" i="107"/>
  <c r="AG73" i="107"/>
  <c r="Z170" i="96"/>
  <c r="AF170" i="96"/>
  <c r="Y192" i="96"/>
  <c r="J192" i="100"/>
  <c r="M192" i="100"/>
  <c r="Z435" i="104"/>
  <c r="AF435" i="104"/>
  <c r="Z46" i="96"/>
  <c r="K46" i="100"/>
  <c r="N46" i="100"/>
  <c r="AA394" i="104"/>
  <c r="AG394" i="104"/>
  <c r="Z159" i="96"/>
  <c r="AF159" i="96"/>
  <c r="Z45" i="96"/>
  <c r="K45" i="100"/>
  <c r="N45" i="100"/>
  <c r="AL36" i="52"/>
  <c r="Z48" i="96"/>
  <c r="K48" i="100"/>
  <c r="N48" i="100"/>
  <c r="AG33" i="102"/>
  <c r="AE33" i="102"/>
  <c r="AO33" i="102"/>
  <c r="AF527" i="96"/>
  <c r="N51" i="100"/>
  <c r="K51" i="100"/>
  <c r="AE206" i="97"/>
  <c r="Z206" i="97"/>
  <c r="AO50" i="53"/>
  <c r="AE50" i="53"/>
  <c r="AB50" i="107"/>
  <c r="AB102" i="107"/>
  <c r="AF481" i="104"/>
  <c r="Z481" i="104"/>
  <c r="Z584" i="96"/>
  <c r="K584" i="100"/>
  <c r="N584" i="100"/>
  <c r="AF329" i="96"/>
  <c r="AD10" i="97"/>
  <c r="Y10" i="97"/>
  <c r="N548" i="100"/>
  <c r="K548" i="100"/>
  <c r="AF441" i="104"/>
  <c r="Z441" i="104"/>
  <c r="N636" i="100"/>
  <c r="K636" i="100"/>
  <c r="N546" i="100"/>
  <c r="K546" i="100"/>
  <c r="AE307" i="96"/>
  <c r="Y307" i="96"/>
  <c r="AE103" i="97"/>
  <c r="Z103" i="97"/>
  <c r="AJ22" i="52"/>
  <c r="AL22" i="52"/>
  <c r="AF118" i="104"/>
  <c r="Z118" i="104"/>
  <c r="N22" i="53"/>
  <c r="T22" i="53"/>
  <c r="AM22" i="53"/>
  <c r="AG247" i="104"/>
  <c r="AA247" i="104"/>
  <c r="AJ36" i="52"/>
  <c r="AJ36" i="53"/>
  <c r="AL36" i="53"/>
  <c r="AG607" i="104"/>
  <c r="AA607" i="104"/>
  <c r="Z113" i="96"/>
  <c r="K113" i="100"/>
  <c r="N113" i="100"/>
  <c r="AJ43" i="52"/>
  <c r="AJ43" i="102"/>
  <c r="AL43" i="102"/>
  <c r="N10" i="53"/>
  <c r="T10" i="53"/>
  <c r="AM10" i="53"/>
  <c r="Z220" i="96"/>
  <c r="AF220" i="96"/>
  <c r="Y205" i="96"/>
  <c r="J205" i="100"/>
  <c r="M205" i="100"/>
  <c r="AJ16" i="52"/>
  <c r="AL16" i="52"/>
  <c r="AF376" i="104"/>
  <c r="Z376" i="104"/>
  <c r="AL7" i="54"/>
  <c r="AJ7" i="54"/>
  <c r="Z49" i="96"/>
  <c r="K49" i="100"/>
  <c r="N49" i="100"/>
  <c r="AG221" i="104"/>
  <c r="AA221" i="104"/>
  <c r="Z555" i="96"/>
  <c r="K555" i="100"/>
  <c r="N555" i="100"/>
  <c r="Z329" i="96"/>
  <c r="K329" i="100"/>
  <c r="N329" i="100"/>
  <c r="Z17" i="96"/>
  <c r="K17" i="100"/>
  <c r="N17" i="100"/>
  <c r="AF408" i="104"/>
  <c r="Z408" i="104"/>
  <c r="Y143" i="96"/>
  <c r="J143" i="100"/>
  <c r="M143" i="100"/>
  <c r="AF533" i="104"/>
  <c r="Z533" i="104"/>
  <c r="AI13" i="103"/>
  <c r="AL13" i="103"/>
  <c r="AB13" i="103"/>
  <c r="AA389" i="104"/>
  <c r="AG389" i="104"/>
  <c r="L67" i="51"/>
  <c r="AG278" i="104"/>
  <c r="AA278" i="104"/>
  <c r="Y101" i="96"/>
  <c r="AE101" i="96"/>
  <c r="AF622" i="96"/>
  <c r="Z622" i="96"/>
  <c r="AF279" i="104"/>
  <c r="Z279" i="104"/>
  <c r="AF595" i="96"/>
  <c r="AE259" i="104"/>
  <c r="Y259" i="104"/>
  <c r="Z592" i="96"/>
  <c r="AF592" i="96"/>
  <c r="N569" i="100"/>
  <c r="K569" i="100"/>
  <c r="AF233" i="96"/>
  <c r="N382" i="100"/>
  <c r="K382" i="100"/>
  <c r="AF496" i="104"/>
  <c r="Z496" i="104"/>
  <c r="AG587" i="104"/>
  <c r="AA587" i="104"/>
  <c r="AG360" i="104"/>
  <c r="AA360" i="104"/>
  <c r="AF35" i="102"/>
  <c r="AP35" i="102"/>
  <c r="N241" i="100"/>
  <c r="K241" i="100"/>
  <c r="AG595" i="104"/>
  <c r="AA595" i="104"/>
  <c r="Z527" i="96"/>
  <c r="K527" i="100"/>
  <c r="N527" i="100"/>
  <c r="AG327" i="104"/>
  <c r="AA327" i="104"/>
  <c r="AF565" i="104"/>
  <c r="Z565" i="104"/>
  <c r="AO23" i="102"/>
  <c r="AE23" i="102"/>
  <c r="AG23" i="102"/>
  <c r="AJ31" i="52"/>
  <c r="AL31" i="52"/>
  <c r="Z574" i="96"/>
  <c r="AF574" i="96"/>
  <c r="E52" i="5"/>
  <c r="AM53" i="53"/>
  <c r="E48" i="5"/>
  <c r="E49" i="5"/>
  <c r="AF588" i="104"/>
  <c r="Z588" i="104"/>
  <c r="AE133" i="97"/>
  <c r="Z133" i="97"/>
  <c r="T31" i="52"/>
  <c r="AO31" i="102"/>
  <c r="AE31" i="102"/>
  <c r="AG31" i="102"/>
  <c r="AE238" i="97"/>
  <c r="Z238" i="97"/>
  <c r="AL40" i="52"/>
  <c r="Z595" i="96"/>
  <c r="K595" i="100"/>
  <c r="N595" i="100"/>
  <c r="AF108" i="104"/>
  <c r="Z108" i="104"/>
  <c r="AG548" i="104"/>
  <c r="AA548" i="104"/>
  <c r="AF389" i="96"/>
  <c r="Z389" i="96"/>
  <c r="AG86" i="107"/>
  <c r="AG34" i="107"/>
  <c r="AE219" i="97"/>
  <c r="Z219" i="97"/>
  <c r="Z233" i="96"/>
  <c r="K233" i="100"/>
  <c r="N233" i="100"/>
  <c r="AF165" i="96"/>
  <c r="R29" i="123"/>
  <c r="U29" i="123"/>
  <c r="AL44" i="52"/>
  <c r="AF616" i="96"/>
  <c r="Z505" i="104"/>
  <c r="AF505" i="104"/>
  <c r="AG241" i="104"/>
  <c r="AA241" i="104"/>
  <c r="AJ40" i="52"/>
  <c r="AJ40" i="102"/>
  <c r="AL40" i="102"/>
  <c r="Z546" i="96"/>
  <c r="AF546" i="96"/>
  <c r="AM28" i="52"/>
  <c r="AX28" i="102"/>
  <c r="AZ28" i="102"/>
  <c r="AE47" i="97"/>
  <c r="Z47" i="97"/>
  <c r="AF212" i="104"/>
  <c r="Z212" i="104"/>
  <c r="AE195" i="104"/>
  <c r="Y195" i="104"/>
  <c r="AJ7" i="52"/>
  <c r="AL7" i="52"/>
  <c r="R9" i="123"/>
  <c r="U9" i="123"/>
  <c r="Y99" i="96"/>
  <c r="AE99" i="96"/>
  <c r="AJ18" i="51"/>
  <c r="N18" i="51"/>
  <c r="N18" i="52"/>
  <c r="N18" i="102"/>
  <c r="T18" i="102"/>
  <c r="AM18" i="102"/>
  <c r="AJ36" i="51"/>
  <c r="N36" i="51"/>
  <c r="N36" i="52"/>
  <c r="T36" i="52"/>
  <c r="AP36" i="54"/>
  <c r="AF36" i="54"/>
  <c r="AG553" i="104"/>
  <c r="AA553" i="104"/>
  <c r="Z165" i="96"/>
  <c r="K165" i="100"/>
  <c r="N165" i="100"/>
  <c r="Z504" i="104"/>
  <c r="AF504" i="104"/>
  <c r="AG229" i="104"/>
  <c r="AA229" i="104"/>
  <c r="AJ44" i="51"/>
  <c r="AJ44" i="52"/>
  <c r="AJ44" i="54"/>
  <c r="AL44" i="54"/>
  <c r="AF480" i="104"/>
  <c r="Z480" i="104"/>
  <c r="AF125" i="104"/>
  <c r="Z125" i="104"/>
  <c r="Z616" i="96"/>
  <c r="K629" i="100"/>
  <c r="N629" i="100"/>
  <c r="AE10" i="97"/>
  <c r="Z10" i="97"/>
  <c r="AF2" i="96"/>
  <c r="AB7" i="100"/>
  <c r="AE187" i="96"/>
  <c r="N43" i="102"/>
  <c r="T43" i="102"/>
  <c r="AM43" i="102"/>
  <c r="AE232" i="97"/>
  <c r="Z232" i="97"/>
  <c r="N528" i="100"/>
  <c r="K528" i="100"/>
  <c r="N496" i="100"/>
  <c r="K496" i="100"/>
  <c r="S28" i="123"/>
  <c r="AF11" i="96"/>
  <c r="AG603" i="104"/>
  <c r="AA603" i="104"/>
  <c r="AE91" i="104"/>
  <c r="Y91" i="104"/>
  <c r="AE214" i="97"/>
  <c r="Z214" i="97"/>
  <c r="AF271" i="104"/>
  <c r="Z271" i="104"/>
  <c r="Z249" i="96"/>
  <c r="K301" i="100"/>
  <c r="N301" i="100"/>
  <c r="Z427" i="96"/>
  <c r="AF427" i="96"/>
  <c r="AG57" i="104"/>
  <c r="AA57" i="104"/>
  <c r="AJ47" i="51"/>
  <c r="N47" i="51"/>
  <c r="N47" i="52"/>
  <c r="T47" i="52"/>
  <c r="AM47" i="52"/>
  <c r="Z498" i="104"/>
  <c r="AF498" i="104"/>
  <c r="AU5" i="104"/>
  <c r="AV5" i="104"/>
  <c r="AJ49" i="51"/>
  <c r="AJ49" i="52"/>
  <c r="AF49" i="107"/>
  <c r="AF101" i="107"/>
  <c r="Z569" i="96"/>
  <c r="AF569" i="96"/>
  <c r="AG53" i="102"/>
  <c r="N73" i="100"/>
  <c r="K73" i="100"/>
  <c r="AP6" i="102"/>
  <c r="AF6" i="102"/>
  <c r="N476" i="100"/>
  <c r="K476" i="100"/>
  <c r="V11" i="109"/>
  <c r="AG216" i="104"/>
  <c r="AA216" i="104"/>
  <c r="AE61" i="96"/>
  <c r="AX46" i="102"/>
  <c r="AZ46" i="102"/>
  <c r="AG70" i="104"/>
  <c r="AA70" i="104"/>
  <c r="AL20" i="52"/>
  <c r="Z332" i="104"/>
  <c r="AF332" i="104"/>
  <c r="AF589" i="104"/>
  <c r="Z589" i="104"/>
  <c r="AB82" i="107"/>
  <c r="AB30" i="107"/>
  <c r="H7" i="123"/>
  <c r="E7" i="123"/>
  <c r="E5" i="123"/>
  <c r="H5" i="123"/>
  <c r="Z563" i="96"/>
  <c r="AF563" i="96"/>
  <c r="AG35" i="54"/>
  <c r="AE35" i="54"/>
  <c r="AJ35" i="51"/>
  <c r="N35" i="51"/>
  <c r="N35" i="52"/>
  <c r="T35" i="52"/>
  <c r="AO35" i="54"/>
  <c r="AF497" i="104"/>
  <c r="Z497" i="104"/>
  <c r="AI15" i="103"/>
  <c r="AL15" i="103"/>
  <c r="AB15" i="103"/>
  <c r="AA416" i="104"/>
  <c r="AG416" i="104"/>
  <c r="AE135" i="104"/>
  <c r="Y135" i="104"/>
  <c r="AF50" i="96"/>
  <c r="Y187" i="96"/>
  <c r="J187" i="100"/>
  <c r="M187" i="100"/>
  <c r="AF450" i="104"/>
  <c r="Z450" i="104"/>
  <c r="Z528" i="96"/>
  <c r="AF528" i="96"/>
  <c r="AG629" i="104"/>
  <c r="AA629" i="104"/>
  <c r="AL21" i="52"/>
  <c r="AG545" i="104"/>
  <c r="AA545" i="104"/>
  <c r="AF25" i="104"/>
  <c r="Z25" i="104"/>
  <c r="Z395" i="96"/>
  <c r="AF395" i="96"/>
  <c r="AI37" i="103"/>
  <c r="AL37" i="103"/>
  <c r="AB37" i="103"/>
  <c r="AA518" i="104"/>
  <c r="AG518" i="104"/>
  <c r="AE70" i="97"/>
  <c r="Z70" i="97"/>
  <c r="Z11" i="96"/>
  <c r="K11" i="100"/>
  <c r="N11" i="100"/>
  <c r="AE201" i="96"/>
  <c r="AL8" i="52"/>
  <c r="G10" i="123"/>
  <c r="AB44" i="103"/>
  <c r="G5" i="123"/>
  <c r="AL24" i="52"/>
  <c r="AF276" i="96"/>
  <c r="AO28" i="54"/>
  <c r="AE28" i="54"/>
  <c r="AG28" i="54"/>
  <c r="AF568" i="104"/>
  <c r="Z568" i="104"/>
  <c r="Z73" i="96"/>
  <c r="AF73" i="96"/>
  <c r="Z548" i="96"/>
  <c r="AF548" i="96"/>
  <c r="AO33" i="54"/>
  <c r="AE33" i="54"/>
  <c r="AG33" i="54"/>
  <c r="U11" i="123"/>
  <c r="R11" i="123"/>
  <c r="AF285" i="96"/>
  <c r="Z393" i="96"/>
  <c r="AF393" i="96"/>
  <c r="AF454" i="96"/>
  <c r="Z454" i="96"/>
  <c r="AJ5" i="52"/>
  <c r="AF5" i="107"/>
  <c r="AF57" i="107"/>
  <c r="V7" i="109"/>
  <c r="V13" i="109"/>
  <c r="AE67" i="97"/>
  <c r="Z67" i="97"/>
  <c r="AG578" i="104"/>
  <c r="AA578" i="104"/>
  <c r="AF476" i="104"/>
  <c r="Z476" i="104"/>
  <c r="AL28" i="52"/>
  <c r="S27" i="123"/>
  <c r="Y61" i="96"/>
  <c r="J61" i="100"/>
  <c r="M61" i="100"/>
  <c r="N12" i="54"/>
  <c r="T12" i="54"/>
  <c r="AM12" i="54"/>
  <c r="AP22" i="54"/>
  <c r="AF22" i="54"/>
  <c r="AE63" i="97"/>
  <c r="Z63" i="97"/>
  <c r="AF637" i="96"/>
  <c r="AG591" i="104"/>
  <c r="AA591" i="104"/>
  <c r="AM48" i="102"/>
  <c r="N48" i="102"/>
  <c r="T48" i="102"/>
  <c r="AP20" i="53"/>
  <c r="AF20" i="53"/>
  <c r="AC20" i="107"/>
  <c r="AC72" i="107"/>
  <c r="AJ20" i="52"/>
  <c r="AF20" i="107"/>
  <c r="AF72" i="107"/>
  <c r="Y88" i="96"/>
  <c r="AE88" i="96"/>
  <c r="AE197" i="104"/>
  <c r="Y197" i="104"/>
  <c r="AF553" i="104"/>
  <c r="Z553" i="104"/>
  <c r="AG67" i="104"/>
  <c r="AA67" i="104"/>
  <c r="AF457" i="96"/>
  <c r="Z457" i="96"/>
  <c r="T30" i="52"/>
  <c r="AO30" i="53"/>
  <c r="AE30" i="53"/>
  <c r="AG30" i="53"/>
  <c r="N396" i="100"/>
  <c r="K396" i="100"/>
  <c r="Y56" i="104"/>
  <c r="AE56" i="104"/>
  <c r="AL25" i="53"/>
  <c r="AJ25" i="53"/>
  <c r="Z50" i="96"/>
  <c r="K50" i="100"/>
  <c r="N50" i="100"/>
  <c r="AG28" i="53"/>
  <c r="M87" i="100"/>
  <c r="J87" i="100"/>
  <c r="AF458" i="96"/>
  <c r="Z458" i="96"/>
  <c r="AJ21" i="52"/>
  <c r="AF21" i="107"/>
  <c r="AF73" i="107"/>
  <c r="Z118" i="97"/>
  <c r="AE118" i="97"/>
  <c r="N418" i="100"/>
  <c r="K418" i="100"/>
  <c r="AF102" i="96"/>
  <c r="AA398" i="104"/>
  <c r="AG398" i="104"/>
  <c r="Y201" i="96"/>
  <c r="J201" i="100"/>
  <c r="M201" i="100"/>
  <c r="AJ8" i="52"/>
  <c r="AJ8" i="102"/>
  <c r="AL8" i="102"/>
  <c r="AF45" i="104"/>
  <c r="Z45" i="104"/>
  <c r="AI5" i="103"/>
  <c r="AL5" i="103"/>
  <c r="AB5" i="103"/>
  <c r="AA103" i="104"/>
  <c r="AG103" i="104"/>
  <c r="AF26" i="104"/>
  <c r="Z26" i="104"/>
  <c r="AJ24" i="52"/>
  <c r="AJ24" i="53"/>
  <c r="AL24" i="53"/>
  <c r="Z375" i="104"/>
  <c r="AF375" i="104"/>
  <c r="Z276" i="96"/>
  <c r="K276" i="100"/>
  <c r="N276" i="100"/>
  <c r="AK37" i="54"/>
  <c r="AK37" i="53"/>
  <c r="AK37" i="102"/>
  <c r="S9" i="123"/>
  <c r="AJ22" i="51"/>
  <c r="N22" i="51"/>
  <c r="N22" i="52"/>
  <c r="T22" i="52"/>
  <c r="AM22" i="52"/>
  <c r="Z137" i="97"/>
  <c r="AE137" i="97"/>
  <c r="Z180" i="97"/>
  <c r="AE180" i="97"/>
  <c r="Z544" i="96"/>
  <c r="K544" i="100"/>
  <c r="N544" i="100"/>
  <c r="Z241" i="96"/>
  <c r="AF241" i="96"/>
  <c r="N432" i="100"/>
  <c r="K432" i="100"/>
  <c r="AJ14" i="51"/>
  <c r="AJ14" i="52"/>
  <c r="AL14" i="52"/>
  <c r="AG625" i="104"/>
  <c r="AA625" i="104"/>
  <c r="T21" i="52"/>
  <c r="AM21" i="52"/>
  <c r="Z115" i="97"/>
  <c r="AE115" i="97"/>
  <c r="Z285" i="96"/>
  <c r="K285" i="100"/>
  <c r="N285" i="100"/>
  <c r="N51" i="51"/>
  <c r="N51" i="52"/>
  <c r="T51" i="52"/>
  <c r="AO51" i="54"/>
  <c r="AE51" i="54"/>
  <c r="AG51" i="54"/>
  <c r="AJ31" i="51"/>
  <c r="N31" i="51"/>
  <c r="N31" i="52"/>
  <c r="N31" i="54"/>
  <c r="T31" i="54"/>
  <c r="AM31" i="54"/>
  <c r="Z520" i="96"/>
  <c r="K520" i="100"/>
  <c r="N520" i="100"/>
  <c r="Z51" i="96"/>
  <c r="AF51" i="96"/>
  <c r="Z2" i="96"/>
  <c r="K2" i="100"/>
  <c r="N2" i="100"/>
  <c r="V7" i="100"/>
  <c r="AJ7" i="100"/>
  <c r="AJ28" i="52"/>
  <c r="AF28" i="107"/>
  <c r="AF80" i="107"/>
  <c r="AI36" i="103"/>
  <c r="AL36" i="103"/>
  <c r="AB36" i="103"/>
  <c r="AA526" i="104"/>
  <c r="AG526" i="104"/>
  <c r="AJ9" i="52"/>
  <c r="AL9" i="52"/>
  <c r="AK34" i="102"/>
  <c r="AK34" i="53"/>
  <c r="AJ34" i="51"/>
  <c r="AK34" i="51"/>
  <c r="AK34" i="52"/>
  <c r="AK34" i="54"/>
  <c r="AJ24" i="51"/>
  <c r="N24" i="51"/>
  <c r="N24" i="52"/>
  <c r="T24" i="52"/>
  <c r="AM24" i="52"/>
  <c r="Z416" i="96"/>
  <c r="AF416" i="96"/>
  <c r="Z637" i="96"/>
  <c r="K637" i="100"/>
  <c r="N637" i="100"/>
  <c r="N16" i="52"/>
  <c r="N16" i="54"/>
  <c r="T16" i="54"/>
  <c r="AM16" i="54"/>
  <c r="Y87" i="96"/>
  <c r="AE87" i="96"/>
  <c r="Z586" i="96"/>
  <c r="AF586" i="96"/>
  <c r="AW23" i="102"/>
  <c r="AW32" i="102"/>
  <c r="AW19" i="102"/>
  <c r="AW35" i="102"/>
  <c r="AW41" i="102"/>
  <c r="AW39" i="102"/>
  <c r="AW47" i="102"/>
  <c r="AW31" i="102"/>
  <c r="AW16" i="102"/>
  <c r="AW44" i="102"/>
  <c r="AW42" i="102"/>
  <c r="AW37" i="102"/>
  <c r="AW28" i="102"/>
  <c r="AW33" i="102"/>
  <c r="AW29" i="102"/>
  <c r="AW38" i="102"/>
  <c r="AW17" i="102"/>
  <c r="AW51" i="102"/>
  <c r="AW36" i="102"/>
  <c r="AW45" i="102"/>
  <c r="AW46" i="102"/>
  <c r="AW25" i="102"/>
  <c r="AW15" i="102"/>
  <c r="AW24" i="102"/>
  <c r="AW26" i="102"/>
  <c r="AW30" i="102"/>
  <c r="AW21" i="102"/>
  <c r="AW40" i="102"/>
  <c r="AW20" i="102"/>
  <c r="AW34" i="102"/>
  <c r="AW27" i="102"/>
  <c r="AW48" i="102"/>
  <c r="AW18" i="102"/>
  <c r="AW43" i="102"/>
  <c r="AW22" i="102"/>
  <c r="AW50" i="102"/>
  <c r="AW49" i="102"/>
  <c r="Z178" i="96"/>
  <c r="AF178" i="96"/>
  <c r="S31" i="123"/>
  <c r="Z549" i="96"/>
  <c r="AF549" i="96"/>
  <c r="AF453" i="104"/>
  <c r="Z453" i="104"/>
  <c r="Z172" i="96"/>
  <c r="AF172" i="96"/>
  <c r="K471" i="100"/>
  <c r="N471" i="100"/>
  <c r="Z326" i="96"/>
  <c r="K460" i="100"/>
  <c r="N460" i="100"/>
  <c r="AM50" i="52"/>
  <c r="Z636" i="96"/>
  <c r="AF636" i="96"/>
  <c r="AJ28" i="51"/>
  <c r="N28" i="51"/>
  <c r="N28" i="52"/>
  <c r="T28" i="52"/>
  <c r="AO28" i="53"/>
  <c r="AE28" i="53"/>
  <c r="AB28" i="107"/>
  <c r="AB80" i="107"/>
  <c r="AI11" i="103"/>
  <c r="AL11" i="103"/>
  <c r="AB11" i="103"/>
  <c r="AA346" i="104"/>
  <c r="AG346" i="104"/>
  <c r="AE210" i="97"/>
  <c r="Z210" i="97"/>
  <c r="AL11" i="52"/>
  <c r="N12" i="107"/>
  <c r="N64" i="107"/>
  <c r="AI39" i="103"/>
  <c r="AL39" i="103"/>
  <c r="AB39" i="103"/>
  <c r="AA534" i="104"/>
  <c r="AG534" i="104"/>
  <c r="Z102" i="96"/>
  <c r="K102" i="100"/>
  <c r="N102" i="100"/>
  <c r="Z400" i="104"/>
  <c r="AF400" i="104"/>
  <c r="AF43" i="104"/>
  <c r="Z43" i="104"/>
  <c r="AI14" i="103"/>
  <c r="AL14" i="103"/>
  <c r="AB14" i="103"/>
  <c r="AA414" i="104"/>
  <c r="AG414" i="104"/>
  <c r="S11" i="123"/>
  <c r="AL25" i="52"/>
  <c r="AG43" i="53"/>
  <c r="AL12" i="52"/>
  <c r="AJ37" i="51"/>
  <c r="AK37" i="51"/>
  <c r="AK37" i="52"/>
  <c r="AG37" i="107"/>
  <c r="AG89" i="107"/>
  <c r="AJ50" i="51"/>
  <c r="N50" i="51"/>
  <c r="N50" i="52"/>
  <c r="T50" i="52"/>
  <c r="AP50" i="102"/>
  <c r="AF50" i="102"/>
  <c r="AF208" i="104"/>
  <c r="Z208" i="104"/>
  <c r="AJ21" i="51"/>
  <c r="N21" i="51"/>
  <c r="N21" i="52"/>
  <c r="N21" i="102"/>
  <c r="T21" i="102"/>
  <c r="AM21" i="102"/>
  <c r="R8" i="123"/>
  <c r="N25" i="51"/>
  <c r="N25" i="52"/>
  <c r="T25" i="52"/>
  <c r="AM25" i="52"/>
  <c r="U8" i="123"/>
  <c r="AJ11" i="52"/>
  <c r="AJ11" i="102"/>
  <c r="AL11" i="102"/>
  <c r="H8" i="123"/>
  <c r="H6" i="123"/>
  <c r="E8" i="123"/>
  <c r="E6" i="123"/>
  <c r="AE17" i="97"/>
  <c r="Z17" i="97"/>
  <c r="AG40" i="53"/>
  <c r="AF515" i="96"/>
  <c r="AL10" i="52"/>
  <c r="D20" i="101"/>
  <c r="G20" i="101"/>
  <c r="AI12" i="103"/>
  <c r="AL12" i="103"/>
  <c r="AB12" i="103"/>
  <c r="AA377" i="104"/>
  <c r="AG377" i="104"/>
  <c r="N7" i="100"/>
  <c r="K7" i="100"/>
  <c r="AE309" i="104"/>
  <c r="Y309" i="104"/>
  <c r="AP48" i="102"/>
  <c r="AF48" i="102"/>
  <c r="AJ25" i="51"/>
  <c r="AJ25" i="52"/>
  <c r="AF25" i="107"/>
  <c r="AF77" i="107"/>
  <c r="AJ43" i="51"/>
  <c r="N43" i="51"/>
  <c r="N43" i="52"/>
  <c r="T43" i="52"/>
  <c r="AO43" i="53"/>
  <c r="AE43" i="53"/>
  <c r="AB43" i="107"/>
  <c r="AB95" i="107"/>
  <c r="AE144" i="104"/>
  <c r="Y144" i="104"/>
  <c r="AJ12" i="52"/>
  <c r="AF12" i="107"/>
  <c r="AF64" i="107"/>
  <c r="AF173" i="96"/>
  <c r="AJ8" i="51"/>
  <c r="N8" i="51"/>
  <c r="N8" i="52"/>
  <c r="N8" i="53"/>
  <c r="T8" i="53"/>
  <c r="AM8" i="53"/>
  <c r="Y7" i="104"/>
  <c r="AE7" i="104"/>
  <c r="Z7" i="96"/>
  <c r="AF7" i="96"/>
  <c r="AJ40" i="51"/>
  <c r="N40" i="51"/>
  <c r="N40" i="52"/>
  <c r="T40" i="52"/>
  <c r="AO40" i="53"/>
  <c r="AE40" i="53"/>
  <c r="AB40" i="107"/>
  <c r="AB92" i="107"/>
  <c r="AJ46" i="51"/>
  <c r="N46" i="51"/>
  <c r="N46" i="52"/>
  <c r="T46" i="52"/>
  <c r="AM46" i="52"/>
  <c r="Z515" i="96"/>
  <c r="K515" i="100"/>
  <c r="N515" i="100"/>
  <c r="AE29" i="97"/>
  <c r="Z29" i="97"/>
  <c r="AJ55" i="51"/>
  <c r="AJ60" i="51"/>
  <c r="AJ10" i="52"/>
  <c r="AJ10" i="53"/>
  <c r="AL10" i="53"/>
  <c r="U16" i="123"/>
  <c r="R26" i="123"/>
  <c r="R16" i="123"/>
  <c r="R21" i="123"/>
  <c r="U21" i="123"/>
  <c r="U26" i="123"/>
  <c r="AK51" i="54"/>
  <c r="AK51" i="102"/>
  <c r="AK51" i="53"/>
  <c r="U31" i="123"/>
  <c r="R31" i="123"/>
  <c r="AE93" i="96"/>
  <c r="U20" i="123"/>
  <c r="R25" i="123"/>
  <c r="R15" i="123"/>
  <c r="U15" i="123"/>
  <c r="R20" i="123"/>
  <c r="U25" i="123"/>
  <c r="U27" i="123"/>
  <c r="R27" i="123"/>
  <c r="AO20" i="54"/>
  <c r="AE20" i="54"/>
  <c r="AG20" i="54"/>
  <c r="G6" i="123"/>
  <c r="G11" i="123"/>
  <c r="Z173" i="96"/>
  <c r="K173" i="100"/>
  <c r="N173" i="100"/>
  <c r="N30" i="51"/>
  <c r="N30" i="52"/>
  <c r="N30" i="102"/>
  <c r="T30" i="102"/>
  <c r="AM30" i="102"/>
  <c r="Y269" i="96"/>
  <c r="J308" i="100"/>
  <c r="M308" i="100"/>
  <c r="AK38" i="102"/>
  <c r="AK38" i="54"/>
  <c r="AJ38" i="51"/>
  <c r="AK38" i="51"/>
  <c r="AK38" i="52"/>
  <c r="AK38" i="53"/>
  <c r="Z27" i="96"/>
  <c r="AF27" i="96"/>
  <c r="AF54" i="104"/>
  <c r="Z54" i="104"/>
  <c r="AJ39" i="51"/>
  <c r="AJ39" i="52"/>
  <c r="AJ39" i="53"/>
  <c r="AL39" i="53"/>
  <c r="AJ26" i="51"/>
  <c r="N26" i="51"/>
  <c r="N26" i="52"/>
  <c r="T26" i="52"/>
  <c r="AO26" i="53"/>
  <c r="AE26" i="53"/>
  <c r="AG26" i="53"/>
  <c r="AJ23" i="51"/>
  <c r="N23" i="51"/>
  <c r="N23" i="52"/>
  <c r="T23" i="52"/>
  <c r="AM23" i="52"/>
  <c r="Z154" i="97"/>
  <c r="AE154" i="97"/>
  <c r="AJ20" i="51"/>
  <c r="N20" i="51"/>
  <c r="N20" i="52"/>
  <c r="T20" i="52"/>
  <c r="AM20" i="52"/>
  <c r="Z330" i="96"/>
  <c r="AF330" i="96"/>
  <c r="N6" i="52"/>
  <c r="T6" i="52"/>
  <c r="AM6" i="52"/>
  <c r="Y5" i="96"/>
  <c r="AE5" i="96"/>
  <c r="Z436" i="104"/>
  <c r="AF436" i="104"/>
  <c r="AK4" i="104"/>
  <c r="AL4" i="104"/>
  <c r="I5" i="123"/>
  <c r="F6" i="123"/>
  <c r="I6" i="123"/>
  <c r="N7" i="52"/>
  <c r="T7" i="52"/>
  <c r="AM7" i="52"/>
  <c r="F5" i="123"/>
  <c r="E9" i="123"/>
  <c r="H9" i="123"/>
  <c r="H12" i="123"/>
  <c r="E12" i="123"/>
  <c r="AJ30" i="51"/>
  <c r="AJ30" i="52"/>
  <c r="AL30" i="52"/>
  <c r="Z120" i="96"/>
  <c r="AF120" i="96"/>
  <c r="F10" i="123"/>
  <c r="I10" i="123"/>
  <c r="AJ33" i="51"/>
  <c r="N33" i="51"/>
  <c r="N33" i="52"/>
  <c r="T33" i="52"/>
  <c r="AM33" i="52"/>
  <c r="Z484" i="96"/>
  <c r="AF484" i="96"/>
  <c r="AJ51" i="51"/>
  <c r="AK51" i="51"/>
  <c r="AK51" i="52"/>
  <c r="AG51" i="107"/>
  <c r="AG103" i="107"/>
  <c r="AJ48" i="51"/>
  <c r="N48" i="51"/>
  <c r="N48" i="52"/>
  <c r="T48" i="52"/>
  <c r="AM48" i="52"/>
  <c r="AX48" i="102"/>
  <c r="AZ48" i="102"/>
  <c r="N10" i="52"/>
  <c r="T10" i="52"/>
  <c r="AM10" i="52"/>
  <c r="Y93" i="96"/>
  <c r="J93" i="100"/>
  <c r="M93" i="100"/>
  <c r="AJ42" i="51"/>
  <c r="N42" i="51"/>
  <c r="N42" i="52"/>
  <c r="T42" i="52"/>
  <c r="AM42" i="52"/>
  <c r="AX42" i="102"/>
  <c r="AZ42" i="102"/>
  <c r="AJ45" i="51"/>
  <c r="N45" i="51"/>
  <c r="N45" i="52"/>
  <c r="T45" i="52"/>
  <c r="AM45" i="52"/>
  <c r="Z529" i="104"/>
  <c r="AF529" i="104"/>
  <c r="AF293" i="96"/>
  <c r="Z293" i="96"/>
  <c r="AG53" i="53"/>
  <c r="AJ11" i="51"/>
  <c r="N11" i="51"/>
  <c r="N11" i="52"/>
  <c r="T11" i="52"/>
  <c r="AM11" i="52"/>
  <c r="Z68" i="97"/>
  <c r="AE68" i="97"/>
  <c r="AJ7" i="51"/>
  <c r="N7" i="51"/>
  <c r="N55" i="51"/>
  <c r="N60" i="51"/>
  <c r="N5" i="52"/>
  <c r="T5" i="52"/>
  <c r="AM5" i="52"/>
  <c r="G5" i="101"/>
  <c r="I5" i="101"/>
  <c r="D17" i="101"/>
  <c r="F17" i="101"/>
  <c r="G18" i="101"/>
  <c r="AI6" i="103"/>
  <c r="AL6" i="103"/>
  <c r="AB6" i="103"/>
  <c r="AA42" i="104"/>
  <c r="AG42" i="104"/>
  <c r="I11" i="123"/>
  <c r="N64" i="51"/>
  <c r="AJ17" i="51"/>
  <c r="N17" i="51"/>
  <c r="N17" i="52"/>
  <c r="L66" i="51"/>
  <c r="L64" i="51"/>
  <c r="L70" i="51"/>
  <c r="N63" i="51"/>
  <c r="AJ12" i="51"/>
  <c r="N12" i="51"/>
  <c r="N12" i="52"/>
  <c r="T12" i="52"/>
  <c r="AM12" i="52"/>
  <c r="F11" i="12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Administrador</author>
  </authors>
  <commentList>
    <comment ref="C33" authorId="0" shapeId="0" xr:uid="{0775FB5E-A092-4EC7-AFAD-8CF18074826F}">
      <text>
        <r>
          <rPr>
            <sz val="9"/>
            <color indexed="81"/>
            <rFont val="Segoe UI"/>
            <family val="2"/>
          </rPr>
          <t>Econômico: CDE Covid TE; Financeiro: CDE Energia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A723826-B8DA-4571-AD33-06FB479B277E}" name="Conexão" type="7" refreshedVersion="8" background="1" saveData="1"/>
  <connection id="2" xr16:uid="{B24FC7E3-3667-4C59-B041-9EF1BB24BF36}" name="Conexão1" type="7" refreshedVersion="8" background="1" saveData="1"/>
  <connection id="3" xr16:uid="{DD6E0CC1-534F-43DE-B10F-6BBDAFB6E923}" name="Conexão2" type="7" refreshedVersion="8" background="1" saveData="1"/>
</connections>
</file>

<file path=xl/sharedStrings.xml><?xml version="1.0" encoding="utf-8"?>
<sst xmlns="http://schemas.openxmlformats.org/spreadsheetml/2006/main" count="38394" uniqueCount="1290">
  <si>
    <t>TipoMercado</t>
  </si>
  <si>
    <t>Subgrupo</t>
  </si>
  <si>
    <t>Modalidade</t>
  </si>
  <si>
    <t>Classe</t>
  </si>
  <si>
    <t>Subclasse</t>
  </si>
  <si>
    <t>Detalhe</t>
  </si>
  <si>
    <t>Agente</t>
  </si>
  <si>
    <t>Posto</t>
  </si>
  <si>
    <t>AnoMes</t>
  </si>
  <si>
    <t>D</t>
  </si>
  <si>
    <t>Daj</t>
  </si>
  <si>
    <t>TUSD_E</t>
  </si>
  <si>
    <t>TUSD_Eaj</t>
  </si>
  <si>
    <t>TE_E</t>
  </si>
  <si>
    <t>TE_Eaj</t>
  </si>
  <si>
    <t>UC</t>
  </si>
  <si>
    <t>OPÇÃO</t>
  </si>
  <si>
    <t>CóD. AUX.</t>
  </si>
  <si>
    <t>CóD. AUX. TUSD R$/kW</t>
  </si>
  <si>
    <t>CóD. AUX. TUSD R$/MWh</t>
  </si>
  <si>
    <t>CóD. AUX. TE R$/MWh</t>
  </si>
  <si>
    <t>Regular</t>
  </si>
  <si>
    <t>B1</t>
  </si>
  <si>
    <t>Convencional</t>
  </si>
  <si>
    <t>Residencial</t>
  </si>
  <si>
    <t>Não se aplica</t>
  </si>
  <si>
    <t>CATIVO</t>
  </si>
  <si>
    <t>Refaturamento - Regular</t>
  </si>
  <si>
    <t>Sistema de Compensação</t>
  </si>
  <si>
    <t>Residencial baixa renda – faixa 01</t>
  </si>
  <si>
    <t>Residencial baixa renda – faixa 02</t>
  </si>
  <si>
    <t>Residencial baixa renda – faixa 03</t>
  </si>
  <si>
    <t>Residencial baixa renda – faixa 04</t>
  </si>
  <si>
    <t>B3</t>
  </si>
  <si>
    <t>Industrial</t>
  </si>
  <si>
    <t>A4</t>
  </si>
  <si>
    <t>Azul</t>
  </si>
  <si>
    <t>Ponta</t>
  </si>
  <si>
    <t>Fora ponta</t>
  </si>
  <si>
    <t>Verde</t>
  </si>
  <si>
    <t>Comercial</t>
  </si>
  <si>
    <t>B2</t>
  </si>
  <si>
    <t>Rural</t>
  </si>
  <si>
    <t>Poder público</t>
  </si>
  <si>
    <t>B4</t>
  </si>
  <si>
    <t>Iluminação pública</t>
  </si>
  <si>
    <t>Iluminação pública – B4a</t>
  </si>
  <si>
    <t>Serviço público</t>
  </si>
  <si>
    <t>Água, esgoto e saneamento</t>
  </si>
  <si>
    <t>Consumo próprio</t>
  </si>
  <si>
    <t>Branca</t>
  </si>
  <si>
    <t>Intermediário</t>
  </si>
  <si>
    <t>Agropecuária rural</t>
  </si>
  <si>
    <t>IRRIG./AQUIC.</t>
  </si>
  <si>
    <t>IRRIG./AQUIC. PR</t>
  </si>
  <si>
    <t>PROJETADO</t>
  </si>
  <si>
    <t>Fonte incentivada</t>
  </si>
  <si>
    <t>LIVRE</t>
  </si>
  <si>
    <t>TIPO ALERTA</t>
  </si>
  <si>
    <t>DETALHE ALERTA</t>
  </si>
  <si>
    <t>ABA</t>
  </si>
  <si>
    <t>LINHA</t>
  </si>
  <si>
    <t>COLUNA</t>
  </si>
  <si>
    <t>VARIÁVEL AUXILIAR</t>
  </si>
  <si>
    <t>SUBGRUPO</t>
  </si>
  <si>
    <t>MODALIDADE</t>
  </si>
  <si>
    <t>CLASSE</t>
  </si>
  <si>
    <t>SUBCLASSE</t>
  </si>
  <si>
    <t>DETALHE</t>
  </si>
  <si>
    <t>NOME UC</t>
  </si>
  <si>
    <t>POSTO</t>
  </si>
  <si>
    <t>UNIDADE</t>
  </si>
  <si>
    <t>SOMA MERCADO</t>
  </si>
  <si>
    <t>Energia horária</t>
  </si>
  <si>
    <t>MWh</t>
  </si>
  <si>
    <t>EP</t>
  </si>
  <si>
    <t>EFP</t>
  </si>
  <si>
    <t>Energia convencional</t>
  </si>
  <si>
    <t>E</t>
  </si>
  <si>
    <t>kW</t>
  </si>
  <si>
    <t>DP</t>
  </si>
  <si>
    <t>DFP</t>
  </si>
  <si>
    <t>APE</t>
  </si>
  <si>
    <t>Geração</t>
  </si>
  <si>
    <t>B</t>
  </si>
  <si>
    <t>TIPO 01</t>
  </si>
  <si>
    <t>TIPO 02</t>
  </si>
  <si>
    <t>EINT</t>
  </si>
  <si>
    <t>Energia convencional pré-pagamento</t>
  </si>
  <si>
    <t>Convencional pré-pagamento</t>
  </si>
  <si>
    <t>Cooperativa de eletrificação rural</t>
  </si>
  <si>
    <t>Serviço público de irrigação rural</t>
  </si>
  <si>
    <t>Iluminação pública – B4b</t>
  </si>
  <si>
    <t>CHAVE TUSD</t>
  </si>
  <si>
    <t>44409A4AzulNão se aplicaNão se aplicaNão se aplicaNão se aplicaFora ponta</t>
  </si>
  <si>
    <t>44440A4AzulNão se aplicaNão se aplicaNão se aplicaNão se aplicaFora ponta</t>
  </si>
  <si>
    <t>44470A4AzulNão se aplicaNão se aplicaNão se aplicaNão se aplicaFora ponta</t>
  </si>
  <si>
    <t>44501A4AzulNão se aplicaNão se aplicaNão se aplicaNão se aplicaFora ponta</t>
  </si>
  <si>
    <t>44531A4AzulNão se aplicaNão se aplicaNão se aplicaNão se aplicaFora ponta</t>
  </si>
  <si>
    <t>44562A4AzulNão se aplicaNão se aplicaNão se aplicaNão se aplicaFora ponta</t>
  </si>
  <si>
    <t>44593A4AzulNão se aplicaNão se aplicaNão se aplicaNão se aplicaFora ponta</t>
  </si>
  <si>
    <t>44621A4AzulNão se aplicaNão se aplicaNão se aplicaNão se aplicaFora ponta</t>
  </si>
  <si>
    <t>44652A4AzulNão se aplicaNão se aplicaNão se aplicaNão se aplicaFora ponta</t>
  </si>
  <si>
    <t>44682A4AzulNão se aplicaNão se aplicaNão se aplicaNão se aplicaFora ponta</t>
  </si>
  <si>
    <t>44713A4AzulNão se aplicaNão se aplicaNão se aplicaNão se aplicaFora ponta</t>
  </si>
  <si>
    <t>44743A4AzulNão se aplicaNão se aplicaNão se aplicaNão se aplicaFora ponta</t>
  </si>
  <si>
    <t>44409A4AzulNão se aplicaNão se aplicaNão se aplicaNão se aplicaNão se aplica</t>
  </si>
  <si>
    <t>44440A4AzulNão se aplicaNão se aplicaNão se aplicaNão se aplicaNão se aplica</t>
  </si>
  <si>
    <t>44470A4AzulNão se aplicaNão se aplicaNão se aplicaNão se aplicaNão se aplica</t>
  </si>
  <si>
    <t>44501A4AzulNão se aplicaNão se aplicaNão se aplicaNão se aplicaNão se aplica</t>
  </si>
  <si>
    <t>44531A4AzulNão se aplicaNão se aplicaNão se aplicaNão se aplicaNão se aplica</t>
  </si>
  <si>
    <t>44562A4AzulNão se aplicaNão se aplicaNão se aplicaNão se aplicaNão se aplica</t>
  </si>
  <si>
    <t>44593A4AzulNão se aplicaNão se aplicaNão se aplicaNão se aplicaNão se aplica</t>
  </si>
  <si>
    <t>44621A4AzulNão se aplicaNão se aplicaNão se aplicaNão se aplicaNão se aplica</t>
  </si>
  <si>
    <t>44652A4AzulNão se aplicaNão se aplicaNão se aplicaNão se aplicaNão se aplica</t>
  </si>
  <si>
    <t>44682A4AzulNão se aplicaNão se aplicaNão se aplicaNão se aplicaNão se aplica</t>
  </si>
  <si>
    <t>44713A4AzulNão se aplicaNão se aplicaNão se aplicaNão se aplicaNão se aplica</t>
  </si>
  <si>
    <t>44743A4AzulNão se aplicaNão se aplicaNão se aplicaNão se aplicaNão se aplica</t>
  </si>
  <si>
    <t>44409A4AzulNão se aplicaNão se aplicaNão se aplicaNão se aplicaPonta</t>
  </si>
  <si>
    <t>44440A4AzulNão se aplicaNão se aplicaNão se aplicaNão se aplicaPonta</t>
  </si>
  <si>
    <t>44470A4AzulNão se aplicaNão se aplicaNão se aplicaNão se aplicaPonta</t>
  </si>
  <si>
    <t>44501A4AzulNão se aplicaNão se aplicaNão se aplicaNão se aplicaPonta</t>
  </si>
  <si>
    <t>44531A4AzulNão se aplicaNão se aplicaNão se aplicaNão se aplicaPonta</t>
  </si>
  <si>
    <t>44562A4AzulNão se aplicaNão se aplicaNão se aplicaNão se aplicaPonta</t>
  </si>
  <si>
    <t>44593A4AzulNão se aplicaNão se aplicaNão se aplicaNão se aplicaPonta</t>
  </si>
  <si>
    <t>44621A4AzulNão se aplicaNão se aplicaNão se aplicaNão se aplicaPonta</t>
  </si>
  <si>
    <t>44652A4AzulNão se aplicaNão se aplicaNão se aplicaNão se aplicaPonta</t>
  </si>
  <si>
    <t>44682A4AzulNão se aplicaNão se aplicaNão se aplicaNão se aplicaPonta</t>
  </si>
  <si>
    <t>44713A4AzulNão se aplicaNão se aplicaNão se aplicaNão se aplicaPonta</t>
  </si>
  <si>
    <t>44743A4AzulNão se aplicaNão se aplicaNão se aplicaNão se aplicaPonta</t>
  </si>
  <si>
    <t>44409A4VerdeNão se aplicaNão se aplicaNão se aplicaNão se aplicaFora ponta</t>
  </si>
  <si>
    <t>44440A4VerdeNão se aplicaNão se aplicaNão se aplicaNão se aplicaFora ponta</t>
  </si>
  <si>
    <t>44470A4VerdeNão se aplicaNão se aplicaNão se aplicaNão se aplicaFora ponta</t>
  </si>
  <si>
    <t>44501A4VerdeNão se aplicaNão se aplicaNão se aplicaNão se aplicaFora ponta</t>
  </si>
  <si>
    <t>44531A4VerdeNão se aplicaNão se aplicaNão se aplicaNão se aplicaFora ponta</t>
  </si>
  <si>
    <t>44562A4VerdeNão se aplicaNão se aplicaNão se aplicaNão se aplicaFora ponta</t>
  </si>
  <si>
    <t>44593A4VerdeNão se aplicaNão se aplicaNão se aplicaNão se aplicaFora ponta</t>
  </si>
  <si>
    <t>44621A4VerdeNão se aplicaNão se aplicaNão se aplicaNão se aplicaFora ponta</t>
  </si>
  <si>
    <t>44652A4VerdeNão se aplicaNão se aplicaNão se aplicaNão se aplicaFora ponta</t>
  </si>
  <si>
    <t>44682A4VerdeNão se aplicaNão se aplicaNão se aplicaNão se aplicaFora ponta</t>
  </si>
  <si>
    <t>44713A4VerdeNão se aplicaNão se aplicaNão se aplicaNão se aplicaFora ponta</t>
  </si>
  <si>
    <t>44743A4VerdeNão se aplicaNão se aplicaNão se aplicaNão se aplicaFora ponta</t>
  </si>
  <si>
    <t>44409A4VerdeNão se aplicaNão se aplicaNão se aplicaNão se aplicaNão se aplica</t>
  </si>
  <si>
    <t>44440A4VerdeNão se aplicaNão se aplicaNão se aplicaNão se aplicaNão se aplica</t>
  </si>
  <si>
    <t>44470A4VerdeNão se aplicaNão se aplicaNão se aplicaNão se aplicaNão se aplica</t>
  </si>
  <si>
    <t>44501A4VerdeNão se aplicaNão se aplicaNão se aplicaNão se aplicaNão se aplica</t>
  </si>
  <si>
    <t>44531A4VerdeNão se aplicaNão se aplicaNão se aplicaNão se aplicaNão se aplica</t>
  </si>
  <si>
    <t>44562A4VerdeNão se aplicaNão se aplicaNão se aplicaNão se aplicaNão se aplica</t>
  </si>
  <si>
    <t>44593A4VerdeNão se aplicaNão se aplicaNão se aplicaNão se aplicaNão se aplica</t>
  </si>
  <si>
    <t>44621A4VerdeNão se aplicaNão se aplicaNão se aplicaNão se aplicaNão se aplica</t>
  </si>
  <si>
    <t>44652A4VerdeNão se aplicaNão se aplicaNão se aplicaNão se aplicaNão se aplica</t>
  </si>
  <si>
    <t>44682A4VerdeNão se aplicaNão se aplicaNão se aplicaNão se aplicaNão se aplica</t>
  </si>
  <si>
    <t>44713A4VerdeNão se aplicaNão se aplicaNão se aplicaNão se aplicaNão se aplica</t>
  </si>
  <si>
    <t>44743A4VerdeNão se aplicaNão se aplicaNão se aplicaNão se aplicaNão se aplica</t>
  </si>
  <si>
    <t>44409A4VerdeNão se aplicaNão se aplicaNão se aplicaNão se aplicaPonta</t>
  </si>
  <si>
    <t>44440A4VerdeNão se aplicaNão se aplicaNão se aplicaNão se aplicaPonta</t>
  </si>
  <si>
    <t>44470A4VerdeNão se aplicaNão se aplicaNão se aplicaNão se aplicaPonta</t>
  </si>
  <si>
    <t>44501A4VerdeNão se aplicaNão se aplicaNão se aplicaNão se aplicaPonta</t>
  </si>
  <si>
    <t>44531A4VerdeNão se aplicaNão se aplicaNão se aplicaNão se aplicaPonta</t>
  </si>
  <si>
    <t>44562A4VerdeNão se aplicaNão se aplicaNão se aplicaNão se aplicaPonta</t>
  </si>
  <si>
    <t>44593A4VerdeNão se aplicaNão se aplicaNão se aplicaNão se aplicaPonta</t>
  </si>
  <si>
    <t>44621A4VerdeNão se aplicaNão se aplicaNão se aplicaNão se aplicaPonta</t>
  </si>
  <si>
    <t>44652A4VerdeNão se aplicaNão se aplicaNão se aplicaNão se aplicaPonta</t>
  </si>
  <si>
    <t>44682A4VerdeNão se aplicaNão se aplicaNão se aplicaNão se aplicaPonta</t>
  </si>
  <si>
    <t>44713A4VerdeNão se aplicaNão se aplicaNão se aplicaNão se aplicaPonta</t>
  </si>
  <si>
    <t>44743A4VerdeNão se aplicaNão se aplicaNão se aplicaNão se aplicaPonta</t>
  </si>
  <si>
    <t>44409B1ConvencionalResidencialResidencialNão se aplicaNão se aplicaNão se aplica</t>
  </si>
  <si>
    <t>44440B1ConvencionalResidencialResidencialNão se aplicaNão se aplicaNão se aplica</t>
  </si>
  <si>
    <t>44470B1ConvencionalResidencialResidencialNão se aplicaNão se aplicaNão se aplica</t>
  </si>
  <si>
    <t>44501B1ConvencionalResidencialResidencialNão se aplicaNão se aplicaNão se aplica</t>
  </si>
  <si>
    <t>44531B1ConvencionalResidencialResidencialNão se aplicaNão se aplicaNão se aplica</t>
  </si>
  <si>
    <t>44562B1ConvencionalResidencialResidencialNão se aplicaNão se aplicaNão se aplica</t>
  </si>
  <si>
    <t>44593B1ConvencionalResidencialResidencialNão se aplicaNão se aplicaNão se aplica</t>
  </si>
  <si>
    <t>44621B1ConvencionalResidencialResidencialNão se aplicaNão se aplicaNão se aplica</t>
  </si>
  <si>
    <t>44652B1ConvencionalResidencialResidencialNão se aplicaNão se aplicaNão se aplica</t>
  </si>
  <si>
    <t>44682B1ConvencionalResidencialResidencialNão se aplicaNão se aplicaNão se aplica</t>
  </si>
  <si>
    <t>44713B1ConvencionalResidencialResidencialNão se aplicaNão se aplicaNão se aplica</t>
  </si>
  <si>
    <t>44743B1ConvencionalResidencialResidencialNão se aplicaNão se aplicaNão se aplica</t>
  </si>
  <si>
    <t>44409B1ConvencionalResidencialResidencial baixa renda – faixa 01Não se aplicaNão se aplicaNão se aplica</t>
  </si>
  <si>
    <t>44440B1ConvencionalResidencialResidencial baixa renda – faixa 01Não se aplicaNão se aplicaNão se aplica</t>
  </si>
  <si>
    <t>44470B1ConvencionalResidencialResidencial baixa renda – faixa 01Não se aplicaNão se aplicaNão se aplica</t>
  </si>
  <si>
    <t>44501B1ConvencionalResidencialResidencial baixa renda – faixa 01Não se aplicaNão se aplicaNão se aplica</t>
  </si>
  <si>
    <t>44531B1ConvencionalResidencialResidencial baixa renda – faixa 01Não se aplicaNão se aplicaNão se aplica</t>
  </si>
  <si>
    <t>44562B1ConvencionalResidencialResidencial baixa renda – faixa 01Não se aplicaNão se aplicaNão se aplica</t>
  </si>
  <si>
    <t>44593B1ConvencionalResidencialResidencial baixa renda – faixa 01Não se aplicaNão se aplicaNão se aplica</t>
  </si>
  <si>
    <t>44621B1ConvencionalResidencialResidencial baixa renda – faixa 01Não se aplicaNão se aplicaNão se aplica</t>
  </si>
  <si>
    <t>44652B1ConvencionalResidencialResidencial baixa renda – faixa 01Não se aplicaNão se aplicaNão se aplica</t>
  </si>
  <si>
    <t>44682B1ConvencionalResidencialResidencial baixa renda – faixa 01Não se aplicaNão se aplicaNão se aplica</t>
  </si>
  <si>
    <t>44713B1ConvencionalResidencialResidencial baixa renda – faixa 01Não se aplicaNão se aplicaNão se aplica</t>
  </si>
  <si>
    <t>44743B1ConvencionalResidencialResidencial baixa renda – faixa 01Não se aplicaNão se aplicaNão se aplica</t>
  </si>
  <si>
    <t>44409B1ConvencionalResidencialResidencial baixa renda – faixa 02Não se aplicaNão se aplicaNão se aplica</t>
  </si>
  <si>
    <t>44440B1ConvencionalResidencialResidencial baixa renda – faixa 02Não se aplicaNão se aplicaNão se aplica</t>
  </si>
  <si>
    <t>44470B1ConvencionalResidencialResidencial baixa renda – faixa 02Não se aplicaNão se aplicaNão se aplica</t>
  </si>
  <si>
    <t>44501B1ConvencionalResidencialResidencial baixa renda – faixa 02Não se aplicaNão se aplicaNão se aplica</t>
  </si>
  <si>
    <t>44531B1ConvencionalResidencialResidencial baixa renda – faixa 02Não se aplicaNão se aplicaNão se aplica</t>
  </si>
  <si>
    <t>44562B1ConvencionalResidencialResidencial baixa renda – faixa 02Não se aplicaNão se aplicaNão se aplica</t>
  </si>
  <si>
    <t>44593B1ConvencionalResidencialResidencial baixa renda – faixa 02Não se aplicaNão se aplicaNão se aplica</t>
  </si>
  <si>
    <t>44621B1ConvencionalResidencialResidencial baixa renda – faixa 02Não se aplicaNão se aplicaNão se aplica</t>
  </si>
  <si>
    <t>44652B1ConvencionalResidencialResidencial baixa renda – faixa 02Não se aplicaNão se aplicaNão se aplica</t>
  </si>
  <si>
    <t>44682B1ConvencionalResidencialResidencial baixa renda – faixa 02Não se aplicaNão se aplicaNão se aplica</t>
  </si>
  <si>
    <t>44713B1ConvencionalResidencialResidencial baixa renda – faixa 02Não se aplicaNão se aplicaNão se aplica</t>
  </si>
  <si>
    <t>44743B1ConvencionalResidencialResidencial baixa renda – faixa 02Não se aplicaNão se aplicaNão se aplica</t>
  </si>
  <si>
    <t>44409B1ConvencionalResidencialResidencial baixa renda – faixa 03Não se aplicaNão se aplicaNão se aplica</t>
  </si>
  <si>
    <t>44440B1ConvencionalResidencialResidencial baixa renda – faixa 03Não se aplicaNão se aplicaNão se aplica</t>
  </si>
  <si>
    <t>44470B1ConvencionalResidencialResidencial baixa renda – faixa 03Não se aplicaNão se aplicaNão se aplica</t>
  </si>
  <si>
    <t>44501B1ConvencionalResidencialResidencial baixa renda – faixa 03Não se aplicaNão se aplicaNão se aplica</t>
  </si>
  <si>
    <t>44531B1ConvencionalResidencialResidencial baixa renda – faixa 03Não se aplicaNão se aplicaNão se aplica</t>
  </si>
  <si>
    <t>44562B1ConvencionalResidencialResidencial baixa renda – faixa 03Não se aplicaNão se aplicaNão se aplica</t>
  </si>
  <si>
    <t>44593B1ConvencionalResidencialResidencial baixa renda – faixa 03Não se aplicaNão se aplicaNão se aplica</t>
  </si>
  <si>
    <t>44621B1ConvencionalResidencialResidencial baixa renda – faixa 03Não se aplicaNão se aplicaNão se aplica</t>
  </si>
  <si>
    <t>44652B1ConvencionalResidencialResidencial baixa renda – faixa 03Não se aplicaNão se aplicaNão se aplica</t>
  </si>
  <si>
    <t>44682B1ConvencionalResidencialResidencial baixa renda – faixa 03Não se aplicaNão se aplicaNão se aplica</t>
  </si>
  <si>
    <t>44713B1ConvencionalResidencialResidencial baixa renda – faixa 03Não se aplicaNão se aplicaNão se aplica</t>
  </si>
  <si>
    <t>44743B1ConvencionalResidencialResidencial baixa renda – faixa 03Não se aplicaNão se aplicaNão se aplica</t>
  </si>
  <si>
    <t>44409B1ConvencionalResidencialResidencial baixa renda – faixa 04Não se aplicaNão se aplicaNão se aplica</t>
  </si>
  <si>
    <t>44440B1ConvencionalResidencialResidencial baixa renda – faixa 04Não se aplicaNão se aplicaNão se aplica</t>
  </si>
  <si>
    <t>44470B1ConvencionalResidencialResidencial baixa renda – faixa 04Não se aplicaNão se aplicaNão se aplica</t>
  </si>
  <si>
    <t>44501B1ConvencionalResidencialResidencial baixa renda – faixa 04Não se aplicaNão se aplicaNão se aplica</t>
  </si>
  <si>
    <t>44531B1ConvencionalResidencialResidencial baixa renda – faixa 04Não se aplicaNão se aplicaNão se aplica</t>
  </si>
  <si>
    <t>44562B1ConvencionalResidencialResidencial baixa renda – faixa 04Não se aplicaNão se aplicaNão se aplica</t>
  </si>
  <si>
    <t>44593B1ConvencionalResidencialResidencial baixa renda – faixa 04Não se aplicaNão se aplicaNão se aplica</t>
  </si>
  <si>
    <t>44621B1ConvencionalResidencialResidencial baixa renda – faixa 04Não se aplicaNão se aplicaNão se aplica</t>
  </si>
  <si>
    <t>44652B1ConvencionalResidencialResidencial baixa renda – faixa 04Não se aplicaNão se aplicaNão se aplica</t>
  </si>
  <si>
    <t>44682B1ConvencionalResidencialResidencial baixa renda – faixa 04Não se aplicaNão se aplicaNão se aplica</t>
  </si>
  <si>
    <t>44713B1ConvencionalResidencialResidencial baixa renda – faixa 04Não se aplicaNão se aplicaNão se aplica</t>
  </si>
  <si>
    <t>44743B1ConvencionalResidencialResidencial baixa renda – faixa 04Não se aplicaNão se aplicaNão se aplica</t>
  </si>
  <si>
    <t>44409B2ConvencionalRuralNão se aplicaNão se aplicaNão se aplicaNão se aplica</t>
  </si>
  <si>
    <t>44440B2ConvencionalRuralNão se aplicaNão se aplicaNão se aplicaNão se aplica</t>
  </si>
  <si>
    <t>44470B2ConvencionalRuralNão se aplicaNão se aplicaNão se aplicaNão se aplica</t>
  </si>
  <si>
    <t>44501B2ConvencionalRuralNão se aplicaNão se aplicaNão se aplicaNão se aplica</t>
  </si>
  <si>
    <t>44531B2ConvencionalRuralNão se aplicaNão se aplicaNão se aplicaNão se aplica</t>
  </si>
  <si>
    <t>44562B2ConvencionalRuralNão se aplicaNão se aplicaNão se aplicaNão se aplica</t>
  </si>
  <si>
    <t>44593B2ConvencionalRuralNão se aplicaNão se aplicaNão se aplicaNão se aplica</t>
  </si>
  <si>
    <t>44621B2ConvencionalRuralNão se aplicaNão se aplicaNão se aplicaNão se aplica</t>
  </si>
  <si>
    <t>44652B2ConvencionalRuralNão se aplicaNão se aplicaNão se aplicaNão se aplica</t>
  </si>
  <si>
    <t>44682B2ConvencionalRuralNão se aplicaNão se aplicaNão se aplicaNão se aplica</t>
  </si>
  <si>
    <t>44713B2ConvencionalRuralNão se aplicaNão se aplicaNão se aplicaNão se aplica</t>
  </si>
  <si>
    <t>44743B2ConvencionalRuralNão se aplicaNão se aplicaNão se aplicaNão se aplica</t>
  </si>
  <si>
    <t>44409B3BrancaNão se aplicaNão se aplicaNão se aplicaNão se aplicaFora ponta</t>
  </si>
  <si>
    <t>44440B3BrancaNão se aplicaNão se aplicaNão se aplicaNão se aplicaFora ponta</t>
  </si>
  <si>
    <t>44470B3BrancaNão se aplicaNão se aplicaNão se aplicaNão se aplicaFora ponta</t>
  </si>
  <si>
    <t>44501B3BrancaNão se aplicaNão se aplicaNão se aplicaNão se aplicaFora ponta</t>
  </si>
  <si>
    <t>44531B3BrancaNão se aplicaNão se aplicaNão se aplicaNão se aplicaFora ponta</t>
  </si>
  <si>
    <t>44562B3BrancaNão se aplicaNão se aplicaNão se aplicaNão se aplicaFora ponta</t>
  </si>
  <si>
    <t>44593B3BrancaNão se aplicaNão se aplicaNão se aplicaNão se aplicaFora ponta</t>
  </si>
  <si>
    <t>44621B3BrancaNão se aplicaNão se aplicaNão se aplicaNão se aplicaFora ponta</t>
  </si>
  <si>
    <t>44652B3BrancaNão se aplicaNão se aplicaNão se aplicaNão se aplicaFora ponta</t>
  </si>
  <si>
    <t>44682B3BrancaNão se aplicaNão se aplicaNão se aplicaNão se aplicaFora ponta</t>
  </si>
  <si>
    <t>44713B3BrancaNão se aplicaNão se aplicaNão se aplicaNão se aplicaFora ponta</t>
  </si>
  <si>
    <t>44743B3BrancaNão se aplicaNão se aplicaNão se aplicaNão se aplicaFora ponta</t>
  </si>
  <si>
    <t>44409B3BrancaNão se aplicaNão se aplicaNão se aplicaNão se aplicaIntermediário</t>
  </si>
  <si>
    <t>44440B3BrancaNão se aplicaNão se aplicaNão se aplicaNão se aplicaIntermediário</t>
  </si>
  <si>
    <t>44470B3BrancaNão se aplicaNão se aplicaNão se aplicaNão se aplicaIntermediário</t>
  </si>
  <si>
    <t>44501B3BrancaNão se aplicaNão se aplicaNão se aplicaNão se aplicaIntermediário</t>
  </si>
  <si>
    <t>44531B3BrancaNão se aplicaNão se aplicaNão se aplicaNão se aplicaIntermediário</t>
  </si>
  <si>
    <t>44562B3BrancaNão se aplicaNão se aplicaNão se aplicaNão se aplicaIntermediário</t>
  </si>
  <si>
    <t>44593B3BrancaNão se aplicaNão se aplicaNão se aplicaNão se aplicaIntermediário</t>
  </si>
  <si>
    <t>44621B3BrancaNão se aplicaNão se aplicaNão se aplicaNão se aplicaIntermediário</t>
  </si>
  <si>
    <t>44652B3BrancaNão se aplicaNão se aplicaNão se aplicaNão se aplicaIntermediário</t>
  </si>
  <si>
    <t>44682B3BrancaNão se aplicaNão se aplicaNão se aplicaNão se aplicaIntermediário</t>
  </si>
  <si>
    <t>44713B3BrancaNão se aplicaNão se aplicaNão se aplicaNão se aplicaIntermediário</t>
  </si>
  <si>
    <t>44743B3BrancaNão se aplicaNão se aplicaNão se aplicaNão se aplicaIntermediário</t>
  </si>
  <si>
    <t>44409B3BrancaNão se aplicaNão se aplicaNão se aplicaNão se aplicaPonta</t>
  </si>
  <si>
    <t>44440B3BrancaNão se aplicaNão se aplicaNão se aplicaNão se aplicaPonta</t>
  </si>
  <si>
    <t>44470B3BrancaNão se aplicaNão se aplicaNão se aplicaNão se aplicaPonta</t>
  </si>
  <si>
    <t>44501B3BrancaNão se aplicaNão se aplicaNão se aplicaNão se aplicaPonta</t>
  </si>
  <si>
    <t>44531B3BrancaNão se aplicaNão se aplicaNão se aplicaNão se aplicaPonta</t>
  </si>
  <si>
    <t>44562B3BrancaNão se aplicaNão se aplicaNão se aplicaNão se aplicaPonta</t>
  </si>
  <si>
    <t>44593B3BrancaNão se aplicaNão se aplicaNão se aplicaNão se aplicaPonta</t>
  </si>
  <si>
    <t>44621B3BrancaNão se aplicaNão se aplicaNão se aplicaNão se aplicaPonta</t>
  </si>
  <si>
    <t>44652B3BrancaNão se aplicaNão se aplicaNão se aplicaNão se aplicaPonta</t>
  </si>
  <si>
    <t>44682B3BrancaNão se aplicaNão se aplicaNão se aplicaNão se aplicaPonta</t>
  </si>
  <si>
    <t>44713B3BrancaNão se aplicaNão se aplicaNão se aplicaNão se aplicaPonta</t>
  </si>
  <si>
    <t>44743B3BrancaNão se aplicaNão se aplicaNão se aplicaNão se aplicaPonta</t>
  </si>
  <si>
    <t>44409B3ConvencionalNão se aplicaNão se aplicaNão se aplicaNão se aplicaNão se aplica</t>
  </si>
  <si>
    <t>44440B3ConvencionalNão se aplicaNão se aplicaNão se aplicaNão se aplicaNão se aplica</t>
  </si>
  <si>
    <t>44470B3ConvencionalNão se aplicaNão se aplicaNão se aplicaNão se aplicaNão se aplica</t>
  </si>
  <si>
    <t>44501B3ConvencionalNão se aplicaNão se aplicaNão se aplicaNão se aplicaNão se aplica</t>
  </si>
  <si>
    <t>44531B3ConvencionalNão se aplicaNão se aplicaNão se aplicaNão se aplicaNão se aplica</t>
  </si>
  <si>
    <t>44562B3ConvencionalNão se aplicaNão se aplicaNão se aplicaNão se aplicaNão se aplica</t>
  </si>
  <si>
    <t>44593B3ConvencionalNão se aplicaNão se aplicaNão se aplicaNão se aplicaNão se aplica</t>
  </si>
  <si>
    <t>44621B3ConvencionalNão se aplicaNão se aplicaNão se aplicaNão se aplicaNão se aplica</t>
  </si>
  <si>
    <t>44652B3ConvencionalNão se aplicaNão se aplicaNão se aplicaNão se aplicaNão se aplica</t>
  </si>
  <si>
    <t>44682B3ConvencionalNão se aplicaNão se aplicaNão se aplicaNão se aplicaNão se aplica</t>
  </si>
  <si>
    <t>44713B3ConvencionalNão se aplicaNão se aplicaNão se aplicaNão se aplicaNão se aplica</t>
  </si>
  <si>
    <t>44743B3ConvencionalNão se aplicaNão se aplicaNão se aplicaNão se aplicaNão se aplica</t>
  </si>
  <si>
    <t>44409B4ConvencionalIluminação públicaIluminação pública – B4aNão se aplicaNão se aplicaNão se aplica</t>
  </si>
  <si>
    <t>44440B4ConvencionalIluminação públicaIluminação pública – B4aNão se aplicaNão se aplicaNão se aplica</t>
  </si>
  <si>
    <t>44470B4ConvencionalIluminação públicaIluminação pública – B4aNão se aplicaNão se aplicaNão se aplica</t>
  </si>
  <si>
    <t>44501B4ConvencionalIluminação públicaIluminação pública – B4aNão se aplicaNão se aplicaNão se aplica</t>
  </si>
  <si>
    <t>44531B4ConvencionalIluminação públicaIluminação pública – B4aNão se aplicaNão se aplicaNão se aplica</t>
  </si>
  <si>
    <t>44562B4ConvencionalIluminação públicaIluminação pública – B4aNão se aplicaNão se aplicaNão se aplica</t>
  </si>
  <si>
    <t>44593B4ConvencionalIluminação públicaIluminação pública – B4aNão se aplicaNão se aplicaNão se aplica</t>
  </si>
  <si>
    <t>44621B4ConvencionalIluminação públicaIluminação pública – B4aNão se aplicaNão se aplicaNão se aplica</t>
  </si>
  <si>
    <t>44652B4ConvencionalIluminação públicaIluminação pública – B4aNão se aplicaNão se aplicaNão se aplica</t>
  </si>
  <si>
    <t>44682B4ConvencionalIluminação públicaIluminação pública – B4aNão se aplicaNão se aplicaNão se aplica</t>
  </si>
  <si>
    <t>44713B4ConvencionalIluminação públicaIluminação pública – B4aNão se aplicaNão se aplicaNão se aplica</t>
  </si>
  <si>
    <t>44743B4ConvencionalIluminação públicaIluminação pública – B4aNão se aplicaNão se aplicaNão se aplica</t>
  </si>
  <si>
    <t>CHAVE TE</t>
  </si>
  <si>
    <t>44409A4Energia horáriaNão se aplicaNão se aplicaNão se aplicaNão se aplicaFora ponta</t>
  </si>
  <si>
    <t>44440A4Energia horáriaNão se aplicaNão se aplicaNão se aplicaNão se aplicaFora ponta</t>
  </si>
  <si>
    <t>44470A4Energia horáriaNão se aplicaNão se aplicaNão se aplicaNão se aplicaFora ponta</t>
  </si>
  <si>
    <t>44501A4Energia horáriaNão se aplicaNão se aplicaNão se aplicaNão se aplicaFora ponta</t>
  </si>
  <si>
    <t>44531A4Energia horáriaNão se aplicaNão se aplicaNão se aplicaNão se aplicaFora ponta</t>
  </si>
  <si>
    <t>44562A4Energia horáriaNão se aplicaNão se aplicaNão se aplicaNão se aplicaFora ponta</t>
  </si>
  <si>
    <t>44593A4Energia horáriaNão se aplicaNão se aplicaNão se aplicaNão se aplicaFora ponta</t>
  </si>
  <si>
    <t>44621A4Energia horáriaNão se aplicaNão se aplicaNão se aplicaNão se aplicaFora ponta</t>
  </si>
  <si>
    <t>44652A4Energia horáriaNão se aplicaNão se aplicaNão se aplicaNão se aplicaFora ponta</t>
  </si>
  <si>
    <t>44682A4Energia horáriaNão se aplicaNão se aplicaNão se aplicaNão se aplicaFora ponta</t>
  </si>
  <si>
    <t>44713A4Energia horáriaNão se aplicaNão se aplicaNão se aplicaNão se aplicaFora ponta</t>
  </si>
  <si>
    <t>44743A4Energia horáriaNão se aplicaNão se aplicaNão se aplicaNão se aplicaFora ponta</t>
  </si>
  <si>
    <t>44409A4Energia horáriaNão se aplicaNão se aplicaNão se aplicaNão se aplicaPonta</t>
  </si>
  <si>
    <t>44440A4Energia horáriaNão se aplicaNão se aplicaNão se aplicaNão se aplicaPonta</t>
  </si>
  <si>
    <t>44470A4Energia horáriaNão se aplicaNão se aplicaNão se aplicaNão se aplicaPonta</t>
  </si>
  <si>
    <t>44501A4Energia horáriaNão se aplicaNão se aplicaNão se aplicaNão se aplicaPonta</t>
  </si>
  <si>
    <t>44531A4Energia horáriaNão se aplicaNão se aplicaNão se aplicaNão se aplicaPonta</t>
  </si>
  <si>
    <t>44562A4Energia horáriaNão se aplicaNão se aplicaNão se aplicaNão se aplicaPonta</t>
  </si>
  <si>
    <t>44593A4Energia horáriaNão se aplicaNão se aplicaNão se aplicaNão se aplicaPonta</t>
  </si>
  <si>
    <t>44621A4Energia horáriaNão se aplicaNão se aplicaNão se aplicaNão se aplicaPonta</t>
  </si>
  <si>
    <t>44652A4Energia horáriaNão se aplicaNão se aplicaNão se aplicaNão se aplicaPonta</t>
  </si>
  <si>
    <t>44682A4Energia horáriaNão se aplicaNão se aplicaNão se aplicaNão se aplicaPonta</t>
  </si>
  <si>
    <t>44713A4Energia horáriaNão se aplicaNão se aplicaNão se aplicaNão se aplicaPonta</t>
  </si>
  <si>
    <t>44743A4Energia horáriaNão se aplicaNão se aplicaNão se aplicaNão se aplicaPonta</t>
  </si>
  <si>
    <t>CUIDADO</t>
  </si>
  <si>
    <t>Desculpe, mas não foi encontrado posto Não se aplica, modalidade Energia horária, subgrupo A4 no banco de regras.</t>
  </si>
  <si>
    <t>Mercado_Receita</t>
  </si>
  <si>
    <t>S</t>
  </si>
  <si>
    <t>44409B1Energia convencionalResidencialResidencialNão se aplicaNão se aplicaNão se aplica</t>
  </si>
  <si>
    <t>44440B1Energia convencionalResidencialResidencialNão se aplicaNão se aplicaNão se aplica</t>
  </si>
  <si>
    <t>44470B1Energia convencionalResidencialResidencialNão se aplicaNão se aplicaNão se aplica</t>
  </si>
  <si>
    <t>44501B1Energia convencionalResidencialResidencialNão se aplicaNão se aplicaNão se aplica</t>
  </si>
  <si>
    <t>44531B1Energia convencionalResidencialResidencialNão se aplicaNão se aplicaNão se aplica</t>
  </si>
  <si>
    <t>44562B1Energia convencionalResidencialResidencialNão se aplicaNão se aplicaNão se aplica</t>
  </si>
  <si>
    <t>44593B1Energia convencionalResidencialResidencialNão se aplicaNão se aplicaNão se aplica</t>
  </si>
  <si>
    <t>44621B1Energia convencionalResidencialResidencialNão se aplicaNão se aplicaNão se aplica</t>
  </si>
  <si>
    <t>44652B1Energia convencionalResidencialResidencialNão se aplicaNão se aplicaNão se aplica</t>
  </si>
  <si>
    <t>44682B1Energia convencionalResidencialResidencialNão se aplicaNão se aplicaNão se aplica</t>
  </si>
  <si>
    <t>44713B1Energia convencionalResidencialResidencialNão se aplicaNão se aplicaNão se aplica</t>
  </si>
  <si>
    <t>44743B1Energia convencionalResidencialResidencialNão se aplicaNão se aplicaNão se aplica</t>
  </si>
  <si>
    <t>44409B1Energia convencionalResidencialResidencial baixa renda – faixa 01Não se aplicaNão se aplicaNão se aplica</t>
  </si>
  <si>
    <t>44440B1Energia convencionalResidencialResidencial baixa renda – faixa 01Não se aplicaNão se aplicaNão se aplica</t>
  </si>
  <si>
    <t>44470B1Energia convencionalResidencialResidencial baixa renda – faixa 01Não se aplicaNão se aplicaNão se aplica</t>
  </si>
  <si>
    <t>44501B1Energia convencionalResidencialResidencial baixa renda – faixa 01Não se aplicaNão se aplicaNão se aplica</t>
  </si>
  <si>
    <t>44531B1Energia convencionalResidencialResidencial baixa renda – faixa 01Não se aplicaNão se aplicaNão se aplica</t>
  </si>
  <si>
    <t>44562B1Energia convencionalResidencialResidencial baixa renda – faixa 01Não se aplicaNão se aplicaNão se aplica</t>
  </si>
  <si>
    <t>44593B1Energia convencionalResidencialResidencial baixa renda – faixa 01Não se aplicaNão se aplicaNão se aplica</t>
  </si>
  <si>
    <t>44621B1Energia convencionalResidencialResidencial baixa renda – faixa 01Não se aplicaNão se aplicaNão se aplica</t>
  </si>
  <si>
    <t>44652B1Energia convencionalResidencialResidencial baixa renda – faixa 01Não se aplicaNão se aplicaNão se aplica</t>
  </si>
  <si>
    <t>44682B1Energia convencionalResidencialResidencial baixa renda – faixa 01Não se aplicaNão se aplicaNão se aplica</t>
  </si>
  <si>
    <t>44713B1Energia convencionalResidencialResidencial baixa renda – faixa 01Não se aplicaNão se aplicaNão se aplica</t>
  </si>
  <si>
    <t>44743B1Energia convencionalResidencialResidencial baixa renda – faixa 01Não se aplicaNão se aplicaNão se aplica</t>
  </si>
  <si>
    <t>44409B1Energia convencionalResidencialResidencial baixa renda – faixa 02Não se aplicaNão se aplicaNão se aplica</t>
  </si>
  <si>
    <t>44440B1Energia convencionalResidencialResidencial baixa renda – faixa 02Não se aplicaNão se aplicaNão se aplica</t>
  </si>
  <si>
    <t>44470B1Energia convencionalResidencialResidencial baixa renda – faixa 02Não se aplicaNão se aplicaNão se aplica</t>
  </si>
  <si>
    <t>44501B1Energia convencionalResidencialResidencial baixa renda – faixa 02Não se aplicaNão se aplicaNão se aplica</t>
  </si>
  <si>
    <t>44531B1Energia convencionalResidencialResidencial baixa renda – faixa 02Não se aplicaNão se aplicaNão se aplica</t>
  </si>
  <si>
    <t>44562B1Energia convencionalResidencialResidencial baixa renda – faixa 02Não se aplicaNão se aplicaNão se aplica</t>
  </si>
  <si>
    <t>44593B1Energia convencionalResidencialResidencial baixa renda – faixa 02Não se aplicaNão se aplicaNão se aplica</t>
  </si>
  <si>
    <t>44621B1Energia convencionalResidencialResidencial baixa renda – faixa 02Não se aplicaNão se aplicaNão se aplica</t>
  </si>
  <si>
    <t>44652B1Energia convencionalResidencialResidencial baixa renda – faixa 02Não se aplicaNão se aplicaNão se aplica</t>
  </si>
  <si>
    <t>44682B1Energia convencionalResidencialResidencial baixa renda – faixa 02Não se aplicaNão se aplicaNão se aplica</t>
  </si>
  <si>
    <t>44713B1Energia convencionalResidencialResidencial baixa renda – faixa 02Não se aplicaNão se aplicaNão se aplica</t>
  </si>
  <si>
    <t>44743B1Energia convencionalResidencialResidencial baixa renda – faixa 02Não se aplicaNão se aplicaNão se aplica</t>
  </si>
  <si>
    <t>44409B1Energia convencionalResidencialResidencial baixa renda – faixa 03Não se aplicaNão se aplicaNão se aplica</t>
  </si>
  <si>
    <t>44440B1Energia convencionalResidencialResidencial baixa renda – faixa 03Não se aplicaNão se aplicaNão se aplica</t>
  </si>
  <si>
    <t>44470B1Energia convencionalResidencialResidencial baixa renda – faixa 03Não se aplicaNão se aplicaNão se aplica</t>
  </si>
  <si>
    <t>44501B1Energia convencionalResidencialResidencial baixa renda – faixa 03Não se aplicaNão se aplicaNão se aplica</t>
  </si>
  <si>
    <t>44531B1Energia convencionalResidencialResidencial baixa renda – faixa 03Não se aplicaNão se aplicaNão se aplica</t>
  </si>
  <si>
    <t>44562B1Energia convencionalResidencialResidencial baixa renda – faixa 03Não se aplicaNão se aplicaNão se aplica</t>
  </si>
  <si>
    <t>44593B1Energia convencionalResidencialResidencial baixa renda – faixa 03Não se aplicaNão se aplicaNão se aplica</t>
  </si>
  <si>
    <t>44621B1Energia convencionalResidencialResidencial baixa renda – faixa 03Não se aplicaNão se aplicaNão se aplica</t>
  </si>
  <si>
    <t>44652B1Energia convencionalResidencialResidencial baixa renda – faixa 03Não se aplicaNão se aplicaNão se aplica</t>
  </si>
  <si>
    <t>44682B1Energia convencionalResidencialResidencial baixa renda – faixa 03Não se aplicaNão se aplicaNão se aplica</t>
  </si>
  <si>
    <t>44713B1Energia convencionalResidencialResidencial baixa renda – faixa 03Não se aplicaNão se aplicaNão se aplica</t>
  </si>
  <si>
    <t>44743B1Energia convencionalResidencialResidencial baixa renda – faixa 03Não se aplicaNão se aplicaNão se aplica</t>
  </si>
  <si>
    <t>44409B1Energia convencionalResidencialResidencial baixa renda – faixa 04Não se aplicaNão se aplicaNão se aplica</t>
  </si>
  <si>
    <t>44440B1Energia convencionalResidencialResidencial baixa renda – faixa 04Não se aplicaNão se aplicaNão se aplica</t>
  </si>
  <si>
    <t>44470B1Energia convencionalResidencialResidencial baixa renda – faixa 04Não se aplicaNão se aplicaNão se aplica</t>
  </si>
  <si>
    <t>44501B1Energia convencionalResidencialResidencial baixa renda – faixa 04Não se aplicaNão se aplicaNão se aplica</t>
  </si>
  <si>
    <t>44531B1Energia convencionalResidencialResidencial baixa renda – faixa 04Não se aplicaNão se aplicaNão se aplica</t>
  </si>
  <si>
    <t>44562B1Energia convencionalResidencialResidencial baixa renda – faixa 04Não se aplicaNão se aplicaNão se aplica</t>
  </si>
  <si>
    <t>44593B1Energia convencionalResidencialResidencial baixa renda – faixa 04Não se aplicaNão se aplicaNão se aplica</t>
  </si>
  <si>
    <t>44621B1Energia convencionalResidencialResidencial baixa renda – faixa 04Não se aplicaNão se aplicaNão se aplica</t>
  </si>
  <si>
    <t>44652B1Energia convencionalResidencialResidencial baixa renda – faixa 04Não se aplicaNão se aplicaNão se aplica</t>
  </si>
  <si>
    <t>44682B1Energia convencionalResidencialResidencial baixa renda – faixa 04Não se aplicaNão se aplicaNão se aplica</t>
  </si>
  <si>
    <t>44713B1Energia convencionalResidencialResidencial baixa renda – faixa 04Não se aplicaNão se aplicaNão se aplica</t>
  </si>
  <si>
    <t>44743B1Energia convencionalResidencialResidencial baixa renda – faixa 04Não se aplicaNão se aplicaNão se aplica</t>
  </si>
  <si>
    <t>44409B2Energia convencionalRuralNão se aplicaNão se aplicaNão se aplicaNão se aplica</t>
  </si>
  <si>
    <t>44440B2Energia convencionalRuralNão se aplicaNão se aplicaNão se aplicaNão se aplica</t>
  </si>
  <si>
    <t>44470B2Energia convencionalRuralNão se aplicaNão se aplicaNão se aplicaNão se aplica</t>
  </si>
  <si>
    <t>44501B2Energia convencionalRuralNão se aplicaNão se aplicaNão se aplicaNão se aplica</t>
  </si>
  <si>
    <t>44531B2Energia convencionalRuralNão se aplicaNão se aplicaNão se aplicaNão se aplica</t>
  </si>
  <si>
    <t>44562B2Energia convencionalRuralNão se aplicaNão se aplicaNão se aplicaNão se aplica</t>
  </si>
  <si>
    <t>44593B2Energia convencionalRuralNão se aplicaNão se aplicaNão se aplicaNão se aplica</t>
  </si>
  <si>
    <t>44621B2Energia convencionalRuralNão se aplicaNão se aplicaNão se aplicaNão se aplica</t>
  </si>
  <si>
    <t>44652B2Energia convencionalRuralNão se aplicaNão se aplicaNão se aplicaNão se aplica</t>
  </si>
  <si>
    <t>44682B2Energia convencionalRuralNão se aplicaNão se aplicaNão se aplicaNão se aplica</t>
  </si>
  <si>
    <t>44713B2Energia convencionalRuralNão se aplicaNão se aplicaNão se aplicaNão se aplica</t>
  </si>
  <si>
    <t>44743B2Energia convencionalRuralNão se aplicaNão se aplicaNão se aplicaNão se aplica</t>
  </si>
  <si>
    <t>44409B3Energia horáriaNão se aplicaNão se aplicaNão se aplicaNão se aplicaFora ponta</t>
  </si>
  <si>
    <t>44440B3Energia horáriaNão se aplicaNão se aplicaNão se aplicaNão se aplicaFora ponta</t>
  </si>
  <si>
    <t>44470B3Energia horáriaNão se aplicaNão se aplicaNão se aplicaNão se aplicaFora ponta</t>
  </si>
  <si>
    <t>44501B3Energia horáriaNão se aplicaNão se aplicaNão se aplicaNão se aplicaFora ponta</t>
  </si>
  <si>
    <t>44531B3Energia horáriaNão se aplicaNão se aplicaNão se aplicaNão se aplicaFora ponta</t>
  </si>
  <si>
    <t>44562B3Energia horáriaNão se aplicaNão se aplicaNão se aplicaNão se aplicaFora ponta</t>
  </si>
  <si>
    <t>44593B3Energia horáriaNão se aplicaNão se aplicaNão se aplicaNão se aplicaFora ponta</t>
  </si>
  <si>
    <t>44621B3Energia horáriaNão se aplicaNão se aplicaNão se aplicaNão se aplicaFora ponta</t>
  </si>
  <si>
    <t>44652B3Energia horáriaNão se aplicaNão se aplicaNão se aplicaNão se aplicaFora ponta</t>
  </si>
  <si>
    <t>44682B3Energia horáriaNão se aplicaNão se aplicaNão se aplicaNão se aplicaFora ponta</t>
  </si>
  <si>
    <t>44713B3Energia horáriaNão se aplicaNão se aplicaNão se aplicaNão se aplicaFora ponta</t>
  </si>
  <si>
    <t>44743B3Energia horáriaNão se aplicaNão se aplicaNão se aplicaNão se aplicaFora ponta</t>
  </si>
  <si>
    <t>44409B3Energia horáriaNão se aplicaNão se aplicaNão se aplicaNão se aplicaIntermediário</t>
  </si>
  <si>
    <t>44440B3Energia horáriaNão se aplicaNão se aplicaNão se aplicaNão se aplicaIntermediário</t>
  </si>
  <si>
    <t>44470B3Energia horáriaNão se aplicaNão se aplicaNão se aplicaNão se aplicaIntermediário</t>
  </si>
  <si>
    <t>44501B3Energia horáriaNão se aplicaNão se aplicaNão se aplicaNão se aplicaIntermediário</t>
  </si>
  <si>
    <t>44531B3Energia horáriaNão se aplicaNão se aplicaNão se aplicaNão se aplicaIntermediário</t>
  </si>
  <si>
    <t>44562B3Energia horáriaNão se aplicaNão se aplicaNão se aplicaNão se aplicaIntermediário</t>
  </si>
  <si>
    <t>44593B3Energia horáriaNão se aplicaNão se aplicaNão se aplicaNão se aplicaIntermediário</t>
  </si>
  <si>
    <t>44621B3Energia horáriaNão se aplicaNão se aplicaNão se aplicaNão se aplicaIntermediário</t>
  </si>
  <si>
    <t>44652B3Energia horáriaNão se aplicaNão se aplicaNão se aplicaNão se aplicaIntermediário</t>
  </si>
  <si>
    <t>44682B3Energia horáriaNão se aplicaNão se aplicaNão se aplicaNão se aplicaIntermediário</t>
  </si>
  <si>
    <t>44713B3Energia horáriaNão se aplicaNão se aplicaNão se aplicaNão se aplicaIntermediário</t>
  </si>
  <si>
    <t>44743B3Energia horáriaNão se aplicaNão se aplicaNão se aplicaNão se aplicaIntermediário</t>
  </si>
  <si>
    <t>44409B3Energia horáriaNão se aplicaNão se aplicaNão se aplicaNão se aplicaPonta</t>
  </si>
  <si>
    <t>44440B3Energia horáriaNão se aplicaNão se aplicaNão se aplicaNão se aplicaPonta</t>
  </si>
  <si>
    <t>44470B3Energia horáriaNão se aplicaNão se aplicaNão se aplicaNão se aplicaPonta</t>
  </si>
  <si>
    <t>44501B3Energia horáriaNão se aplicaNão se aplicaNão se aplicaNão se aplicaPonta</t>
  </si>
  <si>
    <t>44531B3Energia horáriaNão se aplicaNão se aplicaNão se aplicaNão se aplicaPonta</t>
  </si>
  <si>
    <t>44562B3Energia horáriaNão se aplicaNão se aplicaNão se aplicaNão se aplicaPonta</t>
  </si>
  <si>
    <t>44593B3Energia horáriaNão se aplicaNão se aplicaNão se aplicaNão se aplicaPonta</t>
  </si>
  <si>
    <t>44621B3Energia horáriaNão se aplicaNão se aplicaNão se aplicaNão se aplicaPonta</t>
  </si>
  <si>
    <t>44652B3Energia horáriaNão se aplicaNão se aplicaNão se aplicaNão se aplicaPonta</t>
  </si>
  <si>
    <t>44682B3Energia horáriaNão se aplicaNão se aplicaNão se aplicaNão se aplicaPonta</t>
  </si>
  <si>
    <t>44713B3Energia horáriaNão se aplicaNão se aplicaNão se aplicaNão se aplicaPonta</t>
  </si>
  <si>
    <t>44743B3Energia horáriaNão se aplicaNão se aplicaNão se aplicaNão se aplicaPonta</t>
  </si>
  <si>
    <t>44409B3Energia convencionalNão se aplicaNão se aplicaNão se aplicaNão se aplicaNão se aplica</t>
  </si>
  <si>
    <t>44440B3Energia convencionalNão se aplicaNão se aplicaNão se aplicaNão se aplicaNão se aplica</t>
  </si>
  <si>
    <t>44470B3Energia convencionalNão se aplicaNão se aplicaNão se aplicaNão se aplicaNão se aplica</t>
  </si>
  <si>
    <t>44501B3Energia convencionalNão se aplicaNão se aplicaNão se aplicaNão se aplicaNão se aplica</t>
  </si>
  <si>
    <t>44531B3Energia convencionalNão se aplicaNão se aplicaNão se aplicaNão se aplicaNão se aplica</t>
  </si>
  <si>
    <t>44562B3Energia convencionalNão se aplicaNão se aplicaNão se aplicaNão se aplicaNão se aplica</t>
  </si>
  <si>
    <t>44593B3Energia convencionalNão se aplicaNão se aplicaNão se aplicaNão se aplicaNão se aplica</t>
  </si>
  <si>
    <t>44621B3Energia convencionalNão se aplicaNão se aplicaNão se aplicaNão se aplicaNão se aplica</t>
  </si>
  <si>
    <t>44652B3Energia convencionalNão se aplicaNão se aplicaNão se aplicaNão se aplicaNão se aplica</t>
  </si>
  <si>
    <t>44682B3Energia convencionalNão se aplicaNão se aplicaNão se aplicaNão se aplicaNão se aplica</t>
  </si>
  <si>
    <t>44713B3Energia convencionalNão se aplicaNão se aplicaNão se aplicaNão se aplicaNão se aplica</t>
  </si>
  <si>
    <t>44743B3Energia convencionalNão se aplicaNão se aplicaNão se aplicaNão se aplicaNão se aplica</t>
  </si>
  <si>
    <t>44409B4Energia convencionalIluminação públicaIluminação pública – B4aNão se aplicaNão se aplicaNão se aplica</t>
  </si>
  <si>
    <t>44440B4Energia convencionalIluminação públicaIluminação pública – B4aNão se aplicaNão se aplicaNão se aplica</t>
  </si>
  <si>
    <t>44470B4Energia convencionalIluminação públicaIluminação pública – B4aNão se aplicaNão se aplicaNão se aplica</t>
  </si>
  <si>
    <t>44501B4Energia convencionalIluminação públicaIluminação pública – B4aNão se aplicaNão se aplicaNão se aplica</t>
  </si>
  <si>
    <t>44531B4Energia convencionalIluminação públicaIluminação pública – B4aNão se aplicaNão se aplicaNão se aplica</t>
  </si>
  <si>
    <t>44562B4Energia convencionalIluminação públicaIluminação pública – B4aNão se aplicaNão se aplicaNão se aplica</t>
  </si>
  <si>
    <t>44593B4Energia convencionalIluminação públicaIluminação pública – B4aNão se aplicaNão se aplicaNão se aplica</t>
  </si>
  <si>
    <t>44621B4Energia convencionalIluminação públicaIluminação pública – B4aNão se aplicaNão se aplicaNão se aplica</t>
  </si>
  <si>
    <t>44652B4Energia convencionalIluminação públicaIluminação pública – B4aNão se aplicaNão se aplicaNão se aplica</t>
  </si>
  <si>
    <t>44682B4Energia convencionalIluminação públicaIluminação pública – B4aNão se aplicaNão se aplicaNão se aplica</t>
  </si>
  <si>
    <t>44713B4Energia convencionalIluminação públicaIluminação pública – B4aNão se aplicaNão se aplicaNão se aplica</t>
  </si>
  <si>
    <t>44743B4Energia convencionalIluminação públicaIluminação pública – B4aNão se aplicaNão se aplicaNão se aplica</t>
  </si>
  <si>
    <t>RECEITA VERIFICADA</t>
  </si>
  <si>
    <t>TUSD</t>
  </si>
  <si>
    <t>ENCARGO</t>
  </si>
  <si>
    <t>TFSEE</t>
  </si>
  <si>
    <t>P&amp;D</t>
  </si>
  <si>
    <t>ONS</t>
  </si>
  <si>
    <t>CCC</t>
  </si>
  <si>
    <t>CDE</t>
  </si>
  <si>
    <t>PROINFA</t>
  </si>
  <si>
    <t>LIMINAR 1</t>
  </si>
  <si>
    <t>SUBTOTAL</t>
  </si>
  <si>
    <t>FIO A</t>
  </si>
  <si>
    <t>TUSD RB</t>
  </si>
  <si>
    <t>TUSD FR</t>
  </si>
  <si>
    <t>CONEXAO T</t>
  </si>
  <si>
    <t>CONEXAO D</t>
  </si>
  <si>
    <t>CUSD</t>
  </si>
  <si>
    <t>TUSDG-T</t>
  </si>
  <si>
    <t>TUSDG-ONS</t>
  </si>
  <si>
    <t>FIO B</t>
  </si>
  <si>
    <t>DISTRIBUICAO</t>
  </si>
  <si>
    <t>Nao se aplica</t>
  </si>
  <si>
    <t>SUBSIDIO</t>
  </si>
  <si>
    <t>OUTROS</t>
  </si>
  <si>
    <t>PERDAS</t>
  </si>
  <si>
    <t>PERDAS TECNICAS</t>
  </si>
  <si>
    <t>PERDAS RB/ PERDAS D</t>
  </si>
  <si>
    <t>PERDAS NAO TECNICAS</t>
  </si>
  <si>
    <t>RI</t>
  </si>
  <si>
    <t>TE</t>
  </si>
  <si>
    <t>ESS/ERR</t>
  </si>
  <si>
    <t>CFURH</t>
  </si>
  <si>
    <t>CDE ELET</t>
  </si>
  <si>
    <t>ENERGIA</t>
  </si>
  <si>
    <t>ENERGIA REVENDA</t>
  </si>
  <si>
    <t>ITAIPU</t>
  </si>
  <si>
    <t>TUST ITAIPU</t>
  </si>
  <si>
    <t>TUST CI</t>
  </si>
  <si>
    <t>PERDAS RB/C</t>
  </si>
  <si>
    <t>TOTAL</t>
  </si>
  <si>
    <t>TIPO TARIFA</t>
  </si>
  <si>
    <t>GRUPO DE CUSTO</t>
  </si>
  <si>
    <t>CUSTO</t>
  </si>
  <si>
    <t>BASE ECONÔMICA</t>
  </si>
  <si>
    <t>BASE FINANCEIRA</t>
  </si>
  <si>
    <t>CVA</t>
  </si>
  <si>
    <t>Parâmetros de cálculo</t>
  </si>
  <si>
    <t>IRP ECONÔMICO (%)</t>
  </si>
  <si>
    <t>IRP FINANCEIRO (%)</t>
  </si>
  <si>
    <t>IGP-M (%)</t>
  </si>
  <si>
    <t>ALÍQUOTA P&amp;D (%)</t>
  </si>
  <si>
    <t>PROJEÇÃO MERC. (%)</t>
  </si>
  <si>
    <t>Perdas TOTAIS (MWh)</t>
  </si>
  <si>
    <t>Perdas Técnicas (MWh)</t>
  </si>
  <si>
    <t>Perdas Não Técnicas (MWh)</t>
  </si>
  <si>
    <t>Perdas na RB (sobre perdas na D) (MWh)</t>
  </si>
  <si>
    <t>Perdas na RB (sobre mercado cativo) (MWh)</t>
  </si>
  <si>
    <t>ENERGIA REQUERIDA (MWh)</t>
  </si>
  <si>
    <t>PROINFA (MWh)</t>
  </si>
  <si>
    <t>MIX COMPRA (R$/MWh)</t>
  </si>
  <si>
    <t>ENERGIA ECON. (R$)</t>
  </si>
  <si>
    <t>ENERGIA FIN. (R$)</t>
  </si>
  <si>
    <t>ENERGIA CVA (R$)</t>
  </si>
  <si>
    <t>RB FIN. (R$)</t>
  </si>
  <si>
    <t>RB CVA (R$)</t>
  </si>
  <si>
    <t>P&amp;D FIN. (R$)</t>
  </si>
  <si>
    <t>P&amp;D CVA (R$)</t>
  </si>
  <si>
    <t>VERSÃO</t>
  </si>
  <si>
    <t>Constante FAIXA 1 BR</t>
  </si>
  <si>
    <t>Constante FAIXA 2 BR</t>
  </si>
  <si>
    <t>Constante FAIXA 3 BR</t>
  </si>
  <si>
    <t>Constante FAIXA 4 BR</t>
  </si>
  <si>
    <t>Constante B2 Rural</t>
  </si>
  <si>
    <t>Constante B2 Cooperativas</t>
  </si>
  <si>
    <t>Constante B2 SPI</t>
  </si>
  <si>
    <t>Constante B3</t>
  </si>
  <si>
    <t>Constante B4a</t>
  </si>
  <si>
    <t>Constante B4b</t>
  </si>
  <si>
    <t>Constante PUB. FAIXA 1 BR</t>
  </si>
  <si>
    <t>Constante PUB. FAIXA 2 BR</t>
  </si>
  <si>
    <t>Constante PUB. FAIXA 3 BR</t>
  </si>
  <si>
    <t>Constante PUB. FAIXA 4 BR</t>
  </si>
  <si>
    <t>Constante PUB. B2 Rural</t>
  </si>
  <si>
    <t>Constante PUB. B2 Cooperativas</t>
  </si>
  <si>
    <t>Constante PUB. B2 SPI</t>
  </si>
  <si>
    <t>Conexão CONS. A1</t>
  </si>
  <si>
    <t>CDE ENERGIA ACR</t>
  </si>
  <si>
    <t>CDE Covid TUSD</t>
  </si>
  <si>
    <t>P&amp;D ECON. (R$)</t>
  </si>
  <si>
    <t>CUSTOS</t>
  </si>
  <si>
    <t>CDE Covid TE</t>
  </si>
  <si>
    <t>ABA Merc. Rec. TUSD (kW)</t>
  </si>
  <si>
    <t>ABA Merc. Rec. TUSD (MWh)</t>
  </si>
  <si>
    <t>ABA Merc. Rec. TE (MWh)</t>
  </si>
  <si>
    <t>ABA Merc. TUSD TUSD (kW)</t>
  </si>
  <si>
    <t>ABA Merc. TUSD TUSD (MWh)</t>
  </si>
  <si>
    <t>ABA Merc. TE TE (MWh)</t>
  </si>
  <si>
    <t>TESTE TUSD (kW)</t>
  </si>
  <si>
    <t>TESTE TUSD (MWh)</t>
  </si>
  <si>
    <t>TESTE TE (MWh)</t>
  </si>
  <si>
    <t>Resolução</t>
  </si>
  <si>
    <t>RESOLUÇÃO HOMOLOGATÓRIA Nº 2.922, DE 24 DE AGOSTO DE 2021</t>
  </si>
  <si>
    <t>MERC.</t>
  </si>
  <si>
    <t>TR TUSD</t>
  </si>
  <si>
    <t>VAR AUX</t>
  </si>
  <si>
    <t>CUSTO REC. CAR.</t>
  </si>
  <si>
    <t>CUSTO REC. GER.</t>
  </si>
  <si>
    <t>CUSTO REC. DEM.</t>
  </si>
  <si>
    <t>CON. D/T</t>
  </si>
  <si>
    <t>COEF. AJ. BE</t>
  </si>
  <si>
    <t>TUSD BE</t>
  </si>
  <si>
    <t>CUSTO TEÓRICO</t>
  </si>
  <si>
    <t>COEF. AJ. BF</t>
  </si>
  <si>
    <t>TUSD BF</t>
  </si>
  <si>
    <t>COEF. AJ. CVA</t>
  </si>
  <si>
    <t>AUX. SUBS.</t>
  </si>
  <si>
    <t>TUSD CVA</t>
  </si>
  <si>
    <t>TR TE</t>
  </si>
  <si>
    <t>BASE TEÓRICA</t>
  </si>
  <si>
    <t>TE SUP.</t>
  </si>
  <si>
    <t>COEF. AJ. BE CDE S/ ACR</t>
  </si>
  <si>
    <t>COEF. AJ. BE CDE SÓ ACR</t>
  </si>
  <si>
    <t>TE BE</t>
  </si>
  <si>
    <t>TE BF</t>
  </si>
  <si>
    <t>TE CVA</t>
  </si>
  <si>
    <t>TOTAL ABAS</t>
  </si>
  <si>
    <t>AVALIAÇÃO</t>
  </si>
  <si>
    <t>Coeficientes de transição</t>
  </si>
  <si>
    <t>A2</t>
  </si>
  <si>
    <t>A3</t>
  </si>
  <si>
    <t>A3a</t>
  </si>
  <si>
    <t>AS</t>
  </si>
  <si>
    <t>Carga</t>
  </si>
  <si>
    <t>Ajustado para o passo 4 da transição. Não altere.</t>
  </si>
  <si>
    <t>TipoTarifa</t>
  </si>
  <si>
    <t>UP</t>
  </si>
  <si>
    <t>US</t>
  </si>
  <si>
    <t>UT</t>
  </si>
  <si>
    <t>AnoRef</t>
  </si>
  <si>
    <t>Evento</t>
  </si>
  <si>
    <t>Potência</t>
  </si>
  <si>
    <t>Ativa</t>
  </si>
  <si>
    <t>Energia</t>
  </si>
  <si>
    <t>CÓD.</t>
  </si>
  <si>
    <t>TUSD (R$/kW)</t>
  </si>
  <si>
    <t>TUSD (R$/MWh)</t>
  </si>
  <si>
    <t>TE (R$/MWh)</t>
  </si>
  <si>
    <t>TUSD (R$/kW) NOVA</t>
  </si>
  <si>
    <t>TUSD (R$/MWh) NOVA</t>
  </si>
  <si>
    <t>TE (R$/MWh) NOVA</t>
  </si>
  <si>
    <t>Empresa</t>
  </si>
  <si>
    <t>Ramo</t>
  </si>
  <si>
    <t>Tipo</t>
  </si>
  <si>
    <t>Unidade</t>
  </si>
  <si>
    <t>Percentual Desconto</t>
  </si>
  <si>
    <t>modalidade</t>
  </si>
  <si>
    <t>subgrupo</t>
  </si>
  <si>
    <t>classe</t>
  </si>
  <si>
    <t>subclasse</t>
  </si>
  <si>
    <t>detalhe</t>
  </si>
  <si>
    <t>Passo atual</t>
  </si>
  <si>
    <t>desconto 0 - 8</t>
  </si>
  <si>
    <t>RA0 ou RV - TUSD (kW)</t>
  </si>
  <si>
    <t>RA0 ou RV - TUSD (MWh)</t>
  </si>
  <si>
    <t>RA0 ou RV - TE (MWh)</t>
  </si>
  <si>
    <t>RA1 ou RRD - TUSD (kW)</t>
  </si>
  <si>
    <t>RA1 ou RRD - TUSD (MWh)</t>
  </si>
  <si>
    <t>RA1 ou RRD - TE (MWh)</t>
  </si>
  <si>
    <t>RA0 ou RV - TUSD</t>
  </si>
  <si>
    <t>RA1 ou RRD - TUSD</t>
  </si>
  <si>
    <t>VARIAÇÃO</t>
  </si>
  <si>
    <t>RA0 ou RV - TE</t>
  </si>
  <si>
    <t>RA1 ou RRD - TE</t>
  </si>
  <si>
    <t>RA0 ou RV</t>
  </si>
  <si>
    <t>RA1 ou RRD</t>
  </si>
  <si>
    <t>A</t>
  </si>
  <si>
    <t>A+B</t>
  </si>
  <si>
    <t>Rótulos de Linha</t>
  </si>
  <si>
    <t>Soma de RA0 ou RV - TUSD (kW)</t>
  </si>
  <si>
    <t>Soma de RA1 ou RRD - TUSD (kW)</t>
  </si>
  <si>
    <t>Soma de RA0 ou RV - TUSD (MWh)</t>
  </si>
  <si>
    <t>Soma de RA1 ou RRD - TUSD (MWh)</t>
  </si>
  <si>
    <t>Soma de RA0 ou RV - TE (MWh)</t>
  </si>
  <si>
    <t>Soma de RA1 ou RRD - TE (MWh)</t>
  </si>
  <si>
    <t>Soma de Variação TUSD</t>
  </si>
  <si>
    <t>Soma de Variação TE</t>
  </si>
  <si>
    <t>Soma de Variação</t>
  </si>
  <si>
    <t>SUBSIDIO kW - TV</t>
  </si>
  <si>
    <t>SUBSIDIO MWh - TV</t>
  </si>
  <si>
    <t>SUBSIDIO kW - TN</t>
  </si>
  <si>
    <t>SUBSIDIO MWh - TN</t>
  </si>
  <si>
    <t>TIPO</t>
  </si>
  <si>
    <t>SUBSIDIO CARGA FONTE INCENTIVADA</t>
  </si>
  <si>
    <t>SUBSIDIO ÁGUA, ESGOTO E SANEAMENTO</t>
  </si>
  <si>
    <t>SUBSIDIO BAIXA RENDA</t>
  </si>
  <si>
    <t>SUBSIDIO RURAL</t>
  </si>
  <si>
    <t>SUBSIDIO IRRIGANTE/AQUICULTOR</t>
  </si>
  <si>
    <t>R$ (TV)</t>
  </si>
  <si>
    <t>R$ (TN)</t>
  </si>
  <si>
    <t>SUBSIDIO GERAÇÃO FONTE INCENTIVADA</t>
  </si>
  <si>
    <t>SUBSIDIO DISTRIBUIÇÃO</t>
  </si>
  <si>
    <t>(vazio)</t>
  </si>
  <si>
    <t>Soma de SUBSIDIO kW - TV</t>
  </si>
  <si>
    <t>Soma de SUBSIDIO MWh - TV</t>
  </si>
  <si>
    <t>Soma de SUBSIDIO kW - TN</t>
  </si>
  <si>
    <t>Soma de SUBSIDIO MWh - TN</t>
  </si>
  <si>
    <t>Soma de TOTAL TV</t>
  </si>
  <si>
    <t>Soma de TOTAL TN</t>
  </si>
  <si>
    <t>Azul1Serviço públicoÁgua, esgoto e saneamentoPlanilha CUSTOA4</t>
  </si>
  <si>
    <t>2021</t>
  </si>
  <si>
    <t>Planilha CUSTO</t>
  </si>
  <si>
    <t>Verde1Serviço públicoÁgua, esgoto e saneamentoPlanilha CUSTOA4</t>
  </si>
  <si>
    <t>Convencional 1Serviço públicoÁgua, esgoto e saneamentoPlanilha CUSTOA4</t>
  </si>
  <si>
    <t xml:space="preserve">Convencional </t>
  </si>
  <si>
    <t>Convencional1Serviço públicoÁgua, esgoto e saneamentoPlanilha CUSTOB3</t>
  </si>
  <si>
    <t>Branca1Serviço públicoÁgua, esgoto e saneamentoPlanilha CUSTOB3</t>
  </si>
  <si>
    <t>Convencional1RuralCooperativa de eletrificação ruralPlanilha CUSTOB2</t>
  </si>
  <si>
    <t>Branca 1RuralCooperativa de eletrificação ruralPlanilha CUSTOB2</t>
  </si>
  <si>
    <t xml:space="preserve">Branca </t>
  </si>
  <si>
    <t>Convencional1RuralNão se aplicaRuralB2</t>
  </si>
  <si>
    <t>Azul1RuralNão se aplicaPlanilha CustoA4</t>
  </si>
  <si>
    <t>Planilha Custo</t>
  </si>
  <si>
    <t>Verde1RuralNão se aplicaPlanilha CustoA4</t>
  </si>
  <si>
    <t>Convencional1RuralNão se aplicaPlanilha CustoA4</t>
  </si>
  <si>
    <t>Branca1RuralNão se aplicaRuralB2</t>
  </si>
  <si>
    <t>Convencional1RuralServiço público de irrigação ruralPlanilha CUSTOB2</t>
  </si>
  <si>
    <t>Branca 1RuralServiço público de irrigação ruralPlanilha CUSTOB2</t>
  </si>
  <si>
    <t>Chave</t>
  </si>
  <si>
    <t>Cod</t>
  </si>
  <si>
    <t>idagente</t>
  </si>
  <si>
    <t>IdUC</t>
  </si>
  <si>
    <t>SubClasse</t>
  </si>
  <si>
    <t>D0</t>
  </si>
  <si>
    <t>D1</t>
  </si>
  <si>
    <t>D2</t>
  </si>
  <si>
    <t>D3</t>
  </si>
  <si>
    <t>D4</t>
  </si>
  <si>
    <t>D5</t>
  </si>
  <si>
    <t>D6</t>
  </si>
  <si>
    <t>D7</t>
  </si>
  <si>
    <t>D8</t>
  </si>
  <si>
    <t>Passo_Atual</t>
  </si>
  <si>
    <t>TUSD kW R$</t>
  </si>
  <si>
    <t>TUSD MW R$</t>
  </si>
  <si>
    <t>TE MWh R$</t>
  </si>
  <si>
    <t>SUB TUSD kW R$</t>
  </si>
  <si>
    <t>SUB TUSD MW R$</t>
  </si>
  <si>
    <t>SUB TE MWh R$</t>
  </si>
  <si>
    <t>TABELA CONSISTÊNCIA</t>
  </si>
  <si>
    <t>A1</t>
  </si>
  <si>
    <t>TUSD kW COMP. PR. R$</t>
  </si>
  <si>
    <t>TUSD MWh COMP. PR. R$</t>
  </si>
  <si>
    <t>TE MWh COMP. PR. R$</t>
  </si>
  <si>
    <t>TUSD kW SUB. PR. R$</t>
  </si>
  <si>
    <t>TUSD MWh SUB. PR. R$</t>
  </si>
  <si>
    <t>TE MWh SUB. PR. R$</t>
  </si>
  <si>
    <t>TUSD kW EFT. PR. R$</t>
  </si>
  <si>
    <t>TUSD MWh EFT. PR. R$</t>
  </si>
  <si>
    <t>TE MWh EFT. PR. R$</t>
  </si>
  <si>
    <t>TUSD kW EFT. VR. R$</t>
  </si>
  <si>
    <t>TUSD MWh EFT. VR. R$</t>
  </si>
  <si>
    <t>TE MWh EFT. VR. R$</t>
  </si>
  <si>
    <t>TUSD kW SUB. VR. R$</t>
  </si>
  <si>
    <t>TUSD+TE MWh SUB. VR. R$</t>
  </si>
  <si>
    <t>EFT. TUSD kW</t>
  </si>
  <si>
    <t>EFT. TUSD MWh</t>
  </si>
  <si>
    <t>EFT. TE MWh</t>
  </si>
  <si>
    <t>SUB. TUSD kW</t>
  </si>
  <si>
    <t>SUB. TUSD+TE MWh</t>
  </si>
  <si>
    <t>PLANILHA</t>
  </si>
  <si>
    <t>ERRO DETECTADO</t>
  </si>
  <si>
    <t>TABELA 1 - TARIFAS DE APLICAÇÃO E BASE ECONÔMICA PARA O GRUPO A</t>
  </si>
  <si>
    <t>ACESSANTE</t>
  </si>
  <si>
    <t>TARIFAS DE APLICAÇÃO</t>
  </si>
  <si>
    <t>R$/kW</t>
  </si>
  <si>
    <t>R$/MWh</t>
  </si>
  <si>
    <t>P</t>
  </si>
  <si>
    <t>FP</t>
  </si>
  <si>
    <t>Azul APE</t>
  </si>
  <si>
    <t>NA</t>
  </si>
  <si>
    <t>Verde APE</t>
  </si>
  <si>
    <t>TABELA 2 - TARIFAS DE APLICAÇÃO E BASE ECONÔMICA PARA O GRUPO B</t>
  </si>
  <si>
    <t>BRANCA</t>
  </si>
  <si>
    <t>RESIDENCIAL</t>
  </si>
  <si>
    <t>INT</t>
  </si>
  <si>
    <t>PRÉ-PAGAMENTO</t>
  </si>
  <si>
    <t>BAIXA RENDA</t>
  </si>
  <si>
    <t>CONVENCIONAL</t>
  </si>
  <si>
    <t>RURAL</t>
  </si>
  <si>
    <t>NÃO SE APLICA</t>
  </si>
  <si>
    <t>COOPERATIVA DE ELETRIFICAÇÃO RURAL</t>
  </si>
  <si>
    <t>SERVIÇO PÚBLICO DE IRRIGAÇÃO RURAL</t>
  </si>
  <si>
    <t>ILUMINAÇÃO PÚBLICA</t>
  </si>
  <si>
    <t>ILUMINAÇÃO PÚBLICA – B4A</t>
  </si>
  <si>
    <t>ILUMINAÇÃO PÚBLICA – B4B</t>
  </si>
  <si>
    <t>GERAÇÃO</t>
  </si>
  <si>
    <t>TUSD BASE FINANCEIRA NOVA</t>
  </si>
  <si>
    <t>TUSD BASE FINANCEIRA VIGENTE</t>
  </si>
  <si>
    <t>A4Azul</t>
  </si>
  <si>
    <t>A4AzulNão se aplica</t>
  </si>
  <si>
    <t>A4AzulNão se aplicaNão se aplica</t>
  </si>
  <si>
    <t>A4AzulNão se aplicaNão se aplicaNão se aplica</t>
  </si>
  <si>
    <t>A4AzulNão se aplicaNão se aplicaNão se aplicaNão se aplica</t>
  </si>
  <si>
    <t>A4AzulNão se aplicaNão se aplicaNão se aplicaNão se aplicaDP</t>
  </si>
  <si>
    <t>A4AzulNão se aplicaNão se aplicaNão se aplicaNão se aplicaDFP</t>
  </si>
  <si>
    <t>A4AzulNão se aplicaNão se aplicaNão se aplicaNão se aplicaE</t>
  </si>
  <si>
    <t>A4AzulNão se aplicaNão se aplicaAPE</t>
  </si>
  <si>
    <t>A4AzulNão se aplicaNão se aplicaAPENão se aplica</t>
  </si>
  <si>
    <t>A4AzulNão se aplicaNão se aplicaAPENão se aplicaE</t>
  </si>
  <si>
    <t>A4Geração</t>
  </si>
  <si>
    <t>A4GeraçãoNão se aplica</t>
  </si>
  <si>
    <t>A4GeraçãoNão se aplicaNão se aplica</t>
  </si>
  <si>
    <t>A4GeraçãoNão se aplicaNão se aplicaNão se aplica</t>
  </si>
  <si>
    <t>A4GeraçãoNão se aplicaNão se aplicaNão se aplicaNão se aplica</t>
  </si>
  <si>
    <t>A4GeraçãoNão se aplicaNão se aplicaNão se aplicaNão se aplicaD</t>
  </si>
  <si>
    <t>A4Verde</t>
  </si>
  <si>
    <t>A4VerdeNão se aplica</t>
  </si>
  <si>
    <t>A4VerdeNão se aplicaNão se aplica</t>
  </si>
  <si>
    <t>A4VerdeNão se aplicaNão se aplicaNão se aplica</t>
  </si>
  <si>
    <t>A4VerdeNão se aplicaNão se aplicaNão se aplicaNão se aplica</t>
  </si>
  <si>
    <t>A4VerdeNão se aplicaNão se aplicaNão se aplicaNão se aplicaD</t>
  </si>
  <si>
    <t>A4VerdeNão se aplicaNão se aplicaNão se aplicaNão se aplicaEP</t>
  </si>
  <si>
    <t>A4VerdeNão se aplicaNão se aplicaNão se aplicaNão se aplicaEFP</t>
  </si>
  <si>
    <t>A4VerdeNão se aplicaNão se aplicaAPE</t>
  </si>
  <si>
    <t>A4VerdeNão se aplicaNão se aplicaAPENão se aplica</t>
  </si>
  <si>
    <t>A4VerdeNão se aplicaNão se aplicaAPENão se aplicaEP</t>
  </si>
  <si>
    <t>A4VerdeNão se aplicaNão se aplicaAPENão se aplicaEFP</t>
  </si>
  <si>
    <t>BGeração</t>
  </si>
  <si>
    <t>BGeraçãoNão se aplica</t>
  </si>
  <si>
    <t>BGeraçãoNão se aplicaNão se aplica</t>
  </si>
  <si>
    <t>BGeraçãoNão se aplicaNão se aplicaTIPO 01</t>
  </si>
  <si>
    <t>BGeraçãoNão se aplicaNão se aplicaTIPO 01Não se aplica</t>
  </si>
  <si>
    <t>BGeraçãoNão se aplicaNão se aplicaTIPO 01Não se aplicaD</t>
  </si>
  <si>
    <t>BGeraçãoNão se aplicaNão se aplicaTIPO 02</t>
  </si>
  <si>
    <t>BGeraçãoNão se aplicaNão se aplicaTIPO 02Não se aplica</t>
  </si>
  <si>
    <t>BGeraçãoNão se aplicaNão se aplicaTIPO 02Não se aplicaD</t>
  </si>
  <si>
    <t>B1Branca</t>
  </si>
  <si>
    <t>B1BrancaResidencial</t>
  </si>
  <si>
    <t>B1BrancaResidencialResidencial</t>
  </si>
  <si>
    <t>B1BrancaResidencialResidencialNão se aplica</t>
  </si>
  <si>
    <t>B1BrancaResidencialResidencialNão se aplicaNão se aplica</t>
  </si>
  <si>
    <t>B1BrancaResidencialResidencialNão se aplicaNão se aplicaEP</t>
  </si>
  <si>
    <t>B1BrancaResidencialResidencialNão se aplicaNão se aplicaEINT</t>
  </si>
  <si>
    <t>B1BrancaResidencialResidencialNão se aplicaNão se aplicaEFP</t>
  </si>
  <si>
    <t>B1Convencional</t>
  </si>
  <si>
    <t>B1ConvencionalResidencial</t>
  </si>
  <si>
    <t>B1ConvencionalResidencialResidencial</t>
  </si>
  <si>
    <t>B1ConvencionalResidencialResidencialNão se aplica</t>
  </si>
  <si>
    <t>B1ConvencionalResidencialResidencialNão se aplicaNão se aplica</t>
  </si>
  <si>
    <t>B1ConvencionalResidencialResidencialNão se aplicaNão se aplicaE</t>
  </si>
  <si>
    <t>B1ConvencionalResidencialResidencial baixa renda – faixa 01</t>
  </si>
  <si>
    <t>B1ConvencionalResidencialResidencial baixa renda – faixa 01Não se aplica</t>
  </si>
  <si>
    <t>B1ConvencionalResidencialResidencial baixa renda – faixa 01Não se aplicaNão se aplica</t>
  </si>
  <si>
    <t>B1ConvencionalResidencialResidencial baixa renda – faixa 01Não se aplicaNão se aplicaE</t>
  </si>
  <si>
    <t>B1ConvencionalResidencialResidencial baixa renda – faixa 02</t>
  </si>
  <si>
    <t>B1ConvencionalResidencialResidencial baixa renda – faixa 02Não se aplica</t>
  </si>
  <si>
    <t>B1ConvencionalResidencialResidencial baixa renda – faixa 02Não se aplicaNão se aplica</t>
  </si>
  <si>
    <t>B1ConvencionalResidencialResidencial baixa renda – faixa 02Não se aplicaNão se aplicaE</t>
  </si>
  <si>
    <t>B1ConvencionalResidencialResidencial baixa renda – faixa 03</t>
  </si>
  <si>
    <t>B1ConvencionalResidencialResidencial baixa renda – faixa 03Não se aplica</t>
  </si>
  <si>
    <t>B1ConvencionalResidencialResidencial baixa renda – faixa 03Não se aplicaNão se aplica</t>
  </si>
  <si>
    <t>B1ConvencionalResidencialResidencial baixa renda – faixa 03Não se aplicaNão se aplicaE</t>
  </si>
  <si>
    <t>B1ConvencionalResidencialResidencial baixa renda – faixa 04</t>
  </si>
  <si>
    <t>B1ConvencionalResidencialResidencial baixa renda – faixa 04Não se aplica</t>
  </si>
  <si>
    <t>B1ConvencionalResidencialResidencial baixa renda – faixa 04Não se aplicaNão se aplica</t>
  </si>
  <si>
    <t>B1ConvencionalResidencialResidencial baixa renda – faixa 04Não se aplicaNão se aplicaE</t>
  </si>
  <si>
    <t>B1Convencional pré-pagamento</t>
  </si>
  <si>
    <t>B1Convencional pré-pagamentoResidencial</t>
  </si>
  <si>
    <t>B1Convencional pré-pagamentoResidencialResidencial</t>
  </si>
  <si>
    <t>B1Convencional pré-pagamentoResidencialResidencialNão se aplica</t>
  </si>
  <si>
    <t>B1Convencional pré-pagamentoResidencialResidencialNão se aplicaNão se aplica</t>
  </si>
  <si>
    <t>B1Convencional pré-pagamentoResidencialResidencialNão se aplicaNão se aplicaE</t>
  </si>
  <si>
    <t>B1Convencional pré-pagamentoResidencialResidencial baixa renda – faixa 01</t>
  </si>
  <si>
    <t>B1Convencional pré-pagamentoResidencialResidencial baixa renda – faixa 01Não se aplica</t>
  </si>
  <si>
    <t>B1Convencional pré-pagamentoResidencialResidencial baixa renda – faixa 01Não se aplicaNão se aplica</t>
  </si>
  <si>
    <t>B1Convencional pré-pagamentoResidencialResidencial baixa renda – faixa 01Não se aplicaNão se aplicaE</t>
  </si>
  <si>
    <t>B1Convencional pré-pagamentoResidencialResidencial baixa renda – faixa 02</t>
  </si>
  <si>
    <t>B1Convencional pré-pagamentoResidencialResidencial baixa renda – faixa 02Não se aplica</t>
  </si>
  <si>
    <t>B1Convencional pré-pagamentoResidencialResidencial baixa renda – faixa 02Não se aplicaNão se aplica</t>
  </si>
  <si>
    <t>B1Convencional pré-pagamentoResidencialResidencial baixa renda – faixa 02Não se aplicaNão se aplicaE</t>
  </si>
  <si>
    <t>B1Convencional pré-pagamentoResidencialResidencial baixa renda – faixa 03</t>
  </si>
  <si>
    <t>B1Convencional pré-pagamentoResidencialResidencial baixa renda – faixa 03Não se aplica</t>
  </si>
  <si>
    <t>B1Convencional pré-pagamentoResidencialResidencial baixa renda – faixa 03Não se aplicaNão se aplica</t>
  </si>
  <si>
    <t>B1Convencional pré-pagamentoResidencialResidencial baixa renda – faixa 03Não se aplicaNão se aplicaE</t>
  </si>
  <si>
    <t>B1Convencional pré-pagamentoResidencialResidencial baixa renda – faixa 04</t>
  </si>
  <si>
    <t>B1Convencional pré-pagamentoResidencialResidencial baixa renda – faixa 04Não se aplica</t>
  </si>
  <si>
    <t>B1Convencional pré-pagamentoResidencialResidencial baixa renda – faixa 04Não se aplicaNão se aplica</t>
  </si>
  <si>
    <t>B1Convencional pré-pagamentoResidencialResidencial baixa renda – faixa 04Não se aplicaNão se aplicaE</t>
  </si>
  <si>
    <t>B2Branca</t>
  </si>
  <si>
    <t>B2BrancaRural</t>
  </si>
  <si>
    <t>B2BrancaRuralNão se aplica</t>
  </si>
  <si>
    <t>B2BrancaRuralNão se aplicaNão se aplica</t>
  </si>
  <si>
    <t>B2BrancaRuralNão se aplicaNão se aplicaNão se aplica</t>
  </si>
  <si>
    <t>B2BrancaRuralNão se aplicaNão se aplicaNão se aplicaEP</t>
  </si>
  <si>
    <t>B2BrancaRuralNão se aplicaNão se aplicaNão se aplicaEINT</t>
  </si>
  <si>
    <t>B2BrancaRuralNão se aplicaNão se aplicaNão se aplicaEFP</t>
  </si>
  <si>
    <t>B2Convencional</t>
  </si>
  <si>
    <t>B2ConvencionalRural</t>
  </si>
  <si>
    <t>B2ConvencionalRuralNão se aplica</t>
  </si>
  <si>
    <t>B2ConvencionalRuralNão se aplicaNão se aplica</t>
  </si>
  <si>
    <t>B2ConvencionalRuralNão se aplicaNão se aplicaNão se aplica</t>
  </si>
  <si>
    <t>B2ConvencionalRuralNão se aplicaNão se aplicaNão se aplicaE</t>
  </si>
  <si>
    <t>B2BrancaRuralCooperativa de eletrificação rural</t>
  </si>
  <si>
    <t>B2BrancaRuralCooperativa de eletrificação ruralNão se aplica</t>
  </si>
  <si>
    <t>B2BrancaRuralCooperativa de eletrificação ruralNão se aplicaNão se aplica</t>
  </si>
  <si>
    <t>B2BrancaRuralCooperativa de eletrificação ruralNão se aplicaNão se aplicaEP</t>
  </si>
  <si>
    <t>B2BrancaRuralCooperativa de eletrificação ruralNão se aplicaNão se aplicaEINT</t>
  </si>
  <si>
    <t>B2BrancaRuralCooperativa de eletrificação ruralNão se aplicaNão se aplicaEFP</t>
  </si>
  <si>
    <t>B2ConvencionalRuralCooperativa de eletrificação rural</t>
  </si>
  <si>
    <t>B2ConvencionalRuralCooperativa de eletrificação ruralNão se aplica</t>
  </si>
  <si>
    <t>B2ConvencionalRuralCooperativa de eletrificação ruralNão se aplicaNão se aplica</t>
  </si>
  <si>
    <t>B2ConvencionalRuralCooperativa de eletrificação ruralNão se aplicaNão se aplicaE</t>
  </si>
  <si>
    <t>B2BrancaRuralServiço público de irrigação rural</t>
  </si>
  <si>
    <t>B2BrancaRuralServiço público de irrigação ruralNão se aplica</t>
  </si>
  <si>
    <t>B2BrancaRuralServiço público de irrigação ruralNão se aplicaNão se aplica</t>
  </si>
  <si>
    <t>B2BrancaRuralServiço público de irrigação ruralNão se aplicaNão se aplicaEP</t>
  </si>
  <si>
    <t>B2BrancaRuralServiço público de irrigação ruralNão se aplicaNão se aplicaEINT</t>
  </si>
  <si>
    <t>B2BrancaRuralServiço público de irrigação ruralNão se aplicaNão se aplicaEFP</t>
  </si>
  <si>
    <t>B2ConvencionalRuralServiço público de irrigação rural</t>
  </si>
  <si>
    <t>B2ConvencionalRuralServiço público de irrigação ruralNão se aplica</t>
  </si>
  <si>
    <t>B2ConvencionalRuralServiço público de irrigação ruralNão se aplicaNão se aplica</t>
  </si>
  <si>
    <t>B2ConvencionalRuralServiço público de irrigação ruralNão se aplicaNão se aplicaE</t>
  </si>
  <si>
    <t>B2Convencional pré-pagamento</t>
  </si>
  <si>
    <t>B2Convencional pré-pagamentoRural</t>
  </si>
  <si>
    <t>B2Convencional pré-pagamentoRuralNão se aplica</t>
  </si>
  <si>
    <t>B2Convencional pré-pagamentoRuralNão se aplicaNão se aplica</t>
  </si>
  <si>
    <t>B2Convencional pré-pagamentoRuralNão se aplicaNão se aplicaNão se aplica</t>
  </si>
  <si>
    <t>B2Convencional pré-pagamentoRuralNão se aplicaNão se aplicaNão se aplicaE</t>
  </si>
  <si>
    <t>B2Convencional pré-pagamentoRuralCooperativa de eletrificação rural</t>
  </si>
  <si>
    <t>B2Convencional pré-pagamentoRuralCooperativa de eletrificação ruralNão se aplica</t>
  </si>
  <si>
    <t>B2Convencional pré-pagamentoRuralCooperativa de eletrificação ruralNão se aplicaNão se aplica</t>
  </si>
  <si>
    <t>B2Convencional pré-pagamentoRuralCooperativa de eletrificação ruralNão se aplicaNão se aplicaE</t>
  </si>
  <si>
    <t>B2Convencional pré-pagamentoRuralServiço público de irrigação rural</t>
  </si>
  <si>
    <t>B2Convencional pré-pagamentoRuralServiço público de irrigação ruralNão se aplica</t>
  </si>
  <si>
    <t>B2Convencional pré-pagamentoRuralServiço público de irrigação ruralNão se aplicaNão se aplica</t>
  </si>
  <si>
    <t>B2Convencional pré-pagamentoRuralServiço público de irrigação ruralNão se aplicaNão se aplicaE</t>
  </si>
  <si>
    <t>B3Branca</t>
  </si>
  <si>
    <t>B3BrancaNão se aplica</t>
  </si>
  <si>
    <t>B3BrancaNão se aplicaNão se aplica</t>
  </si>
  <si>
    <t>B3BrancaNão se aplicaNão se aplicaNão se aplica</t>
  </si>
  <si>
    <t>B3BrancaNão se aplicaNão se aplicaNão se aplicaNão se aplica</t>
  </si>
  <si>
    <t>B3BrancaNão se aplicaNão se aplicaNão se aplicaNão se aplicaEP</t>
  </si>
  <si>
    <t>B3BrancaNão se aplicaNão se aplicaNão se aplicaNão se aplicaEINT</t>
  </si>
  <si>
    <t>B3BrancaNão se aplicaNão se aplicaNão se aplicaNão se aplicaEFP</t>
  </si>
  <si>
    <t>B3Convencional</t>
  </si>
  <si>
    <t>B3ConvencionalNão se aplica</t>
  </si>
  <si>
    <t>B3ConvencionalNão se aplicaNão se aplica</t>
  </si>
  <si>
    <t>B3ConvencionalNão se aplicaNão se aplicaNão se aplica</t>
  </si>
  <si>
    <t>B3ConvencionalNão se aplicaNão se aplicaNão se aplicaNão se aplica</t>
  </si>
  <si>
    <t>B3ConvencionalNão se aplicaNão se aplicaNão se aplicaNão se aplicaE</t>
  </si>
  <si>
    <t>B3Convencional pré-pagamento</t>
  </si>
  <si>
    <t>B3Convencional pré-pagamentoNão se aplica</t>
  </si>
  <si>
    <t>B3Convencional pré-pagamentoNão se aplicaNão se aplica</t>
  </si>
  <si>
    <t>B3Convencional pré-pagamentoNão se aplicaNão se aplicaNão se aplica</t>
  </si>
  <si>
    <t>B3Convencional pré-pagamentoNão se aplicaNão se aplicaNão se aplicaNão se aplica</t>
  </si>
  <si>
    <t>B3Convencional pré-pagamentoNão se aplicaNão se aplicaNão se aplicaNão se aplicaE</t>
  </si>
  <si>
    <t>B4Convencional</t>
  </si>
  <si>
    <t>B4ConvencionalIluminação pública</t>
  </si>
  <si>
    <t>B4ConvencionalIluminação públicaIluminação pública – B4a</t>
  </si>
  <si>
    <t>B4ConvencionalIluminação públicaIluminação pública – B4aNão se aplica</t>
  </si>
  <si>
    <t>B4ConvencionalIluminação públicaIluminação pública – B4aNão se aplicaNão se aplica</t>
  </si>
  <si>
    <t>B4ConvencionalIluminação públicaIluminação pública – B4aNão se aplicaNão se aplicaE</t>
  </si>
  <si>
    <t>B4ConvencionalIluminação públicaIluminação pública – B4b</t>
  </si>
  <si>
    <t>B4ConvencionalIluminação públicaIluminação pública – B4bNão se aplica</t>
  </si>
  <si>
    <t>B4ConvencionalIluminação públicaIluminação pública – B4bNão se aplicaNão se aplica</t>
  </si>
  <si>
    <t>B4ConvencionalIluminação públicaIluminação pública – B4bNão se aplicaNão se aplicaE</t>
  </si>
  <si>
    <t>TE BASE FINANCEIRA NOVA</t>
  </si>
  <si>
    <t>TE BASE FINANCEIRA VIGENTE</t>
  </si>
  <si>
    <t>A4Energia horária</t>
  </si>
  <si>
    <t>A4Energia horáriaNão se aplica</t>
  </si>
  <si>
    <t>A4Energia horáriaNão se aplicaNão se aplica</t>
  </si>
  <si>
    <t>A4Energia horáriaNão se aplicaNão se aplicaNão se aplica</t>
  </si>
  <si>
    <t>A4Energia horáriaNão se aplicaNão se aplicaNão se aplicaNão se aplica</t>
  </si>
  <si>
    <t>A4Energia horáriaNão se aplicaNão se aplicaNão se aplicaNão se aplicaEP</t>
  </si>
  <si>
    <t>A4Energia horáriaNão se aplicaNão se aplicaNão se aplicaNão se aplicaEFP</t>
  </si>
  <si>
    <t>A4Energia convencional</t>
  </si>
  <si>
    <t>A4Energia convencionalNão se aplica</t>
  </si>
  <si>
    <t>A4Energia convencionalNão se aplicaNão se aplica</t>
  </si>
  <si>
    <t>A4Energia convencionalNão se aplicaNão se aplicaNão se aplica</t>
  </si>
  <si>
    <t>A4Energia convencionalNão se aplicaNão se aplicaNão se aplicaNão se aplica</t>
  </si>
  <si>
    <t>A4Energia convencionalNão se aplicaNão se aplicaNão se aplicaNão se aplicaE</t>
  </si>
  <si>
    <t>B1Energia horária</t>
  </si>
  <si>
    <t>B1Energia horáriaResidencial</t>
  </si>
  <si>
    <t>B1Energia horáriaResidencialResidencial</t>
  </si>
  <si>
    <t>B1Energia horáriaResidencialResidencialNão se aplica</t>
  </si>
  <si>
    <t>B1Energia horáriaResidencialResidencialNão se aplicaNão se aplica</t>
  </si>
  <si>
    <t>B1Energia horáriaResidencialResidencialNão se aplicaNão se aplicaEP</t>
  </si>
  <si>
    <t>B1Energia horáriaResidencialResidencialNão se aplicaNão se aplicaEINT</t>
  </si>
  <si>
    <t>B1Energia horáriaResidencialResidencialNão se aplicaNão se aplicaEFP</t>
  </si>
  <si>
    <t>B1Energia convencional</t>
  </si>
  <si>
    <t>B1Energia convencionalResidencial</t>
  </si>
  <si>
    <t>B1Energia convencionalResidencialResidencial</t>
  </si>
  <si>
    <t>B1Energia convencionalResidencialResidencialNão se aplica</t>
  </si>
  <si>
    <t>B1Energia convencionalResidencialResidencialNão se aplicaNão se aplica</t>
  </si>
  <si>
    <t>B1Energia convencionalResidencialResidencialNão se aplicaNão se aplicaE</t>
  </si>
  <si>
    <t>B1Energia convencionalResidencialResidencial baixa renda – faixa 01</t>
  </si>
  <si>
    <t>B1Energia convencionalResidencialResidencial baixa renda – faixa 01Não se aplica</t>
  </si>
  <si>
    <t>B1Energia convencionalResidencialResidencial baixa renda – faixa 01Não se aplicaNão se aplica</t>
  </si>
  <si>
    <t>B1Energia convencionalResidencialResidencial baixa renda – faixa 01Não se aplicaNão se aplicaE</t>
  </si>
  <si>
    <t>B1Energia convencionalResidencialResidencial baixa renda – faixa 02</t>
  </si>
  <si>
    <t>B1Energia convencionalResidencialResidencial baixa renda – faixa 02Não se aplica</t>
  </si>
  <si>
    <t>B1Energia convencionalResidencialResidencial baixa renda – faixa 02Não se aplicaNão se aplica</t>
  </si>
  <si>
    <t>B1Energia convencionalResidencialResidencial baixa renda – faixa 02Não se aplicaNão se aplicaE</t>
  </si>
  <si>
    <t>B1Energia convencionalResidencialResidencial baixa renda – faixa 03</t>
  </si>
  <si>
    <t>B1Energia convencionalResidencialResidencial baixa renda – faixa 03Não se aplica</t>
  </si>
  <si>
    <t>B1Energia convencionalResidencialResidencial baixa renda – faixa 03Não se aplicaNão se aplica</t>
  </si>
  <si>
    <t>B1Energia convencionalResidencialResidencial baixa renda – faixa 03Não se aplicaNão se aplicaE</t>
  </si>
  <si>
    <t>B1Energia convencionalResidencialResidencial baixa renda – faixa 04</t>
  </si>
  <si>
    <t>B1Energia convencionalResidencialResidencial baixa renda – faixa 04Não se aplica</t>
  </si>
  <si>
    <t>B1Energia convencionalResidencialResidencial baixa renda – faixa 04Não se aplicaNão se aplica</t>
  </si>
  <si>
    <t>B1Energia convencionalResidencialResidencial baixa renda – faixa 04Não se aplicaNão se aplicaE</t>
  </si>
  <si>
    <t>B1Energia convencional pré-pagamento</t>
  </si>
  <si>
    <t>B1Energia convencional pré-pagamentoResidencial</t>
  </si>
  <si>
    <t>B1Energia convencional pré-pagamentoResidencialResidencial</t>
  </si>
  <si>
    <t>B1Energia convencional pré-pagamentoResidencialResidencialNão se aplica</t>
  </si>
  <si>
    <t>B1Energia convencional pré-pagamentoResidencialResidencialNão se aplicaNão se aplica</t>
  </si>
  <si>
    <t>B1Energia convencional pré-pagamentoResidencialResidencialNão se aplicaNão se aplicaE</t>
  </si>
  <si>
    <t>B1Energia convencional pré-pagamentoResidencialResidencial baixa renda – faixa 01</t>
  </si>
  <si>
    <t>B1Energia convencional pré-pagamentoResidencialResidencial baixa renda – faixa 01Não se aplica</t>
  </si>
  <si>
    <t>B1Energia convencional pré-pagamentoResidencialResidencial baixa renda – faixa 01Não se aplicaNão se aplica</t>
  </si>
  <si>
    <t>B1Energia convencional pré-pagamentoResidencialResidencial baixa renda – faixa 01Não se aplicaNão se aplicaE</t>
  </si>
  <si>
    <t>B1Energia convencional pré-pagamentoResidencialResidencial baixa renda – faixa 02</t>
  </si>
  <si>
    <t>B1Energia convencional pré-pagamentoResidencialResidencial baixa renda – faixa 02Não se aplica</t>
  </si>
  <si>
    <t>B1Energia convencional pré-pagamentoResidencialResidencial baixa renda – faixa 02Não se aplicaNão se aplica</t>
  </si>
  <si>
    <t>B1Energia convencional pré-pagamentoResidencialResidencial baixa renda – faixa 02Não se aplicaNão se aplicaE</t>
  </si>
  <si>
    <t>B1Energia convencional pré-pagamentoResidencialResidencial baixa renda – faixa 03</t>
  </si>
  <si>
    <t>B1Energia convencional pré-pagamentoResidencialResidencial baixa renda – faixa 03Não se aplica</t>
  </si>
  <si>
    <t>B1Energia convencional pré-pagamentoResidencialResidencial baixa renda – faixa 03Não se aplicaNão se aplica</t>
  </si>
  <si>
    <t>B1Energia convencional pré-pagamentoResidencialResidencial baixa renda – faixa 03Não se aplicaNão se aplicaE</t>
  </si>
  <si>
    <t>B1Energia convencional pré-pagamentoResidencialResidencial baixa renda – faixa 04</t>
  </si>
  <si>
    <t>B1Energia convencional pré-pagamentoResidencialResidencial baixa renda – faixa 04Não se aplica</t>
  </si>
  <si>
    <t>B1Energia convencional pré-pagamentoResidencialResidencial baixa renda – faixa 04Não se aplicaNão se aplica</t>
  </si>
  <si>
    <t>B1Energia convencional pré-pagamentoResidencialResidencial baixa renda – faixa 04Não se aplicaNão se aplicaE</t>
  </si>
  <si>
    <t>B2Energia horária</t>
  </si>
  <si>
    <t>B2Energia horáriaRural</t>
  </si>
  <si>
    <t>B2Energia horáriaRuralNão se aplica</t>
  </si>
  <si>
    <t>B2Energia horáriaRuralNão se aplicaNão se aplica</t>
  </si>
  <si>
    <t>B2Energia horáriaRuralNão se aplicaNão se aplicaNão se aplica</t>
  </si>
  <si>
    <t>B2Energia horáriaRuralNão se aplicaNão se aplicaNão se aplicaEP</t>
  </si>
  <si>
    <t>B2Energia horáriaRuralNão se aplicaNão se aplicaNão se aplicaEINT</t>
  </si>
  <si>
    <t>B2Energia horáriaRuralNão se aplicaNão se aplicaNão se aplicaEFP</t>
  </si>
  <si>
    <t>B2Energia convencional</t>
  </si>
  <si>
    <t>B2Energia convencionalRural</t>
  </si>
  <si>
    <t>B2Energia convencionalRuralNão se aplica</t>
  </si>
  <si>
    <t>B2Energia convencionalRuralNão se aplicaNão se aplica</t>
  </si>
  <si>
    <t>B2Energia convencionalRuralNão se aplicaNão se aplicaNão se aplica</t>
  </si>
  <si>
    <t>B2Energia convencionalRuralNão se aplicaNão se aplicaNão se aplicaE</t>
  </si>
  <si>
    <t>B2Energia horáriaRuralCooperativa de eletrificação rural</t>
  </si>
  <si>
    <t>B2Energia horáriaRuralCooperativa de eletrificação ruralNão se aplica</t>
  </si>
  <si>
    <t>B2Energia horáriaRuralCooperativa de eletrificação ruralNão se aplicaNão se aplica</t>
  </si>
  <si>
    <t>B2Energia horáriaRuralCooperativa de eletrificação ruralNão se aplicaNão se aplicaEP</t>
  </si>
  <si>
    <t>B2Energia horáriaRuralCooperativa de eletrificação ruralNão se aplicaNão se aplicaEINT</t>
  </si>
  <si>
    <t>B2Energia horáriaRuralCooperativa de eletrificação ruralNão se aplicaNão se aplicaEFP</t>
  </si>
  <si>
    <t>B2Energia convencionalRuralCooperativa de eletrificação rural</t>
  </si>
  <si>
    <t>B2Energia convencionalRuralCooperativa de eletrificação ruralNão se aplica</t>
  </si>
  <si>
    <t>B2Energia convencionalRuralCooperativa de eletrificação ruralNão se aplicaNão se aplica</t>
  </si>
  <si>
    <t>B2Energia convencionalRuralCooperativa de eletrificação ruralNão se aplicaNão se aplicaE</t>
  </si>
  <si>
    <t>B2Energia horáriaRuralServiço público de irrigação rural</t>
  </si>
  <si>
    <t>B2Energia horáriaRuralServiço público de irrigação ruralNão se aplica</t>
  </si>
  <si>
    <t>B2Energia horáriaRuralServiço público de irrigação ruralNão se aplicaNão se aplica</t>
  </si>
  <si>
    <t>B2Energia horáriaRuralServiço público de irrigação ruralNão se aplicaNão se aplicaEP</t>
  </si>
  <si>
    <t>B2Energia horáriaRuralServiço público de irrigação ruralNão se aplicaNão se aplicaEINT</t>
  </si>
  <si>
    <t>B2Energia horáriaRuralServiço público de irrigação ruralNão se aplicaNão se aplicaEFP</t>
  </si>
  <si>
    <t>B2Energia convencionalRuralServiço público de irrigação rural</t>
  </si>
  <si>
    <t>B2Energia convencionalRuralServiço público de irrigação ruralNão se aplica</t>
  </si>
  <si>
    <t>B2Energia convencionalRuralServiço público de irrigação ruralNão se aplicaNão se aplica</t>
  </si>
  <si>
    <t>B2Energia convencionalRuralServiço público de irrigação ruralNão se aplicaNão se aplicaE</t>
  </si>
  <si>
    <t>B2Energia convencional pré-pagamento</t>
  </si>
  <si>
    <t>B2Energia convencional pré-pagamentoRural</t>
  </si>
  <si>
    <t>B2Energia convencional pré-pagamentoRuralNão se aplica</t>
  </si>
  <si>
    <t>B2Energia convencional pré-pagamentoRuralNão se aplicaNão se aplica</t>
  </si>
  <si>
    <t>B2Energia convencional pré-pagamentoRuralNão se aplicaNão se aplicaNão se aplica</t>
  </si>
  <si>
    <t>B2Energia convencional pré-pagamentoRuralNão se aplicaNão se aplicaNão se aplicaE</t>
  </si>
  <si>
    <t>B2Energia convencional pré-pagamentoRuralCooperativa de eletrificação rural</t>
  </si>
  <si>
    <t>B2Energia convencional pré-pagamentoRuralCooperativa de eletrificação ruralNão se aplica</t>
  </si>
  <si>
    <t>B2Energia convencional pré-pagamentoRuralCooperativa de eletrificação ruralNão se aplicaNão se aplica</t>
  </si>
  <si>
    <t>B2Energia convencional pré-pagamentoRuralCooperativa de eletrificação ruralNão se aplicaNão se aplicaE</t>
  </si>
  <si>
    <t>B2Energia convencional pré-pagamentoRuralServiço público de irrigação rural</t>
  </si>
  <si>
    <t>B2Energia convencional pré-pagamentoRuralServiço público de irrigação ruralNão se aplica</t>
  </si>
  <si>
    <t>B2Energia convencional pré-pagamentoRuralServiço público de irrigação ruralNão se aplicaNão se aplica</t>
  </si>
  <si>
    <t>B2Energia convencional pré-pagamentoRuralServiço público de irrigação ruralNão se aplicaNão se aplicaE</t>
  </si>
  <si>
    <t>B3Energia horária</t>
  </si>
  <si>
    <t>B3Energia horáriaNão se aplica</t>
  </si>
  <si>
    <t>B3Energia horáriaNão se aplicaNão se aplica</t>
  </si>
  <si>
    <t>B3Energia horáriaNão se aplicaNão se aplicaNão se aplica</t>
  </si>
  <si>
    <t>B3Energia horáriaNão se aplicaNão se aplicaNão se aplicaNão se aplica</t>
  </si>
  <si>
    <t>B3Energia horáriaNão se aplicaNão se aplicaNão se aplicaNão se aplicaEP</t>
  </si>
  <si>
    <t>B3Energia horáriaNão se aplicaNão se aplicaNão se aplicaNão se aplicaEINT</t>
  </si>
  <si>
    <t>B3Energia horáriaNão se aplicaNão se aplicaNão se aplicaNão se aplicaEFP</t>
  </si>
  <si>
    <t>B3Energia convencional</t>
  </si>
  <si>
    <t>B3Energia convencionalNão se aplica</t>
  </si>
  <si>
    <t>B3Energia convencionalNão se aplicaNão se aplica</t>
  </si>
  <si>
    <t>B3Energia convencionalNão se aplicaNão se aplicaNão se aplica</t>
  </si>
  <si>
    <t>B3Energia convencionalNão se aplicaNão se aplicaNão se aplicaNão se aplica</t>
  </si>
  <si>
    <t>B3Energia convencionalNão se aplicaNão se aplicaNão se aplicaNão se aplicaE</t>
  </si>
  <si>
    <t>B3Energia convencional pré-pagamento</t>
  </si>
  <si>
    <t>B3Energia convencional pré-pagamentoNão se aplica</t>
  </si>
  <si>
    <t>B3Energia convencional pré-pagamentoNão se aplicaNão se aplica</t>
  </si>
  <si>
    <t>B3Energia convencional pré-pagamentoNão se aplicaNão se aplicaNão se aplica</t>
  </si>
  <si>
    <t>B3Energia convencional pré-pagamentoNão se aplicaNão se aplicaNão se aplicaNão se aplica</t>
  </si>
  <si>
    <t>B3Energia convencional pré-pagamentoNão se aplicaNão se aplicaNão se aplicaNão se aplicaE</t>
  </si>
  <si>
    <t>B4Energia convencional</t>
  </si>
  <si>
    <t>B4Energia convencionalIluminação pública</t>
  </si>
  <si>
    <t>B4Energia convencionalIluminação públicaIluminação pública – B4a</t>
  </si>
  <si>
    <t>B4Energia convencionalIluminação públicaIluminação pública – B4aNão se aplica</t>
  </si>
  <si>
    <t>B4Energia convencionalIluminação públicaIluminação pública – B4aNão se aplicaNão se aplica</t>
  </si>
  <si>
    <t>B4Energia convencionalIluminação públicaIluminação pública – B4aNão se aplicaNão se aplicaE</t>
  </si>
  <si>
    <t>B4Energia convencionalIluminação públicaIluminação pública – B4b</t>
  </si>
  <si>
    <t>B4Energia convencionalIluminação públicaIluminação pública – B4bNão se aplica</t>
  </si>
  <si>
    <t>B4Energia convencionalIluminação públicaIluminação pública – B4bNão se aplicaNão se aplica</t>
  </si>
  <si>
    <t>B4Energia convencionalIluminação públicaIluminação pública – B4bNão se aplicaNão se aplicaE</t>
  </si>
  <si>
    <t>CUSTOS REGULATÓRIOS</t>
  </si>
  <si>
    <t>TOTAL RA0/RV</t>
  </si>
  <si>
    <t>TOTAL RA1/RRD</t>
  </si>
  <si>
    <t>TOTAL SUBGRUPO A0</t>
  </si>
  <si>
    <t>TOTAL SUBGRUPO A1</t>
  </si>
  <si>
    <t>TOTAL ANÁLISE A0</t>
  </si>
  <si>
    <t>TOTAL ANÁLISE A1</t>
  </si>
  <si>
    <t>CHAVE</t>
  </si>
  <si>
    <t>VAR. GLOBAL</t>
  </si>
  <si>
    <t>VAR. SELEÇÃO SUBG.</t>
  </si>
  <si>
    <t>VAR. SELEÇÃO MDT</t>
  </si>
  <si>
    <t>IdAgente</t>
  </si>
  <si>
    <t>Ano</t>
  </si>
  <si>
    <t>MERCADO Cooperaliança</t>
  </si>
  <si>
    <t>TARIFAS Cooperaliança</t>
  </si>
  <si>
    <t>TARIFAS Adjacente (Celesc-DIS)</t>
  </si>
  <si>
    <t>RECEITA Cooperaliança</t>
  </si>
  <si>
    <t>RECEITA Adjacente (Celesc-DIS)</t>
  </si>
  <si>
    <t>Dp</t>
  </si>
  <si>
    <t>Dfp</t>
  </si>
  <si>
    <t>TE P</t>
  </si>
  <si>
    <t>TE FP</t>
  </si>
  <si>
    <t>TUSD_E P</t>
  </si>
  <si>
    <t>TUSD_E FP</t>
  </si>
  <si>
    <t>ORIGINAL</t>
  </si>
  <si>
    <t>ADJACENTE</t>
  </si>
  <si>
    <t>DECISÃO</t>
  </si>
  <si>
    <t>CONTROLE</t>
  </si>
  <si>
    <t>TARIFAS TUSD</t>
  </si>
  <si>
    <t>TARIFAS TE</t>
  </si>
  <si>
    <t>TARIFAS TOTAIS</t>
  </si>
  <si>
    <t>TARIFA B1 Resid.</t>
  </si>
  <si>
    <t>B1 Convenc.</t>
  </si>
  <si>
    <t>Aplica Lei?</t>
  </si>
  <si>
    <t>Var. Controle TUSD</t>
  </si>
  <si>
    <t>Tarifa Distribuidora</t>
  </si>
  <si>
    <t>Tarifa Adjacente</t>
  </si>
  <si>
    <t>Nova Componente</t>
  </si>
  <si>
    <t>CodTar</t>
  </si>
  <si>
    <t>2060201001010000000000000004022025</t>
  </si>
  <si>
    <t>2060201001010000000000000002022025</t>
  </si>
  <si>
    <t>2060201001010000000000000001032035</t>
  </si>
  <si>
    <t>2060201001020000000000000001032035</t>
  </si>
  <si>
    <t>2060601001010000000000000001022025</t>
  </si>
  <si>
    <t>2060301001010000000000000001022025</t>
  </si>
  <si>
    <t>2060301001010000000000000004032035</t>
  </si>
  <si>
    <t>2060301001010000000000000002032035</t>
  </si>
  <si>
    <t>2060301001020000000000000004032035</t>
  </si>
  <si>
    <t>2060301001020000000000000002032035</t>
  </si>
  <si>
    <t>2130601001120000000000000001022025</t>
  </si>
  <si>
    <t>2130601001130000000000000001022025</t>
  </si>
  <si>
    <t>2080702002010000000000000004032035</t>
  </si>
  <si>
    <t>2080702002010000000000000003032035</t>
  </si>
  <si>
    <t>2080702002010000000000000002032035</t>
  </si>
  <si>
    <t>2080402002010000000000000001032035</t>
  </si>
  <si>
    <t>2080402006010000000000000001032035</t>
  </si>
  <si>
    <t>2081302002010000000000000001032035</t>
  </si>
  <si>
    <t>2081302006010000000000000001032035</t>
  </si>
  <si>
    <t>2090705001010000000000000004032035</t>
  </si>
  <si>
    <t>2090705001010000000000000003032035</t>
  </si>
  <si>
    <t>2090705001010000000000000002032035</t>
  </si>
  <si>
    <t>2100701001010000000000000004032035</t>
  </si>
  <si>
    <t>2100701001010000000000000003032035</t>
  </si>
  <si>
    <t>2100701001010000000000000002032035</t>
  </si>
  <si>
    <t>2100401001010000000000000001032035</t>
  </si>
  <si>
    <t>2101301001010000000000000001032035</t>
  </si>
  <si>
    <t>2110407041010000000000000001032035</t>
  </si>
  <si>
    <t>2110407042010000000000000001032035</t>
  </si>
  <si>
    <t>Var. Controle TE</t>
  </si>
  <si>
    <t>3060801001010000000000000004032035</t>
  </si>
  <si>
    <t>3060801001010000000000000002032035</t>
  </si>
  <si>
    <t>3060901001010000000000000001032035</t>
  </si>
  <si>
    <t>3080802002010000000000000004032035</t>
  </si>
  <si>
    <t>3080802002010000000000000003032035</t>
  </si>
  <si>
    <t>3080802002010000000000000002032035</t>
  </si>
  <si>
    <t>3080902002010000000000000001032035</t>
  </si>
  <si>
    <t>3080902006010000000000000001032035</t>
  </si>
  <si>
    <t>3081402002010000000000000001032035</t>
  </si>
  <si>
    <t>3081402006010000000000000001032035</t>
  </si>
  <si>
    <t>3090805001010000000000000004032035</t>
  </si>
  <si>
    <t>3090805001010000000000000003032035</t>
  </si>
  <si>
    <t>3090805001010000000000000002032035</t>
  </si>
  <si>
    <t>3100801001010000000000000004032035</t>
  </si>
  <si>
    <t>3100801001010000000000000003032035</t>
  </si>
  <si>
    <t>3100801001010000000000000002032035</t>
  </si>
  <si>
    <t>3100901001010000000000000001032035</t>
  </si>
  <si>
    <t>3101401001010000000000000001032035</t>
  </si>
  <si>
    <t>3110907041010000000000000001032035</t>
  </si>
  <si>
    <t>3110907042010000000000000001032035</t>
  </si>
  <si>
    <t>(SUB)GRUPO</t>
  </si>
  <si>
    <t>TUSD (R$)</t>
  </si>
  <si>
    <t>TUSD (MWh)</t>
  </si>
  <si>
    <t>PNT (R$/MWh)</t>
  </si>
  <si>
    <t>VAR. AX01</t>
  </si>
  <si>
    <t>VAR. AX02</t>
  </si>
  <si>
    <t>Distribuição</t>
  </si>
  <si>
    <t>Cergral</t>
  </si>
  <si>
    <t>Eflul</t>
  </si>
  <si>
    <t>Cermoful</t>
  </si>
  <si>
    <t>CEGERO</t>
  </si>
  <si>
    <t>Cerpalo</t>
  </si>
  <si>
    <t>Cerbranorte</t>
  </si>
  <si>
    <t>Cersul</t>
  </si>
  <si>
    <t>Codesam</t>
  </si>
  <si>
    <t>Certrel</t>
  </si>
  <si>
    <t>PCH CAPIVARI</t>
  </si>
  <si>
    <t>Coopercocal</t>
  </si>
  <si>
    <t>UTE JORGE LACERDA A</t>
  </si>
  <si>
    <t>PCH PERY</t>
  </si>
  <si>
    <t>PCH ANGELINA</t>
  </si>
  <si>
    <t>Cejama</t>
  </si>
  <si>
    <t>UHE QUEBRA QUEIXO</t>
  </si>
  <si>
    <t>UHE SALTO PILAO</t>
  </si>
  <si>
    <t>UTE COGERACAO LAGES</t>
  </si>
  <si>
    <t>Coopermila</t>
  </si>
  <si>
    <t>PCH ALTO BENEDITO NOVO I</t>
  </si>
  <si>
    <t>PCH SANTA ROSA 28844</t>
  </si>
  <si>
    <t>COOPERZEM</t>
  </si>
  <si>
    <t>PCH OURO</t>
  </si>
  <si>
    <t>EOL PULPITO</t>
  </si>
  <si>
    <t>EOL AQUIBATA</t>
  </si>
  <si>
    <t>EOL SANTO ANTONIO</t>
  </si>
  <si>
    <t>Ceraça</t>
  </si>
  <si>
    <t>EOL CASCATA</t>
  </si>
  <si>
    <t>EOL RIO DO OURO</t>
  </si>
  <si>
    <t>Coorsel</t>
  </si>
  <si>
    <t>EOL SALTO</t>
  </si>
  <si>
    <t>EOL BOM JARDIM</t>
  </si>
  <si>
    <t>EOL CAMPO BELO</t>
  </si>
  <si>
    <t>EOL AMPARO</t>
  </si>
  <si>
    <t>Cersad</t>
  </si>
  <si>
    <t>EOL CRUZ ALTA</t>
  </si>
  <si>
    <t>PCH NOVA FATIMA</t>
  </si>
  <si>
    <t>PCH RIO FORTUNA</t>
  </si>
  <si>
    <t>PCH JOAO BORGES</t>
  </si>
  <si>
    <t>PCH MOINHO</t>
  </si>
  <si>
    <t>PCH BARRA CLARA</t>
  </si>
  <si>
    <t>PCH COQUEIRAL</t>
  </si>
  <si>
    <t>PCH SANTA ANA</t>
  </si>
  <si>
    <t>PCH SALTO GOES</t>
  </si>
  <si>
    <t>PCH ADO POPINHAKI</t>
  </si>
  <si>
    <t>PCH TUPITINGA</t>
  </si>
  <si>
    <t>EOL AGUA DOCE</t>
  </si>
  <si>
    <t>NOVO GERADOR</t>
  </si>
  <si>
    <t>EOL HIPERION</t>
  </si>
  <si>
    <t>EOL QUINTA DO GOMARIZ</t>
  </si>
  <si>
    <t>PCH TAMANDUA</t>
  </si>
  <si>
    <t>Cooperaliança</t>
  </si>
  <si>
    <t>Ceprag</t>
  </si>
  <si>
    <t>Cergal</t>
  </si>
  <si>
    <t>Coopera</t>
  </si>
  <si>
    <t>Energia suprimento concessionária</t>
  </si>
  <si>
    <t>&lt;500GWh</t>
  </si>
  <si>
    <t>Energia suprimento permissionária</t>
  </si>
  <si>
    <t>EFLJC</t>
  </si>
  <si>
    <t>Ienergia</t>
  </si>
  <si>
    <t>Cerej</t>
  </si>
  <si>
    <t>Cergapa</t>
  </si>
  <si>
    <t>Custos Sparta</t>
  </si>
  <si>
    <t>Custos PCAT</t>
  </si>
  <si>
    <t>Efeito</t>
  </si>
  <si>
    <t>Subsídio</t>
  </si>
  <si>
    <t>Subvenção</t>
  </si>
  <si>
    <t>Total</t>
  </si>
  <si>
    <t>FRC</t>
  </si>
  <si>
    <t>OPERAÇÃO E MANUTENÇÃO - O&amp;M (R$)</t>
  </si>
  <si>
    <t>TAXA DE DEPRECIAÇÃO - D (%)</t>
  </si>
  <si>
    <t>PARCELA B REVISÃO (R$)</t>
  </si>
  <si>
    <t>CARGA TRIBUTÁRIA (%)</t>
  </si>
  <si>
    <t>WACC ANTES DOS TRIBUTOS (%)</t>
  </si>
  <si>
    <t>VALOR</t>
  </si>
  <si>
    <t>DESCRIÇÃO PARÂMETROS</t>
  </si>
  <si>
    <t>TUSD FIO B - FORA PONTA (R$/kW)</t>
  </si>
  <si>
    <t>K</t>
  </si>
  <si>
    <t>B4b</t>
  </si>
  <si>
    <t>B4a</t>
  </si>
  <si>
    <t>B2-IRRIGANTE</t>
  </si>
  <si>
    <t>B2-RURAL</t>
  </si>
  <si>
    <t>SUBGRUPO TARIFÁRIO</t>
  </si>
  <si>
    <t>Total TUSD</t>
  </si>
  <si>
    <t>Total TE</t>
  </si>
  <si>
    <t>TUSD_CDE_COVID</t>
  </si>
  <si>
    <t>TUSD_TFSEE</t>
  </si>
  <si>
    <t>TUSD_PeD</t>
  </si>
  <si>
    <t>TUSD_ONS</t>
  </si>
  <si>
    <t>TUSD_CCC</t>
  </si>
  <si>
    <t>TUSD_CDE</t>
  </si>
  <si>
    <t>TUSD_PROINFA</t>
  </si>
  <si>
    <t>Liminar1</t>
  </si>
  <si>
    <t>TUSD_RB</t>
  </si>
  <si>
    <t>TUSD_FR</t>
  </si>
  <si>
    <t>TUSD_CCT</t>
  </si>
  <si>
    <t>TUSD_CCD</t>
  </si>
  <si>
    <t>TUSD_CUSD</t>
  </si>
  <si>
    <t>TUSDG_T</t>
  </si>
  <si>
    <t>TUSDG_ONS</t>
  </si>
  <si>
    <t>TUSD_FioB</t>
  </si>
  <si>
    <t>TUSD Subsidio</t>
  </si>
  <si>
    <t>TUSD Outros</t>
  </si>
  <si>
    <t>TUSD_PT</t>
  </si>
  <si>
    <t>TUSD_Per_RB_D</t>
  </si>
  <si>
    <t>TUSD_PNT</t>
  </si>
  <si>
    <t>TUSD_RI</t>
  </si>
  <si>
    <t>TE_CDE_COVID</t>
  </si>
  <si>
    <t>TE_CDE_ELET</t>
  </si>
  <si>
    <t>TE_PeD</t>
  </si>
  <si>
    <t>TE_ESSERR</t>
  </si>
  <si>
    <t>TE_CFURH</t>
  </si>
  <si>
    <t>TE_ENERGIA</t>
  </si>
  <si>
    <t>TE_TRANSPORTE_ITAIPU</t>
  </si>
  <si>
    <t>TE_TUST_ITAIPU</t>
  </si>
  <si>
    <t>TE_TUST_CI</t>
  </si>
  <si>
    <t>TE Subsidio</t>
  </si>
  <si>
    <t>TE_Per_RB</t>
  </si>
  <si>
    <t>Baixa Renda</t>
  </si>
  <si>
    <t>Perdas</t>
  </si>
  <si>
    <t xml:space="preserve">TE </t>
  </si>
  <si>
    <t>SUBSIDIO LEI 14.299/22</t>
  </si>
  <si>
    <t>TUSD BENEFICIO_L14299</t>
  </si>
  <si>
    <t>TE BENEFICIO_L14299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</si>
</sst>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* #,##0.00_);_(* \(#,##0.00\);_(* &quot;-&quot;??_);_(@_)"/>
    <numFmt numFmtId="165" formatCode="#,##0.00%_);[Red]\(#,##0.00%\)"/>
    <numFmt numFmtId="166" formatCode="#0.00%;[Red]#0.00%"/>
    <numFmt numFmtId="167" formatCode="0.00%_);[Red]\(0.00%\)"/>
    <numFmt numFmtId="168" formatCode="#,##0.00_ ;[Red]\-#,##0.00\ "/>
    <numFmt numFmtId="169" formatCode="#,##0.00;[Red]#,##0.00"/>
  </numFmts>
  <fonts count="13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9"/>
      <color indexed="81"/>
      <name val="Segoe UI"/>
      <family val="2"/>
    </font>
    <font>
      <b/>
      <sz val="11"/>
      <color theme="1"/>
      <name val="Calibri"/>
      <family val="2"/>
      <scheme val="minor"/>
    </font>
    <font>
      <sz val="8"/>
      <color indexed="10"/>
      <name val="Arial"/>
      <family val="2"/>
    </font>
    <font>
      <sz val="11"/>
      <color theme="1"/>
      <name val="Calibri"/>
      <family val="2"/>
      <scheme val="minor"/>
    </font>
    <font>
      <b/>
      <sz val="8"/>
      <color theme="0"/>
      <name val="Arial"/>
      <family val="2"/>
    </font>
    <font>
      <sz val="8"/>
      <color theme="3" tint="-0.249977111117893"/>
      <name val="Arial"/>
      <family val="2"/>
    </font>
    <font>
      <sz val="8"/>
      <name val="Calibri"/>
      <family val="2"/>
      <scheme val="minor"/>
    </font>
    <font>
      <sz val="8"/>
      <color theme="1" tint="4.9989318521683403E-2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indexed="65"/>
        <bgColor indexed="64"/>
      </patternFill>
    </fill>
  </fills>
  <borders count="3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auto="1"/>
      </left>
      <right style="thin">
        <color indexed="64"/>
      </right>
      <top style="medium">
        <color auto="1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indexed="64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indexed="64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3" tint="-0.499984740745262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164" fontId="8" fillId="0" borderId="0" applyFont="0" applyFill="0" applyBorder="0" applyAlignment="0" applyProtection="0"/>
  </cellStyleXfs>
  <cellXfs count="171">
    <xf numFmtId="0" fontId="0" fillId="0" borderId="0" xfId="0"/>
    <xf numFmtId="0" fontId="2" fillId="0" borderId="0" xfId="0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40" fontId="2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40" fontId="1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4" fillId="0" borderId="1" xfId="0" applyFont="1" applyBorder="1" applyAlignment="1">
      <alignment horizontal="center" vertical="center"/>
    </xf>
    <xf numFmtId="17" fontId="4" fillId="0" borderId="1" xfId="0" applyNumberFormat="1" applyFont="1" applyBorder="1" applyAlignment="1">
      <alignment horizontal="center" vertical="center"/>
    </xf>
    <xf numFmtId="40" fontId="3" fillId="0" borderId="1" xfId="0" applyNumberFormat="1" applyFont="1" applyBorder="1" applyAlignment="1">
      <alignment horizontal="left" vertical="center"/>
    </xf>
    <xf numFmtId="40" fontId="3" fillId="0" borderId="1" xfId="0" applyNumberFormat="1" applyFont="1" applyBorder="1" applyAlignment="1">
      <alignment vertical="center"/>
    </xf>
    <xf numFmtId="0" fontId="3" fillId="0" borderId="0" xfId="0" applyFont="1"/>
    <xf numFmtId="40" fontId="3" fillId="0" borderId="0" xfId="0" applyNumberFormat="1" applyFont="1" applyAlignment="1">
      <alignment vertical="center"/>
    </xf>
    <xf numFmtId="0" fontId="3" fillId="0" borderId="1" xfId="0" applyFont="1" applyBorder="1" applyAlignment="1">
      <alignment vertical="center"/>
    </xf>
    <xf numFmtId="0" fontId="3" fillId="0" borderId="0" xfId="0" pivotButton="1" applyFont="1"/>
    <xf numFmtId="40" fontId="3" fillId="0" borderId="0" xfId="0" applyNumberFormat="1" applyFont="1"/>
    <xf numFmtId="167" fontId="3" fillId="0" borderId="0" xfId="0" applyNumberFormat="1" applyFont="1"/>
    <xf numFmtId="0" fontId="3" fillId="0" borderId="0" xfId="0" applyFont="1" applyAlignment="1">
      <alignment horizontal="left"/>
    </xf>
    <xf numFmtId="0" fontId="3" fillId="0" borderId="0" xfId="0" applyFont="1" applyAlignment="1">
      <alignment horizontal="left" indent="1"/>
    </xf>
    <xf numFmtId="0" fontId="3" fillId="0" borderId="0" xfId="0" applyFont="1" applyAlignment="1">
      <alignment horizontal="left" indent="2"/>
    </xf>
    <xf numFmtId="0" fontId="3" fillId="0" borderId="0" xfId="0" applyFont="1" applyAlignment="1">
      <alignment horizontal="left" indent="3"/>
    </xf>
    <xf numFmtId="0" fontId="3" fillId="0" borderId="0" xfId="0" applyFont="1" applyAlignment="1">
      <alignment horizontal="left" indent="4"/>
    </xf>
    <xf numFmtId="0" fontId="3" fillId="0" borderId="0" xfId="0" applyFont="1" applyAlignment="1">
      <alignment horizontal="left" indent="5"/>
    </xf>
    <xf numFmtId="0" fontId="3" fillId="0" borderId="0" xfId="0" applyFont="1" applyAlignment="1">
      <alignment horizontal="left" indent="6"/>
    </xf>
    <xf numFmtId="0" fontId="3" fillId="0" borderId="0" xfId="0" applyFont="1" applyAlignment="1">
      <alignment horizontal="left" indent="7"/>
    </xf>
    <xf numFmtId="14" fontId="3" fillId="0" borderId="0" xfId="0" applyNumberFormat="1" applyFont="1" applyAlignment="1">
      <alignment horizontal="left" indent="8"/>
    </xf>
    <xf numFmtId="165" fontId="3" fillId="0" borderId="0" xfId="0" applyNumberFormat="1" applyFont="1"/>
    <xf numFmtId="40" fontId="3" fillId="2" borderId="1" xfId="0" applyNumberFormat="1" applyFont="1" applyFill="1" applyBorder="1" applyAlignment="1">
      <alignment vertical="center"/>
    </xf>
    <xf numFmtId="40" fontId="3" fillId="0" borderId="9" xfId="0" applyNumberFormat="1" applyFont="1" applyBorder="1" applyAlignment="1">
      <alignment vertical="center"/>
    </xf>
    <xf numFmtId="0" fontId="4" fillId="0" borderId="9" xfId="0" applyFont="1" applyBorder="1" applyAlignment="1">
      <alignment horizontal="center" vertical="center"/>
    </xf>
    <xf numFmtId="0" fontId="6" fillId="0" borderId="0" xfId="0" applyFont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164" fontId="0" fillId="0" borderId="14" xfId="1" applyFont="1" applyBorder="1"/>
    <xf numFmtId="164" fontId="0" fillId="0" borderId="18" xfId="1" applyFont="1" applyBorder="1"/>
    <xf numFmtId="164" fontId="0" fillId="0" borderId="19" xfId="1" applyFont="1" applyBorder="1"/>
    <xf numFmtId="164" fontId="0" fillId="0" borderId="16" xfId="1" applyFont="1" applyBorder="1"/>
    <xf numFmtId="164" fontId="0" fillId="0" borderId="20" xfId="1" applyFont="1" applyBorder="1"/>
    <xf numFmtId="0" fontId="0" fillId="0" borderId="21" xfId="0" applyBorder="1"/>
    <xf numFmtId="164" fontId="0" fillId="0" borderId="22" xfId="1" applyFont="1" applyBorder="1"/>
    <xf numFmtId="0" fontId="0" fillId="0" borderId="23" xfId="0" applyBorder="1"/>
    <xf numFmtId="0" fontId="0" fillId="0" borderId="17" xfId="0" applyBorder="1"/>
    <xf numFmtId="0" fontId="0" fillId="0" borderId="24" xfId="0" applyBorder="1"/>
    <xf numFmtId="0" fontId="0" fillId="0" borderId="25" xfId="0" applyBorder="1"/>
    <xf numFmtId="164" fontId="0" fillId="0" borderId="24" xfId="1" applyFont="1" applyBorder="1"/>
    <xf numFmtId="164" fontId="0" fillId="0" borderId="21" xfId="1" applyFont="1" applyBorder="1"/>
    <xf numFmtId="0" fontId="0" fillId="0" borderId="26" xfId="0" applyBorder="1"/>
    <xf numFmtId="0" fontId="3" fillId="0" borderId="0" xfId="0" quotePrefix="1" applyFont="1" applyAlignment="1">
      <alignment vertical="center"/>
    </xf>
    <xf numFmtId="0" fontId="3" fillId="0" borderId="9" xfId="0" applyFont="1" applyBorder="1" applyAlignment="1">
      <alignment vertical="center"/>
    </xf>
    <xf numFmtId="40" fontId="3" fillId="0" borderId="27" xfId="0" applyNumberFormat="1" applyFont="1" applyBorder="1" applyAlignment="1">
      <alignment horizontal="left" vertical="center"/>
    </xf>
    <xf numFmtId="40" fontId="3" fillId="0" borderId="27" xfId="0" applyNumberFormat="1" applyFont="1" applyBorder="1" applyAlignment="1">
      <alignment vertical="center"/>
    </xf>
    <xf numFmtId="40" fontId="4" fillId="0" borderId="27" xfId="0" applyNumberFormat="1" applyFont="1" applyBorder="1" applyAlignment="1">
      <alignment horizontal="center" vertical="center"/>
    </xf>
    <xf numFmtId="40" fontId="3" fillId="0" borderId="28" xfId="0" applyNumberFormat="1" applyFont="1" applyBorder="1" applyAlignment="1">
      <alignment vertical="center"/>
    </xf>
    <xf numFmtId="40" fontId="4" fillId="0" borderId="28" xfId="0" applyNumberFormat="1" applyFont="1" applyBorder="1" applyAlignment="1">
      <alignment horizontal="center" vertical="center"/>
    </xf>
    <xf numFmtId="40" fontId="3" fillId="0" borderId="32" xfId="0" applyNumberFormat="1" applyFont="1" applyBorder="1" applyAlignment="1">
      <alignment horizontal="left" vertical="center"/>
    </xf>
    <xf numFmtId="40" fontId="3" fillId="0" borderId="32" xfId="0" applyNumberFormat="1" applyFont="1" applyBorder="1" applyAlignment="1">
      <alignment vertical="center"/>
    </xf>
    <xf numFmtId="0" fontId="4" fillId="0" borderId="28" xfId="0" applyFont="1" applyBorder="1" applyAlignment="1">
      <alignment horizontal="center" vertical="center"/>
    </xf>
    <xf numFmtId="0" fontId="3" fillId="0" borderId="28" xfId="0" applyFont="1" applyBorder="1" applyAlignment="1">
      <alignment vertical="center"/>
    </xf>
    <xf numFmtId="40" fontId="3" fillId="0" borderId="32" xfId="0" applyNumberFormat="1" applyFont="1" applyBorder="1" applyAlignment="1">
      <alignment horizontal="center"/>
    </xf>
    <xf numFmtId="0" fontId="3" fillId="0" borderId="32" xfId="0" applyFont="1" applyBorder="1" applyAlignment="1">
      <alignment horizontal="center"/>
    </xf>
    <xf numFmtId="40" fontId="4" fillId="0" borderId="32" xfId="0" applyNumberFormat="1" applyFont="1" applyBorder="1" applyAlignment="1">
      <alignment horizontal="center" vertical="center"/>
    </xf>
    <xf numFmtId="40" fontId="3" fillId="0" borderId="32" xfId="0" applyNumberFormat="1" applyFont="1" applyBorder="1" applyAlignment="1">
      <alignment horizontal="center" vertical="center"/>
    </xf>
    <xf numFmtId="0" fontId="4" fillId="0" borderId="32" xfId="0" applyFont="1" applyBorder="1" applyAlignment="1">
      <alignment horizontal="center" vertical="center"/>
    </xf>
    <xf numFmtId="0" fontId="3" fillId="0" borderId="32" xfId="0" applyFont="1" applyBorder="1" applyAlignment="1">
      <alignment horizontal="center" vertical="center"/>
    </xf>
    <xf numFmtId="0" fontId="0" fillId="0" borderId="29" xfId="0" applyBorder="1"/>
    <xf numFmtId="0" fontId="0" fillId="0" borderId="32" xfId="0" applyBorder="1"/>
    <xf numFmtId="0" fontId="2" fillId="0" borderId="32" xfId="0" applyFont="1" applyBorder="1" applyAlignment="1">
      <alignment horizontal="center" vertical="center"/>
    </xf>
    <xf numFmtId="0" fontId="1" fillId="0" borderId="32" xfId="0" applyFont="1" applyBorder="1" applyAlignment="1">
      <alignment horizontal="center" vertical="center"/>
    </xf>
    <xf numFmtId="40" fontId="1" fillId="0" borderId="32" xfId="0" applyNumberFormat="1" applyFont="1" applyBorder="1" applyAlignment="1">
      <alignment horizontal="center" vertical="center"/>
    </xf>
    <xf numFmtId="166" fontId="1" fillId="0" borderId="32" xfId="0" applyNumberFormat="1" applyFont="1" applyBorder="1" applyAlignment="1">
      <alignment horizontal="center" vertical="center"/>
    </xf>
    <xf numFmtId="0" fontId="3" fillId="0" borderId="32" xfId="0" applyFont="1" applyBorder="1"/>
    <xf numFmtId="0" fontId="4" fillId="0" borderId="32" xfId="0" applyFont="1" applyBorder="1"/>
    <xf numFmtId="14" fontId="2" fillId="0" borderId="32" xfId="0" applyNumberFormat="1" applyFont="1" applyBorder="1" applyAlignment="1">
      <alignment horizontal="center" vertical="center"/>
    </xf>
    <xf numFmtId="14" fontId="1" fillId="0" borderId="32" xfId="0" applyNumberFormat="1" applyFont="1" applyBorder="1" applyAlignment="1">
      <alignment horizontal="center" vertical="center"/>
    </xf>
    <xf numFmtId="40" fontId="3" fillId="0" borderId="32" xfId="0" applyNumberFormat="1" applyFont="1" applyBorder="1"/>
    <xf numFmtId="40" fontId="2" fillId="0" borderId="32" xfId="0" applyNumberFormat="1" applyFont="1" applyBorder="1" applyAlignment="1">
      <alignment horizontal="center" vertical="center"/>
    </xf>
    <xf numFmtId="40" fontId="0" fillId="0" borderId="0" xfId="0" applyNumberFormat="1"/>
    <xf numFmtId="164" fontId="0" fillId="0" borderId="32" xfId="1" applyFont="1" applyBorder="1"/>
    <xf numFmtId="164" fontId="0" fillId="0" borderId="29" xfId="1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0" fontId="0" fillId="0" borderId="0" xfId="0" applyAlignment="1">
      <alignment horizontal="left" indent="4"/>
    </xf>
    <xf numFmtId="0" fontId="0" fillId="0" borderId="0" xfId="0" applyAlignment="1">
      <alignment horizontal="left" indent="5"/>
    </xf>
    <xf numFmtId="0" fontId="0" fillId="0" borderId="0" xfId="0" applyAlignment="1">
      <alignment horizontal="left" indent="6"/>
    </xf>
    <xf numFmtId="0" fontId="0" fillId="0" borderId="0" xfId="0" applyAlignment="1">
      <alignment horizontal="left" indent="7"/>
    </xf>
    <xf numFmtId="14" fontId="0" fillId="0" borderId="0" xfId="0" applyNumberFormat="1" applyAlignment="1">
      <alignment horizontal="left" indent="8"/>
    </xf>
    <xf numFmtId="167" fontId="0" fillId="0" borderId="0" xfId="0" applyNumberFormat="1"/>
    <xf numFmtId="168" fontId="3" fillId="0" borderId="0" xfId="0" applyNumberFormat="1" applyFont="1"/>
    <xf numFmtId="0" fontId="3" fillId="2" borderId="32" xfId="0" applyFont="1" applyFill="1" applyBorder="1" applyAlignment="1">
      <alignment horizontal="center" vertical="center"/>
    </xf>
    <xf numFmtId="0" fontId="3" fillId="0" borderId="32" xfId="0" applyFont="1" applyBorder="1" applyAlignment="1">
      <alignment vertical="center"/>
    </xf>
    <xf numFmtId="165" fontId="3" fillId="0" borderId="32" xfId="0" applyNumberFormat="1" applyFont="1" applyBorder="1" applyAlignment="1">
      <alignment vertical="center"/>
    </xf>
    <xf numFmtId="40" fontId="3" fillId="0" borderId="32" xfId="0" applyNumberFormat="1" applyFont="1" applyBorder="1" applyAlignment="1">
      <alignment horizontal="left" vertical="center" indent="1"/>
    </xf>
    <xf numFmtId="40" fontId="3" fillId="0" borderId="32" xfId="0" quotePrefix="1" applyNumberFormat="1" applyFont="1" applyBorder="1" applyAlignment="1">
      <alignment horizontal="left" vertical="center" indent="1"/>
    </xf>
    <xf numFmtId="164" fontId="3" fillId="0" borderId="0" xfId="1" applyFont="1"/>
    <xf numFmtId="0" fontId="3" fillId="0" borderId="8" xfId="0" applyFont="1" applyBorder="1"/>
    <xf numFmtId="168" fontId="3" fillId="0" borderId="8" xfId="0" applyNumberFormat="1" applyFont="1" applyBorder="1"/>
    <xf numFmtId="10" fontId="3" fillId="0" borderId="0" xfId="0" applyNumberFormat="1" applyFont="1"/>
    <xf numFmtId="2" fontId="10" fillId="3" borderId="33" xfId="0" applyNumberFormat="1" applyFont="1" applyFill="1" applyBorder="1" applyAlignment="1">
      <alignment horizontal="center" vertical="center"/>
    </xf>
    <xf numFmtId="0" fontId="10" fillId="3" borderId="33" xfId="0" applyFont="1" applyFill="1" applyBorder="1" applyAlignment="1">
      <alignment horizontal="left" vertical="center" indent="1"/>
    </xf>
    <xf numFmtId="4" fontId="10" fillId="4" borderId="0" xfId="0" applyNumberFormat="1" applyFont="1" applyFill="1" applyAlignment="1">
      <alignment vertical="center"/>
    </xf>
    <xf numFmtId="0" fontId="10" fillId="4" borderId="0" xfId="0" applyFont="1" applyFill="1" applyAlignment="1">
      <alignment horizontal="left" vertical="center" indent="1"/>
    </xf>
    <xf numFmtId="10" fontId="10" fillId="3" borderId="0" xfId="0" applyNumberFormat="1" applyFont="1" applyFill="1" applyAlignment="1">
      <alignment vertical="center"/>
    </xf>
    <xf numFmtId="0" fontId="10" fillId="3" borderId="0" xfId="0" applyFont="1" applyFill="1" applyAlignment="1">
      <alignment horizontal="left" vertical="center" indent="1"/>
    </xf>
    <xf numFmtId="10" fontId="10" fillId="4" borderId="0" xfId="0" applyNumberFormat="1" applyFont="1" applyFill="1" applyAlignment="1">
      <alignment vertical="center"/>
    </xf>
    <xf numFmtId="0" fontId="9" fillId="5" borderId="34" xfId="0" applyFont="1" applyFill="1" applyBorder="1" applyAlignment="1">
      <alignment horizontal="center" vertical="center"/>
    </xf>
    <xf numFmtId="40" fontId="10" fillId="3" borderId="33" xfId="0" applyNumberFormat="1" applyFont="1" applyFill="1" applyBorder="1" applyAlignment="1">
      <alignment horizontal="center" vertical="center"/>
    </xf>
    <xf numFmtId="169" fontId="10" fillId="4" borderId="0" xfId="0" applyNumberFormat="1" applyFont="1" applyFill="1" applyAlignment="1">
      <alignment horizontal="center" vertical="center"/>
    </xf>
    <xf numFmtId="4" fontId="12" fillId="6" borderId="36" xfId="0" applyNumberFormat="1" applyFont="1" applyFill="1" applyBorder="1"/>
    <xf numFmtId="4" fontId="12" fillId="6" borderId="31" xfId="0" applyNumberFormat="1" applyFont="1" applyFill="1" applyBorder="1"/>
    <xf numFmtId="4" fontId="12" fillId="6" borderId="37" xfId="0" applyNumberFormat="1" applyFont="1" applyFill="1" applyBorder="1"/>
    <xf numFmtId="4" fontId="12" fillId="6" borderId="6" xfId="0" applyNumberFormat="1" applyFont="1" applyFill="1" applyBorder="1"/>
    <xf numFmtId="4" fontId="12" fillId="6" borderId="32" xfId="0" applyNumberFormat="1" applyFont="1" applyFill="1" applyBorder="1"/>
    <xf numFmtId="4" fontId="12" fillId="6" borderId="5" xfId="0" applyNumberFormat="1" applyFont="1" applyFill="1" applyBorder="1"/>
    <xf numFmtId="4" fontId="12" fillId="6" borderId="38" xfId="0" applyNumberFormat="1" applyFont="1" applyFill="1" applyBorder="1"/>
    <xf numFmtId="4" fontId="12" fillId="6" borderId="29" xfId="0" applyNumberFormat="1" applyFont="1" applyFill="1" applyBorder="1"/>
    <xf numFmtId="4" fontId="12" fillId="6" borderId="35" xfId="0" applyNumberFormat="1" applyFont="1" applyFill="1" applyBorder="1"/>
    <xf numFmtId="4" fontId="12" fillId="6" borderId="31" xfId="0" applyNumberFormat="1" applyFont="1" applyFill="1" applyBorder="1" applyAlignment="1">
      <alignment horizontal="center"/>
    </xf>
    <xf numFmtId="4" fontId="12" fillId="6" borderId="37" xfId="0" applyNumberFormat="1" applyFont="1" applyFill="1" applyBorder="1" applyAlignment="1">
      <alignment horizontal="center"/>
    </xf>
    <xf numFmtId="40" fontId="1" fillId="2" borderId="0" xfId="0" applyNumberFormat="1" applyFont="1" applyFill="1" applyAlignment="1">
      <alignment horizontal="center" vertical="center"/>
    </xf>
    <xf numFmtId="40" fontId="7" fillId="2" borderId="0" xfId="0" applyNumberFormat="1" applyFont="1" applyFill="1" applyAlignment="1">
      <alignment horizontal="center" vertical="center"/>
    </xf>
    <xf numFmtId="40" fontId="3" fillId="0" borderId="1" xfId="0" applyNumberFormat="1" applyFont="1" applyBorder="1" applyAlignment="1">
      <alignment horizontal="left" vertical="center"/>
    </xf>
    <xf numFmtId="40" fontId="0" fillId="0" borderId="1" xfId="0" applyNumberFormat="1" applyBorder="1" applyAlignment="1">
      <alignment horizontal="left" vertical="center"/>
    </xf>
    <xf numFmtId="40" fontId="3" fillId="0" borderId="1" xfId="0" applyNumberFormat="1" applyFont="1" applyBorder="1" applyAlignment="1">
      <alignment vertical="center"/>
    </xf>
    <xf numFmtId="40" fontId="0" fillId="0" borderId="1" xfId="0" applyNumberFormat="1" applyBorder="1" applyAlignment="1">
      <alignment vertical="center"/>
    </xf>
    <xf numFmtId="0" fontId="3" fillId="0" borderId="2" xfId="0" applyFont="1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3" fillId="0" borderId="32" xfId="0" applyFont="1" applyBorder="1" applyAlignment="1">
      <alignment vertical="center"/>
    </xf>
    <xf numFmtId="0" fontId="0" fillId="0" borderId="32" xfId="0" applyBorder="1" applyAlignment="1">
      <alignment vertical="center"/>
    </xf>
    <xf numFmtId="0" fontId="3" fillId="0" borderId="5" xfId="0" applyFont="1" applyBorder="1" applyAlignment="1">
      <alignment vertical="center"/>
    </xf>
    <xf numFmtId="0" fontId="0" fillId="0" borderId="6" xfId="0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7" xfId="0" applyBorder="1" applyAlignment="1">
      <alignment vertical="center"/>
    </xf>
    <xf numFmtId="0" fontId="4" fillId="0" borderId="8" xfId="0" applyFont="1" applyBorder="1" applyAlignment="1">
      <alignment horizontal="center" vertical="center"/>
    </xf>
    <xf numFmtId="0" fontId="4" fillId="0" borderId="27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3" fillId="0" borderId="9" xfId="0" applyFont="1" applyBorder="1" applyAlignment="1">
      <alignment vertical="center"/>
    </xf>
    <xf numFmtId="40" fontId="3" fillId="0" borderId="27" xfId="0" applyNumberFormat="1" applyFont="1" applyBorder="1" applyAlignment="1">
      <alignment horizontal="left" vertical="center"/>
    </xf>
    <xf numFmtId="40" fontId="4" fillId="0" borderId="29" xfId="0" applyNumberFormat="1" applyFont="1" applyBorder="1" applyAlignment="1">
      <alignment horizontal="center" vertical="center"/>
    </xf>
    <xf numFmtId="40" fontId="6" fillId="0" borderId="30" xfId="0" applyNumberFormat="1" applyFont="1" applyBorder="1" applyAlignment="1">
      <alignment horizontal="center" vertical="center"/>
    </xf>
    <xf numFmtId="40" fontId="6" fillId="0" borderId="31" xfId="0" applyNumberFormat="1" applyFont="1" applyBorder="1" applyAlignment="1">
      <alignment horizontal="center" vertical="center"/>
    </xf>
    <xf numFmtId="40" fontId="3" fillId="0" borderId="32" xfId="0" applyNumberFormat="1" applyFont="1" applyBorder="1" applyAlignment="1">
      <alignment horizontal="left" vertical="center"/>
    </xf>
    <xf numFmtId="0" fontId="4" fillId="0" borderId="32" xfId="0" applyFont="1" applyBorder="1" applyAlignment="1">
      <alignment horizontal="center" vertical="center"/>
    </xf>
    <xf numFmtId="0" fontId="4" fillId="0" borderId="28" xfId="0" applyFont="1" applyBorder="1" applyAlignment="1">
      <alignment horizontal="center" vertical="center"/>
    </xf>
    <xf numFmtId="0" fontId="3" fillId="0" borderId="28" xfId="0" applyFont="1" applyBorder="1" applyAlignment="1">
      <alignment vertical="center"/>
    </xf>
    <xf numFmtId="0" fontId="3" fillId="0" borderId="32" xfId="0" applyFont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6" fillId="0" borderId="32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4" fillId="0" borderId="0" xfId="0" applyFont="1" applyAlignment="1">
      <alignment vertical="center"/>
    </xf>
    <xf numFmtId="0" fontId="0" fillId="0" borderId="0" xfId="0" applyAlignment="1">
      <alignment vertical="center"/>
    </xf>
    <xf numFmtId="0" fontId="4" fillId="0" borderId="10" xfId="0" applyFont="1" applyBorder="1" applyAlignment="1">
      <alignment vertical="center"/>
    </xf>
    <xf numFmtId="0" fontId="0" fillId="0" borderId="10" xfId="0" applyBorder="1" applyAlignment="1">
      <alignment vertical="center"/>
    </xf>
    <xf numFmtId="4" fontId="12" fillId="6" borderId="32" xfId="0" applyNumberFormat="1" applyFont="1" applyFill="1" applyBorder="1" applyAlignment="1">
      <alignment horizontal="center"/>
    </xf>
    <xf numFmtId="4" fontId="12" fillId="6" borderId="31" xfId="0" applyNumberFormat="1" applyFont="1" applyFill="1" applyBorder="1" applyAlignment="1">
      <alignment horizontal="center"/>
    </xf>
    <xf numFmtId="4" fontId="12" fillId="6" borderId="37" xfId="0" applyNumberFormat="1" applyFont="1" applyFill="1" applyBorder="1" applyAlignment="1">
      <alignment horizontal="center"/>
    </xf>
  </cellXfs>
  <cellStyles count="2">
    <cellStyle name="Normal" xfId="0" builtinId="0"/>
    <cellStyle name="Vírgula" xfId="1" builtinId="3"/>
  </cellStyles>
  <dxfs count="1080"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1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numFmt numFmtId="167" formatCode="0.00%_);[Red]\(0.00%\)"/>
    </dxf>
    <dxf>
      <numFmt numFmtId="167" formatCode="0.00%_);[Red]\(0.00%\)"/>
    </dxf>
    <dxf>
      <numFmt numFmtId="170" formatCode="#,##0.00_);[Red]\(#,##0.00\)"/>
    </dxf>
    <dxf>
      <numFmt numFmtId="170" formatCode="#,##0.00_);[Red]\(#,##0.00\)"/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170" formatCode="#,##0.00_);[Red]\(#,##0.00\)"/>
    </dxf>
    <dxf>
      <numFmt numFmtId="170" formatCode="#,##0.00_);[Red]\(#,##0.00\)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167" formatCode="0.00%_);[Red]\(0.00%\)"/>
    </dxf>
    <dxf>
      <numFmt numFmtId="167" formatCode="0.00%_);[Red]\(0.00%\)"/>
    </dxf>
    <dxf>
      <numFmt numFmtId="170" formatCode="#,##0.00_);[Red]\(#,##0.00\)"/>
    </dxf>
    <dxf>
      <numFmt numFmtId="170" formatCode="#,##0.00_);[Red]\(#,##0.0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1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1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pivotCacheDefinition" Target="pivotCache/pivotCacheDefinition3.xml"/><Relationship Id="rId45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'RESUMO TUSD'!$A$13</c:f>
              <c:strCache>
                <c:ptCount val="1"/>
                <c:pt idx="0">
                  <c:v>VAR. GLOBAL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TUSD'!$B$13:$W$13</c:f>
              <c:numCache>
                <c:formatCode>General</c:formatCode>
                <c:ptCount val="22"/>
                <c:pt idx="0">
                  <c:v>0</c:v>
                </c:pt>
                <c:pt idx="1">
                  <c:v>7.2618346070825359E-5</c:v>
                </c:pt>
                <c:pt idx="2">
                  <c:v>9.0794669153546113E-4</c:v>
                </c:pt>
                <c:pt idx="3">
                  <c:v>0</c:v>
                </c:pt>
                <c:pt idx="4">
                  <c:v>0</c:v>
                </c:pt>
                <c:pt idx="5">
                  <c:v>0.15599842005712258</c:v>
                </c:pt>
                <c:pt idx="6">
                  <c:v>2.5519846821358754E-2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2.618256999232197E-2</c:v>
                </c:pt>
                <c:pt idx="13">
                  <c:v>0</c:v>
                </c:pt>
                <c:pt idx="14">
                  <c:v>0</c:v>
                </c:pt>
                <c:pt idx="15">
                  <c:v>6.2899794659743479E-3</c:v>
                </c:pt>
                <c:pt idx="16">
                  <c:v>0</c:v>
                </c:pt>
                <c:pt idx="17">
                  <c:v>0</c:v>
                </c:pt>
                <c:pt idx="18">
                  <c:v>-1.1112646860127267E-2</c:v>
                </c:pt>
                <c:pt idx="19">
                  <c:v>1.0953556266290539E-3</c:v>
                </c:pt>
                <c:pt idx="20">
                  <c:v>2.2991289773101434E-4</c:v>
                </c:pt>
                <c:pt idx="21">
                  <c:v>1.459908063913201E-4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ED-4D0D-A89A-B06C3DAEDE03}"/>
            </c:ext>
          </c:extLst>
        </c:ser>
        <c:ser>
          <c:idx val="1"/>
          <c:order val="1"/>
          <c:tx>
            <c:strRef>
              <c:f>'RESUMO TUSD'!$A$14</c:f>
              <c:strCache>
                <c:ptCount val="1"/>
                <c:pt idx="0">
                  <c:v>VAR. SELEÇÃO SUBG.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TUSD'!$B$14:$W$14</c:f>
              <c:numCache>
                <c:formatCode>General</c:formatCode>
                <c:ptCount val="22"/>
                <c:pt idx="0">
                  <c:v>0</c:v>
                </c:pt>
                <c:pt idx="1">
                  <c:v>-3.1978705179442008E-4</c:v>
                </c:pt>
                <c:pt idx="2">
                  <c:v>-9.0578860836442289E-5</c:v>
                </c:pt>
                <c:pt idx="3">
                  <c:v>0</c:v>
                </c:pt>
                <c:pt idx="4">
                  <c:v>0</c:v>
                </c:pt>
                <c:pt idx="5">
                  <c:v>0.17160162815989632</c:v>
                </c:pt>
                <c:pt idx="6">
                  <c:v>3.131234487081333E-2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4.1928243532684359E-2</c:v>
                </c:pt>
                <c:pt idx="13">
                  <c:v>0</c:v>
                </c:pt>
                <c:pt idx="14">
                  <c:v>0</c:v>
                </c:pt>
                <c:pt idx="15">
                  <c:v>-7.6234217923532757E-2</c:v>
                </c:pt>
                <c:pt idx="16">
                  <c:v>0</c:v>
                </c:pt>
                <c:pt idx="17">
                  <c:v>0</c:v>
                </c:pt>
                <c:pt idx="18">
                  <c:v>-8.9768479736539262E-3</c:v>
                </c:pt>
                <c:pt idx="19">
                  <c:v>8.6558009283535162E-4</c:v>
                </c:pt>
                <c:pt idx="20">
                  <c:v>1.8552156171996003E-4</c:v>
                </c:pt>
                <c:pt idx="21">
                  <c:v>9.4628850654271431E-5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ED-4D0D-A89A-B06C3DAEDE03}"/>
            </c:ext>
          </c:extLst>
        </c:ser>
        <c:ser>
          <c:idx val="2"/>
          <c:order val="2"/>
          <c:tx>
            <c:strRef>
              <c:f>'RESUMO TUSD'!$A$15</c:f>
              <c:strCache>
                <c:ptCount val="1"/>
                <c:pt idx="0">
                  <c:v>VAR. SELEÇÃO MDT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TUSD'!$B$15:$W$15</c:f>
              <c:numCache>
                <c:formatCode>General</c:formatCode>
                <c:ptCount val="22"/>
                <c:pt idx="0">
                  <c:v>0</c:v>
                </c:pt>
                <c:pt idx="1">
                  <c:v>-3.1978705179442008E-4</c:v>
                </c:pt>
                <c:pt idx="2">
                  <c:v>-9.0578860836442289E-5</c:v>
                </c:pt>
                <c:pt idx="3">
                  <c:v>0</c:v>
                </c:pt>
                <c:pt idx="4">
                  <c:v>0</c:v>
                </c:pt>
                <c:pt idx="5">
                  <c:v>0.17160162815989632</c:v>
                </c:pt>
                <c:pt idx="6">
                  <c:v>3.131234487081333E-2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4.1928243532684359E-2</c:v>
                </c:pt>
                <c:pt idx="13">
                  <c:v>0</c:v>
                </c:pt>
                <c:pt idx="14">
                  <c:v>0</c:v>
                </c:pt>
                <c:pt idx="15">
                  <c:v>-7.6234217923532757E-2</c:v>
                </c:pt>
                <c:pt idx="16">
                  <c:v>0</c:v>
                </c:pt>
                <c:pt idx="17">
                  <c:v>0</c:v>
                </c:pt>
                <c:pt idx="18">
                  <c:v>-8.9768479736539262E-3</c:v>
                </c:pt>
                <c:pt idx="19">
                  <c:v>8.6558009283535162E-4</c:v>
                </c:pt>
                <c:pt idx="20">
                  <c:v>1.8552156171996003E-4</c:v>
                </c:pt>
                <c:pt idx="21">
                  <c:v>9.4628850654271431E-5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ED-4D0D-A89A-B06C3DAEDE03}"/>
            </c:ext>
          </c:extLst>
        </c:ser>
        <c:ser>
          <c:idx val="3"/>
          <c:order val="3"/>
          <c:marker>
            <c:symbol val="none"/>
          </c:marker>
          <c:extLst>
            <c:ext xmlns:c16="http://schemas.microsoft.com/office/drawing/2014/chart" uri="{C3380CC4-5D6E-409C-BE32-E72D297353CC}">
              <c16:uniqueId val="{00000003-DDED-4D0D-A89A-B06C3DAEDE03}"/>
            </c:ext>
          </c:extLst>
        </c:ser>
        <c:ser>
          <c:idx val="4"/>
          <c:order val="4"/>
          <c:marker>
            <c:symbol val="none"/>
          </c:marker>
          <c:extLst>
            <c:ext xmlns:c16="http://schemas.microsoft.com/office/drawing/2014/chart" uri="{C3380CC4-5D6E-409C-BE32-E72D297353CC}">
              <c16:uniqueId val="{00000004-DDED-4D0D-A89A-B06C3DAEDE03}"/>
            </c:ext>
          </c:extLst>
        </c:ser>
        <c:ser>
          <c:idx val="5"/>
          <c:order val="5"/>
          <c:marker>
            <c:symbol val="none"/>
          </c:marker>
          <c:extLst>
            <c:ext xmlns:c16="http://schemas.microsoft.com/office/drawing/2014/chart" uri="{C3380CC4-5D6E-409C-BE32-E72D297353CC}">
              <c16:uniqueId val="{00000005-DDED-4D0D-A89A-B06C3DAED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0364344"/>
        <c:axId val="557287128"/>
      </c:radarChart>
      <c:catAx>
        <c:axId val="76036434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557287128"/>
        <c:crosses val="autoZero"/>
        <c:auto val="1"/>
        <c:lblAlgn val="ctr"/>
        <c:lblOffset val="100"/>
        <c:noMultiLvlLbl val="0"/>
      </c:catAx>
      <c:valAx>
        <c:axId val="5572871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60364344"/>
        <c:crosses val="autoZero"/>
        <c:crossBetween val="between"/>
      </c:valAx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'RESUMO TE'!$A$13</c:f>
              <c:strCache>
                <c:ptCount val="1"/>
                <c:pt idx="0">
                  <c:v>VAR. GLOBAL</c:v>
                </c:pt>
              </c:strCache>
            </c:strRef>
          </c:tx>
          <c:marker>
            <c:symbol val="none"/>
          </c:marker>
          <c:cat>
            <c:strRef>
              <c:f>'RESUMO TE'!$B$5:$L$5</c:f>
              <c:strCache>
                <c:ptCount val="11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CDE ELET</c:v>
                </c:pt>
                <c:pt idx="5">
                  <c:v>ENERGIA REVENDA</c:v>
                </c:pt>
                <c:pt idx="6">
                  <c:v>ITAIPU</c:v>
                </c:pt>
                <c:pt idx="7">
                  <c:v>TUST ITAIPU</c:v>
                </c:pt>
                <c:pt idx="8">
                  <c:v>TUST CI</c:v>
                </c:pt>
                <c:pt idx="9">
                  <c:v>SUBSIDIO</c:v>
                </c:pt>
                <c:pt idx="10">
                  <c:v>PERDAS RB/C</c:v>
                </c:pt>
              </c:strCache>
            </c:strRef>
          </c:cat>
          <c:val>
            <c:numRef>
              <c:f>'RESUMO TE'!$B$13:$L$13</c:f>
              <c:numCache>
                <c:formatCode>General</c:formatCode>
                <c:ptCount val="11"/>
                <c:pt idx="0">
                  <c:v>4.0582217924195013E-4</c:v>
                </c:pt>
                <c:pt idx="1">
                  <c:v>9.5493844861650606E-2</c:v>
                </c:pt>
                <c:pt idx="2">
                  <c:v>0</c:v>
                </c:pt>
                <c:pt idx="3">
                  <c:v>0</c:v>
                </c:pt>
                <c:pt idx="4">
                  <c:v>-5.6909402046986662E-2</c:v>
                </c:pt>
                <c:pt idx="5">
                  <c:v>-4.8455291765524419E-2</c:v>
                </c:pt>
                <c:pt idx="6">
                  <c:v>2.3464356556256831E-2</c:v>
                </c:pt>
                <c:pt idx="7">
                  <c:v>1.7446974523551362E-2</c:v>
                </c:pt>
                <c:pt idx="8">
                  <c:v>0</c:v>
                </c:pt>
                <c:pt idx="9">
                  <c:v>0</c:v>
                </c:pt>
                <c:pt idx="10">
                  <c:v>1.952843586172695E-2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05-462F-B773-03AB8D8A6585}"/>
            </c:ext>
          </c:extLst>
        </c:ser>
        <c:ser>
          <c:idx val="1"/>
          <c:order val="1"/>
          <c:tx>
            <c:strRef>
              <c:f>'RESUMO TE'!$A$14</c:f>
              <c:strCache>
                <c:ptCount val="1"/>
                <c:pt idx="0">
                  <c:v>VAR. SELEÇÃO SUBG.</c:v>
                </c:pt>
              </c:strCache>
            </c:strRef>
          </c:tx>
          <c:marker>
            <c:symbol val="none"/>
          </c:marker>
          <c:cat>
            <c:strRef>
              <c:f>'RESUMO TE'!$B$5:$L$5</c:f>
              <c:strCache>
                <c:ptCount val="11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CDE ELET</c:v>
                </c:pt>
                <c:pt idx="5">
                  <c:v>ENERGIA REVENDA</c:v>
                </c:pt>
                <c:pt idx="6">
                  <c:v>ITAIPU</c:v>
                </c:pt>
                <c:pt idx="7">
                  <c:v>TUST ITAIPU</c:v>
                </c:pt>
                <c:pt idx="8">
                  <c:v>TUST CI</c:v>
                </c:pt>
                <c:pt idx="9">
                  <c:v>SUBSIDIO</c:v>
                </c:pt>
                <c:pt idx="10">
                  <c:v>PERDAS RB/C</c:v>
                </c:pt>
              </c:strCache>
            </c:strRef>
          </c:cat>
          <c:val>
            <c:numRef>
              <c:f>'RESUMO TE'!$B$14:$L$14</c:f>
              <c:numCache>
                <c:formatCode>General</c:formatCode>
                <c:ptCount val="11"/>
                <c:pt idx="0">
                  <c:v>3.754355152382032E-4</c:v>
                </c:pt>
                <c:pt idx="1">
                  <c:v>9.6467430277724614E-2</c:v>
                </c:pt>
                <c:pt idx="2">
                  <c:v>0</c:v>
                </c:pt>
                <c:pt idx="3">
                  <c:v>0</c:v>
                </c:pt>
                <c:pt idx="4">
                  <c:v>-5.753608746176618E-2</c:v>
                </c:pt>
                <c:pt idx="5">
                  <c:v>-5.1737552871563709E-2</c:v>
                </c:pt>
                <c:pt idx="6">
                  <c:v>2.3722745671096789E-2</c:v>
                </c:pt>
                <c:pt idx="7">
                  <c:v>1.7639100324783857E-2</c:v>
                </c:pt>
                <c:pt idx="8">
                  <c:v>0</c:v>
                </c:pt>
                <c:pt idx="9">
                  <c:v>0</c:v>
                </c:pt>
                <c:pt idx="10">
                  <c:v>1.9743482681545882E-2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05-462F-B773-03AB8D8A6585}"/>
            </c:ext>
          </c:extLst>
        </c:ser>
        <c:ser>
          <c:idx val="2"/>
          <c:order val="2"/>
          <c:tx>
            <c:strRef>
              <c:f>'RESUMO TE'!$A$15</c:f>
              <c:strCache>
                <c:ptCount val="1"/>
                <c:pt idx="0">
                  <c:v>VAR. SELEÇÃO MDT</c:v>
                </c:pt>
              </c:strCache>
            </c:strRef>
          </c:tx>
          <c:marker>
            <c:symbol val="none"/>
          </c:marker>
          <c:cat>
            <c:strRef>
              <c:f>'RESUMO TE'!$B$5:$L$5</c:f>
              <c:strCache>
                <c:ptCount val="11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CDE ELET</c:v>
                </c:pt>
                <c:pt idx="5">
                  <c:v>ENERGIA REVENDA</c:v>
                </c:pt>
                <c:pt idx="6">
                  <c:v>ITAIPU</c:v>
                </c:pt>
                <c:pt idx="7">
                  <c:v>TUST ITAIPU</c:v>
                </c:pt>
                <c:pt idx="8">
                  <c:v>TUST CI</c:v>
                </c:pt>
                <c:pt idx="9">
                  <c:v>SUBSIDIO</c:v>
                </c:pt>
                <c:pt idx="10">
                  <c:v>PERDAS RB/C</c:v>
                </c:pt>
              </c:strCache>
            </c:strRef>
          </c:cat>
          <c:val>
            <c:numRef>
              <c:f>'RESUMO TE'!$B$15:$L$15</c:f>
              <c:numCache>
                <c:formatCode>General</c:formatCode>
                <c:ptCount val="11"/>
                <c:pt idx="0">
                  <c:v>3.754355152382032E-4</c:v>
                </c:pt>
                <c:pt idx="1">
                  <c:v>9.6467430277724614E-2</c:v>
                </c:pt>
                <c:pt idx="2">
                  <c:v>0</c:v>
                </c:pt>
                <c:pt idx="3">
                  <c:v>0</c:v>
                </c:pt>
                <c:pt idx="4">
                  <c:v>-5.753608746176618E-2</c:v>
                </c:pt>
                <c:pt idx="5">
                  <c:v>-5.1737552871563709E-2</c:v>
                </c:pt>
                <c:pt idx="6">
                  <c:v>2.3722745671096789E-2</c:v>
                </c:pt>
                <c:pt idx="7">
                  <c:v>1.7639100324783857E-2</c:v>
                </c:pt>
                <c:pt idx="8">
                  <c:v>0</c:v>
                </c:pt>
                <c:pt idx="9">
                  <c:v>0</c:v>
                </c:pt>
                <c:pt idx="10">
                  <c:v>1.9743482681545882E-2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05-462F-B773-03AB8D8A6585}"/>
            </c:ext>
          </c:extLst>
        </c:ser>
        <c:ser>
          <c:idx val="3"/>
          <c:order val="3"/>
          <c:marker>
            <c:symbol val="none"/>
          </c:marker>
          <c:extLst>
            <c:ext xmlns:c16="http://schemas.microsoft.com/office/drawing/2014/chart" uri="{C3380CC4-5D6E-409C-BE32-E72D297353CC}">
              <c16:uniqueId val="{00000003-1B05-462F-B773-03AB8D8A6585}"/>
            </c:ext>
          </c:extLst>
        </c:ser>
        <c:ser>
          <c:idx val="4"/>
          <c:order val="4"/>
          <c:marker>
            <c:symbol val="none"/>
          </c:marker>
          <c:extLst>
            <c:ext xmlns:c16="http://schemas.microsoft.com/office/drawing/2014/chart" uri="{C3380CC4-5D6E-409C-BE32-E72D297353CC}">
              <c16:uniqueId val="{00000004-1B05-462F-B773-03AB8D8A6585}"/>
            </c:ext>
          </c:extLst>
        </c:ser>
        <c:ser>
          <c:idx val="5"/>
          <c:order val="5"/>
          <c:marker>
            <c:symbol val="none"/>
          </c:marker>
          <c:extLst>
            <c:ext xmlns:c16="http://schemas.microsoft.com/office/drawing/2014/chart" uri="{C3380CC4-5D6E-409C-BE32-E72D297353CC}">
              <c16:uniqueId val="{00000005-1B05-462F-B773-03AB8D8A65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925312"/>
        <c:axId val="1064921048"/>
      </c:radarChart>
      <c:catAx>
        <c:axId val="106492531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064921048"/>
        <c:crosses val="autoZero"/>
        <c:auto val="1"/>
        <c:lblAlgn val="ctr"/>
        <c:lblOffset val="100"/>
        <c:noMultiLvlLbl val="0"/>
      </c:catAx>
      <c:valAx>
        <c:axId val="10649210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64925312"/>
        <c:crosses val="autoZero"/>
        <c:crossBetween val="between"/>
      </c:valAx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228601</xdr:colOff>
      <xdr:row>16</xdr:row>
      <xdr:rowOff>0</xdr:rowOff>
    </xdr:from>
    <xdr:to>
      <xdr:col>16</xdr:col>
      <xdr:colOff>314326</xdr:colOff>
      <xdr:row>45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A4A51DA-2723-F71B-7523-473E831E7A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352426</xdr:colOff>
      <xdr:row>16</xdr:row>
      <xdr:rowOff>0</xdr:rowOff>
    </xdr:from>
    <xdr:to>
      <xdr:col>15</xdr:col>
      <xdr:colOff>561976</xdr:colOff>
      <xdr:row>45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4552FA5-97BB-2EB8-460A-A1B0E0477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son Kuhn Yatsu" refreshedDate="44832.499505324071" createdVersion="5" refreshedVersion="8" minRefreshableVersion="3" recordCount="640" xr:uid="{A10DD998-EAED-4FC0-A57C-22ED4B475F55}">
  <cacheSource type="worksheet">
    <worksheetSource name="Efeito"/>
  </cacheSource>
  <cacheFields count="36">
    <cacheField name="TipoMercado" numFmtId="0">
      <sharedItems/>
    </cacheField>
    <cacheField name="Subgrupo" numFmtId="0">
      <sharedItems count="5">
        <s v="A4"/>
        <s v="B1"/>
        <s v="B2"/>
        <s v="B3"/>
        <s v="B4"/>
      </sharedItems>
    </cacheField>
    <cacheField name="Modalidade" numFmtId="0">
      <sharedItems count="4">
        <s v="Azul"/>
        <s v="Verde"/>
        <s v="Convencional"/>
        <s v="Branca"/>
      </sharedItems>
    </cacheField>
    <cacheField name="Classe" numFmtId="0">
      <sharedItems count="8">
        <s v="Industrial"/>
        <s v="Comercial"/>
        <s v="Poder público"/>
        <s v="Serviço público"/>
        <s v="Residencial"/>
        <s v="Rural"/>
        <s v="Consumo próprio"/>
        <s v="Iluminação pública"/>
      </sharedItems>
    </cacheField>
    <cacheField name="Subclasse" numFmtId="0">
      <sharedItems count="9">
        <s v="Não se aplica"/>
        <s v="Água, esgoto e saneamento"/>
        <s v="Residencial"/>
        <s v="Residencial baixa renda – faixa 01"/>
        <s v="Residencial baixa renda – faixa 02"/>
        <s v="Residencial baixa renda – faixa 03"/>
        <s v="Residencial baixa renda – faixa 04"/>
        <s v="Agropecuária rural"/>
        <s v="Iluminação pública – B4a"/>
      </sharedItems>
    </cacheField>
    <cacheField name="Detalhe" numFmtId="0">
      <sharedItems count="4">
        <s v="Fonte incentivada"/>
        <s v="Não se aplica"/>
        <s v="IRRIG./AQUIC."/>
        <s v="IRRIG./AQUIC. PR"/>
      </sharedItems>
    </cacheField>
    <cacheField name="Agente" numFmtId="0">
      <sharedItems count="1">
        <s v="Não se aplica"/>
      </sharedItems>
    </cacheField>
    <cacheField name="Posto" numFmtId="0">
      <sharedItems count="4">
        <s v="Fora ponta"/>
        <s v="Não se aplica"/>
        <s v="Ponta"/>
        <s v="Intermediário"/>
      </sharedItems>
    </cacheField>
    <cacheField name="AnoMes" numFmtId="14">
      <sharedItems containsSemiMixedTypes="0" containsNonDate="0" containsDate="1" containsString="0" minDate="2021-08-01T00:00:00" maxDate="2022-07-02T00:00:00" count="12"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d v="2022-07-01T00:00:00"/>
      </sharedItems>
    </cacheField>
    <cacheField name="D" numFmtId="40">
      <sharedItems containsSemiMixedTypes="0" containsString="0" containsNumber="1" containsInteger="1" minValue="0" maxValue="14808"/>
    </cacheField>
    <cacheField name="Daj" numFmtId="40">
      <sharedItems containsSemiMixedTypes="0" containsString="0" containsNumber="1" minValue="0" maxValue="14808"/>
    </cacheField>
    <cacheField name="TUSD_E" numFmtId="40">
      <sharedItems containsSemiMixedTypes="0" containsString="0" containsNumber="1" minValue="-300.40899999999999" maxValue="7849.884"/>
    </cacheField>
    <cacheField name="TUSD_Eaj" numFmtId="40">
      <sharedItems containsSemiMixedTypes="0" containsString="0" containsNumber="1" minValue="-300.40899999999999" maxValue="7849.884"/>
    </cacheField>
    <cacheField name="TE_E" numFmtId="40">
      <sharedItems containsSemiMixedTypes="0" containsString="0" containsNumber="1" minValue="-300.40899999999999" maxValue="7849.884"/>
    </cacheField>
    <cacheField name="TE_Eaj" numFmtId="40">
      <sharedItems containsSemiMixedTypes="0" containsString="0" containsNumber="1" minValue="-300.40899999999999" maxValue="7849.884"/>
    </cacheField>
    <cacheField name="UC" numFmtId="40">
      <sharedItems containsSemiMixedTypes="0" containsString="0" containsNumber="1" containsInteger="1" minValue="0" maxValue="34551"/>
    </cacheField>
    <cacheField name="OPÇÃO" numFmtId="0">
      <sharedItems count="2">
        <s v="LIVRE"/>
        <s v="CATIVO"/>
      </sharedItems>
    </cacheField>
    <cacheField name="CóD. AUX." numFmtId="0">
      <sharedItems containsSemiMixedTypes="0" containsString="0" containsNumber="1" containsInteger="1" minValue="0" maxValue="0"/>
    </cacheField>
    <cacheField name="CóD. AUX. TUSD R$/kW" numFmtId="40">
      <sharedItems containsSemiMixedTypes="0" containsString="0" containsNumber="1" containsInteger="1" minValue="0" maxValue="24"/>
    </cacheField>
    <cacheField name="CóD. AUX. TUSD R$/MWh" numFmtId="40">
      <sharedItems containsSemiMixedTypes="0" containsString="0" containsNumber="1" containsInteger="1" minValue="0" maxValue="81"/>
    </cacheField>
    <cacheField name="CóD. AUX. TE R$/MWh" numFmtId="40">
      <sharedItems containsSemiMixedTypes="0" containsString="0" containsNumber="1" containsInteger="1" minValue="0" maxValue="85"/>
    </cacheField>
    <cacheField name="TUSD (R$/kW)" numFmtId="40">
      <sharedItems containsSemiMixedTypes="0" containsString="0" containsNumber="1" minValue="0" maxValue="59.47"/>
    </cacheField>
    <cacheField name="TUSD (R$/MWh)" numFmtId="40">
      <sharedItems containsSemiMixedTypes="0" containsString="0" containsNumber="1" minValue="0" maxValue="1518.97"/>
    </cacheField>
    <cacheField name="TE (R$/MWh)" numFmtId="40">
      <sharedItems containsSemiMixedTypes="0" containsString="0" containsNumber="1" minValue="0" maxValue="359.33"/>
    </cacheField>
    <cacheField name="TUSD (R$/kW) NOVA" numFmtId="40">
      <sharedItems containsString="0" containsBlank="1" containsNumber="1" minValue="21.733731888847863" maxValue="56.480448697803254"/>
    </cacheField>
    <cacheField name="TUSD (R$/MWh) NOVA" numFmtId="40">
      <sharedItems containsString="0" containsBlank="1" containsNumber="1" minValue="102.5548534812466" maxValue="1492.9858702094405"/>
    </cacheField>
    <cacheField name="TE (R$/MWh) NOVA" numFmtId="40">
      <sharedItems containsString="0" containsBlank="1" containsNumber="1" minValue="82.125317539118555" maxValue="362.73600214515886"/>
    </cacheField>
    <cacheField name="RA0 ou RV - TUSD (kW)" numFmtId="40">
      <sharedItems containsSemiMixedTypes="0" containsString="0" containsNumber="1" minValue="0" maxValue="339103.19999999995"/>
    </cacheField>
    <cacheField name="RA0 ou RV - TUSD (MWh)" numFmtId="40">
      <sharedItems containsSemiMixedTypes="0" containsString="0" containsNumber="1" minValue="-101691.45058999999" maxValue="2657264.2328399997"/>
    </cacheField>
    <cacheField name="RA0 ou RV - TE (MWh)" numFmtId="40">
      <sharedItems containsSemiMixedTypes="0" containsString="0" containsNumber="1" minValue="-67294.620089999997" maxValue="1758452.5148399998"/>
    </cacheField>
    <cacheField name="RA1 ou RRD - TUSD (kW)" numFmtId="40">
      <sharedItems containsSemiMixedTypes="0" containsString="0" containsNumber="1" minValue="0" maxValue="321833.10181005916"/>
    </cacheField>
    <cacheField name="RA1 ou RRD - TUSD (MWh)" numFmtId="40">
      <sharedItems containsSemiMixedTypes="0" containsString="0" containsNumber="1" minValue="-125447.29228465255" maxValue="3278019.941308741"/>
    </cacheField>
    <cacheField name="RA1 ou RRD - TE (MWh)" numFmtId="40">
      <sharedItems containsSemiMixedTypes="0" containsString="0" containsNumber="1" minValue="-70489.098618883043" maxValue="1841926.3318435603"/>
    </cacheField>
    <cacheField name="Variação TUSD" numFmtId="0" formula="IF(('RA0 ou RV - TUSD (MWh)'+'RA0 ou RV - TUSD (kW)') &lt;&gt;0,('RA1 ou RRD - TUSD (MWh)'+'RA1 ou RRD - TUSD (kW)') /('RA0 ou RV - TUSD (MWh)'+'RA0 ou RV - TUSD (kW)') -1,0)" databaseField="0"/>
    <cacheField name="Variação TE" numFmtId="0" formula="IF('RA0 ou RV - TE (MWh)'&lt;&gt;0,'RA1 ou RRD - TE (MWh)'/'RA0 ou RV - TE (MWh)'-1,0)" databaseField="0"/>
    <cacheField name="Variação" numFmtId="0" formula="IF(('RA0 ou RV - TUSD (MWh)'+'RA0 ou RV - TUSD (kW)'+'RA0 ou RV - TE (MWh)') &lt;&gt;0,('RA1 ou RRD - TUSD (MWh)'+'RA1 ou RRD - TUSD (kW)'+'RA1 ou RRD - TE (MWh)') /('RA0 ou RV - TUSD (MWh)'+'RA0 ou RV - TUSD (kW)'+'RA0 ou RV - TE (MWh)') -1,0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son Kuhn Yatsu" refreshedDate="44832.499607407408" createdVersion="5" refreshedVersion="8" minRefreshableVersion="3" recordCount="256" xr:uid="{1704E4CE-2661-4D82-8433-917821082937}">
  <cacheSource type="worksheet">
    <worksheetSource name="Subsidio"/>
  </cacheSource>
  <cacheFields count="34">
    <cacheField name="TipoMercado" numFmtId="0">
      <sharedItems/>
    </cacheField>
    <cacheField name="Subgrupo" numFmtId="0">
      <sharedItems count="4">
        <s v="A4"/>
        <s v="B1"/>
        <s v="B2"/>
        <s v="B3"/>
      </sharedItems>
    </cacheField>
    <cacheField name="Modalidade" numFmtId="0">
      <sharedItems count="3">
        <s v="Azul"/>
        <s v="Verde"/>
        <s v="Convencional"/>
      </sharedItems>
    </cacheField>
    <cacheField name="Classe" numFmtId="0">
      <sharedItems count="4">
        <s v="Industrial"/>
        <s v="Serviço público"/>
        <s v="Residencial"/>
        <s v="Rural"/>
      </sharedItems>
    </cacheField>
    <cacheField name="Subclasse" numFmtId="0">
      <sharedItems count="8">
        <s v="Não se aplica"/>
        <s v="Água, esgoto e saneamento"/>
        <s v="Residencial"/>
        <s v="Residencial baixa renda – faixa 01"/>
        <s v="Residencial baixa renda – faixa 02"/>
        <s v="Residencial baixa renda – faixa 03"/>
        <s v="Residencial baixa renda – faixa 04"/>
        <s v="Agropecuária rural"/>
      </sharedItems>
    </cacheField>
    <cacheField name="Detalhe" numFmtId="0">
      <sharedItems count="4">
        <s v="Fonte incentivada"/>
        <s v="Não se aplica"/>
        <s v="IRRIG./AQUIC."/>
        <s v="IRRIG./AQUIC. PR"/>
      </sharedItems>
    </cacheField>
    <cacheField name="Agente" numFmtId="0">
      <sharedItems count="1">
        <s v="Não se aplica"/>
      </sharedItems>
    </cacheField>
    <cacheField name="Posto" numFmtId="0">
      <sharedItems count="3">
        <s v="Fora ponta"/>
        <s v="Não se aplica"/>
        <s v="Ponta"/>
      </sharedItems>
    </cacheField>
    <cacheField name="AnoMes" numFmtId="14">
      <sharedItems containsSemiMixedTypes="0" containsNonDate="0" containsDate="1" containsString="0" minDate="2021-08-01T00:00:00" maxDate="2022-07-02T00:00:00" count="12"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d v="2022-07-01T00:00:00"/>
      </sharedItems>
    </cacheField>
    <cacheField name="D" numFmtId="40">
      <sharedItems containsSemiMixedTypes="0" containsString="0" containsNumber="1" containsInteger="1" minValue="0" maxValue="11030"/>
    </cacheField>
    <cacheField name="Daj" numFmtId="40">
      <sharedItems containsSemiMixedTypes="0" containsString="0" containsNumber="1" minValue="0" maxValue="5264.6189999999997"/>
    </cacheField>
    <cacheField name="TUSD_E" numFmtId="40">
      <sharedItems containsSemiMixedTypes="0" containsString="0" containsNumber="1" minValue="-4.6929999999999996" maxValue="4928.0069999999996"/>
    </cacheField>
    <cacheField name="TUSD_Eaj" numFmtId="40">
      <sharedItems containsSemiMixedTypes="0" containsString="0" containsNumber="1" minValue="-4.6929999999999996" maxValue="4928.0069999999996"/>
    </cacheField>
    <cacheField name="TE_E" numFmtId="40">
      <sharedItems containsSemiMixedTypes="0" containsString="0" containsNumber="1" minValue="-4.6929999999999996" maxValue="4928.0069999999996"/>
    </cacheField>
    <cacheField name="TE_Eaj" numFmtId="40">
      <sharedItems containsSemiMixedTypes="0" containsString="0" containsNumber="1" minValue="-4.6929999999999996" maxValue="4928.0069999999996"/>
    </cacheField>
    <cacheField name="UC" numFmtId="40">
      <sharedItems containsSemiMixedTypes="0" containsString="0" containsNumber="1" containsInteger="1" minValue="0" maxValue="33874"/>
    </cacheField>
    <cacheField name="OPÇÃO" numFmtId="0">
      <sharedItems/>
    </cacheField>
    <cacheField name="CóD. AUX." numFmtId="0">
      <sharedItems containsSemiMixedTypes="0" containsString="0" containsNumber="1" containsInteger="1" minValue="0" maxValue="0"/>
    </cacheField>
    <cacheField name="CóD. AUX. TUSD R$/kW" numFmtId="0">
      <sharedItems containsSemiMixedTypes="0" containsString="0" containsNumber="1" containsInteger="1" minValue="0" maxValue="24"/>
    </cacheField>
    <cacheField name="CóD. AUX. TUSD R$/MWh" numFmtId="0">
      <sharedItems containsSemiMixedTypes="0" containsString="0" containsNumber="1" containsInteger="1" minValue="0" maxValue="37"/>
    </cacheField>
    <cacheField name="CóD. AUX. TE R$/MWh" numFmtId="0">
      <sharedItems containsSemiMixedTypes="0" containsString="0" containsNumber="1" containsInteger="1" minValue="0" maxValue="85"/>
    </cacheField>
    <cacheField name="TUSD (R$/kW)" numFmtId="40">
      <sharedItems containsSemiMixedTypes="0" containsString="0" containsNumber="1" minValue="0" maxValue="59.47"/>
    </cacheField>
    <cacheField name="TUSD (R$/MWh)" numFmtId="40">
      <sharedItems containsSemiMixedTypes="0" containsString="0" containsNumber="1" minValue="0" maxValue="1518.97"/>
    </cacheField>
    <cacheField name="TE (R$/MWh)" numFmtId="40">
      <sharedItems containsSemiMixedTypes="0" containsString="0" containsNumber="1" minValue="0" maxValue="359.33"/>
    </cacheField>
    <cacheField name="TUSD (R$/kW) NOVA" numFmtId="40">
      <sharedItems containsString="0" containsBlank="1" containsNumber="1" minValue="21.733731888847863" maxValue="56.480448697803254"/>
    </cacheField>
    <cacheField name="TUSD (R$/MWh) NOVA" numFmtId="40">
      <sharedItems containsString="0" containsBlank="1" containsNumber="1" minValue="102.5548534812466" maxValue="1492.9858702094405"/>
    </cacheField>
    <cacheField name="TE (R$/MWh) NOVA" numFmtId="40">
      <sharedItems containsString="0" containsBlank="1" containsNumber="1" minValue="82.125317539118555" maxValue="362.73600214515886"/>
    </cacheField>
    <cacheField name="SUBSIDIO kW - TV" numFmtId="40">
      <sharedItems containsSemiMixedTypes="0" containsString="0" containsNumber="1" minValue="0" maxValue="135063.98931999999"/>
    </cacheField>
    <cacheField name="SUBSIDIO MWh - TV" numFmtId="40">
      <sharedItems containsSemiMixedTypes="0" containsString="0" containsNumber="1" minValue="-316.77749999999997" maxValue="192306.74189068601"/>
    </cacheField>
    <cacheField name="SUBSIDIO kW - TN" numFmtId="40">
      <sharedItems containsSemiMixedTypes="0" containsString="0" containsNumber="1" minValue="0" maxValue="128185.35073009132"/>
    </cacheField>
    <cacheField name="SUBSIDIO MWh - TN" numFmtId="40">
      <sharedItems containsSemiMixedTypes="0" containsString="0" containsNumber="1" minValue="-183.65551281958153" maxValue="189017.06313410279"/>
    </cacheField>
    <cacheField name="TIPO" numFmtId="0">
      <sharedItems containsBlank="1" count="6">
        <s v="SUBSIDIO CARGA FONTE INCENTIVADA"/>
        <s v="SUBSIDIO ÁGUA, ESGOTO E SANEAMENTO"/>
        <m/>
        <s v="SUBSIDIO BAIXA RENDA"/>
        <s v="SUBSIDIO RURAL"/>
        <s v="SUBSIDIO IRRIGANTE/AQUICULTOR"/>
      </sharedItems>
    </cacheField>
    <cacheField name="TOTAL TV" numFmtId="0" formula="'SUBSIDIO kW - TV'+'SUBSIDIO MWh - TV'" databaseField="0"/>
    <cacheField name="TOTAL TN" numFmtId="0" formula="'SUBSIDIO kW - TN'+'SUBSIDIO MWh - TN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son Kuhn Yatsu" refreshedDate="44832.501009259257" createdVersion="8" refreshedVersion="8" minRefreshableVersion="3" recordCount="640" xr:uid="{86F16CA2-F28D-4A32-8152-C0C10F96490D}">
  <cacheSource type="worksheet">
    <worksheetSource name="Efeito4"/>
  </cacheSource>
  <cacheFields count="36">
    <cacheField name="TipoMercado" numFmtId="0">
      <sharedItems/>
    </cacheField>
    <cacheField name="Subgrupo" numFmtId="0">
      <sharedItems count="5">
        <s v="A4"/>
        <s v="B1"/>
        <s v="B2"/>
        <s v="B3"/>
        <s v="B4"/>
      </sharedItems>
    </cacheField>
    <cacheField name="Modalidade" numFmtId="0">
      <sharedItems count="4">
        <s v="Azul"/>
        <s v="Verde"/>
        <s v="Convencional"/>
        <s v="Branca"/>
      </sharedItems>
    </cacheField>
    <cacheField name="Classe" numFmtId="0">
      <sharedItems count="8">
        <s v="Industrial"/>
        <s v="Comercial"/>
        <s v="Poder público"/>
        <s v="Serviço público"/>
        <s v="Residencial"/>
        <s v="Rural"/>
        <s v="Consumo próprio"/>
        <s v="Iluminação pública"/>
      </sharedItems>
    </cacheField>
    <cacheField name="Subclasse" numFmtId="0">
      <sharedItems count="9">
        <s v="Não se aplica"/>
        <s v="Água, esgoto e saneamento"/>
        <s v="Residencial"/>
        <s v="Residencial baixa renda – faixa 01"/>
        <s v="Residencial baixa renda – faixa 02"/>
        <s v="Residencial baixa renda – faixa 03"/>
        <s v="Residencial baixa renda – faixa 04"/>
        <s v="Agropecuária rural"/>
        <s v="Iluminação pública – B4a"/>
      </sharedItems>
    </cacheField>
    <cacheField name="Detalhe" numFmtId="0">
      <sharedItems count="4">
        <s v="Fonte incentivada"/>
        <s v="Não se aplica"/>
        <s v="IRRIG./AQUIC."/>
        <s v="IRRIG./AQUIC. PR"/>
      </sharedItems>
    </cacheField>
    <cacheField name="Agente" numFmtId="0">
      <sharedItems count="1">
        <s v="Não se aplica"/>
      </sharedItems>
    </cacheField>
    <cacheField name="Posto" numFmtId="0">
      <sharedItems count="4">
        <s v="Fora ponta"/>
        <s v="Não se aplica"/>
        <s v="Ponta"/>
        <s v="Intermediário"/>
      </sharedItems>
    </cacheField>
    <cacheField name="AnoMes" numFmtId="14">
      <sharedItems containsSemiMixedTypes="0" containsNonDate="0" containsDate="1" containsString="0" minDate="2021-08-01T00:00:00" maxDate="2022-07-02T00:00:00" count="12"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d v="2022-07-01T00:00:00"/>
      </sharedItems>
    </cacheField>
    <cacheField name="D" numFmtId="40">
      <sharedItems containsSemiMixedTypes="0" containsString="0" containsNumber="1" containsInteger="1" minValue="0" maxValue="14808"/>
    </cacheField>
    <cacheField name="Daj" numFmtId="40">
      <sharedItems containsSemiMixedTypes="0" containsString="0" containsNumber="1" minValue="0" maxValue="14808"/>
    </cacheField>
    <cacheField name="TUSD_E" numFmtId="40">
      <sharedItems containsSemiMixedTypes="0" containsString="0" containsNumber="1" minValue="-300.40899999999999" maxValue="7849.884"/>
    </cacheField>
    <cacheField name="TUSD_Eaj" numFmtId="40">
      <sharedItems containsSemiMixedTypes="0" containsString="0" containsNumber="1" minValue="-300.40899999999999" maxValue="7849.884"/>
    </cacheField>
    <cacheField name="TE_E" numFmtId="40">
      <sharedItems containsSemiMixedTypes="0" containsString="0" containsNumber="1" minValue="-300.40899999999999" maxValue="7849.884"/>
    </cacheField>
    <cacheField name="TE_Eaj" numFmtId="40">
      <sharedItems containsSemiMixedTypes="0" containsString="0" containsNumber="1" minValue="-300.40899999999999" maxValue="7849.884"/>
    </cacheField>
    <cacheField name="UC" numFmtId="40">
      <sharedItems containsSemiMixedTypes="0" containsString="0" containsNumber="1" containsInteger="1" minValue="0" maxValue="34551"/>
    </cacheField>
    <cacheField name="OPÇÃO" numFmtId="0">
      <sharedItems count="2">
        <s v="LIVRE"/>
        <s v="CATIVO"/>
      </sharedItems>
    </cacheField>
    <cacheField name="CóD. AUX." numFmtId="0">
      <sharedItems containsSemiMixedTypes="0" containsString="0" containsNumber="1" containsInteger="1" minValue="0" maxValue="0"/>
    </cacheField>
    <cacheField name="CóD. AUX. TUSD R$/kW" numFmtId="40">
      <sharedItems containsSemiMixedTypes="0" containsString="0" containsNumber="1" containsInteger="1" minValue="0" maxValue="24"/>
    </cacheField>
    <cacheField name="CóD. AUX. TUSD R$/MWh" numFmtId="40">
      <sharedItems containsSemiMixedTypes="0" containsString="0" containsNumber="1" containsInteger="1" minValue="0" maxValue="81"/>
    </cacheField>
    <cacheField name="CóD. AUX. TE R$/MWh" numFmtId="40">
      <sharedItems containsSemiMixedTypes="0" containsString="0" containsNumber="1" containsInteger="1" minValue="0" maxValue="85"/>
    </cacheField>
    <cacheField name="TUSD (R$/kW)" numFmtId="40">
      <sharedItems containsSemiMixedTypes="0" containsString="0" containsNumber="1" minValue="0" maxValue="59.47"/>
    </cacheField>
    <cacheField name="TUSD (R$/MWh)" numFmtId="40">
      <sharedItems containsSemiMixedTypes="0" containsString="0" containsNumber="1" minValue="0" maxValue="1518.97"/>
    </cacheField>
    <cacheField name="TE (R$/MWh)" numFmtId="40">
      <sharedItems containsSemiMixedTypes="0" containsString="0" containsNumber="1" minValue="0" maxValue="359.33"/>
    </cacheField>
    <cacheField name="TUSD (R$/kW) NOVA" numFmtId="40">
      <sharedItems containsString="0" containsBlank="1" containsNumber="1" minValue="21.081719932182427" maxValue="56.480448697803254"/>
    </cacheField>
    <cacheField name="TUSD (R$/MWh) NOVA" numFmtId="40">
      <sharedItems containsString="0" containsBlank="1" containsNumber="1" minValue="102.5548534812466" maxValue="1492.9858702094405"/>
    </cacheField>
    <cacheField name="TE (R$/MWh) NOVA" numFmtId="40">
      <sharedItems containsString="0" containsBlank="1" containsNumber="1" minValue="82.125317539118555" maxValue="362.73600214515886"/>
    </cacheField>
    <cacheField name="RA0 ou RV - TUSD (kW)" numFmtId="40">
      <sharedItems containsSemiMixedTypes="0" containsString="0" containsNumber="1" minValue="0" maxValue="339103.19999999995"/>
    </cacheField>
    <cacheField name="RA0 ou RV - TUSD (MWh)" numFmtId="40">
      <sharedItems containsSemiMixedTypes="0" containsString="0" containsNumber="1" minValue="-101691.45058999999" maxValue="2657264.2328399997"/>
    </cacheField>
    <cacheField name="RA0 ou RV - TE (MWh)" numFmtId="40">
      <sharedItems containsSemiMixedTypes="0" containsString="0" containsNumber="1" minValue="-67294.620089999997" maxValue="1758452.5148399998"/>
    </cacheField>
    <cacheField name="RA1 ou RRD - TUSD (kW)" numFmtId="40">
      <sharedItems containsSemiMixedTypes="0" containsString="0" containsNumber="1" minValue="0" maxValue="321833.10181005916"/>
    </cacheField>
    <cacheField name="RA1 ou RRD - TUSD (MWh)" numFmtId="40">
      <sharedItems containsSemiMixedTypes="0" containsString="0" containsNumber="1" minValue="-125447.29228465255" maxValue="3278019.941308741"/>
    </cacheField>
    <cacheField name="RA1 ou RRD - TE (MWh)" numFmtId="40">
      <sharedItems containsSemiMixedTypes="0" containsString="0" containsNumber="1" minValue="-70489.098618883043" maxValue="1841926.3318435603"/>
    </cacheField>
    <cacheField name="Variação TUSD" numFmtId="0" formula="IF(('RA0 ou RV - TUSD (MWh)'+'RA0 ou RV - TUSD (kW)') &lt;&gt;0,('RA1 ou RRD - TUSD (MWh)'+'RA1 ou RRD - TUSD (kW)') /('RA0 ou RV - TUSD (MWh)'+'RA0 ou RV - TUSD (kW)') -1,0)" databaseField="0"/>
    <cacheField name="Variação TE" numFmtId="0" formula="IF('RA0 ou RV - TE (MWh)'&lt;&gt;0,'RA1 ou RRD - TE (MWh)'/'RA0 ou RV - TE (MWh)'-1,0)" databaseField="0"/>
    <cacheField name="Variação" numFmtId="0" formula="IF(('RA0 ou RV - TUSD (MWh)'+'RA0 ou RV - TUSD (kW)'+'RA0 ou RV - TE (MWh)') &lt;&gt;0,('RA1 ou RRD - TUSD (MWh)'+'RA1 ou RRD - TUSD (kW)'+'RA1 ou RRD - TE (MWh)') /('RA0 ou RV - TUSD (MWh)'+'RA0 ou RV - TUSD (kW)'+'RA0 ou RV - TE (MWh)') -1,0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0">
  <r>
    <s v="Regular"/>
    <x v="0"/>
    <x v="0"/>
    <x v="0"/>
    <x v="0"/>
    <x v="0"/>
    <x v="0"/>
    <x v="0"/>
    <x v="0"/>
    <n v="2514"/>
    <n v="1257"/>
    <n v="0"/>
    <n v="0"/>
    <n v="0"/>
    <n v="0"/>
    <n v="0"/>
    <x v="0"/>
    <n v="0"/>
    <n v="1"/>
    <n v="0"/>
    <n v="0"/>
    <n v="22.9"/>
    <n v="0"/>
    <n v="0"/>
    <n v="21.733731888847863"/>
    <n v="117.83242038312405"/>
    <m/>
    <n v="28785.3"/>
    <n v="0"/>
    <n v="0"/>
    <n v="27319.300984281763"/>
    <n v="0"/>
    <n v="0"/>
  </r>
  <r>
    <s v="Regular"/>
    <x v="0"/>
    <x v="0"/>
    <x v="0"/>
    <x v="0"/>
    <x v="0"/>
    <x v="0"/>
    <x v="0"/>
    <x v="1"/>
    <n v="2432"/>
    <n v="1216"/>
    <n v="0"/>
    <n v="0"/>
    <n v="0"/>
    <n v="0"/>
    <n v="0"/>
    <x v="0"/>
    <n v="0"/>
    <n v="1"/>
    <n v="0"/>
    <n v="0"/>
    <n v="22.9"/>
    <n v="0"/>
    <n v="0"/>
    <n v="21.733731888847863"/>
    <n v="117.83242038312405"/>
    <m/>
    <n v="27846.399999999998"/>
    <n v="0"/>
    <n v="0"/>
    <n v="26428.217976839001"/>
    <n v="0"/>
    <n v="0"/>
  </r>
  <r>
    <s v="Regular"/>
    <x v="0"/>
    <x v="0"/>
    <x v="0"/>
    <x v="0"/>
    <x v="0"/>
    <x v="0"/>
    <x v="0"/>
    <x v="2"/>
    <n v="2500"/>
    <n v="1250"/>
    <n v="0"/>
    <n v="0"/>
    <n v="0"/>
    <n v="0"/>
    <n v="0"/>
    <x v="0"/>
    <n v="0"/>
    <n v="1"/>
    <n v="0"/>
    <n v="0"/>
    <n v="22.9"/>
    <n v="0"/>
    <n v="0"/>
    <n v="21.733731888847863"/>
    <n v="117.83242038312405"/>
    <m/>
    <n v="28625"/>
    <n v="0"/>
    <n v="0"/>
    <n v="27167.164861059828"/>
    <n v="0"/>
    <n v="0"/>
  </r>
  <r>
    <s v="Regular"/>
    <x v="0"/>
    <x v="0"/>
    <x v="0"/>
    <x v="0"/>
    <x v="0"/>
    <x v="0"/>
    <x v="0"/>
    <x v="3"/>
    <n v="2623"/>
    <n v="1311.5"/>
    <n v="0"/>
    <n v="0"/>
    <n v="0"/>
    <n v="0"/>
    <n v="0"/>
    <x v="0"/>
    <n v="0"/>
    <n v="1"/>
    <n v="0"/>
    <n v="0"/>
    <n v="22.9"/>
    <n v="0"/>
    <n v="0"/>
    <n v="21.733731888847863"/>
    <n v="117.83242038312405"/>
    <m/>
    <n v="30033.35"/>
    <n v="0"/>
    <n v="0"/>
    <n v="28503.789372223971"/>
    <n v="0"/>
    <n v="0"/>
  </r>
  <r>
    <s v="Regular"/>
    <x v="0"/>
    <x v="0"/>
    <x v="0"/>
    <x v="0"/>
    <x v="0"/>
    <x v="0"/>
    <x v="0"/>
    <x v="4"/>
    <n v="2533"/>
    <n v="1266.5"/>
    <n v="0"/>
    <n v="0"/>
    <n v="0"/>
    <n v="0"/>
    <n v="0"/>
    <x v="0"/>
    <n v="0"/>
    <n v="1"/>
    <n v="0"/>
    <n v="0"/>
    <n v="22.9"/>
    <n v="0"/>
    <n v="0"/>
    <n v="21.733731888847863"/>
    <n v="117.83242038312405"/>
    <m/>
    <n v="29002.85"/>
    <n v="0"/>
    <n v="0"/>
    <n v="27525.77143722582"/>
    <n v="0"/>
    <n v="0"/>
  </r>
  <r>
    <s v="Regular"/>
    <x v="0"/>
    <x v="0"/>
    <x v="0"/>
    <x v="0"/>
    <x v="0"/>
    <x v="0"/>
    <x v="0"/>
    <x v="5"/>
    <n v="2500"/>
    <n v="1250"/>
    <n v="0"/>
    <n v="0"/>
    <n v="0"/>
    <n v="0"/>
    <n v="0"/>
    <x v="0"/>
    <n v="0"/>
    <n v="1"/>
    <n v="0"/>
    <n v="0"/>
    <n v="22.9"/>
    <n v="0"/>
    <n v="0"/>
    <n v="21.733731888847863"/>
    <n v="117.83242038312405"/>
    <m/>
    <n v="28625"/>
    <n v="0"/>
    <n v="0"/>
    <n v="27167.164861059828"/>
    <n v="0"/>
    <n v="0"/>
  </r>
  <r>
    <s v="Regular"/>
    <x v="0"/>
    <x v="0"/>
    <x v="0"/>
    <x v="0"/>
    <x v="0"/>
    <x v="0"/>
    <x v="0"/>
    <x v="6"/>
    <n v="2500"/>
    <n v="1250"/>
    <n v="0"/>
    <n v="0"/>
    <n v="0"/>
    <n v="0"/>
    <n v="0"/>
    <x v="0"/>
    <n v="0"/>
    <n v="1"/>
    <n v="0"/>
    <n v="0"/>
    <n v="22.9"/>
    <n v="0"/>
    <n v="0"/>
    <n v="21.733731888847863"/>
    <n v="117.83242038312405"/>
    <m/>
    <n v="28625"/>
    <n v="0"/>
    <n v="0"/>
    <n v="27167.164861059828"/>
    <n v="0"/>
    <n v="0"/>
  </r>
  <r>
    <s v="Regular"/>
    <x v="0"/>
    <x v="0"/>
    <x v="0"/>
    <x v="0"/>
    <x v="0"/>
    <x v="0"/>
    <x v="0"/>
    <x v="7"/>
    <n v="2061"/>
    <n v="1030.5"/>
    <n v="0"/>
    <n v="0"/>
    <n v="0"/>
    <n v="0"/>
    <n v="0"/>
    <x v="0"/>
    <n v="0"/>
    <n v="1"/>
    <n v="0"/>
    <n v="0"/>
    <n v="22.9"/>
    <n v="0"/>
    <n v="0"/>
    <n v="21.733731888847863"/>
    <n v="117.83242038312405"/>
    <m/>
    <n v="23598.449999999997"/>
    <n v="0"/>
    <n v="0"/>
    <n v="22396.610711457724"/>
    <n v="0"/>
    <n v="0"/>
  </r>
  <r>
    <s v="Regular"/>
    <x v="0"/>
    <x v="0"/>
    <x v="0"/>
    <x v="0"/>
    <x v="0"/>
    <x v="0"/>
    <x v="0"/>
    <x v="8"/>
    <n v="2421"/>
    <n v="1210.5"/>
    <n v="0"/>
    <n v="0"/>
    <n v="0"/>
    <n v="0"/>
    <n v="0"/>
    <x v="0"/>
    <n v="0"/>
    <n v="1"/>
    <n v="0"/>
    <n v="0"/>
    <n v="22.9"/>
    <n v="0"/>
    <n v="0"/>
    <n v="21.733731888847863"/>
    <n v="117.83242038312405"/>
    <m/>
    <n v="27720.449999999997"/>
    <n v="0"/>
    <n v="0"/>
    <n v="26308.682451450339"/>
    <n v="0"/>
    <n v="0"/>
  </r>
  <r>
    <s v="Regular"/>
    <x v="0"/>
    <x v="0"/>
    <x v="0"/>
    <x v="0"/>
    <x v="0"/>
    <x v="0"/>
    <x v="0"/>
    <x v="9"/>
    <n v="2500"/>
    <n v="1250"/>
    <n v="0"/>
    <n v="0"/>
    <n v="0"/>
    <n v="0"/>
    <n v="0"/>
    <x v="0"/>
    <n v="0"/>
    <n v="1"/>
    <n v="0"/>
    <n v="0"/>
    <n v="22.9"/>
    <n v="0"/>
    <n v="0"/>
    <n v="21.733731888847863"/>
    <n v="117.83242038312405"/>
    <m/>
    <n v="28625"/>
    <n v="0"/>
    <n v="0"/>
    <n v="27167.164861059828"/>
    <n v="0"/>
    <n v="0"/>
  </r>
  <r>
    <s v="Regular"/>
    <x v="0"/>
    <x v="0"/>
    <x v="0"/>
    <x v="0"/>
    <x v="0"/>
    <x v="0"/>
    <x v="0"/>
    <x v="10"/>
    <n v="2500"/>
    <n v="1250"/>
    <n v="0"/>
    <n v="0"/>
    <n v="0"/>
    <n v="0"/>
    <n v="0"/>
    <x v="0"/>
    <n v="0"/>
    <n v="1"/>
    <n v="0"/>
    <n v="0"/>
    <n v="22.9"/>
    <n v="0"/>
    <n v="0"/>
    <n v="21.733731888847863"/>
    <n v="117.83242038312405"/>
    <m/>
    <n v="28625"/>
    <n v="0"/>
    <n v="0"/>
    <n v="27167.164861059828"/>
    <n v="0"/>
    <n v="0"/>
  </r>
  <r>
    <s v="PROJETADO"/>
    <x v="0"/>
    <x v="0"/>
    <x v="0"/>
    <x v="0"/>
    <x v="0"/>
    <x v="0"/>
    <x v="0"/>
    <x v="11"/>
    <n v="2500"/>
    <n v="1250"/>
    <n v="0"/>
    <n v="0"/>
    <n v="0"/>
    <n v="0"/>
    <n v="0"/>
    <x v="0"/>
    <n v="0"/>
    <n v="1"/>
    <n v="0"/>
    <n v="0"/>
    <n v="22.9"/>
    <n v="0"/>
    <n v="0"/>
    <n v="21.733731888847863"/>
    <n v="117.83242038312405"/>
    <m/>
    <n v="28625"/>
    <n v="0"/>
    <n v="0"/>
    <n v="27167.164861059828"/>
    <n v="0"/>
    <n v="0"/>
  </r>
  <r>
    <s v="Regular"/>
    <x v="0"/>
    <x v="0"/>
    <x v="0"/>
    <x v="0"/>
    <x v="0"/>
    <x v="0"/>
    <x v="1"/>
    <x v="0"/>
    <n v="0"/>
    <n v="0"/>
    <n v="1047.816"/>
    <n v="1047.816"/>
    <n v="0"/>
    <n v="0"/>
    <n v="1"/>
    <x v="0"/>
    <n v="0"/>
    <n v="0"/>
    <n v="27"/>
    <n v="0"/>
    <n v="0"/>
    <n v="73.19"/>
    <n v="0"/>
    <m/>
    <n v="117.83242038312405"/>
    <m/>
    <n v="0"/>
    <n v="76689.653040000005"/>
    <n v="0"/>
    <n v="0"/>
    <n v="123466.69539616352"/>
    <n v="0"/>
  </r>
  <r>
    <s v="Regular"/>
    <x v="0"/>
    <x v="0"/>
    <x v="0"/>
    <x v="0"/>
    <x v="0"/>
    <x v="0"/>
    <x v="1"/>
    <x v="1"/>
    <n v="0"/>
    <n v="0"/>
    <n v="1103.0350000000001"/>
    <n v="1103.0350000000001"/>
    <n v="0"/>
    <n v="0"/>
    <n v="1"/>
    <x v="0"/>
    <n v="0"/>
    <n v="0"/>
    <n v="27"/>
    <n v="0"/>
    <n v="0"/>
    <n v="73.19"/>
    <n v="0"/>
    <m/>
    <n v="117.83242038312405"/>
    <m/>
    <n v="0"/>
    <n v="80731.13165000001"/>
    <n v="0"/>
    <n v="0"/>
    <n v="129973.28381729923"/>
    <n v="0"/>
  </r>
  <r>
    <s v="Regular"/>
    <x v="0"/>
    <x v="0"/>
    <x v="0"/>
    <x v="0"/>
    <x v="0"/>
    <x v="0"/>
    <x v="1"/>
    <x v="2"/>
    <n v="0"/>
    <n v="0"/>
    <n v="833.274"/>
    <n v="833.274"/>
    <n v="0"/>
    <n v="0"/>
    <n v="1"/>
    <x v="0"/>
    <n v="0"/>
    <n v="0"/>
    <n v="27"/>
    <n v="0"/>
    <n v="0"/>
    <n v="73.19"/>
    <n v="0"/>
    <m/>
    <n v="117.83242038312405"/>
    <m/>
    <n v="0"/>
    <n v="60987.324059999999"/>
    <n v="0"/>
    <n v="0"/>
    <n v="98186.692262327313"/>
    <n v="0"/>
  </r>
  <r>
    <s v="Regular"/>
    <x v="0"/>
    <x v="0"/>
    <x v="0"/>
    <x v="0"/>
    <x v="0"/>
    <x v="0"/>
    <x v="1"/>
    <x v="3"/>
    <n v="0"/>
    <n v="0"/>
    <n v="1142.8879999999999"/>
    <n v="1142.8879999999999"/>
    <n v="0"/>
    <n v="0"/>
    <n v="1"/>
    <x v="0"/>
    <n v="0"/>
    <n v="0"/>
    <n v="27"/>
    <n v="0"/>
    <n v="0"/>
    <n v="73.19"/>
    <n v="0"/>
    <m/>
    <n v="117.83242038312405"/>
    <m/>
    <n v="0"/>
    <n v="83647.972719999991"/>
    <n v="0"/>
    <n v="0"/>
    <n v="134669.25926682787"/>
    <n v="0"/>
  </r>
  <r>
    <s v="Regular"/>
    <x v="0"/>
    <x v="0"/>
    <x v="0"/>
    <x v="0"/>
    <x v="0"/>
    <x v="0"/>
    <x v="1"/>
    <x v="4"/>
    <n v="0"/>
    <n v="0"/>
    <n v="967.81600000000003"/>
    <n v="967.81600000000003"/>
    <n v="0"/>
    <n v="0"/>
    <n v="1"/>
    <x v="0"/>
    <n v="0"/>
    <n v="0"/>
    <n v="27"/>
    <n v="0"/>
    <n v="0"/>
    <n v="73.19"/>
    <n v="0"/>
    <m/>
    <n v="117.83242038312405"/>
    <m/>
    <n v="0"/>
    <n v="70834.453039999993"/>
    <n v="0"/>
    <n v="0"/>
    <n v="114040.10176551358"/>
    <n v="0"/>
  </r>
  <r>
    <s v="Regular"/>
    <x v="0"/>
    <x v="0"/>
    <x v="0"/>
    <x v="0"/>
    <x v="0"/>
    <x v="0"/>
    <x v="1"/>
    <x v="5"/>
    <n v="0"/>
    <n v="0"/>
    <n v="829.04499999999996"/>
    <n v="829.04499999999996"/>
    <n v="0"/>
    <n v="0"/>
    <n v="1"/>
    <x v="0"/>
    <n v="0"/>
    <n v="0"/>
    <n v="27"/>
    <n v="0"/>
    <n v="0"/>
    <n v="73.19"/>
    <n v="0"/>
    <m/>
    <n v="117.83242038312405"/>
    <m/>
    <n v="0"/>
    <n v="60677.803549999997"/>
    <n v="0"/>
    <n v="0"/>
    <n v="97688.378956527071"/>
    <n v="0"/>
  </r>
  <r>
    <s v="Regular"/>
    <x v="0"/>
    <x v="0"/>
    <x v="0"/>
    <x v="0"/>
    <x v="0"/>
    <x v="0"/>
    <x v="1"/>
    <x v="6"/>
    <n v="0"/>
    <n v="0"/>
    <n v="770.24199999999996"/>
    <n v="770.24199999999996"/>
    <n v="0"/>
    <n v="0"/>
    <n v="1"/>
    <x v="0"/>
    <n v="0"/>
    <n v="0"/>
    <n v="27"/>
    <n v="0"/>
    <n v="0"/>
    <n v="73.19"/>
    <n v="0"/>
    <m/>
    <n v="117.83242038312405"/>
    <m/>
    <n v="0"/>
    <n v="56374.011979999996"/>
    <n v="0"/>
    <n v="0"/>
    <n v="90759.479140738229"/>
    <n v="0"/>
  </r>
  <r>
    <s v="Regular"/>
    <x v="0"/>
    <x v="0"/>
    <x v="0"/>
    <x v="0"/>
    <x v="0"/>
    <x v="0"/>
    <x v="1"/>
    <x v="7"/>
    <n v="0"/>
    <n v="0"/>
    <n v="790.34799999999996"/>
    <n v="790.34799999999996"/>
    <n v="0"/>
    <n v="0"/>
    <n v="1"/>
    <x v="0"/>
    <n v="0"/>
    <n v="0"/>
    <n v="27"/>
    <n v="0"/>
    <n v="0"/>
    <n v="73.19"/>
    <n v="0"/>
    <m/>
    <n v="117.83242038312405"/>
    <m/>
    <n v="0"/>
    <n v="57845.570119999997"/>
    <n v="0"/>
    <n v="0"/>
    <n v="93128.617784961316"/>
    <n v="0"/>
  </r>
  <r>
    <s v="Regular"/>
    <x v="0"/>
    <x v="0"/>
    <x v="0"/>
    <x v="0"/>
    <x v="0"/>
    <x v="0"/>
    <x v="1"/>
    <x v="8"/>
    <n v="0"/>
    <n v="0"/>
    <n v="945.61"/>
    <n v="945.61"/>
    <n v="0"/>
    <n v="0"/>
    <n v="1"/>
    <x v="0"/>
    <n v="0"/>
    <n v="0"/>
    <n v="27"/>
    <n v="0"/>
    <n v="0"/>
    <n v="73.19"/>
    <n v="0"/>
    <m/>
    <n v="117.83242038312405"/>
    <m/>
    <n v="0"/>
    <n v="69209.195900000006"/>
    <n v="0"/>
    <n v="0"/>
    <n v="111423.51503848593"/>
    <n v="0"/>
  </r>
  <r>
    <s v="Regular"/>
    <x v="0"/>
    <x v="0"/>
    <x v="0"/>
    <x v="0"/>
    <x v="0"/>
    <x v="0"/>
    <x v="1"/>
    <x v="9"/>
    <n v="0"/>
    <n v="0"/>
    <n v="1069.9860000000001"/>
    <n v="1069.9860000000001"/>
    <n v="0"/>
    <n v="0"/>
    <n v="1"/>
    <x v="0"/>
    <n v="0"/>
    <n v="0"/>
    <n v="27"/>
    <n v="0"/>
    <n v="0"/>
    <n v="73.19"/>
    <n v="0"/>
    <m/>
    <n v="117.83242038312405"/>
    <m/>
    <n v="0"/>
    <n v="78312.275340000007"/>
    <n v="0"/>
    <n v="0"/>
    <n v="126079.04015605738"/>
    <n v="0"/>
  </r>
  <r>
    <s v="Regular"/>
    <x v="0"/>
    <x v="0"/>
    <x v="0"/>
    <x v="0"/>
    <x v="0"/>
    <x v="0"/>
    <x v="1"/>
    <x v="10"/>
    <n v="0"/>
    <n v="0"/>
    <n v="838.41700000000003"/>
    <n v="838.41700000000003"/>
    <n v="0"/>
    <n v="0"/>
    <n v="1"/>
    <x v="0"/>
    <n v="0"/>
    <n v="0"/>
    <n v="27"/>
    <n v="0"/>
    <n v="0"/>
    <n v="73.19"/>
    <n v="0"/>
    <m/>
    <n v="117.83242038312405"/>
    <m/>
    <n v="0"/>
    <n v="61363.740230000003"/>
    <n v="0"/>
    <n v="0"/>
    <n v="98792.704400357718"/>
    <n v="0"/>
  </r>
  <r>
    <s v="PROJETADO"/>
    <x v="0"/>
    <x v="0"/>
    <x v="0"/>
    <x v="0"/>
    <x v="0"/>
    <x v="0"/>
    <x v="1"/>
    <x v="11"/>
    <n v="0"/>
    <n v="0"/>
    <n v="838.41700000000003"/>
    <n v="838.41700000000003"/>
    <n v="0"/>
    <n v="0"/>
    <n v="1"/>
    <x v="0"/>
    <n v="0"/>
    <n v="0"/>
    <n v="27"/>
    <n v="0"/>
    <n v="0"/>
    <n v="73.19"/>
    <n v="0"/>
    <m/>
    <n v="117.83242038312405"/>
    <m/>
    <n v="0"/>
    <n v="61363.740230000003"/>
    <n v="0"/>
    <n v="0"/>
    <n v="98792.704400357718"/>
    <n v="0"/>
  </r>
  <r>
    <s v="Regular"/>
    <x v="0"/>
    <x v="0"/>
    <x v="0"/>
    <x v="0"/>
    <x v="0"/>
    <x v="0"/>
    <x v="2"/>
    <x v="0"/>
    <n v="121"/>
    <n v="60.5"/>
    <n v="0"/>
    <n v="0"/>
    <n v="0"/>
    <n v="0"/>
    <n v="0"/>
    <x v="0"/>
    <n v="0"/>
    <n v="7"/>
    <n v="0"/>
    <n v="0"/>
    <n v="59.47"/>
    <n v="0"/>
    <n v="0"/>
    <n v="56.480448697803254"/>
    <n v="117.83242038312405"/>
    <m/>
    <n v="3597.9349999999999"/>
    <n v="0"/>
    <n v="0"/>
    <n v="3417.0671462170967"/>
    <n v="0"/>
    <n v="0"/>
  </r>
  <r>
    <s v="Regular"/>
    <x v="0"/>
    <x v="0"/>
    <x v="0"/>
    <x v="0"/>
    <x v="0"/>
    <x v="0"/>
    <x v="2"/>
    <x v="1"/>
    <n v="123"/>
    <n v="61.5"/>
    <n v="0"/>
    <n v="0"/>
    <n v="0"/>
    <n v="0"/>
    <n v="0"/>
    <x v="0"/>
    <n v="0"/>
    <n v="7"/>
    <n v="0"/>
    <n v="0"/>
    <n v="59.47"/>
    <n v="0"/>
    <n v="0"/>
    <n v="56.480448697803254"/>
    <n v="117.83242038312405"/>
    <m/>
    <n v="3657.4049999999997"/>
    <n v="0"/>
    <n v="0"/>
    <n v="3473.5475949148999"/>
    <n v="0"/>
    <n v="0"/>
  </r>
  <r>
    <s v="Regular"/>
    <x v="0"/>
    <x v="0"/>
    <x v="0"/>
    <x v="0"/>
    <x v="0"/>
    <x v="0"/>
    <x v="2"/>
    <x v="2"/>
    <n v="110"/>
    <n v="55"/>
    <n v="0"/>
    <n v="0"/>
    <n v="0"/>
    <n v="0"/>
    <n v="0"/>
    <x v="0"/>
    <n v="0"/>
    <n v="7"/>
    <n v="0"/>
    <n v="0"/>
    <n v="59.47"/>
    <n v="0"/>
    <n v="0"/>
    <n v="56.480448697803254"/>
    <n v="117.83242038312405"/>
    <m/>
    <n v="3270.85"/>
    <n v="0"/>
    <n v="0"/>
    <n v="3106.4246783791791"/>
    <n v="0"/>
    <n v="0"/>
  </r>
  <r>
    <s v="Regular"/>
    <x v="0"/>
    <x v="0"/>
    <x v="0"/>
    <x v="0"/>
    <x v="0"/>
    <x v="0"/>
    <x v="2"/>
    <x v="3"/>
    <n v="110"/>
    <n v="55"/>
    <n v="0"/>
    <n v="0"/>
    <n v="0"/>
    <n v="0"/>
    <n v="0"/>
    <x v="0"/>
    <n v="0"/>
    <n v="7"/>
    <n v="0"/>
    <n v="0"/>
    <n v="59.47"/>
    <n v="0"/>
    <n v="0"/>
    <n v="56.480448697803254"/>
    <n v="117.83242038312405"/>
    <m/>
    <n v="3270.85"/>
    <n v="0"/>
    <n v="0"/>
    <n v="3106.4246783791791"/>
    <n v="0"/>
    <n v="0"/>
  </r>
  <r>
    <s v="Regular"/>
    <x v="0"/>
    <x v="0"/>
    <x v="0"/>
    <x v="0"/>
    <x v="0"/>
    <x v="0"/>
    <x v="2"/>
    <x v="4"/>
    <n v="110"/>
    <n v="55"/>
    <n v="0"/>
    <n v="0"/>
    <n v="0"/>
    <n v="0"/>
    <n v="0"/>
    <x v="0"/>
    <n v="0"/>
    <n v="7"/>
    <n v="0"/>
    <n v="0"/>
    <n v="59.47"/>
    <n v="0"/>
    <n v="0"/>
    <n v="56.480448697803254"/>
    <n v="117.83242038312405"/>
    <m/>
    <n v="3270.85"/>
    <n v="0"/>
    <n v="0"/>
    <n v="3106.4246783791791"/>
    <n v="0"/>
    <n v="0"/>
  </r>
  <r>
    <s v="Regular"/>
    <x v="0"/>
    <x v="0"/>
    <x v="0"/>
    <x v="0"/>
    <x v="0"/>
    <x v="0"/>
    <x v="2"/>
    <x v="5"/>
    <n v="110"/>
    <n v="55"/>
    <n v="0"/>
    <n v="0"/>
    <n v="0"/>
    <n v="0"/>
    <n v="0"/>
    <x v="0"/>
    <n v="0"/>
    <n v="7"/>
    <n v="0"/>
    <n v="0"/>
    <n v="59.47"/>
    <n v="0"/>
    <n v="0"/>
    <n v="56.480448697803254"/>
    <n v="117.83242038312405"/>
    <m/>
    <n v="3270.85"/>
    <n v="0"/>
    <n v="0"/>
    <n v="3106.4246783791791"/>
    <n v="0"/>
    <n v="0"/>
  </r>
  <r>
    <s v="Regular"/>
    <x v="0"/>
    <x v="0"/>
    <x v="0"/>
    <x v="0"/>
    <x v="0"/>
    <x v="0"/>
    <x v="2"/>
    <x v="6"/>
    <n v="110"/>
    <n v="55"/>
    <n v="0"/>
    <n v="0"/>
    <n v="0"/>
    <n v="0"/>
    <n v="0"/>
    <x v="0"/>
    <n v="0"/>
    <n v="7"/>
    <n v="0"/>
    <n v="0"/>
    <n v="59.47"/>
    <n v="0"/>
    <n v="0"/>
    <n v="56.480448697803254"/>
    <n v="117.83242038312405"/>
    <m/>
    <n v="3270.85"/>
    <n v="0"/>
    <n v="0"/>
    <n v="3106.4246783791791"/>
    <n v="0"/>
    <n v="0"/>
  </r>
  <r>
    <s v="Regular"/>
    <x v="0"/>
    <x v="0"/>
    <x v="0"/>
    <x v="0"/>
    <x v="0"/>
    <x v="0"/>
    <x v="2"/>
    <x v="7"/>
    <n v="110"/>
    <n v="55"/>
    <n v="0"/>
    <n v="0"/>
    <n v="0"/>
    <n v="0"/>
    <n v="0"/>
    <x v="0"/>
    <n v="0"/>
    <n v="7"/>
    <n v="0"/>
    <n v="0"/>
    <n v="59.47"/>
    <n v="0"/>
    <n v="0"/>
    <n v="56.480448697803254"/>
    <n v="117.83242038312405"/>
    <m/>
    <n v="3270.85"/>
    <n v="0"/>
    <n v="0"/>
    <n v="3106.4246783791791"/>
    <n v="0"/>
    <n v="0"/>
  </r>
  <r>
    <s v="Regular"/>
    <x v="0"/>
    <x v="0"/>
    <x v="0"/>
    <x v="0"/>
    <x v="0"/>
    <x v="0"/>
    <x v="2"/>
    <x v="8"/>
    <n v="110"/>
    <n v="55"/>
    <n v="0"/>
    <n v="0"/>
    <n v="0"/>
    <n v="0"/>
    <n v="0"/>
    <x v="0"/>
    <n v="0"/>
    <n v="7"/>
    <n v="0"/>
    <n v="0"/>
    <n v="59.47"/>
    <n v="0"/>
    <n v="0"/>
    <n v="56.480448697803254"/>
    <n v="117.83242038312405"/>
    <m/>
    <n v="3270.85"/>
    <n v="0"/>
    <n v="0"/>
    <n v="3106.4246783791791"/>
    <n v="0"/>
    <n v="0"/>
  </r>
  <r>
    <s v="Regular"/>
    <x v="0"/>
    <x v="0"/>
    <x v="0"/>
    <x v="0"/>
    <x v="0"/>
    <x v="0"/>
    <x v="2"/>
    <x v="9"/>
    <n v="110"/>
    <n v="55"/>
    <n v="0"/>
    <n v="0"/>
    <n v="0"/>
    <n v="0"/>
    <n v="0"/>
    <x v="0"/>
    <n v="0"/>
    <n v="7"/>
    <n v="0"/>
    <n v="0"/>
    <n v="59.47"/>
    <n v="0"/>
    <n v="0"/>
    <n v="56.480448697803254"/>
    <n v="117.83242038312405"/>
    <m/>
    <n v="3270.85"/>
    <n v="0"/>
    <n v="0"/>
    <n v="3106.4246783791791"/>
    <n v="0"/>
    <n v="0"/>
  </r>
  <r>
    <s v="Regular"/>
    <x v="0"/>
    <x v="0"/>
    <x v="0"/>
    <x v="0"/>
    <x v="0"/>
    <x v="0"/>
    <x v="2"/>
    <x v="10"/>
    <n v="110"/>
    <n v="55"/>
    <n v="0"/>
    <n v="0"/>
    <n v="0"/>
    <n v="0"/>
    <n v="0"/>
    <x v="0"/>
    <n v="0"/>
    <n v="7"/>
    <n v="0"/>
    <n v="0"/>
    <n v="59.47"/>
    <n v="0"/>
    <n v="0"/>
    <n v="56.480448697803254"/>
    <n v="117.83242038312405"/>
    <m/>
    <n v="3270.85"/>
    <n v="0"/>
    <n v="0"/>
    <n v="3106.4246783791791"/>
    <n v="0"/>
    <n v="0"/>
  </r>
  <r>
    <s v="PROJETADO"/>
    <x v="0"/>
    <x v="0"/>
    <x v="0"/>
    <x v="0"/>
    <x v="0"/>
    <x v="0"/>
    <x v="2"/>
    <x v="11"/>
    <n v="110"/>
    <n v="55"/>
    <n v="0"/>
    <n v="0"/>
    <n v="0"/>
    <n v="0"/>
    <n v="0"/>
    <x v="0"/>
    <n v="0"/>
    <n v="7"/>
    <n v="0"/>
    <n v="0"/>
    <n v="59.47"/>
    <n v="0"/>
    <n v="0"/>
    <n v="56.480448697803254"/>
    <n v="117.83242038312405"/>
    <m/>
    <n v="3270.85"/>
    <n v="0"/>
    <n v="0"/>
    <n v="3106.4246783791791"/>
    <n v="0"/>
    <n v="0"/>
  </r>
  <r>
    <s v="Regular"/>
    <x v="0"/>
    <x v="0"/>
    <x v="0"/>
    <x v="0"/>
    <x v="1"/>
    <x v="0"/>
    <x v="0"/>
    <x v="0"/>
    <n v="192"/>
    <n v="192"/>
    <n v="69.471000000000004"/>
    <n v="69.471000000000004"/>
    <n v="69.471000000000004"/>
    <n v="69.471000000000004"/>
    <n v="0"/>
    <x v="1"/>
    <n v="0"/>
    <n v="1"/>
    <n v="27"/>
    <n v="73"/>
    <n v="22.9"/>
    <n v="73.19"/>
    <n v="211.71"/>
    <n v="21.733731888847863"/>
    <n v="117.83242038312405"/>
    <n v="222.99901551132911"/>
    <n v="4396.7999999999993"/>
    <n v="5084.5824899999998"/>
    <n v="14707.70541"/>
    <n v="4172.8765226587893"/>
    <n v="8185.9360764360108"/>
    <n v="15491.964606587546"/>
  </r>
  <r>
    <s v="Regular"/>
    <x v="0"/>
    <x v="0"/>
    <x v="0"/>
    <x v="0"/>
    <x v="1"/>
    <x v="0"/>
    <x v="0"/>
    <x v="1"/>
    <n v="186"/>
    <n v="186"/>
    <n v="65.379000000000005"/>
    <n v="65.379000000000005"/>
    <n v="65.379000000000005"/>
    <n v="65.379000000000005"/>
    <n v="0"/>
    <x v="1"/>
    <n v="0"/>
    <n v="1"/>
    <n v="27"/>
    <n v="73"/>
    <n v="22.9"/>
    <n v="73.19"/>
    <n v="211.71"/>
    <n v="21.733731888847863"/>
    <n v="117.83242038312405"/>
    <n v="222.99901551132911"/>
    <n v="4259.3999999999996"/>
    <n v="4785.0890100000006"/>
    <n v="13841.388090000002"/>
    <n v="4042.4741313257027"/>
    <n v="7703.7658122282674"/>
    <n v="14579.452635115187"/>
  </r>
  <r>
    <s v="Regular"/>
    <x v="0"/>
    <x v="0"/>
    <x v="0"/>
    <x v="0"/>
    <x v="1"/>
    <x v="0"/>
    <x v="0"/>
    <x v="2"/>
    <n v="191"/>
    <n v="191"/>
    <n v="69.84"/>
    <n v="69.84"/>
    <n v="69.84"/>
    <n v="69.84"/>
    <n v="0"/>
    <x v="1"/>
    <n v="0"/>
    <n v="1"/>
    <n v="27"/>
    <n v="73"/>
    <n v="22.9"/>
    <n v="73.19"/>
    <n v="211.71"/>
    <n v="21.733731888847863"/>
    <n v="117.83242038312405"/>
    <n v="222.99901551132911"/>
    <n v="4373.8999999999996"/>
    <n v="5111.5896000000002"/>
    <n v="14785.826400000002"/>
    <n v="4151.1427907699417"/>
    <n v="8229.416239557384"/>
    <n v="15574.251243311226"/>
  </r>
  <r>
    <s v="Regular"/>
    <x v="0"/>
    <x v="0"/>
    <x v="0"/>
    <x v="0"/>
    <x v="1"/>
    <x v="0"/>
    <x v="0"/>
    <x v="3"/>
    <n v="186"/>
    <n v="186"/>
    <n v="68.825000000000003"/>
    <n v="68.825000000000003"/>
    <n v="68.825000000000003"/>
    <n v="68.825000000000003"/>
    <n v="0"/>
    <x v="1"/>
    <n v="0"/>
    <n v="1"/>
    <n v="27"/>
    <n v="73"/>
    <n v="22.9"/>
    <n v="73.19"/>
    <n v="211.71"/>
    <n v="21.733731888847863"/>
    <n v="117.83242038312405"/>
    <n v="222.99901551132911"/>
    <n v="4259.3999999999996"/>
    <n v="5037.3017499999996"/>
    <n v="14570.940750000002"/>
    <n v="4042.4741313257027"/>
    <n v="8109.8163328685132"/>
    <n v="15347.907242567226"/>
  </r>
  <r>
    <s v="Regular"/>
    <x v="0"/>
    <x v="0"/>
    <x v="0"/>
    <x v="0"/>
    <x v="1"/>
    <x v="0"/>
    <x v="0"/>
    <x v="4"/>
    <n v="188"/>
    <n v="188"/>
    <n v="53.982999999999997"/>
    <n v="53.982999999999997"/>
    <n v="53.982999999999997"/>
    <n v="53.982999999999997"/>
    <n v="0"/>
    <x v="1"/>
    <n v="0"/>
    <n v="1"/>
    <n v="27"/>
    <n v="73"/>
    <n v="22.9"/>
    <n v="73.19"/>
    <n v="211.71"/>
    <n v="21.733731888847863"/>
    <n v="117.83242038312405"/>
    <n v="222.99901551132911"/>
    <n v="4305.2"/>
    <n v="3951.0157699999995"/>
    <n v="11428.74093"/>
    <n v="4085.9415951033984"/>
    <n v="6360.9475495421848"/>
    <n v="12038.155854348079"/>
  </r>
  <r>
    <s v="Regular"/>
    <x v="0"/>
    <x v="0"/>
    <x v="0"/>
    <x v="0"/>
    <x v="1"/>
    <x v="0"/>
    <x v="0"/>
    <x v="5"/>
    <n v="193"/>
    <n v="193"/>
    <n v="52.811999999999998"/>
    <n v="52.811999999999998"/>
    <n v="52.811999999999998"/>
    <n v="52.811999999999998"/>
    <n v="0"/>
    <x v="1"/>
    <n v="0"/>
    <n v="1"/>
    <n v="27"/>
    <n v="73"/>
    <n v="22.9"/>
    <n v="73.19"/>
    <n v="211.71"/>
    <n v="21.733731888847863"/>
    <n v="117.83242038312405"/>
    <n v="222.99901551132911"/>
    <n v="4419.7"/>
    <n v="3865.3102799999997"/>
    <n v="11180.828519999999"/>
    <n v="4194.6102545476379"/>
    <n v="6222.9657852735472"/>
    <n v="11777.024007184313"/>
  </r>
  <r>
    <s v="Regular"/>
    <x v="0"/>
    <x v="0"/>
    <x v="0"/>
    <x v="0"/>
    <x v="1"/>
    <x v="0"/>
    <x v="0"/>
    <x v="6"/>
    <n v="194"/>
    <n v="194"/>
    <n v="64.382000000000005"/>
    <n v="64.382000000000005"/>
    <n v="64.382000000000005"/>
    <n v="64.382000000000005"/>
    <n v="0"/>
    <x v="1"/>
    <n v="0"/>
    <n v="1"/>
    <n v="27"/>
    <n v="73"/>
    <n v="22.9"/>
    <n v="73.19"/>
    <n v="211.71"/>
    <n v="21.733731888847863"/>
    <n v="117.83242038312405"/>
    <n v="222.99901551132911"/>
    <n v="4442.5999999999995"/>
    <n v="4712.1185800000003"/>
    <n v="13630.313220000002"/>
    <n v="4216.3439864364855"/>
    <n v="7586.2868891062926"/>
    <n v="14357.122616650391"/>
  </r>
  <r>
    <s v="Regular"/>
    <x v="0"/>
    <x v="0"/>
    <x v="0"/>
    <x v="0"/>
    <x v="1"/>
    <x v="0"/>
    <x v="0"/>
    <x v="7"/>
    <n v="199"/>
    <n v="199"/>
    <n v="73.945999999999998"/>
    <n v="73.945999999999998"/>
    <n v="73.945999999999998"/>
    <n v="73.945999999999998"/>
    <n v="0"/>
    <x v="1"/>
    <n v="0"/>
    <n v="1"/>
    <n v="27"/>
    <n v="73"/>
    <n v="22.9"/>
    <n v="73.19"/>
    <n v="211.71"/>
    <n v="21.733731888847863"/>
    <n v="117.83242038312405"/>
    <n v="222.99901551132911"/>
    <n v="4557.0999999999995"/>
    <n v="5412.1077399999995"/>
    <n v="15655.10766"/>
    <n v="4325.0126458807244"/>
    <n v="8713.23615765049"/>
    <n v="16489.885201000743"/>
  </r>
  <r>
    <s v="Regular"/>
    <x v="0"/>
    <x v="0"/>
    <x v="0"/>
    <x v="0"/>
    <x v="1"/>
    <x v="0"/>
    <x v="0"/>
    <x v="8"/>
    <n v="195"/>
    <n v="195"/>
    <n v="71.290999999999997"/>
    <n v="71.290999999999997"/>
    <n v="71.290999999999997"/>
    <n v="71.290999999999997"/>
    <n v="0"/>
    <x v="1"/>
    <n v="0"/>
    <n v="1"/>
    <n v="27"/>
    <n v="73"/>
    <n v="22.9"/>
    <n v="73.19"/>
    <n v="211.71"/>
    <n v="21.733731888847863"/>
    <n v="117.83242038312405"/>
    <n v="222.99901551132911"/>
    <n v="4465.5"/>
    <n v="5217.7882899999995"/>
    <n v="15093.017610000001"/>
    <n v="4238.0777183253331"/>
    <n v="8400.3910815332965"/>
    <n v="15897.822814818162"/>
  </r>
  <r>
    <s v="Regular"/>
    <x v="0"/>
    <x v="0"/>
    <x v="0"/>
    <x v="0"/>
    <x v="1"/>
    <x v="0"/>
    <x v="0"/>
    <x v="9"/>
    <n v="194"/>
    <n v="194"/>
    <n v="71.894999999999996"/>
    <n v="71.894999999999996"/>
    <n v="71.894999999999996"/>
    <n v="71.894999999999996"/>
    <n v="0"/>
    <x v="1"/>
    <n v="0"/>
    <n v="1"/>
    <n v="27"/>
    <n v="73"/>
    <n v="22.9"/>
    <n v="73.19"/>
    <n v="211.71"/>
    <n v="21.733731888847863"/>
    <n v="117.83242038312405"/>
    <n v="222.99901551132911"/>
    <n v="4442.5999999999995"/>
    <n v="5261.9950499999995"/>
    <n v="15220.890449999999"/>
    <n v="4216.3439864364855"/>
    <n v="8471.5618634447019"/>
    <n v="16032.514220187006"/>
  </r>
  <r>
    <s v="Regular"/>
    <x v="0"/>
    <x v="0"/>
    <x v="0"/>
    <x v="0"/>
    <x v="1"/>
    <x v="0"/>
    <x v="0"/>
    <x v="10"/>
    <n v="193"/>
    <n v="193"/>
    <n v="72.581000000000003"/>
    <n v="72.581000000000003"/>
    <n v="72.581000000000003"/>
    <n v="72.581000000000003"/>
    <n v="0"/>
    <x v="1"/>
    <n v="0"/>
    <n v="1"/>
    <n v="27"/>
    <n v="73"/>
    <n v="22.9"/>
    <n v="73.19"/>
    <n v="211.71"/>
    <n v="21.733731888847863"/>
    <n v="117.83242038312405"/>
    <n v="222.99901551132911"/>
    <n v="4419.7"/>
    <n v="5312.2033899999997"/>
    <n v="15366.123510000001"/>
    <n v="4194.6102545476379"/>
    <n v="8552.3949038275259"/>
    <n v="16185.491544827779"/>
  </r>
  <r>
    <s v="PROJETADO"/>
    <x v="0"/>
    <x v="0"/>
    <x v="0"/>
    <x v="0"/>
    <x v="1"/>
    <x v="0"/>
    <x v="0"/>
    <x v="11"/>
    <n v="193"/>
    <n v="193"/>
    <n v="72.581000000000003"/>
    <n v="72.581000000000003"/>
    <n v="72.581000000000003"/>
    <n v="72.581000000000003"/>
    <n v="0"/>
    <x v="1"/>
    <n v="0"/>
    <n v="1"/>
    <n v="27"/>
    <n v="73"/>
    <n v="22.9"/>
    <n v="73.19"/>
    <n v="211.71"/>
    <n v="21.733731888847863"/>
    <n v="117.83242038312405"/>
    <n v="222.99901551132911"/>
    <n v="4419.7"/>
    <n v="5312.2033899999997"/>
    <n v="15366.123510000001"/>
    <n v="4194.6102545476379"/>
    <n v="8552.3949038275259"/>
    <n v="16185.491544827779"/>
  </r>
  <r>
    <s v="Regular"/>
    <x v="0"/>
    <x v="0"/>
    <x v="0"/>
    <x v="0"/>
    <x v="1"/>
    <x v="0"/>
    <x v="2"/>
    <x v="0"/>
    <n v="136"/>
    <n v="136"/>
    <n v="8.016"/>
    <n v="8.016"/>
    <n v="8.016"/>
    <n v="8.016"/>
    <n v="0"/>
    <x v="1"/>
    <n v="0"/>
    <n v="7"/>
    <n v="27"/>
    <n v="69"/>
    <n v="59.47"/>
    <n v="73.19"/>
    <n v="359.33"/>
    <n v="56.480448697803254"/>
    <n v="117.83242038312405"/>
    <n v="362.73600214515886"/>
    <n v="8087.92"/>
    <n v="586.69103999999993"/>
    <n v="2880.3892799999999"/>
    <n v="7681.3410229012425"/>
    <n v="944.54468179112234"/>
    <n v="2907.6917931955936"/>
  </r>
  <r>
    <s v="Regular"/>
    <x v="0"/>
    <x v="0"/>
    <x v="0"/>
    <x v="0"/>
    <x v="1"/>
    <x v="0"/>
    <x v="2"/>
    <x v="1"/>
    <n v="130"/>
    <n v="130"/>
    <n v="7.15"/>
    <n v="7.15"/>
    <n v="7.15"/>
    <n v="7.15"/>
    <n v="0"/>
    <x v="1"/>
    <n v="0"/>
    <n v="7"/>
    <n v="27"/>
    <n v="69"/>
    <n v="59.47"/>
    <n v="73.19"/>
    <n v="359.33"/>
    <n v="56.480448697803254"/>
    <n v="117.83242038312405"/>
    <n v="362.73600214515886"/>
    <n v="7731.0999999999995"/>
    <n v="523.30849999999998"/>
    <n v="2569.2094999999999"/>
    <n v="7342.458330714423"/>
    <n v="842.50180573933699"/>
    <n v="2593.5624153378858"/>
  </r>
  <r>
    <s v="Regular"/>
    <x v="0"/>
    <x v="0"/>
    <x v="0"/>
    <x v="0"/>
    <x v="1"/>
    <x v="0"/>
    <x v="2"/>
    <x v="2"/>
    <n v="135"/>
    <n v="135"/>
    <n v="7.1479999999999997"/>
    <n v="7.1479999999999997"/>
    <n v="7.1479999999999997"/>
    <n v="7.1479999999999997"/>
    <n v="0"/>
    <x v="1"/>
    <n v="0"/>
    <n v="7"/>
    <n v="27"/>
    <n v="69"/>
    <n v="59.47"/>
    <n v="73.19"/>
    <n v="359.33"/>
    <n v="56.480448697803254"/>
    <n v="117.83242038312405"/>
    <n v="362.73600214515886"/>
    <n v="8028.45"/>
    <n v="523.16211999999996"/>
    <n v="2568.4908399999999"/>
    <n v="7624.8605742034397"/>
    <n v="842.2661408985706"/>
    <n v="2592.8369433335956"/>
  </r>
  <r>
    <s v="Regular"/>
    <x v="0"/>
    <x v="0"/>
    <x v="0"/>
    <x v="0"/>
    <x v="1"/>
    <x v="0"/>
    <x v="2"/>
    <x v="3"/>
    <n v="130"/>
    <n v="130"/>
    <n v="6.9379999999999997"/>
    <n v="6.9379999999999997"/>
    <n v="6.9379999999999997"/>
    <n v="6.9379999999999997"/>
    <n v="0"/>
    <x v="1"/>
    <n v="0"/>
    <n v="7"/>
    <n v="27"/>
    <n v="69"/>
    <n v="59.47"/>
    <n v="73.19"/>
    <n v="359.33"/>
    <n v="56.480448697803254"/>
    <n v="117.83242038312405"/>
    <n v="362.73600214515886"/>
    <n v="7731.0999999999995"/>
    <n v="507.79221999999999"/>
    <n v="2493.0315399999999"/>
    <n v="7342.458330714423"/>
    <n v="817.52133261811457"/>
    <n v="2516.6623828831121"/>
  </r>
  <r>
    <s v="Regular"/>
    <x v="0"/>
    <x v="0"/>
    <x v="0"/>
    <x v="0"/>
    <x v="1"/>
    <x v="0"/>
    <x v="2"/>
    <x v="4"/>
    <n v="134"/>
    <n v="134"/>
    <n v="5.9080000000000004"/>
    <n v="5.9080000000000004"/>
    <n v="5.9080000000000004"/>
    <n v="5.9080000000000004"/>
    <n v="0"/>
    <x v="1"/>
    <n v="0"/>
    <n v="7"/>
    <n v="27"/>
    <n v="69"/>
    <n v="59.47"/>
    <n v="73.19"/>
    <n v="359.33"/>
    <n v="56.480448697803254"/>
    <n v="117.83242038312405"/>
    <n v="362.73600214515886"/>
    <n v="7968.98"/>
    <n v="432.40652"/>
    <n v="2122.92164"/>
    <n v="7568.380125505636"/>
    <n v="696.15393962349685"/>
    <n v="2143.0443006735986"/>
  </r>
  <r>
    <s v="Regular"/>
    <x v="0"/>
    <x v="0"/>
    <x v="0"/>
    <x v="0"/>
    <x v="1"/>
    <x v="0"/>
    <x v="2"/>
    <x v="5"/>
    <n v="133"/>
    <n v="133"/>
    <n v="5.8380000000000001"/>
    <n v="5.8380000000000001"/>
    <n v="5.8380000000000001"/>
    <n v="5.8380000000000001"/>
    <n v="0"/>
    <x v="1"/>
    <n v="0"/>
    <n v="7"/>
    <n v="27"/>
    <n v="69"/>
    <n v="59.47"/>
    <n v="73.19"/>
    <n v="359.33"/>
    <n v="56.480448697803254"/>
    <n v="117.83242038312405"/>
    <n v="362.73600214515886"/>
    <n v="7909.51"/>
    <n v="427.28321999999997"/>
    <n v="2097.76854"/>
    <n v="7511.8996768078332"/>
    <n v="687.90567019667822"/>
    <n v="2117.6527805234373"/>
  </r>
  <r>
    <s v="Regular"/>
    <x v="0"/>
    <x v="0"/>
    <x v="0"/>
    <x v="0"/>
    <x v="1"/>
    <x v="0"/>
    <x v="2"/>
    <x v="6"/>
    <n v="136"/>
    <n v="136"/>
    <n v="7.2439999999999998"/>
    <n v="7.2439999999999998"/>
    <n v="7.2439999999999998"/>
    <n v="7.2439999999999998"/>
    <n v="0"/>
    <x v="1"/>
    <n v="0"/>
    <n v="7"/>
    <n v="27"/>
    <n v="69"/>
    <n v="59.47"/>
    <n v="73.19"/>
    <n v="359.33"/>
    <n v="56.480448697803254"/>
    <n v="117.83242038312405"/>
    <n v="362.73600214515886"/>
    <n v="8087.92"/>
    <n v="530.18835999999999"/>
    <n v="2602.9865199999999"/>
    <n v="7681.3410229012425"/>
    <n v="853.5780532553506"/>
    <n v="2627.6595995395305"/>
  </r>
  <r>
    <s v="Regular"/>
    <x v="0"/>
    <x v="0"/>
    <x v="0"/>
    <x v="0"/>
    <x v="1"/>
    <x v="0"/>
    <x v="2"/>
    <x v="7"/>
    <n v="140"/>
    <n v="140"/>
    <n v="8.2309999999999999"/>
    <n v="8.2309999999999999"/>
    <n v="8.2309999999999999"/>
    <n v="8.2309999999999999"/>
    <n v="0"/>
    <x v="1"/>
    <n v="0"/>
    <n v="7"/>
    <n v="27"/>
    <n v="69"/>
    <n v="59.47"/>
    <n v="73.19"/>
    <n v="359.33"/>
    <n v="56.480448697803254"/>
    <n v="117.83242038312405"/>
    <n v="362.73600214515886"/>
    <n v="8325.7999999999993"/>
    <n v="602.42688999999996"/>
    <n v="2957.6452299999996"/>
    <n v="7907.2628176924554"/>
    <n v="969.87865217349395"/>
    <n v="2985.6800336568026"/>
  </r>
  <r>
    <s v="Regular"/>
    <x v="0"/>
    <x v="0"/>
    <x v="0"/>
    <x v="0"/>
    <x v="1"/>
    <x v="0"/>
    <x v="2"/>
    <x v="8"/>
    <n v="138"/>
    <n v="138"/>
    <n v="6.8380000000000001"/>
    <n v="6.8380000000000001"/>
    <n v="6.8380000000000001"/>
    <n v="6.8380000000000001"/>
    <n v="0"/>
    <x v="1"/>
    <n v="0"/>
    <n v="7"/>
    <n v="27"/>
    <n v="69"/>
    <n v="59.47"/>
    <n v="73.19"/>
    <n v="359.33"/>
    <n v="56.480448697803254"/>
    <n v="117.83242038312405"/>
    <n v="362.73600214515886"/>
    <n v="8206.86"/>
    <n v="500.47321999999997"/>
    <n v="2457.09854"/>
    <n v="7794.3019202968489"/>
    <n v="805.73809057980225"/>
    <n v="2480.3887826685964"/>
  </r>
  <r>
    <s v="Regular"/>
    <x v="0"/>
    <x v="0"/>
    <x v="0"/>
    <x v="0"/>
    <x v="1"/>
    <x v="0"/>
    <x v="2"/>
    <x v="9"/>
    <n v="138"/>
    <n v="138"/>
    <n v="7.8890000000000002"/>
    <n v="7.8890000000000002"/>
    <n v="7.8890000000000002"/>
    <n v="7.8890000000000002"/>
    <n v="0"/>
    <x v="1"/>
    <n v="0"/>
    <n v="7"/>
    <n v="27"/>
    <n v="69"/>
    <n v="59.47"/>
    <n v="73.19"/>
    <n v="359.33"/>
    <n v="56.480448697803254"/>
    <n v="117.83242038312405"/>
    <n v="362.73600214515886"/>
    <n v="8206.86"/>
    <n v="577.39590999999996"/>
    <n v="2834.7543700000001"/>
    <n v="7794.3019202968489"/>
    <n v="929.57996440246563"/>
    <n v="2861.6243209231584"/>
  </r>
  <r>
    <s v="Regular"/>
    <x v="0"/>
    <x v="0"/>
    <x v="0"/>
    <x v="0"/>
    <x v="1"/>
    <x v="0"/>
    <x v="2"/>
    <x v="10"/>
    <n v="136"/>
    <n v="136"/>
    <n v="7.6029999999999998"/>
    <n v="7.6029999999999998"/>
    <n v="7.6029999999999998"/>
    <n v="7.6029999999999998"/>
    <n v="0"/>
    <x v="1"/>
    <n v="0"/>
    <n v="7"/>
    <n v="27"/>
    <n v="69"/>
    <n v="59.47"/>
    <n v="73.19"/>
    <n v="359.33"/>
    <n v="56.480448697803254"/>
    <n v="117.83242038312405"/>
    <n v="362.73600214515886"/>
    <n v="8087.92"/>
    <n v="556.46357"/>
    <n v="2731.9859899999997"/>
    <n v="7681.3410229012425"/>
    <n v="895.87989217289214"/>
    <n v="2757.881824309643"/>
  </r>
  <r>
    <s v="PROJETADO"/>
    <x v="0"/>
    <x v="0"/>
    <x v="0"/>
    <x v="0"/>
    <x v="1"/>
    <x v="0"/>
    <x v="2"/>
    <x v="11"/>
    <n v="136"/>
    <n v="136"/>
    <n v="7.6029999999999998"/>
    <n v="7.6029999999999998"/>
    <n v="7.6029999999999998"/>
    <n v="7.6029999999999998"/>
    <n v="0"/>
    <x v="1"/>
    <n v="0"/>
    <n v="7"/>
    <n v="27"/>
    <n v="69"/>
    <n v="59.47"/>
    <n v="73.19"/>
    <n v="359.33"/>
    <n v="56.480448697803254"/>
    <n v="117.83242038312405"/>
    <n v="362.73600214515886"/>
    <n v="8087.92"/>
    <n v="556.46357"/>
    <n v="2731.9859899999997"/>
    <n v="7681.3410229012425"/>
    <n v="895.87989217289214"/>
    <n v="2757.881824309643"/>
  </r>
  <r>
    <s v="Regular"/>
    <x v="0"/>
    <x v="1"/>
    <x v="1"/>
    <x v="0"/>
    <x v="1"/>
    <x v="0"/>
    <x v="0"/>
    <x v="0"/>
    <n v="0"/>
    <n v="0"/>
    <n v="2035.172"/>
    <n v="2035.172"/>
    <n v="2035.172"/>
    <n v="2035.172"/>
    <n v="0"/>
    <x v="1"/>
    <n v="0"/>
    <n v="0"/>
    <n v="18"/>
    <n v="73"/>
    <n v="0"/>
    <n v="73.19"/>
    <n v="211.71"/>
    <m/>
    <n v="117.83242038312405"/>
    <n v="222.99901551132911"/>
    <n v="0"/>
    <n v="148954.23868000001"/>
    <n v="430866.26412000001"/>
    <n v="0"/>
    <n v="239809.24265596335"/>
    <n v="453841.3523962227"/>
  </r>
  <r>
    <s v="Regular"/>
    <x v="0"/>
    <x v="1"/>
    <x v="1"/>
    <x v="0"/>
    <x v="1"/>
    <x v="0"/>
    <x v="0"/>
    <x v="1"/>
    <n v="0"/>
    <n v="0"/>
    <n v="2211.12"/>
    <n v="2211.12"/>
    <n v="2211.12"/>
    <n v="2211.12"/>
    <n v="0"/>
    <x v="1"/>
    <n v="0"/>
    <n v="0"/>
    <n v="18"/>
    <n v="73"/>
    <n v="0"/>
    <n v="73.19"/>
    <n v="211.71"/>
    <m/>
    <n v="117.83242038312405"/>
    <n v="222.99901551132911"/>
    <n v="0"/>
    <n v="161831.87279999998"/>
    <n v="468116.21519999998"/>
    <n v="0"/>
    <n v="260541.62135753324"/>
    <n v="493077.58317741001"/>
  </r>
  <r>
    <s v="Regular"/>
    <x v="0"/>
    <x v="1"/>
    <x v="1"/>
    <x v="0"/>
    <x v="1"/>
    <x v="0"/>
    <x v="0"/>
    <x v="2"/>
    <n v="0"/>
    <n v="0"/>
    <n v="2145.2460000000001"/>
    <n v="2145.2460000000001"/>
    <n v="2145.2460000000001"/>
    <n v="2145.2460000000001"/>
    <n v="0"/>
    <x v="1"/>
    <n v="0"/>
    <n v="0"/>
    <n v="18"/>
    <n v="73"/>
    <n v="0"/>
    <n v="73.19"/>
    <n v="211.71"/>
    <m/>
    <n v="117.83242038312405"/>
    <n v="222.99901551132911"/>
    <n v="0"/>
    <n v="157010.55473999999"/>
    <n v="454170.03066000005"/>
    <n v="0"/>
    <n v="252779.52849721533"/>
    <n v="478387.74602961674"/>
  </r>
  <r>
    <s v="Regular"/>
    <x v="0"/>
    <x v="1"/>
    <x v="1"/>
    <x v="0"/>
    <x v="1"/>
    <x v="0"/>
    <x v="0"/>
    <x v="3"/>
    <n v="0"/>
    <n v="0"/>
    <n v="2449.5129999999999"/>
    <n v="2449.5129999999999"/>
    <n v="2449.5129999999999"/>
    <n v="2449.5129999999999"/>
    <n v="0"/>
    <x v="1"/>
    <n v="0"/>
    <n v="0"/>
    <n v="18"/>
    <n v="73"/>
    <n v="0"/>
    <n v="73.19"/>
    <n v="211.71"/>
    <m/>
    <n v="117.83242038312405"/>
    <n v="222.99901551132911"/>
    <n v="0"/>
    <n v="179279.85647"/>
    <n v="518586.39723"/>
    <n v="0"/>
    <n v="288632.04554992734"/>
    <n v="546238.98748220224"/>
  </r>
  <r>
    <s v="Regular"/>
    <x v="0"/>
    <x v="1"/>
    <x v="1"/>
    <x v="0"/>
    <x v="1"/>
    <x v="0"/>
    <x v="0"/>
    <x v="4"/>
    <n v="0"/>
    <n v="0"/>
    <n v="2745.7040000000002"/>
    <n v="2745.7040000000002"/>
    <n v="2745.7040000000002"/>
    <n v="2745.7040000000002"/>
    <n v="0"/>
    <x v="1"/>
    <n v="0"/>
    <n v="0"/>
    <n v="18"/>
    <n v="73"/>
    <n v="0"/>
    <n v="73.19"/>
    <n v="211.71"/>
    <m/>
    <n v="117.83242038312405"/>
    <n v="222.99901551132911"/>
    <n v="0"/>
    <n v="200958.07576000001"/>
    <n v="581292.99384000001"/>
    <n v="0"/>
    <n v="323532.94797562523"/>
    <n v="612289.28888551844"/>
  </r>
  <r>
    <s v="Sistema de Compensação"/>
    <x v="0"/>
    <x v="1"/>
    <x v="1"/>
    <x v="0"/>
    <x v="1"/>
    <x v="0"/>
    <x v="0"/>
    <x v="4"/>
    <n v="0"/>
    <n v="0"/>
    <n v="45.22"/>
    <n v="45.22"/>
    <n v="45.22"/>
    <n v="45.22"/>
    <n v="0"/>
    <x v="1"/>
    <n v="0"/>
    <n v="0"/>
    <n v="18"/>
    <n v="73"/>
    <n v="0"/>
    <n v="73.19"/>
    <n v="211.71"/>
    <m/>
    <n v="117.83242038312405"/>
    <n v="222.99901551132911"/>
    <n v="0"/>
    <n v="3309.6517999999996"/>
    <n v="9573.5262000000002"/>
    <n v="0"/>
    <n v="5328.3820497248689"/>
    <n v="10084.015481422302"/>
  </r>
  <r>
    <s v="Regular"/>
    <x v="0"/>
    <x v="1"/>
    <x v="1"/>
    <x v="0"/>
    <x v="1"/>
    <x v="0"/>
    <x v="0"/>
    <x v="5"/>
    <n v="0"/>
    <n v="0"/>
    <n v="2724.8580000000002"/>
    <n v="2724.8580000000002"/>
    <n v="2724.8580000000002"/>
    <n v="2724.8580000000002"/>
    <n v="0"/>
    <x v="1"/>
    <n v="0"/>
    <n v="0"/>
    <n v="18"/>
    <n v="73"/>
    <n v="0"/>
    <n v="73.19"/>
    <n v="211.71"/>
    <m/>
    <n v="117.83242038312405"/>
    <n v="222.99901551132911"/>
    <n v="0"/>
    <n v="199432.35702"/>
    <n v="576879.68718000001"/>
    <n v="0"/>
    <n v="321076.61334031867"/>
    <n v="607640.65140816919"/>
  </r>
  <r>
    <s v="Sistema de Compensação"/>
    <x v="0"/>
    <x v="1"/>
    <x v="1"/>
    <x v="0"/>
    <x v="1"/>
    <x v="0"/>
    <x v="0"/>
    <x v="5"/>
    <n v="0"/>
    <n v="0"/>
    <n v="45.866999999999997"/>
    <n v="45.866999999999997"/>
    <n v="45.866999999999997"/>
    <n v="45.866999999999997"/>
    <n v="0"/>
    <x v="1"/>
    <n v="0"/>
    <n v="0"/>
    <n v="18"/>
    <n v="73"/>
    <n v="0"/>
    <n v="73.19"/>
    <n v="211.71"/>
    <m/>
    <n v="117.83242038312405"/>
    <n v="222.99901551132911"/>
    <n v="0"/>
    <n v="3357.0057299999999"/>
    <n v="9710.5025700000006"/>
    <n v="0"/>
    <n v="5404.6196257127503"/>
    <n v="10228.295844458131"/>
  </r>
  <r>
    <s v="Regular"/>
    <x v="0"/>
    <x v="1"/>
    <x v="1"/>
    <x v="0"/>
    <x v="1"/>
    <x v="0"/>
    <x v="0"/>
    <x v="6"/>
    <n v="0"/>
    <n v="0"/>
    <n v="2615.8589999999999"/>
    <n v="2615.8589999999999"/>
    <n v="2615.8589999999999"/>
    <n v="2615.8589999999999"/>
    <n v="0"/>
    <x v="1"/>
    <n v="0"/>
    <n v="0"/>
    <n v="18"/>
    <n v="73"/>
    <n v="0"/>
    <n v="73.19"/>
    <n v="211.71"/>
    <m/>
    <n v="117.83242038312405"/>
    <n v="222.99901551132911"/>
    <n v="0"/>
    <n v="191454.72021"/>
    <n v="553803.50889000006"/>
    <n v="0"/>
    <n v="308232.99735097849"/>
    <n v="583333.98171644984"/>
  </r>
  <r>
    <s v="Sistema de Compensação"/>
    <x v="0"/>
    <x v="1"/>
    <x v="1"/>
    <x v="0"/>
    <x v="1"/>
    <x v="0"/>
    <x v="0"/>
    <x v="6"/>
    <n v="0"/>
    <n v="0"/>
    <n v="46.393999999999998"/>
    <n v="46.393999999999998"/>
    <n v="46.393999999999998"/>
    <n v="46.393999999999998"/>
    <n v="0"/>
    <x v="1"/>
    <n v="0"/>
    <n v="0"/>
    <n v="18"/>
    <n v="73"/>
    <n v="0"/>
    <n v="73.19"/>
    <n v="211.71"/>
    <m/>
    <n v="117.83242038312405"/>
    <n v="222.99901551132911"/>
    <n v="0"/>
    <n v="3395.5768599999997"/>
    <n v="9822.0737399999998"/>
    <n v="0"/>
    <n v="5466.717311254657"/>
    <n v="10345.816325632602"/>
  </r>
  <r>
    <s v="Regular"/>
    <x v="0"/>
    <x v="1"/>
    <x v="1"/>
    <x v="0"/>
    <x v="1"/>
    <x v="0"/>
    <x v="0"/>
    <x v="7"/>
    <n v="0"/>
    <n v="0"/>
    <n v="2779.0639999999999"/>
    <n v="2779.0639999999999"/>
    <n v="2779.0639999999999"/>
    <n v="2779.0639999999999"/>
    <n v="0"/>
    <x v="1"/>
    <n v="0"/>
    <n v="0"/>
    <n v="18"/>
    <n v="73"/>
    <n v="0"/>
    <n v="73.19"/>
    <n v="211.71"/>
    <m/>
    <n v="117.83242038312405"/>
    <n v="222.99901551132911"/>
    <n v="0"/>
    <n v="203399.69415999998"/>
    <n v="588355.63943999994"/>
    <n v="0"/>
    <n v="327463.83751960623"/>
    <n v="619728.53604297631"/>
  </r>
  <r>
    <s v="Sistema de Compensação"/>
    <x v="0"/>
    <x v="1"/>
    <x v="1"/>
    <x v="0"/>
    <x v="1"/>
    <x v="0"/>
    <x v="0"/>
    <x v="7"/>
    <n v="0"/>
    <n v="0"/>
    <n v="44.688000000000002"/>
    <n v="44.688000000000002"/>
    <n v="44.688000000000002"/>
    <n v="44.688000000000002"/>
    <n v="0"/>
    <x v="1"/>
    <n v="0"/>
    <n v="0"/>
    <n v="18"/>
    <n v="73"/>
    <n v="0"/>
    <n v="73.19"/>
    <n v="211.71"/>
    <m/>
    <n v="117.83242038312405"/>
    <n v="222.99901551132911"/>
    <n v="0"/>
    <n v="3270.7147199999999"/>
    <n v="9460.8964800000012"/>
    <n v="0"/>
    <n v="5265.6952020810477"/>
    <n v="9965.3800051702765"/>
  </r>
  <r>
    <s v="Regular"/>
    <x v="0"/>
    <x v="1"/>
    <x v="1"/>
    <x v="0"/>
    <x v="1"/>
    <x v="0"/>
    <x v="0"/>
    <x v="8"/>
    <n v="0"/>
    <n v="0"/>
    <n v="2255.348"/>
    <n v="2255.348"/>
    <n v="2255.348"/>
    <n v="2255.348"/>
    <n v="0"/>
    <x v="1"/>
    <n v="0"/>
    <n v="0"/>
    <n v="18"/>
    <n v="73"/>
    <n v="0"/>
    <n v="73.19"/>
    <n v="211.71"/>
    <m/>
    <n v="117.83242038312405"/>
    <n v="222.99901551132911"/>
    <n v="0"/>
    <n v="165068.92012"/>
    <n v="477479.72508"/>
    <n v="0"/>
    <n v="265753.11364623805"/>
    <n v="502940.38363544509"/>
  </r>
  <r>
    <s v="Sistema de Compensação"/>
    <x v="0"/>
    <x v="1"/>
    <x v="1"/>
    <x v="0"/>
    <x v="1"/>
    <x v="0"/>
    <x v="0"/>
    <x v="8"/>
    <n v="0"/>
    <n v="0"/>
    <n v="32.241"/>
    <n v="32.241"/>
    <n v="32.241"/>
    <n v="32.241"/>
    <n v="0"/>
    <x v="1"/>
    <n v="0"/>
    <n v="0"/>
    <n v="18"/>
    <n v="73"/>
    <n v="0"/>
    <n v="73.19"/>
    <n v="211.71"/>
    <m/>
    <n v="117.83242038312405"/>
    <n v="222.99901551132911"/>
    <n v="0"/>
    <n v="2359.7187899999999"/>
    <n v="6825.7421100000001"/>
    <n v="0"/>
    <n v="3799.0350655723023"/>
    <n v="7189.7112591007617"/>
  </r>
  <r>
    <s v="Regular"/>
    <x v="0"/>
    <x v="1"/>
    <x v="1"/>
    <x v="0"/>
    <x v="1"/>
    <x v="0"/>
    <x v="0"/>
    <x v="9"/>
    <n v="0"/>
    <n v="0"/>
    <n v="2097.8850000000002"/>
    <n v="2097.8850000000002"/>
    <n v="2097.8850000000002"/>
    <n v="2097.8850000000002"/>
    <n v="0"/>
    <x v="1"/>
    <n v="0"/>
    <n v="0"/>
    <n v="18"/>
    <n v="73"/>
    <n v="0"/>
    <n v="73.19"/>
    <n v="211.71"/>
    <m/>
    <n v="117.83242038312405"/>
    <n v="222.99901551132911"/>
    <n v="0"/>
    <n v="153544.20315000002"/>
    <n v="444143.23335000005"/>
    <n v="0"/>
    <n v="247198.86723545022"/>
    <n v="467826.28965598473"/>
  </r>
  <r>
    <s v="Sistema de Compensação"/>
    <x v="0"/>
    <x v="1"/>
    <x v="1"/>
    <x v="0"/>
    <x v="1"/>
    <x v="0"/>
    <x v="0"/>
    <x v="9"/>
    <n v="0"/>
    <n v="0"/>
    <n v="32.703000000000003"/>
    <n v="32.703000000000003"/>
    <n v="32.703000000000003"/>
    <n v="32.703000000000003"/>
    <n v="0"/>
    <x v="1"/>
    <n v="0"/>
    <n v="0"/>
    <n v="18"/>
    <n v="73"/>
    <n v="0"/>
    <n v="73.19"/>
    <n v="211.71"/>
    <m/>
    <n v="117.83242038312405"/>
    <n v="222.99901551132911"/>
    <n v="0"/>
    <n v="2393.5325700000003"/>
    <n v="6923.5521300000009"/>
    <n v="0"/>
    <n v="3853.4736437893062"/>
    <n v="7292.7368042669968"/>
  </r>
  <r>
    <s v="Regular"/>
    <x v="0"/>
    <x v="1"/>
    <x v="1"/>
    <x v="0"/>
    <x v="1"/>
    <x v="0"/>
    <x v="0"/>
    <x v="10"/>
    <n v="0"/>
    <n v="0"/>
    <n v="1974.92"/>
    <n v="1974.92"/>
    <n v="1974.92"/>
    <n v="1974.92"/>
    <n v="0"/>
    <x v="1"/>
    <n v="0"/>
    <n v="0"/>
    <n v="18"/>
    <n v="73"/>
    <n v="0"/>
    <n v="73.19"/>
    <n v="211.71"/>
    <m/>
    <n v="117.83242038312405"/>
    <n v="222.99901551132911"/>
    <n v="0"/>
    <n v="144544.39480000001"/>
    <n v="418110.31320000003"/>
    <n v="0"/>
    <n v="232709.60366303934"/>
    <n v="440405.2157136341"/>
  </r>
  <r>
    <s v="Sistema de Compensação"/>
    <x v="0"/>
    <x v="1"/>
    <x v="1"/>
    <x v="0"/>
    <x v="1"/>
    <x v="0"/>
    <x v="0"/>
    <x v="10"/>
    <n v="0"/>
    <n v="0"/>
    <n v="37.793999999999997"/>
    <n v="37.793999999999997"/>
    <n v="37.793999999999997"/>
    <n v="37.793999999999997"/>
    <n v="0"/>
    <x v="1"/>
    <n v="0"/>
    <n v="0"/>
    <n v="18"/>
    <n v="73"/>
    <n v="0"/>
    <n v="73.19"/>
    <n v="211.71"/>
    <m/>
    <n v="117.83242038312405"/>
    <n v="222.99901551132911"/>
    <n v="0"/>
    <n v="2766.1428599999995"/>
    <n v="8001.3677399999997"/>
    <n v="0"/>
    <n v="4453.3584959597902"/>
    <n v="8428.0247922351718"/>
  </r>
  <r>
    <s v="PROJETADO"/>
    <x v="0"/>
    <x v="1"/>
    <x v="1"/>
    <x v="0"/>
    <x v="1"/>
    <x v="0"/>
    <x v="0"/>
    <x v="11"/>
    <n v="0"/>
    <n v="0"/>
    <n v="1974.92"/>
    <n v="1974.92"/>
    <n v="1974.92"/>
    <n v="1974.92"/>
    <n v="0"/>
    <x v="1"/>
    <n v="0"/>
    <n v="0"/>
    <n v="18"/>
    <n v="73"/>
    <n v="0"/>
    <n v="73.19"/>
    <n v="211.71"/>
    <m/>
    <n v="117.83242038312405"/>
    <n v="222.99901551132911"/>
    <n v="0"/>
    <n v="144544.39480000001"/>
    <n v="418110.31320000003"/>
    <n v="0"/>
    <n v="232709.60366303934"/>
    <n v="440405.2157136341"/>
  </r>
  <r>
    <s v="PROJETADO"/>
    <x v="0"/>
    <x v="1"/>
    <x v="1"/>
    <x v="0"/>
    <x v="1"/>
    <x v="0"/>
    <x v="0"/>
    <x v="11"/>
    <n v="0"/>
    <n v="0"/>
    <n v="37.793999999999997"/>
    <n v="37.793999999999997"/>
    <n v="37.793999999999997"/>
    <n v="37.793999999999997"/>
    <n v="0"/>
    <x v="1"/>
    <n v="0"/>
    <n v="0"/>
    <n v="18"/>
    <n v="73"/>
    <n v="0"/>
    <n v="73.19"/>
    <n v="211.71"/>
    <m/>
    <n v="117.83242038312405"/>
    <n v="222.99901551132911"/>
    <n v="0"/>
    <n v="2766.1428599999995"/>
    <n v="8001.3677399999997"/>
    <n v="0"/>
    <n v="4453.3584959597902"/>
    <n v="8428.0247922351718"/>
  </r>
  <r>
    <s v="Regular"/>
    <x v="0"/>
    <x v="1"/>
    <x v="1"/>
    <x v="0"/>
    <x v="1"/>
    <x v="0"/>
    <x v="1"/>
    <x v="0"/>
    <n v="8353"/>
    <n v="8353"/>
    <n v="0"/>
    <n v="0"/>
    <n v="0"/>
    <n v="0"/>
    <n v="35"/>
    <x v="1"/>
    <n v="0"/>
    <n v="24"/>
    <n v="0"/>
    <n v="0"/>
    <n v="22.9"/>
    <n v="0"/>
    <n v="0"/>
    <n v="21.733731888847863"/>
    <m/>
    <m/>
    <n v="191283.69999999998"/>
    <n v="0"/>
    <n v="0"/>
    <n v="181541.86246754619"/>
    <n v="0"/>
    <n v="0"/>
  </r>
  <r>
    <s v="Regular"/>
    <x v="0"/>
    <x v="1"/>
    <x v="1"/>
    <x v="0"/>
    <x v="1"/>
    <x v="0"/>
    <x v="1"/>
    <x v="1"/>
    <n v="8501"/>
    <n v="8501"/>
    <n v="0"/>
    <n v="0"/>
    <n v="0"/>
    <n v="0"/>
    <n v="35"/>
    <x v="1"/>
    <n v="0"/>
    <n v="24"/>
    <n v="0"/>
    <n v="0"/>
    <n v="22.9"/>
    <n v="0"/>
    <n v="0"/>
    <n v="21.733731888847863"/>
    <m/>
    <m/>
    <n v="194672.9"/>
    <n v="0"/>
    <n v="0"/>
    <n v="184758.45478709569"/>
    <n v="0"/>
    <n v="0"/>
  </r>
  <r>
    <s v="Regular"/>
    <x v="0"/>
    <x v="1"/>
    <x v="1"/>
    <x v="0"/>
    <x v="1"/>
    <x v="0"/>
    <x v="1"/>
    <x v="2"/>
    <n v="9098"/>
    <n v="9098"/>
    <n v="0"/>
    <n v="0"/>
    <n v="0"/>
    <n v="0"/>
    <n v="35"/>
    <x v="1"/>
    <n v="0"/>
    <n v="24"/>
    <n v="0"/>
    <n v="0"/>
    <n v="22.9"/>
    <n v="0"/>
    <n v="0"/>
    <n v="21.733731888847863"/>
    <m/>
    <m/>
    <n v="208344.19999999998"/>
    <n v="0"/>
    <n v="0"/>
    <n v="197733.49272473785"/>
    <n v="0"/>
    <n v="0"/>
  </r>
  <r>
    <s v="Regular"/>
    <x v="0"/>
    <x v="1"/>
    <x v="1"/>
    <x v="0"/>
    <x v="1"/>
    <x v="0"/>
    <x v="1"/>
    <x v="3"/>
    <n v="9165"/>
    <n v="9165"/>
    <n v="0"/>
    <n v="0"/>
    <n v="0"/>
    <n v="0"/>
    <n v="35"/>
    <x v="1"/>
    <n v="0"/>
    <n v="24"/>
    <n v="0"/>
    <n v="0"/>
    <n v="22.9"/>
    <n v="0"/>
    <n v="0"/>
    <n v="21.733731888847863"/>
    <m/>
    <m/>
    <n v="209878.5"/>
    <n v="0"/>
    <n v="0"/>
    <n v="199189.65276129066"/>
    <n v="0"/>
    <n v="0"/>
  </r>
  <r>
    <s v="Regular"/>
    <x v="0"/>
    <x v="1"/>
    <x v="1"/>
    <x v="0"/>
    <x v="1"/>
    <x v="0"/>
    <x v="1"/>
    <x v="4"/>
    <n v="9247"/>
    <n v="9247"/>
    <n v="0"/>
    <n v="0"/>
    <n v="0"/>
    <n v="0"/>
    <n v="35"/>
    <x v="1"/>
    <n v="0"/>
    <n v="24"/>
    <n v="0"/>
    <n v="0"/>
    <n v="22.9"/>
    <n v="0"/>
    <n v="0"/>
    <n v="21.733731888847863"/>
    <m/>
    <m/>
    <n v="211756.3"/>
    <n v="0"/>
    <n v="0"/>
    <n v="200971.81877617619"/>
    <n v="0"/>
    <n v="0"/>
  </r>
  <r>
    <s v="Sistema de Compensação"/>
    <x v="0"/>
    <x v="1"/>
    <x v="1"/>
    <x v="0"/>
    <x v="1"/>
    <x v="0"/>
    <x v="1"/>
    <x v="4"/>
    <n v="195"/>
    <n v="195"/>
    <n v="0"/>
    <n v="0"/>
    <n v="0"/>
    <n v="0"/>
    <n v="1"/>
    <x v="1"/>
    <n v="0"/>
    <n v="24"/>
    <n v="0"/>
    <n v="0"/>
    <n v="22.9"/>
    <n v="0"/>
    <n v="0"/>
    <n v="21.733731888847863"/>
    <m/>
    <m/>
    <n v="4465.5"/>
    <n v="0"/>
    <n v="0"/>
    <n v="4238.0777183253331"/>
    <n v="0"/>
    <n v="0"/>
  </r>
  <r>
    <s v="Regular"/>
    <x v="0"/>
    <x v="1"/>
    <x v="1"/>
    <x v="0"/>
    <x v="1"/>
    <x v="0"/>
    <x v="1"/>
    <x v="5"/>
    <n v="9263"/>
    <n v="9263"/>
    <n v="0"/>
    <n v="0"/>
    <n v="0"/>
    <n v="0"/>
    <n v="35"/>
    <x v="1"/>
    <n v="0"/>
    <n v="24"/>
    <n v="0"/>
    <n v="0"/>
    <n v="22.9"/>
    <n v="0"/>
    <n v="0"/>
    <n v="21.733731888847863"/>
    <m/>
    <m/>
    <n v="212122.69999999998"/>
    <n v="0"/>
    <n v="0"/>
    <n v="201319.55848639776"/>
    <n v="0"/>
    <n v="0"/>
  </r>
  <r>
    <s v="Sistema de Compensação"/>
    <x v="0"/>
    <x v="1"/>
    <x v="1"/>
    <x v="0"/>
    <x v="1"/>
    <x v="0"/>
    <x v="1"/>
    <x v="5"/>
    <n v="176"/>
    <n v="176"/>
    <n v="0"/>
    <n v="0"/>
    <n v="0"/>
    <n v="0"/>
    <n v="1"/>
    <x v="1"/>
    <n v="0"/>
    <n v="24"/>
    <n v="0"/>
    <n v="0"/>
    <n v="22.9"/>
    <n v="0"/>
    <n v="0"/>
    <n v="21.733731888847863"/>
    <m/>
    <m/>
    <n v="4030.3999999999996"/>
    <n v="0"/>
    <n v="0"/>
    <n v="3825.1368124372239"/>
    <n v="0"/>
    <n v="0"/>
  </r>
  <r>
    <s v="Regular"/>
    <x v="0"/>
    <x v="1"/>
    <x v="1"/>
    <x v="0"/>
    <x v="1"/>
    <x v="0"/>
    <x v="1"/>
    <x v="6"/>
    <n v="9208"/>
    <n v="9208"/>
    <n v="0"/>
    <n v="0"/>
    <n v="0"/>
    <n v="0"/>
    <n v="35"/>
    <x v="1"/>
    <n v="0"/>
    <n v="24"/>
    <n v="0"/>
    <n v="0"/>
    <n v="22.9"/>
    <n v="0"/>
    <n v="0"/>
    <n v="21.733731888847863"/>
    <m/>
    <m/>
    <n v="210863.19999999998"/>
    <n v="0"/>
    <n v="0"/>
    <n v="200124.20323251112"/>
    <n v="0"/>
    <n v="0"/>
  </r>
  <r>
    <s v="Sistema de Compensação"/>
    <x v="0"/>
    <x v="1"/>
    <x v="1"/>
    <x v="0"/>
    <x v="1"/>
    <x v="0"/>
    <x v="1"/>
    <x v="6"/>
    <n v="172"/>
    <n v="172"/>
    <n v="0"/>
    <n v="0"/>
    <n v="0"/>
    <n v="0"/>
    <n v="1"/>
    <x v="1"/>
    <n v="0"/>
    <n v="24"/>
    <n v="0"/>
    <n v="0"/>
    <n v="22.9"/>
    <n v="0"/>
    <n v="0"/>
    <n v="21.733731888847863"/>
    <m/>
    <m/>
    <n v="3938.7999999999997"/>
    <n v="0"/>
    <n v="0"/>
    <n v="3738.2018848818325"/>
    <n v="0"/>
    <n v="0"/>
  </r>
  <r>
    <s v="Regular"/>
    <x v="0"/>
    <x v="1"/>
    <x v="1"/>
    <x v="0"/>
    <x v="1"/>
    <x v="0"/>
    <x v="1"/>
    <x v="7"/>
    <n v="9345"/>
    <n v="9345"/>
    <n v="0"/>
    <n v="0"/>
    <n v="0"/>
    <n v="0"/>
    <n v="35"/>
    <x v="1"/>
    <n v="0"/>
    <n v="24"/>
    <n v="0"/>
    <n v="0"/>
    <n v="22.9"/>
    <n v="0"/>
    <n v="0"/>
    <n v="21.733731888847863"/>
    <m/>
    <m/>
    <n v="214000.5"/>
    <n v="0"/>
    <n v="0"/>
    <n v="203101.72450128329"/>
    <n v="0"/>
    <n v="0"/>
  </r>
  <r>
    <s v="Sistema de Compensação"/>
    <x v="0"/>
    <x v="1"/>
    <x v="1"/>
    <x v="0"/>
    <x v="1"/>
    <x v="0"/>
    <x v="1"/>
    <x v="7"/>
    <n v="205"/>
    <n v="205"/>
    <n v="0"/>
    <n v="0"/>
    <n v="0"/>
    <n v="0"/>
    <n v="1"/>
    <x v="1"/>
    <n v="0"/>
    <n v="24"/>
    <n v="0"/>
    <n v="0"/>
    <n v="22.9"/>
    <n v="0"/>
    <n v="0"/>
    <n v="21.733731888847863"/>
    <m/>
    <m/>
    <n v="4694.5"/>
    <n v="0"/>
    <n v="0"/>
    <n v="4455.415037213812"/>
    <n v="0"/>
    <n v="0"/>
  </r>
  <r>
    <s v="Regular"/>
    <x v="0"/>
    <x v="1"/>
    <x v="1"/>
    <x v="0"/>
    <x v="1"/>
    <x v="0"/>
    <x v="1"/>
    <x v="8"/>
    <n v="9217"/>
    <n v="9217"/>
    <n v="0"/>
    <n v="0"/>
    <n v="0"/>
    <n v="0"/>
    <n v="36"/>
    <x v="1"/>
    <n v="0"/>
    <n v="24"/>
    <n v="0"/>
    <n v="0"/>
    <n v="22.9"/>
    <n v="0"/>
    <n v="0"/>
    <n v="21.733731888847863"/>
    <m/>
    <m/>
    <n v="211069.3"/>
    <n v="0"/>
    <n v="0"/>
    <n v="200319.80681951076"/>
    <n v="0"/>
    <n v="0"/>
  </r>
  <r>
    <s v="Sistema de Compensação"/>
    <x v="0"/>
    <x v="1"/>
    <x v="1"/>
    <x v="0"/>
    <x v="1"/>
    <x v="0"/>
    <x v="1"/>
    <x v="8"/>
    <n v="165"/>
    <n v="165"/>
    <n v="0"/>
    <n v="0"/>
    <n v="0"/>
    <n v="0"/>
    <n v="1"/>
    <x v="1"/>
    <n v="0"/>
    <n v="24"/>
    <n v="0"/>
    <n v="0"/>
    <n v="22.9"/>
    <n v="0"/>
    <n v="0"/>
    <n v="21.733731888847863"/>
    <m/>
    <m/>
    <n v="3778.4999999999995"/>
    <n v="0"/>
    <n v="0"/>
    <n v="3586.0657616598974"/>
    <n v="0"/>
    <n v="0"/>
  </r>
  <r>
    <s v="Regular"/>
    <x v="0"/>
    <x v="1"/>
    <x v="1"/>
    <x v="0"/>
    <x v="1"/>
    <x v="0"/>
    <x v="1"/>
    <x v="9"/>
    <n v="9393"/>
    <n v="9393"/>
    <n v="0"/>
    <n v="0"/>
    <n v="0"/>
    <n v="0"/>
    <n v="37"/>
    <x v="1"/>
    <n v="0"/>
    <n v="24"/>
    <n v="0"/>
    <n v="0"/>
    <n v="22.9"/>
    <n v="0"/>
    <n v="0"/>
    <n v="21.733731888847863"/>
    <m/>
    <m/>
    <n v="215099.69999999998"/>
    <n v="0"/>
    <n v="0"/>
    <n v="204144.94363194797"/>
    <n v="0"/>
    <n v="0"/>
  </r>
  <r>
    <s v="Sistema de Compensação"/>
    <x v="0"/>
    <x v="1"/>
    <x v="1"/>
    <x v="0"/>
    <x v="1"/>
    <x v="0"/>
    <x v="1"/>
    <x v="9"/>
    <n v="165"/>
    <n v="165"/>
    <n v="0"/>
    <n v="0"/>
    <n v="0"/>
    <n v="0"/>
    <n v="1"/>
    <x v="1"/>
    <n v="0"/>
    <n v="24"/>
    <n v="0"/>
    <n v="0"/>
    <n v="22.9"/>
    <n v="0"/>
    <n v="0"/>
    <n v="21.733731888847863"/>
    <m/>
    <m/>
    <n v="3778.4999999999995"/>
    <n v="0"/>
    <n v="0"/>
    <n v="3586.0657616598974"/>
    <n v="0"/>
    <n v="0"/>
  </r>
  <r>
    <s v="Regular"/>
    <x v="0"/>
    <x v="1"/>
    <x v="1"/>
    <x v="0"/>
    <x v="1"/>
    <x v="0"/>
    <x v="1"/>
    <x v="10"/>
    <n v="9408"/>
    <n v="9408"/>
    <n v="0"/>
    <n v="0"/>
    <n v="0"/>
    <n v="0"/>
    <n v="37"/>
    <x v="1"/>
    <n v="0"/>
    <n v="24"/>
    <n v="0"/>
    <n v="0"/>
    <n v="22.9"/>
    <n v="0"/>
    <n v="0"/>
    <n v="21.733731888847863"/>
    <m/>
    <m/>
    <n v="215443.19999999998"/>
    <n v="0"/>
    <n v="0"/>
    <n v="204470.94961028069"/>
    <n v="0"/>
    <n v="0"/>
  </r>
  <r>
    <s v="Sistema de Compensação"/>
    <x v="0"/>
    <x v="1"/>
    <x v="1"/>
    <x v="0"/>
    <x v="1"/>
    <x v="0"/>
    <x v="1"/>
    <x v="10"/>
    <n v="165"/>
    <n v="165"/>
    <n v="0"/>
    <n v="0"/>
    <n v="0"/>
    <n v="0"/>
    <n v="1"/>
    <x v="1"/>
    <n v="0"/>
    <n v="24"/>
    <n v="0"/>
    <n v="0"/>
    <n v="22.9"/>
    <n v="0"/>
    <n v="0"/>
    <n v="21.733731888847863"/>
    <m/>
    <m/>
    <n v="3778.4999999999995"/>
    <n v="0"/>
    <n v="0"/>
    <n v="3586.0657616598974"/>
    <n v="0"/>
    <n v="0"/>
  </r>
  <r>
    <s v="PROJETADO"/>
    <x v="0"/>
    <x v="1"/>
    <x v="1"/>
    <x v="0"/>
    <x v="1"/>
    <x v="0"/>
    <x v="1"/>
    <x v="11"/>
    <n v="9408"/>
    <n v="9408"/>
    <n v="0"/>
    <n v="0"/>
    <n v="0"/>
    <n v="0"/>
    <n v="37"/>
    <x v="1"/>
    <n v="0"/>
    <n v="24"/>
    <n v="0"/>
    <n v="0"/>
    <n v="22.9"/>
    <n v="0"/>
    <n v="0"/>
    <n v="21.733731888847863"/>
    <m/>
    <m/>
    <n v="215443.19999999998"/>
    <n v="0"/>
    <n v="0"/>
    <n v="204470.94961028069"/>
    <n v="0"/>
    <n v="0"/>
  </r>
  <r>
    <s v="PROJETADO"/>
    <x v="0"/>
    <x v="1"/>
    <x v="1"/>
    <x v="0"/>
    <x v="1"/>
    <x v="0"/>
    <x v="1"/>
    <x v="11"/>
    <n v="165"/>
    <n v="165"/>
    <n v="0"/>
    <n v="0"/>
    <n v="0"/>
    <n v="0"/>
    <n v="1"/>
    <x v="1"/>
    <n v="0"/>
    <n v="24"/>
    <n v="0"/>
    <n v="0"/>
    <n v="22.9"/>
    <n v="0"/>
    <n v="0"/>
    <n v="21.733731888847863"/>
    <m/>
    <m/>
    <n v="3778.4999999999995"/>
    <n v="0"/>
    <n v="0"/>
    <n v="3586.0657616598974"/>
    <n v="0"/>
    <n v="0"/>
  </r>
  <r>
    <s v="Regular"/>
    <x v="0"/>
    <x v="1"/>
    <x v="1"/>
    <x v="0"/>
    <x v="1"/>
    <x v="0"/>
    <x v="2"/>
    <x v="0"/>
    <n v="0"/>
    <n v="0"/>
    <n v="111.113"/>
    <n v="111.113"/>
    <n v="111.113"/>
    <n v="111.113"/>
    <n v="0"/>
    <x v="1"/>
    <n v="0"/>
    <n v="0"/>
    <n v="5"/>
    <n v="69"/>
    <n v="0"/>
    <n v="1518.97"/>
    <n v="359.33"/>
    <m/>
    <n v="1492.9858702094405"/>
    <n v="362.73600214515886"/>
    <n v="0"/>
    <n v="168777.31361000001"/>
    <n v="39926.23429"/>
    <n v="0"/>
    <n v="165890.13899658155"/>
    <n v="40304.685406355035"/>
  </r>
  <r>
    <s v="Regular"/>
    <x v="0"/>
    <x v="1"/>
    <x v="1"/>
    <x v="0"/>
    <x v="1"/>
    <x v="0"/>
    <x v="2"/>
    <x v="1"/>
    <n v="0"/>
    <n v="0"/>
    <n v="138.255"/>
    <n v="138.255"/>
    <n v="138.255"/>
    <n v="138.255"/>
    <n v="0"/>
    <x v="1"/>
    <n v="0"/>
    <n v="0"/>
    <n v="5"/>
    <n v="69"/>
    <n v="0"/>
    <n v="1518.97"/>
    <n v="359.33"/>
    <m/>
    <n v="1492.9858702094405"/>
    <n v="362.73600214515886"/>
    <n v="0"/>
    <n v="210005.19735"/>
    <n v="49679.169149999994"/>
    <n v="0"/>
    <n v="206412.76148580617"/>
    <n v="50150.065976578939"/>
  </r>
  <r>
    <s v="Regular"/>
    <x v="0"/>
    <x v="1"/>
    <x v="1"/>
    <x v="0"/>
    <x v="1"/>
    <x v="0"/>
    <x v="2"/>
    <x v="2"/>
    <n v="0"/>
    <n v="0"/>
    <n v="136.34299999999999"/>
    <n v="136.34299999999999"/>
    <n v="136.34299999999999"/>
    <n v="136.34299999999999"/>
    <n v="0"/>
    <x v="1"/>
    <n v="0"/>
    <n v="0"/>
    <n v="5"/>
    <n v="69"/>
    <n v="0"/>
    <n v="1518.97"/>
    <n v="359.33"/>
    <m/>
    <n v="1492.9858702094405"/>
    <n v="362.73600214515886"/>
    <n v="0"/>
    <n v="207100.92671"/>
    <n v="48992.130189999996"/>
    <n v="0"/>
    <n v="203558.17250196572"/>
    <n v="49456.514740477389"/>
  </r>
  <r>
    <s v="Regular"/>
    <x v="0"/>
    <x v="1"/>
    <x v="1"/>
    <x v="0"/>
    <x v="1"/>
    <x v="0"/>
    <x v="2"/>
    <x v="3"/>
    <n v="0"/>
    <n v="0"/>
    <n v="167.01400000000001"/>
    <n v="167.01400000000001"/>
    <n v="167.01400000000001"/>
    <n v="167.01400000000001"/>
    <n v="0"/>
    <x v="1"/>
    <n v="0"/>
    <n v="0"/>
    <n v="5"/>
    <n v="69"/>
    <n v="0"/>
    <n v="1518.97"/>
    <n v="359.33"/>
    <m/>
    <n v="1492.9858702094405"/>
    <n v="362.73600214515886"/>
    <n v="0"/>
    <n v="253689.25558000003"/>
    <n v="60013.140619999998"/>
    <n v="0"/>
    <n v="249349.54212715951"/>
    <n v="60581.990662271564"/>
  </r>
  <r>
    <s v="Regular"/>
    <x v="0"/>
    <x v="1"/>
    <x v="1"/>
    <x v="0"/>
    <x v="1"/>
    <x v="0"/>
    <x v="2"/>
    <x v="4"/>
    <n v="0"/>
    <n v="0"/>
    <n v="215.89500000000001"/>
    <n v="215.89500000000001"/>
    <n v="215.89500000000001"/>
    <n v="215.89500000000001"/>
    <n v="0"/>
    <x v="1"/>
    <n v="0"/>
    <n v="0"/>
    <n v="5"/>
    <n v="69"/>
    <n v="0"/>
    <n v="1518.97"/>
    <n v="359.33"/>
    <m/>
    <n v="1492.9858702094405"/>
    <n v="362.73600214515886"/>
    <n v="0"/>
    <n v="327938.02815000003"/>
    <n v="77577.550350000005"/>
    <n v="0"/>
    <n v="322328.18444886716"/>
    <n v="78312.889183129082"/>
  </r>
  <r>
    <s v="Sistema de Compensação"/>
    <x v="0"/>
    <x v="1"/>
    <x v="1"/>
    <x v="0"/>
    <x v="1"/>
    <x v="0"/>
    <x v="2"/>
    <x v="4"/>
    <n v="0"/>
    <n v="0"/>
    <n v="4.7279999999999998"/>
    <n v="4.7279999999999998"/>
    <n v="4.7279999999999998"/>
    <n v="4.7279999999999998"/>
    <n v="0"/>
    <x v="1"/>
    <n v="0"/>
    <n v="0"/>
    <n v="5"/>
    <n v="69"/>
    <n v="0"/>
    <n v="1518.97"/>
    <n v="359.33"/>
    <m/>
    <n v="1492.9858702094405"/>
    <n v="362.73600214515886"/>
    <n v="0"/>
    <n v="7181.6901600000001"/>
    <n v="1698.9122399999999"/>
    <n v="0"/>
    <n v="7058.8371943502343"/>
    <n v="1715.015818142311"/>
  </r>
  <r>
    <s v="Regular"/>
    <x v="0"/>
    <x v="1"/>
    <x v="1"/>
    <x v="0"/>
    <x v="1"/>
    <x v="0"/>
    <x v="2"/>
    <x v="5"/>
    <n v="0"/>
    <n v="0"/>
    <n v="160.47399999999999"/>
    <n v="160.47399999999999"/>
    <n v="160.47399999999999"/>
    <n v="160.47399999999999"/>
    <n v="0"/>
    <x v="1"/>
    <n v="0"/>
    <n v="0"/>
    <n v="5"/>
    <n v="69"/>
    <n v="0"/>
    <n v="1518.97"/>
    <n v="359.33"/>
    <m/>
    <n v="1492.9858702094405"/>
    <n v="362.73600214515886"/>
    <n v="0"/>
    <n v="243755.19177999999"/>
    <n v="57663.122419999992"/>
    <n v="0"/>
    <n v="239585.41453598972"/>
    <n v="58209.697208242222"/>
  </r>
  <r>
    <s v="Sistema de Compensação"/>
    <x v="0"/>
    <x v="1"/>
    <x v="1"/>
    <x v="0"/>
    <x v="1"/>
    <x v="0"/>
    <x v="2"/>
    <x v="5"/>
    <n v="0"/>
    <n v="0"/>
    <n v="6.2309999999999999"/>
    <n v="6.2309999999999999"/>
    <n v="6.2309999999999999"/>
    <n v="6.2309999999999999"/>
    <n v="0"/>
    <x v="1"/>
    <n v="0"/>
    <n v="0"/>
    <n v="5"/>
    <n v="69"/>
    <n v="0"/>
    <n v="1518.97"/>
    <n v="359.33"/>
    <m/>
    <n v="1492.9858702094405"/>
    <n v="362.73600214515886"/>
    <n v="0"/>
    <n v="9464.7020699999994"/>
    <n v="2238.9852299999998"/>
    <n v="0"/>
    <n v="9302.794957275024"/>
    <n v="2260.2080293664849"/>
  </r>
  <r>
    <s v="Regular"/>
    <x v="0"/>
    <x v="1"/>
    <x v="1"/>
    <x v="0"/>
    <x v="1"/>
    <x v="0"/>
    <x v="2"/>
    <x v="6"/>
    <n v="0"/>
    <n v="0"/>
    <n v="133.67699999999999"/>
    <n v="133.67699999999999"/>
    <n v="133.67699999999999"/>
    <n v="133.67699999999999"/>
    <n v="0"/>
    <x v="1"/>
    <n v="0"/>
    <n v="0"/>
    <n v="5"/>
    <n v="69"/>
    <n v="0"/>
    <n v="1518.97"/>
    <n v="359.33"/>
    <m/>
    <n v="1492.9858702094405"/>
    <n v="362.73600214515886"/>
    <n v="0"/>
    <n v="203051.35269"/>
    <n v="48034.156409999996"/>
    <n v="0"/>
    <n v="199577.87217198737"/>
    <n v="48489.460558758401"/>
  </r>
  <r>
    <s v="Sistema de Compensação"/>
    <x v="0"/>
    <x v="1"/>
    <x v="1"/>
    <x v="0"/>
    <x v="1"/>
    <x v="0"/>
    <x v="2"/>
    <x v="6"/>
    <n v="0"/>
    <n v="0"/>
    <n v="5.6219999999999999"/>
    <n v="5.6219999999999999"/>
    <n v="5.6219999999999999"/>
    <n v="5.6219999999999999"/>
    <n v="0"/>
    <x v="1"/>
    <n v="0"/>
    <n v="0"/>
    <n v="5"/>
    <n v="69"/>
    <n v="0"/>
    <n v="1518.97"/>
    <n v="359.33"/>
    <m/>
    <n v="1492.9858702094405"/>
    <n v="362.73600214515886"/>
    <n v="0"/>
    <n v="8539.6493399999999"/>
    <n v="2020.1532599999998"/>
    <n v="0"/>
    <n v="8393.5665623174737"/>
    <n v="2039.301804060083"/>
  </r>
  <r>
    <s v="Regular"/>
    <x v="0"/>
    <x v="1"/>
    <x v="1"/>
    <x v="0"/>
    <x v="1"/>
    <x v="0"/>
    <x v="2"/>
    <x v="7"/>
    <n v="0"/>
    <n v="0"/>
    <n v="161.63999999999999"/>
    <n v="161.63999999999999"/>
    <n v="161.63999999999999"/>
    <n v="161.63999999999999"/>
    <n v="0"/>
    <x v="1"/>
    <n v="0"/>
    <n v="0"/>
    <n v="5"/>
    <n v="69"/>
    <n v="0"/>
    <n v="1518.97"/>
    <n v="359.33"/>
    <m/>
    <n v="1492.9858702094405"/>
    <n v="362.73600214515886"/>
    <n v="0"/>
    <n v="245526.31079999998"/>
    <n v="58082.10119999999"/>
    <n v="0"/>
    <n v="241326.23606065393"/>
    <n v="58632.647386743476"/>
  </r>
  <r>
    <s v="Sistema de Compensação"/>
    <x v="0"/>
    <x v="1"/>
    <x v="1"/>
    <x v="0"/>
    <x v="1"/>
    <x v="0"/>
    <x v="2"/>
    <x v="7"/>
    <n v="0"/>
    <n v="0"/>
    <n v="4.9580000000000002"/>
    <n v="4.9580000000000002"/>
    <n v="4.9580000000000002"/>
    <n v="4.9580000000000002"/>
    <n v="0"/>
    <x v="1"/>
    <n v="0"/>
    <n v="0"/>
    <n v="5"/>
    <n v="69"/>
    <n v="0"/>
    <n v="1518.97"/>
    <n v="359.33"/>
    <m/>
    <n v="1492.9858702094405"/>
    <n v="362.73600214515886"/>
    <n v="0"/>
    <n v="7531.0532600000006"/>
    <n v="1781.5581400000001"/>
    <n v="0"/>
    <n v="7402.2239444984061"/>
    <n v="1798.4450986356976"/>
  </r>
  <r>
    <s v="Regular"/>
    <x v="0"/>
    <x v="1"/>
    <x v="1"/>
    <x v="0"/>
    <x v="1"/>
    <x v="0"/>
    <x v="2"/>
    <x v="8"/>
    <n v="0"/>
    <n v="0"/>
    <n v="107.43899999999999"/>
    <n v="107.43899999999999"/>
    <n v="107.43899999999999"/>
    <n v="107.43899999999999"/>
    <n v="0"/>
    <x v="1"/>
    <n v="0"/>
    <n v="0"/>
    <n v="5"/>
    <n v="69"/>
    <n v="0"/>
    <n v="1518.97"/>
    <n v="359.33"/>
    <m/>
    <n v="1492.9858702094405"/>
    <n v="362.73600214515886"/>
    <n v="0"/>
    <n v="163196.61783"/>
    <n v="38606.055869999997"/>
    <n v="0"/>
    <n v="160404.90890943207"/>
    <n v="38971.993334473722"/>
  </r>
  <r>
    <s v="Sistema de Compensação"/>
    <x v="0"/>
    <x v="1"/>
    <x v="1"/>
    <x v="0"/>
    <x v="1"/>
    <x v="0"/>
    <x v="2"/>
    <x v="8"/>
    <n v="0"/>
    <n v="0"/>
    <n v="3.5990000000000002"/>
    <n v="3.5990000000000002"/>
    <n v="3.5990000000000002"/>
    <n v="3.5990000000000002"/>
    <n v="0"/>
    <x v="1"/>
    <n v="0"/>
    <n v="0"/>
    <n v="5"/>
    <n v="69"/>
    <n v="0"/>
    <n v="1518.97"/>
    <n v="359.33"/>
    <m/>
    <n v="1492.9858702094405"/>
    <n v="362.73600214515886"/>
    <n v="0"/>
    <n v="5466.7730300000003"/>
    <n v="1293.22867"/>
    <n v="0"/>
    <n v="5373.2561468837766"/>
    <n v="1305.4868717204267"/>
  </r>
  <r>
    <s v="Regular"/>
    <x v="0"/>
    <x v="1"/>
    <x v="1"/>
    <x v="0"/>
    <x v="1"/>
    <x v="0"/>
    <x v="2"/>
    <x v="9"/>
    <n v="0"/>
    <n v="0"/>
    <n v="113.12"/>
    <n v="113.12"/>
    <n v="113.12"/>
    <n v="113.12"/>
    <n v="0"/>
    <x v="1"/>
    <n v="0"/>
    <n v="0"/>
    <n v="5"/>
    <n v="69"/>
    <n v="0"/>
    <n v="1518.97"/>
    <n v="359.33"/>
    <m/>
    <n v="1492.9858702094405"/>
    <n v="362.73600214515886"/>
    <n v="0"/>
    <n v="171825.88640000002"/>
    <n v="40647.409599999999"/>
    <n v="0"/>
    <n v="168886.56163809192"/>
    <n v="41032.696562660371"/>
  </r>
  <r>
    <s v="Sistema de Compensação"/>
    <x v="0"/>
    <x v="1"/>
    <x v="1"/>
    <x v="0"/>
    <x v="1"/>
    <x v="0"/>
    <x v="2"/>
    <x v="9"/>
    <n v="0"/>
    <n v="0"/>
    <n v="3.3260000000000001"/>
    <n v="3.3260000000000001"/>
    <n v="3.3260000000000001"/>
    <n v="3.3260000000000001"/>
    <n v="0"/>
    <x v="1"/>
    <n v="0"/>
    <n v="0"/>
    <n v="5"/>
    <n v="69"/>
    <n v="0"/>
    <n v="1518.97"/>
    <n v="359.33"/>
    <m/>
    <n v="1492.9858702094405"/>
    <n v="362.73600214515886"/>
    <n v="0"/>
    <n v="5052.09422"/>
    <n v="1195.13158"/>
    <n v="0"/>
    <n v="4965.6710043165995"/>
    <n v="1206.4599431347983"/>
  </r>
  <r>
    <s v="Regular"/>
    <x v="0"/>
    <x v="1"/>
    <x v="1"/>
    <x v="0"/>
    <x v="1"/>
    <x v="0"/>
    <x v="2"/>
    <x v="10"/>
    <n v="0"/>
    <n v="0"/>
    <n v="100.00700000000001"/>
    <n v="100.00700000000001"/>
    <n v="100.00700000000001"/>
    <n v="100.00700000000001"/>
    <n v="0"/>
    <x v="1"/>
    <n v="0"/>
    <n v="0"/>
    <n v="5"/>
    <n v="69"/>
    <n v="0"/>
    <n v="1518.97"/>
    <n v="359.33"/>
    <m/>
    <n v="1492.9858702094405"/>
    <n v="362.73600214515886"/>
    <n v="0"/>
    <n v="151907.63279"/>
    <n v="35935.515310000003"/>
    <n v="0"/>
    <n v="149309.03792203552"/>
    <n v="36276.139366530908"/>
  </r>
  <r>
    <s v="Sistema de Compensação"/>
    <x v="0"/>
    <x v="1"/>
    <x v="1"/>
    <x v="0"/>
    <x v="1"/>
    <x v="0"/>
    <x v="2"/>
    <x v="10"/>
    <n v="0"/>
    <n v="0"/>
    <n v="3.3439999999999999"/>
    <n v="3.3439999999999999"/>
    <n v="3.3439999999999999"/>
    <n v="3.3439999999999999"/>
    <n v="0"/>
    <x v="1"/>
    <n v="0"/>
    <n v="0"/>
    <n v="5"/>
    <n v="69"/>
    <n v="0"/>
    <n v="1518.97"/>
    <n v="359.33"/>
    <m/>
    <n v="1492.9858702094405"/>
    <n v="362.73600214515886"/>
    <n v="0"/>
    <n v="5079.4356799999996"/>
    <n v="1201.59952"/>
    <n v="0"/>
    <n v="4992.5447499803686"/>
    <n v="1212.9891911734112"/>
  </r>
  <r>
    <s v="PROJETADO"/>
    <x v="0"/>
    <x v="1"/>
    <x v="1"/>
    <x v="0"/>
    <x v="1"/>
    <x v="0"/>
    <x v="2"/>
    <x v="11"/>
    <n v="0"/>
    <n v="0"/>
    <n v="100.00700000000001"/>
    <n v="100.00700000000001"/>
    <n v="100.00700000000001"/>
    <n v="100.00700000000001"/>
    <n v="0"/>
    <x v="1"/>
    <n v="0"/>
    <n v="0"/>
    <n v="5"/>
    <n v="69"/>
    <n v="0"/>
    <n v="1518.97"/>
    <n v="359.33"/>
    <m/>
    <n v="1492.9858702094405"/>
    <n v="362.73600214515886"/>
    <n v="0"/>
    <n v="151907.63279"/>
    <n v="35935.515310000003"/>
    <n v="0"/>
    <n v="149309.03792203552"/>
    <n v="36276.139366530908"/>
  </r>
  <r>
    <s v="PROJETADO"/>
    <x v="0"/>
    <x v="1"/>
    <x v="1"/>
    <x v="0"/>
    <x v="1"/>
    <x v="0"/>
    <x v="2"/>
    <x v="11"/>
    <n v="0"/>
    <n v="0"/>
    <n v="3.3439999999999999"/>
    <n v="3.3439999999999999"/>
    <n v="3.3439999999999999"/>
    <n v="3.3439999999999999"/>
    <n v="0"/>
    <x v="1"/>
    <n v="0"/>
    <n v="0"/>
    <n v="5"/>
    <n v="69"/>
    <n v="0"/>
    <n v="1518.97"/>
    <n v="359.33"/>
    <m/>
    <n v="1492.9858702094405"/>
    <n v="362.73600214515886"/>
    <n v="0"/>
    <n v="5079.4356799999996"/>
    <n v="1201.59952"/>
    <n v="0"/>
    <n v="4992.5447499803686"/>
    <n v="1212.9891911734112"/>
  </r>
  <r>
    <s v="Regular"/>
    <x v="0"/>
    <x v="1"/>
    <x v="0"/>
    <x v="0"/>
    <x v="0"/>
    <x v="0"/>
    <x v="0"/>
    <x v="0"/>
    <n v="0"/>
    <n v="0"/>
    <n v="2685.5039999999999"/>
    <n v="2685.5039999999999"/>
    <n v="0"/>
    <n v="0"/>
    <n v="0"/>
    <x v="0"/>
    <n v="0"/>
    <n v="0"/>
    <n v="18"/>
    <n v="0"/>
    <n v="0"/>
    <n v="73.19"/>
    <n v="0"/>
    <m/>
    <n v="117.83242038312405"/>
    <m/>
    <n v="0"/>
    <n v="196552.03775999998"/>
    <n v="0"/>
    <n v="0"/>
    <n v="316439.43626856117"/>
    <n v="0"/>
  </r>
  <r>
    <s v="Regular"/>
    <x v="0"/>
    <x v="1"/>
    <x v="0"/>
    <x v="0"/>
    <x v="0"/>
    <x v="0"/>
    <x v="0"/>
    <x v="1"/>
    <n v="0"/>
    <n v="0"/>
    <n v="2733.4639999999999"/>
    <n v="2733.4639999999999"/>
    <n v="0"/>
    <n v="0"/>
    <n v="0"/>
    <x v="0"/>
    <n v="0"/>
    <n v="0"/>
    <n v="18"/>
    <n v="0"/>
    <n v="0"/>
    <n v="73.19"/>
    <n v="0"/>
    <m/>
    <n v="117.83242038312405"/>
    <m/>
    <n v="0"/>
    <n v="200062.23015999998"/>
    <n v="0"/>
    <n v="0"/>
    <n v="322090.67915013578"/>
    <n v="0"/>
  </r>
  <r>
    <s v="Regular"/>
    <x v="0"/>
    <x v="1"/>
    <x v="0"/>
    <x v="0"/>
    <x v="0"/>
    <x v="0"/>
    <x v="0"/>
    <x v="2"/>
    <n v="0"/>
    <n v="0"/>
    <n v="2712.8209999999999"/>
    <n v="2712.8209999999999"/>
    <n v="0"/>
    <n v="0"/>
    <n v="0"/>
    <x v="0"/>
    <n v="0"/>
    <n v="0"/>
    <n v="18"/>
    <n v="0"/>
    <n v="0"/>
    <n v="73.19"/>
    <n v="0"/>
    <m/>
    <n v="117.83242038312405"/>
    <m/>
    <n v="0"/>
    <n v="198551.36898999999"/>
    <n v="0"/>
    <n v="0"/>
    <n v="319658.26449616696"/>
    <n v="0"/>
  </r>
  <r>
    <s v="Regular"/>
    <x v="0"/>
    <x v="1"/>
    <x v="0"/>
    <x v="0"/>
    <x v="0"/>
    <x v="0"/>
    <x v="0"/>
    <x v="3"/>
    <n v="0"/>
    <n v="0"/>
    <n v="2704.5920000000001"/>
    <n v="2704.5920000000001"/>
    <n v="0"/>
    <n v="0"/>
    <n v="0"/>
    <x v="0"/>
    <n v="0"/>
    <n v="0"/>
    <n v="18"/>
    <n v="0"/>
    <n v="0"/>
    <n v="73.19"/>
    <n v="0"/>
    <m/>
    <n v="117.83242038312405"/>
    <m/>
    <n v="0"/>
    <n v="197949.08848000001"/>
    <n v="0"/>
    <n v="0"/>
    <n v="318688.62150883424"/>
    <n v="0"/>
  </r>
  <r>
    <s v="Regular"/>
    <x v="0"/>
    <x v="1"/>
    <x v="0"/>
    <x v="0"/>
    <x v="0"/>
    <x v="0"/>
    <x v="0"/>
    <x v="4"/>
    <n v="0"/>
    <n v="0"/>
    <n v="2656.8690000000001"/>
    <n v="2656.8690000000001"/>
    <n v="0"/>
    <n v="0"/>
    <n v="0"/>
    <x v="0"/>
    <n v="0"/>
    <n v="0"/>
    <n v="18"/>
    <n v="0"/>
    <n v="0"/>
    <n v="73.19"/>
    <n v="0"/>
    <m/>
    <n v="117.83242038312405"/>
    <m/>
    <n v="0"/>
    <n v="194456.24210999999"/>
    <n v="0"/>
    <n v="0"/>
    <n v="313065.30491089041"/>
    <n v="0"/>
  </r>
  <r>
    <s v="Regular"/>
    <x v="0"/>
    <x v="1"/>
    <x v="0"/>
    <x v="0"/>
    <x v="0"/>
    <x v="0"/>
    <x v="0"/>
    <x v="5"/>
    <n v="0"/>
    <n v="0"/>
    <n v="2634.998"/>
    <n v="2634.998"/>
    <n v="0"/>
    <n v="0"/>
    <n v="0"/>
    <x v="0"/>
    <n v="0"/>
    <n v="0"/>
    <n v="18"/>
    <n v="0"/>
    <n v="0"/>
    <n v="73.19"/>
    <n v="0"/>
    <m/>
    <n v="117.83242038312405"/>
    <m/>
    <n v="0"/>
    <n v="192855.50362"/>
    <n v="0"/>
    <n v="0"/>
    <n v="310488.19204469112"/>
    <n v="0"/>
  </r>
  <r>
    <s v="Regular"/>
    <x v="0"/>
    <x v="1"/>
    <x v="0"/>
    <x v="0"/>
    <x v="0"/>
    <x v="0"/>
    <x v="0"/>
    <x v="6"/>
    <n v="0"/>
    <n v="0"/>
    <n v="2436.9760000000001"/>
    <n v="2436.9760000000001"/>
    <n v="0"/>
    <n v="0"/>
    <n v="0"/>
    <x v="0"/>
    <n v="0"/>
    <n v="0"/>
    <n v="18"/>
    <n v="0"/>
    <n v="0"/>
    <n v="73.19"/>
    <n v="0"/>
    <m/>
    <n v="117.83242038312405"/>
    <m/>
    <n v="0"/>
    <n v="178362.27343999999"/>
    <n v="0"/>
    <n v="0"/>
    <n v="287154.78049558413"/>
    <n v="0"/>
  </r>
  <r>
    <s v="Regular"/>
    <x v="0"/>
    <x v="1"/>
    <x v="0"/>
    <x v="0"/>
    <x v="0"/>
    <x v="0"/>
    <x v="0"/>
    <x v="7"/>
    <n v="0"/>
    <n v="0"/>
    <n v="2841.8339999999998"/>
    <n v="2841.8339999999998"/>
    <n v="0"/>
    <n v="0"/>
    <n v="0"/>
    <x v="0"/>
    <n v="0"/>
    <n v="0"/>
    <n v="18"/>
    <n v="0"/>
    <n v="0"/>
    <n v="73.19"/>
    <n v="0"/>
    <m/>
    <n v="117.83242038312405"/>
    <m/>
    <n v="0"/>
    <n v="207993.83045999997"/>
    <n v="0"/>
    <n v="0"/>
    <n v="334860.17854705494"/>
    <n v="0"/>
  </r>
  <r>
    <s v="Regular"/>
    <x v="0"/>
    <x v="1"/>
    <x v="0"/>
    <x v="0"/>
    <x v="0"/>
    <x v="0"/>
    <x v="0"/>
    <x v="8"/>
    <n v="0"/>
    <n v="0"/>
    <n v="2543.5279999999998"/>
    <n v="2543.5279999999998"/>
    <n v="0"/>
    <n v="0"/>
    <n v="0"/>
    <x v="0"/>
    <n v="0"/>
    <n v="0"/>
    <n v="18"/>
    <n v="0"/>
    <n v="0"/>
    <n v="73.19"/>
    <n v="0"/>
    <m/>
    <n v="117.83242038312405"/>
    <m/>
    <n v="0"/>
    <n v="186160.81431999998"/>
    <n v="0"/>
    <n v="0"/>
    <n v="299710.06055224669"/>
    <n v="0"/>
  </r>
  <r>
    <s v="Regular"/>
    <x v="0"/>
    <x v="1"/>
    <x v="0"/>
    <x v="0"/>
    <x v="0"/>
    <x v="0"/>
    <x v="0"/>
    <x v="9"/>
    <n v="0"/>
    <n v="0"/>
    <n v="2743.3420000000001"/>
    <n v="2743.3420000000001"/>
    <n v="0"/>
    <n v="0"/>
    <n v="0"/>
    <x v="0"/>
    <n v="0"/>
    <n v="0"/>
    <n v="18"/>
    <n v="0"/>
    <n v="0"/>
    <n v="73.19"/>
    <n v="0"/>
    <m/>
    <n v="117.83242038312405"/>
    <m/>
    <n v="0"/>
    <n v="200785.20097999999"/>
    <n v="0"/>
    <n v="0"/>
    <n v="323254.62779868027"/>
    <n v="0"/>
  </r>
  <r>
    <s v="Regular"/>
    <x v="0"/>
    <x v="1"/>
    <x v="0"/>
    <x v="0"/>
    <x v="0"/>
    <x v="0"/>
    <x v="0"/>
    <x v="10"/>
    <n v="0"/>
    <n v="0"/>
    <n v="2720.0070000000001"/>
    <n v="2720.0070000000001"/>
    <n v="0"/>
    <n v="0"/>
    <n v="0"/>
    <x v="0"/>
    <n v="0"/>
    <n v="0"/>
    <n v="18"/>
    <n v="0"/>
    <n v="0"/>
    <n v="73.19"/>
    <n v="0"/>
    <m/>
    <n v="117.83242038312405"/>
    <m/>
    <n v="0"/>
    <n v="199077.31232999999"/>
    <n v="0"/>
    <n v="0"/>
    <n v="320505.00826904009"/>
    <n v="0"/>
  </r>
  <r>
    <s v="PROJETADO"/>
    <x v="0"/>
    <x v="1"/>
    <x v="0"/>
    <x v="0"/>
    <x v="0"/>
    <x v="0"/>
    <x v="0"/>
    <x v="11"/>
    <n v="0"/>
    <n v="0"/>
    <n v="2720.0070000000001"/>
    <n v="2720.0070000000001"/>
    <n v="0"/>
    <n v="0"/>
    <n v="0"/>
    <x v="0"/>
    <n v="0"/>
    <n v="0"/>
    <n v="18"/>
    <n v="0"/>
    <n v="0"/>
    <n v="73.19"/>
    <n v="0"/>
    <m/>
    <n v="117.83242038312405"/>
    <m/>
    <n v="0"/>
    <n v="199077.31232999999"/>
    <n v="0"/>
    <n v="0"/>
    <n v="320505.00826904009"/>
    <n v="0"/>
  </r>
  <r>
    <s v="Regular"/>
    <x v="0"/>
    <x v="1"/>
    <x v="0"/>
    <x v="0"/>
    <x v="0"/>
    <x v="0"/>
    <x v="1"/>
    <x v="0"/>
    <n v="10322"/>
    <n v="4424.0092000000004"/>
    <n v="0"/>
    <n v="0"/>
    <n v="0"/>
    <n v="0"/>
    <n v="7"/>
    <x v="0"/>
    <n v="0"/>
    <n v="24"/>
    <n v="0"/>
    <n v="0"/>
    <n v="22.9"/>
    <n v="0"/>
    <n v="0"/>
    <n v="21.733731888847863"/>
    <m/>
    <m/>
    <n v="101309.81068000001"/>
    <n v="0"/>
    <n v="0"/>
    <n v="96150.229826596333"/>
    <n v="0"/>
    <n v="0"/>
  </r>
  <r>
    <s v="Regular"/>
    <x v="0"/>
    <x v="1"/>
    <x v="0"/>
    <x v="0"/>
    <x v="0"/>
    <x v="0"/>
    <x v="1"/>
    <x v="1"/>
    <n v="10306"/>
    <n v="4902.5641999999998"/>
    <n v="0"/>
    <n v="0"/>
    <n v="0"/>
    <n v="0"/>
    <n v="7"/>
    <x v="0"/>
    <n v="0"/>
    <n v="24"/>
    <n v="0"/>
    <n v="0"/>
    <n v="22.9"/>
    <n v="0"/>
    <n v="0"/>
    <n v="21.733731888847863"/>
    <m/>
    <m/>
    <n v="112268.72017999999"/>
    <n v="0"/>
    <n v="0"/>
    <n v="106551.01589066391"/>
    <n v="0"/>
    <n v="0"/>
  </r>
  <r>
    <s v="Regular"/>
    <x v="0"/>
    <x v="1"/>
    <x v="0"/>
    <x v="0"/>
    <x v="0"/>
    <x v="0"/>
    <x v="1"/>
    <x v="2"/>
    <n v="10319"/>
    <n v="4909.7802000000001"/>
    <n v="0"/>
    <n v="0"/>
    <n v="0"/>
    <n v="0"/>
    <n v="7"/>
    <x v="0"/>
    <n v="0"/>
    <n v="24"/>
    <n v="0"/>
    <n v="0"/>
    <n v="22.9"/>
    <n v="0"/>
    <n v="0"/>
    <n v="21.733731888847863"/>
    <m/>
    <m/>
    <n v="112433.96657999999"/>
    <n v="0"/>
    <n v="0"/>
    <n v="106707.84649997385"/>
    <n v="0"/>
    <n v="0"/>
  </r>
  <r>
    <s v="Regular"/>
    <x v="0"/>
    <x v="1"/>
    <x v="0"/>
    <x v="0"/>
    <x v="0"/>
    <x v="0"/>
    <x v="1"/>
    <x v="3"/>
    <n v="10344"/>
    <n v="4921.6751999999997"/>
    <n v="0"/>
    <n v="0"/>
    <n v="0"/>
    <n v="0"/>
    <n v="7"/>
    <x v="0"/>
    <n v="0"/>
    <n v="24"/>
    <n v="0"/>
    <n v="0"/>
    <n v="22.9"/>
    <n v="0"/>
    <n v="0"/>
    <n v="21.733731888847863"/>
    <m/>
    <m/>
    <n v="112706.36207999999"/>
    <n v="0"/>
    <n v="0"/>
    <n v="106966.36924079168"/>
    <n v="0"/>
    <n v="0"/>
  </r>
  <r>
    <s v="Regular"/>
    <x v="0"/>
    <x v="1"/>
    <x v="0"/>
    <x v="0"/>
    <x v="0"/>
    <x v="0"/>
    <x v="1"/>
    <x v="4"/>
    <n v="10347"/>
    <n v="4923.1026000000002"/>
    <n v="0"/>
    <n v="0"/>
    <n v="0"/>
    <n v="0"/>
    <n v="7"/>
    <x v="0"/>
    <n v="0"/>
    <n v="24"/>
    <n v="0"/>
    <n v="0"/>
    <n v="22.9"/>
    <n v="0"/>
    <n v="0"/>
    <n v="21.733731888847863"/>
    <m/>
    <m/>
    <n v="112739.04953999999"/>
    <n v="0"/>
    <n v="0"/>
    <n v="106997.39196968984"/>
    <n v="0"/>
    <n v="0"/>
  </r>
  <r>
    <s v="Regular"/>
    <x v="0"/>
    <x v="1"/>
    <x v="0"/>
    <x v="0"/>
    <x v="0"/>
    <x v="0"/>
    <x v="1"/>
    <x v="5"/>
    <n v="10342"/>
    <n v="4920.7236000000003"/>
    <n v="0"/>
    <n v="0"/>
    <n v="0"/>
    <n v="0"/>
    <n v="7"/>
    <x v="0"/>
    <n v="0"/>
    <n v="24"/>
    <n v="0"/>
    <n v="0"/>
    <n v="22.9"/>
    <n v="0"/>
    <n v="0"/>
    <n v="21.733731888847863"/>
    <m/>
    <m/>
    <n v="112684.57044"/>
    <n v="0"/>
    <n v="0"/>
    <n v="106945.68742152627"/>
    <n v="0"/>
    <n v="0"/>
  </r>
  <r>
    <s v="Regular"/>
    <x v="0"/>
    <x v="1"/>
    <x v="0"/>
    <x v="0"/>
    <x v="0"/>
    <x v="0"/>
    <x v="1"/>
    <x v="6"/>
    <n v="10695"/>
    <n v="5097.2370000000001"/>
    <n v="0"/>
    <n v="0"/>
    <n v="0"/>
    <n v="0"/>
    <n v="7"/>
    <x v="0"/>
    <n v="0"/>
    <n v="24"/>
    <n v="0"/>
    <n v="0"/>
    <n v="22.9"/>
    <n v="0"/>
    <n v="0"/>
    <n v="21.733731888847863"/>
    <m/>
    <m/>
    <n v="116726.7273"/>
    <n v="0"/>
    <n v="0"/>
    <n v="110781.98233191522"/>
    <n v="0"/>
    <n v="0"/>
  </r>
  <r>
    <s v="Regular"/>
    <x v="0"/>
    <x v="1"/>
    <x v="0"/>
    <x v="0"/>
    <x v="0"/>
    <x v="0"/>
    <x v="1"/>
    <x v="7"/>
    <n v="10912"/>
    <n v="5206.1152000000002"/>
    <n v="0"/>
    <n v="0"/>
    <n v="0"/>
    <n v="0"/>
    <n v="7"/>
    <x v="0"/>
    <n v="0"/>
    <n v="24"/>
    <n v="0"/>
    <n v="0"/>
    <n v="22.9"/>
    <n v="0"/>
    <n v="0"/>
    <n v="21.733731888847863"/>
    <m/>
    <m/>
    <n v="119220.03808"/>
    <n v="0"/>
    <n v="0"/>
    <n v="113148.31193925558"/>
    <n v="0"/>
    <n v="0"/>
  </r>
  <r>
    <s v="Regular"/>
    <x v="0"/>
    <x v="1"/>
    <x v="0"/>
    <x v="0"/>
    <x v="0"/>
    <x v="0"/>
    <x v="1"/>
    <x v="8"/>
    <n v="11030"/>
    <n v="5264.6189999999997"/>
    <n v="0"/>
    <n v="0"/>
    <n v="0"/>
    <n v="0"/>
    <n v="7"/>
    <x v="0"/>
    <n v="0"/>
    <n v="24"/>
    <n v="0"/>
    <n v="0"/>
    <n v="22.9"/>
    <n v="0"/>
    <n v="0"/>
    <n v="21.733731888847863"/>
    <m/>
    <m/>
    <n v="120559.77509999998"/>
    <n v="0"/>
    <n v="0"/>
    <n v="114419.81784293434"/>
    <n v="0"/>
    <n v="0"/>
  </r>
  <r>
    <s v="Regular"/>
    <x v="0"/>
    <x v="1"/>
    <x v="0"/>
    <x v="0"/>
    <x v="0"/>
    <x v="0"/>
    <x v="1"/>
    <x v="9"/>
    <n v="10935"/>
    <n v="5217.0884999999998"/>
    <n v="0"/>
    <n v="0"/>
    <n v="0"/>
    <n v="0"/>
    <n v="7"/>
    <x v="0"/>
    <n v="0"/>
    <n v="24"/>
    <n v="0"/>
    <n v="0"/>
    <n v="22.9"/>
    <n v="0"/>
    <n v="0"/>
    <n v="21.733731888847863"/>
    <m/>
    <m/>
    <n v="119471.32664999999"/>
    <n v="0"/>
    <n v="0"/>
    <n v="113386.80269939147"/>
    <n v="0"/>
    <n v="0"/>
  </r>
  <r>
    <s v="Regular"/>
    <x v="0"/>
    <x v="1"/>
    <x v="0"/>
    <x v="0"/>
    <x v="0"/>
    <x v="0"/>
    <x v="1"/>
    <x v="10"/>
    <n v="10989"/>
    <n v="5243.9507999999996"/>
    <n v="0"/>
    <n v="0"/>
    <n v="0"/>
    <n v="0"/>
    <n v="7"/>
    <x v="0"/>
    <n v="0"/>
    <n v="24"/>
    <n v="0"/>
    <n v="0"/>
    <n v="22.9"/>
    <n v="0"/>
    <n v="0"/>
    <n v="21.733731888847863"/>
    <m/>
    <m/>
    <n v="120086.47331999999"/>
    <n v="0"/>
    <n v="0"/>
    <n v="113970.62072550926"/>
    <n v="0"/>
    <n v="0"/>
  </r>
  <r>
    <s v="PROJETADO"/>
    <x v="0"/>
    <x v="1"/>
    <x v="0"/>
    <x v="0"/>
    <x v="0"/>
    <x v="0"/>
    <x v="1"/>
    <x v="11"/>
    <n v="10989"/>
    <n v="5243.9507999999996"/>
    <n v="0"/>
    <n v="0"/>
    <n v="0"/>
    <n v="0"/>
    <n v="7"/>
    <x v="0"/>
    <n v="0"/>
    <n v="24"/>
    <n v="0"/>
    <n v="0"/>
    <n v="22.9"/>
    <n v="0"/>
    <n v="0"/>
    <n v="21.733731888847863"/>
    <m/>
    <m/>
    <n v="120086.47331999999"/>
    <n v="0"/>
    <n v="0"/>
    <n v="113970.62072550926"/>
    <n v="0"/>
    <n v="0"/>
  </r>
  <r>
    <s v="Regular"/>
    <x v="0"/>
    <x v="1"/>
    <x v="0"/>
    <x v="0"/>
    <x v="0"/>
    <x v="0"/>
    <x v="2"/>
    <x v="0"/>
    <n v="0"/>
    <n v="0"/>
    <n v="221.56700000000001"/>
    <n v="94.963616200000004"/>
    <n v="0"/>
    <n v="0"/>
    <n v="0"/>
    <x v="0"/>
    <n v="0"/>
    <n v="0"/>
    <n v="5"/>
    <n v="0"/>
    <n v="0"/>
    <n v="1518.97"/>
    <n v="0"/>
    <m/>
    <n v="1492.9858702094405"/>
    <m/>
    <n v="0"/>
    <n v="144246.88409931402"/>
    <n v="0"/>
    <n v="0"/>
    <n v="141779.33717059233"/>
    <n v="0"/>
  </r>
  <r>
    <s v="Regular"/>
    <x v="0"/>
    <x v="1"/>
    <x v="0"/>
    <x v="0"/>
    <x v="0"/>
    <x v="0"/>
    <x v="2"/>
    <x v="1"/>
    <n v="0"/>
    <n v="0"/>
    <n v="233.02"/>
    <n v="116.183772"/>
    <n v="0"/>
    <n v="0"/>
    <n v="0"/>
    <x v="0"/>
    <n v="0"/>
    <n v="0"/>
    <n v="5"/>
    <n v="0"/>
    <n v="0"/>
    <n v="1518.97"/>
    <n v="0"/>
    <m/>
    <n v="1492.9858702094405"/>
    <m/>
    <n v="0"/>
    <n v="176479.66415484002"/>
    <n v="0"/>
    <n v="0"/>
    <n v="173460.72994363523"/>
    <n v="0"/>
  </r>
  <r>
    <s v="Regular"/>
    <x v="0"/>
    <x v="1"/>
    <x v="0"/>
    <x v="0"/>
    <x v="0"/>
    <x v="0"/>
    <x v="2"/>
    <x v="2"/>
    <n v="0"/>
    <n v="0"/>
    <n v="224.77099999999999"/>
    <n v="112.1157748"/>
    <n v="0"/>
    <n v="0"/>
    <n v="0"/>
    <x v="0"/>
    <n v="0"/>
    <n v="0"/>
    <n v="5"/>
    <n v="0"/>
    <n v="0"/>
    <n v="1518.97"/>
    <n v="0"/>
    <m/>
    <n v="1492.9858702094405"/>
    <m/>
    <n v="0"/>
    <n v="170300.49844795599"/>
    <n v="0"/>
    <n v="0"/>
    <n v="167387.26760398364"/>
    <n v="0"/>
  </r>
  <r>
    <s v="Regular"/>
    <x v="0"/>
    <x v="1"/>
    <x v="0"/>
    <x v="0"/>
    <x v="0"/>
    <x v="0"/>
    <x v="2"/>
    <x v="3"/>
    <n v="0"/>
    <n v="0"/>
    <n v="227.09100000000001"/>
    <n v="113.74988190000001"/>
    <n v="0"/>
    <n v="0"/>
    <n v="0"/>
    <x v="0"/>
    <n v="0"/>
    <n v="0"/>
    <n v="5"/>
    <n v="0"/>
    <n v="0"/>
    <n v="1518.97"/>
    <n v="0"/>
    <m/>
    <n v="1492.9858702094405"/>
    <m/>
    <n v="0"/>
    <n v="172782.658109643"/>
    <n v="0"/>
    <n v="0"/>
    <n v="169826.96641469258"/>
    <n v="0"/>
  </r>
  <r>
    <s v="Regular"/>
    <x v="0"/>
    <x v="1"/>
    <x v="0"/>
    <x v="0"/>
    <x v="0"/>
    <x v="0"/>
    <x v="2"/>
    <x v="4"/>
    <n v="0"/>
    <n v="0"/>
    <n v="245.57499999999999"/>
    <n v="123.27865"/>
    <n v="0"/>
    <n v="0"/>
    <n v="0"/>
    <x v="0"/>
    <n v="0"/>
    <n v="0"/>
    <n v="5"/>
    <n v="0"/>
    <n v="0"/>
    <n v="1518.97"/>
    <n v="0"/>
    <m/>
    <n v="1492.9858702094405"/>
    <m/>
    <n v="0"/>
    <n v="187256.57099050001"/>
    <n v="0"/>
    <n v="0"/>
    <n v="184053.28254849504"/>
    <n v="0"/>
  </r>
  <r>
    <s v="Regular"/>
    <x v="0"/>
    <x v="1"/>
    <x v="0"/>
    <x v="0"/>
    <x v="0"/>
    <x v="0"/>
    <x v="2"/>
    <x v="5"/>
    <n v="0"/>
    <n v="0"/>
    <n v="228.524"/>
    <n v="114.719048"/>
    <n v="0"/>
    <n v="0"/>
    <n v="0"/>
    <x v="0"/>
    <n v="0"/>
    <n v="0"/>
    <n v="5"/>
    <n v="0"/>
    <n v="0"/>
    <n v="1518.97"/>
    <n v="0"/>
    <m/>
    <n v="1492.9858702094405"/>
    <m/>
    <n v="0"/>
    <n v="174254.79234056"/>
    <n v="0"/>
    <n v="0"/>
    <n v="171273.91770787857"/>
    <n v="0"/>
  </r>
  <r>
    <s v="Regular"/>
    <x v="0"/>
    <x v="1"/>
    <x v="0"/>
    <x v="0"/>
    <x v="0"/>
    <x v="0"/>
    <x v="2"/>
    <x v="6"/>
    <n v="0"/>
    <n v="0"/>
    <n v="212.62799999999999"/>
    <n v="107.37714"/>
    <n v="0"/>
    <n v="0"/>
    <n v="0"/>
    <x v="0"/>
    <n v="0"/>
    <n v="0"/>
    <n v="5"/>
    <n v="0"/>
    <n v="0"/>
    <n v="1518.97"/>
    <n v="0"/>
    <m/>
    <n v="1492.9858702094405"/>
    <m/>
    <n v="0"/>
    <n v="163102.65434579999"/>
    <n v="0"/>
    <n v="0"/>
    <n v="160312.5528035009"/>
    <n v="0"/>
  </r>
  <r>
    <s v="Regular"/>
    <x v="0"/>
    <x v="1"/>
    <x v="0"/>
    <x v="0"/>
    <x v="0"/>
    <x v="0"/>
    <x v="2"/>
    <x v="7"/>
    <n v="0"/>
    <n v="0"/>
    <n v="228.40799999999999"/>
    <n v="113.35889040000001"/>
    <n v="0"/>
    <n v="0"/>
    <n v="0"/>
    <x v="0"/>
    <n v="0"/>
    <n v="0"/>
    <n v="5"/>
    <n v="0"/>
    <n v="0"/>
    <n v="1518.97"/>
    <n v="0"/>
    <m/>
    <n v="1492.9858702094405"/>
    <m/>
    <n v="0"/>
    <n v="172188.75375088802"/>
    <n v="0"/>
    <n v="0"/>
    <n v="169243.22162982059"/>
    <n v="0"/>
  </r>
  <r>
    <s v="Regular"/>
    <x v="0"/>
    <x v="1"/>
    <x v="0"/>
    <x v="0"/>
    <x v="0"/>
    <x v="0"/>
    <x v="2"/>
    <x v="8"/>
    <n v="0"/>
    <n v="0"/>
    <n v="197.779"/>
    <n v="100.45195409999999"/>
    <n v="0"/>
    <n v="0"/>
    <n v="0"/>
    <x v="0"/>
    <n v="0"/>
    <n v="0"/>
    <n v="5"/>
    <n v="0"/>
    <n v="0"/>
    <n v="1518.97"/>
    <n v="0"/>
    <m/>
    <n v="1492.9858702094405"/>
    <m/>
    <n v="0"/>
    <n v="152583.504719277"/>
    <n v="0"/>
    <n v="0"/>
    <n v="149973.34810622726"/>
    <n v="0"/>
  </r>
  <r>
    <s v="Regular"/>
    <x v="0"/>
    <x v="1"/>
    <x v="0"/>
    <x v="0"/>
    <x v="0"/>
    <x v="0"/>
    <x v="2"/>
    <x v="9"/>
    <n v="0"/>
    <n v="0"/>
    <n v="220.24"/>
    <n v="110.802744"/>
    <n v="0"/>
    <n v="0"/>
    <n v="0"/>
    <x v="0"/>
    <n v="0"/>
    <n v="0"/>
    <n v="5"/>
    <n v="0"/>
    <n v="0"/>
    <n v="1518.97"/>
    <n v="0"/>
    <m/>
    <n v="1492.9858702094405"/>
    <m/>
    <n v="0"/>
    <n v="168306.04405368"/>
    <n v="0"/>
    <n v="0"/>
    <n v="165426.93117243386"/>
    <n v="0"/>
  </r>
  <r>
    <s v="Regular"/>
    <x v="0"/>
    <x v="1"/>
    <x v="0"/>
    <x v="0"/>
    <x v="0"/>
    <x v="0"/>
    <x v="2"/>
    <x v="10"/>
    <n v="0"/>
    <n v="0"/>
    <n v="210.67"/>
    <n v="105.566737"/>
    <n v="0"/>
    <n v="0"/>
    <n v="0"/>
    <x v="0"/>
    <n v="0"/>
    <n v="0"/>
    <n v="5"/>
    <n v="0"/>
    <n v="0"/>
    <n v="1518.97"/>
    <n v="0"/>
    <m/>
    <n v="1492.9858702094405"/>
    <m/>
    <n v="0"/>
    <n v="160352.70650089"/>
    <n v="0"/>
    <n v="0"/>
    <n v="157609.64670511615"/>
    <n v="0"/>
  </r>
  <r>
    <s v="PROJETADO"/>
    <x v="0"/>
    <x v="1"/>
    <x v="0"/>
    <x v="0"/>
    <x v="0"/>
    <x v="0"/>
    <x v="2"/>
    <x v="11"/>
    <n v="0"/>
    <n v="0"/>
    <n v="210.67"/>
    <n v="105.566737"/>
    <n v="0"/>
    <n v="0"/>
    <n v="0"/>
    <x v="0"/>
    <n v="0"/>
    <n v="0"/>
    <n v="5"/>
    <n v="0"/>
    <n v="0"/>
    <n v="1518.97"/>
    <n v="0"/>
    <m/>
    <n v="1492.9858702094405"/>
    <m/>
    <n v="0"/>
    <n v="160352.70650089"/>
    <n v="0"/>
    <n v="0"/>
    <n v="157609.64670511615"/>
    <n v="0"/>
  </r>
  <r>
    <s v="Regular"/>
    <x v="0"/>
    <x v="1"/>
    <x v="0"/>
    <x v="0"/>
    <x v="1"/>
    <x v="0"/>
    <x v="0"/>
    <x v="0"/>
    <n v="0"/>
    <n v="0"/>
    <n v="3639.2730000000001"/>
    <n v="3639.2730000000001"/>
    <n v="3639.2730000000001"/>
    <n v="3639.2730000000001"/>
    <n v="0"/>
    <x v="1"/>
    <n v="0"/>
    <n v="0"/>
    <n v="18"/>
    <n v="73"/>
    <n v="0"/>
    <n v="73.19"/>
    <n v="211.71"/>
    <m/>
    <n v="117.83242038312405"/>
    <n v="222.99901551132911"/>
    <n v="0"/>
    <n v="266358.39087"/>
    <n v="770470.48683000007"/>
    <n v="0"/>
    <n v="428824.346024953"/>
    <n v="811554.29617696127"/>
  </r>
  <r>
    <s v="Sistema de Compensação"/>
    <x v="0"/>
    <x v="1"/>
    <x v="0"/>
    <x v="0"/>
    <x v="1"/>
    <x v="0"/>
    <x v="0"/>
    <x v="0"/>
    <n v="0"/>
    <n v="0"/>
    <n v="236.98699999999999"/>
    <n v="236.98699999999999"/>
    <n v="236.98699999999999"/>
    <n v="236.98699999999999"/>
    <n v="0"/>
    <x v="1"/>
    <n v="0"/>
    <n v="0"/>
    <n v="18"/>
    <n v="73"/>
    <n v="0"/>
    <n v="73.19"/>
    <n v="211.71"/>
    <m/>
    <n v="117.83242038312405"/>
    <n v="222.99901551132911"/>
    <n v="0"/>
    <n v="17345.078529999999"/>
    <n v="50172.517769999999"/>
    <n v="0"/>
    <n v="27924.751809335419"/>
    <n v="52847.867688983351"/>
  </r>
  <r>
    <s v="Regular"/>
    <x v="0"/>
    <x v="1"/>
    <x v="0"/>
    <x v="0"/>
    <x v="1"/>
    <x v="0"/>
    <x v="0"/>
    <x v="1"/>
    <n v="0"/>
    <n v="0"/>
    <n v="3538.067"/>
    <n v="3538.067"/>
    <n v="3538.067"/>
    <n v="3538.067"/>
    <n v="0"/>
    <x v="1"/>
    <n v="0"/>
    <n v="0"/>
    <n v="18"/>
    <n v="73"/>
    <n v="0"/>
    <n v="73.19"/>
    <n v="211.71"/>
    <m/>
    <n v="117.83242038312405"/>
    <n v="222.99901551132911"/>
    <n v="0"/>
    <n v="258951.12372999999"/>
    <n v="749044.16457000002"/>
    <n v="0"/>
    <n v="416898.99808765855"/>
    <n v="788985.45781312161"/>
  </r>
  <r>
    <s v="Sistema de Compensação"/>
    <x v="0"/>
    <x v="1"/>
    <x v="0"/>
    <x v="0"/>
    <x v="1"/>
    <x v="0"/>
    <x v="0"/>
    <x v="1"/>
    <n v="0"/>
    <n v="0"/>
    <n v="153.905"/>
    <n v="153.905"/>
    <n v="153.905"/>
    <n v="153.905"/>
    <n v="0"/>
    <x v="1"/>
    <n v="0"/>
    <n v="0"/>
    <n v="18"/>
    <n v="73"/>
    <n v="0"/>
    <n v="73.19"/>
    <n v="211.71"/>
    <m/>
    <n v="117.83242038312405"/>
    <n v="222.99901551132911"/>
    <n v="0"/>
    <n v="11264.30695"/>
    <n v="32583.227550000003"/>
    <n v="0"/>
    <n v="18134.998659064706"/>
    <n v="34320.663482271106"/>
  </r>
  <r>
    <s v="Regular"/>
    <x v="0"/>
    <x v="1"/>
    <x v="0"/>
    <x v="0"/>
    <x v="1"/>
    <x v="0"/>
    <x v="0"/>
    <x v="2"/>
    <n v="0"/>
    <n v="0"/>
    <n v="3582.9960000000001"/>
    <n v="3582.9960000000001"/>
    <n v="3582.9960000000001"/>
    <n v="3582.9960000000001"/>
    <n v="0"/>
    <x v="1"/>
    <n v="0"/>
    <n v="0"/>
    <n v="18"/>
    <n v="73"/>
    <n v="0"/>
    <n v="73.19"/>
    <n v="211.71"/>
    <m/>
    <n v="117.83242038312405"/>
    <n v="222.99901551132911"/>
    <n v="0"/>
    <n v="262239.47723999998"/>
    <n v="758556.08316000004"/>
    <n v="0"/>
    <n v="422193.09090305195"/>
    <n v="799004.58058103011"/>
  </r>
  <r>
    <s v="Sistema de Compensação"/>
    <x v="0"/>
    <x v="1"/>
    <x v="0"/>
    <x v="0"/>
    <x v="1"/>
    <x v="0"/>
    <x v="0"/>
    <x v="2"/>
    <n v="0"/>
    <n v="0"/>
    <n v="172.417"/>
    <n v="172.417"/>
    <n v="172.417"/>
    <n v="172.417"/>
    <n v="0"/>
    <x v="1"/>
    <n v="0"/>
    <n v="0"/>
    <n v="18"/>
    <n v="73"/>
    <n v="0"/>
    <n v="73.19"/>
    <n v="211.71"/>
    <m/>
    <n v="117.83242038312405"/>
    <n v="222.99901551132911"/>
    <n v="0"/>
    <n v="12619.20023"/>
    <n v="36502.40307"/>
    <n v="0"/>
    <n v="20316.312425197098"/>
    <n v="38448.821257416828"/>
  </r>
  <r>
    <s v="Regular"/>
    <x v="0"/>
    <x v="1"/>
    <x v="0"/>
    <x v="0"/>
    <x v="1"/>
    <x v="0"/>
    <x v="0"/>
    <x v="3"/>
    <n v="0"/>
    <n v="0"/>
    <n v="3691.752"/>
    <n v="3691.752"/>
    <n v="3691.752"/>
    <n v="3691.752"/>
    <n v="0"/>
    <x v="1"/>
    <n v="0"/>
    <n v="0"/>
    <n v="18"/>
    <n v="73"/>
    <n v="0"/>
    <n v="73.19"/>
    <n v="211.71"/>
    <m/>
    <n v="117.83242038312405"/>
    <n v="222.99901551132911"/>
    <n v="0"/>
    <n v="270199.32887999999"/>
    <n v="781580.81591999996"/>
    <n v="0"/>
    <n v="435008.07361423894"/>
    <n v="823257.06151198025"/>
  </r>
  <r>
    <s v="Sistema de Compensação"/>
    <x v="0"/>
    <x v="1"/>
    <x v="0"/>
    <x v="0"/>
    <x v="1"/>
    <x v="0"/>
    <x v="0"/>
    <x v="3"/>
    <n v="0"/>
    <n v="0"/>
    <n v="222.749"/>
    <n v="222.749"/>
    <n v="222.749"/>
    <n v="222.749"/>
    <n v="0"/>
    <x v="1"/>
    <n v="0"/>
    <n v="0"/>
    <n v="18"/>
    <n v="73"/>
    <n v="0"/>
    <n v="73.19"/>
    <n v="211.71"/>
    <m/>
    <n v="117.83242038312405"/>
    <n v="222.99901551132911"/>
    <n v="0"/>
    <n v="16302.999309999999"/>
    <n v="47158.190790000001"/>
    <n v="0"/>
    <n v="26247.053807920496"/>
    <n v="49672.807706133048"/>
  </r>
  <r>
    <s v="Regular"/>
    <x v="0"/>
    <x v="1"/>
    <x v="0"/>
    <x v="0"/>
    <x v="1"/>
    <x v="0"/>
    <x v="0"/>
    <x v="4"/>
    <n v="0"/>
    <n v="0"/>
    <n v="3388.7339999999999"/>
    <n v="3388.7339999999999"/>
    <n v="3388.7339999999999"/>
    <n v="3388.7339999999999"/>
    <n v="0"/>
    <x v="1"/>
    <n v="0"/>
    <n v="0"/>
    <n v="18"/>
    <n v="73"/>
    <n v="0"/>
    <n v="73.19"/>
    <n v="211.71"/>
    <m/>
    <n v="117.83242038312405"/>
    <n v="222.99901551132911"/>
    <n v="0"/>
    <n v="248021.44145999997"/>
    <n v="717428.87514000002"/>
    <n v="0"/>
    <n v="399302.72925458546"/>
    <n v="755684.34582976834"/>
  </r>
  <r>
    <s v="Sistema de Compensação"/>
    <x v="0"/>
    <x v="1"/>
    <x v="0"/>
    <x v="0"/>
    <x v="1"/>
    <x v="0"/>
    <x v="0"/>
    <x v="4"/>
    <n v="0"/>
    <n v="0"/>
    <n v="194.05600000000001"/>
    <n v="194.05600000000001"/>
    <n v="194.05600000000001"/>
    <n v="194.05600000000001"/>
    <n v="0"/>
    <x v="1"/>
    <n v="0"/>
    <n v="0"/>
    <n v="18"/>
    <n v="73"/>
    <n v="0"/>
    <n v="73.19"/>
    <n v="211.71"/>
    <m/>
    <n v="117.83242038312405"/>
    <n v="222.99901551132911"/>
    <n v="0"/>
    <n v="14202.958640000001"/>
    <n v="41083.595760000004"/>
    <n v="0"/>
    <n v="22866.088169867522"/>
    <n v="43274.296954066485"/>
  </r>
  <r>
    <s v="Regular"/>
    <x v="0"/>
    <x v="1"/>
    <x v="0"/>
    <x v="0"/>
    <x v="1"/>
    <x v="0"/>
    <x v="0"/>
    <x v="5"/>
    <n v="0"/>
    <n v="0"/>
    <n v="3577.1190000000001"/>
    <n v="3577.1190000000001"/>
    <n v="3577.1190000000001"/>
    <n v="3577.1190000000001"/>
    <n v="0"/>
    <x v="1"/>
    <n v="0"/>
    <n v="0"/>
    <n v="18"/>
    <n v="73"/>
    <n v="0"/>
    <n v="73.19"/>
    <n v="211.71"/>
    <m/>
    <n v="117.83242038312405"/>
    <n v="222.99901551132911"/>
    <n v="0"/>
    <n v="261809.33961"/>
    <n v="757311.86349000002"/>
    <n v="0"/>
    <n v="421500.58976846031"/>
    <n v="797694.0153668701"/>
  </r>
  <r>
    <s v="Sistema de Compensação"/>
    <x v="0"/>
    <x v="1"/>
    <x v="0"/>
    <x v="0"/>
    <x v="1"/>
    <x v="0"/>
    <x v="0"/>
    <x v="5"/>
    <n v="0"/>
    <n v="0"/>
    <n v="143.52600000000001"/>
    <n v="143.52600000000001"/>
    <n v="143.52600000000001"/>
    <n v="143.52600000000001"/>
    <n v="0"/>
    <x v="1"/>
    <n v="0"/>
    <n v="0"/>
    <n v="18"/>
    <n v="73"/>
    <n v="0"/>
    <n v="73.19"/>
    <n v="211.71"/>
    <m/>
    <n v="117.83242038312405"/>
    <n v="222.99901551132911"/>
    <n v="0"/>
    <n v="10504.667940000001"/>
    <n v="30385.889460000002"/>
    <n v="0"/>
    <n v="16912.015967908264"/>
    <n v="32006.156700279025"/>
  </r>
  <r>
    <s v="Regular"/>
    <x v="0"/>
    <x v="1"/>
    <x v="0"/>
    <x v="0"/>
    <x v="1"/>
    <x v="0"/>
    <x v="0"/>
    <x v="6"/>
    <n v="0"/>
    <n v="0"/>
    <n v="3515.7339999999999"/>
    <n v="3515.7339999999999"/>
    <n v="3515.7339999999999"/>
    <n v="3515.7339999999999"/>
    <n v="0"/>
    <x v="1"/>
    <n v="0"/>
    <n v="0"/>
    <n v="18"/>
    <n v="73"/>
    <n v="0"/>
    <n v="73.19"/>
    <n v="211.71"/>
    <m/>
    <n v="117.83242038312405"/>
    <n v="222.99901551132911"/>
    <n v="0"/>
    <n v="257316.57145999998"/>
    <n v="744316.04514000006"/>
    <n v="0"/>
    <n v="414267.44664324221"/>
    <n v="784005.22079970711"/>
  </r>
  <r>
    <s v="Sistema de Compensação"/>
    <x v="0"/>
    <x v="1"/>
    <x v="0"/>
    <x v="0"/>
    <x v="1"/>
    <x v="0"/>
    <x v="0"/>
    <x v="6"/>
    <n v="0"/>
    <n v="0"/>
    <n v="145.63300000000001"/>
    <n v="145.63300000000001"/>
    <n v="145.63300000000001"/>
    <n v="145.63300000000001"/>
    <n v="0"/>
    <x v="1"/>
    <n v="0"/>
    <n v="0"/>
    <n v="18"/>
    <n v="73"/>
    <n v="0"/>
    <n v="73.19"/>
    <n v="211.71"/>
    <m/>
    <n v="117.83242038312405"/>
    <n v="222.99901551132911"/>
    <n v="0"/>
    <n v="10658.879270000001"/>
    <n v="30831.962430000003"/>
    <n v="0"/>
    <n v="17160.288877655505"/>
    <n v="32476.015625961394"/>
  </r>
  <r>
    <s v="Regular"/>
    <x v="0"/>
    <x v="1"/>
    <x v="0"/>
    <x v="0"/>
    <x v="1"/>
    <x v="0"/>
    <x v="0"/>
    <x v="7"/>
    <n v="0"/>
    <n v="0"/>
    <n v="3937.855"/>
    <n v="3937.855"/>
    <n v="3937.855"/>
    <n v="3937.855"/>
    <n v="0"/>
    <x v="1"/>
    <n v="0"/>
    <n v="0"/>
    <n v="18"/>
    <n v="73"/>
    <n v="0"/>
    <n v="73.19"/>
    <n v="211.71"/>
    <m/>
    <n v="117.83242038312405"/>
    <n v="222.99901551132911"/>
    <n v="0"/>
    <n v="288211.60745000001"/>
    <n v="833683.28205000004"/>
    <n v="0"/>
    <n v="464006.98576778691"/>
    <n v="878137.78822636488"/>
  </r>
  <r>
    <s v="Sistema de Compensação"/>
    <x v="0"/>
    <x v="1"/>
    <x v="0"/>
    <x v="0"/>
    <x v="1"/>
    <x v="0"/>
    <x v="0"/>
    <x v="7"/>
    <n v="0"/>
    <n v="0"/>
    <n v="177.273"/>
    <n v="177.273"/>
    <n v="177.273"/>
    <n v="177.273"/>
    <n v="0"/>
    <x v="1"/>
    <n v="0"/>
    <n v="0"/>
    <n v="18"/>
    <n v="73"/>
    <n v="0"/>
    <n v="73.19"/>
    <n v="211.71"/>
    <m/>
    <n v="117.83242038312405"/>
    <n v="222.99901551132911"/>
    <n v="0"/>
    <n v="12974.610869999999"/>
    <n v="37530.466829999998"/>
    <n v="0"/>
    <n v="20888.506658577549"/>
    <n v="39531.70447673984"/>
  </r>
  <r>
    <s v="Regular"/>
    <x v="0"/>
    <x v="1"/>
    <x v="0"/>
    <x v="0"/>
    <x v="1"/>
    <x v="0"/>
    <x v="0"/>
    <x v="8"/>
    <n v="0"/>
    <n v="0"/>
    <n v="3543.9470000000001"/>
    <n v="3543.9470000000001"/>
    <n v="3543.9470000000001"/>
    <n v="3543.9470000000001"/>
    <n v="0"/>
    <x v="1"/>
    <n v="0"/>
    <n v="0"/>
    <n v="18"/>
    <n v="73"/>
    <n v="0"/>
    <n v="73.19"/>
    <n v="211.71"/>
    <m/>
    <n v="117.83242038312405"/>
    <n v="222.99901551132911"/>
    <n v="0"/>
    <n v="259381.48092999999"/>
    <n v="750289.01937000011"/>
    <n v="0"/>
    <n v="417591.85271951131"/>
    <n v="790296.69202432828"/>
  </r>
  <r>
    <s v="Sistema de Compensação"/>
    <x v="0"/>
    <x v="1"/>
    <x v="0"/>
    <x v="0"/>
    <x v="1"/>
    <x v="0"/>
    <x v="0"/>
    <x v="8"/>
    <n v="0"/>
    <n v="0"/>
    <n v="175.01900000000001"/>
    <n v="175.01900000000001"/>
    <n v="175.01900000000001"/>
    <n v="175.01900000000001"/>
    <n v="0"/>
    <x v="1"/>
    <n v="0"/>
    <n v="0"/>
    <n v="18"/>
    <n v="73"/>
    <n v="0"/>
    <n v="73.19"/>
    <n v="211.71"/>
    <m/>
    <n v="117.83242038312405"/>
    <n v="222.99901551132911"/>
    <n v="0"/>
    <n v="12809.64061"/>
    <n v="37053.272490000003"/>
    <n v="0"/>
    <n v="20622.912383033989"/>
    <n v="39029.064695777313"/>
  </r>
  <r>
    <s v="Regular"/>
    <x v="0"/>
    <x v="1"/>
    <x v="0"/>
    <x v="0"/>
    <x v="1"/>
    <x v="0"/>
    <x v="0"/>
    <x v="9"/>
    <n v="0"/>
    <n v="0"/>
    <n v="3756.9810000000002"/>
    <n v="3756.9810000000002"/>
    <n v="3756.9810000000002"/>
    <n v="3756.9810000000002"/>
    <n v="0"/>
    <x v="1"/>
    <n v="0"/>
    <n v="0"/>
    <n v="18"/>
    <n v="73"/>
    <n v="0"/>
    <n v="73.19"/>
    <n v="211.71"/>
    <m/>
    <n v="117.83242038312405"/>
    <n v="222.99901551132911"/>
    <n v="0"/>
    <n v="274973.43939000001"/>
    <n v="795390.44751000009"/>
    <n v="0"/>
    <n v="442694.16456340981"/>
    <n v="837803.06429476873"/>
  </r>
  <r>
    <s v="Sistema de Compensação"/>
    <x v="0"/>
    <x v="1"/>
    <x v="0"/>
    <x v="0"/>
    <x v="1"/>
    <x v="0"/>
    <x v="0"/>
    <x v="9"/>
    <n v="0"/>
    <n v="0"/>
    <n v="205.99100000000001"/>
    <n v="205.99100000000001"/>
    <n v="205.99100000000001"/>
    <n v="205.99100000000001"/>
    <n v="0"/>
    <x v="1"/>
    <n v="0"/>
    <n v="0"/>
    <n v="18"/>
    <n v="73"/>
    <n v="0"/>
    <n v="73.19"/>
    <n v="211.71"/>
    <m/>
    <n v="117.83242038312405"/>
    <n v="222.99901551132911"/>
    <n v="0"/>
    <n v="15076.48129"/>
    <n v="43610.354610000002"/>
    <n v="0"/>
    <n v="24272.418107140107"/>
    <n v="45935.7902041942"/>
  </r>
  <r>
    <s v="Regular"/>
    <x v="0"/>
    <x v="1"/>
    <x v="0"/>
    <x v="0"/>
    <x v="1"/>
    <x v="0"/>
    <x v="0"/>
    <x v="10"/>
    <n v="0"/>
    <n v="0"/>
    <n v="3667.9969999999998"/>
    <n v="3667.9969999999998"/>
    <n v="3667.9969999999998"/>
    <n v="3667.9969999999998"/>
    <n v="0"/>
    <x v="1"/>
    <n v="0"/>
    <n v="0"/>
    <n v="18"/>
    <n v="73"/>
    <n v="0"/>
    <n v="73.19"/>
    <n v="211.71"/>
    <m/>
    <n v="117.83242038312405"/>
    <n v="222.99901551132911"/>
    <n v="0"/>
    <n v="268460.70042999997"/>
    <n v="776551.64486999996"/>
    <n v="0"/>
    <n v="432208.96446803783"/>
    <n v="817959.71989850863"/>
  </r>
  <r>
    <s v="Sistema de Compensação"/>
    <x v="0"/>
    <x v="1"/>
    <x v="0"/>
    <x v="0"/>
    <x v="1"/>
    <x v="0"/>
    <x v="0"/>
    <x v="10"/>
    <n v="0"/>
    <n v="0"/>
    <n v="149.054"/>
    <n v="149.054"/>
    <n v="149.054"/>
    <n v="149.054"/>
    <n v="0"/>
    <x v="1"/>
    <n v="0"/>
    <n v="0"/>
    <n v="18"/>
    <n v="73"/>
    <n v="0"/>
    <n v="73.19"/>
    <n v="211.71"/>
    <m/>
    <n v="117.83242038312405"/>
    <n v="222.99901551132911"/>
    <n v="0"/>
    <n v="10909.26226"/>
    <n v="31556.22234"/>
    <n v="0"/>
    <n v="17563.393587786173"/>
    <n v="33238.895258025652"/>
  </r>
  <r>
    <s v="PROJETADO"/>
    <x v="0"/>
    <x v="1"/>
    <x v="0"/>
    <x v="0"/>
    <x v="1"/>
    <x v="0"/>
    <x v="0"/>
    <x v="11"/>
    <n v="0"/>
    <n v="0"/>
    <n v="3667.9969999999998"/>
    <n v="3667.9969999999998"/>
    <n v="3667.9969999999998"/>
    <n v="3667.9969999999998"/>
    <n v="0"/>
    <x v="1"/>
    <n v="0"/>
    <n v="0"/>
    <n v="18"/>
    <n v="73"/>
    <n v="0"/>
    <n v="73.19"/>
    <n v="211.71"/>
    <m/>
    <n v="117.83242038312405"/>
    <n v="222.99901551132911"/>
    <n v="0"/>
    <n v="268460.70042999997"/>
    <n v="776551.64486999996"/>
    <n v="0"/>
    <n v="432208.96446803783"/>
    <n v="817959.71989850863"/>
  </r>
  <r>
    <s v="PROJETADO"/>
    <x v="0"/>
    <x v="1"/>
    <x v="0"/>
    <x v="0"/>
    <x v="1"/>
    <x v="0"/>
    <x v="0"/>
    <x v="11"/>
    <n v="0"/>
    <n v="0"/>
    <n v="149.054"/>
    <n v="149.054"/>
    <n v="149.054"/>
    <n v="149.054"/>
    <n v="0"/>
    <x v="1"/>
    <n v="0"/>
    <n v="0"/>
    <n v="18"/>
    <n v="73"/>
    <n v="0"/>
    <n v="73.19"/>
    <n v="211.71"/>
    <m/>
    <n v="117.83242038312405"/>
    <n v="222.99901551132911"/>
    <n v="0"/>
    <n v="10909.26226"/>
    <n v="31556.22234"/>
    <n v="0"/>
    <n v="17563.393587786173"/>
    <n v="33238.895258025652"/>
  </r>
  <r>
    <s v="Regular"/>
    <x v="0"/>
    <x v="1"/>
    <x v="0"/>
    <x v="0"/>
    <x v="1"/>
    <x v="0"/>
    <x v="1"/>
    <x v="0"/>
    <n v="14139"/>
    <n v="14139"/>
    <n v="0"/>
    <n v="0"/>
    <n v="0"/>
    <n v="0"/>
    <n v="53"/>
    <x v="1"/>
    <n v="0"/>
    <n v="24"/>
    <n v="0"/>
    <n v="0"/>
    <n v="22.9"/>
    <n v="0"/>
    <n v="0"/>
    <n v="21.733731888847863"/>
    <m/>
    <m/>
    <n v="323783.09999999998"/>
    <n v="0"/>
    <n v="0"/>
    <n v="307293.23517641996"/>
    <n v="0"/>
    <n v="0"/>
  </r>
  <r>
    <s v="Sistema de Compensação"/>
    <x v="0"/>
    <x v="1"/>
    <x v="0"/>
    <x v="0"/>
    <x v="1"/>
    <x v="0"/>
    <x v="1"/>
    <x v="0"/>
    <n v="488"/>
    <n v="488"/>
    <n v="0"/>
    <n v="0"/>
    <n v="0"/>
    <n v="0"/>
    <n v="2"/>
    <x v="1"/>
    <n v="0"/>
    <n v="24"/>
    <n v="0"/>
    <n v="0"/>
    <n v="22.9"/>
    <n v="0"/>
    <n v="0"/>
    <n v="21.733731888847863"/>
    <m/>
    <m/>
    <n v="11175.199999999999"/>
    <n v="0"/>
    <n v="0"/>
    <n v="10606.061161757758"/>
    <n v="0"/>
    <n v="0"/>
  </r>
  <r>
    <s v="Regular"/>
    <x v="0"/>
    <x v="1"/>
    <x v="0"/>
    <x v="0"/>
    <x v="1"/>
    <x v="0"/>
    <x v="1"/>
    <x v="1"/>
    <n v="14093"/>
    <n v="14093"/>
    <n v="0"/>
    <n v="0"/>
    <n v="0"/>
    <n v="0"/>
    <n v="53"/>
    <x v="1"/>
    <n v="0"/>
    <n v="24"/>
    <n v="0"/>
    <n v="0"/>
    <n v="22.9"/>
    <n v="0"/>
    <n v="0"/>
    <n v="21.733731888847863"/>
    <m/>
    <m/>
    <n v="322729.69999999995"/>
    <n v="0"/>
    <n v="0"/>
    <n v="306293.48350953293"/>
    <n v="0"/>
    <n v="0"/>
  </r>
  <r>
    <s v="Sistema de Compensação"/>
    <x v="0"/>
    <x v="1"/>
    <x v="0"/>
    <x v="0"/>
    <x v="1"/>
    <x v="0"/>
    <x v="1"/>
    <x v="1"/>
    <n v="532"/>
    <n v="532"/>
    <n v="0"/>
    <n v="0"/>
    <n v="0"/>
    <n v="0"/>
    <n v="2"/>
    <x v="1"/>
    <n v="0"/>
    <n v="24"/>
    <n v="0"/>
    <n v="0"/>
    <n v="22.9"/>
    <n v="0"/>
    <n v="0"/>
    <n v="21.733731888847863"/>
    <m/>
    <m/>
    <n v="12182.8"/>
    <n v="0"/>
    <n v="0"/>
    <n v="11562.345364867064"/>
    <n v="0"/>
    <n v="0"/>
  </r>
  <r>
    <s v="Regular"/>
    <x v="0"/>
    <x v="1"/>
    <x v="0"/>
    <x v="0"/>
    <x v="1"/>
    <x v="0"/>
    <x v="1"/>
    <x v="2"/>
    <n v="14336"/>
    <n v="14336"/>
    <n v="0"/>
    <n v="0"/>
    <n v="0"/>
    <n v="0"/>
    <n v="53"/>
    <x v="1"/>
    <n v="0"/>
    <n v="24"/>
    <n v="0"/>
    <n v="0"/>
    <n v="22.9"/>
    <n v="0"/>
    <n v="0"/>
    <n v="21.733731888847863"/>
    <m/>
    <m/>
    <n v="328294.39999999997"/>
    <n v="0"/>
    <n v="0"/>
    <n v="311574.78035852296"/>
    <n v="0"/>
    <n v="0"/>
  </r>
  <r>
    <s v="Sistema de Compensação"/>
    <x v="0"/>
    <x v="1"/>
    <x v="0"/>
    <x v="0"/>
    <x v="1"/>
    <x v="0"/>
    <x v="1"/>
    <x v="2"/>
    <n v="518"/>
    <n v="518"/>
    <n v="0"/>
    <n v="0"/>
    <n v="0"/>
    <n v="0"/>
    <n v="2"/>
    <x v="1"/>
    <n v="0"/>
    <n v="24"/>
    <n v="0"/>
    <n v="0"/>
    <n v="22.9"/>
    <n v="0"/>
    <n v="0"/>
    <n v="21.733731888847863"/>
    <m/>
    <m/>
    <n v="11862.199999999999"/>
    <n v="0"/>
    <n v="0"/>
    <n v="11258.073118423194"/>
    <n v="0"/>
    <n v="0"/>
  </r>
  <r>
    <s v="Regular"/>
    <x v="0"/>
    <x v="1"/>
    <x v="0"/>
    <x v="0"/>
    <x v="1"/>
    <x v="0"/>
    <x v="1"/>
    <x v="3"/>
    <n v="14463"/>
    <n v="14463"/>
    <n v="0"/>
    <n v="0"/>
    <n v="0"/>
    <n v="0"/>
    <n v="53"/>
    <x v="1"/>
    <n v="0"/>
    <n v="24"/>
    <n v="0"/>
    <n v="0"/>
    <n v="22.9"/>
    <n v="0"/>
    <n v="0"/>
    <n v="21.733731888847863"/>
    <m/>
    <m/>
    <n v="331202.69999999995"/>
    <n v="0"/>
    <n v="0"/>
    <n v="314334.96430840663"/>
    <n v="0"/>
    <n v="0"/>
  </r>
  <r>
    <s v="Sistema de Compensação"/>
    <x v="0"/>
    <x v="1"/>
    <x v="0"/>
    <x v="0"/>
    <x v="1"/>
    <x v="0"/>
    <x v="1"/>
    <x v="3"/>
    <n v="510"/>
    <n v="510"/>
    <n v="0"/>
    <n v="0"/>
    <n v="0"/>
    <n v="0"/>
    <n v="2"/>
    <x v="1"/>
    <n v="0"/>
    <n v="24"/>
    <n v="0"/>
    <n v="0"/>
    <n v="22.9"/>
    <n v="0"/>
    <n v="0"/>
    <n v="21.733731888847863"/>
    <m/>
    <m/>
    <n v="11679"/>
    <n v="0"/>
    <n v="0"/>
    <n v="11084.203263312411"/>
    <n v="0"/>
    <n v="0"/>
  </r>
  <r>
    <s v="Regular"/>
    <x v="0"/>
    <x v="1"/>
    <x v="0"/>
    <x v="0"/>
    <x v="1"/>
    <x v="0"/>
    <x v="1"/>
    <x v="4"/>
    <n v="14808"/>
    <n v="14808"/>
    <n v="0"/>
    <n v="0"/>
    <n v="0"/>
    <n v="0"/>
    <n v="54"/>
    <x v="1"/>
    <n v="0"/>
    <n v="24"/>
    <n v="0"/>
    <n v="0"/>
    <n v="22.9"/>
    <n v="0"/>
    <n v="0"/>
    <n v="21.733731888847863"/>
    <m/>
    <m/>
    <n v="339103.19999999995"/>
    <n v="0"/>
    <n v="0"/>
    <n v="321833.10181005916"/>
    <n v="0"/>
    <n v="0"/>
  </r>
  <r>
    <s v="Sistema de Compensação"/>
    <x v="0"/>
    <x v="1"/>
    <x v="0"/>
    <x v="0"/>
    <x v="1"/>
    <x v="0"/>
    <x v="1"/>
    <x v="4"/>
    <n v="518"/>
    <n v="518"/>
    <n v="0"/>
    <n v="0"/>
    <n v="0"/>
    <n v="0"/>
    <n v="2"/>
    <x v="1"/>
    <n v="0"/>
    <n v="24"/>
    <n v="0"/>
    <n v="0"/>
    <n v="22.9"/>
    <n v="0"/>
    <n v="0"/>
    <n v="21.733731888847863"/>
    <m/>
    <m/>
    <n v="11862.199999999999"/>
    <n v="0"/>
    <n v="0"/>
    <n v="11258.073118423194"/>
    <n v="0"/>
    <n v="0"/>
  </r>
  <r>
    <s v="Regular"/>
    <x v="0"/>
    <x v="1"/>
    <x v="0"/>
    <x v="0"/>
    <x v="1"/>
    <x v="0"/>
    <x v="1"/>
    <x v="5"/>
    <n v="14576"/>
    <n v="14576"/>
    <n v="0"/>
    <n v="0"/>
    <n v="0"/>
    <n v="0"/>
    <n v="54"/>
    <x v="1"/>
    <n v="0"/>
    <n v="24"/>
    <n v="0"/>
    <n v="0"/>
    <n v="22.9"/>
    <n v="0"/>
    <n v="0"/>
    <n v="21.733731888847863"/>
    <m/>
    <m/>
    <n v="333790.39999999997"/>
    <n v="0"/>
    <n v="0"/>
    <n v="316790.87601184647"/>
    <n v="0"/>
    <n v="0"/>
  </r>
  <r>
    <s v="Sistema de Compensação"/>
    <x v="0"/>
    <x v="1"/>
    <x v="0"/>
    <x v="0"/>
    <x v="1"/>
    <x v="0"/>
    <x v="1"/>
    <x v="5"/>
    <n v="524"/>
    <n v="524"/>
    <n v="0"/>
    <n v="0"/>
    <n v="0"/>
    <n v="0"/>
    <n v="2"/>
    <x v="1"/>
    <n v="0"/>
    <n v="24"/>
    <n v="0"/>
    <n v="0"/>
    <n v="22.9"/>
    <n v="0"/>
    <n v="0"/>
    <n v="21.733731888847863"/>
    <m/>
    <m/>
    <n v="11999.599999999999"/>
    <n v="0"/>
    <n v="0"/>
    <n v="11388.475509756281"/>
    <n v="0"/>
    <n v="0"/>
  </r>
  <r>
    <s v="Regular"/>
    <x v="0"/>
    <x v="1"/>
    <x v="0"/>
    <x v="0"/>
    <x v="1"/>
    <x v="0"/>
    <x v="1"/>
    <x v="6"/>
    <n v="14690"/>
    <n v="14690"/>
    <n v="0"/>
    <n v="0"/>
    <n v="0"/>
    <n v="0"/>
    <n v="54"/>
    <x v="1"/>
    <n v="0"/>
    <n v="24"/>
    <n v="0"/>
    <n v="0"/>
    <n v="22.9"/>
    <n v="0"/>
    <n v="0"/>
    <n v="21.733731888847863"/>
    <m/>
    <m/>
    <n v="336401"/>
    <n v="0"/>
    <n v="0"/>
    <n v="319268.52144717512"/>
    <n v="0"/>
    <n v="0"/>
  </r>
  <r>
    <s v="Sistema de Compensação"/>
    <x v="0"/>
    <x v="1"/>
    <x v="0"/>
    <x v="0"/>
    <x v="1"/>
    <x v="0"/>
    <x v="1"/>
    <x v="6"/>
    <n v="516"/>
    <n v="516"/>
    <n v="0"/>
    <n v="0"/>
    <n v="0"/>
    <n v="0"/>
    <n v="2"/>
    <x v="1"/>
    <n v="0"/>
    <n v="24"/>
    <n v="0"/>
    <n v="0"/>
    <n v="22.9"/>
    <n v="0"/>
    <n v="0"/>
    <n v="21.733731888847863"/>
    <m/>
    <m/>
    <n v="11816.4"/>
    <n v="0"/>
    <n v="0"/>
    <n v="11214.605654645498"/>
    <n v="0"/>
    <n v="0"/>
  </r>
  <r>
    <s v="Regular"/>
    <x v="0"/>
    <x v="1"/>
    <x v="0"/>
    <x v="0"/>
    <x v="1"/>
    <x v="0"/>
    <x v="1"/>
    <x v="7"/>
    <n v="14568"/>
    <n v="14568"/>
    <n v="0"/>
    <n v="0"/>
    <n v="0"/>
    <n v="0"/>
    <n v="54"/>
    <x v="1"/>
    <n v="0"/>
    <n v="24"/>
    <n v="0"/>
    <n v="0"/>
    <n v="22.9"/>
    <n v="0"/>
    <n v="0"/>
    <n v="21.733731888847863"/>
    <m/>
    <m/>
    <n v="333607.19999999995"/>
    <n v="0"/>
    <n v="0"/>
    <n v="316617.00615673565"/>
    <n v="0"/>
    <n v="0"/>
  </r>
  <r>
    <s v="Sistema de Compensação"/>
    <x v="0"/>
    <x v="1"/>
    <x v="0"/>
    <x v="0"/>
    <x v="1"/>
    <x v="0"/>
    <x v="1"/>
    <x v="7"/>
    <n v="519"/>
    <n v="519"/>
    <n v="0"/>
    <n v="0"/>
    <n v="0"/>
    <n v="0"/>
    <n v="2"/>
    <x v="1"/>
    <n v="0"/>
    <n v="24"/>
    <n v="0"/>
    <n v="0"/>
    <n v="22.9"/>
    <n v="0"/>
    <n v="0"/>
    <n v="21.733731888847863"/>
    <m/>
    <m/>
    <n v="11885.099999999999"/>
    <n v="0"/>
    <n v="0"/>
    <n v="11279.806850312041"/>
    <n v="0"/>
    <n v="0"/>
  </r>
  <r>
    <s v="Regular"/>
    <x v="0"/>
    <x v="1"/>
    <x v="0"/>
    <x v="0"/>
    <x v="1"/>
    <x v="0"/>
    <x v="1"/>
    <x v="8"/>
    <n v="14547"/>
    <n v="14547"/>
    <n v="0"/>
    <n v="0"/>
    <n v="0"/>
    <n v="0"/>
    <n v="54"/>
    <x v="1"/>
    <n v="0"/>
    <n v="24"/>
    <n v="0"/>
    <n v="0"/>
    <n v="22.9"/>
    <n v="0"/>
    <n v="0"/>
    <n v="21.733731888847863"/>
    <m/>
    <m/>
    <n v="333126.3"/>
    <n v="0"/>
    <n v="0"/>
    <n v="316160.59778706986"/>
    <n v="0"/>
    <n v="0"/>
  </r>
  <r>
    <s v="Sistema de Compensação"/>
    <x v="0"/>
    <x v="1"/>
    <x v="0"/>
    <x v="0"/>
    <x v="1"/>
    <x v="0"/>
    <x v="1"/>
    <x v="8"/>
    <n v="513"/>
    <n v="513"/>
    <n v="0"/>
    <n v="0"/>
    <n v="0"/>
    <n v="0"/>
    <n v="2"/>
    <x v="1"/>
    <n v="0"/>
    <n v="24"/>
    <n v="0"/>
    <n v="0"/>
    <n v="22.9"/>
    <n v="0"/>
    <n v="0"/>
    <n v="21.733731888847863"/>
    <m/>
    <m/>
    <n v="11747.699999999999"/>
    <n v="0"/>
    <n v="0"/>
    <n v="11149.404458978954"/>
    <n v="0"/>
    <n v="0"/>
  </r>
  <r>
    <s v="Regular"/>
    <x v="0"/>
    <x v="1"/>
    <x v="0"/>
    <x v="0"/>
    <x v="1"/>
    <x v="0"/>
    <x v="1"/>
    <x v="9"/>
    <n v="14468"/>
    <n v="14468"/>
    <n v="0"/>
    <n v="0"/>
    <n v="0"/>
    <n v="0"/>
    <n v="54"/>
    <x v="1"/>
    <n v="0"/>
    <n v="24"/>
    <n v="0"/>
    <n v="0"/>
    <n v="22.9"/>
    <n v="0"/>
    <n v="0"/>
    <n v="21.733731888847863"/>
    <m/>
    <m/>
    <n v="331317.19999999995"/>
    <n v="0"/>
    <n v="0"/>
    <n v="314443.63296785089"/>
    <n v="0"/>
    <n v="0"/>
  </r>
  <r>
    <s v="Sistema de Compensação"/>
    <x v="0"/>
    <x v="1"/>
    <x v="0"/>
    <x v="0"/>
    <x v="1"/>
    <x v="0"/>
    <x v="1"/>
    <x v="9"/>
    <n v="518"/>
    <n v="518"/>
    <n v="0"/>
    <n v="0"/>
    <n v="0"/>
    <n v="0"/>
    <n v="2"/>
    <x v="1"/>
    <n v="0"/>
    <n v="24"/>
    <n v="0"/>
    <n v="0"/>
    <n v="22.9"/>
    <n v="0"/>
    <n v="0"/>
    <n v="21.733731888847863"/>
    <m/>
    <m/>
    <n v="11862.199999999999"/>
    <n v="0"/>
    <n v="0"/>
    <n v="11258.073118423194"/>
    <n v="0"/>
    <n v="0"/>
  </r>
  <r>
    <s v="Regular"/>
    <x v="0"/>
    <x v="1"/>
    <x v="0"/>
    <x v="0"/>
    <x v="1"/>
    <x v="0"/>
    <x v="1"/>
    <x v="10"/>
    <n v="14710"/>
    <n v="14710"/>
    <n v="0"/>
    <n v="0"/>
    <n v="0"/>
    <n v="0"/>
    <n v="55"/>
    <x v="1"/>
    <n v="0"/>
    <n v="24"/>
    <n v="0"/>
    <n v="0"/>
    <n v="22.9"/>
    <n v="0"/>
    <n v="0"/>
    <n v="21.733731888847863"/>
    <m/>
    <m/>
    <n v="336859"/>
    <n v="0"/>
    <n v="0"/>
    <n v="319703.1960849521"/>
    <n v="0"/>
    <n v="0"/>
  </r>
  <r>
    <s v="Sistema de Compensação"/>
    <x v="0"/>
    <x v="1"/>
    <x v="0"/>
    <x v="0"/>
    <x v="1"/>
    <x v="0"/>
    <x v="1"/>
    <x v="10"/>
    <n v="514"/>
    <n v="514"/>
    <n v="0"/>
    <n v="0"/>
    <n v="0"/>
    <n v="0"/>
    <n v="2"/>
    <x v="1"/>
    <n v="0"/>
    <n v="24"/>
    <n v="0"/>
    <n v="0"/>
    <n v="22.9"/>
    <n v="0"/>
    <n v="0"/>
    <n v="21.733731888847863"/>
    <m/>
    <m/>
    <n v="11770.599999999999"/>
    <n v="0"/>
    <n v="0"/>
    <n v="11171.138190867801"/>
    <n v="0"/>
    <n v="0"/>
  </r>
  <r>
    <s v="PROJETADO"/>
    <x v="0"/>
    <x v="1"/>
    <x v="0"/>
    <x v="0"/>
    <x v="1"/>
    <x v="0"/>
    <x v="1"/>
    <x v="11"/>
    <n v="14710"/>
    <n v="14710"/>
    <n v="0"/>
    <n v="0"/>
    <n v="0"/>
    <n v="0"/>
    <n v="55"/>
    <x v="1"/>
    <n v="0"/>
    <n v="24"/>
    <n v="0"/>
    <n v="0"/>
    <n v="22.9"/>
    <n v="0"/>
    <n v="0"/>
    <n v="21.733731888847863"/>
    <m/>
    <m/>
    <n v="336859"/>
    <n v="0"/>
    <n v="0"/>
    <n v="319703.1960849521"/>
    <n v="0"/>
    <n v="0"/>
  </r>
  <r>
    <s v="PROJETADO"/>
    <x v="0"/>
    <x v="1"/>
    <x v="0"/>
    <x v="0"/>
    <x v="1"/>
    <x v="0"/>
    <x v="1"/>
    <x v="11"/>
    <n v="514"/>
    <n v="514"/>
    <n v="0"/>
    <n v="0"/>
    <n v="0"/>
    <n v="0"/>
    <n v="2"/>
    <x v="1"/>
    <n v="0"/>
    <n v="24"/>
    <n v="0"/>
    <n v="0"/>
    <n v="22.9"/>
    <n v="0"/>
    <n v="0"/>
    <n v="21.733731888847863"/>
    <m/>
    <m/>
    <n v="11770.599999999999"/>
    <n v="0"/>
    <n v="0"/>
    <n v="11171.138190867801"/>
    <n v="0"/>
    <n v="0"/>
  </r>
  <r>
    <s v="Regular"/>
    <x v="0"/>
    <x v="1"/>
    <x v="0"/>
    <x v="0"/>
    <x v="1"/>
    <x v="0"/>
    <x v="2"/>
    <x v="0"/>
    <n v="0"/>
    <n v="0"/>
    <n v="98.257999999999996"/>
    <n v="98.257999999999996"/>
    <n v="98.257999999999996"/>
    <n v="98.257999999999996"/>
    <n v="0"/>
    <x v="1"/>
    <n v="0"/>
    <n v="0"/>
    <n v="5"/>
    <n v="69"/>
    <n v="0"/>
    <n v="1518.97"/>
    <n v="359.33"/>
    <m/>
    <n v="1492.9858702094405"/>
    <n v="362.73600214515886"/>
    <n v="0"/>
    <n v="149250.95426"/>
    <n v="35307.047139999995"/>
    <n v="0"/>
    <n v="146697.8056350392"/>
    <n v="35641.714098779019"/>
  </r>
  <r>
    <s v="Sistema de Compensação"/>
    <x v="0"/>
    <x v="1"/>
    <x v="0"/>
    <x v="0"/>
    <x v="1"/>
    <x v="0"/>
    <x v="2"/>
    <x v="0"/>
    <n v="0"/>
    <n v="0"/>
    <n v="18.809999999999999"/>
    <n v="18.809999999999999"/>
    <n v="18.809999999999999"/>
    <n v="18.809999999999999"/>
    <n v="0"/>
    <x v="1"/>
    <n v="0"/>
    <n v="0"/>
    <n v="5"/>
    <n v="69"/>
    <n v="0"/>
    <n v="1518.97"/>
    <n v="359.33"/>
    <m/>
    <n v="1492.9858702094405"/>
    <n v="362.73600214515886"/>
    <n v="0"/>
    <n v="28571.825699999998"/>
    <n v="6758.9972999999991"/>
    <n v="0"/>
    <n v="28083.064218639574"/>
    <n v="6823.0642003504381"/>
  </r>
  <r>
    <s v="Regular"/>
    <x v="0"/>
    <x v="1"/>
    <x v="0"/>
    <x v="0"/>
    <x v="1"/>
    <x v="0"/>
    <x v="2"/>
    <x v="1"/>
    <n v="0"/>
    <n v="0"/>
    <n v="114.117"/>
    <n v="114.117"/>
    <n v="114.117"/>
    <n v="114.117"/>
    <n v="0"/>
    <x v="1"/>
    <n v="0"/>
    <n v="0"/>
    <n v="5"/>
    <n v="69"/>
    <n v="0"/>
    <n v="1518.97"/>
    <n v="359.33"/>
    <m/>
    <n v="1492.9858702094405"/>
    <n v="362.73600214515886"/>
    <n v="0"/>
    <n v="173340.29949"/>
    <n v="41005.661610000003"/>
    <n v="0"/>
    <n v="170375.06855069072"/>
    <n v="41394.344356799098"/>
  </r>
  <r>
    <s v="Sistema de Compensação"/>
    <x v="0"/>
    <x v="1"/>
    <x v="0"/>
    <x v="0"/>
    <x v="1"/>
    <x v="0"/>
    <x v="2"/>
    <x v="1"/>
    <n v="0"/>
    <n v="0"/>
    <n v="9.0500000000000007"/>
    <n v="9.0500000000000007"/>
    <n v="9.0500000000000007"/>
    <n v="9.0500000000000007"/>
    <n v="0"/>
    <x v="1"/>
    <n v="0"/>
    <n v="0"/>
    <n v="5"/>
    <n v="69"/>
    <n v="0"/>
    <n v="1518.97"/>
    <n v="359.33"/>
    <m/>
    <n v="1492.9858702094405"/>
    <n v="362.73600214515886"/>
    <n v="0"/>
    <n v="13746.678500000002"/>
    <n v="3251.9365000000003"/>
    <n v="0"/>
    <n v="13511.522125395437"/>
    <n v="3282.7608194136878"/>
  </r>
  <r>
    <s v="Regular"/>
    <x v="0"/>
    <x v="1"/>
    <x v="0"/>
    <x v="0"/>
    <x v="1"/>
    <x v="0"/>
    <x v="2"/>
    <x v="2"/>
    <n v="0"/>
    <n v="0"/>
    <n v="95.334999999999994"/>
    <n v="95.334999999999994"/>
    <n v="95.334999999999994"/>
    <n v="95.334999999999994"/>
    <n v="0"/>
    <x v="1"/>
    <n v="0"/>
    <n v="0"/>
    <n v="5"/>
    <n v="69"/>
    <n v="0"/>
    <n v="1518.97"/>
    <n v="359.33"/>
    <m/>
    <n v="1492.9858702094405"/>
    <n v="362.73600214515886"/>
    <n v="0"/>
    <n v="144811.00495"/>
    <n v="34256.725549999996"/>
    <n v="0"/>
    <n v="142333.807936417"/>
    <n v="34581.436764508719"/>
  </r>
  <r>
    <s v="Sistema de Compensação"/>
    <x v="0"/>
    <x v="1"/>
    <x v="0"/>
    <x v="0"/>
    <x v="1"/>
    <x v="0"/>
    <x v="2"/>
    <x v="2"/>
    <n v="0"/>
    <n v="0"/>
    <n v="6.1539999999999999"/>
    <n v="6.1539999999999999"/>
    <n v="6.1539999999999999"/>
    <n v="6.1539999999999999"/>
    <n v="0"/>
    <x v="1"/>
    <n v="0"/>
    <n v="0"/>
    <n v="5"/>
    <n v="69"/>
    <n v="0"/>
    <n v="1518.97"/>
    <n v="359.33"/>
    <m/>
    <n v="1492.9858702094405"/>
    <n v="362.73600214515886"/>
    <n v="0"/>
    <n v="9347.7413799999995"/>
    <n v="2211.31682"/>
    <n v="0"/>
    <n v="9187.8350452688974"/>
    <n v="2232.2773572013075"/>
  </r>
  <r>
    <s v="Regular"/>
    <x v="0"/>
    <x v="1"/>
    <x v="0"/>
    <x v="0"/>
    <x v="1"/>
    <x v="0"/>
    <x v="2"/>
    <x v="3"/>
    <n v="0"/>
    <n v="0"/>
    <n v="108.517"/>
    <n v="108.517"/>
    <n v="108.517"/>
    <n v="108.517"/>
    <n v="0"/>
    <x v="1"/>
    <n v="0"/>
    <n v="0"/>
    <n v="5"/>
    <n v="69"/>
    <n v="0"/>
    <n v="1518.97"/>
    <n v="359.33"/>
    <m/>
    <n v="1492.9858702094405"/>
    <n v="362.73600214515886"/>
    <n v="0"/>
    <n v="164834.06748999999"/>
    <n v="38993.413609999996"/>
    <n v="0"/>
    <n v="162014.34767751786"/>
    <n v="39363.022744786205"/>
  </r>
  <r>
    <s v="Sistema de Compensação"/>
    <x v="0"/>
    <x v="1"/>
    <x v="0"/>
    <x v="0"/>
    <x v="1"/>
    <x v="0"/>
    <x v="2"/>
    <x v="3"/>
    <n v="0"/>
    <n v="0"/>
    <n v="13.173999999999999"/>
    <n v="13.173999999999999"/>
    <n v="13.173999999999999"/>
    <n v="13.173999999999999"/>
    <n v="0"/>
    <x v="1"/>
    <n v="0"/>
    <n v="0"/>
    <n v="5"/>
    <n v="69"/>
    <n v="0"/>
    <n v="1518.97"/>
    <n v="359.33"/>
    <m/>
    <n v="1492.9858702094405"/>
    <n v="362.73600214515886"/>
    <n v="0"/>
    <n v="20010.910779999998"/>
    <n v="4733.8134199999995"/>
    <n v="0"/>
    <n v="19668.595854139166"/>
    <n v="4778.6840922603224"/>
  </r>
  <r>
    <s v="Regular"/>
    <x v="0"/>
    <x v="1"/>
    <x v="0"/>
    <x v="0"/>
    <x v="1"/>
    <x v="0"/>
    <x v="2"/>
    <x v="4"/>
    <n v="0"/>
    <n v="0"/>
    <n v="118.67"/>
    <n v="118.67"/>
    <n v="118.67"/>
    <n v="118.67"/>
    <n v="0"/>
    <x v="1"/>
    <n v="0"/>
    <n v="0"/>
    <n v="5"/>
    <n v="69"/>
    <n v="0"/>
    <n v="1518.97"/>
    <n v="359.33"/>
    <m/>
    <n v="1492.9858702094405"/>
    <n v="362.73600214515886"/>
    <n v="0"/>
    <n v="180256.16990000001"/>
    <n v="42641.691099999996"/>
    <n v="0"/>
    <n v="177172.63321775431"/>
    <n v="43045.881374566001"/>
  </r>
  <r>
    <s v="Sistema de Compensação"/>
    <x v="0"/>
    <x v="1"/>
    <x v="0"/>
    <x v="0"/>
    <x v="1"/>
    <x v="0"/>
    <x v="2"/>
    <x v="4"/>
    <n v="0"/>
    <n v="0"/>
    <n v="17.209"/>
    <n v="17.209"/>
    <n v="17.209"/>
    <n v="17.209"/>
    <n v="0"/>
    <x v="1"/>
    <n v="0"/>
    <n v="0"/>
    <n v="5"/>
    <n v="69"/>
    <n v="0"/>
    <n v="1518.97"/>
    <n v="359.33"/>
    <m/>
    <n v="1492.9858702094405"/>
    <n v="362.73600214515886"/>
    <n v="0"/>
    <n v="26139.954730000001"/>
    <n v="6183.7099699999999"/>
    <n v="0"/>
    <n v="25692.79384043426"/>
    <n v="6242.3238609160389"/>
  </r>
  <r>
    <s v="Regular"/>
    <x v="0"/>
    <x v="1"/>
    <x v="0"/>
    <x v="0"/>
    <x v="1"/>
    <x v="0"/>
    <x v="2"/>
    <x v="5"/>
    <n v="0"/>
    <n v="0"/>
    <n v="130.976"/>
    <n v="130.976"/>
    <n v="130.976"/>
    <n v="130.976"/>
    <n v="0"/>
    <x v="1"/>
    <n v="0"/>
    <n v="0"/>
    <n v="5"/>
    <n v="69"/>
    <n v="0"/>
    <n v="1518.97"/>
    <n v="359.33"/>
    <m/>
    <n v="1492.9858702094405"/>
    <n v="362.73600214515886"/>
    <n v="0"/>
    <n v="198948.61472000001"/>
    <n v="47063.606079999998"/>
    <n v="0"/>
    <n v="195545.31733655167"/>
    <n v="47509.71061696433"/>
  </r>
  <r>
    <s v="Sistema de Compensação"/>
    <x v="0"/>
    <x v="1"/>
    <x v="0"/>
    <x v="0"/>
    <x v="1"/>
    <x v="0"/>
    <x v="2"/>
    <x v="5"/>
    <n v="0"/>
    <n v="0"/>
    <n v="10.894"/>
    <n v="10.894"/>
    <n v="10.894"/>
    <n v="10.894"/>
    <n v="0"/>
    <x v="1"/>
    <n v="0"/>
    <n v="0"/>
    <n v="5"/>
    <n v="69"/>
    <n v="0"/>
    <n v="1518.97"/>
    <n v="359.33"/>
    <m/>
    <n v="1492.9858702094405"/>
    <n v="362.73600214515886"/>
    <n v="0"/>
    <n v="16547.659179999999"/>
    <n v="3914.5410199999997"/>
    <n v="0"/>
    <n v="16264.588070061645"/>
    <n v="3951.6460073693606"/>
  </r>
  <r>
    <s v="Regular"/>
    <x v="0"/>
    <x v="1"/>
    <x v="0"/>
    <x v="0"/>
    <x v="1"/>
    <x v="0"/>
    <x v="2"/>
    <x v="6"/>
    <n v="0"/>
    <n v="0"/>
    <n v="147.625"/>
    <n v="147.625"/>
    <n v="147.625"/>
    <n v="147.625"/>
    <n v="0"/>
    <x v="1"/>
    <n v="0"/>
    <n v="0"/>
    <n v="5"/>
    <n v="69"/>
    <n v="0"/>
    <n v="1518.97"/>
    <n v="359.33"/>
    <m/>
    <n v="1492.9858702094405"/>
    <n v="362.73600214515886"/>
    <n v="0"/>
    <n v="224237.94625000001"/>
    <n v="53046.091249999998"/>
    <n v="0"/>
    <n v="220402.03908966866"/>
    <n v="53548.902316679079"/>
  </r>
  <r>
    <s v="Sistema de Compensação"/>
    <x v="0"/>
    <x v="1"/>
    <x v="0"/>
    <x v="0"/>
    <x v="1"/>
    <x v="0"/>
    <x v="2"/>
    <x v="6"/>
    <n v="0"/>
    <n v="0"/>
    <n v="11.051"/>
    <n v="11.051"/>
    <n v="11.051"/>
    <n v="11.051"/>
    <n v="0"/>
    <x v="1"/>
    <n v="0"/>
    <n v="0"/>
    <n v="5"/>
    <n v="69"/>
    <n v="0"/>
    <n v="1518.97"/>
    <n v="359.33"/>
    <m/>
    <n v="1492.9858702094405"/>
    <n v="362.73600214515886"/>
    <n v="0"/>
    <n v="16786.137470000001"/>
    <n v="3970.9558299999999"/>
    <n v="0"/>
    <n v="16498.986851684527"/>
    <n v="4008.5955597061507"/>
  </r>
  <r>
    <s v="Regular"/>
    <x v="0"/>
    <x v="1"/>
    <x v="0"/>
    <x v="0"/>
    <x v="1"/>
    <x v="0"/>
    <x v="2"/>
    <x v="7"/>
    <n v="0"/>
    <n v="0"/>
    <n v="159.49"/>
    <n v="159.49"/>
    <n v="159.49"/>
    <n v="159.49"/>
    <n v="0"/>
    <x v="1"/>
    <n v="0"/>
    <n v="0"/>
    <n v="5"/>
    <n v="69"/>
    <n v="0"/>
    <n v="1518.97"/>
    <n v="359.33"/>
    <m/>
    <n v="1492.9858702094405"/>
    <n v="362.73600214515886"/>
    <n v="0"/>
    <n v="242260.52530000001"/>
    <n v="57309.541700000002"/>
    <n v="0"/>
    <n v="238116.31643970366"/>
    <n v="57852.76498213139"/>
  </r>
  <r>
    <s v="Sistema de Compensação"/>
    <x v="0"/>
    <x v="1"/>
    <x v="0"/>
    <x v="0"/>
    <x v="1"/>
    <x v="0"/>
    <x v="2"/>
    <x v="7"/>
    <n v="0"/>
    <n v="0"/>
    <n v="14.669"/>
    <n v="14.669"/>
    <n v="14.669"/>
    <n v="14.669"/>
    <n v="0"/>
    <x v="1"/>
    <n v="0"/>
    <n v="0"/>
    <n v="5"/>
    <n v="69"/>
    <n v="0"/>
    <n v="1518.97"/>
    <n v="359.33"/>
    <m/>
    <n v="1492.9858702094405"/>
    <n v="362.73600214515886"/>
    <n v="0"/>
    <n v="22281.770930000002"/>
    <n v="5271.0117700000001"/>
    <n v="0"/>
    <n v="21900.609730102282"/>
    <n v="5320.9744154673353"/>
  </r>
  <r>
    <s v="Regular"/>
    <x v="0"/>
    <x v="1"/>
    <x v="0"/>
    <x v="0"/>
    <x v="1"/>
    <x v="0"/>
    <x v="2"/>
    <x v="8"/>
    <n v="0"/>
    <n v="0"/>
    <n v="140.93199999999999"/>
    <n v="140.93199999999999"/>
    <n v="140.93199999999999"/>
    <n v="140.93199999999999"/>
    <n v="0"/>
    <x v="1"/>
    <n v="0"/>
    <n v="0"/>
    <n v="5"/>
    <n v="69"/>
    <n v="0"/>
    <n v="1518.97"/>
    <n v="359.33"/>
    <m/>
    <n v="1492.9858702094405"/>
    <n v="362.73600214515886"/>
    <n v="0"/>
    <n v="214071.48003999999"/>
    <n v="50641.095559999994"/>
    <n v="0"/>
    <n v="210409.48466035686"/>
    <n v="51121.110254321524"/>
  </r>
  <r>
    <s v="Sistema de Compensação"/>
    <x v="0"/>
    <x v="1"/>
    <x v="0"/>
    <x v="0"/>
    <x v="1"/>
    <x v="0"/>
    <x v="2"/>
    <x v="8"/>
    <n v="0"/>
    <n v="0"/>
    <n v="13.086"/>
    <n v="13.086"/>
    <n v="13.086"/>
    <n v="13.086"/>
    <n v="0"/>
    <x v="1"/>
    <n v="0"/>
    <n v="0"/>
    <n v="5"/>
    <n v="69"/>
    <n v="0"/>
    <n v="1518.97"/>
    <n v="359.33"/>
    <m/>
    <n v="1492.9858702094405"/>
    <n v="362.73600214515886"/>
    <n v="0"/>
    <n v="19877.241420000002"/>
    <n v="4702.1923799999995"/>
    <n v="0"/>
    <n v="19537.21309756074"/>
    <n v="4746.7633240715486"/>
  </r>
  <r>
    <s v="Regular"/>
    <x v="0"/>
    <x v="1"/>
    <x v="0"/>
    <x v="0"/>
    <x v="1"/>
    <x v="0"/>
    <x v="2"/>
    <x v="9"/>
    <n v="0"/>
    <n v="0"/>
    <n v="160.12299999999999"/>
    <n v="160.12299999999999"/>
    <n v="160.12299999999999"/>
    <n v="160.12299999999999"/>
    <n v="0"/>
    <x v="1"/>
    <n v="0"/>
    <n v="0"/>
    <n v="5"/>
    <n v="69"/>
    <n v="0"/>
    <n v="1518.97"/>
    <n v="359.33"/>
    <m/>
    <n v="1492.9858702094405"/>
    <n v="362.73600214515886"/>
    <n v="0"/>
    <n v="243222.03331"/>
    <n v="57536.997589999992"/>
    <n v="0"/>
    <n v="239061.37649554622"/>
    <n v="58082.376871489272"/>
  </r>
  <r>
    <s v="Sistema de Compensação"/>
    <x v="0"/>
    <x v="1"/>
    <x v="0"/>
    <x v="0"/>
    <x v="1"/>
    <x v="0"/>
    <x v="2"/>
    <x v="9"/>
    <n v="0"/>
    <n v="0"/>
    <n v="16.306999999999999"/>
    <n v="16.306999999999999"/>
    <n v="16.306999999999999"/>
    <n v="16.306999999999999"/>
    <n v="0"/>
    <x v="1"/>
    <n v="0"/>
    <n v="0"/>
    <n v="5"/>
    <n v="69"/>
    <n v="0"/>
    <n v="1518.97"/>
    <n v="359.33"/>
    <m/>
    <n v="1492.9858702094405"/>
    <n v="362.73600214515886"/>
    <n v="0"/>
    <n v="24769.843789999999"/>
    <n v="5859.5943099999995"/>
    <n v="0"/>
    <n v="24346.120585505345"/>
    <n v="5915.1359869811049"/>
  </r>
  <r>
    <s v="Regular"/>
    <x v="0"/>
    <x v="1"/>
    <x v="0"/>
    <x v="0"/>
    <x v="1"/>
    <x v="0"/>
    <x v="2"/>
    <x v="10"/>
    <n v="0"/>
    <n v="0"/>
    <n v="169.49299999999999"/>
    <n v="169.49299999999999"/>
    <n v="169.49299999999999"/>
    <n v="169.49299999999999"/>
    <n v="0"/>
    <x v="1"/>
    <n v="0"/>
    <n v="0"/>
    <n v="5"/>
    <n v="69"/>
    <n v="0"/>
    <n v="1518.97"/>
    <n v="359.33"/>
    <m/>
    <n v="1492.9858702094405"/>
    <n v="362.73600214515886"/>
    <n v="0"/>
    <n v="257454.78221"/>
    <n v="60903.919689999995"/>
    <n v="0"/>
    <n v="253050.65409940868"/>
    <n v="61481.213211589413"/>
  </r>
  <r>
    <s v="Sistema de Compensação"/>
    <x v="0"/>
    <x v="1"/>
    <x v="0"/>
    <x v="0"/>
    <x v="1"/>
    <x v="0"/>
    <x v="2"/>
    <x v="10"/>
    <n v="0"/>
    <n v="0"/>
    <n v="12.361000000000001"/>
    <n v="12.361000000000001"/>
    <n v="12.361000000000001"/>
    <n v="12.361000000000001"/>
    <n v="0"/>
    <x v="1"/>
    <n v="0"/>
    <n v="0"/>
    <n v="5"/>
    <n v="69"/>
    <n v="0"/>
    <n v="1518.97"/>
    <n v="359.33"/>
    <m/>
    <n v="1492.9858702094405"/>
    <n v="362.73600214515886"/>
    <n v="0"/>
    <n v="18775.988170000001"/>
    <n v="4441.6781300000002"/>
    <n v="0"/>
    <n v="18454.798341658894"/>
    <n v="4483.7797225163085"/>
  </r>
  <r>
    <s v="PROJETADO"/>
    <x v="0"/>
    <x v="1"/>
    <x v="0"/>
    <x v="0"/>
    <x v="1"/>
    <x v="0"/>
    <x v="2"/>
    <x v="11"/>
    <n v="0"/>
    <n v="0"/>
    <n v="169.49299999999999"/>
    <n v="169.49299999999999"/>
    <n v="169.49299999999999"/>
    <n v="169.49299999999999"/>
    <n v="0"/>
    <x v="1"/>
    <n v="0"/>
    <n v="0"/>
    <n v="5"/>
    <n v="69"/>
    <n v="0"/>
    <n v="1518.97"/>
    <n v="359.33"/>
    <m/>
    <n v="1492.9858702094405"/>
    <n v="362.73600214515886"/>
    <n v="0"/>
    <n v="257454.78221"/>
    <n v="60903.919689999995"/>
    <n v="0"/>
    <n v="253050.65409940868"/>
    <n v="61481.213211589413"/>
  </r>
  <r>
    <s v="PROJETADO"/>
    <x v="0"/>
    <x v="1"/>
    <x v="0"/>
    <x v="0"/>
    <x v="1"/>
    <x v="0"/>
    <x v="2"/>
    <x v="11"/>
    <n v="0"/>
    <n v="0"/>
    <n v="12.361000000000001"/>
    <n v="12.361000000000001"/>
    <n v="12.361000000000001"/>
    <n v="12.361000000000001"/>
    <n v="0"/>
    <x v="1"/>
    <n v="0"/>
    <n v="0"/>
    <n v="5"/>
    <n v="69"/>
    <n v="0"/>
    <n v="1518.97"/>
    <n v="359.33"/>
    <m/>
    <n v="1492.9858702094405"/>
    <n v="362.73600214515886"/>
    <n v="0"/>
    <n v="18775.988170000001"/>
    <n v="4441.6781300000002"/>
    <n v="0"/>
    <n v="18454.798341658894"/>
    <n v="4483.7797225163085"/>
  </r>
  <r>
    <s v="Regular"/>
    <x v="0"/>
    <x v="1"/>
    <x v="2"/>
    <x v="0"/>
    <x v="1"/>
    <x v="0"/>
    <x v="0"/>
    <x v="0"/>
    <n v="0"/>
    <n v="0"/>
    <n v="22.125"/>
    <n v="22.125"/>
    <n v="22.125"/>
    <n v="22.125"/>
    <n v="0"/>
    <x v="1"/>
    <n v="0"/>
    <n v="0"/>
    <n v="18"/>
    <n v="73"/>
    <n v="0"/>
    <n v="73.19"/>
    <n v="211.71"/>
    <m/>
    <n v="117.83242038312405"/>
    <n v="222.99901551132911"/>
    <n v="0"/>
    <n v="1619.3287499999999"/>
    <n v="4684.0837499999998"/>
    <n v="0"/>
    <n v="2607.0423009766196"/>
    <n v="4933.8532181881565"/>
  </r>
  <r>
    <s v="Regular"/>
    <x v="0"/>
    <x v="1"/>
    <x v="2"/>
    <x v="0"/>
    <x v="1"/>
    <x v="0"/>
    <x v="0"/>
    <x v="1"/>
    <n v="0"/>
    <n v="0"/>
    <n v="25.553999999999998"/>
    <n v="25.553999999999998"/>
    <n v="25.553999999999998"/>
    <n v="25.553999999999998"/>
    <n v="0"/>
    <x v="1"/>
    <n v="0"/>
    <n v="0"/>
    <n v="18"/>
    <n v="73"/>
    <n v="0"/>
    <n v="73.19"/>
    <n v="211.71"/>
    <m/>
    <n v="117.83242038312405"/>
    <n v="222.99901551132911"/>
    <n v="0"/>
    <n v="1870.2972599999998"/>
    <n v="5410.0373399999999"/>
    <n v="0"/>
    <n v="3011.0896704703518"/>
    <n v="5698.5168423765035"/>
  </r>
  <r>
    <s v="Regular"/>
    <x v="0"/>
    <x v="1"/>
    <x v="2"/>
    <x v="0"/>
    <x v="1"/>
    <x v="0"/>
    <x v="0"/>
    <x v="2"/>
    <n v="0"/>
    <n v="0"/>
    <n v="30.795999999999999"/>
    <n v="30.795999999999999"/>
    <n v="30.795999999999999"/>
    <n v="30.795999999999999"/>
    <n v="0"/>
    <x v="1"/>
    <n v="0"/>
    <n v="0"/>
    <n v="18"/>
    <n v="73"/>
    <n v="0"/>
    <n v="73.19"/>
    <n v="211.71"/>
    <m/>
    <n v="117.83242038312405"/>
    <n v="222.99901551132911"/>
    <n v="0"/>
    <n v="2253.9592399999997"/>
    <n v="6519.8211600000004"/>
    <n v="0"/>
    <n v="3628.7672181186881"/>
    <n v="6867.4776816868907"/>
  </r>
  <r>
    <s v="Regular"/>
    <x v="0"/>
    <x v="1"/>
    <x v="2"/>
    <x v="0"/>
    <x v="1"/>
    <x v="0"/>
    <x v="0"/>
    <x v="3"/>
    <n v="0"/>
    <n v="0"/>
    <n v="35.530999999999999"/>
    <n v="35.530999999999999"/>
    <n v="35.530999999999999"/>
    <n v="35.530999999999999"/>
    <n v="0"/>
    <x v="1"/>
    <n v="0"/>
    <n v="0"/>
    <n v="18"/>
    <n v="73"/>
    <n v="0"/>
    <n v="73.19"/>
    <n v="211.71"/>
    <m/>
    <n v="117.83242038312405"/>
    <n v="222.99901551132911"/>
    <n v="0"/>
    <n v="2600.5138899999997"/>
    <n v="7522.2680099999998"/>
    <n v="0"/>
    <n v="4186.7037286327804"/>
    <n v="7923.3780201330346"/>
  </r>
  <r>
    <s v="Regular"/>
    <x v="0"/>
    <x v="1"/>
    <x v="2"/>
    <x v="0"/>
    <x v="1"/>
    <x v="0"/>
    <x v="0"/>
    <x v="4"/>
    <n v="0"/>
    <n v="0"/>
    <n v="5.016"/>
    <n v="5.016"/>
    <n v="5.016"/>
    <n v="5.016"/>
    <n v="0"/>
    <x v="1"/>
    <n v="0"/>
    <n v="0"/>
    <n v="18"/>
    <n v="73"/>
    <n v="0"/>
    <n v="73.19"/>
    <n v="211.71"/>
    <m/>
    <n v="117.83242038312405"/>
    <n v="222.99901551132911"/>
    <n v="0"/>
    <n v="367.12103999999999"/>
    <n v="1061.9373600000001"/>
    <n v="0"/>
    <n v="591.04742064175025"/>
    <n v="1118.5630618048267"/>
  </r>
  <r>
    <s v="Sistema de Compensação"/>
    <x v="0"/>
    <x v="1"/>
    <x v="2"/>
    <x v="0"/>
    <x v="1"/>
    <x v="0"/>
    <x v="0"/>
    <x v="4"/>
    <n v="0"/>
    <n v="0"/>
    <n v="24.227"/>
    <n v="24.227"/>
    <n v="24.227"/>
    <n v="24.227"/>
    <n v="0"/>
    <x v="1"/>
    <n v="0"/>
    <n v="0"/>
    <n v="18"/>
    <n v="73"/>
    <n v="0"/>
    <n v="73.19"/>
    <n v="211.71"/>
    <m/>
    <n v="117.83242038312405"/>
    <n v="222.99901551132911"/>
    <n v="0"/>
    <n v="1773.1741299999999"/>
    <n v="5129.0981700000002"/>
    <n v="0"/>
    <n v="2854.7260486219461"/>
    <n v="5402.5971487929701"/>
  </r>
  <r>
    <s v="Regular"/>
    <x v="0"/>
    <x v="1"/>
    <x v="2"/>
    <x v="0"/>
    <x v="1"/>
    <x v="0"/>
    <x v="0"/>
    <x v="5"/>
    <n v="0"/>
    <n v="0"/>
    <n v="6.3380000000000001"/>
    <n v="6.3380000000000001"/>
    <n v="6.3380000000000001"/>
    <n v="6.3380000000000001"/>
    <n v="0"/>
    <x v="1"/>
    <n v="0"/>
    <n v="0"/>
    <n v="18"/>
    <n v="73"/>
    <n v="0"/>
    <n v="73.19"/>
    <n v="211.71"/>
    <m/>
    <n v="117.83242038312405"/>
    <n v="222.99901551132911"/>
    <n v="0"/>
    <n v="463.87822"/>
    <n v="1341.81798"/>
    <n v="0"/>
    <n v="746.82188038824017"/>
    <n v="1413.367760310804"/>
  </r>
  <r>
    <s v="Sistema de Compensação"/>
    <x v="0"/>
    <x v="1"/>
    <x v="2"/>
    <x v="0"/>
    <x v="1"/>
    <x v="0"/>
    <x v="0"/>
    <x v="5"/>
    <n v="0"/>
    <n v="0"/>
    <n v="27.763999999999999"/>
    <n v="27.763999999999999"/>
    <n v="27.763999999999999"/>
    <n v="27.763999999999999"/>
    <n v="0"/>
    <x v="1"/>
    <n v="0"/>
    <n v="0"/>
    <n v="18"/>
    <n v="73"/>
    <n v="0"/>
    <n v="73.19"/>
    <n v="211.71"/>
    <m/>
    <n v="117.83242038312405"/>
    <n v="222.99901551132911"/>
    <n v="0"/>
    <n v="2032.0471599999998"/>
    <n v="5877.91644"/>
    <n v="0"/>
    <n v="3271.4993195170559"/>
    <n v="6191.3446666565414"/>
  </r>
  <r>
    <s v="Regular"/>
    <x v="0"/>
    <x v="1"/>
    <x v="2"/>
    <x v="0"/>
    <x v="1"/>
    <x v="0"/>
    <x v="0"/>
    <x v="6"/>
    <n v="0"/>
    <n v="0"/>
    <n v="6.3890000000000002"/>
    <n v="6.3890000000000002"/>
    <n v="6.3890000000000002"/>
    <n v="6.3890000000000002"/>
    <n v="0"/>
    <x v="1"/>
    <n v="0"/>
    <n v="0"/>
    <n v="18"/>
    <n v="73"/>
    <n v="0"/>
    <n v="73.19"/>
    <n v="211.71"/>
    <m/>
    <n v="117.83242038312405"/>
    <n v="222.99901551132911"/>
    <n v="0"/>
    <n v="467.61090999999999"/>
    <n v="1352.6151900000002"/>
    <n v="0"/>
    <n v="752.83133382777953"/>
    <n v="1424.7407101018816"/>
  </r>
  <r>
    <s v="Sistema de Compensação"/>
    <x v="0"/>
    <x v="1"/>
    <x v="2"/>
    <x v="0"/>
    <x v="1"/>
    <x v="0"/>
    <x v="0"/>
    <x v="6"/>
    <n v="0"/>
    <n v="0"/>
    <n v="24.472000000000001"/>
    <n v="24.472000000000001"/>
    <n v="24.472000000000001"/>
    <n v="24.472000000000001"/>
    <n v="0"/>
    <x v="1"/>
    <n v="0"/>
    <n v="0"/>
    <n v="18"/>
    <n v="73"/>
    <n v="0"/>
    <n v="73.19"/>
    <n v="211.71"/>
    <m/>
    <n v="117.83242038312405"/>
    <n v="222.99901551132911"/>
    <n v="0"/>
    <n v="1791.1056800000001"/>
    <n v="5180.9671200000003"/>
    <n v="0"/>
    <n v="2883.594991615812"/>
    <n v="5457.2319075932464"/>
  </r>
  <r>
    <s v="Regular"/>
    <x v="0"/>
    <x v="1"/>
    <x v="2"/>
    <x v="0"/>
    <x v="1"/>
    <x v="0"/>
    <x v="0"/>
    <x v="7"/>
    <n v="0"/>
    <n v="0"/>
    <n v="6.0259999999999998"/>
    <n v="6.0259999999999998"/>
    <n v="6.0259999999999998"/>
    <n v="6.0259999999999998"/>
    <n v="0"/>
    <x v="1"/>
    <n v="0"/>
    <n v="0"/>
    <n v="18"/>
    <n v="73"/>
    <n v="0"/>
    <n v="73.19"/>
    <n v="211.71"/>
    <m/>
    <n v="117.83242038312405"/>
    <n v="222.99901551132911"/>
    <n v="0"/>
    <n v="441.04293999999999"/>
    <n v="1275.7644600000001"/>
    <n v="0"/>
    <n v="710.05816522870543"/>
    <n v="1343.7920674712691"/>
  </r>
  <r>
    <s v="Sistema de Compensação"/>
    <x v="0"/>
    <x v="1"/>
    <x v="2"/>
    <x v="0"/>
    <x v="1"/>
    <x v="0"/>
    <x v="0"/>
    <x v="7"/>
    <n v="0"/>
    <n v="0"/>
    <n v="25.759"/>
    <n v="25.759"/>
    <n v="25.759"/>
    <n v="25.759"/>
    <n v="0"/>
    <x v="1"/>
    <n v="0"/>
    <n v="0"/>
    <n v="18"/>
    <n v="73"/>
    <n v="0"/>
    <n v="73.19"/>
    <n v="211.71"/>
    <m/>
    <n v="117.83242038312405"/>
    <n v="222.99901551132911"/>
    <n v="0"/>
    <n v="1885.3012099999999"/>
    <n v="5453.4378900000002"/>
    <n v="0"/>
    <n v="3035.2453166488922"/>
    <n v="5744.2316405563261"/>
  </r>
  <r>
    <s v="Regular"/>
    <x v="0"/>
    <x v="1"/>
    <x v="2"/>
    <x v="0"/>
    <x v="1"/>
    <x v="0"/>
    <x v="0"/>
    <x v="8"/>
    <n v="0"/>
    <n v="0"/>
    <n v="4.91"/>
    <n v="4.91"/>
    <n v="4.91"/>
    <n v="4.91"/>
    <n v="0"/>
    <x v="1"/>
    <n v="0"/>
    <n v="0"/>
    <n v="18"/>
    <n v="73"/>
    <n v="0"/>
    <n v="73.19"/>
    <n v="211.71"/>
    <m/>
    <n v="117.83242038312405"/>
    <n v="222.99901551132911"/>
    <n v="0"/>
    <n v="359.36290000000002"/>
    <n v="1039.4961000000001"/>
    <n v="0"/>
    <n v="578.5571840811391"/>
    <n v="1094.9251661606258"/>
  </r>
  <r>
    <s v="Sistema de Compensação"/>
    <x v="0"/>
    <x v="1"/>
    <x v="2"/>
    <x v="0"/>
    <x v="1"/>
    <x v="0"/>
    <x v="0"/>
    <x v="8"/>
    <n v="0"/>
    <n v="0"/>
    <n v="17"/>
    <n v="17"/>
    <n v="17"/>
    <n v="17"/>
    <n v="0"/>
    <x v="1"/>
    <n v="0"/>
    <n v="0"/>
    <n v="18"/>
    <n v="73"/>
    <n v="0"/>
    <n v="73.19"/>
    <n v="211.71"/>
    <m/>
    <n v="117.83242038312405"/>
    <n v="222.99901551132911"/>
    <n v="0"/>
    <n v="1244.23"/>
    <n v="3599.07"/>
    <n v="0"/>
    <n v="2003.1511465131089"/>
    <n v="3790.9832636925948"/>
  </r>
  <r>
    <s v="Regular"/>
    <x v="0"/>
    <x v="1"/>
    <x v="2"/>
    <x v="0"/>
    <x v="1"/>
    <x v="0"/>
    <x v="0"/>
    <x v="9"/>
    <n v="0"/>
    <n v="0"/>
    <n v="4.8129999999999997"/>
    <n v="4.8129999999999997"/>
    <n v="4.8129999999999997"/>
    <n v="4.8129999999999997"/>
    <n v="0"/>
    <x v="1"/>
    <n v="0"/>
    <n v="0"/>
    <n v="18"/>
    <n v="73"/>
    <n v="0"/>
    <n v="73.19"/>
    <n v="211.71"/>
    <m/>
    <n v="117.83242038312405"/>
    <n v="222.99901551132911"/>
    <n v="0"/>
    <n v="352.26346999999998"/>
    <n v="1018.96023"/>
    <n v="0"/>
    <n v="567.12743930397596"/>
    <n v="1073.2942616560269"/>
  </r>
  <r>
    <s v="Sistema de Compensação"/>
    <x v="0"/>
    <x v="1"/>
    <x v="2"/>
    <x v="0"/>
    <x v="1"/>
    <x v="0"/>
    <x v="0"/>
    <x v="9"/>
    <n v="0"/>
    <n v="0"/>
    <n v="13.731999999999999"/>
    <n v="13.731999999999999"/>
    <n v="13.731999999999999"/>
    <n v="13.731999999999999"/>
    <n v="0"/>
    <x v="1"/>
    <n v="0"/>
    <n v="0"/>
    <n v="18"/>
    <n v="73"/>
    <n v="0"/>
    <n v="73.19"/>
    <n v="211.71"/>
    <m/>
    <n v="117.83242038312405"/>
    <n v="222.99901551132911"/>
    <n v="0"/>
    <n v="1005.0450799999999"/>
    <n v="2907.20172"/>
    <n v="0"/>
    <n v="1618.0747967010593"/>
    <n v="3062.2224810015709"/>
  </r>
  <r>
    <s v="Regular"/>
    <x v="0"/>
    <x v="1"/>
    <x v="2"/>
    <x v="0"/>
    <x v="1"/>
    <x v="0"/>
    <x v="0"/>
    <x v="10"/>
    <n v="0"/>
    <n v="0"/>
    <n v="5.4690000000000003"/>
    <n v="5.4690000000000003"/>
    <n v="5.4690000000000003"/>
    <n v="5.4690000000000003"/>
    <n v="0"/>
    <x v="1"/>
    <n v="0"/>
    <n v="0"/>
    <n v="18"/>
    <n v="73"/>
    <n v="0"/>
    <n v="73.19"/>
    <n v="211.71"/>
    <m/>
    <n v="117.83242038312405"/>
    <n v="222.99901551132911"/>
    <n v="0"/>
    <n v="400.27611000000002"/>
    <n v="1157.8419900000001"/>
    <n v="0"/>
    <n v="644.4255070753054"/>
    <n v="1219.581615831459"/>
  </r>
  <r>
    <s v="Sistema de Compensação"/>
    <x v="0"/>
    <x v="1"/>
    <x v="2"/>
    <x v="0"/>
    <x v="1"/>
    <x v="0"/>
    <x v="0"/>
    <x v="10"/>
    <n v="0"/>
    <n v="0"/>
    <n v="11.313000000000001"/>
    <n v="11.313000000000001"/>
    <n v="11.313000000000001"/>
    <n v="11.313000000000001"/>
    <n v="0"/>
    <x v="1"/>
    <n v="0"/>
    <n v="0"/>
    <n v="18"/>
    <n v="73"/>
    <n v="0"/>
    <n v="73.19"/>
    <n v="211.71"/>
    <m/>
    <n v="117.83242038312405"/>
    <n v="222.99901551132911"/>
    <n v="0"/>
    <n v="827.99847"/>
    <n v="2395.0752300000004"/>
    <n v="0"/>
    <n v="1333.0381717942823"/>
    <n v="2522.7878624796663"/>
  </r>
  <r>
    <s v="PROJETADO"/>
    <x v="0"/>
    <x v="1"/>
    <x v="2"/>
    <x v="0"/>
    <x v="1"/>
    <x v="0"/>
    <x v="0"/>
    <x v="11"/>
    <n v="0"/>
    <n v="0"/>
    <n v="5.4690000000000003"/>
    <n v="5.4690000000000003"/>
    <n v="5.4690000000000003"/>
    <n v="5.4690000000000003"/>
    <n v="0"/>
    <x v="1"/>
    <n v="0"/>
    <n v="0"/>
    <n v="18"/>
    <n v="73"/>
    <n v="0"/>
    <n v="73.19"/>
    <n v="211.71"/>
    <m/>
    <n v="117.83242038312405"/>
    <n v="222.99901551132911"/>
    <n v="0"/>
    <n v="400.27611000000002"/>
    <n v="1157.8419900000001"/>
    <n v="0"/>
    <n v="644.4255070753054"/>
    <n v="1219.581615831459"/>
  </r>
  <r>
    <s v="PROJETADO"/>
    <x v="0"/>
    <x v="1"/>
    <x v="2"/>
    <x v="0"/>
    <x v="1"/>
    <x v="0"/>
    <x v="0"/>
    <x v="11"/>
    <n v="0"/>
    <n v="0"/>
    <n v="11.313000000000001"/>
    <n v="11.313000000000001"/>
    <n v="11.313000000000001"/>
    <n v="11.313000000000001"/>
    <n v="0"/>
    <x v="1"/>
    <n v="0"/>
    <n v="0"/>
    <n v="18"/>
    <n v="73"/>
    <n v="0"/>
    <n v="73.19"/>
    <n v="211.71"/>
    <m/>
    <n v="117.83242038312405"/>
    <n v="222.99901551132911"/>
    <n v="0"/>
    <n v="827.99847"/>
    <n v="2395.0752300000004"/>
    <n v="0"/>
    <n v="1333.0381717942823"/>
    <n v="2522.7878624796663"/>
  </r>
  <r>
    <s v="Regular"/>
    <x v="0"/>
    <x v="1"/>
    <x v="2"/>
    <x v="0"/>
    <x v="1"/>
    <x v="0"/>
    <x v="1"/>
    <x v="0"/>
    <n v="227"/>
    <n v="227"/>
    <n v="0"/>
    <n v="0"/>
    <n v="0"/>
    <n v="0"/>
    <n v="2"/>
    <x v="1"/>
    <n v="0"/>
    <n v="24"/>
    <n v="0"/>
    <n v="0"/>
    <n v="22.9"/>
    <n v="0"/>
    <n v="0"/>
    <n v="21.733731888847863"/>
    <m/>
    <m/>
    <n v="5198.2999999999993"/>
    <n v="0"/>
    <n v="0"/>
    <n v="4933.5571387684649"/>
    <n v="0"/>
    <n v="0"/>
  </r>
  <r>
    <s v="Regular"/>
    <x v="0"/>
    <x v="1"/>
    <x v="2"/>
    <x v="0"/>
    <x v="1"/>
    <x v="0"/>
    <x v="1"/>
    <x v="1"/>
    <n v="209"/>
    <n v="209"/>
    <n v="0"/>
    <n v="0"/>
    <n v="0"/>
    <n v="0"/>
    <n v="2"/>
    <x v="1"/>
    <n v="0"/>
    <n v="24"/>
    <n v="0"/>
    <n v="0"/>
    <n v="22.9"/>
    <n v="0"/>
    <n v="0"/>
    <n v="21.733731888847863"/>
    <m/>
    <m/>
    <n v="4786.0999999999995"/>
    <n v="0"/>
    <n v="0"/>
    <n v="4542.3499647692033"/>
    <n v="0"/>
    <n v="0"/>
  </r>
  <r>
    <s v="Regular"/>
    <x v="0"/>
    <x v="1"/>
    <x v="2"/>
    <x v="0"/>
    <x v="1"/>
    <x v="0"/>
    <x v="1"/>
    <x v="2"/>
    <n v="217"/>
    <n v="217"/>
    <n v="0"/>
    <n v="0"/>
    <n v="0"/>
    <n v="0"/>
    <n v="2"/>
    <x v="1"/>
    <n v="0"/>
    <n v="24"/>
    <n v="0"/>
    <n v="0"/>
    <n v="22.9"/>
    <n v="0"/>
    <n v="0"/>
    <n v="21.733731888847863"/>
    <m/>
    <m/>
    <n v="4969.2999999999993"/>
    <n v="0"/>
    <n v="0"/>
    <n v="4716.2198198799861"/>
    <n v="0"/>
    <n v="0"/>
  </r>
  <r>
    <s v="Regular"/>
    <x v="0"/>
    <x v="1"/>
    <x v="2"/>
    <x v="0"/>
    <x v="1"/>
    <x v="0"/>
    <x v="1"/>
    <x v="3"/>
    <n v="255"/>
    <n v="255"/>
    <n v="0"/>
    <n v="0"/>
    <n v="0"/>
    <n v="0"/>
    <n v="2"/>
    <x v="1"/>
    <n v="0"/>
    <n v="24"/>
    <n v="0"/>
    <n v="0"/>
    <n v="22.9"/>
    <n v="0"/>
    <n v="0"/>
    <n v="21.733731888847863"/>
    <m/>
    <m/>
    <n v="5839.5"/>
    <n v="0"/>
    <n v="0"/>
    <n v="5542.1016316562054"/>
    <n v="0"/>
    <n v="0"/>
  </r>
  <r>
    <s v="Regular"/>
    <x v="0"/>
    <x v="1"/>
    <x v="2"/>
    <x v="0"/>
    <x v="1"/>
    <x v="0"/>
    <x v="1"/>
    <x v="4"/>
    <n v="60"/>
    <n v="60"/>
    <n v="0"/>
    <n v="0"/>
    <n v="0"/>
    <n v="0"/>
    <n v="1"/>
    <x v="1"/>
    <n v="0"/>
    <n v="24"/>
    <n v="0"/>
    <n v="0"/>
    <n v="22.9"/>
    <n v="0"/>
    <n v="0"/>
    <n v="21.733731888847863"/>
    <m/>
    <m/>
    <n v="1374"/>
    <n v="0"/>
    <n v="0"/>
    <n v="1304.0239133308719"/>
    <n v="0"/>
    <n v="0"/>
  </r>
  <r>
    <s v="Sistema de Compensação"/>
    <x v="0"/>
    <x v="1"/>
    <x v="2"/>
    <x v="0"/>
    <x v="1"/>
    <x v="0"/>
    <x v="1"/>
    <x v="4"/>
    <n v="175"/>
    <n v="175"/>
    <n v="0"/>
    <n v="0"/>
    <n v="0"/>
    <n v="0"/>
    <n v="1"/>
    <x v="1"/>
    <n v="0"/>
    <n v="24"/>
    <n v="0"/>
    <n v="0"/>
    <n v="22.9"/>
    <n v="0"/>
    <n v="0"/>
    <n v="21.733731888847863"/>
    <m/>
    <m/>
    <n v="4007.4999999999995"/>
    <n v="0"/>
    <n v="0"/>
    <n v="3803.4030805483762"/>
    <n v="0"/>
    <n v="0"/>
  </r>
  <r>
    <s v="Regular"/>
    <x v="0"/>
    <x v="1"/>
    <x v="2"/>
    <x v="0"/>
    <x v="1"/>
    <x v="0"/>
    <x v="1"/>
    <x v="5"/>
    <n v="60"/>
    <n v="60"/>
    <n v="0"/>
    <n v="0"/>
    <n v="0"/>
    <n v="0"/>
    <n v="1"/>
    <x v="1"/>
    <n v="0"/>
    <n v="24"/>
    <n v="0"/>
    <n v="0"/>
    <n v="22.9"/>
    <n v="0"/>
    <n v="0"/>
    <n v="21.733731888847863"/>
    <m/>
    <m/>
    <n v="1374"/>
    <n v="0"/>
    <n v="0"/>
    <n v="1304.0239133308719"/>
    <n v="0"/>
    <n v="0"/>
  </r>
  <r>
    <s v="Sistema de Compensação"/>
    <x v="0"/>
    <x v="1"/>
    <x v="2"/>
    <x v="0"/>
    <x v="1"/>
    <x v="0"/>
    <x v="1"/>
    <x v="5"/>
    <n v="188"/>
    <n v="188"/>
    <n v="0"/>
    <n v="0"/>
    <n v="0"/>
    <n v="0"/>
    <n v="1"/>
    <x v="1"/>
    <n v="0"/>
    <n v="24"/>
    <n v="0"/>
    <n v="0"/>
    <n v="22.9"/>
    <n v="0"/>
    <n v="0"/>
    <n v="21.733731888847863"/>
    <m/>
    <m/>
    <n v="4305.2"/>
    <n v="0"/>
    <n v="0"/>
    <n v="4085.9415951033984"/>
    <n v="0"/>
    <n v="0"/>
  </r>
  <r>
    <s v="Regular"/>
    <x v="0"/>
    <x v="1"/>
    <x v="2"/>
    <x v="0"/>
    <x v="1"/>
    <x v="0"/>
    <x v="1"/>
    <x v="6"/>
    <n v="60"/>
    <n v="60"/>
    <n v="0"/>
    <n v="0"/>
    <n v="0"/>
    <n v="0"/>
    <n v="1"/>
    <x v="1"/>
    <n v="0"/>
    <n v="24"/>
    <n v="0"/>
    <n v="0"/>
    <n v="22.9"/>
    <n v="0"/>
    <n v="0"/>
    <n v="21.733731888847863"/>
    <m/>
    <m/>
    <n v="1374"/>
    <n v="0"/>
    <n v="0"/>
    <n v="1304.0239133308719"/>
    <n v="0"/>
    <n v="0"/>
  </r>
  <r>
    <s v="Sistema de Compensação"/>
    <x v="0"/>
    <x v="1"/>
    <x v="2"/>
    <x v="0"/>
    <x v="1"/>
    <x v="0"/>
    <x v="1"/>
    <x v="6"/>
    <n v="184"/>
    <n v="184"/>
    <n v="0"/>
    <n v="0"/>
    <n v="0"/>
    <n v="0"/>
    <n v="1"/>
    <x v="1"/>
    <n v="0"/>
    <n v="24"/>
    <n v="0"/>
    <n v="0"/>
    <n v="22.9"/>
    <n v="0"/>
    <n v="0"/>
    <n v="21.733731888847863"/>
    <m/>
    <m/>
    <n v="4213.5999999999995"/>
    <n v="0"/>
    <n v="0"/>
    <n v="3999.006667548007"/>
    <n v="0"/>
    <n v="0"/>
  </r>
  <r>
    <s v="Regular"/>
    <x v="0"/>
    <x v="1"/>
    <x v="2"/>
    <x v="0"/>
    <x v="1"/>
    <x v="0"/>
    <x v="1"/>
    <x v="7"/>
    <n v="60"/>
    <n v="60"/>
    <n v="0"/>
    <n v="0"/>
    <n v="0"/>
    <n v="0"/>
    <n v="1"/>
    <x v="1"/>
    <n v="0"/>
    <n v="24"/>
    <n v="0"/>
    <n v="0"/>
    <n v="22.9"/>
    <n v="0"/>
    <n v="0"/>
    <n v="21.733731888847863"/>
    <m/>
    <m/>
    <n v="1374"/>
    <n v="0"/>
    <n v="0"/>
    <n v="1304.0239133308719"/>
    <n v="0"/>
    <n v="0"/>
  </r>
  <r>
    <s v="Sistema de Compensação"/>
    <x v="0"/>
    <x v="1"/>
    <x v="2"/>
    <x v="0"/>
    <x v="1"/>
    <x v="0"/>
    <x v="1"/>
    <x v="7"/>
    <n v="220"/>
    <n v="220"/>
    <n v="0"/>
    <n v="0"/>
    <n v="0"/>
    <n v="0"/>
    <n v="1"/>
    <x v="1"/>
    <n v="0"/>
    <n v="24"/>
    <n v="0"/>
    <n v="0"/>
    <n v="22.9"/>
    <n v="0"/>
    <n v="0"/>
    <n v="21.733731888847863"/>
    <m/>
    <m/>
    <n v="5038"/>
    <n v="0"/>
    <n v="0"/>
    <n v="4781.4210155465298"/>
    <n v="0"/>
    <n v="0"/>
  </r>
  <r>
    <s v="Regular"/>
    <x v="0"/>
    <x v="1"/>
    <x v="2"/>
    <x v="0"/>
    <x v="1"/>
    <x v="0"/>
    <x v="1"/>
    <x v="8"/>
    <n v="60"/>
    <n v="60"/>
    <n v="0"/>
    <n v="0"/>
    <n v="0"/>
    <n v="0"/>
    <n v="1"/>
    <x v="1"/>
    <n v="0"/>
    <n v="24"/>
    <n v="0"/>
    <n v="0"/>
    <n v="22.9"/>
    <n v="0"/>
    <n v="0"/>
    <n v="21.733731888847863"/>
    <m/>
    <m/>
    <n v="1374"/>
    <n v="0"/>
    <n v="0"/>
    <n v="1304.0239133308719"/>
    <n v="0"/>
    <n v="0"/>
  </r>
  <r>
    <s v="Sistema de Compensação"/>
    <x v="0"/>
    <x v="1"/>
    <x v="2"/>
    <x v="0"/>
    <x v="1"/>
    <x v="0"/>
    <x v="1"/>
    <x v="8"/>
    <n v="183"/>
    <n v="183"/>
    <n v="0"/>
    <n v="0"/>
    <n v="0"/>
    <n v="0"/>
    <n v="1"/>
    <x v="1"/>
    <n v="0"/>
    <n v="24"/>
    <n v="0"/>
    <n v="0"/>
    <n v="22.9"/>
    <n v="0"/>
    <n v="0"/>
    <n v="21.733731888847863"/>
    <m/>
    <m/>
    <n v="4190.7"/>
    <n v="0"/>
    <n v="0"/>
    <n v="3977.272935659159"/>
    <n v="0"/>
    <n v="0"/>
  </r>
  <r>
    <s v="Regular"/>
    <x v="0"/>
    <x v="1"/>
    <x v="2"/>
    <x v="0"/>
    <x v="1"/>
    <x v="0"/>
    <x v="1"/>
    <x v="9"/>
    <n v="60"/>
    <n v="60"/>
    <n v="0"/>
    <n v="0"/>
    <n v="0"/>
    <n v="0"/>
    <n v="1"/>
    <x v="1"/>
    <n v="0"/>
    <n v="24"/>
    <n v="0"/>
    <n v="0"/>
    <n v="22.9"/>
    <n v="0"/>
    <n v="0"/>
    <n v="21.733731888847863"/>
    <m/>
    <m/>
    <n v="1374"/>
    <n v="0"/>
    <n v="0"/>
    <n v="1304.0239133308719"/>
    <n v="0"/>
    <n v="0"/>
  </r>
  <r>
    <s v="Sistema de Compensação"/>
    <x v="0"/>
    <x v="1"/>
    <x v="2"/>
    <x v="0"/>
    <x v="1"/>
    <x v="0"/>
    <x v="1"/>
    <x v="9"/>
    <n v="100"/>
    <n v="100"/>
    <n v="0"/>
    <n v="0"/>
    <n v="0"/>
    <n v="0"/>
    <n v="1"/>
    <x v="1"/>
    <n v="0"/>
    <n v="24"/>
    <n v="0"/>
    <n v="0"/>
    <n v="22.9"/>
    <n v="0"/>
    <n v="0"/>
    <n v="21.733731888847863"/>
    <m/>
    <m/>
    <n v="2290"/>
    <n v="0"/>
    <n v="0"/>
    <n v="2173.3731888847865"/>
    <n v="0"/>
    <n v="0"/>
  </r>
  <r>
    <s v="Regular"/>
    <x v="0"/>
    <x v="1"/>
    <x v="2"/>
    <x v="0"/>
    <x v="1"/>
    <x v="0"/>
    <x v="1"/>
    <x v="10"/>
    <n v="60"/>
    <n v="60"/>
    <n v="0"/>
    <n v="0"/>
    <n v="0"/>
    <n v="0"/>
    <n v="1"/>
    <x v="1"/>
    <n v="0"/>
    <n v="24"/>
    <n v="0"/>
    <n v="0"/>
    <n v="22.9"/>
    <n v="0"/>
    <n v="0"/>
    <n v="21.733731888847863"/>
    <m/>
    <m/>
    <n v="1374"/>
    <n v="0"/>
    <n v="0"/>
    <n v="1304.0239133308719"/>
    <n v="0"/>
    <n v="0"/>
  </r>
  <r>
    <s v="Sistema de Compensação"/>
    <x v="0"/>
    <x v="1"/>
    <x v="2"/>
    <x v="0"/>
    <x v="1"/>
    <x v="0"/>
    <x v="1"/>
    <x v="10"/>
    <n v="100"/>
    <n v="100"/>
    <n v="0"/>
    <n v="0"/>
    <n v="0"/>
    <n v="0"/>
    <n v="1"/>
    <x v="1"/>
    <n v="0"/>
    <n v="24"/>
    <n v="0"/>
    <n v="0"/>
    <n v="22.9"/>
    <n v="0"/>
    <n v="0"/>
    <n v="21.733731888847863"/>
    <m/>
    <m/>
    <n v="2290"/>
    <n v="0"/>
    <n v="0"/>
    <n v="2173.3731888847865"/>
    <n v="0"/>
    <n v="0"/>
  </r>
  <r>
    <s v="PROJETADO"/>
    <x v="0"/>
    <x v="1"/>
    <x v="2"/>
    <x v="0"/>
    <x v="1"/>
    <x v="0"/>
    <x v="1"/>
    <x v="11"/>
    <n v="60"/>
    <n v="60"/>
    <n v="0"/>
    <n v="0"/>
    <n v="0"/>
    <n v="0"/>
    <n v="1"/>
    <x v="1"/>
    <n v="0"/>
    <n v="24"/>
    <n v="0"/>
    <n v="0"/>
    <n v="22.9"/>
    <n v="0"/>
    <n v="0"/>
    <n v="21.733731888847863"/>
    <m/>
    <m/>
    <n v="1374"/>
    <n v="0"/>
    <n v="0"/>
    <n v="1304.0239133308719"/>
    <n v="0"/>
    <n v="0"/>
  </r>
  <r>
    <s v="PROJETADO"/>
    <x v="0"/>
    <x v="1"/>
    <x v="2"/>
    <x v="0"/>
    <x v="1"/>
    <x v="0"/>
    <x v="1"/>
    <x v="11"/>
    <n v="100"/>
    <n v="100"/>
    <n v="0"/>
    <n v="0"/>
    <n v="0"/>
    <n v="0"/>
    <n v="1"/>
    <x v="1"/>
    <n v="0"/>
    <n v="24"/>
    <n v="0"/>
    <n v="0"/>
    <n v="22.9"/>
    <n v="0"/>
    <n v="0"/>
    <n v="21.733731888847863"/>
    <m/>
    <m/>
    <n v="2290"/>
    <n v="0"/>
    <n v="0"/>
    <n v="2173.3731888847865"/>
    <n v="0"/>
    <n v="0"/>
  </r>
  <r>
    <s v="Regular"/>
    <x v="0"/>
    <x v="1"/>
    <x v="2"/>
    <x v="0"/>
    <x v="1"/>
    <x v="0"/>
    <x v="2"/>
    <x v="0"/>
    <n v="0"/>
    <n v="0"/>
    <n v="1.669"/>
    <n v="1.669"/>
    <n v="1.669"/>
    <n v="1.669"/>
    <n v="0"/>
    <x v="1"/>
    <n v="0"/>
    <n v="0"/>
    <n v="5"/>
    <n v="69"/>
    <n v="0"/>
    <n v="1518.97"/>
    <n v="359.33"/>
    <m/>
    <n v="1492.9858702094405"/>
    <n v="362.73600214515886"/>
    <n v="0"/>
    <n v="2535.16093"/>
    <n v="599.72176999999999"/>
    <n v="0"/>
    <n v="2491.7934173795561"/>
    <n v="605.40638758027012"/>
  </r>
  <r>
    <s v="Regular"/>
    <x v="0"/>
    <x v="1"/>
    <x v="2"/>
    <x v="0"/>
    <x v="1"/>
    <x v="0"/>
    <x v="2"/>
    <x v="1"/>
    <n v="0"/>
    <n v="0"/>
    <n v="1.77"/>
    <n v="1.77"/>
    <n v="1.77"/>
    <n v="1.77"/>
    <n v="0"/>
    <x v="1"/>
    <n v="0"/>
    <n v="0"/>
    <n v="5"/>
    <n v="69"/>
    <n v="0"/>
    <n v="1518.97"/>
    <n v="359.33"/>
    <m/>
    <n v="1492.9858702094405"/>
    <n v="362.73600214515886"/>
    <n v="0"/>
    <n v="2688.5769"/>
    <n v="636.01409999999998"/>
    <n v="0"/>
    <n v="2642.5849902707096"/>
    <n v="642.04272379693123"/>
  </r>
  <r>
    <s v="Regular"/>
    <x v="0"/>
    <x v="1"/>
    <x v="2"/>
    <x v="0"/>
    <x v="1"/>
    <x v="0"/>
    <x v="2"/>
    <x v="2"/>
    <n v="0"/>
    <n v="0"/>
    <n v="1.5740000000000001"/>
    <n v="1.5740000000000001"/>
    <n v="1.5740000000000001"/>
    <n v="1.5740000000000001"/>
    <n v="0"/>
    <x v="1"/>
    <n v="0"/>
    <n v="0"/>
    <n v="5"/>
    <n v="69"/>
    <n v="0"/>
    <n v="1518.97"/>
    <n v="359.33"/>
    <m/>
    <n v="1492.9858702094405"/>
    <n v="362.73600214515886"/>
    <n v="0"/>
    <n v="2390.85878"/>
    <n v="565.58542"/>
    <n v="0"/>
    <n v="2349.9597597096595"/>
    <n v="570.94646737648009"/>
  </r>
  <r>
    <s v="Regular"/>
    <x v="0"/>
    <x v="1"/>
    <x v="2"/>
    <x v="0"/>
    <x v="1"/>
    <x v="0"/>
    <x v="2"/>
    <x v="3"/>
    <n v="0"/>
    <n v="0"/>
    <n v="1.851"/>
    <n v="1.851"/>
    <n v="1.851"/>
    <n v="1.851"/>
    <n v="0"/>
    <x v="1"/>
    <n v="0"/>
    <n v="0"/>
    <n v="5"/>
    <n v="69"/>
    <n v="0"/>
    <n v="1518.97"/>
    <n v="359.33"/>
    <m/>
    <n v="1492.9858702094405"/>
    <n v="362.73600214515886"/>
    <n v="0"/>
    <n v="2811.6134700000002"/>
    <n v="665.11982999999998"/>
    <n v="0"/>
    <n v="2763.5168457576742"/>
    <n v="671.42433997068906"/>
  </r>
  <r>
    <s v="Regular"/>
    <x v="0"/>
    <x v="1"/>
    <x v="2"/>
    <x v="0"/>
    <x v="1"/>
    <x v="0"/>
    <x v="2"/>
    <x v="4"/>
    <n v="0"/>
    <n v="0"/>
    <n v="0.56999999999999995"/>
    <n v="0.56999999999999995"/>
    <n v="0.56999999999999995"/>
    <n v="0.56999999999999995"/>
    <n v="0"/>
    <x v="1"/>
    <n v="0"/>
    <n v="0"/>
    <n v="5"/>
    <n v="69"/>
    <n v="0"/>
    <n v="1518.97"/>
    <n v="359.33"/>
    <m/>
    <n v="1492.9858702094405"/>
    <n v="362.73600214515886"/>
    <n v="0"/>
    <n v="865.8128999999999"/>
    <n v="204.81809999999999"/>
    <n v="0"/>
    <n v="851.00194601938097"/>
    <n v="206.75952122274055"/>
  </r>
  <r>
    <s v="Sistema de Compensação"/>
    <x v="0"/>
    <x v="1"/>
    <x v="2"/>
    <x v="0"/>
    <x v="1"/>
    <x v="0"/>
    <x v="2"/>
    <x v="4"/>
    <n v="0"/>
    <n v="0"/>
    <n v="1.5620000000000001"/>
    <n v="1.5620000000000001"/>
    <n v="1.5620000000000001"/>
    <n v="1.5620000000000001"/>
    <n v="0"/>
    <x v="1"/>
    <n v="0"/>
    <n v="0"/>
    <n v="5"/>
    <n v="69"/>
    <n v="0"/>
    <n v="1518.97"/>
    <n v="359.33"/>
    <m/>
    <n v="1492.9858702094405"/>
    <n v="362.73600214515886"/>
    <n v="0"/>
    <n v="2372.63114"/>
    <n v="561.27346"/>
    <n v="0"/>
    <n v="2332.0439292671463"/>
    <n v="566.59363535073817"/>
  </r>
  <r>
    <s v="Regular"/>
    <x v="0"/>
    <x v="1"/>
    <x v="2"/>
    <x v="0"/>
    <x v="1"/>
    <x v="0"/>
    <x v="2"/>
    <x v="5"/>
    <n v="0"/>
    <n v="0"/>
    <n v="0.57899999999999996"/>
    <n v="0.57899999999999996"/>
    <n v="0.57899999999999996"/>
    <n v="0.57899999999999996"/>
    <n v="0"/>
    <x v="1"/>
    <n v="0"/>
    <n v="0"/>
    <n v="5"/>
    <n v="69"/>
    <n v="0"/>
    <n v="1518.97"/>
    <n v="359.33"/>
    <m/>
    <n v="1492.9858702094405"/>
    <n v="362.73600214515886"/>
    <n v="0"/>
    <n v="879.48362999999995"/>
    <n v="208.05206999999999"/>
    <n v="0"/>
    <n v="864.43881885126598"/>
    <n v="210.02414524204696"/>
  </r>
  <r>
    <s v="Sistema de Compensação"/>
    <x v="0"/>
    <x v="1"/>
    <x v="2"/>
    <x v="0"/>
    <x v="1"/>
    <x v="0"/>
    <x v="2"/>
    <x v="5"/>
    <n v="0"/>
    <n v="0"/>
    <n v="1.25"/>
    <n v="1.25"/>
    <n v="1.25"/>
    <n v="1.25"/>
    <n v="0"/>
    <x v="1"/>
    <n v="0"/>
    <n v="0"/>
    <n v="5"/>
    <n v="69"/>
    <n v="0"/>
    <n v="1518.97"/>
    <n v="359.33"/>
    <m/>
    <n v="1492.9858702094405"/>
    <n v="362.73600214515886"/>
    <n v="0"/>
    <n v="1898.7125000000001"/>
    <n v="449.16249999999997"/>
    <n v="0"/>
    <n v="1866.2323377618006"/>
    <n v="453.42000268144858"/>
  </r>
  <r>
    <s v="Regular"/>
    <x v="0"/>
    <x v="1"/>
    <x v="2"/>
    <x v="0"/>
    <x v="1"/>
    <x v="0"/>
    <x v="2"/>
    <x v="6"/>
    <n v="0"/>
    <n v="0"/>
    <n v="0.54400000000000004"/>
    <n v="0.54400000000000004"/>
    <n v="0.54400000000000004"/>
    <n v="0.54400000000000004"/>
    <n v="0"/>
    <x v="1"/>
    <n v="0"/>
    <n v="0"/>
    <n v="5"/>
    <n v="69"/>
    <n v="0"/>
    <n v="1518.97"/>
    <n v="359.33"/>
    <m/>
    <n v="1492.9858702094405"/>
    <n v="362.73600214515886"/>
    <n v="0"/>
    <n v="826.31968000000006"/>
    <n v="195.47552000000002"/>
    <n v="0"/>
    <n v="812.18431339393567"/>
    <n v="197.32838516696643"/>
  </r>
  <r>
    <s v="Sistema de Compensação"/>
    <x v="0"/>
    <x v="1"/>
    <x v="2"/>
    <x v="0"/>
    <x v="1"/>
    <x v="0"/>
    <x v="2"/>
    <x v="6"/>
    <n v="0"/>
    <n v="0"/>
    <n v="1.5529999999999999"/>
    <n v="1.5529999999999999"/>
    <n v="1.5529999999999999"/>
    <n v="1.5529999999999999"/>
    <n v="0"/>
    <x v="1"/>
    <n v="0"/>
    <n v="0"/>
    <n v="5"/>
    <n v="69"/>
    <n v="0"/>
    <n v="1518.97"/>
    <n v="359.33"/>
    <m/>
    <n v="1492.9858702094405"/>
    <n v="362.73600214515886"/>
    <n v="0"/>
    <n v="2358.9604100000001"/>
    <n v="558.03949"/>
    <n v="0"/>
    <n v="2318.6070564352608"/>
    <n v="563.32901133143173"/>
  </r>
  <r>
    <s v="Regular"/>
    <x v="0"/>
    <x v="1"/>
    <x v="2"/>
    <x v="0"/>
    <x v="1"/>
    <x v="0"/>
    <x v="2"/>
    <x v="7"/>
    <n v="0"/>
    <n v="0"/>
    <n v="0.58699999999999997"/>
    <n v="0.58699999999999997"/>
    <n v="0.58699999999999997"/>
    <n v="0.58699999999999997"/>
    <n v="0"/>
    <x v="1"/>
    <n v="0"/>
    <n v="0"/>
    <n v="5"/>
    <n v="69"/>
    <n v="0"/>
    <n v="1518.97"/>
    <n v="359.33"/>
    <m/>
    <n v="1492.9858702094405"/>
    <n v="362.73600214515886"/>
    <n v="0"/>
    <n v="891.63538999999992"/>
    <n v="210.92670999999999"/>
    <n v="0"/>
    <n v="876.38270581294148"/>
    <n v="212.92603325920825"/>
  </r>
  <r>
    <s v="Sistema de Compensação"/>
    <x v="0"/>
    <x v="1"/>
    <x v="2"/>
    <x v="0"/>
    <x v="1"/>
    <x v="0"/>
    <x v="2"/>
    <x v="7"/>
    <n v="0"/>
    <n v="0"/>
    <n v="1.262"/>
    <n v="1.262"/>
    <n v="1.262"/>
    <n v="1.262"/>
    <n v="0"/>
    <x v="1"/>
    <n v="0"/>
    <n v="0"/>
    <n v="5"/>
    <n v="69"/>
    <n v="0"/>
    <n v="1518.97"/>
    <n v="359.33"/>
    <m/>
    <n v="1492.9858702094405"/>
    <n v="362.73600214515886"/>
    <n v="0"/>
    <n v="1916.9401400000002"/>
    <n v="453.47445999999997"/>
    <n v="0"/>
    <n v="1884.1481682043138"/>
    <n v="457.7728347071905"/>
  </r>
  <r>
    <s v="Regular"/>
    <x v="0"/>
    <x v="1"/>
    <x v="2"/>
    <x v="0"/>
    <x v="1"/>
    <x v="0"/>
    <x v="2"/>
    <x v="8"/>
    <n v="0"/>
    <n v="0"/>
    <n v="0.48799999999999999"/>
    <n v="0.48799999999999999"/>
    <n v="0.48799999999999999"/>
    <n v="0.48799999999999999"/>
    <n v="0"/>
    <x v="1"/>
    <n v="0"/>
    <n v="0"/>
    <n v="5"/>
    <n v="69"/>
    <n v="0"/>
    <n v="1518.97"/>
    <n v="359.33"/>
    <m/>
    <n v="1492.9858702094405"/>
    <n v="362.73600214515886"/>
    <n v="0"/>
    <n v="741.25735999999995"/>
    <n v="175.35303999999999"/>
    <n v="0"/>
    <n v="728.57710466220692"/>
    <n v="177.01516904683751"/>
  </r>
  <r>
    <s v="Sistema de Compensação"/>
    <x v="0"/>
    <x v="1"/>
    <x v="2"/>
    <x v="0"/>
    <x v="1"/>
    <x v="0"/>
    <x v="2"/>
    <x v="8"/>
    <n v="0"/>
    <n v="0"/>
    <n v="1.2250000000000001"/>
    <n v="1.2250000000000001"/>
    <n v="1.2250000000000001"/>
    <n v="1.2250000000000001"/>
    <n v="0"/>
    <x v="1"/>
    <n v="0"/>
    <n v="0"/>
    <n v="5"/>
    <n v="69"/>
    <n v="0"/>
    <n v="1518.97"/>
    <n v="359.33"/>
    <m/>
    <n v="1492.9858702094405"/>
    <n v="362.73600214515886"/>
    <n v="0"/>
    <n v="1860.7382500000001"/>
    <n v="440.17925000000002"/>
    <n v="0"/>
    <n v="1828.9076910065646"/>
    <n v="444.35160262781966"/>
  </r>
  <r>
    <s v="Regular"/>
    <x v="0"/>
    <x v="1"/>
    <x v="2"/>
    <x v="0"/>
    <x v="1"/>
    <x v="0"/>
    <x v="2"/>
    <x v="9"/>
    <n v="0"/>
    <n v="0"/>
    <n v="0.53800000000000003"/>
    <n v="0.53800000000000003"/>
    <n v="0.53800000000000003"/>
    <n v="0.53800000000000003"/>
    <n v="0"/>
    <x v="1"/>
    <n v="0"/>
    <n v="0"/>
    <n v="5"/>
    <n v="69"/>
    <n v="0"/>
    <n v="1518.97"/>
    <n v="359.33"/>
    <m/>
    <n v="1492.9858702094405"/>
    <n v="362.73600214515886"/>
    <n v="0"/>
    <n v="817.20586000000003"/>
    <n v="193.31954000000002"/>
    <n v="0"/>
    <n v="803.22639817267907"/>
    <n v="195.15196915409547"/>
  </r>
  <r>
    <s v="Sistema de Compensação"/>
    <x v="0"/>
    <x v="1"/>
    <x v="2"/>
    <x v="0"/>
    <x v="1"/>
    <x v="0"/>
    <x v="2"/>
    <x v="9"/>
    <n v="0"/>
    <n v="0"/>
    <n v="1.3009999999999999"/>
    <n v="1.3009999999999999"/>
    <n v="1.3009999999999999"/>
    <n v="1.3009999999999999"/>
    <n v="0"/>
    <x v="1"/>
    <n v="0"/>
    <n v="0"/>
    <n v="5"/>
    <n v="69"/>
    <n v="0"/>
    <n v="1518.97"/>
    <n v="359.33"/>
    <m/>
    <n v="1492.9858702094405"/>
    <n v="362.73600214515886"/>
    <n v="0"/>
    <n v="1976.1799699999999"/>
    <n v="467.48832999999996"/>
    <n v="0"/>
    <n v="1942.3746171424818"/>
    <n v="471.91953879085168"/>
  </r>
  <r>
    <s v="Regular"/>
    <x v="0"/>
    <x v="1"/>
    <x v="2"/>
    <x v="0"/>
    <x v="1"/>
    <x v="0"/>
    <x v="2"/>
    <x v="10"/>
    <n v="0"/>
    <n v="0"/>
    <n v="0.55900000000000005"/>
    <n v="0.55900000000000005"/>
    <n v="0.55900000000000005"/>
    <n v="0.55900000000000005"/>
    <n v="0"/>
    <x v="1"/>
    <n v="0"/>
    <n v="0"/>
    <n v="5"/>
    <n v="69"/>
    <n v="0"/>
    <n v="1518.97"/>
    <n v="359.33"/>
    <m/>
    <n v="1492.9858702094405"/>
    <n v="362.73600214515886"/>
    <n v="0"/>
    <n v="849.10423000000014"/>
    <n v="200.86547000000002"/>
    <n v="0"/>
    <n v="834.57910144707728"/>
    <n v="202.76942519914383"/>
  </r>
  <r>
    <s v="Sistema de Compensação"/>
    <x v="0"/>
    <x v="1"/>
    <x v="2"/>
    <x v="0"/>
    <x v="1"/>
    <x v="0"/>
    <x v="2"/>
    <x v="10"/>
    <n v="0"/>
    <n v="0"/>
    <n v="1.222"/>
    <n v="1.222"/>
    <n v="1.222"/>
    <n v="1.222"/>
    <n v="0"/>
    <x v="1"/>
    <n v="0"/>
    <n v="0"/>
    <n v="5"/>
    <n v="69"/>
    <n v="0"/>
    <n v="1518.97"/>
    <n v="359.33"/>
    <m/>
    <n v="1492.9858702094405"/>
    <n v="362.73600214515886"/>
    <n v="0"/>
    <n v="1856.1813400000001"/>
    <n v="439.10125999999997"/>
    <n v="0"/>
    <n v="1824.4287333959362"/>
    <n v="443.26339462138412"/>
  </r>
  <r>
    <s v="PROJETADO"/>
    <x v="0"/>
    <x v="1"/>
    <x v="2"/>
    <x v="0"/>
    <x v="1"/>
    <x v="0"/>
    <x v="2"/>
    <x v="11"/>
    <n v="0"/>
    <n v="0"/>
    <n v="0.55900000000000005"/>
    <n v="0.55900000000000005"/>
    <n v="0.55900000000000005"/>
    <n v="0.55900000000000005"/>
    <n v="0"/>
    <x v="1"/>
    <n v="0"/>
    <n v="0"/>
    <n v="5"/>
    <n v="69"/>
    <n v="0"/>
    <n v="1518.97"/>
    <n v="359.33"/>
    <m/>
    <n v="1492.9858702094405"/>
    <n v="362.73600214515886"/>
    <n v="0"/>
    <n v="849.10423000000014"/>
    <n v="200.86547000000002"/>
    <n v="0"/>
    <n v="834.57910144707728"/>
    <n v="202.76942519914383"/>
  </r>
  <r>
    <s v="PROJETADO"/>
    <x v="0"/>
    <x v="1"/>
    <x v="2"/>
    <x v="0"/>
    <x v="1"/>
    <x v="0"/>
    <x v="2"/>
    <x v="11"/>
    <n v="0"/>
    <n v="0"/>
    <n v="1.222"/>
    <n v="1.222"/>
    <n v="1.222"/>
    <n v="1.222"/>
    <n v="0"/>
    <x v="1"/>
    <n v="0"/>
    <n v="0"/>
    <n v="5"/>
    <n v="69"/>
    <n v="0"/>
    <n v="1518.97"/>
    <n v="359.33"/>
    <m/>
    <n v="1492.9858702094405"/>
    <n v="362.73600214515886"/>
    <n v="0"/>
    <n v="1856.1813400000001"/>
    <n v="439.10125999999997"/>
    <n v="0"/>
    <n v="1824.4287333959362"/>
    <n v="443.26339462138412"/>
  </r>
  <r>
    <s v="Regular"/>
    <x v="0"/>
    <x v="1"/>
    <x v="3"/>
    <x v="1"/>
    <x v="1"/>
    <x v="0"/>
    <x v="0"/>
    <x v="0"/>
    <n v="0"/>
    <n v="0"/>
    <n v="144.673"/>
    <n v="135.99261999999999"/>
    <n v="144.673"/>
    <n v="135.99261999999999"/>
    <n v="0"/>
    <x v="1"/>
    <n v="0"/>
    <n v="0"/>
    <n v="18"/>
    <n v="73"/>
    <n v="0"/>
    <n v="73.19"/>
    <n v="211.71"/>
    <m/>
    <n v="117.83242038312405"/>
    <n v="222.99901551132911"/>
    <n v="0"/>
    <n v="9953.2998577999988"/>
    <n v="28790.997580199997"/>
    <n v="0"/>
    <n v="16024.339568842441"/>
    <n v="30326.220376806283"/>
  </r>
  <r>
    <s v="Regular"/>
    <x v="0"/>
    <x v="1"/>
    <x v="3"/>
    <x v="1"/>
    <x v="1"/>
    <x v="0"/>
    <x v="0"/>
    <x v="1"/>
    <n v="0"/>
    <n v="0"/>
    <n v="138.93100000000001"/>
    <n v="130.59513999999999"/>
    <n v="138.93100000000001"/>
    <n v="130.59513999999999"/>
    <n v="0"/>
    <x v="1"/>
    <n v="0"/>
    <n v="0"/>
    <n v="18"/>
    <n v="73"/>
    <n v="0"/>
    <n v="73.19"/>
    <n v="211.71"/>
    <m/>
    <n v="117.83242038312405"/>
    <n v="222.99901551132911"/>
    <n v="0"/>
    <n v="9558.2582965999991"/>
    <n v="27648.297089399999"/>
    <n v="0"/>
    <n v="15388.341436472936"/>
    <n v="29122.587650564194"/>
  </r>
  <r>
    <s v="Regular"/>
    <x v="0"/>
    <x v="1"/>
    <x v="3"/>
    <x v="1"/>
    <x v="1"/>
    <x v="0"/>
    <x v="0"/>
    <x v="2"/>
    <n v="0"/>
    <n v="0"/>
    <n v="147.15600000000001"/>
    <n v="138.32664"/>
    <n v="147.15600000000001"/>
    <n v="138.32664"/>
    <n v="0"/>
    <x v="1"/>
    <n v="0"/>
    <n v="0"/>
    <n v="18"/>
    <n v="73"/>
    <n v="0"/>
    <n v="73.19"/>
    <n v="211.71"/>
    <m/>
    <n v="117.83242038312405"/>
    <n v="222.99901551132911"/>
    <n v="0"/>
    <n v="10124.1267816"/>
    <n v="29285.1329544"/>
    <n v="0"/>
    <n v="16299.362794665061"/>
    <n v="30846.704538990038"/>
  </r>
  <r>
    <s v="Regular"/>
    <x v="0"/>
    <x v="1"/>
    <x v="3"/>
    <x v="1"/>
    <x v="1"/>
    <x v="0"/>
    <x v="0"/>
    <x v="3"/>
    <n v="0"/>
    <n v="0"/>
    <n v="150.27600000000001"/>
    <n v="141.25944000000001"/>
    <n v="150.27600000000001"/>
    <n v="141.25944000000001"/>
    <n v="0"/>
    <x v="1"/>
    <n v="0"/>
    <n v="0"/>
    <n v="18"/>
    <n v="73"/>
    <n v="0"/>
    <n v="73.19"/>
    <n v="211.71"/>
    <m/>
    <n v="117.83242038312405"/>
    <n v="222.99901551132911"/>
    <n v="0"/>
    <n v="10338.778413600001"/>
    <n v="29906.036042400003"/>
    <n v="0"/>
    <n v="16644.941717164689"/>
    <n v="31500.716051681666"/>
  </r>
  <r>
    <s v="Regular"/>
    <x v="0"/>
    <x v="1"/>
    <x v="3"/>
    <x v="1"/>
    <x v="1"/>
    <x v="0"/>
    <x v="0"/>
    <x v="4"/>
    <n v="0"/>
    <n v="0"/>
    <n v="179.06700000000001"/>
    <n v="168.32298"/>
    <n v="179.06700000000001"/>
    <n v="168.32298"/>
    <n v="0"/>
    <x v="1"/>
    <n v="0"/>
    <n v="0"/>
    <n v="18"/>
    <n v="73"/>
    <n v="0"/>
    <n v="73.19"/>
    <n v="211.71"/>
    <m/>
    <n v="117.83242038312405"/>
    <n v="222.99901551132911"/>
    <n v="0"/>
    <n v="12319.5589062"/>
    <n v="35635.658095800005"/>
    <n v="0"/>
    <n v="19833.90413950018"/>
    <n v="37535.858827933138"/>
  </r>
  <r>
    <s v="Regular"/>
    <x v="0"/>
    <x v="1"/>
    <x v="3"/>
    <x v="1"/>
    <x v="1"/>
    <x v="0"/>
    <x v="0"/>
    <x v="5"/>
    <n v="0"/>
    <n v="0"/>
    <n v="219.52799999999999"/>
    <n v="206.35632000000001"/>
    <n v="219.52799999999999"/>
    <n v="206.35632000000001"/>
    <n v="0"/>
    <x v="1"/>
    <n v="0"/>
    <n v="0"/>
    <n v="18"/>
    <n v="73"/>
    <n v="0"/>
    <n v="73.19"/>
    <n v="211.71"/>
    <m/>
    <n v="117.83242038312405"/>
    <n v="222.99901551132911"/>
    <n v="0"/>
    <n v="15103.2190608"/>
    <n v="43687.696507200002"/>
    <n v="0"/>
    <n v="24315.464646954468"/>
    <n v="46017.256204540798"/>
  </r>
  <r>
    <s v="Regular"/>
    <x v="0"/>
    <x v="1"/>
    <x v="3"/>
    <x v="1"/>
    <x v="1"/>
    <x v="0"/>
    <x v="0"/>
    <x v="6"/>
    <n v="0"/>
    <n v="0"/>
    <n v="177.56899999999999"/>
    <n v="166.91486"/>
    <n v="177.56899999999999"/>
    <n v="166.91486"/>
    <n v="0"/>
    <x v="1"/>
    <n v="0"/>
    <n v="0"/>
    <n v="18"/>
    <n v="73"/>
    <n v="0"/>
    <n v="73.19"/>
    <n v="211.71"/>
    <m/>
    <n v="117.83242038312405"/>
    <n v="222.99901551132911"/>
    <n v="0"/>
    <n v="12216.498603399999"/>
    <n v="35337.545010599999"/>
    <n v="0"/>
    <n v="19667.981951710295"/>
    <n v="37221.849454211326"/>
  </r>
  <r>
    <s v="Regular"/>
    <x v="0"/>
    <x v="1"/>
    <x v="3"/>
    <x v="1"/>
    <x v="1"/>
    <x v="0"/>
    <x v="0"/>
    <x v="7"/>
    <n v="0"/>
    <n v="0"/>
    <n v="170.62100000000001"/>
    <n v="160.38373999999999"/>
    <n v="170.62100000000001"/>
    <n v="160.38373999999999"/>
    <n v="0"/>
    <x v="1"/>
    <n v="0"/>
    <n v="0"/>
    <n v="18"/>
    <n v="73"/>
    <n v="0"/>
    <n v="73.19"/>
    <n v="211.71"/>
    <m/>
    <n v="117.83242038312405"/>
    <n v="222.99901551132911"/>
    <n v="0"/>
    <n v="11738.485930599998"/>
    <n v="33954.841595400001"/>
    <n v="0"/>
    <n v="18898.404274297667"/>
    <n v="35765.416124024974"/>
  </r>
  <r>
    <s v="Regular"/>
    <x v="0"/>
    <x v="1"/>
    <x v="3"/>
    <x v="1"/>
    <x v="1"/>
    <x v="0"/>
    <x v="0"/>
    <x v="8"/>
    <n v="0"/>
    <n v="0"/>
    <n v="164.25200000000001"/>
    <n v="154.39688000000001"/>
    <n v="164.25200000000001"/>
    <n v="154.39688000000001"/>
    <n v="0"/>
    <x v="1"/>
    <n v="0"/>
    <n v="0"/>
    <n v="18"/>
    <n v="73"/>
    <n v="0"/>
    <n v="73.19"/>
    <n v="211.71"/>
    <m/>
    <n v="117.83242038312405"/>
    <n v="222.99901551132911"/>
    <n v="0"/>
    <n v="11300.307647200001"/>
    <n v="32687.363464800004"/>
    <n v="0"/>
    <n v="18192.958070002758"/>
    <n v="34430.352238020823"/>
  </r>
  <r>
    <s v="Regular"/>
    <x v="0"/>
    <x v="1"/>
    <x v="3"/>
    <x v="1"/>
    <x v="1"/>
    <x v="0"/>
    <x v="0"/>
    <x v="9"/>
    <n v="0"/>
    <n v="0"/>
    <n v="160.15100000000001"/>
    <n v="150.54194000000001"/>
    <n v="160.15100000000001"/>
    <n v="150.54194000000001"/>
    <n v="0"/>
    <x v="1"/>
    <n v="0"/>
    <n v="0"/>
    <n v="18"/>
    <n v="73"/>
    <n v="0"/>
    <n v="73.19"/>
    <n v="211.71"/>
    <m/>
    <n v="117.83242038312405"/>
    <n v="222.99901551132911"/>
    <n v="0"/>
    <n v="11018.164588600001"/>
    <n v="31871.234117400003"/>
    <n v="0"/>
    <n v="17738.721159371038"/>
    <n v="33570.704413165578"/>
  </r>
  <r>
    <s v="Regular"/>
    <x v="0"/>
    <x v="1"/>
    <x v="3"/>
    <x v="1"/>
    <x v="1"/>
    <x v="0"/>
    <x v="0"/>
    <x v="10"/>
    <n v="0"/>
    <n v="0"/>
    <n v="160.02600000000001"/>
    <n v="150.42444"/>
    <n v="160.02600000000001"/>
    <n v="150.42444"/>
    <n v="0"/>
    <x v="1"/>
    <n v="0"/>
    <n v="0"/>
    <n v="18"/>
    <n v="73"/>
    <n v="0"/>
    <n v="73.19"/>
    <n v="211.71"/>
    <m/>
    <n v="117.83242038312405"/>
    <n v="222.99901551132911"/>
    <n v="0"/>
    <n v="11009.564763599999"/>
    <n v="31846.358192400003"/>
    <n v="0"/>
    <n v="17724.875849976019"/>
    <n v="33544.502028842995"/>
  </r>
  <r>
    <s v="PROJETADO"/>
    <x v="0"/>
    <x v="1"/>
    <x v="3"/>
    <x v="1"/>
    <x v="1"/>
    <x v="0"/>
    <x v="0"/>
    <x v="11"/>
    <n v="0"/>
    <n v="0"/>
    <n v="160.02600000000001"/>
    <n v="150.42444"/>
    <n v="160.02600000000001"/>
    <n v="150.42444"/>
    <n v="0"/>
    <x v="1"/>
    <n v="0"/>
    <n v="0"/>
    <n v="18"/>
    <n v="73"/>
    <n v="0"/>
    <n v="73.19"/>
    <n v="211.71"/>
    <m/>
    <n v="117.83242038312405"/>
    <n v="222.99901551132911"/>
    <n v="0"/>
    <n v="11009.564763599999"/>
    <n v="31846.358192400003"/>
    <n v="0"/>
    <n v="17724.875849976019"/>
    <n v="33544.502028842995"/>
  </r>
  <r>
    <s v="Regular"/>
    <x v="0"/>
    <x v="1"/>
    <x v="3"/>
    <x v="1"/>
    <x v="1"/>
    <x v="0"/>
    <x v="1"/>
    <x v="0"/>
    <n v="400"/>
    <n v="340"/>
    <n v="0"/>
    <n v="0"/>
    <n v="0"/>
    <n v="0"/>
    <n v="1"/>
    <x v="1"/>
    <n v="0"/>
    <n v="24"/>
    <n v="0"/>
    <n v="0"/>
    <n v="22.9"/>
    <n v="0"/>
    <n v="0"/>
    <n v="21.733731888847863"/>
    <m/>
    <m/>
    <n v="7785.9999999999991"/>
    <n v="0"/>
    <n v="0"/>
    <n v="7389.4688422082736"/>
    <n v="0"/>
    <n v="0"/>
  </r>
  <r>
    <s v="Regular"/>
    <x v="0"/>
    <x v="1"/>
    <x v="3"/>
    <x v="1"/>
    <x v="1"/>
    <x v="0"/>
    <x v="1"/>
    <x v="1"/>
    <n v="400"/>
    <n v="340"/>
    <n v="0"/>
    <n v="0"/>
    <n v="0"/>
    <n v="0"/>
    <n v="1"/>
    <x v="1"/>
    <n v="0"/>
    <n v="24"/>
    <n v="0"/>
    <n v="0"/>
    <n v="22.9"/>
    <n v="0"/>
    <n v="0"/>
    <n v="21.733731888847863"/>
    <m/>
    <m/>
    <n v="7785.9999999999991"/>
    <n v="0"/>
    <n v="0"/>
    <n v="7389.4688422082736"/>
    <n v="0"/>
    <n v="0"/>
  </r>
  <r>
    <s v="Regular"/>
    <x v="0"/>
    <x v="1"/>
    <x v="3"/>
    <x v="1"/>
    <x v="1"/>
    <x v="0"/>
    <x v="1"/>
    <x v="2"/>
    <n v="400"/>
    <n v="340"/>
    <n v="0"/>
    <n v="0"/>
    <n v="0"/>
    <n v="0"/>
    <n v="1"/>
    <x v="1"/>
    <n v="0"/>
    <n v="24"/>
    <n v="0"/>
    <n v="0"/>
    <n v="22.9"/>
    <n v="0"/>
    <n v="0"/>
    <n v="21.733731888847863"/>
    <m/>
    <m/>
    <n v="7785.9999999999991"/>
    <n v="0"/>
    <n v="0"/>
    <n v="7389.4688422082736"/>
    <n v="0"/>
    <n v="0"/>
  </r>
  <r>
    <s v="Regular"/>
    <x v="0"/>
    <x v="1"/>
    <x v="3"/>
    <x v="1"/>
    <x v="1"/>
    <x v="0"/>
    <x v="1"/>
    <x v="3"/>
    <n v="400"/>
    <n v="340"/>
    <n v="0"/>
    <n v="0"/>
    <n v="0"/>
    <n v="0"/>
    <n v="1"/>
    <x v="1"/>
    <n v="0"/>
    <n v="24"/>
    <n v="0"/>
    <n v="0"/>
    <n v="22.9"/>
    <n v="0"/>
    <n v="0"/>
    <n v="21.733731888847863"/>
    <m/>
    <m/>
    <n v="7785.9999999999991"/>
    <n v="0"/>
    <n v="0"/>
    <n v="7389.4688422082736"/>
    <n v="0"/>
    <n v="0"/>
  </r>
  <r>
    <s v="Regular"/>
    <x v="0"/>
    <x v="1"/>
    <x v="3"/>
    <x v="1"/>
    <x v="1"/>
    <x v="0"/>
    <x v="1"/>
    <x v="4"/>
    <n v="484"/>
    <n v="411.4"/>
    <n v="0"/>
    <n v="0"/>
    <n v="0"/>
    <n v="0"/>
    <n v="1"/>
    <x v="1"/>
    <n v="0"/>
    <n v="24"/>
    <n v="0"/>
    <n v="0"/>
    <n v="22.9"/>
    <n v="0"/>
    <n v="0"/>
    <n v="21.733731888847863"/>
    <m/>
    <m/>
    <n v="9421.06"/>
    <n v="0"/>
    <n v="0"/>
    <n v="8941.2572990720109"/>
    <n v="0"/>
    <n v="0"/>
  </r>
  <r>
    <s v="Regular"/>
    <x v="0"/>
    <x v="1"/>
    <x v="3"/>
    <x v="1"/>
    <x v="1"/>
    <x v="0"/>
    <x v="1"/>
    <x v="5"/>
    <n v="490"/>
    <n v="416.5"/>
    <n v="0"/>
    <n v="0"/>
    <n v="0"/>
    <n v="0"/>
    <n v="1"/>
    <x v="1"/>
    <n v="0"/>
    <n v="24"/>
    <n v="0"/>
    <n v="0"/>
    <n v="22.9"/>
    <n v="0"/>
    <n v="0"/>
    <n v="21.733731888847863"/>
    <m/>
    <m/>
    <n v="9537.8499999999985"/>
    <n v="0"/>
    <n v="0"/>
    <n v="9052.0993317051343"/>
    <n v="0"/>
    <n v="0"/>
  </r>
  <r>
    <s v="Regular"/>
    <x v="0"/>
    <x v="1"/>
    <x v="3"/>
    <x v="1"/>
    <x v="1"/>
    <x v="0"/>
    <x v="1"/>
    <x v="6"/>
    <n v="421"/>
    <n v="357.84999999999997"/>
    <n v="0"/>
    <n v="0"/>
    <n v="0"/>
    <n v="0"/>
    <n v="1"/>
    <x v="1"/>
    <n v="0"/>
    <n v="24"/>
    <n v="0"/>
    <n v="0"/>
    <n v="22.9"/>
    <n v="0"/>
    <n v="0"/>
    <n v="21.733731888847863"/>
    <m/>
    <m/>
    <n v="8194.7649999999994"/>
    <n v="0"/>
    <n v="0"/>
    <n v="7777.4159564242073"/>
    <n v="0"/>
    <n v="0"/>
  </r>
  <r>
    <s v="Regular"/>
    <x v="0"/>
    <x v="1"/>
    <x v="3"/>
    <x v="1"/>
    <x v="1"/>
    <x v="0"/>
    <x v="1"/>
    <x v="7"/>
    <n v="426"/>
    <n v="362.09999999999997"/>
    <n v="0"/>
    <n v="0"/>
    <n v="0"/>
    <n v="0"/>
    <n v="1"/>
    <x v="1"/>
    <n v="0"/>
    <n v="24"/>
    <n v="0"/>
    <n v="0"/>
    <n v="22.9"/>
    <n v="0"/>
    <n v="0"/>
    <n v="21.733731888847863"/>
    <m/>
    <m/>
    <n v="8292.0899999999983"/>
    <n v="0"/>
    <n v="0"/>
    <n v="7869.784316951811"/>
    <n v="0"/>
    <n v="0"/>
  </r>
  <r>
    <s v="Regular"/>
    <x v="0"/>
    <x v="1"/>
    <x v="3"/>
    <x v="1"/>
    <x v="1"/>
    <x v="0"/>
    <x v="1"/>
    <x v="8"/>
    <n v="405"/>
    <n v="344.25"/>
    <n v="0"/>
    <n v="0"/>
    <n v="0"/>
    <n v="0"/>
    <n v="1"/>
    <x v="1"/>
    <n v="0"/>
    <n v="24"/>
    <n v="0"/>
    <n v="0"/>
    <n v="22.9"/>
    <n v="0"/>
    <n v="0"/>
    <n v="21.733731888847863"/>
    <m/>
    <m/>
    <n v="7883.3249999999998"/>
    <n v="0"/>
    <n v="0"/>
    <n v="7481.8372027358773"/>
    <n v="0"/>
    <n v="0"/>
  </r>
  <r>
    <s v="Regular"/>
    <x v="0"/>
    <x v="1"/>
    <x v="3"/>
    <x v="1"/>
    <x v="1"/>
    <x v="0"/>
    <x v="1"/>
    <x v="9"/>
    <n v="400"/>
    <n v="340"/>
    <n v="0"/>
    <n v="0"/>
    <n v="0"/>
    <n v="0"/>
    <n v="1"/>
    <x v="1"/>
    <n v="0"/>
    <n v="24"/>
    <n v="0"/>
    <n v="0"/>
    <n v="22.9"/>
    <n v="0"/>
    <n v="0"/>
    <n v="21.733731888847863"/>
    <m/>
    <m/>
    <n v="7785.9999999999991"/>
    <n v="0"/>
    <n v="0"/>
    <n v="7389.4688422082736"/>
    <n v="0"/>
    <n v="0"/>
  </r>
  <r>
    <s v="Regular"/>
    <x v="0"/>
    <x v="1"/>
    <x v="3"/>
    <x v="1"/>
    <x v="1"/>
    <x v="0"/>
    <x v="1"/>
    <x v="10"/>
    <n v="400"/>
    <n v="340"/>
    <n v="0"/>
    <n v="0"/>
    <n v="0"/>
    <n v="0"/>
    <n v="1"/>
    <x v="1"/>
    <n v="0"/>
    <n v="24"/>
    <n v="0"/>
    <n v="0"/>
    <n v="22.9"/>
    <n v="0"/>
    <n v="0"/>
    <n v="21.733731888847863"/>
    <m/>
    <m/>
    <n v="7785.9999999999991"/>
    <n v="0"/>
    <n v="0"/>
    <n v="7389.4688422082736"/>
    <n v="0"/>
    <n v="0"/>
  </r>
  <r>
    <s v="PROJETADO"/>
    <x v="0"/>
    <x v="1"/>
    <x v="3"/>
    <x v="1"/>
    <x v="1"/>
    <x v="0"/>
    <x v="1"/>
    <x v="11"/>
    <n v="400"/>
    <n v="340"/>
    <n v="0"/>
    <n v="0"/>
    <n v="0"/>
    <n v="0"/>
    <n v="1"/>
    <x v="1"/>
    <n v="0"/>
    <n v="24"/>
    <n v="0"/>
    <n v="0"/>
    <n v="22.9"/>
    <n v="0"/>
    <n v="0"/>
    <n v="21.733731888847863"/>
    <m/>
    <m/>
    <n v="7785.9999999999991"/>
    <n v="0"/>
    <n v="0"/>
    <n v="7389.4688422082736"/>
    <n v="0"/>
    <n v="0"/>
  </r>
  <r>
    <s v="Regular"/>
    <x v="0"/>
    <x v="1"/>
    <x v="3"/>
    <x v="1"/>
    <x v="1"/>
    <x v="0"/>
    <x v="2"/>
    <x v="0"/>
    <n v="0"/>
    <n v="0"/>
    <n v="14.43"/>
    <n v="13.5642"/>
    <n v="14.43"/>
    <n v="13.5642"/>
    <n v="0"/>
    <x v="1"/>
    <n v="0"/>
    <n v="0"/>
    <n v="5"/>
    <n v="69"/>
    <n v="0"/>
    <n v="1518.97"/>
    <n v="359.33"/>
    <m/>
    <n v="1492.9858702094405"/>
    <n v="362.73600214515886"/>
    <n v="0"/>
    <n v="20603.612873999999"/>
    <n v="4874.0239859999992"/>
    <n v="0"/>
    <n v="20251.158940694891"/>
    <n v="4920.2236802973639"/>
  </r>
  <r>
    <s v="Regular"/>
    <x v="0"/>
    <x v="1"/>
    <x v="3"/>
    <x v="1"/>
    <x v="1"/>
    <x v="0"/>
    <x v="2"/>
    <x v="1"/>
    <n v="0"/>
    <n v="0"/>
    <n v="13.776999999999999"/>
    <n v="12.950379999999999"/>
    <n v="13.776999999999999"/>
    <n v="12.950379999999999"/>
    <n v="0"/>
    <x v="1"/>
    <n v="0"/>
    <n v="0"/>
    <n v="5"/>
    <n v="69"/>
    <n v="0"/>
    <n v="1518.97"/>
    <n v="359.33"/>
    <m/>
    <n v="1492.9858702094405"/>
    <n v="362.73600214515886"/>
    <n v="0"/>
    <n v="19671.238708599998"/>
    <n v="4653.4600453999992"/>
    <n v="0"/>
    <n v="19334.734353842934"/>
    <n v="4697.5690674606221"/>
  </r>
  <r>
    <s v="Regular"/>
    <x v="0"/>
    <x v="1"/>
    <x v="3"/>
    <x v="1"/>
    <x v="1"/>
    <x v="0"/>
    <x v="2"/>
    <x v="2"/>
    <n v="0"/>
    <n v="0"/>
    <n v="12.991"/>
    <n v="12.211539999999999"/>
    <n v="12.991"/>
    <n v="12.211539999999999"/>
    <n v="0"/>
    <x v="1"/>
    <n v="0"/>
    <n v="0"/>
    <n v="5"/>
    <n v="69"/>
    <n v="0"/>
    <n v="1518.97"/>
    <n v="359.33"/>
    <m/>
    <n v="1492.9858702094405"/>
    <n v="362.73600214515886"/>
    <n v="0"/>
    <n v="18548.962913799998"/>
    <n v="4387.9726681999991"/>
    <n v="0"/>
    <n v="18231.656673497389"/>
    <n v="4429.5651996356928"/>
  </r>
  <r>
    <s v="Regular"/>
    <x v="0"/>
    <x v="1"/>
    <x v="3"/>
    <x v="1"/>
    <x v="1"/>
    <x v="0"/>
    <x v="2"/>
    <x v="3"/>
    <n v="0"/>
    <n v="0"/>
    <n v="14.047000000000001"/>
    <n v="13.204179999999999"/>
    <n v="14.047000000000001"/>
    <n v="13.204179999999999"/>
    <n v="0"/>
    <x v="1"/>
    <n v="0"/>
    <n v="0"/>
    <n v="5"/>
    <n v="69"/>
    <n v="0"/>
    <n v="1518.97"/>
    <n v="359.33"/>
    <m/>
    <n v="1492.9858702094405"/>
    <n v="362.73600214515886"/>
    <n v="0"/>
    <n v="20056.753294599999"/>
    <n v="4744.6579993999994"/>
    <n v="0"/>
    <n v="19713.654167702087"/>
    <n v="4789.6314648050638"/>
  </r>
  <r>
    <s v="Regular"/>
    <x v="0"/>
    <x v="1"/>
    <x v="3"/>
    <x v="1"/>
    <x v="1"/>
    <x v="0"/>
    <x v="2"/>
    <x v="4"/>
    <n v="0"/>
    <n v="0"/>
    <n v="21.306000000000001"/>
    <n v="20.027640000000002"/>
    <n v="21.306000000000001"/>
    <n v="20.027640000000002"/>
    <n v="0"/>
    <x v="1"/>
    <n v="0"/>
    <n v="0"/>
    <n v="5"/>
    <n v="69"/>
    <n v="0"/>
    <n v="1518.97"/>
    <n v="359.33"/>
    <m/>
    <n v="1492.9858702094405"/>
    <n v="362.73600214515886"/>
    <n v="0"/>
    <n v="30421.384330800003"/>
    <n v="7196.5318812000005"/>
    <n v="0"/>
    <n v="29900.9835336414"/>
    <n v="7264.7460660024699"/>
  </r>
  <r>
    <s v="Regular"/>
    <x v="0"/>
    <x v="1"/>
    <x v="3"/>
    <x v="1"/>
    <x v="1"/>
    <x v="0"/>
    <x v="2"/>
    <x v="5"/>
    <n v="0"/>
    <n v="0"/>
    <n v="22.757000000000001"/>
    <n v="21.391580000000001"/>
    <n v="22.757000000000001"/>
    <n v="21.391580000000001"/>
    <n v="0"/>
    <x v="1"/>
    <n v="0"/>
    <n v="0"/>
    <n v="5"/>
    <n v="69"/>
    <n v="0"/>
    <n v="1518.97"/>
    <n v="359.33"/>
    <m/>
    <n v="1492.9858702094405"/>
    <n v="362.73600214515886"/>
    <n v="0"/>
    <n v="32493.168272600004"/>
    <n v="7686.6364414"/>
    <n v="0"/>
    <n v="31937.326681454862"/>
    <n v="7759.496208768338"/>
  </r>
  <r>
    <s v="Regular"/>
    <x v="0"/>
    <x v="1"/>
    <x v="3"/>
    <x v="1"/>
    <x v="1"/>
    <x v="0"/>
    <x v="2"/>
    <x v="6"/>
    <n v="0"/>
    <n v="0"/>
    <n v="18.914000000000001"/>
    <n v="17.779160000000001"/>
    <n v="18.914000000000001"/>
    <n v="17.779160000000001"/>
    <n v="0"/>
    <x v="1"/>
    <n v="0"/>
    <n v="0"/>
    <n v="5"/>
    <n v="69"/>
    <n v="0"/>
    <n v="1518.97"/>
    <n v="359.33"/>
    <m/>
    <n v="1492.9858702094405"/>
    <n v="362.73600214515886"/>
    <n v="0"/>
    <n v="27006.010665200003"/>
    <n v="6388.5855627999999"/>
    <n v="0"/>
    <n v="26544.034664192877"/>
    <n v="6449.1414198991233"/>
  </r>
  <r>
    <s v="Regular"/>
    <x v="0"/>
    <x v="1"/>
    <x v="3"/>
    <x v="1"/>
    <x v="1"/>
    <x v="0"/>
    <x v="2"/>
    <x v="7"/>
    <n v="0"/>
    <n v="0"/>
    <n v="19.082000000000001"/>
    <n v="17.937080000000002"/>
    <n v="19.082000000000001"/>
    <n v="17.937080000000002"/>
    <n v="0"/>
    <x v="1"/>
    <n v="0"/>
    <n v="0"/>
    <n v="5"/>
    <n v="69"/>
    <n v="0"/>
    <n v="1518.97"/>
    <n v="359.33"/>
    <m/>
    <n v="1492.9858702094405"/>
    <n v="362.73600214515886"/>
    <n v="0"/>
    <n v="27245.886407600003"/>
    <n v="6445.3309564000001"/>
    <n v="0"/>
    <n v="26779.806992816353"/>
    <n v="6506.4246893578866"/>
  </r>
  <r>
    <s v="Regular"/>
    <x v="0"/>
    <x v="1"/>
    <x v="3"/>
    <x v="1"/>
    <x v="1"/>
    <x v="0"/>
    <x v="2"/>
    <x v="8"/>
    <n v="0"/>
    <n v="0"/>
    <n v="16.46"/>
    <n v="15.4724"/>
    <n v="16.46"/>
    <n v="15.4724"/>
    <n v="0"/>
    <x v="1"/>
    <n v="0"/>
    <n v="0"/>
    <n v="5"/>
    <n v="69"/>
    <n v="0"/>
    <n v="1518.97"/>
    <n v="359.33"/>
    <m/>
    <n v="1492.9858702094405"/>
    <n v="362.73600214515886"/>
    <n v="0"/>
    <n v="23502.111428"/>
    <n v="5559.6974920000002"/>
    <n v="0"/>
    <n v="23100.074578228548"/>
    <n v="5612.3965195907558"/>
  </r>
  <r>
    <s v="Regular"/>
    <x v="0"/>
    <x v="1"/>
    <x v="3"/>
    <x v="1"/>
    <x v="1"/>
    <x v="0"/>
    <x v="2"/>
    <x v="9"/>
    <n v="0"/>
    <n v="0"/>
    <n v="17.936"/>
    <n v="16.859839999999998"/>
    <n v="17.936"/>
    <n v="16.859839999999998"/>
    <n v="0"/>
    <x v="1"/>
    <n v="0"/>
    <n v="0"/>
    <n v="5"/>
    <n v="69"/>
    <n v="0"/>
    <n v="1518.97"/>
    <n v="359.33"/>
    <m/>
    <n v="1492.9858702094405"/>
    <n v="362.73600214515886"/>
    <n v="0"/>
    <n v="25609.591164799996"/>
    <n v="6058.2463071999991"/>
    <n v="0"/>
    <n v="25171.502893991932"/>
    <n v="6115.670958407035"/>
  </r>
  <r>
    <s v="Regular"/>
    <x v="0"/>
    <x v="1"/>
    <x v="3"/>
    <x v="1"/>
    <x v="1"/>
    <x v="0"/>
    <x v="2"/>
    <x v="10"/>
    <n v="0"/>
    <n v="0"/>
    <n v="18.001000000000001"/>
    <n v="16.920940000000002"/>
    <n v="18.001000000000001"/>
    <n v="16.920940000000002"/>
    <n v="0"/>
    <x v="1"/>
    <n v="0"/>
    <n v="0"/>
    <n v="5"/>
    <n v="69"/>
    <n v="0"/>
    <n v="1518.97"/>
    <n v="359.33"/>
    <m/>
    <n v="1492.9858702094405"/>
    <n v="362.73600214515886"/>
    <n v="0"/>
    <n v="25702.400231800002"/>
    <n v="6080.2013702000004"/>
    <n v="0"/>
    <n v="25262.724330661731"/>
    <n v="6137.8341281381054"/>
  </r>
  <r>
    <s v="PROJETADO"/>
    <x v="0"/>
    <x v="1"/>
    <x v="3"/>
    <x v="1"/>
    <x v="1"/>
    <x v="0"/>
    <x v="2"/>
    <x v="11"/>
    <n v="0"/>
    <n v="0"/>
    <n v="18.001000000000001"/>
    <n v="16.920940000000002"/>
    <n v="18.001000000000001"/>
    <n v="16.920940000000002"/>
    <n v="0"/>
    <x v="1"/>
    <n v="0"/>
    <n v="0"/>
    <n v="5"/>
    <n v="69"/>
    <n v="0"/>
    <n v="1518.97"/>
    <n v="359.33"/>
    <m/>
    <n v="1492.9858702094405"/>
    <n v="362.73600214515886"/>
    <n v="0"/>
    <n v="25702.400231800002"/>
    <n v="6080.2013702000004"/>
    <n v="0"/>
    <n v="25262.724330661731"/>
    <n v="6137.8341281381054"/>
  </r>
  <r>
    <s v="Regular"/>
    <x v="1"/>
    <x v="2"/>
    <x v="4"/>
    <x v="2"/>
    <x v="1"/>
    <x v="0"/>
    <x v="1"/>
    <x v="0"/>
    <n v="0"/>
    <n v="0"/>
    <n v="4928.0069999999996"/>
    <n v="4928.0069999999996"/>
    <n v="4928.0069999999996"/>
    <n v="4928.0069999999996"/>
    <n v="33874"/>
    <x v="1"/>
    <n v="0"/>
    <n v="0"/>
    <n v="2"/>
    <n v="41"/>
    <n v="0"/>
    <n v="338.51"/>
    <n v="224.01"/>
    <m/>
    <n v="417.58832886049538"/>
    <n v="234.64376439748159"/>
    <n v="0"/>
    <n v="1668179.6495699999"/>
    <n v="1103922.8480699998"/>
    <n v="0"/>
    <n v="2057878.2077428231"/>
    <n v="1156326.11345714"/>
  </r>
  <r>
    <s v="Refaturamento - Regular"/>
    <x v="1"/>
    <x v="2"/>
    <x v="4"/>
    <x v="2"/>
    <x v="1"/>
    <x v="0"/>
    <x v="1"/>
    <x v="0"/>
    <n v="0"/>
    <n v="0"/>
    <n v="-7.3739999999999997"/>
    <n v="-7.3739999999999997"/>
    <n v="-7.3739999999999997"/>
    <n v="-7.3739999999999997"/>
    <n v="0"/>
    <x v="1"/>
    <n v="0"/>
    <n v="0"/>
    <n v="2"/>
    <n v="41"/>
    <n v="0"/>
    <n v="338.51"/>
    <n v="224.01"/>
    <m/>
    <n v="417.58832886049538"/>
    <n v="234.64376439748159"/>
    <n v="0"/>
    <n v="-2496.17274"/>
    <n v="-1651.8497399999999"/>
    <n v="0"/>
    <n v="-3079.2963370172929"/>
    <n v="-1730.2631186670292"/>
  </r>
  <r>
    <s v="Sistema de Compensação"/>
    <x v="1"/>
    <x v="2"/>
    <x v="4"/>
    <x v="2"/>
    <x v="1"/>
    <x v="0"/>
    <x v="1"/>
    <x v="0"/>
    <n v="0"/>
    <n v="0"/>
    <n v="15.32"/>
    <n v="15.32"/>
    <n v="15.32"/>
    <n v="15.32"/>
    <n v="70"/>
    <x v="1"/>
    <n v="0"/>
    <n v="0"/>
    <n v="2"/>
    <n v="41"/>
    <n v="0"/>
    <n v="338.51"/>
    <n v="224.01"/>
    <m/>
    <n v="417.58832886049538"/>
    <n v="234.64376439748159"/>
    <n v="0"/>
    <n v="5185.9732000000004"/>
    <n v="3431.8332"/>
    <n v="0"/>
    <n v="6397.453198142789"/>
    <n v="3594.7424705694179"/>
  </r>
  <r>
    <s v="Regular"/>
    <x v="1"/>
    <x v="2"/>
    <x v="4"/>
    <x v="2"/>
    <x v="1"/>
    <x v="0"/>
    <x v="1"/>
    <x v="1"/>
    <n v="0"/>
    <n v="0"/>
    <n v="5208.9440000000004"/>
    <n v="5208.9440000000004"/>
    <n v="5208.9440000000004"/>
    <n v="5208.9440000000004"/>
    <n v="33927"/>
    <x v="1"/>
    <n v="0"/>
    <n v="0"/>
    <n v="2"/>
    <n v="41"/>
    <n v="0"/>
    <n v="338.51"/>
    <n v="224.01"/>
    <m/>
    <n v="417.58832886049538"/>
    <n v="234.64376439748159"/>
    <n v="0"/>
    <n v="1763279.63344"/>
    <n v="1166855.54544"/>
    <n v="0"/>
    <n v="2175194.2200879045"/>
    <n v="1222246.2286956755"/>
  </r>
  <r>
    <s v="Refaturamento - Regular"/>
    <x v="1"/>
    <x v="2"/>
    <x v="4"/>
    <x v="2"/>
    <x v="1"/>
    <x v="0"/>
    <x v="1"/>
    <x v="1"/>
    <n v="0"/>
    <n v="0"/>
    <n v="-5.6660000000000004"/>
    <n v="-5.6660000000000004"/>
    <n v="-5.6660000000000004"/>
    <n v="-5.6660000000000004"/>
    <n v="0"/>
    <x v="1"/>
    <n v="0"/>
    <n v="0"/>
    <n v="2"/>
    <n v="41"/>
    <n v="0"/>
    <n v="338.51"/>
    <n v="224.01"/>
    <m/>
    <n v="417.58832886049538"/>
    <n v="234.64376439748159"/>
    <n v="0"/>
    <n v="-1917.99766"/>
    <n v="-1269.2406599999999"/>
    <n v="0"/>
    <n v="-2366.055471323567"/>
    <n v="-1329.4915690761309"/>
  </r>
  <r>
    <s v="Sistema de Compensação"/>
    <x v="1"/>
    <x v="2"/>
    <x v="4"/>
    <x v="2"/>
    <x v="1"/>
    <x v="0"/>
    <x v="1"/>
    <x v="1"/>
    <n v="0"/>
    <n v="0"/>
    <n v="17.734000000000002"/>
    <n v="17.734000000000002"/>
    <n v="17.734000000000002"/>
    <n v="17.734000000000002"/>
    <n v="76"/>
    <x v="1"/>
    <n v="0"/>
    <n v="0"/>
    <n v="2"/>
    <n v="41"/>
    <n v="0"/>
    <n v="338.51"/>
    <n v="224.01"/>
    <m/>
    <n v="417.58832886049538"/>
    <n v="234.64376439748159"/>
    <n v="0"/>
    <n v="6003.13634"/>
    <n v="3972.5933400000004"/>
    <n v="0"/>
    <n v="7405.5114240120256"/>
    <n v="4161.172517824939"/>
  </r>
  <r>
    <s v="Regular"/>
    <x v="1"/>
    <x v="2"/>
    <x v="4"/>
    <x v="2"/>
    <x v="1"/>
    <x v="0"/>
    <x v="1"/>
    <x v="2"/>
    <n v="0"/>
    <n v="0"/>
    <n v="4926.8670000000002"/>
    <n v="4926.8670000000002"/>
    <n v="4926.8670000000002"/>
    <n v="4926.8670000000002"/>
    <n v="33992"/>
    <x v="1"/>
    <n v="0"/>
    <n v="0"/>
    <n v="2"/>
    <n v="41"/>
    <n v="0"/>
    <n v="338.51"/>
    <n v="224.01"/>
    <m/>
    <n v="417.58832886049538"/>
    <n v="234.64376439748159"/>
    <n v="0"/>
    <n v="1667793.74817"/>
    <n v="1103667.47667"/>
    <n v="0"/>
    <n v="2057402.1570479223"/>
    <n v="1156058.619565727"/>
  </r>
  <r>
    <s v="Refaturamento - Regular"/>
    <x v="1"/>
    <x v="2"/>
    <x v="4"/>
    <x v="2"/>
    <x v="1"/>
    <x v="0"/>
    <x v="1"/>
    <x v="2"/>
    <n v="0"/>
    <n v="0"/>
    <n v="-4.68"/>
    <n v="-4.68"/>
    <n v="-4.68"/>
    <n v="-4.68"/>
    <n v="0"/>
    <x v="1"/>
    <n v="0"/>
    <n v="0"/>
    <n v="2"/>
    <n v="41"/>
    <n v="0"/>
    <n v="338.51"/>
    <n v="224.01"/>
    <m/>
    <n v="417.58832886049538"/>
    <n v="234.64376439748159"/>
    <n v="0"/>
    <n v="-1584.2267999999999"/>
    <n v="-1048.3667999999998"/>
    <n v="0"/>
    <n v="-1954.3133790671181"/>
    <n v="-1098.1328173802137"/>
  </r>
  <r>
    <s v="Sistema de Compensação"/>
    <x v="1"/>
    <x v="2"/>
    <x v="4"/>
    <x v="2"/>
    <x v="1"/>
    <x v="0"/>
    <x v="1"/>
    <x v="2"/>
    <n v="0"/>
    <n v="0"/>
    <n v="14.765000000000001"/>
    <n v="14.765000000000001"/>
    <n v="14.765000000000001"/>
    <n v="14.765000000000001"/>
    <n v="77"/>
    <x v="1"/>
    <n v="0"/>
    <n v="0"/>
    <n v="2"/>
    <n v="41"/>
    <n v="0"/>
    <n v="338.51"/>
    <n v="224.01"/>
    <m/>
    <n v="417.58832886049538"/>
    <n v="234.64376439748159"/>
    <n v="0"/>
    <n v="4998.1001500000002"/>
    <n v="3307.50765"/>
    <n v="0"/>
    <n v="6165.6916756252149"/>
    <n v="3464.5151813288157"/>
  </r>
  <r>
    <s v="Regular"/>
    <x v="1"/>
    <x v="2"/>
    <x v="4"/>
    <x v="2"/>
    <x v="1"/>
    <x v="0"/>
    <x v="1"/>
    <x v="3"/>
    <n v="0"/>
    <n v="0"/>
    <n v="5126.7280000000001"/>
    <n v="5126.7280000000001"/>
    <n v="5126.7280000000001"/>
    <n v="5126.7280000000001"/>
    <n v="34168"/>
    <x v="1"/>
    <n v="0"/>
    <n v="0"/>
    <n v="2"/>
    <n v="41"/>
    <n v="0"/>
    <n v="338.51"/>
    <n v="224.01"/>
    <m/>
    <n v="417.58832886049538"/>
    <n v="234.64376439748159"/>
    <n v="0"/>
    <n v="1735448.6952799999"/>
    <n v="1148438.33928"/>
    <n v="0"/>
    <n v="2140861.7780423099"/>
    <n v="1202954.756961972"/>
  </r>
  <r>
    <s v="Refaturamento - Regular"/>
    <x v="1"/>
    <x v="2"/>
    <x v="4"/>
    <x v="2"/>
    <x v="1"/>
    <x v="0"/>
    <x v="1"/>
    <x v="3"/>
    <n v="0"/>
    <n v="0"/>
    <n v="-5.8"/>
    <n v="-5.8"/>
    <n v="-5.8"/>
    <n v="-5.8"/>
    <n v="0"/>
    <x v="1"/>
    <n v="0"/>
    <n v="0"/>
    <n v="2"/>
    <n v="41"/>
    <n v="0"/>
    <n v="338.51"/>
    <n v="224.01"/>
    <m/>
    <n v="417.58832886049538"/>
    <n v="234.64376439748159"/>
    <n v="0"/>
    <n v="-1963.3579999999999"/>
    <n v="-1299.2579999999998"/>
    <n v="0"/>
    <n v="-2422.012307390873"/>
    <n v="-1360.9338335053931"/>
  </r>
  <r>
    <s v="Sistema de Compensação"/>
    <x v="1"/>
    <x v="2"/>
    <x v="4"/>
    <x v="2"/>
    <x v="1"/>
    <x v="0"/>
    <x v="1"/>
    <x v="3"/>
    <n v="0"/>
    <n v="0"/>
    <n v="12.593"/>
    <n v="12.593"/>
    <n v="12.593"/>
    <n v="12.593"/>
    <n v="89"/>
    <x v="1"/>
    <n v="0"/>
    <n v="0"/>
    <n v="2"/>
    <n v="41"/>
    <n v="0"/>
    <n v="338.51"/>
    <n v="224.01"/>
    <m/>
    <n v="417.58832886049538"/>
    <n v="234.64376439748159"/>
    <n v="0"/>
    <n v="4262.8564299999998"/>
    <n v="2820.95793"/>
    <n v="0"/>
    <n v="5258.6898253402187"/>
    <n v="2954.8689250574857"/>
  </r>
  <r>
    <s v="Regular"/>
    <x v="1"/>
    <x v="2"/>
    <x v="4"/>
    <x v="2"/>
    <x v="1"/>
    <x v="0"/>
    <x v="1"/>
    <x v="4"/>
    <n v="0"/>
    <n v="0"/>
    <n v="5234.1000000000004"/>
    <n v="5234.1000000000004"/>
    <n v="5234.1000000000004"/>
    <n v="5234.1000000000004"/>
    <n v="34261"/>
    <x v="1"/>
    <n v="0"/>
    <n v="0"/>
    <n v="2"/>
    <n v="41"/>
    <n v="0"/>
    <n v="338.51"/>
    <n v="224.01"/>
    <m/>
    <n v="417.58832886049538"/>
    <n v="234.64376439748159"/>
    <n v="0"/>
    <n v="1771795.1910000001"/>
    <n v="1172490.7409999999"/>
    <n v="0"/>
    <n v="2185699.0720887189"/>
    <n v="1228148.9272328585"/>
  </r>
  <r>
    <s v="Refaturamento - Regular"/>
    <x v="1"/>
    <x v="2"/>
    <x v="4"/>
    <x v="2"/>
    <x v="1"/>
    <x v="0"/>
    <x v="1"/>
    <x v="4"/>
    <n v="0"/>
    <n v="0"/>
    <n v="-5.3869999999999996"/>
    <n v="-5.3869999999999996"/>
    <n v="-5.3869999999999996"/>
    <n v="-5.3869999999999996"/>
    <n v="0"/>
    <x v="1"/>
    <n v="0"/>
    <n v="0"/>
    <n v="2"/>
    <n v="41"/>
    <n v="0"/>
    <n v="338.51"/>
    <n v="224.01"/>
    <m/>
    <n v="417.58832886049538"/>
    <n v="234.64376439748159"/>
    <n v="0"/>
    <n v="-1823.5533699999999"/>
    <n v="-1206.7418699999998"/>
    <n v="0"/>
    <n v="-2249.5483275714882"/>
    <n v="-1264.0259588092333"/>
  </r>
  <r>
    <s v="Sistema de Compensação"/>
    <x v="1"/>
    <x v="2"/>
    <x v="4"/>
    <x v="2"/>
    <x v="1"/>
    <x v="0"/>
    <x v="1"/>
    <x v="4"/>
    <n v="0"/>
    <n v="0"/>
    <n v="12.22"/>
    <n v="12.22"/>
    <n v="12.22"/>
    <n v="12.22"/>
    <n v="97"/>
    <x v="1"/>
    <n v="0"/>
    <n v="0"/>
    <n v="2"/>
    <n v="41"/>
    <n v="0"/>
    <n v="338.51"/>
    <n v="224.01"/>
    <m/>
    <n v="417.58832886049538"/>
    <n v="234.64376439748159"/>
    <n v="0"/>
    <n v="4136.5922"/>
    <n v="2737.4022"/>
    <n v="0"/>
    <n v="5102.9293786752542"/>
    <n v="2867.346800937225"/>
  </r>
  <r>
    <s v="Regular"/>
    <x v="1"/>
    <x v="2"/>
    <x v="4"/>
    <x v="2"/>
    <x v="1"/>
    <x v="0"/>
    <x v="1"/>
    <x v="5"/>
    <n v="0"/>
    <n v="0"/>
    <n v="7849.884"/>
    <n v="7849.884"/>
    <n v="7849.884"/>
    <n v="7849.884"/>
    <n v="34480"/>
    <x v="1"/>
    <n v="0"/>
    <n v="0"/>
    <n v="2"/>
    <n v="41"/>
    <n v="0"/>
    <n v="338.51"/>
    <n v="224.01"/>
    <m/>
    <n v="417.58832886049538"/>
    <n v="234.64376439748159"/>
    <n v="0"/>
    <n v="2657264.2328399997"/>
    <n v="1758452.5148399998"/>
    <n v="0"/>
    <n v="3278019.941308741"/>
    <n v="1841926.3318435603"/>
  </r>
  <r>
    <s v="Refaturamento - Regular"/>
    <x v="1"/>
    <x v="2"/>
    <x v="4"/>
    <x v="2"/>
    <x v="1"/>
    <x v="0"/>
    <x v="1"/>
    <x v="5"/>
    <n v="0"/>
    <n v="0"/>
    <n v="-6.492"/>
    <n v="-6.492"/>
    <n v="-6.492"/>
    <n v="-6.492"/>
    <n v="0"/>
    <x v="1"/>
    <n v="0"/>
    <n v="0"/>
    <n v="2"/>
    <n v="41"/>
    <n v="0"/>
    <n v="338.51"/>
    <n v="224.01"/>
    <m/>
    <n v="417.58832886049538"/>
    <n v="234.64376439748159"/>
    <n v="0"/>
    <n v="-2197.6069199999997"/>
    <n v="-1454.2729199999999"/>
    <n v="0"/>
    <n v="-2710.9834309623361"/>
    <n v="-1523.3073184684504"/>
  </r>
  <r>
    <s v="Sistema de Compensação"/>
    <x v="1"/>
    <x v="2"/>
    <x v="4"/>
    <x v="2"/>
    <x v="1"/>
    <x v="0"/>
    <x v="1"/>
    <x v="5"/>
    <n v="0"/>
    <n v="0"/>
    <n v="20.792000000000002"/>
    <n v="20.792000000000002"/>
    <n v="20.792000000000002"/>
    <n v="20.792000000000002"/>
    <n v="112"/>
    <x v="1"/>
    <n v="0"/>
    <n v="0"/>
    <n v="2"/>
    <n v="41"/>
    <n v="0"/>
    <n v="338.51"/>
    <n v="224.01"/>
    <m/>
    <n v="417.58832886049538"/>
    <n v="234.64376439748159"/>
    <n v="0"/>
    <n v="7038.2999200000004"/>
    <n v="4657.6159200000002"/>
    <n v="0"/>
    <n v="8682.4965336674213"/>
    <n v="4878.7131493524375"/>
  </r>
  <r>
    <s v="Sistema de Compensação"/>
    <x v="1"/>
    <x v="2"/>
    <x v="4"/>
    <x v="2"/>
    <x v="1"/>
    <x v="0"/>
    <x v="1"/>
    <x v="5"/>
    <n v="0"/>
    <n v="0"/>
    <n v="-0.123"/>
    <n v="-0.123"/>
    <n v="-0.123"/>
    <n v="-0.123"/>
    <n v="2"/>
    <x v="1"/>
    <n v="0"/>
    <n v="0"/>
    <n v="2"/>
    <n v="41"/>
    <n v="0"/>
    <n v="338.51"/>
    <n v="224.01"/>
    <m/>
    <n v="417.58832886049538"/>
    <n v="234.64376439748159"/>
    <n v="0"/>
    <n v="-41.63673"/>
    <n v="-27.553229999999999"/>
    <n v="0"/>
    <n v="-51.36336444984093"/>
    <n v="-28.861183020890234"/>
  </r>
  <r>
    <s v="Regular"/>
    <x v="1"/>
    <x v="2"/>
    <x v="4"/>
    <x v="2"/>
    <x v="1"/>
    <x v="0"/>
    <x v="1"/>
    <x v="6"/>
    <n v="0"/>
    <n v="0"/>
    <n v="7514.75"/>
    <n v="7514.75"/>
    <n v="7514.75"/>
    <n v="7514.75"/>
    <n v="34521"/>
    <x v="1"/>
    <n v="0"/>
    <n v="0"/>
    <n v="2"/>
    <n v="41"/>
    <n v="0"/>
    <n v="338.51"/>
    <n v="224.01"/>
    <m/>
    <n v="417.58832886049538"/>
    <n v="234.64376439748159"/>
    <n v="0"/>
    <n v="2543818.0225"/>
    <n v="1683379.1475"/>
    <n v="0"/>
    <n v="3138071.8943044078"/>
    <n v="1763289.2285059749"/>
  </r>
  <r>
    <s v="Refaturamento - Regular"/>
    <x v="1"/>
    <x v="2"/>
    <x v="4"/>
    <x v="2"/>
    <x v="1"/>
    <x v="0"/>
    <x v="1"/>
    <x v="6"/>
    <n v="0"/>
    <n v="0"/>
    <n v="-40.649000000000001"/>
    <n v="-40.649000000000001"/>
    <n v="-40.649000000000001"/>
    <n v="-40.649000000000001"/>
    <n v="0"/>
    <x v="1"/>
    <n v="0"/>
    <n v="0"/>
    <n v="2"/>
    <n v="41"/>
    <n v="0"/>
    <n v="338.51"/>
    <n v="224.01"/>
    <m/>
    <n v="417.58832886049538"/>
    <n v="234.64376439748159"/>
    <n v="0"/>
    <n v="-13760.092989999999"/>
    <n v="-9105.7824899999996"/>
    <n v="0"/>
    <n v="-16974.547979850278"/>
    <n v="-9538.0343789932285"/>
  </r>
  <r>
    <s v="Sistema de Compensação"/>
    <x v="1"/>
    <x v="2"/>
    <x v="4"/>
    <x v="2"/>
    <x v="1"/>
    <x v="0"/>
    <x v="1"/>
    <x v="6"/>
    <n v="0"/>
    <n v="0"/>
    <n v="26.545999999999999"/>
    <n v="26.545999999999999"/>
    <n v="26.545999999999999"/>
    <n v="26.545999999999999"/>
    <n v="125"/>
    <x v="1"/>
    <n v="0"/>
    <n v="0"/>
    <n v="2"/>
    <n v="41"/>
    <n v="0"/>
    <n v="338.51"/>
    <n v="224.01"/>
    <m/>
    <n v="417.58832886049538"/>
    <n v="234.64376439748159"/>
    <n v="0"/>
    <n v="8986.0864600000004"/>
    <n v="5946.5694599999997"/>
    <n v="0"/>
    <n v="11085.29977793071"/>
    <n v="6228.8533696955465"/>
  </r>
  <r>
    <s v="Sistema de Compensação"/>
    <x v="1"/>
    <x v="2"/>
    <x v="4"/>
    <x v="2"/>
    <x v="1"/>
    <x v="0"/>
    <x v="1"/>
    <x v="6"/>
    <n v="0"/>
    <n v="0"/>
    <n v="0.34799999999999998"/>
    <n v="0.34799999999999998"/>
    <n v="0.34799999999999998"/>
    <n v="0.34799999999999998"/>
    <n v="2"/>
    <x v="1"/>
    <n v="0"/>
    <n v="0"/>
    <n v="2"/>
    <n v="41"/>
    <n v="0"/>
    <n v="338.51"/>
    <n v="224.01"/>
    <m/>
    <n v="417.58832886049538"/>
    <n v="234.64376439748159"/>
    <n v="0"/>
    <n v="117.80147999999998"/>
    <n v="77.955479999999994"/>
    <n v="0"/>
    <n v="145.32073844345237"/>
    <n v="81.65603001032359"/>
  </r>
  <r>
    <s v="Regular"/>
    <x v="1"/>
    <x v="2"/>
    <x v="4"/>
    <x v="2"/>
    <x v="1"/>
    <x v="0"/>
    <x v="1"/>
    <x v="7"/>
    <n v="0"/>
    <n v="0"/>
    <n v="6618.0469999999996"/>
    <n v="6618.0469999999996"/>
    <n v="6618.0469999999996"/>
    <n v="6618.0469999999996"/>
    <n v="34509"/>
    <x v="1"/>
    <n v="0"/>
    <n v="0"/>
    <n v="2"/>
    <n v="41"/>
    <n v="0"/>
    <n v="338.51"/>
    <n v="224.01"/>
    <m/>
    <n v="417.58832886049538"/>
    <n v="234.64376439748159"/>
    <n v="0"/>
    <n v="2240275.0899699996"/>
    <n v="1482508.70847"/>
    <n v="0"/>
    <n v="2763619.1870502145"/>
    <n v="1552883.4610394598"/>
  </r>
  <r>
    <s v="Refaturamento - Regular"/>
    <x v="1"/>
    <x v="2"/>
    <x v="4"/>
    <x v="2"/>
    <x v="1"/>
    <x v="0"/>
    <x v="1"/>
    <x v="7"/>
    <n v="0"/>
    <n v="0"/>
    <n v="-17.483000000000001"/>
    <n v="-17.483000000000001"/>
    <n v="-17.483000000000001"/>
    <n v="-17.483000000000001"/>
    <n v="0"/>
    <x v="1"/>
    <n v="0"/>
    <n v="0"/>
    <n v="2"/>
    <n v="41"/>
    <n v="0"/>
    <n v="338.51"/>
    <n v="224.01"/>
    <m/>
    <n v="417.58832886049538"/>
    <n v="234.64376439748159"/>
    <n v="0"/>
    <n v="-5918.1703299999999"/>
    <n v="-3916.3668299999999"/>
    <n v="0"/>
    <n v="-7300.6967534680407"/>
    <n v="-4102.276932961171"/>
  </r>
  <r>
    <s v="Sistema de Compensação"/>
    <x v="1"/>
    <x v="2"/>
    <x v="4"/>
    <x v="2"/>
    <x v="1"/>
    <x v="0"/>
    <x v="1"/>
    <x v="7"/>
    <n v="0"/>
    <n v="0"/>
    <n v="28.388000000000002"/>
    <n v="28.388000000000002"/>
    <n v="28.388000000000002"/>
    <n v="28.388000000000002"/>
    <n v="137"/>
    <x v="1"/>
    <n v="0"/>
    <n v="0"/>
    <n v="2"/>
    <n v="41"/>
    <n v="0"/>
    <n v="338.51"/>
    <n v="224.01"/>
    <m/>
    <n v="417.58832886049538"/>
    <n v="234.64376439748159"/>
    <n v="0"/>
    <n v="9609.6218800000006"/>
    <n v="6359.1958800000002"/>
    <n v="0"/>
    <n v="11854.497479691743"/>
    <n v="6661.0671837157079"/>
  </r>
  <r>
    <s v="Regular"/>
    <x v="1"/>
    <x v="2"/>
    <x v="4"/>
    <x v="2"/>
    <x v="1"/>
    <x v="0"/>
    <x v="1"/>
    <x v="8"/>
    <n v="0"/>
    <n v="0"/>
    <n v="5701.33"/>
    <n v="5701.33"/>
    <n v="5701.33"/>
    <n v="5701.33"/>
    <n v="34551"/>
    <x v="1"/>
    <n v="0"/>
    <n v="0"/>
    <n v="2"/>
    <n v="41"/>
    <n v="0"/>
    <n v="338.51"/>
    <n v="224.01"/>
    <m/>
    <n v="417.58832886049538"/>
    <n v="234.64376439748159"/>
    <n v="0"/>
    <n v="1929957.2182999998"/>
    <n v="1277154.9332999999"/>
    <n v="0"/>
    <n v="2380808.8669822081"/>
    <n v="1337781.5332722936"/>
  </r>
  <r>
    <s v="Refaturamento - Regular"/>
    <x v="1"/>
    <x v="2"/>
    <x v="4"/>
    <x v="2"/>
    <x v="1"/>
    <x v="0"/>
    <x v="1"/>
    <x v="8"/>
    <n v="0"/>
    <n v="0"/>
    <n v="-3.4449999999999998"/>
    <n v="-3.4449999999999998"/>
    <n v="-3.4449999999999998"/>
    <n v="-3.4449999999999998"/>
    <n v="0"/>
    <x v="1"/>
    <n v="0"/>
    <n v="0"/>
    <n v="2"/>
    <n v="41"/>
    <n v="0"/>
    <n v="338.51"/>
    <n v="224.01"/>
    <m/>
    <n v="417.58832886049538"/>
    <n v="234.64376439748159"/>
    <n v="0"/>
    <n v="-1166.1669499999998"/>
    <n v="-771.71444999999994"/>
    <n v="0"/>
    <n v="-1438.5917929244065"/>
    <n v="-808.34776834932404"/>
  </r>
  <r>
    <s v="Sistema de Compensação"/>
    <x v="1"/>
    <x v="2"/>
    <x v="4"/>
    <x v="2"/>
    <x v="1"/>
    <x v="0"/>
    <x v="1"/>
    <x v="8"/>
    <n v="0"/>
    <n v="0"/>
    <n v="25.193000000000001"/>
    <n v="25.193000000000001"/>
    <n v="25.193000000000001"/>
    <n v="25.193000000000001"/>
    <n v="149"/>
    <x v="1"/>
    <n v="0"/>
    <n v="0"/>
    <n v="2"/>
    <n v="41"/>
    <n v="0"/>
    <n v="338.51"/>
    <n v="224.01"/>
    <m/>
    <n v="417.58832886049538"/>
    <n v="234.64376439748159"/>
    <n v="0"/>
    <n v="8528.0824300000004"/>
    <n v="5643.4839300000003"/>
    <n v="0"/>
    <n v="10520.302768982461"/>
    <n v="5911.3803564657537"/>
  </r>
  <r>
    <s v="Regular"/>
    <x v="1"/>
    <x v="2"/>
    <x v="4"/>
    <x v="2"/>
    <x v="1"/>
    <x v="0"/>
    <x v="1"/>
    <x v="9"/>
    <n v="0"/>
    <n v="0"/>
    <n v="5303.0519999999997"/>
    <n v="5303.0519999999997"/>
    <n v="5303.0519999999997"/>
    <n v="5303.0519999999997"/>
    <n v="34508"/>
    <x v="1"/>
    <n v="0"/>
    <n v="0"/>
    <n v="2"/>
    <n v="41"/>
    <n v="0"/>
    <n v="338.51"/>
    <n v="224.01"/>
    <m/>
    <n v="417.58832886049538"/>
    <n v="234.64376439748159"/>
    <n v="0"/>
    <n v="1795136.1325199998"/>
    <n v="1187936.6785199998"/>
    <n v="0"/>
    <n v="2214492.6225403077"/>
    <n v="1244328.0840755934"/>
  </r>
  <r>
    <s v="Refaturamento - Regular"/>
    <x v="1"/>
    <x v="2"/>
    <x v="4"/>
    <x v="2"/>
    <x v="1"/>
    <x v="0"/>
    <x v="1"/>
    <x v="9"/>
    <n v="0"/>
    <n v="0"/>
    <n v="-6.3440000000000003"/>
    <n v="-6.3440000000000003"/>
    <n v="-6.3440000000000003"/>
    <n v="-6.3440000000000003"/>
    <n v="0"/>
    <x v="1"/>
    <n v="0"/>
    <n v="0"/>
    <n v="2"/>
    <n v="41"/>
    <n v="0"/>
    <n v="338.51"/>
    <n v="224.01"/>
    <m/>
    <n v="417.58832886049538"/>
    <n v="234.64376439748159"/>
    <n v="0"/>
    <n v="-2147.5074399999999"/>
    <n v="-1421.1194399999999"/>
    <n v="0"/>
    <n v="-2649.1803582909829"/>
    <n v="-1488.5800413376232"/>
  </r>
  <r>
    <s v="Sistema de Compensação"/>
    <x v="1"/>
    <x v="2"/>
    <x v="4"/>
    <x v="2"/>
    <x v="1"/>
    <x v="0"/>
    <x v="1"/>
    <x v="9"/>
    <n v="0"/>
    <n v="0"/>
    <n v="25.428999999999998"/>
    <n v="25.428999999999998"/>
    <n v="25.428999999999998"/>
    <n v="25.428999999999998"/>
    <n v="161"/>
    <x v="1"/>
    <n v="0"/>
    <n v="0"/>
    <n v="2"/>
    <n v="41"/>
    <n v="0"/>
    <n v="338.51"/>
    <n v="224.01"/>
    <m/>
    <n v="417.58832886049538"/>
    <n v="234.64376439748159"/>
    <n v="0"/>
    <n v="8607.9707899999994"/>
    <n v="5696.3502899999994"/>
    <n v="0"/>
    <n v="10618.853614593536"/>
    <n v="5966.7562848635589"/>
  </r>
  <r>
    <s v="Regular"/>
    <x v="1"/>
    <x v="2"/>
    <x v="4"/>
    <x v="2"/>
    <x v="1"/>
    <x v="0"/>
    <x v="1"/>
    <x v="10"/>
    <n v="0"/>
    <n v="0"/>
    <n v="4975.6130000000003"/>
    <n v="4975.6130000000003"/>
    <n v="4975.6130000000003"/>
    <n v="4975.6130000000003"/>
    <n v="34371"/>
    <x v="1"/>
    <n v="0"/>
    <n v="0"/>
    <n v="2"/>
    <n v="41"/>
    <n v="0"/>
    <n v="338.51"/>
    <n v="224.01"/>
    <m/>
    <n v="417.58832886049538"/>
    <n v="234.64376439748159"/>
    <n v="0"/>
    <n v="1684294.75663"/>
    <n v="1114587.06813"/>
    <n v="0"/>
    <n v="2077757.9177265561"/>
    <n v="1167496.5645050467"/>
  </r>
  <r>
    <s v="Refaturamento - Regular"/>
    <x v="1"/>
    <x v="2"/>
    <x v="4"/>
    <x v="2"/>
    <x v="1"/>
    <x v="0"/>
    <x v="1"/>
    <x v="10"/>
    <n v="0"/>
    <n v="0"/>
    <n v="-300.40899999999999"/>
    <n v="-300.40899999999999"/>
    <n v="-300.40899999999999"/>
    <n v="-300.40899999999999"/>
    <n v="0"/>
    <x v="1"/>
    <n v="0"/>
    <n v="0"/>
    <n v="2"/>
    <n v="41"/>
    <n v="0"/>
    <n v="338.51"/>
    <n v="224.01"/>
    <m/>
    <n v="417.58832886049538"/>
    <n v="234.64376439748159"/>
    <n v="0"/>
    <n v="-101691.45058999999"/>
    <n v="-67294.620089999997"/>
    <n v="0"/>
    <n v="-125447.29228465255"/>
    <n v="-70489.098618883043"/>
  </r>
  <r>
    <s v="Sistema de Compensação"/>
    <x v="1"/>
    <x v="2"/>
    <x v="4"/>
    <x v="2"/>
    <x v="1"/>
    <x v="0"/>
    <x v="1"/>
    <x v="10"/>
    <n v="0"/>
    <n v="0"/>
    <n v="32.904000000000003"/>
    <n v="32.904000000000003"/>
    <n v="32.904000000000003"/>
    <n v="32.904000000000003"/>
    <n v="168"/>
    <x v="1"/>
    <n v="0"/>
    <n v="0"/>
    <n v="2"/>
    <n v="41"/>
    <n v="0"/>
    <n v="338.51"/>
    <n v="224.01"/>
    <m/>
    <n v="417.58832886049538"/>
    <n v="234.64376439748159"/>
    <n v="0"/>
    <n v="11138.333040000001"/>
    <n v="7370.8250400000006"/>
    <n v="0"/>
    <n v="13740.326372825741"/>
    <n v="7720.7184237347346"/>
  </r>
  <r>
    <s v="PROJETADO"/>
    <x v="1"/>
    <x v="2"/>
    <x v="4"/>
    <x v="2"/>
    <x v="1"/>
    <x v="0"/>
    <x v="1"/>
    <x v="11"/>
    <n v="0"/>
    <n v="0"/>
    <n v="4975.6130000000003"/>
    <n v="4975.6130000000003"/>
    <n v="4975.6130000000003"/>
    <n v="4975.6130000000003"/>
    <n v="34371"/>
    <x v="1"/>
    <n v="0"/>
    <n v="0"/>
    <n v="2"/>
    <n v="41"/>
    <n v="0"/>
    <n v="338.51"/>
    <n v="224.01"/>
    <m/>
    <n v="417.58832886049538"/>
    <n v="234.64376439748159"/>
    <n v="0"/>
    <n v="1684294.75663"/>
    <n v="1114587.06813"/>
    <n v="0"/>
    <n v="2077757.9177265561"/>
    <n v="1167496.5645050467"/>
  </r>
  <r>
    <s v="PROJETADO"/>
    <x v="1"/>
    <x v="2"/>
    <x v="4"/>
    <x v="2"/>
    <x v="1"/>
    <x v="0"/>
    <x v="1"/>
    <x v="11"/>
    <n v="0"/>
    <n v="0"/>
    <n v="-300.40899999999999"/>
    <n v="-300.40899999999999"/>
    <n v="-300.40899999999999"/>
    <n v="-300.40899999999999"/>
    <n v="0"/>
    <x v="1"/>
    <n v="0"/>
    <n v="0"/>
    <n v="2"/>
    <n v="41"/>
    <n v="0"/>
    <n v="338.51"/>
    <n v="224.01"/>
    <m/>
    <n v="417.58832886049538"/>
    <n v="234.64376439748159"/>
    <n v="0"/>
    <n v="-101691.45058999999"/>
    <n v="-67294.620089999997"/>
    <n v="0"/>
    <n v="-125447.29228465255"/>
    <n v="-70489.098618883043"/>
  </r>
  <r>
    <s v="PROJETADO"/>
    <x v="1"/>
    <x v="2"/>
    <x v="4"/>
    <x v="2"/>
    <x v="1"/>
    <x v="0"/>
    <x v="1"/>
    <x v="11"/>
    <n v="0"/>
    <n v="0"/>
    <n v="32.904000000000003"/>
    <n v="32.904000000000003"/>
    <n v="32.904000000000003"/>
    <n v="32.904000000000003"/>
    <n v="168"/>
    <x v="1"/>
    <n v="0"/>
    <n v="0"/>
    <n v="2"/>
    <n v="41"/>
    <n v="0"/>
    <n v="338.51"/>
    <n v="224.01"/>
    <m/>
    <n v="417.58832886049538"/>
    <n v="234.64376439748159"/>
    <n v="0"/>
    <n v="11138.333040000001"/>
    <n v="7370.8250400000006"/>
    <n v="0"/>
    <n v="13740.326372825741"/>
    <n v="7720.7184237347346"/>
  </r>
  <r>
    <s v="Regular"/>
    <x v="1"/>
    <x v="2"/>
    <x v="4"/>
    <x v="3"/>
    <x v="1"/>
    <x v="0"/>
    <x v="1"/>
    <x v="0"/>
    <n v="0"/>
    <n v="0"/>
    <n v="39.646000000000001"/>
    <n v="39.646000000000001"/>
    <n v="39.646000000000001"/>
    <n v="39.646000000000001"/>
    <n v="69"/>
    <x v="1"/>
    <n v="0"/>
    <n v="0"/>
    <n v="28"/>
    <n v="64"/>
    <n v="0"/>
    <n v="94.55"/>
    <n v="78.400000000000006"/>
    <m/>
    <n v="102.5548534812466"/>
    <n v="82.125317539118555"/>
    <n v="0"/>
    <n v="3748.5293000000001"/>
    <n v="3108.2464000000004"/>
    <n v="0"/>
    <n v="4065.8897211175026"/>
    <n v="3255.9403391558944"/>
  </r>
  <r>
    <s v="Regular"/>
    <x v="1"/>
    <x v="2"/>
    <x v="4"/>
    <x v="3"/>
    <x v="1"/>
    <x v="0"/>
    <x v="1"/>
    <x v="1"/>
    <n v="0"/>
    <n v="0"/>
    <n v="40.024999999999999"/>
    <n v="40.024999999999999"/>
    <n v="40.024999999999999"/>
    <n v="40.024999999999999"/>
    <n v="62"/>
    <x v="1"/>
    <n v="0"/>
    <n v="0"/>
    <n v="28"/>
    <n v="64"/>
    <n v="0"/>
    <n v="94.55"/>
    <n v="78.400000000000006"/>
    <m/>
    <n v="102.5548534812466"/>
    <n v="82.125317539118555"/>
    <n v="0"/>
    <n v="3784.3637499999995"/>
    <n v="3137.96"/>
    <n v="0"/>
    <n v="4104.7580105868947"/>
    <n v="3287.0658345032202"/>
  </r>
  <r>
    <s v="Regular"/>
    <x v="1"/>
    <x v="2"/>
    <x v="4"/>
    <x v="3"/>
    <x v="1"/>
    <x v="0"/>
    <x v="1"/>
    <x v="2"/>
    <n v="0"/>
    <n v="0"/>
    <n v="40.651000000000003"/>
    <n v="40.651000000000003"/>
    <n v="40.651000000000003"/>
    <n v="40.651000000000003"/>
    <n v="62"/>
    <x v="1"/>
    <n v="0"/>
    <n v="0"/>
    <n v="28"/>
    <n v="64"/>
    <n v="0"/>
    <n v="94.55"/>
    <n v="78.400000000000006"/>
    <m/>
    <n v="102.5548534812466"/>
    <n v="82.125317539118555"/>
    <n v="0"/>
    <n v="3843.5520500000002"/>
    <n v="3187.0384000000004"/>
    <n v="0"/>
    <n v="4168.9573488661554"/>
    <n v="3338.4762832827087"/>
  </r>
  <r>
    <s v="Regular"/>
    <x v="1"/>
    <x v="2"/>
    <x v="4"/>
    <x v="3"/>
    <x v="1"/>
    <x v="0"/>
    <x v="1"/>
    <x v="3"/>
    <n v="0"/>
    <n v="0"/>
    <n v="40.799999999999997"/>
    <n v="40.799999999999997"/>
    <n v="40.799999999999997"/>
    <n v="40.799999999999997"/>
    <n v="62"/>
    <x v="1"/>
    <n v="0"/>
    <n v="0"/>
    <n v="28"/>
    <n v="64"/>
    <n v="0"/>
    <n v="94.55"/>
    <n v="78.400000000000006"/>
    <m/>
    <n v="102.5548534812466"/>
    <n v="82.125317539118555"/>
    <n v="0"/>
    <n v="3857.6399999999994"/>
    <n v="3198.72"/>
    <n v="0"/>
    <n v="4184.2380220348605"/>
    <n v="3350.7129555960369"/>
  </r>
  <r>
    <s v="Regular"/>
    <x v="1"/>
    <x v="2"/>
    <x v="4"/>
    <x v="3"/>
    <x v="1"/>
    <x v="0"/>
    <x v="1"/>
    <x v="4"/>
    <n v="0"/>
    <n v="0"/>
    <n v="41.198999999999998"/>
    <n v="41.198999999999998"/>
    <n v="41.198999999999998"/>
    <n v="41.198999999999998"/>
    <n v="61"/>
    <x v="1"/>
    <n v="0"/>
    <n v="0"/>
    <n v="28"/>
    <n v="64"/>
    <n v="0"/>
    <n v="94.55"/>
    <n v="78.400000000000006"/>
    <m/>
    <n v="102.5548534812466"/>
    <n v="82.125317539118555"/>
    <n v="0"/>
    <n v="3895.3654499999998"/>
    <n v="3230.0016000000001"/>
    <n v="0"/>
    <n v="4225.1574085738785"/>
    <n v="3383.4809572941454"/>
  </r>
  <r>
    <s v="Regular"/>
    <x v="1"/>
    <x v="2"/>
    <x v="4"/>
    <x v="3"/>
    <x v="1"/>
    <x v="0"/>
    <x v="1"/>
    <x v="5"/>
    <n v="0"/>
    <n v="0"/>
    <n v="41.094000000000001"/>
    <n v="41.094000000000001"/>
    <n v="41.094000000000001"/>
    <n v="41.094000000000001"/>
    <n v="38"/>
    <x v="1"/>
    <n v="0"/>
    <n v="0"/>
    <n v="28"/>
    <n v="64"/>
    <n v="0"/>
    <n v="94.55"/>
    <n v="78.400000000000006"/>
    <m/>
    <n v="102.5548534812466"/>
    <n v="82.125317539118555"/>
    <n v="0"/>
    <n v="3885.4376999999999"/>
    <n v="3221.7696000000005"/>
    <n v="0"/>
    <n v="4214.3891489583475"/>
    <n v="3374.8577989525379"/>
  </r>
  <r>
    <s v="Regular"/>
    <x v="1"/>
    <x v="2"/>
    <x v="4"/>
    <x v="3"/>
    <x v="1"/>
    <x v="0"/>
    <x v="1"/>
    <x v="6"/>
    <n v="0"/>
    <n v="0"/>
    <n v="41.872999999999998"/>
    <n v="41.872999999999998"/>
    <n v="41.872999999999998"/>
    <n v="41.872999999999998"/>
    <n v="35"/>
    <x v="1"/>
    <n v="0"/>
    <n v="0"/>
    <n v="28"/>
    <n v="64"/>
    <n v="0"/>
    <n v="94.55"/>
    <n v="78.400000000000006"/>
    <m/>
    <n v="102.5548534812466"/>
    <n v="82.125317539118555"/>
    <n v="0"/>
    <n v="3959.0921499999995"/>
    <n v="3282.8432000000003"/>
    <n v="0"/>
    <n v="4294.2793798202383"/>
    <n v="3438.8334213155113"/>
  </r>
  <r>
    <s v="Regular"/>
    <x v="1"/>
    <x v="2"/>
    <x v="4"/>
    <x v="3"/>
    <x v="1"/>
    <x v="0"/>
    <x v="1"/>
    <x v="7"/>
    <n v="0"/>
    <n v="0"/>
    <n v="42.484999999999999"/>
    <n v="42.484999999999999"/>
    <n v="42.484999999999999"/>
    <n v="42.484999999999999"/>
    <n v="36"/>
    <x v="1"/>
    <n v="0"/>
    <n v="0"/>
    <n v="28"/>
    <n v="64"/>
    <n v="0"/>
    <n v="94.55"/>
    <n v="78.400000000000006"/>
    <m/>
    <n v="102.5548534812466"/>
    <n v="82.125317539118555"/>
    <n v="0"/>
    <n v="4016.9567499999998"/>
    <n v="3330.8240000000001"/>
    <n v="0"/>
    <n v="4357.0429501507615"/>
    <n v="3489.0941156494519"/>
  </r>
  <r>
    <s v="Regular"/>
    <x v="1"/>
    <x v="2"/>
    <x v="4"/>
    <x v="3"/>
    <x v="1"/>
    <x v="0"/>
    <x v="1"/>
    <x v="8"/>
    <n v="0"/>
    <n v="0"/>
    <n v="42.991"/>
    <n v="42.991"/>
    <n v="42.991"/>
    <n v="42.991"/>
    <n v="47"/>
    <x v="1"/>
    <n v="0"/>
    <n v="0"/>
    <n v="28"/>
    <n v="64"/>
    <n v="0"/>
    <n v="94.55"/>
    <n v="78.400000000000006"/>
    <m/>
    <n v="102.5548534812466"/>
    <n v="82.125317539118555"/>
    <n v="0"/>
    <n v="4064.7990499999996"/>
    <n v="3370.4944"/>
    <n v="0"/>
    <n v="4408.935706012272"/>
    <n v="3530.6495263242459"/>
  </r>
  <r>
    <s v="Regular"/>
    <x v="1"/>
    <x v="2"/>
    <x v="4"/>
    <x v="3"/>
    <x v="1"/>
    <x v="0"/>
    <x v="1"/>
    <x v="9"/>
    <n v="0"/>
    <n v="0"/>
    <n v="44.802999999999997"/>
    <n v="44.802999999999997"/>
    <n v="44.802999999999997"/>
    <n v="44.802999999999997"/>
    <n v="50"/>
    <x v="1"/>
    <n v="0"/>
    <n v="0"/>
    <n v="28"/>
    <n v="64"/>
    <n v="0"/>
    <n v="94.55"/>
    <n v="78.400000000000006"/>
    <m/>
    <n v="102.5548534812466"/>
    <n v="82.125317539118555"/>
    <n v="0"/>
    <n v="4236.1236499999995"/>
    <n v="3512.5552000000002"/>
    <n v="0"/>
    <n v="4594.7651005202906"/>
    <n v="3679.4606017051283"/>
  </r>
  <r>
    <s v="Regular"/>
    <x v="1"/>
    <x v="2"/>
    <x v="4"/>
    <x v="3"/>
    <x v="1"/>
    <x v="0"/>
    <x v="1"/>
    <x v="10"/>
    <n v="0"/>
    <n v="0"/>
    <n v="49.92"/>
    <n v="49.92"/>
    <n v="49.92"/>
    <n v="49.92"/>
    <n v="71"/>
    <x v="1"/>
    <n v="0"/>
    <n v="0"/>
    <n v="28"/>
    <n v="64"/>
    <n v="0"/>
    <n v="94.55"/>
    <n v="78.400000000000006"/>
    <m/>
    <n v="102.5548534812466"/>
    <n v="82.125317539118555"/>
    <n v="0"/>
    <n v="4719.9359999999997"/>
    <n v="3913.7280000000005"/>
    <n v="0"/>
    <n v="5119.5382857838304"/>
    <n v="4099.6958515527986"/>
  </r>
  <r>
    <s v="Sistema de Compensação"/>
    <x v="1"/>
    <x v="2"/>
    <x v="4"/>
    <x v="3"/>
    <x v="1"/>
    <x v="0"/>
    <x v="1"/>
    <x v="10"/>
    <n v="0"/>
    <n v="0"/>
    <n v="0.06"/>
    <n v="-1.7999999999999999E-2"/>
    <n v="0.06"/>
    <n v="-1.7999999999999999E-2"/>
    <n v="0"/>
    <x v="1"/>
    <n v="0"/>
    <n v="0"/>
    <n v="28"/>
    <n v="64"/>
    <n v="0"/>
    <n v="94.55"/>
    <n v="78.400000000000006"/>
    <m/>
    <n v="102.5548534812466"/>
    <n v="82.125317539118555"/>
    <n v="0"/>
    <n v="-1.7018999999999997"/>
    <n v="-1.4112"/>
    <n v="0"/>
    <n v="-1.8459873626624386"/>
    <n v="-1.4782557157041338"/>
  </r>
  <r>
    <s v="PROJETADO"/>
    <x v="1"/>
    <x v="2"/>
    <x v="4"/>
    <x v="3"/>
    <x v="1"/>
    <x v="0"/>
    <x v="1"/>
    <x v="11"/>
    <n v="0"/>
    <n v="0"/>
    <n v="49.92"/>
    <n v="49.92"/>
    <n v="49.92"/>
    <n v="49.92"/>
    <n v="71"/>
    <x v="1"/>
    <n v="0"/>
    <n v="0"/>
    <n v="28"/>
    <n v="64"/>
    <n v="0"/>
    <n v="94.55"/>
    <n v="78.400000000000006"/>
    <m/>
    <n v="102.5548534812466"/>
    <n v="82.125317539118555"/>
    <n v="0"/>
    <n v="4719.9359999999997"/>
    <n v="3913.7280000000005"/>
    <n v="0"/>
    <n v="5119.5382857838304"/>
    <n v="4099.6958515527986"/>
  </r>
  <r>
    <s v="PROJETADO"/>
    <x v="1"/>
    <x v="2"/>
    <x v="4"/>
    <x v="3"/>
    <x v="1"/>
    <x v="0"/>
    <x v="1"/>
    <x v="11"/>
    <n v="0"/>
    <n v="0"/>
    <n v="0.06"/>
    <n v="-1.7999999999999999E-2"/>
    <n v="0.06"/>
    <n v="-1.7999999999999999E-2"/>
    <n v="0"/>
    <x v="1"/>
    <n v="0"/>
    <n v="0"/>
    <n v="28"/>
    <n v="64"/>
    <n v="0"/>
    <n v="94.55"/>
    <n v="78.400000000000006"/>
    <m/>
    <n v="102.5548534812466"/>
    <n v="82.125317539118555"/>
    <n v="0"/>
    <n v="-1.7018999999999997"/>
    <n v="-1.4112"/>
    <n v="0"/>
    <n v="-1.8459873626624386"/>
    <n v="-1.4782557157041338"/>
  </r>
  <r>
    <s v="Regular"/>
    <x v="1"/>
    <x v="2"/>
    <x v="4"/>
    <x v="4"/>
    <x v="1"/>
    <x v="0"/>
    <x v="1"/>
    <x v="0"/>
    <n v="0"/>
    <n v="0"/>
    <n v="79.998000000000005"/>
    <n v="79.998000000000005"/>
    <n v="79.998000000000005"/>
    <n v="79.998000000000005"/>
    <n v="276"/>
    <x v="1"/>
    <n v="0"/>
    <n v="0"/>
    <n v="30"/>
    <n v="32"/>
    <n v="0"/>
    <n v="162.08000000000001"/>
    <n v="134.4"/>
    <m/>
    <n v="175.8083202535656"/>
    <n v="140.78625863848896"/>
    <n v="0"/>
    <n v="12966.075840000001"/>
    <n v="10751.731200000002"/>
    <n v="0"/>
    <n v="14064.314003644742"/>
    <n v="11262.619118561841"/>
  </r>
  <r>
    <s v="Regular"/>
    <x v="1"/>
    <x v="2"/>
    <x v="4"/>
    <x v="4"/>
    <x v="1"/>
    <x v="0"/>
    <x v="1"/>
    <x v="1"/>
    <n v="0"/>
    <n v="0"/>
    <n v="83.417000000000002"/>
    <n v="83.417000000000002"/>
    <n v="83.417000000000002"/>
    <n v="83.417000000000002"/>
    <n v="230"/>
    <x v="1"/>
    <n v="0"/>
    <n v="0"/>
    <n v="30"/>
    <n v="32"/>
    <n v="0"/>
    <n v="162.08000000000001"/>
    <n v="134.4"/>
    <m/>
    <n v="175.8083202535656"/>
    <n v="140.78625863848896"/>
    <n v="0"/>
    <n v="13520.227360000001"/>
    <n v="11211.2448"/>
    <n v="0"/>
    <n v="14665.402650591681"/>
    <n v="11743.967336846834"/>
  </r>
  <r>
    <s v="Regular"/>
    <x v="1"/>
    <x v="2"/>
    <x v="4"/>
    <x v="4"/>
    <x v="1"/>
    <x v="0"/>
    <x v="1"/>
    <x v="2"/>
    <n v="0"/>
    <n v="0"/>
    <n v="83.188999999999993"/>
    <n v="83.188999999999993"/>
    <n v="83.188999999999993"/>
    <n v="83.188999999999993"/>
    <n v="269"/>
    <x v="1"/>
    <n v="0"/>
    <n v="0"/>
    <n v="30"/>
    <n v="32"/>
    <n v="0"/>
    <n v="162.08000000000001"/>
    <n v="134.4"/>
    <m/>
    <n v="175.8083202535656"/>
    <n v="140.78625863848896"/>
    <n v="0"/>
    <n v="13483.27312"/>
    <n v="11180.6016"/>
    <n v="0"/>
    <n v="14625.318353573868"/>
    <n v="11711.868069877257"/>
  </r>
  <r>
    <s v="Refaturamento - Regular"/>
    <x v="1"/>
    <x v="2"/>
    <x v="4"/>
    <x v="4"/>
    <x v="1"/>
    <x v="0"/>
    <x v="1"/>
    <x v="2"/>
    <n v="0"/>
    <n v="0"/>
    <n v="6.3E-2"/>
    <n v="6.3E-2"/>
    <n v="6.3E-2"/>
    <n v="6.3E-2"/>
    <n v="0"/>
    <x v="1"/>
    <n v="0"/>
    <n v="0"/>
    <n v="30"/>
    <n v="32"/>
    <n v="0"/>
    <n v="162.08000000000001"/>
    <n v="134.4"/>
    <m/>
    <n v="175.8083202535656"/>
    <n v="140.78625863848896"/>
    <n v="0"/>
    <n v="10.211040000000001"/>
    <n v="8.4672000000000001"/>
    <n v="0"/>
    <n v="11.075924175974633"/>
    <n v="8.8695342942248043"/>
  </r>
  <r>
    <s v="Regular"/>
    <x v="1"/>
    <x v="2"/>
    <x v="4"/>
    <x v="4"/>
    <x v="1"/>
    <x v="0"/>
    <x v="1"/>
    <x v="3"/>
    <n v="0"/>
    <n v="0"/>
    <n v="84.503"/>
    <n v="84.503"/>
    <n v="84.503"/>
    <n v="84.503"/>
    <n v="244"/>
    <x v="1"/>
    <n v="0"/>
    <n v="0"/>
    <n v="30"/>
    <n v="32"/>
    <n v="0"/>
    <n v="162.08000000000001"/>
    <n v="134.4"/>
    <m/>
    <n v="175.8083202535656"/>
    <n v="140.78625863848896"/>
    <n v="0"/>
    <n v="13696.24624"/>
    <n v="11357.2032"/>
    <n v="0"/>
    <n v="14856.330486387054"/>
    <n v="11896.861213728233"/>
  </r>
  <r>
    <s v="Regular"/>
    <x v="1"/>
    <x v="2"/>
    <x v="4"/>
    <x v="4"/>
    <x v="1"/>
    <x v="0"/>
    <x v="1"/>
    <x v="4"/>
    <n v="0"/>
    <n v="0"/>
    <n v="85.695999999999998"/>
    <n v="85.695999999999998"/>
    <n v="85.695999999999998"/>
    <n v="85.695999999999998"/>
    <n v="244"/>
    <x v="1"/>
    <n v="0"/>
    <n v="0"/>
    <n v="30"/>
    <n v="32"/>
    <n v="0"/>
    <n v="162.08000000000001"/>
    <n v="134.4"/>
    <m/>
    <n v="175.8083202535656"/>
    <n v="140.78625863848896"/>
    <n v="0"/>
    <n v="13889.607680000001"/>
    <n v="11517.5424"/>
    <n v="0"/>
    <n v="15066.069812449558"/>
    <n v="12064.819220283949"/>
  </r>
  <r>
    <s v="Refaturamento - Regular"/>
    <x v="1"/>
    <x v="2"/>
    <x v="4"/>
    <x v="4"/>
    <x v="1"/>
    <x v="0"/>
    <x v="1"/>
    <x v="4"/>
    <n v="0"/>
    <n v="0"/>
    <n v="4.2999999999999997E-2"/>
    <n v="4.2999999999999997E-2"/>
    <n v="4.2999999999999997E-2"/>
    <n v="4.2999999999999997E-2"/>
    <n v="0"/>
    <x v="1"/>
    <n v="0"/>
    <n v="0"/>
    <n v="30"/>
    <n v="32"/>
    <n v="0"/>
    <n v="162.08000000000001"/>
    <n v="134.4"/>
    <m/>
    <n v="175.8083202535656"/>
    <n v="140.78625863848896"/>
    <n v="0"/>
    <n v="6.9694399999999996"/>
    <n v="5.7791999999999994"/>
    <n v="0"/>
    <n v="7.5597577709033201"/>
    <n v="6.0538091214550249"/>
  </r>
  <r>
    <s v="Regular"/>
    <x v="1"/>
    <x v="2"/>
    <x v="4"/>
    <x v="4"/>
    <x v="1"/>
    <x v="0"/>
    <x v="1"/>
    <x v="5"/>
    <n v="0"/>
    <n v="0"/>
    <n v="89.171000000000006"/>
    <n v="89.171000000000006"/>
    <n v="89.171000000000006"/>
    <n v="89.171000000000006"/>
    <n v="161"/>
    <x v="1"/>
    <n v="0"/>
    <n v="0"/>
    <n v="30"/>
    <n v="32"/>
    <n v="0"/>
    <n v="162.08000000000001"/>
    <n v="134.4"/>
    <m/>
    <n v="175.8083202535656"/>
    <n v="140.78625863848896"/>
    <n v="0"/>
    <n v="14452.835680000002"/>
    <n v="11984.582400000001"/>
    <n v="0"/>
    <n v="15677.003725330698"/>
    <n v="12554.0514690527"/>
  </r>
  <r>
    <s v="Refaturamento - Regular"/>
    <x v="1"/>
    <x v="2"/>
    <x v="4"/>
    <x v="4"/>
    <x v="1"/>
    <x v="0"/>
    <x v="1"/>
    <x v="5"/>
    <n v="0"/>
    <n v="0"/>
    <n v="-6.8000000000000005E-2"/>
    <n v="-6.8000000000000005E-2"/>
    <n v="-6.8000000000000005E-2"/>
    <n v="-6.8000000000000005E-2"/>
    <n v="0"/>
    <x v="1"/>
    <n v="0"/>
    <n v="0"/>
    <n v="30"/>
    <n v="32"/>
    <n v="0"/>
    <n v="162.08000000000001"/>
    <n v="134.4"/>
    <m/>
    <n v="175.8083202535656"/>
    <n v="140.78625863848896"/>
    <n v="0"/>
    <n v="-11.021440000000002"/>
    <n v="-9.1392000000000007"/>
    <n v="0"/>
    <n v="-11.954965777242462"/>
    <n v="-9.5734655874172496"/>
  </r>
  <r>
    <s v="Regular"/>
    <x v="1"/>
    <x v="2"/>
    <x v="4"/>
    <x v="4"/>
    <x v="1"/>
    <x v="0"/>
    <x v="1"/>
    <x v="6"/>
    <n v="0"/>
    <n v="0"/>
    <n v="90.623000000000005"/>
    <n v="90.623000000000005"/>
    <n v="90.623000000000005"/>
    <n v="90.623000000000005"/>
    <n v="166"/>
    <x v="1"/>
    <n v="0"/>
    <n v="0"/>
    <n v="30"/>
    <n v="32"/>
    <n v="0"/>
    <n v="162.08000000000001"/>
    <n v="134.4"/>
    <m/>
    <n v="175.8083202535656"/>
    <n v="140.78625863848896"/>
    <n v="0"/>
    <n v="14688.175840000002"/>
    <n v="12179.731200000002"/>
    <n v="0"/>
    <n v="15932.277406338875"/>
    <n v="12758.473116595786"/>
  </r>
  <r>
    <s v="Regular"/>
    <x v="1"/>
    <x v="2"/>
    <x v="4"/>
    <x v="4"/>
    <x v="1"/>
    <x v="0"/>
    <x v="1"/>
    <x v="7"/>
    <n v="0"/>
    <n v="0"/>
    <n v="91.774000000000001"/>
    <n v="91.774000000000001"/>
    <n v="91.774000000000001"/>
    <n v="91.774000000000001"/>
    <n v="177"/>
    <x v="1"/>
    <n v="0"/>
    <n v="0"/>
    <n v="30"/>
    <n v="32"/>
    <n v="0"/>
    <n v="162.08000000000001"/>
    <n v="134.4"/>
    <m/>
    <n v="175.8083202535656"/>
    <n v="140.78625863848896"/>
    <n v="0"/>
    <n v="14874.729920000002"/>
    <n v="12334.4256"/>
    <n v="0"/>
    <n v="16134.63278295073"/>
    <n v="12920.518100288686"/>
  </r>
  <r>
    <s v="Regular"/>
    <x v="1"/>
    <x v="2"/>
    <x v="4"/>
    <x v="4"/>
    <x v="1"/>
    <x v="0"/>
    <x v="1"/>
    <x v="8"/>
    <n v="0"/>
    <n v="0"/>
    <n v="92.322999999999993"/>
    <n v="92.322999999999993"/>
    <n v="92.322999999999993"/>
    <n v="92.322999999999993"/>
    <n v="189"/>
    <x v="1"/>
    <n v="0"/>
    <n v="0"/>
    <n v="30"/>
    <n v="32"/>
    <n v="0"/>
    <n v="162.08000000000001"/>
    <n v="134.4"/>
    <m/>
    <n v="175.8083202535656"/>
    <n v="140.78625863848896"/>
    <n v="0"/>
    <n v="14963.71184"/>
    <n v="12408.2112"/>
    <n v="0"/>
    <n v="16231.151550769935"/>
    <n v="12997.809756281215"/>
  </r>
  <r>
    <s v="Refaturamento - Regular"/>
    <x v="1"/>
    <x v="2"/>
    <x v="4"/>
    <x v="4"/>
    <x v="1"/>
    <x v="0"/>
    <x v="1"/>
    <x v="8"/>
    <n v="0"/>
    <n v="0"/>
    <n v="5.8000000000000003E-2"/>
    <n v="5.8000000000000003E-2"/>
    <n v="5.8000000000000003E-2"/>
    <n v="5.8000000000000003E-2"/>
    <n v="0"/>
    <x v="1"/>
    <n v="0"/>
    <n v="0"/>
    <n v="30"/>
    <n v="32"/>
    <n v="0"/>
    <n v="162.08000000000001"/>
    <n v="134.4"/>
    <m/>
    <n v="175.8083202535656"/>
    <n v="140.78625863848896"/>
    <n v="0"/>
    <n v="9.400640000000001"/>
    <n v="7.7952000000000004"/>
    <n v="0"/>
    <n v="10.196882574706805"/>
    <n v="8.1656030010323608"/>
  </r>
  <r>
    <s v="Regular"/>
    <x v="1"/>
    <x v="2"/>
    <x v="4"/>
    <x v="4"/>
    <x v="1"/>
    <x v="0"/>
    <x v="1"/>
    <x v="9"/>
    <n v="0"/>
    <n v="0"/>
    <n v="93.614000000000004"/>
    <n v="93.614000000000004"/>
    <n v="93.614000000000004"/>
    <n v="93.614000000000004"/>
    <n v="267"/>
    <x v="1"/>
    <n v="0"/>
    <n v="0"/>
    <n v="30"/>
    <n v="32"/>
    <n v="0"/>
    <n v="162.08000000000001"/>
    <n v="134.4"/>
    <m/>
    <n v="175.8083202535656"/>
    <n v="140.78625863848896"/>
    <n v="0"/>
    <n v="15172.957120000003"/>
    <n v="12581.721600000001"/>
    <n v="0"/>
    <n v="16458.12009221729"/>
    <n v="13179.564816183505"/>
  </r>
  <r>
    <s v="Regular"/>
    <x v="1"/>
    <x v="2"/>
    <x v="4"/>
    <x v="4"/>
    <x v="1"/>
    <x v="0"/>
    <x v="1"/>
    <x v="10"/>
    <n v="0"/>
    <n v="0"/>
    <n v="101.9"/>
    <n v="101.9"/>
    <n v="101.9"/>
    <n v="101.9"/>
    <n v="333"/>
    <x v="1"/>
    <n v="0"/>
    <n v="0"/>
    <n v="30"/>
    <n v="32"/>
    <n v="0"/>
    <n v="162.08000000000001"/>
    <n v="134.4"/>
    <m/>
    <n v="175.8083202535656"/>
    <n v="140.78625863848896"/>
    <n v="0"/>
    <n v="16515.952000000001"/>
    <n v="13695.36"/>
    <n v="0"/>
    <n v="17914.867833838336"/>
    <n v="14346.119755262025"/>
  </r>
  <r>
    <s v="Sistema de Compensação"/>
    <x v="1"/>
    <x v="2"/>
    <x v="4"/>
    <x v="4"/>
    <x v="1"/>
    <x v="0"/>
    <x v="1"/>
    <x v="10"/>
    <n v="0"/>
    <n v="0"/>
    <n v="1.4E-2"/>
    <n v="2.8E-3"/>
    <n v="1.4E-2"/>
    <n v="2.8E-3"/>
    <n v="0"/>
    <x v="1"/>
    <n v="0"/>
    <n v="0"/>
    <n v="30"/>
    <n v="32"/>
    <n v="0"/>
    <n v="162.08000000000001"/>
    <n v="134.4"/>
    <m/>
    <n v="175.8083202535656"/>
    <n v="140.78625863848896"/>
    <n v="0"/>
    <n v="0.45382400000000001"/>
    <n v="0.37631999999999999"/>
    <n v="0"/>
    <n v="0.49226329670998364"/>
    <n v="0.3942015241877691"/>
  </r>
  <r>
    <s v="PROJETADO"/>
    <x v="1"/>
    <x v="2"/>
    <x v="4"/>
    <x v="4"/>
    <x v="1"/>
    <x v="0"/>
    <x v="1"/>
    <x v="11"/>
    <n v="0"/>
    <n v="0"/>
    <n v="101.9"/>
    <n v="101.9"/>
    <n v="101.9"/>
    <n v="101.9"/>
    <n v="333"/>
    <x v="1"/>
    <n v="0"/>
    <n v="0"/>
    <n v="30"/>
    <n v="32"/>
    <n v="0"/>
    <n v="162.08000000000001"/>
    <n v="134.4"/>
    <m/>
    <n v="175.8083202535656"/>
    <n v="140.78625863848896"/>
    <n v="0"/>
    <n v="16515.952000000001"/>
    <n v="13695.36"/>
    <n v="0"/>
    <n v="17914.867833838336"/>
    <n v="14346.119755262025"/>
  </r>
  <r>
    <s v="PROJETADO"/>
    <x v="1"/>
    <x v="2"/>
    <x v="4"/>
    <x v="4"/>
    <x v="1"/>
    <x v="0"/>
    <x v="1"/>
    <x v="11"/>
    <n v="0"/>
    <n v="0"/>
    <n v="1.4E-2"/>
    <n v="2.8E-3"/>
    <n v="1.4E-2"/>
    <n v="2.8E-3"/>
    <n v="0"/>
    <x v="1"/>
    <n v="0"/>
    <n v="0"/>
    <n v="30"/>
    <n v="32"/>
    <n v="0"/>
    <n v="162.08000000000001"/>
    <n v="134.4"/>
    <m/>
    <n v="175.8083202535656"/>
    <n v="140.78625863848896"/>
    <n v="0"/>
    <n v="0.45382400000000001"/>
    <n v="0.37631999999999999"/>
    <n v="0"/>
    <n v="0.49226329670998364"/>
    <n v="0.3942015241877691"/>
  </r>
  <r>
    <s v="Regular"/>
    <x v="1"/>
    <x v="2"/>
    <x v="4"/>
    <x v="5"/>
    <x v="1"/>
    <x v="0"/>
    <x v="1"/>
    <x v="0"/>
    <n v="0"/>
    <n v="0"/>
    <n v="77.028999999999996"/>
    <n v="77.028999999999996"/>
    <n v="77.028999999999996"/>
    <n v="77.028999999999996"/>
    <n v="652"/>
    <x v="1"/>
    <n v="0"/>
    <n v="0"/>
    <n v="37"/>
    <n v="58"/>
    <n v="0"/>
    <n v="243.12"/>
    <n v="201.61"/>
    <m/>
    <n v="263.71248038034844"/>
    <n v="211.17938795773344"/>
    <n v="0"/>
    <n v="18727.29048"/>
    <n v="15529.81669"/>
    <n v="0"/>
    <n v="20313.50865121786"/>
    <n v="16266.937074996249"/>
  </r>
  <r>
    <s v="Refaturamento - Regular"/>
    <x v="1"/>
    <x v="2"/>
    <x v="4"/>
    <x v="5"/>
    <x v="1"/>
    <x v="0"/>
    <x v="1"/>
    <x v="0"/>
    <n v="0"/>
    <n v="0"/>
    <n v="-6.7000000000000004E-2"/>
    <n v="-6.7000000000000004E-2"/>
    <n v="-6.7000000000000004E-2"/>
    <n v="-6.7000000000000004E-2"/>
    <n v="0"/>
    <x v="1"/>
    <n v="0"/>
    <n v="0"/>
    <n v="37"/>
    <n v="58"/>
    <n v="0"/>
    <n v="243.12"/>
    <n v="201.61"/>
    <m/>
    <n v="263.71248038034844"/>
    <n v="211.17938795773344"/>
    <n v="0"/>
    <n v="-16.28904"/>
    <n v="-13.507870000000002"/>
    <n v="0"/>
    <n v="-17.668736185483347"/>
    <n v="-14.149018993168141"/>
  </r>
  <r>
    <s v="Regular"/>
    <x v="1"/>
    <x v="2"/>
    <x v="4"/>
    <x v="5"/>
    <x v="1"/>
    <x v="0"/>
    <x v="1"/>
    <x v="1"/>
    <n v="0"/>
    <n v="0"/>
    <n v="85.152000000000001"/>
    <n v="85.152000000000001"/>
    <n v="85.152000000000001"/>
    <n v="85.152000000000001"/>
    <n v="652"/>
    <x v="1"/>
    <n v="0"/>
    <n v="0"/>
    <n v="37"/>
    <n v="58"/>
    <n v="0"/>
    <n v="243.12"/>
    <n v="201.61"/>
    <m/>
    <n v="263.71248038034844"/>
    <n v="211.17938795773344"/>
    <n v="0"/>
    <n v="20702.15424"/>
    <n v="17167.494720000002"/>
    <n v="0"/>
    <n v="22455.645129347431"/>
    <n v="17982.347243376917"/>
  </r>
  <r>
    <s v="Refaturamento - Regular"/>
    <x v="1"/>
    <x v="2"/>
    <x v="4"/>
    <x v="5"/>
    <x v="1"/>
    <x v="0"/>
    <x v="1"/>
    <x v="1"/>
    <n v="0"/>
    <n v="0"/>
    <n v="-8.5000000000000006E-2"/>
    <n v="-8.5000000000000006E-2"/>
    <n v="-8.5000000000000006E-2"/>
    <n v="-8.5000000000000006E-2"/>
    <n v="0"/>
    <x v="1"/>
    <n v="0"/>
    <n v="0"/>
    <n v="37"/>
    <n v="58"/>
    <n v="0"/>
    <n v="243.12"/>
    <n v="201.61"/>
    <m/>
    <n v="263.71248038034844"/>
    <n v="211.17938795773344"/>
    <n v="0"/>
    <n v="-20.665200000000002"/>
    <n v="-17.136850000000003"/>
    <n v="0"/>
    <n v="-22.415560832329618"/>
    <n v="-17.950247976407343"/>
  </r>
  <r>
    <s v="Regular"/>
    <x v="1"/>
    <x v="2"/>
    <x v="4"/>
    <x v="5"/>
    <x v="1"/>
    <x v="0"/>
    <x v="1"/>
    <x v="2"/>
    <n v="0"/>
    <n v="0"/>
    <n v="79.515000000000001"/>
    <n v="79.515000000000001"/>
    <n v="79.515000000000001"/>
    <n v="79.515000000000001"/>
    <n v="705"/>
    <x v="1"/>
    <n v="0"/>
    <n v="0"/>
    <n v="37"/>
    <n v="58"/>
    <n v="0"/>
    <n v="243.12"/>
    <n v="201.61"/>
    <m/>
    <n v="263.71248038034844"/>
    <n v="211.17938795773344"/>
    <n v="0"/>
    <n v="19331.686799999999"/>
    <n v="16031.019150000002"/>
    <n v="0"/>
    <n v="20969.097877443408"/>
    <n v="16791.929033459175"/>
  </r>
  <r>
    <s v="Refaturamento - Regular"/>
    <x v="1"/>
    <x v="2"/>
    <x v="4"/>
    <x v="5"/>
    <x v="1"/>
    <x v="0"/>
    <x v="1"/>
    <x v="2"/>
    <n v="0"/>
    <n v="0"/>
    <n v="-1.9E-2"/>
    <n v="-1.9E-2"/>
    <n v="-1.9E-2"/>
    <n v="-1.9E-2"/>
    <n v="0"/>
    <x v="1"/>
    <n v="0"/>
    <n v="0"/>
    <n v="37"/>
    <n v="58"/>
    <n v="0"/>
    <n v="243.12"/>
    <n v="201.61"/>
    <m/>
    <n v="263.71248038034844"/>
    <n v="211.17938795773344"/>
    <n v="0"/>
    <n v="-4.6192799999999998"/>
    <n v="-3.8305900000000004"/>
    <n v="0"/>
    <n v="-5.0105371272266206"/>
    <n v="-4.0124083711969352"/>
  </r>
  <r>
    <s v="Regular"/>
    <x v="1"/>
    <x v="2"/>
    <x v="4"/>
    <x v="5"/>
    <x v="1"/>
    <x v="0"/>
    <x v="1"/>
    <x v="3"/>
    <n v="0"/>
    <n v="0"/>
    <n v="82.828000000000003"/>
    <n v="82.828000000000003"/>
    <n v="82.828000000000003"/>
    <n v="82.828000000000003"/>
    <n v="702"/>
    <x v="1"/>
    <n v="0"/>
    <n v="0"/>
    <n v="37"/>
    <n v="58"/>
    <n v="0"/>
    <n v="243.12"/>
    <n v="201.61"/>
    <m/>
    <n v="263.71248038034844"/>
    <n v="211.17938795773344"/>
    <n v="0"/>
    <n v="20137.143360000002"/>
    <n v="16698.953080000003"/>
    <n v="0"/>
    <n v="21842.777324943501"/>
    <n v="17491.566345763145"/>
  </r>
  <r>
    <s v="Refaturamento - Regular"/>
    <x v="1"/>
    <x v="2"/>
    <x v="4"/>
    <x v="5"/>
    <x v="1"/>
    <x v="0"/>
    <x v="1"/>
    <x v="3"/>
    <n v="0"/>
    <n v="0"/>
    <n v="-0.11"/>
    <n v="-0.11"/>
    <n v="-0.11"/>
    <n v="-0.11"/>
    <n v="0"/>
    <x v="1"/>
    <n v="0"/>
    <n v="0"/>
    <n v="37"/>
    <n v="58"/>
    <n v="0"/>
    <n v="243.12"/>
    <n v="201.61"/>
    <m/>
    <n v="263.71248038034844"/>
    <n v="211.17938795773344"/>
    <n v="0"/>
    <n v="-26.743200000000002"/>
    <n v="-22.177100000000003"/>
    <n v="0"/>
    <n v="-29.008372841838327"/>
    <n v="-23.229732675350679"/>
  </r>
  <r>
    <s v="Regular"/>
    <x v="1"/>
    <x v="2"/>
    <x v="4"/>
    <x v="5"/>
    <x v="1"/>
    <x v="0"/>
    <x v="1"/>
    <x v="4"/>
    <n v="0"/>
    <n v="0"/>
    <n v="82.319000000000003"/>
    <n v="82.319000000000003"/>
    <n v="82.319000000000003"/>
    <n v="82.319000000000003"/>
    <n v="726"/>
    <x v="1"/>
    <n v="0"/>
    <n v="0"/>
    <n v="37"/>
    <n v="58"/>
    <n v="0"/>
    <n v="243.12"/>
    <n v="201.61"/>
    <m/>
    <n v="263.71248038034844"/>
    <n v="211.17938795773344"/>
    <n v="0"/>
    <n v="20013.395280000001"/>
    <n v="16596.333590000002"/>
    <n v="0"/>
    <n v="21708.547672429904"/>
    <n v="17384.07603729266"/>
  </r>
  <r>
    <s v="Refaturamento - Regular"/>
    <x v="1"/>
    <x v="2"/>
    <x v="4"/>
    <x v="5"/>
    <x v="1"/>
    <x v="0"/>
    <x v="1"/>
    <x v="4"/>
    <n v="0"/>
    <n v="0"/>
    <n v="-5.8000000000000003E-2"/>
    <n v="-5.8000000000000003E-2"/>
    <n v="-5.8000000000000003E-2"/>
    <n v="-5.8000000000000003E-2"/>
    <n v="0"/>
    <x v="1"/>
    <n v="0"/>
    <n v="0"/>
    <n v="37"/>
    <n v="58"/>
    <n v="0"/>
    <n v="243.12"/>
    <n v="201.61"/>
    <m/>
    <n v="263.71248038034844"/>
    <n v="211.17938795773344"/>
    <n v="0"/>
    <n v="-14.100960000000001"/>
    <n v="-11.693380000000001"/>
    <n v="0"/>
    <n v="-15.29532386206021"/>
    <n v="-12.24840450154854"/>
  </r>
  <r>
    <s v="Regular"/>
    <x v="1"/>
    <x v="2"/>
    <x v="4"/>
    <x v="5"/>
    <x v="1"/>
    <x v="0"/>
    <x v="1"/>
    <x v="5"/>
    <n v="0"/>
    <n v="0"/>
    <n v="104.45399999999999"/>
    <n v="104.45399999999999"/>
    <n v="104.45399999999999"/>
    <n v="104.45399999999999"/>
    <n v="616"/>
    <x v="1"/>
    <n v="0"/>
    <n v="0"/>
    <n v="37"/>
    <n v="58"/>
    <n v="0"/>
    <n v="243.12"/>
    <n v="201.61"/>
    <m/>
    <n v="263.71248038034844"/>
    <n v="211.17938795773344"/>
    <n v="0"/>
    <n v="25394.856479999999"/>
    <n v="21058.970939999999"/>
    <n v="0"/>
    <n v="27545.823425648916"/>
    <n v="22058.531789737088"/>
  </r>
  <r>
    <s v="Refaturamento - Regular"/>
    <x v="1"/>
    <x v="2"/>
    <x v="4"/>
    <x v="5"/>
    <x v="1"/>
    <x v="0"/>
    <x v="1"/>
    <x v="5"/>
    <n v="0"/>
    <n v="0"/>
    <n v="-0.12"/>
    <n v="-0.12"/>
    <n v="-0.12"/>
    <n v="-0.12"/>
    <n v="0"/>
    <x v="1"/>
    <n v="0"/>
    <n v="0"/>
    <n v="37"/>
    <n v="58"/>
    <n v="0"/>
    <n v="243.12"/>
    <n v="201.61"/>
    <m/>
    <n v="263.71248038034844"/>
    <n v="211.17938795773344"/>
    <n v="0"/>
    <n v="-29.174399999999999"/>
    <n v="-24.193200000000001"/>
    <n v="0"/>
    <n v="-31.645497645641811"/>
    <n v="-25.341526554928013"/>
  </r>
  <r>
    <s v="Regular"/>
    <x v="1"/>
    <x v="2"/>
    <x v="4"/>
    <x v="5"/>
    <x v="1"/>
    <x v="0"/>
    <x v="1"/>
    <x v="6"/>
    <n v="0"/>
    <n v="0"/>
    <n v="105.911"/>
    <n v="105.911"/>
    <n v="105.911"/>
    <n v="105.911"/>
    <n v="626"/>
    <x v="1"/>
    <n v="0"/>
    <n v="0"/>
    <n v="37"/>
    <n v="58"/>
    <n v="0"/>
    <n v="243.12"/>
    <n v="201.61"/>
    <m/>
    <n v="263.71248038034844"/>
    <n v="211.17938795773344"/>
    <n v="0"/>
    <n v="25749.082320000001"/>
    <n v="21352.716710000001"/>
    <n v="0"/>
    <n v="27930.052509563084"/>
    <n v="22366.220157991505"/>
  </r>
  <r>
    <s v="Regular"/>
    <x v="1"/>
    <x v="2"/>
    <x v="4"/>
    <x v="5"/>
    <x v="1"/>
    <x v="0"/>
    <x v="1"/>
    <x v="7"/>
    <n v="0"/>
    <n v="0"/>
    <n v="103.733"/>
    <n v="103.733"/>
    <n v="103.733"/>
    <n v="103.733"/>
    <n v="682"/>
    <x v="1"/>
    <n v="0"/>
    <n v="0"/>
    <n v="37"/>
    <n v="58"/>
    <n v="0"/>
    <n v="243.12"/>
    <n v="201.61"/>
    <m/>
    <n v="263.71248038034844"/>
    <n v="211.17938795773344"/>
    <n v="0"/>
    <n v="25219.56696"/>
    <n v="20913.610130000001"/>
    <n v="0"/>
    <n v="27355.686727294687"/>
    <n v="21906.271451019562"/>
  </r>
  <r>
    <s v="Refaturamento - Regular"/>
    <x v="1"/>
    <x v="2"/>
    <x v="4"/>
    <x v="5"/>
    <x v="1"/>
    <x v="0"/>
    <x v="1"/>
    <x v="7"/>
    <n v="0"/>
    <n v="0"/>
    <n v="-4.3999999999999997E-2"/>
    <n v="-4.3999999999999997E-2"/>
    <n v="-4.3999999999999997E-2"/>
    <n v="-4.3999999999999997E-2"/>
    <n v="0"/>
    <x v="1"/>
    <n v="0"/>
    <n v="0"/>
    <n v="37"/>
    <n v="58"/>
    <n v="0"/>
    <n v="243.12"/>
    <n v="201.61"/>
    <m/>
    <n v="263.71248038034844"/>
    <n v="211.17938795773344"/>
    <n v="0"/>
    <n v="-10.697279999999999"/>
    <n v="-8.8708399999999994"/>
    <n v="0"/>
    <n v="-11.60334913673533"/>
    <n v="-9.2918930701402704"/>
  </r>
  <r>
    <s v="Regular"/>
    <x v="1"/>
    <x v="2"/>
    <x v="4"/>
    <x v="5"/>
    <x v="1"/>
    <x v="0"/>
    <x v="1"/>
    <x v="8"/>
    <n v="0"/>
    <n v="0"/>
    <n v="101.02200000000001"/>
    <n v="101.02200000000001"/>
    <n v="101.02200000000001"/>
    <n v="101.02200000000001"/>
    <n v="726"/>
    <x v="1"/>
    <n v="0"/>
    <n v="0"/>
    <n v="37"/>
    <n v="58"/>
    <n v="0"/>
    <n v="243.12"/>
    <n v="201.61"/>
    <m/>
    <n v="263.71248038034844"/>
    <n v="211.17938795773344"/>
    <n v="0"/>
    <n v="24560.468640000003"/>
    <n v="20367.045420000002"/>
    <n v="0"/>
    <n v="26640.762192983562"/>
    <n v="21333.76413026615"/>
  </r>
  <r>
    <s v="Refaturamento - Regular"/>
    <x v="1"/>
    <x v="2"/>
    <x v="4"/>
    <x v="5"/>
    <x v="1"/>
    <x v="0"/>
    <x v="1"/>
    <x v="8"/>
    <n v="0"/>
    <n v="0"/>
    <n v="5.8999999999999997E-2"/>
    <n v="5.8999999999999997E-2"/>
    <n v="5.8999999999999997E-2"/>
    <n v="5.8999999999999997E-2"/>
    <n v="0"/>
    <x v="1"/>
    <n v="0"/>
    <n v="0"/>
    <n v="37"/>
    <n v="58"/>
    <n v="0"/>
    <n v="243.12"/>
    <n v="201.61"/>
    <m/>
    <n v="263.71248038034844"/>
    <n v="211.17938795773344"/>
    <n v="0"/>
    <n v="14.34408"/>
    <n v="11.89499"/>
    <n v="0"/>
    <n v="15.559036342440557"/>
    <n v="12.459583889506272"/>
  </r>
  <r>
    <s v="Regular"/>
    <x v="1"/>
    <x v="2"/>
    <x v="4"/>
    <x v="5"/>
    <x v="1"/>
    <x v="0"/>
    <x v="1"/>
    <x v="9"/>
    <n v="0"/>
    <n v="0"/>
    <n v="91.027000000000001"/>
    <n v="91.027000000000001"/>
    <n v="91.027000000000001"/>
    <n v="91.027000000000001"/>
    <n v="817"/>
    <x v="1"/>
    <n v="0"/>
    <n v="0"/>
    <n v="37"/>
    <n v="58"/>
    <n v="0"/>
    <n v="243.12"/>
    <n v="201.61"/>
    <m/>
    <n v="263.71248038034844"/>
    <n v="211.17938795773344"/>
    <n v="0"/>
    <n v="22130.484240000002"/>
    <n v="18351.95347"/>
    <n v="0"/>
    <n v="24004.955951581978"/>
    <n v="19223.026147628603"/>
  </r>
  <r>
    <s v="Regular"/>
    <x v="1"/>
    <x v="2"/>
    <x v="4"/>
    <x v="5"/>
    <x v="1"/>
    <x v="0"/>
    <x v="1"/>
    <x v="10"/>
    <n v="0"/>
    <n v="0"/>
    <n v="99.652000000000001"/>
    <n v="99.652000000000001"/>
    <n v="99.652000000000001"/>
    <n v="99.652000000000001"/>
    <n v="825"/>
    <x v="1"/>
    <n v="0"/>
    <n v="0"/>
    <n v="37"/>
    <n v="58"/>
    <n v="0"/>
    <n v="243.12"/>
    <n v="201.61"/>
    <m/>
    <n v="263.71248038034844"/>
    <n v="211.17938795773344"/>
    <n v="0"/>
    <n v="24227.394240000001"/>
    <n v="20090.83972"/>
    <n v="0"/>
    <n v="26279.476094862483"/>
    <n v="21044.448368764053"/>
  </r>
  <r>
    <s v="PROJETADO"/>
    <x v="1"/>
    <x v="2"/>
    <x v="4"/>
    <x v="5"/>
    <x v="1"/>
    <x v="0"/>
    <x v="1"/>
    <x v="11"/>
    <n v="0"/>
    <n v="0"/>
    <n v="99.652000000000001"/>
    <n v="99.652000000000001"/>
    <n v="99.652000000000001"/>
    <n v="99.652000000000001"/>
    <n v="825"/>
    <x v="1"/>
    <n v="0"/>
    <n v="0"/>
    <n v="37"/>
    <n v="58"/>
    <n v="0"/>
    <n v="243.12"/>
    <n v="201.61"/>
    <m/>
    <n v="263.71248038034844"/>
    <n v="211.17938795773344"/>
    <n v="0"/>
    <n v="24227.394240000001"/>
    <n v="20090.83972"/>
    <n v="0"/>
    <n v="26279.476094862483"/>
    <n v="21044.448368764053"/>
  </r>
  <r>
    <s v="Regular"/>
    <x v="1"/>
    <x v="2"/>
    <x v="4"/>
    <x v="6"/>
    <x v="1"/>
    <x v="0"/>
    <x v="1"/>
    <x v="0"/>
    <n v="0"/>
    <n v="0"/>
    <n v="25.678999999999998"/>
    <n v="25.678999999999998"/>
    <n v="25.678999999999998"/>
    <n v="25.678999999999998"/>
    <n v="322"/>
    <x v="1"/>
    <n v="0"/>
    <n v="0"/>
    <n v="6"/>
    <n v="34"/>
    <n v="0"/>
    <n v="270.13"/>
    <n v="224.01"/>
    <m/>
    <n v="293.013867089276"/>
    <n v="234.64376439748159"/>
    <n v="0"/>
    <n v="6936.6682699999992"/>
    <n v="5752.352789999999"/>
    <n v="0"/>
    <n v="7524.3030929855177"/>
    <n v="6025.4172259629295"/>
  </r>
  <r>
    <s v="Refaturamento - Regular"/>
    <x v="1"/>
    <x v="2"/>
    <x v="4"/>
    <x v="6"/>
    <x v="1"/>
    <x v="0"/>
    <x v="1"/>
    <x v="0"/>
    <n v="0"/>
    <n v="0"/>
    <n v="-0.13300000000000001"/>
    <n v="-0.13300000000000001"/>
    <n v="-0.13300000000000001"/>
    <n v="-0.13300000000000001"/>
    <n v="0"/>
    <x v="1"/>
    <n v="0"/>
    <n v="0"/>
    <n v="6"/>
    <n v="34"/>
    <n v="0"/>
    <n v="270.13"/>
    <n v="224.01"/>
    <m/>
    <n v="293.013867089276"/>
    <n v="234.64376439748159"/>
    <n v="0"/>
    <n v="-35.927289999999999"/>
    <n v="-29.793330000000001"/>
    <n v="0"/>
    <n v="-38.97084432287371"/>
    <n v="-31.207620664865054"/>
  </r>
  <r>
    <s v="Regular"/>
    <x v="1"/>
    <x v="2"/>
    <x v="4"/>
    <x v="6"/>
    <x v="1"/>
    <x v="0"/>
    <x v="1"/>
    <x v="1"/>
    <n v="0"/>
    <n v="0"/>
    <n v="33.174999999999997"/>
    <n v="33.174999999999997"/>
    <n v="33.174999999999997"/>
    <n v="33.174999999999997"/>
    <n v="390"/>
    <x v="1"/>
    <n v="0"/>
    <n v="0"/>
    <n v="6"/>
    <n v="34"/>
    <n v="0"/>
    <n v="270.13"/>
    <n v="224.01"/>
    <m/>
    <n v="293.013867089276"/>
    <n v="234.64376439748159"/>
    <n v="0"/>
    <n v="8961.5627499999991"/>
    <n v="7431.5317499999992"/>
    <n v="0"/>
    <n v="9720.7350406867299"/>
    <n v="7784.306883886451"/>
  </r>
  <r>
    <s v="Refaturamento - Regular"/>
    <x v="1"/>
    <x v="2"/>
    <x v="4"/>
    <x v="6"/>
    <x v="1"/>
    <x v="0"/>
    <x v="1"/>
    <x v="1"/>
    <n v="0"/>
    <n v="0"/>
    <n v="-0.115"/>
    <n v="-0.115"/>
    <n v="-0.115"/>
    <n v="-0.115"/>
    <n v="0"/>
    <x v="1"/>
    <n v="0"/>
    <n v="0"/>
    <n v="6"/>
    <n v="34"/>
    <n v="0"/>
    <n v="270.13"/>
    <n v="224.01"/>
    <m/>
    <n v="293.013867089276"/>
    <n v="234.64376439748159"/>
    <n v="0"/>
    <n v="-31.06495"/>
    <n v="-25.761150000000001"/>
    <n v="0"/>
    <n v="-33.696594715266741"/>
    <n v="-26.984032905710382"/>
  </r>
  <r>
    <s v="Regular"/>
    <x v="1"/>
    <x v="2"/>
    <x v="4"/>
    <x v="6"/>
    <x v="1"/>
    <x v="0"/>
    <x v="1"/>
    <x v="2"/>
    <n v="0"/>
    <n v="0"/>
    <n v="25.416"/>
    <n v="25.416"/>
    <n v="25.416"/>
    <n v="25.416"/>
    <n v="317"/>
    <x v="1"/>
    <n v="0"/>
    <n v="0"/>
    <n v="6"/>
    <n v="34"/>
    <n v="0"/>
    <n v="270.13"/>
    <n v="224.01"/>
    <m/>
    <n v="293.013867089276"/>
    <n v="234.64376439748159"/>
    <n v="0"/>
    <n v="6865.6240799999996"/>
    <n v="5693.4381599999997"/>
    <n v="0"/>
    <n v="7447.2404459410391"/>
    <n v="5963.7059159263918"/>
  </r>
  <r>
    <s v="Refaturamento - Regular"/>
    <x v="1"/>
    <x v="2"/>
    <x v="4"/>
    <x v="6"/>
    <x v="1"/>
    <x v="0"/>
    <x v="1"/>
    <x v="2"/>
    <n v="0"/>
    <n v="0"/>
    <n v="-0.16500000000000001"/>
    <n v="-0.16500000000000001"/>
    <n v="-0.16500000000000001"/>
    <n v="-0.16500000000000001"/>
    <n v="0"/>
    <x v="1"/>
    <n v="0"/>
    <n v="0"/>
    <n v="6"/>
    <n v="34"/>
    <n v="0"/>
    <n v="270.13"/>
    <n v="224.01"/>
    <m/>
    <n v="293.013867089276"/>
    <n v="234.64376439748159"/>
    <n v="0"/>
    <n v="-44.571449999999999"/>
    <n v="-36.961649999999999"/>
    <n v="0"/>
    <n v="-48.347288069730546"/>
    <n v="-38.716221125584461"/>
  </r>
  <r>
    <s v="Regular"/>
    <x v="1"/>
    <x v="2"/>
    <x v="4"/>
    <x v="6"/>
    <x v="1"/>
    <x v="0"/>
    <x v="1"/>
    <x v="3"/>
    <n v="0"/>
    <n v="0"/>
    <n v="25.062000000000001"/>
    <n v="25.062000000000001"/>
    <n v="25.062000000000001"/>
    <n v="25.062000000000001"/>
    <n v="349"/>
    <x v="1"/>
    <n v="0"/>
    <n v="0"/>
    <n v="6"/>
    <n v="34"/>
    <n v="0"/>
    <n v="270.13"/>
    <n v="224.01"/>
    <m/>
    <n v="293.013867089276"/>
    <n v="234.64376439748159"/>
    <n v="0"/>
    <n v="6769.9980599999999"/>
    <n v="5614.1386199999997"/>
    <n v="0"/>
    <n v="7343.513536991436"/>
    <n v="5880.642023329684"/>
  </r>
  <r>
    <s v="Refaturamento - Regular"/>
    <x v="1"/>
    <x v="2"/>
    <x v="4"/>
    <x v="6"/>
    <x v="1"/>
    <x v="0"/>
    <x v="1"/>
    <x v="3"/>
    <n v="0"/>
    <n v="0"/>
    <n v="-8.8999999999999996E-2"/>
    <n v="-8.8999999999999996E-2"/>
    <n v="-8.8999999999999996E-2"/>
    <n v="-8.8999999999999996E-2"/>
    <n v="0"/>
    <x v="1"/>
    <n v="0"/>
    <n v="0"/>
    <n v="6"/>
    <n v="34"/>
    <n v="0"/>
    <n v="270.13"/>
    <n v="224.01"/>
    <m/>
    <n v="293.013867089276"/>
    <n v="234.64376439748159"/>
    <n v="0"/>
    <n v="-24.04157"/>
    <n v="-19.936889999999998"/>
    <n v="0"/>
    <n v="-26.078234170945564"/>
    <n v="-20.883295031375859"/>
  </r>
  <r>
    <s v="Regular"/>
    <x v="1"/>
    <x v="2"/>
    <x v="4"/>
    <x v="6"/>
    <x v="1"/>
    <x v="0"/>
    <x v="1"/>
    <x v="4"/>
    <n v="0"/>
    <n v="0"/>
    <n v="24.013999999999999"/>
    <n v="24.013999999999999"/>
    <n v="24.013999999999999"/>
    <n v="24.013999999999999"/>
    <n v="339"/>
    <x v="1"/>
    <n v="0"/>
    <n v="0"/>
    <n v="6"/>
    <n v="34"/>
    <n v="0"/>
    <n v="270.13"/>
    <n v="224.01"/>
    <m/>
    <n v="293.013867089276"/>
    <n v="234.64376439748159"/>
    <n v="0"/>
    <n v="6486.90182"/>
    <n v="5379.3761399999994"/>
    <n v="0"/>
    <n v="7036.4350042818742"/>
    <n v="5634.7353582411224"/>
  </r>
  <r>
    <s v="Refaturamento - Regular"/>
    <x v="1"/>
    <x v="2"/>
    <x v="4"/>
    <x v="6"/>
    <x v="1"/>
    <x v="0"/>
    <x v="1"/>
    <x v="4"/>
    <n v="0"/>
    <n v="0"/>
    <n v="-2.3E-2"/>
    <n v="-2.3E-2"/>
    <n v="-2.3E-2"/>
    <n v="-2.3E-2"/>
    <n v="0"/>
    <x v="1"/>
    <n v="0"/>
    <n v="0"/>
    <n v="6"/>
    <n v="34"/>
    <n v="0"/>
    <n v="270.13"/>
    <n v="224.01"/>
    <m/>
    <n v="293.013867089276"/>
    <n v="234.64376439748159"/>
    <n v="0"/>
    <n v="-6.2129899999999996"/>
    <n v="-5.1522299999999994"/>
    <n v="0"/>
    <n v="-6.7393189430533482"/>
    <n v="-5.3968065811420765"/>
  </r>
  <r>
    <s v="Regular"/>
    <x v="1"/>
    <x v="2"/>
    <x v="4"/>
    <x v="6"/>
    <x v="1"/>
    <x v="0"/>
    <x v="1"/>
    <x v="5"/>
    <n v="0"/>
    <n v="0"/>
    <n v="54.155000000000001"/>
    <n v="54.155000000000001"/>
    <n v="54.155000000000001"/>
    <n v="54.155000000000001"/>
    <n v="552"/>
    <x v="1"/>
    <n v="0"/>
    <n v="0"/>
    <n v="6"/>
    <n v="34"/>
    <n v="0"/>
    <n v="270.13"/>
    <n v="224.01"/>
    <m/>
    <n v="293.013867089276"/>
    <n v="234.64376439748159"/>
    <n v="0"/>
    <n v="14628.890149999999"/>
    <n v="12131.261549999999"/>
    <n v="0"/>
    <n v="15868.165972219742"/>
    <n v="12707.133060945616"/>
  </r>
  <r>
    <s v="Refaturamento - Regular"/>
    <x v="1"/>
    <x v="2"/>
    <x v="4"/>
    <x v="6"/>
    <x v="1"/>
    <x v="0"/>
    <x v="1"/>
    <x v="5"/>
    <n v="0"/>
    <n v="0"/>
    <n v="-0.01"/>
    <n v="-0.01"/>
    <n v="-0.01"/>
    <n v="-0.01"/>
    <n v="0"/>
    <x v="1"/>
    <n v="0"/>
    <n v="0"/>
    <n v="6"/>
    <n v="34"/>
    <n v="0"/>
    <n v="270.13"/>
    <n v="224.01"/>
    <m/>
    <n v="293.013867089276"/>
    <n v="234.64376439748159"/>
    <n v="0"/>
    <n v="-2.7012999999999998"/>
    <n v="-2.2401"/>
    <n v="0"/>
    <n v="-2.9301386708927599"/>
    <n v="-2.346437643974816"/>
  </r>
  <r>
    <s v="Regular"/>
    <x v="1"/>
    <x v="2"/>
    <x v="4"/>
    <x v="6"/>
    <x v="1"/>
    <x v="0"/>
    <x v="1"/>
    <x v="6"/>
    <n v="0"/>
    <n v="0"/>
    <n v="63.542000000000002"/>
    <n v="63.542000000000002"/>
    <n v="63.542000000000002"/>
    <n v="63.542000000000002"/>
    <n v="567"/>
    <x v="1"/>
    <n v="0"/>
    <n v="0"/>
    <n v="6"/>
    <n v="34"/>
    <n v="0"/>
    <n v="270.13"/>
    <n v="224.01"/>
    <m/>
    <n v="293.013867089276"/>
    <n v="234.64376439748159"/>
    <n v="0"/>
    <n v="17164.600460000001"/>
    <n v="14234.04342"/>
    <n v="0"/>
    <n v="18618.687142586776"/>
    <n v="14909.734077344776"/>
  </r>
  <r>
    <s v="Regular"/>
    <x v="1"/>
    <x v="2"/>
    <x v="4"/>
    <x v="6"/>
    <x v="1"/>
    <x v="0"/>
    <x v="1"/>
    <x v="7"/>
    <n v="0"/>
    <n v="0"/>
    <n v="56.566000000000003"/>
    <n v="56.566000000000003"/>
    <n v="56.566000000000003"/>
    <n v="56.566000000000003"/>
    <n v="517"/>
    <x v="1"/>
    <n v="0"/>
    <n v="0"/>
    <n v="6"/>
    <n v="34"/>
    <n v="0"/>
    <n v="270.13"/>
    <n v="224.01"/>
    <m/>
    <n v="293.013867089276"/>
    <n v="234.64376439748159"/>
    <n v="0"/>
    <n v="15280.173580000001"/>
    <n v="12671.34966"/>
    <n v="0"/>
    <n v="16574.622405771988"/>
    <n v="13272.859176907945"/>
  </r>
  <r>
    <s v="Refaturamento - Regular"/>
    <x v="1"/>
    <x v="2"/>
    <x v="4"/>
    <x v="6"/>
    <x v="1"/>
    <x v="0"/>
    <x v="1"/>
    <x v="7"/>
    <n v="0"/>
    <n v="0"/>
    <n v="-1.474"/>
    <n v="-1.474"/>
    <n v="-1.474"/>
    <n v="-1.474"/>
    <n v="0"/>
    <x v="1"/>
    <n v="0"/>
    <n v="0"/>
    <n v="6"/>
    <n v="34"/>
    <n v="0"/>
    <n v="270.13"/>
    <n v="224.01"/>
    <m/>
    <n v="293.013867089276"/>
    <n v="234.64376439748159"/>
    <n v="0"/>
    <n v="-398.17161999999996"/>
    <n v="-330.19074000000001"/>
    <n v="0"/>
    <n v="-431.9024400895928"/>
    <n v="-345.86490872188784"/>
  </r>
  <r>
    <s v="Regular"/>
    <x v="1"/>
    <x v="2"/>
    <x v="4"/>
    <x v="6"/>
    <x v="1"/>
    <x v="0"/>
    <x v="1"/>
    <x v="8"/>
    <n v="0"/>
    <n v="0"/>
    <n v="42.036000000000001"/>
    <n v="42.036000000000001"/>
    <n v="42.036000000000001"/>
    <n v="42.036000000000001"/>
    <n v="470"/>
    <x v="1"/>
    <n v="0"/>
    <n v="0"/>
    <n v="6"/>
    <n v="34"/>
    <n v="0"/>
    <n v="270.13"/>
    <n v="224.01"/>
    <m/>
    <n v="293.013867089276"/>
    <n v="234.64376439748159"/>
    <n v="0"/>
    <n v="11355.18468"/>
    <n v="9416.4843600000004"/>
    <n v="0"/>
    <n v="12317.130916964807"/>
    <n v="9863.485280212537"/>
  </r>
  <r>
    <s v="Refaturamento - Regular"/>
    <x v="1"/>
    <x v="2"/>
    <x v="4"/>
    <x v="6"/>
    <x v="1"/>
    <x v="0"/>
    <x v="1"/>
    <x v="8"/>
    <n v="0"/>
    <n v="0"/>
    <n v="-0.28999999999999998"/>
    <n v="-0.28999999999999998"/>
    <n v="-0.28999999999999998"/>
    <n v="-0.28999999999999998"/>
    <n v="0"/>
    <x v="1"/>
    <n v="0"/>
    <n v="0"/>
    <n v="6"/>
    <n v="34"/>
    <n v="0"/>
    <n v="270.13"/>
    <n v="224.01"/>
    <m/>
    <n v="293.013867089276"/>
    <n v="234.64376439748159"/>
    <n v="0"/>
    <n v="-78.337699999999998"/>
    <n v="-64.962899999999991"/>
    <n v="0"/>
    <n v="-84.974021455890039"/>
    <n v="-68.046691675269656"/>
  </r>
  <r>
    <s v="Regular"/>
    <x v="1"/>
    <x v="2"/>
    <x v="4"/>
    <x v="6"/>
    <x v="1"/>
    <x v="0"/>
    <x v="1"/>
    <x v="9"/>
    <n v="0"/>
    <n v="0"/>
    <n v="29.068999999999999"/>
    <n v="29.068999999999999"/>
    <n v="29.068999999999999"/>
    <n v="29.068999999999999"/>
    <n v="361"/>
    <x v="1"/>
    <n v="0"/>
    <n v="0"/>
    <n v="6"/>
    <n v="34"/>
    <n v="0"/>
    <n v="270.13"/>
    <n v="224.01"/>
    <m/>
    <n v="293.013867089276"/>
    <n v="234.64376439748159"/>
    <n v="0"/>
    <n v="7852.4089699999995"/>
    <n v="6511.7466899999999"/>
    <n v="0"/>
    <n v="8517.6201024181646"/>
    <n v="6820.8595872703918"/>
  </r>
  <r>
    <s v="Regular"/>
    <x v="1"/>
    <x v="2"/>
    <x v="4"/>
    <x v="6"/>
    <x v="1"/>
    <x v="0"/>
    <x v="1"/>
    <x v="10"/>
    <n v="0"/>
    <n v="0"/>
    <n v="38.725000000000001"/>
    <n v="38.725000000000001"/>
    <n v="38.725000000000001"/>
    <n v="38.725000000000001"/>
    <n v="433"/>
    <x v="1"/>
    <n v="0"/>
    <n v="0"/>
    <n v="6"/>
    <n v="34"/>
    <n v="0"/>
    <n v="270.13"/>
    <n v="224.01"/>
    <m/>
    <n v="293.013867089276"/>
    <n v="234.64376439748159"/>
    <n v="0"/>
    <n v="10460.784250000001"/>
    <n v="8674.7872499999994"/>
    <n v="0"/>
    <n v="11346.962003032213"/>
    <n v="9086.5797762924758"/>
  </r>
  <r>
    <s v="PROJETADO"/>
    <x v="1"/>
    <x v="2"/>
    <x v="4"/>
    <x v="6"/>
    <x v="1"/>
    <x v="0"/>
    <x v="1"/>
    <x v="11"/>
    <n v="0"/>
    <n v="0"/>
    <n v="38.725000000000001"/>
    <n v="38.725000000000001"/>
    <n v="38.725000000000001"/>
    <n v="38.725000000000001"/>
    <n v="433"/>
    <x v="1"/>
    <n v="0"/>
    <n v="0"/>
    <n v="6"/>
    <n v="34"/>
    <n v="0"/>
    <n v="270.13"/>
    <n v="224.01"/>
    <m/>
    <n v="293.013867089276"/>
    <n v="234.64376439748159"/>
    <n v="0"/>
    <n v="10460.784250000001"/>
    <n v="8674.7872499999994"/>
    <n v="0"/>
    <n v="11346.962003032213"/>
    <n v="9086.5797762924758"/>
  </r>
  <r>
    <s v="Regular"/>
    <x v="2"/>
    <x v="2"/>
    <x v="5"/>
    <x v="7"/>
    <x v="2"/>
    <x v="0"/>
    <x v="1"/>
    <x v="0"/>
    <n v="0"/>
    <n v="0"/>
    <n v="2.472"/>
    <n v="2.472"/>
    <n v="2.472"/>
    <n v="2.472"/>
    <n v="0"/>
    <x v="1"/>
    <n v="0"/>
    <n v="0"/>
    <n v="16"/>
    <n v="54"/>
    <n v="0"/>
    <n v="297.89"/>
    <n v="197.13"/>
    <m/>
    <n v="392.53302912886562"/>
    <n v="220.56513853363268"/>
    <n v="0"/>
    <n v="736.38407999999993"/>
    <n v="487.30536000000001"/>
    <n v="0"/>
    <n v="970.34164800655583"/>
    <n v="545.23702245513994"/>
  </r>
  <r>
    <s v="Regular"/>
    <x v="2"/>
    <x v="2"/>
    <x v="5"/>
    <x v="7"/>
    <x v="2"/>
    <x v="0"/>
    <x v="1"/>
    <x v="1"/>
    <n v="0"/>
    <n v="0"/>
    <n v="3.6890000000000001"/>
    <n v="3.6890000000000001"/>
    <n v="3.6890000000000001"/>
    <n v="3.6890000000000001"/>
    <n v="0"/>
    <x v="1"/>
    <n v="0"/>
    <n v="0"/>
    <n v="16"/>
    <n v="54"/>
    <n v="0"/>
    <n v="297.89"/>
    <n v="197.13"/>
    <m/>
    <n v="392.53302912886562"/>
    <n v="220.56513853363268"/>
    <n v="0"/>
    <n v="1098.9162099999999"/>
    <n v="727.21257000000003"/>
    <n v="0"/>
    <n v="1448.0543444563853"/>
    <n v="813.664796050571"/>
  </r>
  <r>
    <s v="Regular"/>
    <x v="2"/>
    <x v="2"/>
    <x v="5"/>
    <x v="7"/>
    <x v="2"/>
    <x v="0"/>
    <x v="1"/>
    <x v="2"/>
    <n v="0"/>
    <n v="0"/>
    <n v="1.538"/>
    <n v="1.538"/>
    <n v="1.538"/>
    <n v="1.538"/>
    <n v="0"/>
    <x v="1"/>
    <n v="0"/>
    <n v="0"/>
    <n v="16"/>
    <n v="54"/>
    <n v="0"/>
    <n v="297.89"/>
    <n v="197.13"/>
    <m/>
    <n v="392.53302912886562"/>
    <n v="220.56513853363268"/>
    <n v="0"/>
    <n v="458.15481999999997"/>
    <n v="303.18594000000002"/>
    <n v="0"/>
    <n v="603.71579880019533"/>
    <n v="339.22918306472707"/>
  </r>
  <r>
    <s v="Regular"/>
    <x v="2"/>
    <x v="2"/>
    <x v="5"/>
    <x v="7"/>
    <x v="2"/>
    <x v="0"/>
    <x v="1"/>
    <x v="3"/>
    <n v="0"/>
    <n v="0"/>
    <n v="2.7269999999999999"/>
    <n v="2.7269999999999999"/>
    <n v="2.7269999999999999"/>
    <n v="2.7269999999999999"/>
    <n v="0"/>
    <x v="1"/>
    <n v="0"/>
    <n v="0"/>
    <n v="16"/>
    <n v="54"/>
    <n v="0"/>
    <n v="297.89"/>
    <n v="197.13"/>
    <m/>
    <n v="392.53302912886562"/>
    <n v="220.56513853363268"/>
    <n v="0"/>
    <n v="812.34602999999993"/>
    <n v="537.57350999999994"/>
    <n v="0"/>
    <n v="1070.4375704344166"/>
    <n v="601.48113278121627"/>
  </r>
  <r>
    <s v="Regular"/>
    <x v="2"/>
    <x v="2"/>
    <x v="5"/>
    <x v="7"/>
    <x v="2"/>
    <x v="0"/>
    <x v="1"/>
    <x v="4"/>
    <n v="0"/>
    <n v="0"/>
    <n v="8.2140000000000004"/>
    <n v="8.2140000000000004"/>
    <n v="8.2140000000000004"/>
    <n v="8.2140000000000004"/>
    <n v="0"/>
    <x v="1"/>
    <n v="0"/>
    <n v="0"/>
    <n v="16"/>
    <n v="54"/>
    <n v="0"/>
    <n v="297.89"/>
    <n v="197.13"/>
    <m/>
    <n v="392.53302912886562"/>
    <n v="220.56513853363268"/>
    <n v="0"/>
    <n v="2446.8684600000001"/>
    <n v="1619.2258200000001"/>
    <n v="0"/>
    <n v="3224.2663012645025"/>
    <n v="1811.7220479152588"/>
  </r>
  <r>
    <s v="Refaturamento - Regular"/>
    <x v="2"/>
    <x v="2"/>
    <x v="5"/>
    <x v="7"/>
    <x v="2"/>
    <x v="0"/>
    <x v="1"/>
    <x v="4"/>
    <n v="0"/>
    <n v="0"/>
    <n v="-0.85299999999999998"/>
    <n v="-0.85299999999999998"/>
    <n v="-0.85299999999999998"/>
    <n v="-0.85299999999999998"/>
    <n v="0"/>
    <x v="1"/>
    <n v="0"/>
    <n v="0"/>
    <n v="16"/>
    <n v="54"/>
    <n v="0"/>
    <n v="297.89"/>
    <n v="197.13"/>
    <m/>
    <n v="392.53302912886562"/>
    <n v="220.56513853363268"/>
    <n v="0"/>
    <n v="-254.10016999999999"/>
    <n v="-168.15188999999998"/>
    <n v="0"/>
    <n v="-334.83067384692237"/>
    <n v="-188.14206316918867"/>
  </r>
  <r>
    <s v="Regular"/>
    <x v="2"/>
    <x v="2"/>
    <x v="5"/>
    <x v="7"/>
    <x v="2"/>
    <x v="0"/>
    <x v="1"/>
    <x v="5"/>
    <n v="0"/>
    <n v="0"/>
    <n v="5.101"/>
    <n v="5.101"/>
    <n v="5.101"/>
    <n v="5.101"/>
    <n v="0"/>
    <x v="1"/>
    <n v="0"/>
    <n v="0"/>
    <n v="16"/>
    <n v="54"/>
    <n v="0"/>
    <n v="297.89"/>
    <n v="197.13"/>
    <m/>
    <n v="392.53302912886562"/>
    <n v="220.56513853363268"/>
    <n v="0"/>
    <n v="1519.5368899999999"/>
    <n v="1005.56013"/>
    <n v="0"/>
    <n v="2002.3109815863436"/>
    <n v="1125.1027716600602"/>
  </r>
  <r>
    <s v="Refaturamento - Regular"/>
    <x v="2"/>
    <x v="2"/>
    <x v="5"/>
    <x v="7"/>
    <x v="2"/>
    <x v="0"/>
    <x v="1"/>
    <x v="5"/>
    <n v="0"/>
    <n v="0"/>
    <n v="-2.6259999999999999"/>
    <n v="-2.6259999999999999"/>
    <n v="-2.6259999999999999"/>
    <n v="-2.6259999999999999"/>
    <n v="0"/>
    <x v="1"/>
    <n v="0"/>
    <n v="0"/>
    <n v="16"/>
    <n v="54"/>
    <n v="0"/>
    <n v="297.89"/>
    <n v="197.13"/>
    <m/>
    <n v="392.53302912886562"/>
    <n v="220.56513853363268"/>
    <n v="0"/>
    <n v="-782.25913999999989"/>
    <n v="-517.66337999999996"/>
    <n v="0"/>
    <n v="-1030.791734492401"/>
    <n v="-579.20405378931935"/>
  </r>
  <r>
    <s v="Regular"/>
    <x v="2"/>
    <x v="2"/>
    <x v="5"/>
    <x v="7"/>
    <x v="2"/>
    <x v="0"/>
    <x v="1"/>
    <x v="6"/>
    <n v="0"/>
    <n v="0"/>
    <n v="4.117"/>
    <n v="4.117"/>
    <n v="4.117"/>
    <n v="4.117"/>
    <n v="0"/>
    <x v="1"/>
    <n v="0"/>
    <n v="0"/>
    <n v="16"/>
    <n v="54"/>
    <n v="0"/>
    <n v="297.89"/>
    <n v="197.13"/>
    <m/>
    <n v="392.53302912886562"/>
    <n v="220.56513853363268"/>
    <n v="0"/>
    <n v="1226.4131299999999"/>
    <n v="811.58420999999998"/>
    <n v="0"/>
    <n v="1616.0584809235397"/>
    <n v="908.06667534296571"/>
  </r>
  <r>
    <s v="Regular"/>
    <x v="2"/>
    <x v="2"/>
    <x v="5"/>
    <x v="7"/>
    <x v="2"/>
    <x v="0"/>
    <x v="1"/>
    <x v="7"/>
    <n v="0"/>
    <n v="0"/>
    <n v="1.5509999999999999"/>
    <n v="1.5509999999999999"/>
    <n v="1.5509999999999999"/>
    <n v="1.5509999999999999"/>
    <n v="0"/>
    <x v="1"/>
    <n v="0"/>
    <n v="0"/>
    <n v="16"/>
    <n v="54"/>
    <n v="0"/>
    <n v="297.89"/>
    <n v="197.13"/>
    <m/>
    <n v="392.53302912886562"/>
    <n v="220.56513853363268"/>
    <n v="0"/>
    <n v="462.02738999999997"/>
    <n v="305.74862999999999"/>
    <n v="0"/>
    <n v="608.81872817887051"/>
    <n v="342.09652986566425"/>
  </r>
  <r>
    <s v="Regular"/>
    <x v="2"/>
    <x v="2"/>
    <x v="5"/>
    <x v="7"/>
    <x v="2"/>
    <x v="0"/>
    <x v="1"/>
    <x v="8"/>
    <n v="0"/>
    <n v="0"/>
    <n v="1.1870000000000001"/>
    <n v="1.1870000000000001"/>
    <n v="1.1870000000000001"/>
    <n v="1.1870000000000001"/>
    <n v="0"/>
    <x v="1"/>
    <n v="0"/>
    <n v="0"/>
    <n v="16"/>
    <n v="54"/>
    <n v="0"/>
    <n v="297.89"/>
    <n v="197.13"/>
    <m/>
    <n v="392.53302912886562"/>
    <n v="220.56513853363268"/>
    <n v="0"/>
    <n v="353.59543000000002"/>
    <n v="233.99331000000001"/>
    <n v="0"/>
    <n v="465.93670557596352"/>
    <n v="261.810819439422"/>
  </r>
  <r>
    <s v="Regular"/>
    <x v="2"/>
    <x v="2"/>
    <x v="5"/>
    <x v="7"/>
    <x v="2"/>
    <x v="0"/>
    <x v="1"/>
    <x v="9"/>
    <n v="0"/>
    <n v="0"/>
    <n v="0.27300000000000002"/>
    <n v="0.27300000000000002"/>
    <n v="0.27300000000000002"/>
    <n v="0.27300000000000002"/>
    <n v="0"/>
    <x v="1"/>
    <n v="0"/>
    <n v="0"/>
    <n v="16"/>
    <n v="54"/>
    <n v="0"/>
    <n v="297.89"/>
    <n v="197.13"/>
    <m/>
    <n v="392.53302912886562"/>
    <n v="220.56513853363268"/>
    <n v="0"/>
    <n v="81.323970000000003"/>
    <n v="53.816490000000002"/>
    <n v="0"/>
    <n v="107.16151695218032"/>
    <n v="60.214282819681728"/>
  </r>
  <r>
    <s v="Refaturamento - Regular"/>
    <x v="2"/>
    <x v="2"/>
    <x v="5"/>
    <x v="7"/>
    <x v="2"/>
    <x v="0"/>
    <x v="1"/>
    <x v="9"/>
    <n v="0"/>
    <n v="0"/>
    <n v="-0.33600000000000002"/>
    <n v="-0.33600000000000002"/>
    <n v="-0.33600000000000002"/>
    <n v="-0.33600000000000002"/>
    <n v="0"/>
    <x v="1"/>
    <n v="0"/>
    <n v="0"/>
    <n v="16"/>
    <n v="54"/>
    <n v="0"/>
    <n v="297.89"/>
    <n v="197.13"/>
    <m/>
    <n v="392.53302912886562"/>
    <n v="220.56513853363268"/>
    <n v="0"/>
    <n v="-100.09104000000001"/>
    <n v="-66.235680000000002"/>
    <n v="0"/>
    <n v="-131.89109778729886"/>
    <n v="-74.10988654730059"/>
  </r>
  <r>
    <s v="Regular"/>
    <x v="2"/>
    <x v="2"/>
    <x v="5"/>
    <x v="7"/>
    <x v="2"/>
    <x v="0"/>
    <x v="1"/>
    <x v="10"/>
    <n v="0"/>
    <n v="0"/>
    <n v="0.17699999999999999"/>
    <n v="0.17699999999999999"/>
    <n v="0.17699999999999999"/>
    <n v="0.17699999999999999"/>
    <n v="0"/>
    <x v="1"/>
    <n v="0"/>
    <n v="0"/>
    <n v="16"/>
    <n v="54"/>
    <n v="0"/>
    <n v="297.89"/>
    <n v="197.13"/>
    <m/>
    <n v="392.53302912886562"/>
    <n v="220.56513853363268"/>
    <n v="0"/>
    <n v="52.726529999999997"/>
    <n v="34.892009999999999"/>
    <n v="0"/>
    <n v="69.478346155809206"/>
    <n v="39.040029520452983"/>
  </r>
  <r>
    <s v="PROJETADO"/>
    <x v="2"/>
    <x v="2"/>
    <x v="5"/>
    <x v="7"/>
    <x v="2"/>
    <x v="0"/>
    <x v="1"/>
    <x v="11"/>
    <n v="0"/>
    <n v="0"/>
    <n v="0.17699999999999999"/>
    <n v="0.17699999999999999"/>
    <n v="0.17699999999999999"/>
    <n v="0.17699999999999999"/>
    <n v="0"/>
    <x v="1"/>
    <n v="0"/>
    <n v="0"/>
    <n v="16"/>
    <n v="54"/>
    <n v="0"/>
    <n v="297.89"/>
    <n v="197.13"/>
    <m/>
    <n v="392.53302912886562"/>
    <n v="220.56513853363268"/>
    <n v="0"/>
    <n v="52.726529999999997"/>
    <n v="34.892009999999999"/>
    <n v="0"/>
    <n v="69.478346155809206"/>
    <n v="39.040029520452983"/>
  </r>
  <r>
    <s v="Regular"/>
    <x v="2"/>
    <x v="2"/>
    <x v="5"/>
    <x v="7"/>
    <x v="3"/>
    <x v="0"/>
    <x v="1"/>
    <x v="0"/>
    <n v="0"/>
    <n v="0"/>
    <n v="1.3129999999999999"/>
    <n v="0.5252"/>
    <n v="1.3129999999999999"/>
    <n v="0.5252"/>
    <n v="0"/>
    <x v="1"/>
    <n v="0"/>
    <n v="0"/>
    <n v="16"/>
    <n v="54"/>
    <n v="0"/>
    <n v="297.89"/>
    <n v="197.13"/>
    <m/>
    <n v="392.53302912886562"/>
    <n v="220.56513853363268"/>
    <n v="0"/>
    <n v="156.45182800000001"/>
    <n v="103.532676"/>
    <n v="0"/>
    <n v="206.15834689848023"/>
    <n v="115.84081075786388"/>
  </r>
  <r>
    <s v="Regular"/>
    <x v="2"/>
    <x v="2"/>
    <x v="5"/>
    <x v="7"/>
    <x v="3"/>
    <x v="0"/>
    <x v="1"/>
    <x v="1"/>
    <n v="0"/>
    <n v="0"/>
    <n v="1.7609999999999999"/>
    <n v="0.70440000000000003"/>
    <n v="1.7609999999999999"/>
    <n v="0.70440000000000003"/>
    <n v="0"/>
    <x v="1"/>
    <n v="0"/>
    <n v="0"/>
    <n v="16"/>
    <n v="54"/>
    <n v="0"/>
    <n v="297.89"/>
    <n v="197.13"/>
    <m/>
    <n v="392.53302912886562"/>
    <n v="220.56513853363268"/>
    <n v="0"/>
    <n v="209.83371600000001"/>
    <n v="138.858372"/>
    <n v="0"/>
    <n v="276.50026571837293"/>
    <n v="155.36608358309087"/>
  </r>
  <r>
    <s v="Regular"/>
    <x v="2"/>
    <x v="2"/>
    <x v="5"/>
    <x v="7"/>
    <x v="3"/>
    <x v="0"/>
    <x v="1"/>
    <x v="2"/>
    <n v="0"/>
    <n v="0"/>
    <n v="0.82599999999999996"/>
    <n v="0.33040000000000003"/>
    <n v="0.82599999999999996"/>
    <n v="0.33040000000000003"/>
    <n v="0"/>
    <x v="1"/>
    <n v="0"/>
    <n v="0"/>
    <n v="16"/>
    <n v="54"/>
    <n v="0"/>
    <n v="297.89"/>
    <n v="197.13"/>
    <m/>
    <n v="392.53302912886562"/>
    <n v="220.56513853363268"/>
    <n v="0"/>
    <n v="98.42285600000001"/>
    <n v="65.131752000000006"/>
    <n v="0"/>
    <n v="129.6929128241772"/>
    <n v="72.874721771512242"/>
  </r>
  <r>
    <s v="Regular"/>
    <x v="2"/>
    <x v="2"/>
    <x v="5"/>
    <x v="7"/>
    <x v="3"/>
    <x v="0"/>
    <x v="1"/>
    <x v="3"/>
    <n v="0"/>
    <n v="0"/>
    <n v="1.579"/>
    <n v="0.63160000000000005"/>
    <n v="1.579"/>
    <n v="0.63160000000000005"/>
    <n v="0"/>
    <x v="1"/>
    <n v="0"/>
    <n v="0"/>
    <n v="16"/>
    <n v="54"/>
    <n v="0"/>
    <n v="297.89"/>
    <n v="197.13"/>
    <m/>
    <n v="392.53302912886562"/>
    <n v="220.56513853363268"/>
    <n v="0"/>
    <n v="188.147324"/>
    <n v="124.50730800000001"/>
    <n v="0"/>
    <n v="247.92386119779155"/>
    <n v="139.3089414978424"/>
  </r>
  <r>
    <s v="Regular"/>
    <x v="2"/>
    <x v="2"/>
    <x v="5"/>
    <x v="7"/>
    <x v="3"/>
    <x v="0"/>
    <x v="1"/>
    <x v="4"/>
    <n v="0"/>
    <n v="0"/>
    <n v="3.202"/>
    <n v="1.2807999999999999"/>
    <n v="3.202"/>
    <n v="1.2807999999999999"/>
    <n v="0"/>
    <x v="1"/>
    <n v="0"/>
    <n v="0"/>
    <n v="16"/>
    <n v="54"/>
    <n v="0"/>
    <n v="297.89"/>
    <n v="197.13"/>
    <m/>
    <n v="392.53302912886562"/>
    <n v="220.56513853363268"/>
    <n v="0"/>
    <n v="381.53751199999999"/>
    <n v="252.48410399999997"/>
    <n v="0"/>
    <n v="502.75630370825104"/>
    <n v="282.4998294338767"/>
  </r>
  <r>
    <s v="Refaturamento - Regular"/>
    <x v="2"/>
    <x v="2"/>
    <x v="5"/>
    <x v="7"/>
    <x v="3"/>
    <x v="0"/>
    <x v="1"/>
    <x v="4"/>
    <n v="0"/>
    <n v="0"/>
    <n v="0.08"/>
    <n v="3.2000000000000001E-2"/>
    <n v="0.08"/>
    <n v="3.2000000000000001E-2"/>
    <n v="0"/>
    <x v="1"/>
    <n v="0"/>
    <n v="0"/>
    <n v="16"/>
    <n v="54"/>
    <n v="0"/>
    <n v="297.89"/>
    <n v="197.13"/>
    <m/>
    <n v="392.53302912886562"/>
    <n v="220.56513853363268"/>
    <n v="0"/>
    <n v="9.5324799999999996"/>
    <n v="6.30816"/>
    <n v="0"/>
    <n v="12.5610569321237"/>
    <n v="7.058084433076246"/>
  </r>
  <r>
    <s v="Regular"/>
    <x v="2"/>
    <x v="2"/>
    <x v="5"/>
    <x v="7"/>
    <x v="3"/>
    <x v="0"/>
    <x v="1"/>
    <x v="5"/>
    <n v="0"/>
    <n v="0"/>
    <n v="3.0150000000000001"/>
    <n v="1.206"/>
    <n v="3.0150000000000001"/>
    <n v="1.206"/>
    <n v="0"/>
    <x v="1"/>
    <n v="0"/>
    <n v="0"/>
    <n v="16"/>
    <n v="54"/>
    <n v="0"/>
    <n v="297.89"/>
    <n v="197.13"/>
    <m/>
    <n v="392.53302912886562"/>
    <n v="220.56513853363268"/>
    <n v="0"/>
    <n v="359.25533999999999"/>
    <n v="237.73877999999999"/>
    <n v="0"/>
    <n v="473.39483312941195"/>
    <n v="266.00155707156102"/>
  </r>
  <r>
    <s v="Regular"/>
    <x v="2"/>
    <x v="2"/>
    <x v="5"/>
    <x v="7"/>
    <x v="3"/>
    <x v="0"/>
    <x v="1"/>
    <x v="6"/>
    <n v="0"/>
    <n v="0"/>
    <n v="2.5670000000000002"/>
    <n v="1.0267999999999999"/>
    <n v="2.5670000000000002"/>
    <n v="1.0267999999999999"/>
    <n v="0"/>
    <x v="1"/>
    <n v="0"/>
    <n v="0"/>
    <n v="16"/>
    <n v="54"/>
    <n v="0"/>
    <n v="297.89"/>
    <n v="197.13"/>
    <m/>
    <n v="392.53302912886562"/>
    <n v="220.56513853363268"/>
    <n v="0"/>
    <n v="305.87345199999999"/>
    <n v="202.41308399999997"/>
    <n v="0"/>
    <n v="403.05291430951917"/>
    <n v="226.47628424633402"/>
  </r>
  <r>
    <s v="Regular"/>
    <x v="2"/>
    <x v="2"/>
    <x v="5"/>
    <x v="7"/>
    <x v="3"/>
    <x v="0"/>
    <x v="1"/>
    <x v="7"/>
    <n v="0"/>
    <n v="0"/>
    <n v="0.36399999999999999"/>
    <n v="0.14560000000000001"/>
    <n v="0.36399999999999999"/>
    <n v="0.14560000000000001"/>
    <n v="0"/>
    <x v="1"/>
    <n v="0"/>
    <n v="0"/>
    <n v="16"/>
    <n v="54"/>
    <n v="0"/>
    <n v="297.89"/>
    <n v="197.13"/>
    <m/>
    <n v="392.53302912886562"/>
    <n v="220.56513853363268"/>
    <n v="0"/>
    <n v="43.372784000000003"/>
    <n v="28.702128000000002"/>
    <n v="0"/>
    <n v="57.15280904116284"/>
    <n v="32.114284170496923"/>
  </r>
  <r>
    <s v="Regular"/>
    <x v="2"/>
    <x v="2"/>
    <x v="5"/>
    <x v="7"/>
    <x v="3"/>
    <x v="0"/>
    <x v="1"/>
    <x v="8"/>
    <n v="0"/>
    <n v="0"/>
    <n v="2.9000000000000001E-2"/>
    <n v="1.1599999999999999E-2"/>
    <n v="2.9000000000000001E-2"/>
    <n v="1.1599999999999999E-2"/>
    <n v="0"/>
    <x v="1"/>
    <n v="0"/>
    <n v="0"/>
    <n v="16"/>
    <n v="54"/>
    <n v="0"/>
    <n v="297.89"/>
    <n v="197.13"/>
    <m/>
    <n v="392.53302912886562"/>
    <n v="220.56513853363268"/>
    <n v="0"/>
    <n v="3.4555239999999996"/>
    <n v="2.286708"/>
    <n v="0"/>
    <n v="4.5533831378948406"/>
    <n v="2.5585556069901387"/>
  </r>
  <r>
    <s v="Regular"/>
    <x v="2"/>
    <x v="2"/>
    <x v="5"/>
    <x v="7"/>
    <x v="3"/>
    <x v="0"/>
    <x v="1"/>
    <x v="9"/>
    <n v="0"/>
    <n v="0"/>
    <n v="2.7E-2"/>
    <n v="1.0800000000000001E-2"/>
    <n v="2.7E-2"/>
    <n v="1.0800000000000001E-2"/>
    <n v="0"/>
    <x v="1"/>
    <n v="0"/>
    <n v="0"/>
    <n v="16"/>
    <n v="54"/>
    <n v="0"/>
    <n v="297.89"/>
    <n v="197.13"/>
    <m/>
    <n v="392.53302912886562"/>
    <n v="220.56513853363268"/>
    <n v="0"/>
    <n v="3.217212"/>
    <n v="2.1290040000000001"/>
    <n v="0"/>
    <n v="4.2393567145917492"/>
    <n v="2.382103496163233"/>
  </r>
  <r>
    <s v="Refaturamento - Regular"/>
    <x v="2"/>
    <x v="2"/>
    <x v="5"/>
    <x v="7"/>
    <x v="3"/>
    <x v="0"/>
    <x v="1"/>
    <x v="9"/>
    <n v="0"/>
    <n v="0"/>
    <n v="0.09"/>
    <n v="3.5999999999999997E-2"/>
    <n v="0.09"/>
    <n v="3.5999999999999997E-2"/>
    <n v="0"/>
    <x v="1"/>
    <n v="0"/>
    <n v="0"/>
    <n v="16"/>
    <n v="54"/>
    <n v="0"/>
    <n v="297.89"/>
    <n v="197.13"/>
    <m/>
    <n v="392.53302912886562"/>
    <n v="220.56513853363268"/>
    <n v="0"/>
    <n v="10.724039999999999"/>
    <n v="7.0966799999999992"/>
    <n v="0"/>
    <n v="14.131189048639161"/>
    <n v="7.9403449872107759"/>
  </r>
  <r>
    <s v="Regular"/>
    <x v="2"/>
    <x v="2"/>
    <x v="5"/>
    <x v="7"/>
    <x v="3"/>
    <x v="0"/>
    <x v="1"/>
    <x v="10"/>
    <n v="0"/>
    <n v="0"/>
    <n v="2.3E-2"/>
    <n v="9.1999999999999998E-3"/>
    <n v="2.3E-2"/>
    <n v="9.1999999999999998E-3"/>
    <n v="0"/>
    <x v="1"/>
    <n v="0"/>
    <n v="0"/>
    <n v="16"/>
    <n v="54"/>
    <n v="0"/>
    <n v="297.89"/>
    <n v="197.13"/>
    <m/>
    <n v="392.53302912886562"/>
    <n v="220.56513853363268"/>
    <n v="0"/>
    <n v="2.7405879999999998"/>
    <n v="1.813596"/>
    <n v="0"/>
    <n v="3.6113038679855638"/>
    <n v="2.0291992745094207"/>
  </r>
  <r>
    <s v="PROJETADO"/>
    <x v="2"/>
    <x v="2"/>
    <x v="5"/>
    <x v="7"/>
    <x v="3"/>
    <x v="0"/>
    <x v="1"/>
    <x v="11"/>
    <n v="0"/>
    <n v="0"/>
    <n v="2.3E-2"/>
    <n v="9.1999999999999998E-3"/>
    <n v="2.3E-2"/>
    <n v="9.1999999999999998E-3"/>
    <n v="0"/>
    <x v="1"/>
    <n v="0"/>
    <n v="0"/>
    <n v="16"/>
    <n v="54"/>
    <n v="0"/>
    <n v="297.89"/>
    <n v="197.13"/>
    <m/>
    <n v="392.53302912886562"/>
    <n v="220.56513853363268"/>
    <n v="0"/>
    <n v="2.7405879999999998"/>
    <n v="1.813596"/>
    <n v="0"/>
    <n v="3.6113038679855638"/>
    <n v="2.0291992745094207"/>
  </r>
  <r>
    <s v="Regular"/>
    <x v="2"/>
    <x v="2"/>
    <x v="5"/>
    <x v="0"/>
    <x v="1"/>
    <x v="0"/>
    <x v="1"/>
    <x v="0"/>
    <n v="0"/>
    <n v="0"/>
    <n v="751.04300000000001"/>
    <n v="751.04300000000001"/>
    <n v="751.04300000000001"/>
    <n v="751.04300000000001"/>
    <n v="2482"/>
    <x v="1"/>
    <n v="0"/>
    <n v="0"/>
    <n v="16"/>
    <n v="54"/>
    <n v="0"/>
    <n v="297.89"/>
    <n v="197.13"/>
    <m/>
    <n v="392.53302912886562"/>
    <n v="220.56513853363268"/>
    <n v="0"/>
    <n v="223728.19926999998"/>
    <n v="148053.10659000001"/>
    <n v="0"/>
    <n v="294809.18379603064"/>
    <n v="165653.90333971509"/>
  </r>
  <r>
    <s v="Refaturamento - Regular"/>
    <x v="2"/>
    <x v="2"/>
    <x v="5"/>
    <x v="0"/>
    <x v="1"/>
    <x v="0"/>
    <x v="1"/>
    <x v="0"/>
    <n v="0"/>
    <n v="0"/>
    <n v="-1.2769999999999999"/>
    <n v="-1.2769999999999999"/>
    <n v="-1.2769999999999999"/>
    <n v="-1.2769999999999999"/>
    <n v="0"/>
    <x v="1"/>
    <n v="0"/>
    <n v="0"/>
    <n v="16"/>
    <n v="54"/>
    <n v="0"/>
    <n v="297.89"/>
    <n v="197.13"/>
    <m/>
    <n v="392.53302912886562"/>
    <n v="220.56513853363268"/>
    <n v="0"/>
    <n v="-380.40552999999994"/>
    <n v="-251.73500999999999"/>
    <n v="0"/>
    <n v="-501.26467819756135"/>
    <n v="-281.66168190744889"/>
  </r>
  <r>
    <s v="Sistema de Compensação"/>
    <x v="2"/>
    <x v="2"/>
    <x v="5"/>
    <x v="0"/>
    <x v="1"/>
    <x v="0"/>
    <x v="1"/>
    <x v="0"/>
    <n v="0"/>
    <n v="0"/>
    <n v="6.4160000000000004"/>
    <n v="6.4160000000000004"/>
    <n v="6.4160000000000004"/>
    <n v="6.4160000000000004"/>
    <n v="10"/>
    <x v="1"/>
    <n v="0"/>
    <n v="0"/>
    <n v="16"/>
    <n v="54"/>
    <n v="0"/>
    <n v="297.89"/>
    <n v="197.13"/>
    <m/>
    <n v="392.53302912886562"/>
    <n v="220.56513853363268"/>
    <n v="0"/>
    <n v="1911.26224"/>
    <n v="1264.7860800000001"/>
    <n v="0"/>
    <n v="2518.491914890802"/>
    <n v="1415.1459288317874"/>
  </r>
  <r>
    <s v="Regular"/>
    <x v="2"/>
    <x v="2"/>
    <x v="5"/>
    <x v="0"/>
    <x v="1"/>
    <x v="0"/>
    <x v="1"/>
    <x v="1"/>
    <n v="0"/>
    <n v="0"/>
    <n v="922.43"/>
    <n v="922.43"/>
    <n v="922.43"/>
    <n v="922.43"/>
    <n v="2485"/>
    <x v="1"/>
    <n v="0"/>
    <n v="0"/>
    <n v="16"/>
    <n v="54"/>
    <n v="0"/>
    <n v="297.89"/>
    <n v="197.13"/>
    <m/>
    <n v="392.53302912886562"/>
    <n v="220.56513853363268"/>
    <n v="0"/>
    <n v="274782.6727"/>
    <n v="181838.62589999998"/>
    <n v="0"/>
    <n v="362084.24205933948"/>
    <n v="203455.90073757878"/>
  </r>
  <r>
    <s v="Refaturamento - Regular"/>
    <x v="2"/>
    <x v="2"/>
    <x v="5"/>
    <x v="0"/>
    <x v="1"/>
    <x v="0"/>
    <x v="1"/>
    <x v="1"/>
    <n v="0"/>
    <n v="0"/>
    <n v="-0.497"/>
    <n v="-0.497"/>
    <n v="-0.497"/>
    <n v="-0.497"/>
    <n v="0"/>
    <x v="1"/>
    <n v="0"/>
    <n v="0"/>
    <n v="16"/>
    <n v="54"/>
    <n v="0"/>
    <n v="297.89"/>
    <n v="197.13"/>
    <m/>
    <n v="392.53302912886562"/>
    <n v="220.56513853363268"/>
    <n v="0"/>
    <n v="-148.05132999999998"/>
    <n v="-97.973609999999994"/>
    <n v="0"/>
    <n v="-195.08891547704621"/>
    <n v="-109.62087385121544"/>
  </r>
  <r>
    <s v="Sistema de Compensação"/>
    <x v="2"/>
    <x v="2"/>
    <x v="5"/>
    <x v="0"/>
    <x v="1"/>
    <x v="0"/>
    <x v="1"/>
    <x v="1"/>
    <n v="0"/>
    <n v="0"/>
    <n v="8.3219999999999992"/>
    <n v="8.3219999999999992"/>
    <n v="8.3219999999999992"/>
    <n v="8.3219999999999992"/>
    <n v="11"/>
    <x v="1"/>
    <n v="0"/>
    <n v="0"/>
    <n v="16"/>
    <n v="54"/>
    <n v="0"/>
    <n v="297.89"/>
    <n v="197.13"/>
    <m/>
    <n v="392.53302912886562"/>
    <n v="220.56513853363268"/>
    <n v="0"/>
    <n v="2479.0405799999999"/>
    <n v="1640.5158599999997"/>
    <n v="0"/>
    <n v="3266.6598684104192"/>
    <n v="1835.543082876891"/>
  </r>
  <r>
    <s v="Regular"/>
    <x v="2"/>
    <x v="2"/>
    <x v="5"/>
    <x v="0"/>
    <x v="1"/>
    <x v="0"/>
    <x v="1"/>
    <x v="2"/>
    <n v="0"/>
    <n v="0"/>
    <n v="1154.396"/>
    <n v="1154.396"/>
    <n v="1154.396"/>
    <n v="1154.396"/>
    <n v="2488"/>
    <x v="1"/>
    <n v="0"/>
    <n v="0"/>
    <n v="16"/>
    <n v="54"/>
    <n v="0"/>
    <n v="297.89"/>
    <n v="197.13"/>
    <m/>
    <n v="392.53302912886562"/>
    <n v="220.56513853363268"/>
    <n v="0"/>
    <n v="343883.02443999995"/>
    <n v="227566.08347999997"/>
    <n v="0"/>
    <n v="453138.55869424593"/>
    <n v="254619.51366267141"/>
  </r>
  <r>
    <s v="Sistema de Compensação"/>
    <x v="2"/>
    <x v="2"/>
    <x v="5"/>
    <x v="0"/>
    <x v="1"/>
    <x v="0"/>
    <x v="1"/>
    <x v="2"/>
    <n v="0"/>
    <n v="0"/>
    <n v="11.291"/>
    <n v="11.291"/>
    <n v="11.291"/>
    <n v="11.291"/>
    <n v="12"/>
    <x v="1"/>
    <n v="0"/>
    <n v="0"/>
    <n v="16"/>
    <n v="54"/>
    <n v="0"/>
    <n v="297.89"/>
    <n v="197.13"/>
    <m/>
    <n v="392.53302912886562"/>
    <n v="220.56513853363268"/>
    <n v="0"/>
    <n v="3363.4759899999999"/>
    <n v="2225.7948299999998"/>
    <n v="0"/>
    <n v="4432.090431894022"/>
    <n v="2490.4009791832468"/>
  </r>
  <r>
    <s v="Regular"/>
    <x v="2"/>
    <x v="2"/>
    <x v="5"/>
    <x v="0"/>
    <x v="1"/>
    <x v="0"/>
    <x v="1"/>
    <x v="3"/>
    <n v="0"/>
    <n v="0"/>
    <n v="1512.5139999999999"/>
    <n v="1512.5139999999999"/>
    <n v="1512.5139999999999"/>
    <n v="1512.5139999999999"/>
    <n v="2485"/>
    <x v="1"/>
    <n v="0"/>
    <n v="0"/>
    <n v="16"/>
    <n v="54"/>
    <n v="0"/>
    <n v="297.89"/>
    <n v="197.13"/>
    <m/>
    <n v="392.53302912886562"/>
    <n v="220.56513853363268"/>
    <n v="0"/>
    <n v="450562.79545999994"/>
    <n v="298161.88481999998"/>
    <n v="0"/>
    <n v="593711.70201981696"/>
    <n v="333607.85994405887"/>
  </r>
  <r>
    <s v="Refaturamento - Regular"/>
    <x v="2"/>
    <x v="2"/>
    <x v="5"/>
    <x v="0"/>
    <x v="1"/>
    <x v="0"/>
    <x v="1"/>
    <x v="3"/>
    <n v="0"/>
    <n v="0"/>
    <n v="-2.9809999999999999"/>
    <n v="-2.9809999999999999"/>
    <n v="-2.9809999999999999"/>
    <n v="-2.9809999999999999"/>
    <n v="0"/>
    <x v="1"/>
    <n v="0"/>
    <n v="0"/>
    <n v="16"/>
    <n v="54"/>
    <n v="0"/>
    <n v="297.89"/>
    <n v="197.13"/>
    <m/>
    <n v="392.53302912886562"/>
    <n v="220.56513853363268"/>
    <n v="0"/>
    <n v="-888.01008999999988"/>
    <n v="-587.64452999999992"/>
    <n v="0"/>
    <n v="-1170.1409598331484"/>
    <n v="-657.50467796875898"/>
  </r>
  <r>
    <s v="Sistema de Compensação"/>
    <x v="2"/>
    <x v="2"/>
    <x v="5"/>
    <x v="0"/>
    <x v="1"/>
    <x v="0"/>
    <x v="1"/>
    <x v="3"/>
    <n v="0"/>
    <n v="0"/>
    <n v="8.0329999999999995"/>
    <n v="8.0329999999999995"/>
    <n v="8.0329999999999995"/>
    <n v="8.0329999999999995"/>
    <n v="13"/>
    <x v="1"/>
    <n v="0"/>
    <n v="0"/>
    <n v="16"/>
    <n v="54"/>
    <n v="0"/>
    <n v="297.89"/>
    <n v="197.13"/>
    <m/>
    <n v="392.53302912886562"/>
    <n v="220.56513853363268"/>
    <n v="0"/>
    <n v="2392.9503699999996"/>
    <n v="1583.5452899999998"/>
    <n v="0"/>
    <n v="3153.2178229921774"/>
    <n v="1771.7997578406712"/>
  </r>
  <r>
    <s v="Regular"/>
    <x v="2"/>
    <x v="2"/>
    <x v="5"/>
    <x v="0"/>
    <x v="1"/>
    <x v="0"/>
    <x v="1"/>
    <x v="4"/>
    <n v="0"/>
    <n v="0"/>
    <n v="1420.2070000000001"/>
    <n v="1420.2070000000001"/>
    <n v="1420.2070000000001"/>
    <n v="1420.2070000000001"/>
    <n v="2491"/>
    <x v="1"/>
    <n v="0"/>
    <n v="0"/>
    <n v="16"/>
    <n v="54"/>
    <n v="0"/>
    <n v="297.89"/>
    <n v="197.13"/>
    <m/>
    <n v="392.53302912886562"/>
    <n v="220.56513853363268"/>
    <n v="0"/>
    <n v="423065.46322999999"/>
    <n v="279965.40591000003"/>
    <n v="0"/>
    <n v="557478.15570001886"/>
    <n v="313248.1537014349"/>
  </r>
  <r>
    <s v="Refaturamento - Regular"/>
    <x v="2"/>
    <x v="2"/>
    <x v="5"/>
    <x v="0"/>
    <x v="1"/>
    <x v="0"/>
    <x v="1"/>
    <x v="4"/>
    <n v="0"/>
    <n v="0"/>
    <n v="-0.28699999999999998"/>
    <n v="-0.28699999999999998"/>
    <n v="-0.28699999999999998"/>
    <n v="-0.28699999999999998"/>
    <n v="0"/>
    <x v="1"/>
    <n v="0"/>
    <n v="0"/>
    <n v="16"/>
    <n v="54"/>
    <n v="0"/>
    <n v="297.89"/>
    <n v="197.13"/>
    <m/>
    <n v="392.53302912886562"/>
    <n v="220.56513853363268"/>
    <n v="0"/>
    <n v="-85.494429999999994"/>
    <n v="-56.576309999999992"/>
    <n v="0"/>
    <n v="-112.65697935998442"/>
    <n v="-63.30219475915257"/>
  </r>
  <r>
    <s v="Sistema de Compensação"/>
    <x v="2"/>
    <x v="2"/>
    <x v="5"/>
    <x v="0"/>
    <x v="1"/>
    <x v="0"/>
    <x v="1"/>
    <x v="4"/>
    <n v="0"/>
    <n v="0"/>
    <n v="11.968"/>
    <n v="11.968"/>
    <n v="11.968"/>
    <n v="11.968"/>
    <n v="13"/>
    <x v="1"/>
    <n v="0"/>
    <n v="0"/>
    <n v="16"/>
    <n v="54"/>
    <n v="0"/>
    <n v="297.89"/>
    <n v="197.13"/>
    <m/>
    <n v="392.53302912886562"/>
    <n v="220.56513853363268"/>
    <n v="0"/>
    <n v="3565.14752"/>
    <n v="2359.2518399999999"/>
    <n v="0"/>
    <n v="4697.8352926142634"/>
    <n v="2639.7235779705161"/>
  </r>
  <r>
    <s v="Regular"/>
    <x v="2"/>
    <x v="2"/>
    <x v="5"/>
    <x v="0"/>
    <x v="1"/>
    <x v="0"/>
    <x v="1"/>
    <x v="5"/>
    <n v="0"/>
    <n v="0"/>
    <n v="1030.336"/>
    <n v="1030.336"/>
    <n v="1030.336"/>
    <n v="1030.336"/>
    <n v="2487"/>
    <x v="1"/>
    <n v="0"/>
    <n v="0"/>
    <n v="16"/>
    <n v="54"/>
    <n v="0"/>
    <n v="297.89"/>
    <n v="197.13"/>
    <m/>
    <n v="392.53302912886562"/>
    <n v="220.56513853363268"/>
    <n v="0"/>
    <n v="306926.79103999998"/>
    <n v="203110.13568000001"/>
    <n v="0"/>
    <n v="404440.91110051889"/>
    <n v="227256.20257618895"/>
  </r>
  <r>
    <s v="Sistema de Compensação"/>
    <x v="2"/>
    <x v="2"/>
    <x v="5"/>
    <x v="0"/>
    <x v="1"/>
    <x v="0"/>
    <x v="1"/>
    <x v="5"/>
    <n v="0"/>
    <n v="0"/>
    <n v="6.9569999999999999"/>
    <n v="6.9569999999999999"/>
    <n v="6.9569999999999999"/>
    <n v="6.9569999999999999"/>
    <n v="17"/>
    <x v="1"/>
    <n v="0"/>
    <n v="0"/>
    <n v="16"/>
    <n v="54"/>
    <n v="0"/>
    <n v="297.89"/>
    <n v="197.13"/>
    <m/>
    <n v="392.53302912886562"/>
    <n v="220.56513853363268"/>
    <n v="0"/>
    <n v="2072.4207299999998"/>
    <n v="1371.4334099999999"/>
    <n v="0"/>
    <n v="2730.8522836495181"/>
    <n v="1534.4716687784826"/>
  </r>
  <r>
    <s v="Regular"/>
    <x v="2"/>
    <x v="2"/>
    <x v="5"/>
    <x v="0"/>
    <x v="1"/>
    <x v="0"/>
    <x v="1"/>
    <x v="6"/>
    <n v="0"/>
    <n v="0"/>
    <n v="1003.285"/>
    <n v="1003.285"/>
    <n v="1003.285"/>
    <n v="1003.285"/>
    <n v="2481"/>
    <x v="1"/>
    <n v="0"/>
    <n v="0"/>
    <n v="16"/>
    <n v="54"/>
    <n v="0"/>
    <n v="297.89"/>
    <n v="197.13"/>
    <m/>
    <n v="392.53302912886562"/>
    <n v="220.56513853363268"/>
    <n v="0"/>
    <n v="298868.56864999997"/>
    <n v="197777.57204999999"/>
    <n v="0"/>
    <n v="393822.50012955396"/>
    <n v="221289.69501371565"/>
  </r>
  <r>
    <s v="Refaturamento - Regular"/>
    <x v="2"/>
    <x v="2"/>
    <x v="5"/>
    <x v="0"/>
    <x v="1"/>
    <x v="0"/>
    <x v="1"/>
    <x v="6"/>
    <n v="0"/>
    <n v="0"/>
    <n v="-2.1040000000000001"/>
    <n v="-2.1040000000000001"/>
    <n v="-2.1040000000000001"/>
    <n v="-2.1040000000000001"/>
    <n v="0"/>
    <x v="1"/>
    <n v="0"/>
    <n v="0"/>
    <n v="16"/>
    <n v="54"/>
    <n v="0"/>
    <n v="297.89"/>
    <n v="197.13"/>
    <m/>
    <n v="392.53302912886562"/>
    <n v="220.56513853363268"/>
    <n v="0"/>
    <n v="-626.76056000000005"/>
    <n v="-414.76152000000002"/>
    <n v="0"/>
    <n v="-825.88949328713329"/>
    <n v="-464.06905147476317"/>
  </r>
  <r>
    <s v="Sistema de Compensação"/>
    <x v="2"/>
    <x v="2"/>
    <x v="5"/>
    <x v="0"/>
    <x v="1"/>
    <x v="0"/>
    <x v="1"/>
    <x v="6"/>
    <n v="0"/>
    <n v="0"/>
    <n v="15.468"/>
    <n v="15.468"/>
    <n v="15.468"/>
    <n v="15.468"/>
    <n v="22"/>
    <x v="1"/>
    <n v="0"/>
    <n v="0"/>
    <n v="16"/>
    <n v="54"/>
    <n v="0"/>
    <n v="297.89"/>
    <n v="197.13"/>
    <m/>
    <n v="392.53302912886562"/>
    <n v="220.56513853363268"/>
    <n v="0"/>
    <n v="4607.7625200000002"/>
    <n v="3049.2068399999998"/>
    <n v="0"/>
    <n v="6071.7008945652933"/>
    <n v="3411.7015628382301"/>
  </r>
  <r>
    <s v="Regular"/>
    <x v="2"/>
    <x v="2"/>
    <x v="5"/>
    <x v="0"/>
    <x v="1"/>
    <x v="0"/>
    <x v="1"/>
    <x v="7"/>
    <n v="0"/>
    <n v="0"/>
    <n v="877.62300000000005"/>
    <n v="877.62300000000005"/>
    <n v="877.62300000000005"/>
    <n v="877.62300000000005"/>
    <n v="2476"/>
    <x v="1"/>
    <n v="0"/>
    <n v="0"/>
    <n v="16"/>
    <n v="54"/>
    <n v="0"/>
    <n v="297.89"/>
    <n v="197.13"/>
    <m/>
    <n v="392.53302912886562"/>
    <n v="220.56513853363268"/>
    <n v="0"/>
    <n v="261435.11546999999"/>
    <n v="173005.82199"/>
    <n v="0"/>
    <n v="344496.01462316245"/>
    <n v="193573.03857530231"/>
  </r>
  <r>
    <s v="Refaturamento - Regular"/>
    <x v="2"/>
    <x v="2"/>
    <x v="5"/>
    <x v="0"/>
    <x v="1"/>
    <x v="0"/>
    <x v="1"/>
    <x v="7"/>
    <n v="0"/>
    <n v="0"/>
    <n v="-4.6929999999999996"/>
    <n v="-4.6929999999999996"/>
    <n v="-4.6929999999999996"/>
    <n v="-4.6929999999999996"/>
    <n v="0"/>
    <x v="1"/>
    <n v="0"/>
    <n v="0"/>
    <n v="16"/>
    <n v="54"/>
    <n v="0"/>
    <n v="297.89"/>
    <n v="197.13"/>
    <m/>
    <n v="392.53302912886562"/>
    <n v="220.56513853363268"/>
    <n v="0"/>
    <n v="-1397.9977699999997"/>
    <n v="-925.13108999999986"/>
    <n v="0"/>
    <n v="-1842.1575057017662"/>
    <n v="-1035.1121951383382"/>
  </r>
  <r>
    <s v="Sistema de Compensação"/>
    <x v="2"/>
    <x v="2"/>
    <x v="5"/>
    <x v="0"/>
    <x v="1"/>
    <x v="0"/>
    <x v="1"/>
    <x v="7"/>
    <n v="0"/>
    <n v="0"/>
    <n v="7.75"/>
    <n v="7.75"/>
    <n v="7.75"/>
    <n v="7.75"/>
    <n v="25"/>
    <x v="1"/>
    <n v="0"/>
    <n v="0"/>
    <n v="16"/>
    <n v="54"/>
    <n v="0"/>
    <n v="297.89"/>
    <n v="197.13"/>
    <m/>
    <n v="392.53302912886562"/>
    <n v="220.56513853363268"/>
    <n v="0"/>
    <n v="2308.6475"/>
    <n v="1527.7574999999999"/>
    <n v="0"/>
    <n v="3042.1309757487084"/>
    <n v="1709.3798236356533"/>
  </r>
  <r>
    <s v="Regular"/>
    <x v="2"/>
    <x v="2"/>
    <x v="5"/>
    <x v="0"/>
    <x v="1"/>
    <x v="0"/>
    <x v="1"/>
    <x v="8"/>
    <n v="0"/>
    <n v="0"/>
    <n v="767.22"/>
    <n v="767.22"/>
    <n v="767.22"/>
    <n v="767.22"/>
    <n v="2460"/>
    <x v="1"/>
    <n v="0"/>
    <n v="0"/>
    <n v="16"/>
    <n v="54"/>
    <n v="0"/>
    <n v="297.89"/>
    <n v="197.13"/>
    <m/>
    <n v="392.53302912886562"/>
    <n v="220.56513853363268"/>
    <n v="0"/>
    <n v="228547.16579999999"/>
    <n v="151242.07860000001"/>
    <n v="0"/>
    <n v="301159.19060824829"/>
    <n v="169221.98558577365"/>
  </r>
  <r>
    <s v="Refaturamento - Regular"/>
    <x v="2"/>
    <x v="2"/>
    <x v="5"/>
    <x v="0"/>
    <x v="1"/>
    <x v="0"/>
    <x v="1"/>
    <x v="8"/>
    <n v="0"/>
    <n v="0"/>
    <n v="-0.36599999999999999"/>
    <n v="-0.36599999999999999"/>
    <n v="-0.36599999999999999"/>
    <n v="-0.36599999999999999"/>
    <n v="0"/>
    <x v="1"/>
    <n v="0"/>
    <n v="0"/>
    <n v="16"/>
    <n v="54"/>
    <n v="0"/>
    <n v="297.89"/>
    <n v="197.13"/>
    <m/>
    <n v="392.53302912886562"/>
    <n v="220.56513853363268"/>
    <n v="0"/>
    <n v="-109.02773999999999"/>
    <n v="-72.14958"/>
    <n v="0"/>
    <n v="-143.66708866116483"/>
    <n v="-80.726840703309563"/>
  </r>
  <r>
    <s v="Sistema de Compensação"/>
    <x v="2"/>
    <x v="2"/>
    <x v="5"/>
    <x v="0"/>
    <x v="1"/>
    <x v="0"/>
    <x v="1"/>
    <x v="8"/>
    <n v="0"/>
    <n v="0"/>
    <n v="9.6259999999999994"/>
    <n v="9.6259999999999994"/>
    <n v="9.6259999999999994"/>
    <n v="9.6259999999999994"/>
    <n v="29"/>
    <x v="1"/>
    <n v="0"/>
    <n v="0"/>
    <n v="16"/>
    <n v="54"/>
    <n v="0"/>
    <n v="297.89"/>
    <n v="197.13"/>
    <m/>
    <n v="392.53302912886562"/>
    <n v="220.56513853363268"/>
    <n v="0"/>
    <n v="2867.4891399999997"/>
    <n v="1897.5733799999998"/>
    <n v="0"/>
    <n v="3778.5229383944602"/>
    <n v="2123.1600235247479"/>
  </r>
  <r>
    <s v="Regular"/>
    <x v="2"/>
    <x v="2"/>
    <x v="5"/>
    <x v="0"/>
    <x v="1"/>
    <x v="0"/>
    <x v="1"/>
    <x v="9"/>
    <n v="0"/>
    <n v="0"/>
    <n v="757.27300000000002"/>
    <n v="757.27300000000002"/>
    <n v="757.27300000000002"/>
    <n v="757.27300000000002"/>
    <n v="2458"/>
    <x v="1"/>
    <n v="0"/>
    <n v="0"/>
    <n v="16"/>
    <n v="54"/>
    <n v="0"/>
    <n v="297.89"/>
    <n v="197.13"/>
    <m/>
    <n v="392.53302912886562"/>
    <n v="220.56513853363268"/>
    <n v="0"/>
    <n v="225584.05397000001"/>
    <n v="149281.22649"/>
    <n v="0"/>
    <n v="297254.66456750344"/>
    <n v="167028.02415277963"/>
  </r>
  <r>
    <s v="Sistema de Compensação"/>
    <x v="2"/>
    <x v="2"/>
    <x v="5"/>
    <x v="0"/>
    <x v="1"/>
    <x v="0"/>
    <x v="1"/>
    <x v="9"/>
    <n v="0"/>
    <n v="0"/>
    <n v="14.491"/>
    <n v="14.491"/>
    <n v="14.491"/>
    <n v="14.491"/>
    <n v="31"/>
    <x v="1"/>
    <n v="0"/>
    <n v="0"/>
    <n v="16"/>
    <n v="54"/>
    <n v="0"/>
    <n v="297.89"/>
    <n v="197.13"/>
    <m/>
    <n v="392.53302912886562"/>
    <n v="220.56513853363268"/>
    <n v="0"/>
    <n v="4316.7239899999995"/>
    <n v="2856.6108300000001"/>
    <n v="0"/>
    <n v="5688.1961251063913"/>
    <n v="3196.209422490871"/>
  </r>
  <r>
    <s v="Regular"/>
    <x v="2"/>
    <x v="2"/>
    <x v="5"/>
    <x v="0"/>
    <x v="1"/>
    <x v="0"/>
    <x v="1"/>
    <x v="10"/>
    <n v="0"/>
    <n v="0"/>
    <n v="687.50599999999997"/>
    <n v="687.50599999999997"/>
    <n v="687.50599999999997"/>
    <n v="687.50599999999997"/>
    <n v="2440"/>
    <x v="1"/>
    <n v="0"/>
    <n v="0"/>
    <n v="16"/>
    <n v="54"/>
    <n v="0"/>
    <n v="297.89"/>
    <n v="197.13"/>
    <m/>
    <n v="392.53302912886562"/>
    <n v="220.56513853363268"/>
    <n v="0"/>
    <n v="204801.16233999998"/>
    <n v="135528.05778"/>
    <n v="0"/>
    <n v="269868.81272426987"/>
    <n v="151639.85613270366"/>
  </r>
  <r>
    <s v="Refaturamento - Regular"/>
    <x v="2"/>
    <x v="2"/>
    <x v="5"/>
    <x v="0"/>
    <x v="1"/>
    <x v="0"/>
    <x v="1"/>
    <x v="10"/>
    <n v="0"/>
    <n v="0"/>
    <n v="-2.6579999999999999"/>
    <n v="-2.6579999999999999"/>
    <n v="-2.6579999999999999"/>
    <n v="-2.6579999999999999"/>
    <n v="0"/>
    <x v="1"/>
    <n v="0"/>
    <n v="0"/>
    <n v="16"/>
    <n v="54"/>
    <n v="0"/>
    <n v="297.89"/>
    <n v="197.13"/>
    <m/>
    <n v="392.53302912886562"/>
    <n v="220.56513853363268"/>
    <n v="0"/>
    <n v="-791.79161999999997"/>
    <n v="-523.97154"/>
    <n v="0"/>
    <n v="-1043.3527914245249"/>
    <n v="-586.26213822239561"/>
  </r>
  <r>
    <s v="Sistema de Compensação"/>
    <x v="2"/>
    <x v="2"/>
    <x v="5"/>
    <x v="0"/>
    <x v="1"/>
    <x v="0"/>
    <x v="1"/>
    <x v="10"/>
    <n v="0"/>
    <n v="0"/>
    <n v="12.61"/>
    <n v="12.61"/>
    <n v="12.61"/>
    <n v="12.61"/>
    <n v="37"/>
    <x v="1"/>
    <n v="0"/>
    <n v="0"/>
    <n v="16"/>
    <n v="54"/>
    <n v="0"/>
    <n v="297.89"/>
    <n v="197.13"/>
    <m/>
    <n v="392.53302912886562"/>
    <n v="220.56513853363268"/>
    <n v="0"/>
    <n v="3756.3928999999998"/>
    <n v="2485.8092999999999"/>
    <n v="0"/>
    <n v="4949.8414973149956"/>
    <n v="2781.3263969091081"/>
  </r>
  <r>
    <s v="PROJETADO"/>
    <x v="2"/>
    <x v="2"/>
    <x v="5"/>
    <x v="0"/>
    <x v="1"/>
    <x v="0"/>
    <x v="1"/>
    <x v="11"/>
    <n v="0"/>
    <n v="0"/>
    <n v="687.50599999999997"/>
    <n v="687.50599999999997"/>
    <n v="687.50599999999997"/>
    <n v="687.50599999999997"/>
    <n v="2440"/>
    <x v="1"/>
    <n v="0"/>
    <n v="0"/>
    <n v="16"/>
    <n v="54"/>
    <n v="0"/>
    <n v="297.89"/>
    <n v="197.13"/>
    <m/>
    <n v="392.53302912886562"/>
    <n v="220.56513853363268"/>
    <n v="0"/>
    <n v="204801.16233999998"/>
    <n v="135528.05778"/>
    <n v="0"/>
    <n v="269868.81272426987"/>
    <n v="151639.85613270366"/>
  </r>
  <r>
    <s v="PROJETADO"/>
    <x v="2"/>
    <x v="2"/>
    <x v="5"/>
    <x v="0"/>
    <x v="1"/>
    <x v="0"/>
    <x v="1"/>
    <x v="11"/>
    <n v="0"/>
    <n v="0"/>
    <n v="-2.6579999999999999"/>
    <n v="-2.6579999999999999"/>
    <n v="-2.6579999999999999"/>
    <n v="-2.6579999999999999"/>
    <n v="0"/>
    <x v="1"/>
    <n v="0"/>
    <n v="0"/>
    <n v="16"/>
    <n v="54"/>
    <n v="0"/>
    <n v="297.89"/>
    <n v="197.13"/>
    <m/>
    <n v="392.53302912886562"/>
    <n v="220.56513853363268"/>
    <n v="0"/>
    <n v="-791.79161999999997"/>
    <n v="-523.97154"/>
    <n v="0"/>
    <n v="-1043.3527914245249"/>
    <n v="-586.26213822239561"/>
  </r>
  <r>
    <s v="PROJETADO"/>
    <x v="2"/>
    <x v="2"/>
    <x v="5"/>
    <x v="0"/>
    <x v="1"/>
    <x v="0"/>
    <x v="1"/>
    <x v="11"/>
    <n v="0"/>
    <n v="0"/>
    <n v="12.61"/>
    <n v="12.61"/>
    <n v="12.61"/>
    <n v="12.61"/>
    <n v="37"/>
    <x v="1"/>
    <n v="0"/>
    <n v="0"/>
    <n v="16"/>
    <n v="54"/>
    <n v="0"/>
    <n v="297.89"/>
    <n v="197.13"/>
    <m/>
    <n v="392.53302912886562"/>
    <n v="220.56513853363268"/>
    <n v="0"/>
    <n v="3756.3928999999998"/>
    <n v="2485.8092999999999"/>
    <n v="0"/>
    <n v="4949.8414973149956"/>
    <n v="2781.3263969091081"/>
  </r>
  <r>
    <s v="Regular"/>
    <x v="3"/>
    <x v="3"/>
    <x v="6"/>
    <x v="0"/>
    <x v="1"/>
    <x v="0"/>
    <x v="0"/>
    <x v="0"/>
    <n v="0"/>
    <n v="0"/>
    <n v="1.34"/>
    <n v="1.34"/>
    <n v="1.34"/>
    <n v="1.34"/>
    <n v="0"/>
    <x v="1"/>
    <n v="0"/>
    <n v="0"/>
    <n v="31"/>
    <n v="83"/>
    <n v="0"/>
    <n v="275.05"/>
    <n v="211.71"/>
    <m/>
    <n v="336.3279460510845"/>
    <n v="222.99901551132911"/>
    <n v="0"/>
    <n v="368.56700000000006"/>
    <n v="283.69140000000004"/>
    <n v="0"/>
    <n v="450.67944770845327"/>
    <n v="298.81868078518102"/>
  </r>
  <r>
    <s v="Regular"/>
    <x v="3"/>
    <x v="3"/>
    <x v="6"/>
    <x v="0"/>
    <x v="1"/>
    <x v="0"/>
    <x v="0"/>
    <x v="1"/>
    <n v="0"/>
    <n v="0"/>
    <n v="1.484"/>
    <n v="1.484"/>
    <n v="1.484"/>
    <n v="1.484"/>
    <n v="0"/>
    <x v="1"/>
    <n v="0"/>
    <n v="0"/>
    <n v="31"/>
    <n v="83"/>
    <n v="0"/>
    <n v="275.05"/>
    <n v="211.71"/>
    <m/>
    <n v="336.3279460510845"/>
    <n v="222.99901551132911"/>
    <n v="0"/>
    <n v="408.17419999999998"/>
    <n v="314.17764"/>
    <n v="0"/>
    <n v="499.11067193980938"/>
    <n v="330.9305390188124"/>
  </r>
  <r>
    <s v="Regular"/>
    <x v="3"/>
    <x v="3"/>
    <x v="6"/>
    <x v="0"/>
    <x v="1"/>
    <x v="0"/>
    <x v="0"/>
    <x v="2"/>
    <n v="0"/>
    <n v="0"/>
    <n v="1.3839999999999999"/>
    <n v="1.3839999999999999"/>
    <n v="1.3839999999999999"/>
    <n v="1.3839999999999999"/>
    <n v="0"/>
    <x v="1"/>
    <n v="0"/>
    <n v="0"/>
    <n v="31"/>
    <n v="83"/>
    <n v="0"/>
    <n v="275.05"/>
    <n v="211.71"/>
    <m/>
    <n v="336.3279460510845"/>
    <n v="222.99901551132911"/>
    <n v="0"/>
    <n v="380.66919999999999"/>
    <n v="293.00664"/>
    <n v="0"/>
    <n v="465.47787733470091"/>
    <n v="308.63063746767943"/>
  </r>
  <r>
    <s v="Regular"/>
    <x v="3"/>
    <x v="3"/>
    <x v="6"/>
    <x v="0"/>
    <x v="1"/>
    <x v="0"/>
    <x v="0"/>
    <x v="3"/>
    <n v="0"/>
    <n v="0"/>
    <n v="1.597"/>
    <n v="1.597"/>
    <n v="1.597"/>
    <n v="1.597"/>
    <n v="0"/>
    <x v="1"/>
    <n v="0"/>
    <n v="0"/>
    <n v="31"/>
    <n v="83"/>
    <n v="0"/>
    <n v="275.05"/>
    <n v="211.71"/>
    <m/>
    <n v="336.3279460510845"/>
    <n v="222.99901551132911"/>
    <n v="0"/>
    <n v="439.25485000000003"/>
    <n v="338.10086999999999"/>
    <n v="0"/>
    <n v="537.1157298435819"/>
    <n v="356.12942777159259"/>
  </r>
  <r>
    <s v="Regular"/>
    <x v="3"/>
    <x v="3"/>
    <x v="6"/>
    <x v="0"/>
    <x v="1"/>
    <x v="0"/>
    <x v="0"/>
    <x v="4"/>
    <n v="0"/>
    <n v="0"/>
    <n v="2.2639999999999998"/>
    <n v="2.2639999999999998"/>
    <n v="2.2639999999999998"/>
    <n v="2.2639999999999998"/>
    <n v="0"/>
    <x v="1"/>
    <n v="0"/>
    <n v="0"/>
    <n v="31"/>
    <n v="83"/>
    <n v="0"/>
    <n v="275.05"/>
    <n v="211.71"/>
    <m/>
    <n v="336.3279460510845"/>
    <n v="222.99901551132911"/>
    <n v="0"/>
    <n v="622.71319999999992"/>
    <n v="479.31143999999995"/>
    <n v="0"/>
    <n v="761.44646985965528"/>
    <n v="504.86977111764907"/>
  </r>
  <r>
    <s v="Regular"/>
    <x v="3"/>
    <x v="3"/>
    <x v="6"/>
    <x v="0"/>
    <x v="1"/>
    <x v="0"/>
    <x v="0"/>
    <x v="5"/>
    <n v="0"/>
    <n v="0"/>
    <n v="3.24"/>
    <n v="3.24"/>
    <n v="3.24"/>
    <n v="3.24"/>
    <n v="0"/>
    <x v="1"/>
    <n v="0"/>
    <n v="0"/>
    <n v="31"/>
    <n v="83"/>
    <n v="0"/>
    <n v="275.05"/>
    <n v="211.71"/>
    <m/>
    <n v="336.3279460510845"/>
    <n v="222.99901551132911"/>
    <n v="0"/>
    <n v="891.16200000000015"/>
    <n v="685.94040000000007"/>
    <n v="0"/>
    <n v="1089.7025452055138"/>
    <n v="722.51681025670632"/>
  </r>
  <r>
    <s v="Regular"/>
    <x v="3"/>
    <x v="3"/>
    <x v="6"/>
    <x v="0"/>
    <x v="1"/>
    <x v="0"/>
    <x v="0"/>
    <x v="6"/>
    <n v="0"/>
    <n v="0"/>
    <n v="4.7839999999999998"/>
    <n v="4.7839999999999998"/>
    <n v="4.7839999999999998"/>
    <n v="4.7839999999999998"/>
    <n v="0"/>
    <x v="1"/>
    <n v="0"/>
    <n v="0"/>
    <n v="31"/>
    <n v="83"/>
    <n v="0"/>
    <n v="275.05"/>
    <n v="211.71"/>
    <m/>
    <n v="336.3279460510845"/>
    <n v="222.99901551132911"/>
    <n v="0"/>
    <n v="1315.8391999999999"/>
    <n v="1012.82064"/>
    <n v="0"/>
    <n v="1608.9928939083882"/>
    <n v="1066.8272902061983"/>
  </r>
  <r>
    <s v="Regular"/>
    <x v="3"/>
    <x v="3"/>
    <x v="6"/>
    <x v="0"/>
    <x v="1"/>
    <x v="0"/>
    <x v="0"/>
    <x v="7"/>
    <n v="0"/>
    <n v="0"/>
    <n v="3.4209999999999998"/>
    <n v="3.4209999999999998"/>
    <n v="3.4209999999999998"/>
    <n v="3.4209999999999998"/>
    <n v="0"/>
    <x v="1"/>
    <n v="0"/>
    <n v="0"/>
    <n v="31"/>
    <n v="83"/>
    <n v="0"/>
    <n v="275.05"/>
    <n v="211.71"/>
    <m/>
    <n v="336.3279460510845"/>
    <n v="222.99901551132911"/>
    <n v="0"/>
    <n v="940.94605000000001"/>
    <n v="724.25990999999999"/>
    <n v="0"/>
    <n v="1150.5779034407601"/>
    <n v="762.87963206425684"/>
  </r>
  <r>
    <s v="Regular"/>
    <x v="3"/>
    <x v="3"/>
    <x v="6"/>
    <x v="0"/>
    <x v="1"/>
    <x v="0"/>
    <x v="0"/>
    <x v="8"/>
    <n v="0"/>
    <n v="0"/>
    <n v="3.141"/>
    <n v="3.141"/>
    <n v="3.141"/>
    <n v="3.141"/>
    <n v="0"/>
    <x v="1"/>
    <n v="0"/>
    <n v="0"/>
    <n v="31"/>
    <n v="83"/>
    <n v="0"/>
    <n v="275.05"/>
    <n v="211.71"/>
    <m/>
    <n v="336.3279460510845"/>
    <n v="222.99901551132911"/>
    <n v="0"/>
    <n v="863.93205"/>
    <n v="664.98111000000006"/>
    <n v="0"/>
    <n v="1056.4060785464565"/>
    <n v="700.43990772108475"/>
  </r>
  <r>
    <s v="Regular"/>
    <x v="3"/>
    <x v="3"/>
    <x v="6"/>
    <x v="0"/>
    <x v="1"/>
    <x v="0"/>
    <x v="0"/>
    <x v="9"/>
    <n v="0"/>
    <n v="0"/>
    <n v="1.8620000000000001"/>
    <n v="1.8620000000000001"/>
    <n v="1.8620000000000001"/>
    <n v="1.8620000000000001"/>
    <n v="0"/>
    <x v="1"/>
    <n v="0"/>
    <n v="0"/>
    <n v="31"/>
    <n v="83"/>
    <n v="0"/>
    <n v="275.05"/>
    <n v="211.71"/>
    <m/>
    <n v="336.3279460510845"/>
    <n v="222.99901551132911"/>
    <n v="0"/>
    <n v="512.1431"/>
    <n v="394.20402000000001"/>
    <n v="0"/>
    <n v="626.24263554711933"/>
    <n v="415.22416688209483"/>
  </r>
  <r>
    <s v="Regular"/>
    <x v="3"/>
    <x v="3"/>
    <x v="6"/>
    <x v="0"/>
    <x v="1"/>
    <x v="0"/>
    <x v="0"/>
    <x v="10"/>
    <n v="0"/>
    <n v="0"/>
    <n v="1.3380000000000001"/>
    <n v="1.3380000000000001"/>
    <n v="1.3380000000000001"/>
    <n v="1.3380000000000001"/>
    <n v="0"/>
    <x v="1"/>
    <n v="0"/>
    <n v="0"/>
    <n v="31"/>
    <n v="83"/>
    <n v="0"/>
    <n v="275.05"/>
    <n v="211.71"/>
    <m/>
    <n v="336.3279460510845"/>
    <n v="222.99901551132911"/>
    <n v="0"/>
    <n v="368.01690000000002"/>
    <n v="283.26798000000002"/>
    <n v="0"/>
    <n v="450.0067918163511"/>
    <n v="298.37268275415835"/>
  </r>
  <r>
    <s v="PROJETADO"/>
    <x v="3"/>
    <x v="3"/>
    <x v="6"/>
    <x v="0"/>
    <x v="1"/>
    <x v="0"/>
    <x v="0"/>
    <x v="11"/>
    <n v="0"/>
    <n v="0"/>
    <n v="1.3380000000000001"/>
    <n v="1.3380000000000001"/>
    <n v="1.3380000000000001"/>
    <n v="1.3380000000000001"/>
    <n v="0"/>
    <x v="1"/>
    <n v="0"/>
    <n v="0"/>
    <n v="31"/>
    <n v="83"/>
    <n v="0"/>
    <n v="275.05"/>
    <n v="211.71"/>
    <m/>
    <n v="336.3279460510845"/>
    <n v="222.99901551132911"/>
    <n v="0"/>
    <n v="368.01690000000002"/>
    <n v="283.26798000000002"/>
    <n v="0"/>
    <n v="450.0067918163511"/>
    <n v="298.37268275415835"/>
  </r>
  <r>
    <s v="Regular"/>
    <x v="3"/>
    <x v="3"/>
    <x v="6"/>
    <x v="0"/>
    <x v="1"/>
    <x v="0"/>
    <x v="3"/>
    <x v="0"/>
    <n v="0"/>
    <n v="0"/>
    <n v="8.7999999999999995E-2"/>
    <n v="8.7999999999999995E-2"/>
    <n v="8.7999999999999995E-2"/>
    <n v="8.7999999999999995E-2"/>
    <n v="0"/>
    <x v="1"/>
    <n v="0"/>
    <n v="0"/>
    <n v="81"/>
    <n v="55"/>
    <n v="0"/>
    <n v="636.30999999999995"/>
    <n v="211.71"/>
    <m/>
    <n v="715.54335368474085"/>
    <n v="222.99901551132911"/>
    <n v="0"/>
    <n v="55.995279999999994"/>
    <n v="18.630479999999999"/>
    <n v="0"/>
    <n v="62.967815124257193"/>
    <n v="19.623913364996959"/>
  </r>
  <r>
    <s v="Regular"/>
    <x v="3"/>
    <x v="3"/>
    <x v="6"/>
    <x v="0"/>
    <x v="1"/>
    <x v="0"/>
    <x v="3"/>
    <x v="1"/>
    <n v="0"/>
    <n v="0"/>
    <n v="0.10100000000000001"/>
    <n v="0.10100000000000001"/>
    <n v="0.10100000000000001"/>
    <n v="0.10100000000000001"/>
    <n v="0"/>
    <x v="1"/>
    <n v="0"/>
    <n v="0"/>
    <n v="81"/>
    <n v="55"/>
    <n v="0"/>
    <n v="636.30999999999995"/>
    <n v="211.71"/>
    <m/>
    <n v="715.54335368474085"/>
    <n v="222.99901551132911"/>
    <n v="0"/>
    <n v="64.267309999999995"/>
    <n v="21.382710000000003"/>
    <n v="0"/>
    <n v="72.269878722158836"/>
    <n v="22.522900566644243"/>
  </r>
  <r>
    <s v="Regular"/>
    <x v="3"/>
    <x v="3"/>
    <x v="6"/>
    <x v="0"/>
    <x v="1"/>
    <x v="0"/>
    <x v="3"/>
    <x v="2"/>
    <n v="0"/>
    <n v="0"/>
    <n v="9.0999999999999998E-2"/>
    <n v="9.0999999999999998E-2"/>
    <n v="9.0999999999999998E-2"/>
    <n v="9.0999999999999998E-2"/>
    <n v="0"/>
    <x v="1"/>
    <n v="0"/>
    <n v="0"/>
    <n v="81"/>
    <n v="55"/>
    <n v="0"/>
    <n v="636.30999999999995"/>
    <n v="211.71"/>
    <m/>
    <n v="715.54335368474085"/>
    <n v="222.99901551132911"/>
    <n v="0"/>
    <n v="57.904209999999992"/>
    <n v="19.265609999999999"/>
    <n v="0"/>
    <n v="65.114445185311411"/>
    <n v="20.292910411530947"/>
  </r>
  <r>
    <s v="Regular"/>
    <x v="3"/>
    <x v="3"/>
    <x v="6"/>
    <x v="0"/>
    <x v="1"/>
    <x v="0"/>
    <x v="3"/>
    <x v="3"/>
    <n v="0"/>
    <n v="0"/>
    <n v="9.8000000000000004E-2"/>
    <n v="9.8000000000000004E-2"/>
    <n v="9.8000000000000004E-2"/>
    <n v="9.8000000000000004E-2"/>
    <n v="0"/>
    <x v="1"/>
    <n v="0"/>
    <n v="0"/>
    <n v="81"/>
    <n v="55"/>
    <n v="0"/>
    <n v="636.30999999999995"/>
    <n v="211.71"/>
    <m/>
    <n v="715.54335368474085"/>
    <n v="222.99901551132911"/>
    <n v="0"/>
    <n v="62.358379999999997"/>
    <n v="20.747580000000003"/>
    <n v="0"/>
    <n v="70.123248661104611"/>
    <n v="21.853903520110254"/>
  </r>
  <r>
    <s v="Regular"/>
    <x v="3"/>
    <x v="3"/>
    <x v="6"/>
    <x v="0"/>
    <x v="1"/>
    <x v="0"/>
    <x v="3"/>
    <x v="4"/>
    <n v="0"/>
    <n v="0"/>
    <n v="0.107"/>
    <n v="0.107"/>
    <n v="0.107"/>
    <n v="0.107"/>
    <n v="0"/>
    <x v="1"/>
    <n v="0"/>
    <n v="0"/>
    <n v="81"/>
    <n v="55"/>
    <n v="0"/>
    <n v="636.30999999999995"/>
    <n v="211.71"/>
    <m/>
    <n v="715.54335368474085"/>
    <n v="222.99901551132911"/>
    <n v="0"/>
    <n v="68.085169999999991"/>
    <n v="22.65297"/>
    <n v="0"/>
    <n v="76.563138844267272"/>
    <n v="23.860894659712212"/>
  </r>
  <r>
    <s v="Regular"/>
    <x v="3"/>
    <x v="3"/>
    <x v="6"/>
    <x v="0"/>
    <x v="1"/>
    <x v="0"/>
    <x v="3"/>
    <x v="5"/>
    <n v="0"/>
    <n v="0"/>
    <n v="0.161"/>
    <n v="0.161"/>
    <n v="0.161"/>
    <n v="0.161"/>
    <n v="0"/>
    <x v="1"/>
    <n v="0"/>
    <n v="0"/>
    <n v="81"/>
    <n v="55"/>
    <n v="0"/>
    <n v="636.30999999999995"/>
    <n v="211.71"/>
    <m/>
    <n v="715.54335368474085"/>
    <n v="222.99901551132911"/>
    <n v="0"/>
    <n v="102.44591"/>
    <n v="34.08531"/>
    <n v="0"/>
    <n v="115.20247994324328"/>
    <n v="35.90284149732399"/>
  </r>
  <r>
    <s v="Regular"/>
    <x v="3"/>
    <x v="3"/>
    <x v="6"/>
    <x v="0"/>
    <x v="1"/>
    <x v="0"/>
    <x v="3"/>
    <x v="6"/>
    <n v="0"/>
    <n v="0"/>
    <n v="0.22700000000000001"/>
    <n v="0.22700000000000001"/>
    <n v="0.22700000000000001"/>
    <n v="0.22700000000000001"/>
    <n v="0"/>
    <x v="1"/>
    <n v="0"/>
    <n v="0"/>
    <n v="81"/>
    <n v="55"/>
    <n v="0"/>
    <n v="636.30999999999995"/>
    <n v="211.71"/>
    <m/>
    <n v="715.54335368474085"/>
    <n v="222.99901551132911"/>
    <n v="0"/>
    <n v="144.44236999999998"/>
    <n v="48.058170000000004"/>
    <n v="0"/>
    <n v="162.42834128643617"/>
    <n v="50.620776521071711"/>
  </r>
  <r>
    <s v="Regular"/>
    <x v="3"/>
    <x v="3"/>
    <x v="6"/>
    <x v="0"/>
    <x v="1"/>
    <x v="0"/>
    <x v="3"/>
    <x v="7"/>
    <n v="0"/>
    <n v="0"/>
    <n v="0.17899999999999999"/>
    <n v="0.17899999999999999"/>
    <n v="0.17899999999999999"/>
    <n v="0.17899999999999999"/>
    <n v="0"/>
    <x v="1"/>
    <n v="0"/>
    <n v="0"/>
    <n v="81"/>
    <n v="55"/>
    <n v="0"/>
    <n v="636.30999999999995"/>
    <n v="211.71"/>
    <m/>
    <n v="715.54335368474085"/>
    <n v="222.99901551132911"/>
    <n v="0"/>
    <n v="113.89948999999999"/>
    <n v="37.896090000000001"/>
    <n v="0"/>
    <n v="128.0822603095686"/>
    <n v="39.916823776527906"/>
  </r>
  <r>
    <s v="Regular"/>
    <x v="3"/>
    <x v="3"/>
    <x v="6"/>
    <x v="0"/>
    <x v="1"/>
    <x v="0"/>
    <x v="3"/>
    <x v="8"/>
    <n v="0"/>
    <n v="0"/>
    <n v="0.19"/>
    <n v="0.19"/>
    <n v="0.19"/>
    <n v="0.19"/>
    <n v="0"/>
    <x v="1"/>
    <n v="0"/>
    <n v="0"/>
    <n v="81"/>
    <n v="55"/>
    <n v="0"/>
    <n v="636.30999999999995"/>
    <n v="211.71"/>
    <m/>
    <n v="715.54335368474085"/>
    <n v="222.99901551132911"/>
    <n v="0"/>
    <n v="120.8989"/>
    <n v="40.224900000000005"/>
    <n v="0"/>
    <n v="135.95323720010077"/>
    <n v="42.369812947152532"/>
  </r>
  <r>
    <s v="Regular"/>
    <x v="3"/>
    <x v="3"/>
    <x v="6"/>
    <x v="0"/>
    <x v="1"/>
    <x v="0"/>
    <x v="3"/>
    <x v="9"/>
    <n v="0"/>
    <n v="0"/>
    <n v="0.11600000000000001"/>
    <n v="0.11600000000000001"/>
    <n v="0.11600000000000001"/>
    <n v="0.11600000000000001"/>
    <n v="0"/>
    <x v="1"/>
    <n v="0"/>
    <n v="0"/>
    <n v="81"/>
    <n v="55"/>
    <n v="0"/>
    <n v="636.30999999999995"/>
    <n v="211.71"/>
    <m/>
    <n v="715.54335368474085"/>
    <n v="222.99901551132911"/>
    <n v="0"/>
    <n v="73.811959999999999"/>
    <n v="24.55836"/>
    <n v="0"/>
    <n v="83.003029027429946"/>
    <n v="25.867885799314177"/>
  </r>
  <r>
    <s v="Regular"/>
    <x v="3"/>
    <x v="3"/>
    <x v="6"/>
    <x v="0"/>
    <x v="1"/>
    <x v="0"/>
    <x v="3"/>
    <x v="10"/>
    <n v="0"/>
    <n v="0"/>
    <n v="8.7999999999999995E-2"/>
    <n v="8.7999999999999995E-2"/>
    <n v="8.7999999999999995E-2"/>
    <n v="8.7999999999999995E-2"/>
    <n v="0"/>
    <x v="1"/>
    <n v="0"/>
    <n v="0"/>
    <n v="81"/>
    <n v="55"/>
    <n v="0"/>
    <n v="636.30999999999995"/>
    <n v="211.71"/>
    <m/>
    <n v="715.54335368474085"/>
    <n v="222.99901551132911"/>
    <n v="0"/>
    <n v="55.995279999999994"/>
    <n v="18.630479999999999"/>
    <n v="0"/>
    <n v="62.967815124257193"/>
    <n v="19.623913364996959"/>
  </r>
  <r>
    <s v="PROJETADO"/>
    <x v="3"/>
    <x v="3"/>
    <x v="6"/>
    <x v="0"/>
    <x v="1"/>
    <x v="0"/>
    <x v="3"/>
    <x v="11"/>
    <n v="0"/>
    <n v="0"/>
    <n v="8.7999999999999995E-2"/>
    <n v="8.7999999999999995E-2"/>
    <n v="8.7999999999999995E-2"/>
    <n v="8.7999999999999995E-2"/>
    <n v="0"/>
    <x v="1"/>
    <n v="0"/>
    <n v="0"/>
    <n v="81"/>
    <n v="55"/>
    <n v="0"/>
    <n v="636.30999999999995"/>
    <n v="211.71"/>
    <m/>
    <n v="715.54335368474085"/>
    <n v="222.99901551132911"/>
    <n v="0"/>
    <n v="55.995279999999994"/>
    <n v="18.630479999999999"/>
    <n v="0"/>
    <n v="62.967815124257193"/>
    <n v="19.623913364996959"/>
  </r>
  <r>
    <s v="Regular"/>
    <x v="3"/>
    <x v="3"/>
    <x v="6"/>
    <x v="0"/>
    <x v="1"/>
    <x v="0"/>
    <x v="2"/>
    <x v="0"/>
    <n v="0"/>
    <n v="0"/>
    <n v="7.0999999999999994E-2"/>
    <n v="7.0999999999999994E-2"/>
    <n v="7.0999999999999994E-2"/>
    <n v="7.0999999999999994E-2"/>
    <n v="0"/>
    <x v="1"/>
    <n v="0"/>
    <n v="0"/>
    <n v="42"/>
    <n v="60"/>
    <n v="0"/>
    <n v="997.57"/>
    <n v="359.33"/>
    <m/>
    <n v="1094.7588645432709"/>
    <n v="362.73600214515886"/>
    <n v="0"/>
    <n v="70.827469999999991"/>
    <n v="25.512429999999995"/>
    <n v="0"/>
    <n v="77.727879382572226"/>
    <n v="25.754256152306276"/>
  </r>
  <r>
    <s v="Regular"/>
    <x v="3"/>
    <x v="3"/>
    <x v="6"/>
    <x v="0"/>
    <x v="1"/>
    <x v="0"/>
    <x v="2"/>
    <x v="1"/>
    <n v="0"/>
    <n v="0"/>
    <n v="8.5999999999999993E-2"/>
    <n v="8.5999999999999993E-2"/>
    <n v="8.5999999999999993E-2"/>
    <n v="8.5999999999999993E-2"/>
    <n v="0"/>
    <x v="1"/>
    <n v="0"/>
    <n v="0"/>
    <n v="42"/>
    <n v="60"/>
    <n v="0"/>
    <n v="997.57"/>
    <n v="359.33"/>
    <m/>
    <n v="1094.7588645432709"/>
    <n v="362.73600214515886"/>
    <n v="0"/>
    <n v="85.791020000000003"/>
    <n v="30.902379999999997"/>
    <n v="0"/>
    <n v="94.149262350721287"/>
    <n v="31.195296184483659"/>
  </r>
  <r>
    <s v="Regular"/>
    <x v="3"/>
    <x v="3"/>
    <x v="6"/>
    <x v="0"/>
    <x v="1"/>
    <x v="0"/>
    <x v="2"/>
    <x v="2"/>
    <n v="0"/>
    <n v="0"/>
    <n v="8.7999999999999995E-2"/>
    <n v="8.7999999999999995E-2"/>
    <n v="8.7999999999999995E-2"/>
    <n v="8.7999999999999995E-2"/>
    <n v="0"/>
    <x v="1"/>
    <n v="0"/>
    <n v="0"/>
    <n v="42"/>
    <n v="60"/>
    <n v="0"/>
    <n v="997.57"/>
    <n v="359.33"/>
    <m/>
    <n v="1094.7588645432709"/>
    <n v="362.73600214515886"/>
    <n v="0"/>
    <n v="87.786159999999995"/>
    <n v="31.621039999999997"/>
    <n v="0"/>
    <n v="96.338780079807833"/>
    <n v="31.920768188773977"/>
  </r>
  <r>
    <s v="Regular"/>
    <x v="3"/>
    <x v="3"/>
    <x v="6"/>
    <x v="0"/>
    <x v="1"/>
    <x v="0"/>
    <x v="2"/>
    <x v="3"/>
    <n v="0"/>
    <n v="0"/>
    <n v="6.4000000000000001E-2"/>
    <n v="6.4000000000000001E-2"/>
    <n v="6.4000000000000001E-2"/>
    <n v="6.4000000000000001E-2"/>
    <n v="0"/>
    <x v="1"/>
    <n v="0"/>
    <n v="0"/>
    <n v="42"/>
    <n v="60"/>
    <n v="0"/>
    <n v="997.57"/>
    <n v="359.33"/>
    <m/>
    <n v="1094.7588645432709"/>
    <n v="362.73600214515886"/>
    <n v="0"/>
    <n v="63.844480000000004"/>
    <n v="22.997119999999999"/>
    <n v="0"/>
    <n v="70.064567330769336"/>
    <n v="23.215104137290169"/>
  </r>
  <r>
    <s v="Regular"/>
    <x v="3"/>
    <x v="3"/>
    <x v="6"/>
    <x v="0"/>
    <x v="1"/>
    <x v="0"/>
    <x v="2"/>
    <x v="4"/>
    <n v="0"/>
    <n v="0"/>
    <n v="7.1999999999999995E-2"/>
    <n v="7.1999999999999995E-2"/>
    <n v="7.1999999999999995E-2"/>
    <n v="7.1999999999999995E-2"/>
    <n v="0"/>
    <x v="1"/>
    <n v="0"/>
    <n v="0"/>
    <n v="42"/>
    <n v="60"/>
    <n v="0"/>
    <n v="997.57"/>
    <n v="359.33"/>
    <m/>
    <n v="1094.7588645432709"/>
    <n v="362.73600214515886"/>
    <n v="0"/>
    <n v="71.825040000000001"/>
    <n v="25.871759999999998"/>
    <n v="0"/>
    <n v="78.822638247115492"/>
    <n v="26.116992154451435"/>
  </r>
  <r>
    <s v="Regular"/>
    <x v="3"/>
    <x v="3"/>
    <x v="6"/>
    <x v="0"/>
    <x v="1"/>
    <x v="0"/>
    <x v="2"/>
    <x v="5"/>
    <n v="0"/>
    <n v="0"/>
    <n v="0.13500000000000001"/>
    <n v="0.13500000000000001"/>
    <n v="0.13500000000000001"/>
    <n v="0.13500000000000001"/>
    <n v="0"/>
    <x v="1"/>
    <n v="0"/>
    <n v="0"/>
    <n v="42"/>
    <n v="60"/>
    <n v="0"/>
    <n v="997.57"/>
    <n v="359.33"/>
    <m/>
    <n v="1094.7588645432709"/>
    <n v="362.73600214515886"/>
    <n v="0"/>
    <n v="134.67195000000001"/>
    <n v="48.509550000000004"/>
    <n v="0"/>
    <n v="147.79244671334158"/>
    <n v="48.969360289596452"/>
  </r>
  <r>
    <s v="Regular"/>
    <x v="3"/>
    <x v="3"/>
    <x v="6"/>
    <x v="0"/>
    <x v="1"/>
    <x v="0"/>
    <x v="2"/>
    <x v="6"/>
    <n v="0"/>
    <n v="0"/>
    <n v="0.107"/>
    <n v="0.107"/>
    <n v="0.107"/>
    <n v="0.107"/>
    <n v="0"/>
    <x v="1"/>
    <n v="0"/>
    <n v="0"/>
    <n v="42"/>
    <n v="60"/>
    <n v="0"/>
    <n v="997.57"/>
    <n v="359.33"/>
    <m/>
    <n v="1094.7588645432709"/>
    <n v="362.73600214515886"/>
    <n v="0"/>
    <n v="106.73999000000001"/>
    <n v="38.448309999999999"/>
    <n v="0"/>
    <n v="117.13919850612999"/>
    <n v="38.812752229531995"/>
  </r>
  <r>
    <s v="Regular"/>
    <x v="3"/>
    <x v="3"/>
    <x v="6"/>
    <x v="0"/>
    <x v="1"/>
    <x v="0"/>
    <x v="2"/>
    <x v="7"/>
    <n v="0"/>
    <n v="0"/>
    <n v="0.122"/>
    <n v="0.122"/>
    <n v="0.122"/>
    <n v="0.122"/>
    <n v="0"/>
    <x v="1"/>
    <n v="0"/>
    <n v="0"/>
    <n v="42"/>
    <n v="60"/>
    <n v="0"/>
    <n v="997.57"/>
    <n v="359.33"/>
    <m/>
    <n v="1094.7588645432709"/>
    <n v="362.73600214515886"/>
    <n v="0"/>
    <n v="121.70354"/>
    <n v="43.838259999999998"/>
    <n v="0"/>
    <n v="133.56058147427905"/>
    <n v="44.253792261709378"/>
  </r>
  <r>
    <s v="Regular"/>
    <x v="3"/>
    <x v="3"/>
    <x v="6"/>
    <x v="0"/>
    <x v="1"/>
    <x v="0"/>
    <x v="2"/>
    <x v="8"/>
    <n v="0"/>
    <n v="0"/>
    <n v="0.14899999999999999"/>
    <n v="0.14899999999999999"/>
    <n v="0.14899999999999999"/>
    <n v="0.14899999999999999"/>
    <n v="0"/>
    <x v="1"/>
    <n v="0"/>
    <n v="0"/>
    <n v="42"/>
    <n v="60"/>
    <n v="0"/>
    <n v="997.57"/>
    <n v="359.33"/>
    <m/>
    <n v="1094.7588645432709"/>
    <n v="362.73600214515886"/>
    <n v="0"/>
    <n v="148.63793000000001"/>
    <n v="53.540169999999996"/>
    <n v="0"/>
    <n v="163.11907081694736"/>
    <n v="54.047664319628666"/>
  </r>
  <r>
    <s v="Regular"/>
    <x v="3"/>
    <x v="3"/>
    <x v="6"/>
    <x v="0"/>
    <x v="1"/>
    <x v="0"/>
    <x v="2"/>
    <x v="9"/>
    <n v="0"/>
    <n v="0"/>
    <n v="9.1999999999999998E-2"/>
    <n v="9.1999999999999998E-2"/>
    <n v="9.1999999999999998E-2"/>
    <n v="9.1999999999999998E-2"/>
    <n v="0"/>
    <x v="1"/>
    <n v="0"/>
    <n v="0"/>
    <n v="42"/>
    <n v="60"/>
    <n v="0"/>
    <n v="997.57"/>
    <n v="359.33"/>
    <m/>
    <n v="1094.7588645432709"/>
    <n v="362.73600214515886"/>
    <n v="0"/>
    <n v="91.776440000000008"/>
    <n v="33.05836"/>
    <n v="0"/>
    <n v="100.71781553798093"/>
    <n v="33.371712197354611"/>
  </r>
  <r>
    <s v="Regular"/>
    <x v="3"/>
    <x v="3"/>
    <x v="6"/>
    <x v="0"/>
    <x v="1"/>
    <x v="0"/>
    <x v="2"/>
    <x v="10"/>
    <n v="0"/>
    <n v="0"/>
    <n v="7.6999999999999999E-2"/>
    <n v="7.6999999999999999E-2"/>
    <n v="7.6999999999999999E-2"/>
    <n v="7.6999999999999999E-2"/>
    <n v="0"/>
    <x v="1"/>
    <n v="0"/>
    <n v="0"/>
    <n v="42"/>
    <n v="60"/>
    <n v="0"/>
    <n v="997.57"/>
    <n v="359.33"/>
    <m/>
    <n v="1094.7588645432709"/>
    <n v="362.73600214515886"/>
    <n v="0"/>
    <n v="76.812889999999996"/>
    <n v="27.668409999999998"/>
    <n v="0"/>
    <n v="84.29643256983185"/>
    <n v="27.930672165177231"/>
  </r>
  <r>
    <s v="PROJETADO"/>
    <x v="3"/>
    <x v="3"/>
    <x v="6"/>
    <x v="0"/>
    <x v="1"/>
    <x v="0"/>
    <x v="2"/>
    <x v="11"/>
    <n v="0"/>
    <n v="0"/>
    <n v="7.6999999999999999E-2"/>
    <n v="7.6999999999999999E-2"/>
    <n v="7.6999999999999999E-2"/>
    <n v="7.6999999999999999E-2"/>
    <n v="0"/>
    <x v="1"/>
    <n v="0"/>
    <n v="0"/>
    <n v="42"/>
    <n v="60"/>
    <n v="0"/>
    <n v="997.57"/>
    <n v="359.33"/>
    <m/>
    <n v="1094.7588645432709"/>
    <n v="362.73600214515886"/>
    <n v="0"/>
    <n v="76.812889999999996"/>
    <n v="27.668409999999998"/>
    <n v="0"/>
    <n v="84.29643256983185"/>
    <n v="27.930672165177231"/>
  </r>
  <r>
    <s v="Regular"/>
    <x v="3"/>
    <x v="2"/>
    <x v="1"/>
    <x v="0"/>
    <x v="1"/>
    <x v="0"/>
    <x v="1"/>
    <x v="0"/>
    <n v="0"/>
    <n v="0"/>
    <n v="1481.481"/>
    <n v="1481.481"/>
    <n v="1481.481"/>
    <n v="1481.481"/>
    <n v="2811"/>
    <x v="1"/>
    <n v="0"/>
    <n v="0"/>
    <n v="33"/>
    <n v="85"/>
    <n v="0"/>
    <n v="338.51"/>
    <n v="224.01"/>
    <m/>
    <n v="417.58832886049538"/>
    <n v="234.64376439748159"/>
    <n v="0"/>
    <n v="501496.13331"/>
    <n v="331866.55880999996"/>
    <n v="0"/>
    <n v="618649.17502857558"/>
    <n v="347620.27872334543"/>
  </r>
  <r>
    <s v="Refaturamento - Regular"/>
    <x v="3"/>
    <x v="2"/>
    <x v="1"/>
    <x v="0"/>
    <x v="1"/>
    <x v="0"/>
    <x v="1"/>
    <x v="0"/>
    <n v="0"/>
    <n v="0"/>
    <n v="-3.5790000000000002"/>
    <n v="-3.5790000000000002"/>
    <n v="-3.5790000000000002"/>
    <n v="-3.5790000000000002"/>
    <n v="0"/>
    <x v="1"/>
    <n v="0"/>
    <n v="0"/>
    <n v="33"/>
    <n v="85"/>
    <n v="0"/>
    <n v="338.51"/>
    <n v="224.01"/>
    <m/>
    <n v="417.58832886049538"/>
    <n v="234.64376439748159"/>
    <n v="0"/>
    <n v="-1211.52729"/>
    <n v="-801.73179000000005"/>
    <n v="0"/>
    <n v="-1494.548628991713"/>
    <n v="-839.79003277858669"/>
  </r>
  <r>
    <s v="Sistema de Compensação"/>
    <x v="3"/>
    <x v="2"/>
    <x v="1"/>
    <x v="0"/>
    <x v="1"/>
    <x v="0"/>
    <x v="1"/>
    <x v="0"/>
    <n v="0"/>
    <n v="0"/>
    <n v="33.616999999999997"/>
    <n v="33.616999999999997"/>
    <n v="33.616999999999997"/>
    <n v="33.616999999999997"/>
    <n v="31"/>
    <x v="1"/>
    <n v="0"/>
    <n v="0"/>
    <n v="33"/>
    <n v="85"/>
    <n v="0"/>
    <n v="338.51"/>
    <n v="224.01"/>
    <m/>
    <n v="417.58832886049538"/>
    <n v="234.64376439748159"/>
    <n v="0"/>
    <n v="11379.690669999998"/>
    <n v="7530.5441699999992"/>
    <n v="0"/>
    <n v="14038.066851303272"/>
    <n v="7888.0194277501378"/>
  </r>
  <r>
    <s v="Regular"/>
    <x v="3"/>
    <x v="2"/>
    <x v="1"/>
    <x v="0"/>
    <x v="1"/>
    <x v="0"/>
    <x v="1"/>
    <x v="1"/>
    <n v="0"/>
    <n v="0"/>
    <n v="1661.9949999999999"/>
    <n v="1661.9949999999999"/>
    <n v="1661.9949999999999"/>
    <n v="1661.9949999999999"/>
    <n v="2838"/>
    <x v="1"/>
    <n v="0"/>
    <n v="0"/>
    <n v="33"/>
    <n v="85"/>
    <n v="0"/>
    <n v="338.51"/>
    <n v="224.01"/>
    <m/>
    <n v="417.58832886049538"/>
    <n v="234.64376439748159"/>
    <n v="0"/>
    <n v="562601.92744999996"/>
    <n v="372303.49994999997"/>
    <n v="0"/>
    <n v="694029.71462449897"/>
    <n v="389976.76320979238"/>
  </r>
  <r>
    <s v="Refaturamento - Regular"/>
    <x v="3"/>
    <x v="2"/>
    <x v="1"/>
    <x v="0"/>
    <x v="1"/>
    <x v="0"/>
    <x v="1"/>
    <x v="1"/>
    <n v="0"/>
    <n v="0"/>
    <n v="-0.36899999999999999"/>
    <n v="-0.36899999999999999"/>
    <n v="-0.36899999999999999"/>
    <n v="-0.36899999999999999"/>
    <n v="0"/>
    <x v="1"/>
    <n v="0"/>
    <n v="0"/>
    <n v="33"/>
    <n v="85"/>
    <n v="0"/>
    <n v="338.51"/>
    <n v="224.01"/>
    <m/>
    <n v="417.58832886049538"/>
    <n v="234.64376439748159"/>
    <n v="0"/>
    <n v="-124.91019"/>
    <n v="-82.659689999999998"/>
    <n v="0"/>
    <n v="-154.09009334952279"/>
    <n v="-86.583549062670699"/>
  </r>
  <r>
    <s v="Sistema de Compensação"/>
    <x v="3"/>
    <x v="2"/>
    <x v="1"/>
    <x v="0"/>
    <x v="1"/>
    <x v="0"/>
    <x v="1"/>
    <x v="1"/>
    <n v="0"/>
    <n v="0"/>
    <n v="36.232999999999997"/>
    <n v="36.232999999999997"/>
    <n v="36.232999999999997"/>
    <n v="36.232999999999997"/>
    <n v="33"/>
    <x v="1"/>
    <n v="0"/>
    <n v="0"/>
    <n v="33"/>
    <n v="85"/>
    <n v="0"/>
    <n v="338.51"/>
    <n v="224.01"/>
    <m/>
    <n v="417.58832886049538"/>
    <n v="234.64376439748159"/>
    <n v="0"/>
    <n v="12265.232829999999"/>
    <n v="8116.554329999999"/>
    <n v="0"/>
    <n v="15130.477919602328"/>
    <n v="8501.8475154139505"/>
  </r>
  <r>
    <s v="Regular"/>
    <x v="3"/>
    <x v="2"/>
    <x v="1"/>
    <x v="0"/>
    <x v="1"/>
    <x v="0"/>
    <x v="1"/>
    <x v="2"/>
    <n v="0"/>
    <n v="0"/>
    <n v="1580.373"/>
    <n v="1580.373"/>
    <n v="1580.373"/>
    <n v="1580.373"/>
    <n v="2861"/>
    <x v="1"/>
    <n v="0"/>
    <n v="0"/>
    <n v="33"/>
    <n v="85"/>
    <n v="0"/>
    <n v="338.51"/>
    <n v="224.01"/>
    <m/>
    <n v="417.58832886049538"/>
    <n v="234.64376439748159"/>
    <n v="0"/>
    <n v="534972.06423000002"/>
    <n v="354019.35573000001"/>
    <n v="0"/>
    <n v="659945.32004624768"/>
    <n v="370824.66987214121"/>
  </r>
  <r>
    <s v="Refaturamento - Regular"/>
    <x v="3"/>
    <x v="2"/>
    <x v="1"/>
    <x v="0"/>
    <x v="1"/>
    <x v="0"/>
    <x v="1"/>
    <x v="2"/>
    <n v="0"/>
    <n v="0"/>
    <n v="-1.498"/>
    <n v="-1.498"/>
    <n v="-1.498"/>
    <n v="-1.498"/>
    <n v="0"/>
    <x v="1"/>
    <n v="0"/>
    <n v="0"/>
    <n v="33"/>
    <n v="85"/>
    <n v="0"/>
    <n v="338.51"/>
    <n v="224.01"/>
    <m/>
    <n v="417.58832886049538"/>
    <n v="234.64376439748159"/>
    <n v="0"/>
    <n v="-507.08797999999996"/>
    <n v="-335.56698"/>
    <n v="0"/>
    <n v="-625.54731663302209"/>
    <n v="-351.49635906742742"/>
  </r>
  <r>
    <s v="Sistema de Compensação"/>
    <x v="3"/>
    <x v="2"/>
    <x v="1"/>
    <x v="0"/>
    <x v="1"/>
    <x v="0"/>
    <x v="1"/>
    <x v="2"/>
    <n v="0"/>
    <n v="0"/>
    <n v="32.225000000000001"/>
    <n v="32.225000000000001"/>
    <n v="32.225000000000001"/>
    <n v="32.225000000000001"/>
    <n v="36"/>
    <x v="1"/>
    <n v="0"/>
    <n v="0"/>
    <n v="33"/>
    <n v="85"/>
    <n v="0"/>
    <n v="338.51"/>
    <n v="224.01"/>
    <m/>
    <n v="417.58832886049538"/>
    <n v="234.64376439748159"/>
    <n v="0"/>
    <n v="10908.48475"/>
    <n v="7218.7222499999998"/>
    <n v="0"/>
    <n v="13456.783897529464"/>
    <n v="7561.3953077088445"/>
  </r>
  <r>
    <s v="Regular"/>
    <x v="3"/>
    <x v="2"/>
    <x v="1"/>
    <x v="0"/>
    <x v="1"/>
    <x v="0"/>
    <x v="1"/>
    <x v="3"/>
    <n v="0"/>
    <n v="0"/>
    <n v="1949.5609999999999"/>
    <n v="1949.5609999999999"/>
    <n v="1949.5609999999999"/>
    <n v="1949.5609999999999"/>
    <n v="2897"/>
    <x v="1"/>
    <n v="0"/>
    <n v="0"/>
    <n v="33"/>
    <n v="85"/>
    <n v="0"/>
    <n v="338.51"/>
    <n v="224.01"/>
    <m/>
    <n v="417.58832886049538"/>
    <n v="234.64376439748159"/>
    <n v="0"/>
    <n v="659945.89410999999"/>
    <n v="436721.15960999997"/>
    <n v="0"/>
    <n v="814113.92000159621"/>
    <n v="457452.33196251857"/>
  </r>
  <r>
    <s v="Refaturamento - Regular"/>
    <x v="3"/>
    <x v="2"/>
    <x v="1"/>
    <x v="0"/>
    <x v="1"/>
    <x v="0"/>
    <x v="1"/>
    <x v="3"/>
    <n v="0"/>
    <n v="0"/>
    <n v="-0.27500000000000002"/>
    <n v="-0.27500000000000002"/>
    <n v="-0.27500000000000002"/>
    <n v="-0.27500000000000002"/>
    <n v="0"/>
    <x v="1"/>
    <n v="0"/>
    <n v="0"/>
    <n v="33"/>
    <n v="85"/>
    <n v="0"/>
    <n v="338.51"/>
    <n v="224.01"/>
    <m/>
    <n v="417.58832886049538"/>
    <n v="234.64376439748159"/>
    <n v="0"/>
    <n v="-93.090250000000012"/>
    <n v="-61.60275"/>
    <n v="0"/>
    <n v="-114.83679043663624"/>
    <n v="-64.527035209307442"/>
  </r>
  <r>
    <s v="Sistema de Compensação"/>
    <x v="3"/>
    <x v="2"/>
    <x v="1"/>
    <x v="0"/>
    <x v="1"/>
    <x v="0"/>
    <x v="1"/>
    <x v="3"/>
    <n v="0"/>
    <n v="0"/>
    <n v="21.347999999999999"/>
    <n v="21.347999999999999"/>
    <n v="21.347999999999999"/>
    <n v="21.347999999999999"/>
    <n v="36"/>
    <x v="1"/>
    <n v="0"/>
    <n v="0"/>
    <n v="33"/>
    <n v="85"/>
    <n v="0"/>
    <n v="338.51"/>
    <n v="224.01"/>
    <m/>
    <n v="417.58832886049538"/>
    <n v="234.64376439748159"/>
    <n v="0"/>
    <n v="7226.5114799999992"/>
    <n v="4782.1654799999997"/>
    <n v="0"/>
    <n v="8914.6756445138544"/>
    <n v="5009.1750823574366"/>
  </r>
  <r>
    <s v="Regular"/>
    <x v="3"/>
    <x v="2"/>
    <x v="1"/>
    <x v="0"/>
    <x v="1"/>
    <x v="0"/>
    <x v="1"/>
    <x v="4"/>
    <n v="0"/>
    <n v="0"/>
    <n v="1955.549"/>
    <n v="1955.549"/>
    <n v="1955.549"/>
    <n v="1955.549"/>
    <n v="2918"/>
    <x v="1"/>
    <n v="0"/>
    <n v="0"/>
    <n v="33"/>
    <n v="85"/>
    <n v="0"/>
    <n v="338.51"/>
    <n v="224.01"/>
    <m/>
    <n v="417.58832886049538"/>
    <n v="234.64376439748159"/>
    <n v="0"/>
    <n v="661972.89199000003"/>
    <n v="438062.53148999996"/>
    <n v="0"/>
    <n v="816614.43891481287"/>
    <n v="458857.37882373075"/>
  </r>
  <r>
    <s v="Refaturamento - Regular"/>
    <x v="3"/>
    <x v="2"/>
    <x v="1"/>
    <x v="0"/>
    <x v="1"/>
    <x v="0"/>
    <x v="1"/>
    <x v="4"/>
    <n v="0"/>
    <n v="0"/>
    <n v="-0.54100000000000004"/>
    <n v="-0.54100000000000004"/>
    <n v="-0.54100000000000004"/>
    <n v="-0.54100000000000004"/>
    <n v="0"/>
    <x v="1"/>
    <n v="0"/>
    <n v="0"/>
    <n v="33"/>
    <n v="85"/>
    <n v="0"/>
    <n v="338.51"/>
    <n v="224.01"/>
    <m/>
    <n v="417.58832886049538"/>
    <n v="234.64376439748159"/>
    <n v="0"/>
    <n v="-183.13391000000001"/>
    <n v="-121.18941000000001"/>
    <n v="0"/>
    <n v="-225.91528591352801"/>
    <n v="-126.94227653903755"/>
  </r>
  <r>
    <s v="Sistema de Compensação"/>
    <x v="3"/>
    <x v="2"/>
    <x v="1"/>
    <x v="0"/>
    <x v="1"/>
    <x v="0"/>
    <x v="1"/>
    <x v="4"/>
    <n v="0"/>
    <n v="0"/>
    <n v="22.797000000000001"/>
    <n v="22.797000000000001"/>
    <n v="22.797000000000001"/>
    <n v="22.797000000000001"/>
    <n v="35"/>
    <x v="1"/>
    <n v="0"/>
    <n v="0"/>
    <n v="33"/>
    <n v="85"/>
    <n v="0"/>
    <n v="338.51"/>
    <n v="224.01"/>
    <m/>
    <n v="417.58832886049538"/>
    <n v="234.64376439748159"/>
    <n v="0"/>
    <n v="7717.0124699999997"/>
    <n v="5106.7559700000002"/>
    <n v="0"/>
    <n v="9519.7611330327127"/>
    <n v="5349.1738969693879"/>
  </r>
  <r>
    <s v="Regular"/>
    <x v="3"/>
    <x v="2"/>
    <x v="1"/>
    <x v="0"/>
    <x v="1"/>
    <x v="0"/>
    <x v="1"/>
    <x v="5"/>
    <n v="0"/>
    <n v="0"/>
    <n v="2394.1460000000002"/>
    <n v="2394.1460000000002"/>
    <n v="2394.1460000000002"/>
    <n v="2394.1460000000002"/>
    <n v="2952"/>
    <x v="1"/>
    <n v="0"/>
    <n v="0"/>
    <n v="33"/>
    <n v="85"/>
    <n v="0"/>
    <n v="338.51"/>
    <n v="224.01"/>
    <m/>
    <n v="417.58832886049538"/>
    <n v="234.64376439748159"/>
    <n v="0"/>
    <n v="810442.36246000009"/>
    <n v="536312.64546000003"/>
    <n v="0"/>
    <n v="999767.42718803964"/>
    <n v="561771.42995717295"/>
  </r>
  <r>
    <s v="Refaturamento - Regular"/>
    <x v="3"/>
    <x v="2"/>
    <x v="1"/>
    <x v="0"/>
    <x v="1"/>
    <x v="0"/>
    <x v="1"/>
    <x v="5"/>
    <n v="0"/>
    <n v="0"/>
    <n v="8.0440000000000005"/>
    <n v="8.0440000000000005"/>
    <n v="8.0440000000000005"/>
    <n v="8.0440000000000005"/>
    <n v="0"/>
    <x v="1"/>
    <n v="0"/>
    <n v="0"/>
    <n v="33"/>
    <n v="85"/>
    <n v="0"/>
    <n v="338.51"/>
    <n v="224.01"/>
    <m/>
    <n v="417.58832886049538"/>
    <n v="234.64376439748159"/>
    <n v="0"/>
    <n v="2722.97444"/>
    <n v="1801.9364399999999"/>
    <n v="0"/>
    <n v="3359.0805173538251"/>
    <n v="1887.474440813342"/>
  </r>
  <r>
    <s v="Sistema de Compensação"/>
    <x v="3"/>
    <x v="2"/>
    <x v="1"/>
    <x v="0"/>
    <x v="1"/>
    <x v="0"/>
    <x v="1"/>
    <x v="5"/>
    <n v="0"/>
    <n v="0"/>
    <n v="25.462"/>
    <n v="25.462"/>
    <n v="25.462"/>
    <n v="25.462"/>
    <n v="37"/>
    <x v="1"/>
    <n v="0"/>
    <n v="0"/>
    <n v="33"/>
    <n v="85"/>
    <n v="0"/>
    <n v="338.51"/>
    <n v="224.01"/>
    <m/>
    <n v="417.58832886049538"/>
    <n v="234.64376439748159"/>
    <n v="0"/>
    <n v="8619.1416200000003"/>
    <n v="5703.74262"/>
    <n v="0"/>
    <n v="10632.634029445933"/>
    <n v="5974.4995290886764"/>
  </r>
  <r>
    <s v="Regular"/>
    <x v="3"/>
    <x v="2"/>
    <x v="1"/>
    <x v="0"/>
    <x v="1"/>
    <x v="0"/>
    <x v="1"/>
    <x v="6"/>
    <n v="0"/>
    <n v="0"/>
    <n v="2488.9639999999999"/>
    <n v="2488.9639999999999"/>
    <n v="2488.9639999999999"/>
    <n v="2488.9639999999999"/>
    <n v="2959"/>
    <x v="1"/>
    <n v="0"/>
    <n v="0"/>
    <n v="33"/>
    <n v="85"/>
    <n v="0"/>
    <n v="338.51"/>
    <n v="224.01"/>
    <m/>
    <n v="417.58832886049538"/>
    <n v="234.64376439748159"/>
    <n v="0"/>
    <n v="842539.20363999996"/>
    <n v="557552.82563999994"/>
    <n v="0"/>
    <n v="1039362.317353934"/>
    <n v="584019.88240981335"/>
  </r>
  <r>
    <s v="Refaturamento - Regular"/>
    <x v="3"/>
    <x v="2"/>
    <x v="1"/>
    <x v="0"/>
    <x v="1"/>
    <x v="0"/>
    <x v="1"/>
    <x v="6"/>
    <n v="0"/>
    <n v="0"/>
    <n v="1.1240000000000001"/>
    <n v="1.1240000000000001"/>
    <n v="1.1240000000000001"/>
    <n v="1.1240000000000001"/>
    <n v="0"/>
    <x v="1"/>
    <n v="0"/>
    <n v="0"/>
    <n v="33"/>
    <n v="85"/>
    <n v="0"/>
    <n v="338.51"/>
    <n v="224.01"/>
    <m/>
    <n v="417.58832886049538"/>
    <n v="234.64376439748159"/>
    <n v="0"/>
    <n v="380.48524000000003"/>
    <n v="251.78724000000003"/>
    <n v="0"/>
    <n v="469.36928163919686"/>
    <n v="263.73959118276935"/>
  </r>
  <r>
    <s v="Sistema de Compensação"/>
    <x v="3"/>
    <x v="2"/>
    <x v="1"/>
    <x v="0"/>
    <x v="1"/>
    <x v="0"/>
    <x v="1"/>
    <x v="6"/>
    <n v="0"/>
    <n v="0"/>
    <n v="33.875999999999998"/>
    <n v="33.875999999999998"/>
    <n v="33.875999999999998"/>
    <n v="33.875999999999998"/>
    <n v="40"/>
    <x v="1"/>
    <n v="0"/>
    <n v="0"/>
    <n v="33"/>
    <n v="85"/>
    <n v="0"/>
    <n v="338.51"/>
    <n v="224.01"/>
    <m/>
    <n v="417.58832886049538"/>
    <n v="234.64376439748159"/>
    <n v="0"/>
    <n v="11467.364759999999"/>
    <n v="7588.5627599999989"/>
    <n v="0"/>
    <n v="14146.22222847814"/>
    <n v="7948.7921627290862"/>
  </r>
  <r>
    <s v="Regular"/>
    <x v="3"/>
    <x v="2"/>
    <x v="1"/>
    <x v="0"/>
    <x v="1"/>
    <x v="0"/>
    <x v="1"/>
    <x v="7"/>
    <n v="0"/>
    <n v="0"/>
    <n v="2283.8829999999998"/>
    <n v="2283.8829999999998"/>
    <n v="2283.8829999999998"/>
    <n v="2283.8829999999998"/>
    <n v="2949"/>
    <x v="1"/>
    <n v="0"/>
    <n v="0"/>
    <n v="33"/>
    <n v="85"/>
    <n v="0"/>
    <n v="338.51"/>
    <n v="224.01"/>
    <m/>
    <n v="417.58832886049538"/>
    <n v="234.64376439748159"/>
    <n v="0"/>
    <n v="773117.23432999989"/>
    <n v="511612.63082999992"/>
    <n v="0"/>
    <n v="953722.88528289471"/>
    <n v="535898.90456341335"/>
  </r>
  <r>
    <s v="Refaturamento - Regular"/>
    <x v="3"/>
    <x v="2"/>
    <x v="1"/>
    <x v="0"/>
    <x v="1"/>
    <x v="0"/>
    <x v="1"/>
    <x v="7"/>
    <n v="0"/>
    <n v="0"/>
    <n v="1.954"/>
    <n v="1.954"/>
    <n v="1.954"/>
    <n v="1.954"/>
    <n v="0"/>
    <x v="1"/>
    <n v="0"/>
    <n v="0"/>
    <n v="33"/>
    <n v="85"/>
    <n v="0"/>
    <n v="338.51"/>
    <n v="224.01"/>
    <m/>
    <n v="417.58832886049538"/>
    <n v="234.64376439748159"/>
    <n v="0"/>
    <n v="661.44853999999998"/>
    <n v="437.71553999999998"/>
    <n v="0"/>
    <n v="815.96759459340797"/>
    <n v="458.49391563267903"/>
  </r>
  <r>
    <s v="Sistema de Compensação"/>
    <x v="3"/>
    <x v="2"/>
    <x v="1"/>
    <x v="0"/>
    <x v="1"/>
    <x v="0"/>
    <x v="1"/>
    <x v="7"/>
    <n v="0"/>
    <n v="0"/>
    <n v="48.832000000000001"/>
    <n v="48.832000000000001"/>
    <n v="48.832000000000001"/>
    <n v="48.832000000000001"/>
    <n v="44"/>
    <x v="1"/>
    <n v="0"/>
    <n v="0"/>
    <n v="33"/>
    <n v="85"/>
    <n v="0"/>
    <n v="338.51"/>
    <n v="224.01"/>
    <m/>
    <n v="417.58832886049538"/>
    <n v="234.64376439748159"/>
    <n v="0"/>
    <n v="16530.120319999998"/>
    <n v="10938.856319999999"/>
    <n v="0"/>
    <n v="20391.673274915709"/>
    <n v="11458.124303057821"/>
  </r>
  <r>
    <s v="Regular"/>
    <x v="3"/>
    <x v="2"/>
    <x v="1"/>
    <x v="0"/>
    <x v="1"/>
    <x v="0"/>
    <x v="1"/>
    <x v="8"/>
    <n v="0"/>
    <n v="0"/>
    <n v="2069.9580000000001"/>
    <n v="2069.9580000000001"/>
    <n v="2069.9580000000001"/>
    <n v="2069.9580000000001"/>
    <n v="2966"/>
    <x v="1"/>
    <n v="0"/>
    <n v="0"/>
    <n v="33"/>
    <n v="85"/>
    <n v="0"/>
    <n v="338.51"/>
    <n v="224.01"/>
    <m/>
    <n v="417.58832886049538"/>
    <n v="234.64376439748159"/>
    <n v="0"/>
    <n v="700701.48257999995"/>
    <n v="463691.29158000002"/>
    <n v="0"/>
    <n v="864390.3020314133"/>
    <n v="485702.73726468219"/>
  </r>
  <r>
    <s v="Refaturamento - Regular"/>
    <x v="3"/>
    <x v="2"/>
    <x v="1"/>
    <x v="0"/>
    <x v="1"/>
    <x v="0"/>
    <x v="1"/>
    <x v="8"/>
    <n v="0"/>
    <n v="0"/>
    <n v="0.53100000000000003"/>
    <n v="0.53100000000000003"/>
    <n v="0.53100000000000003"/>
    <n v="0.53100000000000003"/>
    <n v="0"/>
    <x v="1"/>
    <n v="0"/>
    <n v="0"/>
    <n v="33"/>
    <n v="85"/>
    <n v="0"/>
    <n v="338.51"/>
    <n v="224.01"/>
    <m/>
    <n v="417.58832886049538"/>
    <n v="234.64376439748159"/>
    <n v="0"/>
    <n v="179.74880999999999"/>
    <n v="118.94931"/>
    <n v="0"/>
    <n v="221.73940262492306"/>
    <n v="124.59583889506273"/>
  </r>
  <r>
    <s v="Sistema de Compensação"/>
    <x v="3"/>
    <x v="2"/>
    <x v="1"/>
    <x v="0"/>
    <x v="1"/>
    <x v="0"/>
    <x v="1"/>
    <x v="8"/>
    <n v="0"/>
    <n v="0"/>
    <n v="52.225000000000001"/>
    <n v="52.225000000000001"/>
    <n v="52.225000000000001"/>
    <n v="52.225000000000001"/>
    <n v="47"/>
    <x v="1"/>
    <n v="0"/>
    <n v="0"/>
    <n v="33"/>
    <n v="85"/>
    <n v="0"/>
    <n v="338.51"/>
    <n v="224.01"/>
    <m/>
    <n v="417.58832886049538"/>
    <n v="234.64376439748159"/>
    <n v="0"/>
    <n v="17678.68475"/>
    <n v="11698.92225"/>
    <n v="0"/>
    <n v="21808.550474739372"/>
    <n v="12254.270595658476"/>
  </r>
  <r>
    <s v="Regular"/>
    <x v="3"/>
    <x v="2"/>
    <x v="1"/>
    <x v="0"/>
    <x v="1"/>
    <x v="0"/>
    <x v="1"/>
    <x v="9"/>
    <n v="0"/>
    <n v="0"/>
    <n v="1746.81"/>
    <n v="1746.81"/>
    <n v="1746.81"/>
    <n v="1746.81"/>
    <n v="2962"/>
    <x v="1"/>
    <n v="0"/>
    <n v="0"/>
    <n v="33"/>
    <n v="85"/>
    <n v="0"/>
    <n v="338.51"/>
    <n v="224.01"/>
    <m/>
    <n v="417.58832886049538"/>
    <n v="234.64376439748159"/>
    <n v="0"/>
    <n v="591312.6531"/>
    <n v="391302.9081"/>
    <n v="0"/>
    <n v="729447.46873680188"/>
    <n v="409878.07408716483"/>
  </r>
  <r>
    <s v="Refaturamento - Regular"/>
    <x v="3"/>
    <x v="2"/>
    <x v="1"/>
    <x v="0"/>
    <x v="1"/>
    <x v="0"/>
    <x v="1"/>
    <x v="9"/>
    <n v="0"/>
    <n v="0"/>
    <n v="-1.7529999999999999"/>
    <n v="-1.7529999999999999"/>
    <n v="-1.7529999999999999"/>
    <n v="-1.7529999999999999"/>
    <n v="0"/>
    <x v="1"/>
    <n v="0"/>
    <n v="0"/>
    <n v="33"/>
    <n v="85"/>
    <n v="0"/>
    <n v="338.51"/>
    <n v="224.01"/>
    <m/>
    <n v="417.58832886049538"/>
    <n v="234.64376439748159"/>
    <n v="0"/>
    <n v="-593.40802999999994"/>
    <n v="-392.68952999999993"/>
    <n v="0"/>
    <n v="-732.03234049244838"/>
    <n v="-411.33051898878523"/>
  </r>
  <r>
    <s v="Sistema de Compensação"/>
    <x v="3"/>
    <x v="2"/>
    <x v="1"/>
    <x v="0"/>
    <x v="1"/>
    <x v="0"/>
    <x v="1"/>
    <x v="9"/>
    <n v="0"/>
    <n v="0"/>
    <n v="62.741"/>
    <n v="62.741"/>
    <n v="62.741"/>
    <n v="62.741"/>
    <n v="52"/>
    <x v="1"/>
    <n v="0"/>
    <n v="0"/>
    <n v="33"/>
    <n v="85"/>
    <n v="0"/>
    <n v="338.51"/>
    <n v="224.01"/>
    <m/>
    <n v="417.58832886049538"/>
    <n v="234.64376439748159"/>
    <n v="0"/>
    <n v="21238.455910000001"/>
    <n v="14054.61141"/>
    <n v="0"/>
    <n v="26199.909341036342"/>
    <n v="14721.784422062392"/>
  </r>
  <r>
    <s v="Regular"/>
    <x v="3"/>
    <x v="2"/>
    <x v="1"/>
    <x v="0"/>
    <x v="1"/>
    <x v="0"/>
    <x v="1"/>
    <x v="10"/>
    <n v="0"/>
    <n v="0"/>
    <n v="1601.3679999999999"/>
    <n v="1601.3679999999999"/>
    <n v="1601.3679999999999"/>
    <n v="1601.3679999999999"/>
    <n v="2964"/>
    <x v="1"/>
    <n v="0"/>
    <n v="0"/>
    <n v="33"/>
    <n v="85"/>
    <n v="0"/>
    <n v="338.51"/>
    <n v="224.01"/>
    <m/>
    <n v="417.58832886049538"/>
    <n v="234.64376439748159"/>
    <n v="0"/>
    <n v="542079.08167999994"/>
    <n v="358722.44567999995"/>
    <n v="0"/>
    <n v="668712.58701067371"/>
    <n v="375751.01570566627"/>
  </r>
  <r>
    <s v="Sistema de Compensação"/>
    <x v="3"/>
    <x v="2"/>
    <x v="1"/>
    <x v="0"/>
    <x v="1"/>
    <x v="0"/>
    <x v="1"/>
    <x v="10"/>
    <n v="0"/>
    <n v="0"/>
    <n v="77.203999999999994"/>
    <n v="77.203999999999994"/>
    <n v="77.203999999999994"/>
    <n v="77.203999999999994"/>
    <n v="57"/>
    <x v="1"/>
    <n v="0"/>
    <n v="0"/>
    <n v="33"/>
    <n v="85"/>
    <n v="0"/>
    <n v="338.51"/>
    <n v="224.01"/>
    <m/>
    <n v="417.58832886049538"/>
    <n v="234.64376439748159"/>
    <n v="0"/>
    <n v="26134.326039999996"/>
    <n v="17294.468039999996"/>
    <n v="0"/>
    <n v="32239.489341345681"/>
    <n v="18115.437186543168"/>
  </r>
  <r>
    <s v="PROJETADO"/>
    <x v="3"/>
    <x v="2"/>
    <x v="1"/>
    <x v="0"/>
    <x v="1"/>
    <x v="0"/>
    <x v="1"/>
    <x v="11"/>
    <n v="0"/>
    <n v="0"/>
    <n v="1601.3679999999999"/>
    <n v="1601.3679999999999"/>
    <n v="1601.3679999999999"/>
    <n v="1601.3679999999999"/>
    <n v="2964"/>
    <x v="1"/>
    <n v="0"/>
    <n v="0"/>
    <n v="33"/>
    <n v="85"/>
    <n v="0"/>
    <n v="338.51"/>
    <n v="224.01"/>
    <m/>
    <n v="417.58832886049538"/>
    <n v="234.64376439748159"/>
    <n v="0"/>
    <n v="542079.08167999994"/>
    <n v="358722.44567999995"/>
    <n v="0"/>
    <n v="668712.58701067371"/>
    <n v="375751.01570566627"/>
  </r>
  <r>
    <s v="PROJETADO"/>
    <x v="3"/>
    <x v="2"/>
    <x v="1"/>
    <x v="0"/>
    <x v="1"/>
    <x v="0"/>
    <x v="1"/>
    <x v="11"/>
    <n v="0"/>
    <n v="0"/>
    <n v="77.203999999999994"/>
    <n v="77.203999999999994"/>
    <n v="77.203999999999994"/>
    <n v="77.203999999999994"/>
    <n v="57"/>
    <x v="1"/>
    <n v="0"/>
    <n v="0"/>
    <n v="33"/>
    <n v="85"/>
    <n v="0"/>
    <n v="338.51"/>
    <n v="224.01"/>
    <m/>
    <n v="417.58832886049538"/>
    <n v="234.64376439748159"/>
    <n v="0"/>
    <n v="26134.326039999996"/>
    <n v="17294.468039999996"/>
    <n v="0"/>
    <n v="32239.489341345681"/>
    <n v="18115.437186543168"/>
  </r>
  <r>
    <s v="Regular"/>
    <x v="3"/>
    <x v="2"/>
    <x v="6"/>
    <x v="0"/>
    <x v="1"/>
    <x v="0"/>
    <x v="1"/>
    <x v="0"/>
    <n v="0"/>
    <n v="0"/>
    <n v="5.5549999999999997"/>
    <n v="5.5549999999999997"/>
    <n v="5.5549999999999997"/>
    <n v="5.5549999999999997"/>
    <n v="4"/>
    <x v="1"/>
    <n v="0"/>
    <n v="0"/>
    <n v="33"/>
    <n v="85"/>
    <n v="0"/>
    <n v="338.51"/>
    <n v="224.01"/>
    <m/>
    <n v="417.58832886049538"/>
    <n v="234.64376439748159"/>
    <n v="0"/>
    <n v="1880.4230499999999"/>
    <n v="1244.37555"/>
    <n v="0"/>
    <n v="2319.7031668200516"/>
    <n v="1303.4461112280101"/>
  </r>
  <r>
    <s v="Regular"/>
    <x v="3"/>
    <x v="2"/>
    <x v="6"/>
    <x v="0"/>
    <x v="1"/>
    <x v="0"/>
    <x v="1"/>
    <x v="1"/>
    <n v="0"/>
    <n v="0"/>
    <n v="5.6970000000000001"/>
    <n v="5.6970000000000001"/>
    <n v="5.6970000000000001"/>
    <n v="5.6970000000000001"/>
    <n v="4"/>
    <x v="1"/>
    <n v="0"/>
    <n v="0"/>
    <n v="33"/>
    <n v="85"/>
    <n v="0"/>
    <n v="338.51"/>
    <n v="224.01"/>
    <m/>
    <n v="417.58832886049538"/>
    <n v="234.64376439748159"/>
    <n v="0"/>
    <n v="1928.4914699999999"/>
    <n v="1276.18497"/>
    <n v="0"/>
    <n v="2379.0007095182423"/>
    <n v="1336.7655257724525"/>
  </r>
  <r>
    <s v="Regular"/>
    <x v="3"/>
    <x v="2"/>
    <x v="6"/>
    <x v="0"/>
    <x v="1"/>
    <x v="0"/>
    <x v="1"/>
    <x v="2"/>
    <n v="0"/>
    <n v="0"/>
    <n v="5.7779999999999996"/>
    <n v="5.7779999999999996"/>
    <n v="5.7779999999999996"/>
    <n v="5.7779999999999996"/>
    <n v="4"/>
    <x v="1"/>
    <n v="0"/>
    <n v="0"/>
    <n v="33"/>
    <n v="85"/>
    <n v="0"/>
    <n v="338.51"/>
    <n v="224.01"/>
    <m/>
    <n v="417.58832886049538"/>
    <n v="234.64376439748159"/>
    <n v="0"/>
    <n v="1955.9107799999997"/>
    <n v="1294.3297799999998"/>
    <n v="0"/>
    <n v="2412.8253641559422"/>
    <n v="1355.7716706886486"/>
  </r>
  <r>
    <s v="Regular"/>
    <x v="3"/>
    <x v="2"/>
    <x v="6"/>
    <x v="0"/>
    <x v="1"/>
    <x v="0"/>
    <x v="1"/>
    <x v="3"/>
    <n v="0"/>
    <n v="0"/>
    <n v="6.2530000000000001"/>
    <n v="6.2530000000000001"/>
    <n v="6.2530000000000001"/>
    <n v="6.2530000000000001"/>
    <n v="4"/>
    <x v="1"/>
    <n v="0"/>
    <n v="0"/>
    <n v="33"/>
    <n v="85"/>
    <n v="0"/>
    <n v="338.51"/>
    <n v="224.01"/>
    <m/>
    <n v="417.58832886049538"/>
    <n v="234.64376439748159"/>
    <n v="0"/>
    <n v="2116.7030300000001"/>
    <n v="1400.7345299999999"/>
    <n v="0"/>
    <n v="2611.1798203646777"/>
    <n v="1467.2274587774525"/>
  </r>
  <r>
    <s v="Regular"/>
    <x v="3"/>
    <x v="2"/>
    <x v="6"/>
    <x v="0"/>
    <x v="1"/>
    <x v="0"/>
    <x v="1"/>
    <x v="4"/>
    <n v="0"/>
    <n v="0"/>
    <n v="7.17"/>
    <n v="7.17"/>
    <n v="7.17"/>
    <n v="7.17"/>
    <n v="4"/>
    <x v="1"/>
    <n v="0"/>
    <n v="0"/>
    <n v="33"/>
    <n v="85"/>
    <n v="0"/>
    <n v="338.51"/>
    <n v="224.01"/>
    <m/>
    <n v="417.58832886049538"/>
    <n v="234.64376439748159"/>
    <n v="0"/>
    <n v="2427.1167"/>
    <n v="1606.1516999999999"/>
    <n v="0"/>
    <n v="2994.108317929752"/>
    <n v="1682.395790729943"/>
  </r>
  <r>
    <s v="Regular"/>
    <x v="3"/>
    <x v="2"/>
    <x v="6"/>
    <x v="0"/>
    <x v="1"/>
    <x v="0"/>
    <x v="1"/>
    <x v="5"/>
    <n v="0"/>
    <n v="0"/>
    <n v="10.105"/>
    <n v="10.105"/>
    <n v="10.105"/>
    <n v="10.105"/>
    <n v="4"/>
    <x v="1"/>
    <n v="0"/>
    <n v="0"/>
    <n v="33"/>
    <n v="85"/>
    <n v="0"/>
    <n v="338.51"/>
    <n v="224.01"/>
    <m/>
    <n v="417.58832886049538"/>
    <n v="234.64376439748159"/>
    <n v="0"/>
    <n v="3420.6435500000002"/>
    <n v="2263.6210500000002"/>
    <n v="0"/>
    <n v="4219.7300631353064"/>
    <n v="2371.0752392365516"/>
  </r>
  <r>
    <s v="Regular"/>
    <x v="3"/>
    <x v="2"/>
    <x v="6"/>
    <x v="0"/>
    <x v="1"/>
    <x v="0"/>
    <x v="1"/>
    <x v="6"/>
    <n v="0"/>
    <n v="0"/>
    <n v="11.499000000000001"/>
    <n v="11.499000000000001"/>
    <n v="11.499000000000001"/>
    <n v="11.499000000000001"/>
    <n v="4"/>
    <x v="1"/>
    <n v="0"/>
    <n v="0"/>
    <n v="33"/>
    <n v="85"/>
    <n v="0"/>
    <n v="338.51"/>
    <n v="224.01"/>
    <m/>
    <n v="417.58832886049538"/>
    <n v="234.64376439748159"/>
    <n v="0"/>
    <n v="3892.5264900000002"/>
    <n v="2575.8909899999999"/>
    <n v="0"/>
    <n v="4801.8481935668369"/>
    <n v="2698.1686468066409"/>
  </r>
  <r>
    <s v="Regular"/>
    <x v="3"/>
    <x v="2"/>
    <x v="6"/>
    <x v="0"/>
    <x v="1"/>
    <x v="0"/>
    <x v="1"/>
    <x v="7"/>
    <n v="0"/>
    <n v="0"/>
    <n v="11.22"/>
    <n v="11.22"/>
    <n v="11.22"/>
    <n v="11.22"/>
    <n v="4"/>
    <x v="1"/>
    <n v="0"/>
    <n v="0"/>
    <n v="33"/>
    <n v="85"/>
    <n v="0"/>
    <n v="338.51"/>
    <n v="224.01"/>
    <m/>
    <n v="417.58832886049538"/>
    <n v="234.64376439748159"/>
    <n v="0"/>
    <n v="3798.0822000000003"/>
    <n v="2513.3922000000002"/>
    <n v="0"/>
    <n v="4685.3410498147587"/>
    <n v="2632.7030365397436"/>
  </r>
  <r>
    <s v="Regular"/>
    <x v="3"/>
    <x v="2"/>
    <x v="6"/>
    <x v="0"/>
    <x v="1"/>
    <x v="0"/>
    <x v="1"/>
    <x v="8"/>
    <n v="0"/>
    <n v="0"/>
    <n v="9.36"/>
    <n v="9.36"/>
    <n v="9.36"/>
    <n v="9.36"/>
    <n v="4"/>
    <x v="1"/>
    <n v="0"/>
    <n v="0"/>
    <n v="33"/>
    <n v="85"/>
    <n v="0"/>
    <n v="338.51"/>
    <n v="224.01"/>
    <m/>
    <n v="417.58832886049538"/>
    <n v="234.64376439748159"/>
    <n v="0"/>
    <n v="3168.4535999999998"/>
    <n v="2096.7335999999996"/>
    <n v="0"/>
    <n v="3908.6267581342363"/>
    <n v="2196.2656347604275"/>
  </r>
  <r>
    <s v="Regular"/>
    <x v="3"/>
    <x v="2"/>
    <x v="6"/>
    <x v="0"/>
    <x v="1"/>
    <x v="0"/>
    <x v="1"/>
    <x v="9"/>
    <n v="0"/>
    <n v="0"/>
    <n v="6.306"/>
    <n v="6.306"/>
    <n v="6.306"/>
    <n v="6.306"/>
    <n v="4"/>
    <x v="1"/>
    <n v="0"/>
    <n v="0"/>
    <n v="33"/>
    <n v="85"/>
    <n v="0"/>
    <n v="338.51"/>
    <n v="224.01"/>
    <m/>
    <n v="417.58832886049538"/>
    <n v="234.64376439748159"/>
    <n v="0"/>
    <n v="2134.6440600000001"/>
    <n v="1412.60706"/>
    <n v="0"/>
    <n v="2633.3120017942838"/>
    <n v="1479.6635782905189"/>
  </r>
  <r>
    <s v="Regular"/>
    <x v="3"/>
    <x v="2"/>
    <x v="6"/>
    <x v="0"/>
    <x v="1"/>
    <x v="0"/>
    <x v="1"/>
    <x v="10"/>
    <n v="0"/>
    <n v="0"/>
    <n v="5.3730000000000002"/>
    <n v="5.3730000000000002"/>
    <n v="5.3730000000000002"/>
    <n v="5.3730000000000002"/>
    <n v="4"/>
    <x v="1"/>
    <n v="0"/>
    <n v="0"/>
    <n v="33"/>
    <n v="85"/>
    <n v="0"/>
    <n v="338.51"/>
    <n v="224.01"/>
    <m/>
    <n v="417.58832886049538"/>
    <n v="234.64376439748159"/>
    <n v="0"/>
    <n v="1818.81423"/>
    <n v="1203.60573"/>
    <n v="0"/>
    <n v="2243.7020909674416"/>
    <n v="1260.7409461076686"/>
  </r>
  <r>
    <s v="PROJETADO"/>
    <x v="3"/>
    <x v="2"/>
    <x v="6"/>
    <x v="0"/>
    <x v="1"/>
    <x v="0"/>
    <x v="1"/>
    <x v="11"/>
    <n v="0"/>
    <n v="0"/>
    <n v="5.3730000000000002"/>
    <n v="5.3730000000000002"/>
    <n v="5.3730000000000002"/>
    <n v="5.3730000000000002"/>
    <n v="4"/>
    <x v="1"/>
    <n v="0"/>
    <n v="0"/>
    <n v="33"/>
    <n v="85"/>
    <n v="0"/>
    <n v="338.51"/>
    <n v="224.01"/>
    <m/>
    <n v="417.58832886049538"/>
    <n v="234.64376439748159"/>
    <n v="0"/>
    <n v="1818.81423"/>
    <n v="1203.60573"/>
    <n v="0"/>
    <n v="2243.7020909674416"/>
    <n v="1260.7409461076686"/>
  </r>
  <r>
    <s v="Regular"/>
    <x v="3"/>
    <x v="2"/>
    <x v="0"/>
    <x v="0"/>
    <x v="1"/>
    <x v="0"/>
    <x v="1"/>
    <x v="0"/>
    <n v="0"/>
    <n v="0"/>
    <n v="302.32299999999998"/>
    <n v="302.32299999999998"/>
    <n v="302.32299999999998"/>
    <n v="302.32299999999998"/>
    <n v="125"/>
    <x v="1"/>
    <n v="0"/>
    <n v="0"/>
    <n v="33"/>
    <n v="85"/>
    <n v="0"/>
    <n v="338.51"/>
    <n v="224.01"/>
    <m/>
    <n v="417.58832886049538"/>
    <n v="234.64376439748159"/>
    <n v="0"/>
    <n v="102339.35872999999"/>
    <n v="67723.375229999991"/>
    <n v="0"/>
    <n v="126246.55634609153"/>
    <n v="70938.206783939822"/>
  </r>
  <r>
    <s v="Sistema de Compensação"/>
    <x v="3"/>
    <x v="2"/>
    <x v="0"/>
    <x v="0"/>
    <x v="1"/>
    <x v="0"/>
    <x v="1"/>
    <x v="0"/>
    <n v="0"/>
    <n v="0"/>
    <n v="4.3929999999999998"/>
    <n v="4.3929999999999998"/>
    <n v="4.3929999999999998"/>
    <n v="4.3929999999999998"/>
    <n v="3"/>
    <x v="1"/>
    <n v="0"/>
    <n v="0"/>
    <n v="33"/>
    <n v="85"/>
    <n v="0"/>
    <n v="338.51"/>
    <n v="224.01"/>
    <m/>
    <n v="417.58832886049538"/>
    <n v="234.64376439748159"/>
    <n v="0"/>
    <n v="1487.0744299999999"/>
    <n v="984.07592999999986"/>
    <n v="0"/>
    <n v="1834.4655286841562"/>
    <n v="1030.7900569981366"/>
  </r>
  <r>
    <s v="Regular"/>
    <x v="3"/>
    <x v="2"/>
    <x v="0"/>
    <x v="0"/>
    <x v="1"/>
    <x v="0"/>
    <x v="1"/>
    <x v="1"/>
    <n v="0"/>
    <n v="0"/>
    <n v="328.53199999999998"/>
    <n v="328.53199999999998"/>
    <n v="328.53199999999998"/>
    <n v="328.53199999999998"/>
    <n v="125"/>
    <x v="1"/>
    <n v="0"/>
    <n v="0"/>
    <n v="33"/>
    <n v="85"/>
    <n v="0"/>
    <n v="338.51"/>
    <n v="224.01"/>
    <m/>
    <n v="417.58832886049538"/>
    <n v="234.64376439748159"/>
    <n v="0"/>
    <n v="111211.36731999999"/>
    <n v="73594.453319999986"/>
    <n v="0"/>
    <n v="137191.12885719625"/>
    <n v="77087.985205033416"/>
  </r>
  <r>
    <s v="Sistema de Compensação"/>
    <x v="3"/>
    <x v="2"/>
    <x v="0"/>
    <x v="0"/>
    <x v="1"/>
    <x v="0"/>
    <x v="1"/>
    <x v="1"/>
    <n v="0"/>
    <n v="0"/>
    <n v="3.1440000000000001"/>
    <n v="3.1440000000000001"/>
    <n v="3.1440000000000001"/>
    <n v="3.1440000000000001"/>
    <n v="3"/>
    <x v="1"/>
    <n v="0"/>
    <n v="0"/>
    <n v="33"/>
    <n v="85"/>
    <n v="0"/>
    <n v="338.51"/>
    <n v="224.01"/>
    <m/>
    <n v="417.58832886049538"/>
    <n v="234.64376439748159"/>
    <n v="0"/>
    <n v="1064.2754400000001"/>
    <n v="704.28743999999995"/>
    <n v="0"/>
    <n v="1312.8977059373976"/>
    <n v="737.7199952656822"/>
  </r>
  <r>
    <s v="Regular"/>
    <x v="3"/>
    <x v="2"/>
    <x v="0"/>
    <x v="0"/>
    <x v="1"/>
    <x v="0"/>
    <x v="1"/>
    <x v="2"/>
    <n v="0"/>
    <n v="0"/>
    <n v="301.72000000000003"/>
    <n v="301.72000000000003"/>
    <n v="301.72000000000003"/>
    <n v="301.72000000000003"/>
    <n v="125"/>
    <x v="1"/>
    <n v="0"/>
    <n v="0"/>
    <n v="33"/>
    <n v="85"/>
    <n v="0"/>
    <n v="338.51"/>
    <n v="224.01"/>
    <m/>
    <n v="417.58832886049538"/>
    <n v="234.64376439748159"/>
    <n v="0"/>
    <n v="102135.2372"/>
    <n v="67588.297200000001"/>
    <n v="0"/>
    <n v="125994.75058378867"/>
    <n v="70796.716594008147"/>
  </r>
  <r>
    <s v="Sistema de Compensação"/>
    <x v="3"/>
    <x v="2"/>
    <x v="0"/>
    <x v="0"/>
    <x v="1"/>
    <x v="0"/>
    <x v="1"/>
    <x v="2"/>
    <n v="0"/>
    <n v="0"/>
    <n v="1.8009999999999999"/>
    <n v="1.8009999999999999"/>
    <n v="1.8009999999999999"/>
    <n v="1.8009999999999999"/>
    <n v="3"/>
    <x v="1"/>
    <n v="0"/>
    <n v="0"/>
    <n v="33"/>
    <n v="85"/>
    <n v="0"/>
    <n v="338.51"/>
    <n v="224.01"/>
    <m/>
    <n v="417.58832886049538"/>
    <n v="234.64376439748159"/>
    <n v="0"/>
    <n v="609.65650999999991"/>
    <n v="403.44200999999998"/>
    <n v="0"/>
    <n v="752.0765802777521"/>
    <n v="422.59341967986433"/>
  </r>
  <r>
    <s v="Regular"/>
    <x v="3"/>
    <x v="2"/>
    <x v="0"/>
    <x v="0"/>
    <x v="1"/>
    <x v="0"/>
    <x v="1"/>
    <x v="3"/>
    <n v="0"/>
    <n v="0"/>
    <n v="306.78500000000003"/>
    <n v="306.78500000000003"/>
    <n v="306.78500000000003"/>
    <n v="306.78500000000003"/>
    <n v="126"/>
    <x v="1"/>
    <n v="0"/>
    <n v="0"/>
    <n v="33"/>
    <n v="85"/>
    <n v="0"/>
    <n v="338.51"/>
    <n v="224.01"/>
    <m/>
    <n v="417.58832886049538"/>
    <n v="234.64376439748159"/>
    <n v="0"/>
    <n v="103849.79035000001"/>
    <n v="68722.907850000003"/>
    <n v="0"/>
    <n v="128109.83546946709"/>
    <n v="71985.187260681399"/>
  </r>
  <r>
    <s v="Sistema de Compensação"/>
    <x v="3"/>
    <x v="2"/>
    <x v="0"/>
    <x v="0"/>
    <x v="1"/>
    <x v="0"/>
    <x v="1"/>
    <x v="3"/>
    <n v="0"/>
    <n v="0"/>
    <n v="0.3"/>
    <n v="0.3"/>
    <n v="0.3"/>
    <n v="0.3"/>
    <n v="3"/>
    <x v="1"/>
    <n v="0"/>
    <n v="0"/>
    <n v="33"/>
    <n v="85"/>
    <n v="0"/>
    <n v="338.51"/>
    <n v="224.01"/>
    <m/>
    <n v="417.58832886049538"/>
    <n v="234.64376439748159"/>
    <n v="0"/>
    <n v="101.553"/>
    <n v="67.202999999999989"/>
    <n v="0"/>
    <n v="125.27649865814861"/>
    <n v="70.39312931924448"/>
  </r>
  <r>
    <s v="Regular"/>
    <x v="3"/>
    <x v="2"/>
    <x v="0"/>
    <x v="0"/>
    <x v="1"/>
    <x v="0"/>
    <x v="1"/>
    <x v="4"/>
    <n v="0"/>
    <n v="0"/>
    <n v="287.49400000000003"/>
    <n v="287.49400000000003"/>
    <n v="287.49400000000003"/>
    <n v="287.49400000000003"/>
    <n v="126"/>
    <x v="1"/>
    <n v="0"/>
    <n v="0"/>
    <n v="33"/>
    <n v="85"/>
    <n v="0"/>
    <n v="338.51"/>
    <n v="224.01"/>
    <m/>
    <n v="417.58832886049538"/>
    <n v="234.64376439748159"/>
    <n v="0"/>
    <n v="97319.593940000006"/>
    <n v="64401.530940000004"/>
    <n v="0"/>
    <n v="120054.13901741926"/>
    <n v="67458.674401689583"/>
  </r>
  <r>
    <s v="Sistema de Compensação"/>
    <x v="3"/>
    <x v="2"/>
    <x v="0"/>
    <x v="0"/>
    <x v="1"/>
    <x v="0"/>
    <x v="1"/>
    <x v="4"/>
    <n v="0"/>
    <n v="0"/>
    <n v="3.3220000000000001"/>
    <n v="3.3220000000000001"/>
    <n v="3.3220000000000001"/>
    <n v="3.3220000000000001"/>
    <n v="3"/>
    <x v="1"/>
    <n v="0"/>
    <n v="0"/>
    <n v="33"/>
    <n v="85"/>
    <n v="0"/>
    <n v="338.51"/>
    <n v="224.01"/>
    <m/>
    <n v="417.58832886049538"/>
    <n v="234.64376439748159"/>
    <n v="0"/>
    <n v="1124.5302200000001"/>
    <n v="744.16121999999996"/>
    <n v="0"/>
    <n v="1387.2284284745656"/>
    <n v="779.48658532843388"/>
  </r>
  <r>
    <s v="Regular"/>
    <x v="3"/>
    <x v="2"/>
    <x v="0"/>
    <x v="0"/>
    <x v="1"/>
    <x v="0"/>
    <x v="1"/>
    <x v="5"/>
    <n v="0"/>
    <n v="0"/>
    <n v="255.00800000000001"/>
    <n v="255.00800000000001"/>
    <n v="255.00800000000001"/>
    <n v="255.00800000000001"/>
    <n v="125"/>
    <x v="1"/>
    <n v="0"/>
    <n v="0"/>
    <n v="33"/>
    <n v="85"/>
    <n v="0"/>
    <n v="338.51"/>
    <n v="224.01"/>
    <m/>
    <n v="417.58832886049538"/>
    <n v="234.64376439748159"/>
    <n v="0"/>
    <n v="86322.75808"/>
    <n v="57124.342080000002"/>
    <n v="0"/>
    <n v="106488.36456605721"/>
    <n v="59836.037071472987"/>
  </r>
  <r>
    <s v="Sistema de Compensação"/>
    <x v="3"/>
    <x v="2"/>
    <x v="0"/>
    <x v="0"/>
    <x v="1"/>
    <x v="0"/>
    <x v="1"/>
    <x v="5"/>
    <n v="0"/>
    <n v="0"/>
    <n v="10.545"/>
    <n v="10.545"/>
    <n v="10.545"/>
    <n v="10.545"/>
    <n v="5"/>
    <x v="1"/>
    <n v="0"/>
    <n v="0"/>
    <n v="33"/>
    <n v="85"/>
    <n v="0"/>
    <n v="338.51"/>
    <n v="224.01"/>
    <m/>
    <n v="417.58832886049538"/>
    <n v="234.64376439748159"/>
    <n v="0"/>
    <n v="3569.5879500000001"/>
    <n v="2362.1854499999999"/>
    <n v="0"/>
    <n v="4403.4689278339238"/>
    <n v="2474.3184955714432"/>
  </r>
  <r>
    <s v="Regular"/>
    <x v="3"/>
    <x v="2"/>
    <x v="0"/>
    <x v="0"/>
    <x v="1"/>
    <x v="0"/>
    <x v="1"/>
    <x v="6"/>
    <n v="0"/>
    <n v="0"/>
    <n v="307.94400000000002"/>
    <n v="307.94400000000002"/>
    <n v="307.94400000000002"/>
    <n v="307.94400000000002"/>
    <n v="127"/>
    <x v="1"/>
    <n v="0"/>
    <n v="0"/>
    <n v="33"/>
    <n v="85"/>
    <n v="0"/>
    <n v="338.51"/>
    <n v="224.01"/>
    <m/>
    <n v="417.58832886049538"/>
    <n v="234.64376439748159"/>
    <n v="0"/>
    <n v="104242.12344"/>
    <n v="68982.535440000007"/>
    <n v="0"/>
    <n v="128593.8203426164"/>
    <n v="72257.13938361808"/>
  </r>
  <r>
    <s v="Sistema de Compensação"/>
    <x v="3"/>
    <x v="2"/>
    <x v="0"/>
    <x v="0"/>
    <x v="1"/>
    <x v="0"/>
    <x v="1"/>
    <x v="6"/>
    <n v="0"/>
    <n v="0"/>
    <n v="7.2309999999999999"/>
    <n v="7.2309999999999999"/>
    <n v="7.2309999999999999"/>
    <n v="7.2309999999999999"/>
    <n v="5"/>
    <x v="1"/>
    <n v="0"/>
    <n v="0"/>
    <n v="33"/>
    <n v="85"/>
    <n v="0"/>
    <n v="338.51"/>
    <n v="224.01"/>
    <m/>
    <n v="417.58832886049538"/>
    <n v="234.64376439748159"/>
    <n v="0"/>
    <n v="2447.7658099999999"/>
    <n v="1619.8163099999999"/>
    <n v="0"/>
    <n v="3019.5812059902419"/>
    <n v="1696.7090603581894"/>
  </r>
  <r>
    <s v="Regular"/>
    <x v="3"/>
    <x v="2"/>
    <x v="0"/>
    <x v="0"/>
    <x v="1"/>
    <x v="0"/>
    <x v="1"/>
    <x v="7"/>
    <n v="0"/>
    <n v="0"/>
    <n v="295.77800000000002"/>
    <n v="295.77800000000002"/>
    <n v="295.77800000000002"/>
    <n v="295.77800000000002"/>
    <n v="127"/>
    <x v="1"/>
    <n v="0"/>
    <n v="0"/>
    <n v="33"/>
    <n v="85"/>
    <n v="0"/>
    <n v="338.51"/>
    <n v="224.01"/>
    <m/>
    <n v="417.58832886049538"/>
    <n v="234.64376439748159"/>
    <n v="0"/>
    <n v="100123.81078"/>
    <n v="66257.229780000009"/>
    <n v="0"/>
    <n v="123513.44073369961"/>
    <n v="69402.463345958313"/>
  </r>
  <r>
    <s v="Sistema de Compensação"/>
    <x v="3"/>
    <x v="2"/>
    <x v="0"/>
    <x v="0"/>
    <x v="1"/>
    <x v="0"/>
    <x v="1"/>
    <x v="7"/>
    <n v="0"/>
    <n v="0"/>
    <n v="9.0220000000000002"/>
    <n v="9.0220000000000002"/>
    <n v="9.0220000000000002"/>
    <n v="9.0220000000000002"/>
    <n v="5"/>
    <x v="1"/>
    <n v="0"/>
    <n v="0"/>
    <n v="33"/>
    <n v="85"/>
    <n v="0"/>
    <n v="338.51"/>
    <n v="224.01"/>
    <m/>
    <n v="417.58832886049538"/>
    <n v="234.64376439748159"/>
    <n v="0"/>
    <n v="3054.0372200000002"/>
    <n v="2021.0182199999999"/>
    <n v="0"/>
    <n v="3767.4819029793894"/>
    <n v="2116.9560423940788"/>
  </r>
  <r>
    <s v="Regular"/>
    <x v="3"/>
    <x v="2"/>
    <x v="0"/>
    <x v="0"/>
    <x v="1"/>
    <x v="0"/>
    <x v="1"/>
    <x v="8"/>
    <n v="0"/>
    <n v="0"/>
    <n v="281.45699999999999"/>
    <n v="281.45699999999999"/>
    <n v="281.45699999999999"/>
    <n v="281.45699999999999"/>
    <n v="126"/>
    <x v="1"/>
    <n v="0"/>
    <n v="0"/>
    <n v="33"/>
    <n v="85"/>
    <n v="0"/>
    <n v="338.51"/>
    <n v="224.01"/>
    <m/>
    <n v="417.58832886049538"/>
    <n v="234.64376439748159"/>
    <n v="0"/>
    <n v="95276.00907"/>
    <n v="63049.182569999997"/>
    <n v="0"/>
    <n v="117533.15827608845"/>
    <n v="66042.129996021977"/>
  </r>
  <r>
    <s v="Sistema de Compensação"/>
    <x v="3"/>
    <x v="2"/>
    <x v="0"/>
    <x v="0"/>
    <x v="1"/>
    <x v="0"/>
    <x v="1"/>
    <x v="8"/>
    <n v="0"/>
    <n v="0"/>
    <n v="12.887"/>
    <n v="12.887"/>
    <n v="12.887"/>
    <n v="12.887"/>
    <n v="7"/>
    <x v="1"/>
    <n v="0"/>
    <n v="0"/>
    <n v="33"/>
    <n v="85"/>
    <n v="0"/>
    <n v="338.51"/>
    <n v="224.01"/>
    <m/>
    <n v="417.58832886049538"/>
    <n v="234.64376439748159"/>
    <n v="0"/>
    <n v="4362.3783700000004"/>
    <n v="2886.8168700000001"/>
    <n v="0"/>
    <n v="5381.4607940252045"/>
    <n v="3023.8541917903453"/>
  </r>
  <r>
    <s v="Regular"/>
    <x v="3"/>
    <x v="2"/>
    <x v="0"/>
    <x v="0"/>
    <x v="1"/>
    <x v="0"/>
    <x v="1"/>
    <x v="9"/>
    <n v="0"/>
    <n v="0"/>
    <n v="273.47300000000001"/>
    <n v="273.47300000000001"/>
    <n v="273.47300000000001"/>
    <n v="273.47300000000001"/>
    <n v="125"/>
    <x v="1"/>
    <n v="0"/>
    <n v="0"/>
    <n v="33"/>
    <n v="85"/>
    <n v="0"/>
    <n v="338.51"/>
    <n v="224.01"/>
    <m/>
    <n v="417.58832886049538"/>
    <n v="234.64376439748159"/>
    <n v="0"/>
    <n v="92573.345230000006"/>
    <n v="61260.686730000001"/>
    <n v="0"/>
    <n v="114199.13305846626"/>
    <n v="64168.734181072483"/>
  </r>
  <r>
    <s v="Sistema de Compensação"/>
    <x v="3"/>
    <x v="2"/>
    <x v="0"/>
    <x v="0"/>
    <x v="1"/>
    <x v="0"/>
    <x v="1"/>
    <x v="9"/>
    <n v="0"/>
    <n v="0"/>
    <n v="11.215999999999999"/>
    <n v="11.215999999999999"/>
    <n v="11.215999999999999"/>
    <n v="11.215999999999999"/>
    <n v="7"/>
    <x v="1"/>
    <n v="0"/>
    <n v="0"/>
    <n v="33"/>
    <n v="85"/>
    <n v="0"/>
    <n v="338.51"/>
    <n v="224.01"/>
    <m/>
    <n v="417.58832886049538"/>
    <n v="234.64376439748159"/>
    <n v="0"/>
    <n v="3796.7281599999997"/>
    <n v="2512.4961599999997"/>
    <n v="0"/>
    <n v="4683.6706964993155"/>
    <n v="2631.7644614821534"/>
  </r>
  <r>
    <s v="Regular"/>
    <x v="3"/>
    <x v="2"/>
    <x v="0"/>
    <x v="0"/>
    <x v="1"/>
    <x v="0"/>
    <x v="1"/>
    <x v="10"/>
    <n v="0"/>
    <n v="0"/>
    <n v="248.10400000000001"/>
    <n v="248.10400000000001"/>
    <n v="248.10400000000001"/>
    <n v="248.10400000000001"/>
    <n v="126"/>
    <x v="1"/>
    <n v="0"/>
    <n v="0"/>
    <n v="33"/>
    <n v="85"/>
    <n v="0"/>
    <n v="338.51"/>
    <n v="224.01"/>
    <m/>
    <n v="417.58832886049538"/>
    <n v="234.64376439748159"/>
    <n v="0"/>
    <n v="83985.685039999997"/>
    <n v="55577.777040000001"/>
    <n v="0"/>
    <n v="103605.33474360436"/>
    <n v="58216.056522072773"/>
  </r>
  <r>
    <s v="Sistema de Compensação"/>
    <x v="3"/>
    <x v="2"/>
    <x v="0"/>
    <x v="0"/>
    <x v="1"/>
    <x v="0"/>
    <x v="1"/>
    <x v="10"/>
    <n v="0"/>
    <n v="0"/>
    <n v="12.808999999999999"/>
    <n v="12.808999999999999"/>
    <n v="12.808999999999999"/>
    <n v="12.808999999999999"/>
    <n v="7"/>
    <x v="1"/>
    <n v="0"/>
    <n v="0"/>
    <n v="33"/>
    <n v="85"/>
    <n v="0"/>
    <n v="338.51"/>
    <n v="224.01"/>
    <m/>
    <n v="417.58832886049538"/>
    <n v="234.64376439748159"/>
    <n v="0"/>
    <n v="4335.9745899999998"/>
    <n v="2869.3440899999996"/>
    <n v="0"/>
    <n v="5348.8889043740846"/>
    <n v="3005.5519781673415"/>
  </r>
  <r>
    <s v="PROJETADO"/>
    <x v="3"/>
    <x v="2"/>
    <x v="0"/>
    <x v="0"/>
    <x v="1"/>
    <x v="0"/>
    <x v="1"/>
    <x v="11"/>
    <n v="0"/>
    <n v="0"/>
    <n v="248.10400000000001"/>
    <n v="248.10400000000001"/>
    <n v="248.10400000000001"/>
    <n v="248.10400000000001"/>
    <n v="126"/>
    <x v="1"/>
    <n v="0"/>
    <n v="0"/>
    <n v="33"/>
    <n v="85"/>
    <n v="0"/>
    <n v="338.51"/>
    <n v="224.01"/>
    <m/>
    <n v="417.58832886049538"/>
    <n v="234.64376439748159"/>
    <n v="0"/>
    <n v="83985.685039999997"/>
    <n v="55577.777040000001"/>
    <n v="0"/>
    <n v="103605.33474360436"/>
    <n v="58216.056522072773"/>
  </r>
  <r>
    <s v="PROJETADO"/>
    <x v="3"/>
    <x v="2"/>
    <x v="0"/>
    <x v="0"/>
    <x v="1"/>
    <x v="0"/>
    <x v="1"/>
    <x v="11"/>
    <n v="0"/>
    <n v="0"/>
    <n v="12.808999999999999"/>
    <n v="12.808999999999999"/>
    <n v="12.808999999999999"/>
    <n v="12.808999999999999"/>
    <n v="7"/>
    <x v="1"/>
    <n v="0"/>
    <n v="0"/>
    <n v="33"/>
    <n v="85"/>
    <n v="0"/>
    <n v="338.51"/>
    <n v="224.01"/>
    <m/>
    <n v="417.58832886049538"/>
    <n v="234.64376439748159"/>
    <n v="0"/>
    <n v="4335.9745899999998"/>
    <n v="2869.3440899999996"/>
    <n v="0"/>
    <n v="5348.8889043740846"/>
    <n v="3005.5519781673415"/>
  </r>
  <r>
    <s v="Regular"/>
    <x v="3"/>
    <x v="2"/>
    <x v="2"/>
    <x v="0"/>
    <x v="1"/>
    <x v="0"/>
    <x v="1"/>
    <x v="0"/>
    <n v="0"/>
    <n v="0"/>
    <n v="93.507999999999996"/>
    <n v="93.507999999999996"/>
    <n v="93.507999999999996"/>
    <n v="93.507999999999996"/>
    <n v="208"/>
    <x v="1"/>
    <n v="0"/>
    <n v="0"/>
    <n v="33"/>
    <n v="85"/>
    <n v="0"/>
    <n v="338.51"/>
    <n v="224.01"/>
    <m/>
    <n v="417.58832886049538"/>
    <n v="234.64376439748159"/>
    <n v="0"/>
    <n v="31653.393079999998"/>
    <n v="20946.727079999997"/>
    <n v="0"/>
    <n v="39047.849455087198"/>
    <n v="21941.069121279706"/>
  </r>
  <r>
    <s v="Refaturamento - Regular"/>
    <x v="3"/>
    <x v="2"/>
    <x v="2"/>
    <x v="0"/>
    <x v="1"/>
    <x v="0"/>
    <x v="1"/>
    <x v="0"/>
    <n v="0"/>
    <n v="0"/>
    <n v="-2.6"/>
    <n v="-2.6"/>
    <n v="-2.6"/>
    <n v="-2.6"/>
    <n v="0"/>
    <x v="1"/>
    <n v="0"/>
    <n v="0"/>
    <n v="33"/>
    <n v="85"/>
    <n v="0"/>
    <n v="338.51"/>
    <n v="224.01"/>
    <m/>
    <n v="417.58832886049538"/>
    <n v="234.64376439748159"/>
    <n v="0"/>
    <n v="-880.12599999999998"/>
    <n v="-582.42600000000004"/>
    <n v="0"/>
    <n v="-1085.729655037288"/>
    <n v="-610.07378743345214"/>
  </r>
  <r>
    <s v="Regular"/>
    <x v="3"/>
    <x v="2"/>
    <x v="2"/>
    <x v="0"/>
    <x v="1"/>
    <x v="0"/>
    <x v="1"/>
    <x v="1"/>
    <n v="0"/>
    <n v="0"/>
    <n v="108.642"/>
    <n v="108.642"/>
    <n v="108.642"/>
    <n v="108.642"/>
    <n v="203"/>
    <x v="1"/>
    <n v="0"/>
    <n v="0"/>
    <n v="33"/>
    <n v="85"/>
    <n v="0"/>
    <n v="338.51"/>
    <n v="224.01"/>
    <m/>
    <n v="417.58832886049538"/>
    <n v="234.64376439748159"/>
    <n v="0"/>
    <n v="36776.403419999995"/>
    <n v="24336.894419999997"/>
    <n v="0"/>
    <n v="45367.631224061937"/>
    <n v="25492.167851671195"/>
  </r>
  <r>
    <s v="Regular"/>
    <x v="3"/>
    <x v="2"/>
    <x v="2"/>
    <x v="0"/>
    <x v="1"/>
    <x v="0"/>
    <x v="1"/>
    <x v="2"/>
    <n v="0"/>
    <n v="0"/>
    <n v="101.212"/>
    <n v="101.212"/>
    <n v="101.212"/>
    <n v="101.212"/>
    <n v="201"/>
    <x v="1"/>
    <n v="0"/>
    <n v="0"/>
    <n v="33"/>
    <n v="85"/>
    <n v="0"/>
    <n v="338.51"/>
    <n v="224.01"/>
    <m/>
    <n v="417.58832886049538"/>
    <n v="234.64376439748159"/>
    <n v="0"/>
    <n v="34261.274120000002"/>
    <n v="22672.500120000001"/>
    <n v="0"/>
    <n v="42264.949940628459"/>
    <n v="23748.764682197907"/>
  </r>
  <r>
    <s v="Regular"/>
    <x v="3"/>
    <x v="2"/>
    <x v="2"/>
    <x v="0"/>
    <x v="1"/>
    <x v="0"/>
    <x v="1"/>
    <x v="3"/>
    <n v="0"/>
    <n v="0"/>
    <n v="121.371"/>
    <n v="121.371"/>
    <n v="121.371"/>
    <n v="121.371"/>
    <n v="197"/>
    <x v="1"/>
    <n v="0"/>
    <n v="0"/>
    <n v="33"/>
    <n v="85"/>
    <n v="0"/>
    <n v="338.51"/>
    <n v="224.01"/>
    <m/>
    <n v="417.58832886049538"/>
    <n v="234.64376439748159"/>
    <n v="0"/>
    <n v="41085.297209999997"/>
    <n v="27188.317709999999"/>
    <n v="0"/>
    <n v="50683.11306212718"/>
    <n v="28478.948328686736"/>
  </r>
  <r>
    <s v="Regular"/>
    <x v="3"/>
    <x v="2"/>
    <x v="2"/>
    <x v="0"/>
    <x v="1"/>
    <x v="0"/>
    <x v="1"/>
    <x v="4"/>
    <n v="0"/>
    <n v="0"/>
    <n v="142.059"/>
    <n v="142.059"/>
    <n v="142.059"/>
    <n v="142.059"/>
    <n v="195"/>
    <x v="1"/>
    <n v="0"/>
    <n v="0"/>
    <n v="33"/>
    <n v="85"/>
    <n v="0"/>
    <n v="338.51"/>
    <n v="224.01"/>
    <m/>
    <n v="417.58832886049538"/>
    <n v="234.64376439748159"/>
    <n v="0"/>
    <n v="48088.392090000001"/>
    <n v="31822.636589999998"/>
    <n v="0"/>
    <n v="59322.180409593115"/>
    <n v="33333.258526541838"/>
  </r>
  <r>
    <s v="Regular"/>
    <x v="3"/>
    <x v="2"/>
    <x v="2"/>
    <x v="0"/>
    <x v="1"/>
    <x v="0"/>
    <x v="1"/>
    <x v="5"/>
    <n v="0"/>
    <n v="0"/>
    <n v="133.93899999999999"/>
    <n v="133.93899999999999"/>
    <n v="133.93899999999999"/>
    <n v="133.93899999999999"/>
    <n v="205"/>
    <x v="1"/>
    <n v="0"/>
    <n v="0"/>
    <n v="33"/>
    <n v="85"/>
    <n v="0"/>
    <n v="338.51"/>
    <n v="224.01"/>
    <m/>
    <n v="417.58832886049538"/>
    <n v="234.64376439748159"/>
    <n v="0"/>
    <n v="45339.690889999998"/>
    <n v="30003.675389999997"/>
    <n v="0"/>
    <n v="55931.363179245891"/>
    <n v="31427.951159634285"/>
  </r>
  <r>
    <s v="Regular"/>
    <x v="3"/>
    <x v="2"/>
    <x v="2"/>
    <x v="0"/>
    <x v="1"/>
    <x v="0"/>
    <x v="1"/>
    <x v="6"/>
    <n v="0"/>
    <n v="0"/>
    <n v="158.751"/>
    <n v="158.751"/>
    <n v="158.751"/>
    <n v="158.751"/>
    <n v="207"/>
    <x v="1"/>
    <n v="0"/>
    <n v="0"/>
    <n v="33"/>
    <n v="85"/>
    <n v="0"/>
    <n v="338.51"/>
    <n v="224.01"/>
    <m/>
    <n v="417.58832886049538"/>
    <n v="234.64376439748159"/>
    <n v="0"/>
    <n v="53738.801010000003"/>
    <n v="35561.81151"/>
    <n v="0"/>
    <n v="66292.564794932507"/>
    <n v="37249.932241864604"/>
  </r>
  <r>
    <s v="Regular"/>
    <x v="3"/>
    <x v="2"/>
    <x v="2"/>
    <x v="0"/>
    <x v="1"/>
    <x v="0"/>
    <x v="1"/>
    <x v="7"/>
    <n v="0"/>
    <n v="0"/>
    <n v="227.23599999999999"/>
    <n v="227.23599999999999"/>
    <n v="227.23599999999999"/>
    <n v="227.23599999999999"/>
    <n v="209"/>
    <x v="1"/>
    <n v="0"/>
    <n v="0"/>
    <n v="33"/>
    <n v="85"/>
    <n v="0"/>
    <n v="338.51"/>
    <n v="224.01"/>
    <m/>
    <n v="417.58832886049538"/>
    <n v="234.64376439748159"/>
    <n v="0"/>
    <n v="76921.658360000001"/>
    <n v="50903.136359999997"/>
    <n v="0"/>
    <n v="94891.10149694352"/>
    <n v="53319.510446626125"/>
  </r>
  <r>
    <s v="Regular"/>
    <x v="3"/>
    <x v="2"/>
    <x v="2"/>
    <x v="0"/>
    <x v="1"/>
    <x v="0"/>
    <x v="1"/>
    <x v="8"/>
    <n v="0"/>
    <n v="0"/>
    <n v="181.58"/>
    <n v="181.58"/>
    <n v="181.58"/>
    <n v="181.58"/>
    <n v="207"/>
    <x v="1"/>
    <n v="0"/>
    <n v="0"/>
    <n v="33"/>
    <n v="85"/>
    <n v="0"/>
    <n v="338.51"/>
    <n v="224.01"/>
    <m/>
    <n v="417.58832886049538"/>
    <n v="234.64376439748159"/>
    <n v="0"/>
    <n v="61466.645800000006"/>
    <n v="40675.735800000002"/>
    <n v="0"/>
    <n v="75825.688754488758"/>
    <n v="42606.61473929471"/>
  </r>
  <r>
    <s v="Regular"/>
    <x v="3"/>
    <x v="2"/>
    <x v="2"/>
    <x v="0"/>
    <x v="1"/>
    <x v="0"/>
    <x v="1"/>
    <x v="9"/>
    <n v="0"/>
    <n v="0"/>
    <n v="130.04900000000001"/>
    <n v="130.04900000000001"/>
    <n v="130.04900000000001"/>
    <n v="130.04900000000001"/>
    <n v="201"/>
    <x v="1"/>
    <n v="0"/>
    <n v="0"/>
    <n v="33"/>
    <n v="85"/>
    <n v="0"/>
    <n v="338.51"/>
    <n v="224.01"/>
    <m/>
    <n v="417.58832886049538"/>
    <n v="234.64376439748159"/>
    <n v="0"/>
    <n v="44022.886989999999"/>
    <n v="29132.27649"/>
    <n v="0"/>
    <n v="54306.944579978568"/>
    <n v="30515.186916128085"/>
  </r>
  <r>
    <s v="Regular"/>
    <x v="3"/>
    <x v="2"/>
    <x v="2"/>
    <x v="0"/>
    <x v="1"/>
    <x v="0"/>
    <x v="1"/>
    <x v="10"/>
    <n v="0"/>
    <n v="0"/>
    <n v="114.00700000000001"/>
    <n v="114.00700000000001"/>
    <n v="114.00700000000001"/>
    <n v="114.00700000000001"/>
    <n v="200"/>
    <x v="1"/>
    <n v="0"/>
    <n v="0"/>
    <n v="33"/>
    <n v="85"/>
    <n v="0"/>
    <n v="338.51"/>
    <n v="224.01"/>
    <m/>
    <n v="417.58832886049538"/>
    <n v="234.64376439748159"/>
    <n v="0"/>
    <n v="38592.509570000002"/>
    <n v="25538.708070000001"/>
    <n v="0"/>
    <n v="47607.992608398497"/>
    <n v="26751.031647663684"/>
  </r>
  <r>
    <s v="PROJETADO"/>
    <x v="3"/>
    <x v="2"/>
    <x v="2"/>
    <x v="0"/>
    <x v="1"/>
    <x v="0"/>
    <x v="1"/>
    <x v="11"/>
    <n v="0"/>
    <n v="0"/>
    <n v="114.00700000000001"/>
    <n v="114.00700000000001"/>
    <n v="114.00700000000001"/>
    <n v="114.00700000000001"/>
    <n v="200"/>
    <x v="1"/>
    <n v="0"/>
    <n v="0"/>
    <n v="33"/>
    <n v="85"/>
    <n v="0"/>
    <n v="338.51"/>
    <n v="224.01"/>
    <m/>
    <n v="417.58832886049538"/>
    <n v="234.64376439748159"/>
    <n v="0"/>
    <n v="38592.509570000002"/>
    <n v="25538.708070000001"/>
    <n v="0"/>
    <n v="47607.992608398497"/>
    <n v="26751.031647663684"/>
  </r>
  <r>
    <s v="Regular"/>
    <x v="3"/>
    <x v="2"/>
    <x v="3"/>
    <x v="1"/>
    <x v="1"/>
    <x v="0"/>
    <x v="1"/>
    <x v="0"/>
    <n v="0"/>
    <n v="0"/>
    <n v="46.851999999999997"/>
    <n v="44.040879999999994"/>
    <n v="46.851999999999997"/>
    <n v="44.040879999999994"/>
    <n v="32"/>
    <x v="1"/>
    <n v="0"/>
    <n v="0"/>
    <n v="33"/>
    <n v="85"/>
    <n v="0"/>
    <n v="338.51"/>
    <n v="224.01"/>
    <m/>
    <n v="417.58832886049538"/>
    <n v="234.64376439748159"/>
    <n v="0"/>
    <n v="14908.278288799998"/>
    <n v="9865.5975287999991"/>
    <n v="0"/>
    <n v="18390.957480745612"/>
    <n v="10333.917870577758"/>
  </r>
  <r>
    <s v="Regular"/>
    <x v="3"/>
    <x v="2"/>
    <x v="3"/>
    <x v="1"/>
    <x v="1"/>
    <x v="0"/>
    <x v="1"/>
    <x v="1"/>
    <n v="0"/>
    <n v="0"/>
    <n v="49.296999999999997"/>
    <n v="46.339179999999992"/>
    <n v="49.296999999999997"/>
    <n v="46.339179999999992"/>
    <n v="32"/>
    <x v="1"/>
    <n v="0"/>
    <n v="0"/>
    <n v="33"/>
    <n v="85"/>
    <n v="0"/>
    <n v="338.51"/>
    <n v="224.01"/>
    <m/>
    <n v="417.58832886049538"/>
    <n v="234.64376439748159"/>
    <n v="0"/>
    <n v="15686.275821799996"/>
    <n v="10380.439711799998"/>
    <n v="0"/>
    <n v="19350.700736965686"/>
    <n v="10873.199634292489"/>
  </r>
  <r>
    <s v="Regular"/>
    <x v="3"/>
    <x v="2"/>
    <x v="3"/>
    <x v="1"/>
    <x v="1"/>
    <x v="0"/>
    <x v="1"/>
    <x v="2"/>
    <n v="0"/>
    <n v="0"/>
    <n v="45.563000000000002"/>
    <n v="42.829219999999999"/>
    <n v="45.563000000000002"/>
    <n v="42.829219999999999"/>
    <n v="32"/>
    <x v="1"/>
    <n v="0"/>
    <n v="0"/>
    <n v="33"/>
    <n v="85"/>
    <n v="0"/>
    <n v="338.51"/>
    <n v="224.01"/>
    <m/>
    <n v="417.58832886049538"/>
    <n v="234.64376439748159"/>
    <n v="0"/>
    <n v="14498.1192622"/>
    <n v="9594.1735721999994"/>
    <n v="0"/>
    <n v="17884.982406198505"/>
    <n v="10049.609407007907"/>
  </r>
  <r>
    <s v="Regular"/>
    <x v="3"/>
    <x v="2"/>
    <x v="3"/>
    <x v="1"/>
    <x v="1"/>
    <x v="0"/>
    <x v="1"/>
    <x v="3"/>
    <n v="0"/>
    <n v="0"/>
    <n v="47.423999999999999"/>
    <n v="44.578560000000003"/>
    <n v="47.423999999999999"/>
    <n v="44.578560000000003"/>
    <n v="34"/>
    <x v="1"/>
    <n v="0"/>
    <n v="0"/>
    <n v="33"/>
    <n v="85"/>
    <n v="0"/>
    <n v="338.51"/>
    <n v="224.01"/>
    <m/>
    <n v="417.58832886049538"/>
    <n v="234.64376439748159"/>
    <n v="0"/>
    <n v="15090.2883456"/>
    <n v="9986.0432256000004"/>
    <n v="0"/>
    <n v="18615.486373407326"/>
    <n v="10460.081129818998"/>
  </r>
  <r>
    <s v="Regular"/>
    <x v="3"/>
    <x v="2"/>
    <x v="3"/>
    <x v="1"/>
    <x v="1"/>
    <x v="0"/>
    <x v="1"/>
    <x v="4"/>
    <n v="0"/>
    <n v="0"/>
    <n v="44.262999999999998"/>
    <n v="41.607219999999998"/>
    <n v="44.262999999999998"/>
    <n v="41.607219999999998"/>
    <n v="33"/>
    <x v="1"/>
    <n v="0"/>
    <n v="0"/>
    <n v="33"/>
    <n v="85"/>
    <n v="0"/>
    <n v="338.51"/>
    <n v="224.01"/>
    <m/>
    <n v="417.58832886049538"/>
    <n v="234.64376439748159"/>
    <n v="0"/>
    <n v="14084.460042199998"/>
    <n v="9320.4333521999997"/>
    <n v="0"/>
    <n v="17374.68946833098"/>
    <n v="9762.8747269141841"/>
  </r>
  <r>
    <s v="Refaturamento - Regular"/>
    <x v="3"/>
    <x v="2"/>
    <x v="3"/>
    <x v="1"/>
    <x v="1"/>
    <x v="0"/>
    <x v="1"/>
    <x v="4"/>
    <n v="0"/>
    <n v="0"/>
    <n v="-0.307"/>
    <n v="-0.28858"/>
    <n v="-0.307"/>
    <n v="-0.28858"/>
    <n v="0"/>
    <x v="1"/>
    <n v="0"/>
    <n v="0"/>
    <n v="33"/>
    <n v="85"/>
    <n v="0"/>
    <n v="338.51"/>
    <n v="224.01"/>
    <m/>
    <n v="417.58832886049538"/>
    <n v="234.64376439748159"/>
    <n v="0"/>
    <n v="-97.687215800000004"/>
    <n v="-64.6448058"/>
    <n v="0"/>
    <n v="-120.50763994256175"/>
    <n v="-67.713497529825233"/>
  </r>
  <r>
    <s v="Regular"/>
    <x v="3"/>
    <x v="2"/>
    <x v="3"/>
    <x v="1"/>
    <x v="1"/>
    <x v="0"/>
    <x v="1"/>
    <x v="5"/>
    <n v="0"/>
    <n v="0"/>
    <n v="60.606000000000002"/>
    <n v="56.969639999999998"/>
    <n v="60.606000000000002"/>
    <n v="56.969639999999998"/>
    <n v="33"/>
    <x v="1"/>
    <n v="0"/>
    <n v="0"/>
    <n v="33"/>
    <n v="85"/>
    <n v="0"/>
    <n v="338.51"/>
    <n v="224.01"/>
    <m/>
    <n v="417.58832886049538"/>
    <n v="234.64376439748159"/>
    <n v="0"/>
    <n v="19284.7928364"/>
    <n v="12761.769056399999"/>
    <n v="0"/>
    <n v="23789.856763384032"/>
    <n v="13367.570785969343"/>
  </r>
  <r>
    <s v="Regular"/>
    <x v="3"/>
    <x v="2"/>
    <x v="3"/>
    <x v="1"/>
    <x v="1"/>
    <x v="0"/>
    <x v="1"/>
    <x v="6"/>
    <n v="0"/>
    <n v="0"/>
    <n v="47.884999999999998"/>
    <n v="45.011899999999997"/>
    <n v="47.884999999999998"/>
    <n v="45.011899999999997"/>
    <n v="33"/>
    <x v="1"/>
    <n v="0"/>
    <n v="0"/>
    <n v="33"/>
    <n v="85"/>
    <n v="0"/>
    <n v="338.51"/>
    <n v="224.01"/>
    <m/>
    <n v="417.58832886049538"/>
    <n v="234.64376439748159"/>
    <n v="0"/>
    <n v="15236.978268999999"/>
    <n v="10083.115718999999"/>
    <n v="0"/>
    <n v="18796.444099835731"/>
    <n v="10561.761658683001"/>
  </r>
  <r>
    <s v="Regular"/>
    <x v="3"/>
    <x v="2"/>
    <x v="3"/>
    <x v="1"/>
    <x v="1"/>
    <x v="0"/>
    <x v="1"/>
    <x v="7"/>
    <n v="0"/>
    <n v="0"/>
    <n v="66.007000000000005"/>
    <n v="62.046579999999999"/>
    <n v="66.007000000000005"/>
    <n v="62.046579999999999"/>
    <n v="33"/>
    <x v="1"/>
    <n v="0"/>
    <n v="0"/>
    <n v="33"/>
    <n v="85"/>
    <n v="0"/>
    <n v="338.51"/>
    <n v="224.01"/>
    <m/>
    <n v="417.58832886049538"/>
    <n v="234.64376439748159"/>
    <n v="0"/>
    <n v="21003.387795799998"/>
    <n v="13899.054385799998"/>
    <n v="0"/>
    <n v="25909.927653709034"/>
    <n v="14558.843099189493"/>
  </r>
  <r>
    <s v="Regular"/>
    <x v="3"/>
    <x v="2"/>
    <x v="3"/>
    <x v="1"/>
    <x v="1"/>
    <x v="0"/>
    <x v="1"/>
    <x v="8"/>
    <n v="0"/>
    <n v="0"/>
    <n v="49.927"/>
    <n v="46.931379999999997"/>
    <n v="49.927"/>
    <n v="46.931379999999997"/>
    <n v="37"/>
    <x v="1"/>
    <n v="0"/>
    <n v="0"/>
    <n v="33"/>
    <n v="85"/>
    <n v="0"/>
    <n v="338.51"/>
    <n v="224.01"/>
    <m/>
    <n v="417.58832886049538"/>
    <n v="234.64376439748159"/>
    <n v="0"/>
    <n v="15886.741443799998"/>
    <n v="10513.0984338"/>
    <n v="0"/>
    <n v="19597.996545316873"/>
    <n v="11012.155671568678"/>
  </r>
  <r>
    <s v="Regular"/>
    <x v="3"/>
    <x v="2"/>
    <x v="3"/>
    <x v="1"/>
    <x v="1"/>
    <x v="0"/>
    <x v="1"/>
    <x v="9"/>
    <n v="0"/>
    <n v="0"/>
    <n v="50.348999999999997"/>
    <n v="47.328060000000001"/>
    <n v="50.348999999999997"/>
    <n v="47.328060000000001"/>
    <n v="37"/>
    <x v="1"/>
    <n v="0"/>
    <n v="0"/>
    <n v="33"/>
    <n v="85"/>
    <n v="0"/>
    <n v="338.51"/>
    <n v="224.01"/>
    <m/>
    <n v="417.58832886049538"/>
    <n v="234.64376439748159"/>
    <n v="0"/>
    <n v="16021.021590599999"/>
    <n v="10601.9587206"/>
    <n v="0"/>
    <n v="19763.645483609256"/>
    <n v="11105.234160029873"/>
  </r>
  <r>
    <s v="Regular"/>
    <x v="3"/>
    <x v="2"/>
    <x v="3"/>
    <x v="1"/>
    <x v="1"/>
    <x v="0"/>
    <x v="1"/>
    <x v="10"/>
    <n v="0"/>
    <n v="0"/>
    <n v="45.19"/>
    <n v="42.4786"/>
    <n v="45.19"/>
    <n v="42.4786"/>
    <n v="37"/>
    <x v="1"/>
    <n v="0"/>
    <n v="0"/>
    <n v="33"/>
    <n v="85"/>
    <n v="0"/>
    <n v="338.51"/>
    <n v="224.01"/>
    <m/>
    <n v="417.58832886049538"/>
    <n v="234.64376439748159"/>
    <n v="0"/>
    <n v="14379.430886"/>
    <n v="9515.6311860000005"/>
    <n v="0"/>
    <n v="17738.56758633344"/>
    <n v="9967.3386103348621"/>
  </r>
  <r>
    <s v="PROJETADO"/>
    <x v="3"/>
    <x v="2"/>
    <x v="3"/>
    <x v="1"/>
    <x v="1"/>
    <x v="0"/>
    <x v="1"/>
    <x v="11"/>
    <n v="0"/>
    <n v="0"/>
    <n v="45.19"/>
    <n v="42.4786"/>
    <n v="45.19"/>
    <n v="42.4786"/>
    <n v="37"/>
    <x v="1"/>
    <n v="0"/>
    <n v="0"/>
    <n v="33"/>
    <n v="85"/>
    <n v="0"/>
    <n v="338.51"/>
    <n v="224.01"/>
    <m/>
    <n v="417.58832886049538"/>
    <n v="234.64376439748159"/>
    <n v="0"/>
    <n v="14379.430886"/>
    <n v="9515.6311860000005"/>
    <n v="0"/>
    <n v="17738.56758633344"/>
    <n v="9967.3386103348621"/>
  </r>
  <r>
    <s v="Regular"/>
    <x v="4"/>
    <x v="2"/>
    <x v="7"/>
    <x v="8"/>
    <x v="1"/>
    <x v="0"/>
    <x v="1"/>
    <x v="0"/>
    <n v="0"/>
    <n v="0"/>
    <n v="1112.021"/>
    <n v="1112.021"/>
    <n v="1112.021"/>
    <n v="1112.021"/>
    <n v="4"/>
    <x v="1"/>
    <n v="0"/>
    <n v="0"/>
    <n v="68"/>
    <n v="48"/>
    <n v="0"/>
    <n v="186.18"/>
    <n v="123.2"/>
    <m/>
    <n v="229.6735808732725"/>
    <n v="129.05407041861488"/>
    <n v="0"/>
    <n v="207036.06977999999"/>
    <n v="137000.9872"/>
    <n v="0"/>
    <n v="255401.84507627736"/>
    <n v="143510.83644097854"/>
  </r>
  <r>
    <s v="Regular"/>
    <x v="4"/>
    <x v="2"/>
    <x v="7"/>
    <x v="8"/>
    <x v="1"/>
    <x v="0"/>
    <x v="1"/>
    <x v="1"/>
    <n v="0"/>
    <n v="0"/>
    <n v="1013.975"/>
    <n v="1013.975"/>
    <n v="1013.975"/>
    <n v="1013.975"/>
    <n v="4"/>
    <x v="1"/>
    <n v="0"/>
    <n v="0"/>
    <n v="68"/>
    <n v="48"/>
    <n v="0"/>
    <n v="186.18"/>
    <n v="123.2"/>
    <m/>
    <n v="229.6735808732725"/>
    <n v="129.05407041861488"/>
    <n v="0"/>
    <n v="188781.86550000001"/>
    <n v="124921.72"/>
    <n v="0"/>
    <n v="232883.2691659765"/>
    <n v="130857.60105271504"/>
  </r>
  <r>
    <s v="Regular"/>
    <x v="4"/>
    <x v="2"/>
    <x v="7"/>
    <x v="8"/>
    <x v="1"/>
    <x v="0"/>
    <x v="1"/>
    <x v="2"/>
    <n v="0"/>
    <n v="0"/>
    <n v="964.84100000000001"/>
    <n v="964.84100000000001"/>
    <n v="964.84100000000001"/>
    <n v="964.84100000000001"/>
    <n v="4"/>
    <x v="1"/>
    <n v="0"/>
    <n v="0"/>
    <n v="68"/>
    <n v="48"/>
    <n v="0"/>
    <n v="186.18"/>
    <n v="123.2"/>
    <m/>
    <n v="229.6735808732725"/>
    <n v="129.05407041861488"/>
    <n v="0"/>
    <n v="179634.09738000002"/>
    <n v="118868.4112"/>
    <n v="0"/>
    <n v="221598.48744334912"/>
    <n v="124516.6583567668"/>
  </r>
  <r>
    <s v="Regular"/>
    <x v="4"/>
    <x v="2"/>
    <x v="7"/>
    <x v="8"/>
    <x v="1"/>
    <x v="0"/>
    <x v="1"/>
    <x v="3"/>
    <n v="0"/>
    <n v="0"/>
    <n v="890.44100000000003"/>
    <n v="890.44100000000003"/>
    <n v="890.44100000000003"/>
    <n v="890.44100000000003"/>
    <n v="4"/>
    <x v="1"/>
    <n v="0"/>
    <n v="0"/>
    <n v="68"/>
    <n v="48"/>
    <n v="0"/>
    <n v="186.18"/>
    <n v="123.2"/>
    <m/>
    <n v="229.6735808732725"/>
    <n v="129.05407041861488"/>
    <n v="0"/>
    <n v="165782.30538000001"/>
    <n v="109702.3312"/>
    <n v="0"/>
    <n v="204510.77302637763"/>
    <n v="114915.03551762186"/>
  </r>
  <r>
    <s v="Regular"/>
    <x v="4"/>
    <x v="2"/>
    <x v="7"/>
    <x v="8"/>
    <x v="1"/>
    <x v="0"/>
    <x v="1"/>
    <x v="4"/>
    <n v="0"/>
    <n v="0"/>
    <n v="910.04499999999996"/>
    <n v="910.04499999999996"/>
    <n v="910.04499999999996"/>
    <n v="910.04499999999996"/>
    <n v="4"/>
    <x v="1"/>
    <n v="0"/>
    <n v="0"/>
    <n v="68"/>
    <n v="48"/>
    <n v="0"/>
    <n v="186.18"/>
    <n v="123.2"/>
    <m/>
    <n v="229.6735808732725"/>
    <n v="129.05407041861488"/>
    <n v="0"/>
    <n v="169432.17809999999"/>
    <n v="112117.54399999999"/>
    <n v="0"/>
    <n v="209013.29390581726"/>
    <n v="117445.01151410838"/>
  </r>
  <r>
    <s v="Regular"/>
    <x v="4"/>
    <x v="2"/>
    <x v="7"/>
    <x v="8"/>
    <x v="1"/>
    <x v="0"/>
    <x v="1"/>
    <x v="5"/>
    <n v="0"/>
    <n v="0"/>
    <n v="908.553"/>
    <n v="908.553"/>
    <n v="908.553"/>
    <n v="908.553"/>
    <n v="4"/>
    <x v="1"/>
    <n v="0"/>
    <n v="0"/>
    <n v="68"/>
    <n v="48"/>
    <n v="0"/>
    <n v="186.18"/>
    <n v="123.2"/>
    <m/>
    <n v="229.6735808732725"/>
    <n v="129.05407041861488"/>
    <n v="0"/>
    <n v="169154.39754000001"/>
    <n v="111933.72960000001"/>
    <n v="0"/>
    <n v="208670.62092315435"/>
    <n v="117252.4628410438"/>
  </r>
  <r>
    <s v="Regular"/>
    <x v="4"/>
    <x v="2"/>
    <x v="7"/>
    <x v="8"/>
    <x v="1"/>
    <x v="0"/>
    <x v="1"/>
    <x v="6"/>
    <n v="0"/>
    <n v="0"/>
    <n v="863.87"/>
    <n v="863.87"/>
    <n v="863.87"/>
    <n v="863.87"/>
    <n v="4"/>
    <x v="1"/>
    <n v="0"/>
    <n v="0"/>
    <n v="68"/>
    <n v="48"/>
    <n v="0"/>
    <n v="186.18"/>
    <n v="123.2"/>
    <m/>
    <n v="229.6735808732725"/>
    <n v="129.05407041861488"/>
    <n v="0"/>
    <n v="160835.31660000002"/>
    <n v="106428.784"/>
    <n v="0"/>
    <n v="198408.11630899392"/>
    <n v="111485.93981252884"/>
  </r>
  <r>
    <s v="Regular"/>
    <x v="4"/>
    <x v="2"/>
    <x v="7"/>
    <x v="8"/>
    <x v="1"/>
    <x v="0"/>
    <x v="1"/>
    <x v="7"/>
    <n v="0"/>
    <n v="0"/>
    <n v="943.53700000000003"/>
    <n v="943.53700000000003"/>
    <n v="943.53700000000003"/>
    <n v="943.53700000000003"/>
    <n v="4"/>
    <x v="1"/>
    <n v="0"/>
    <n v="0"/>
    <n v="68"/>
    <n v="48"/>
    <n v="0"/>
    <n v="186.18"/>
    <n v="123.2"/>
    <m/>
    <n v="229.6735808732725"/>
    <n v="129.05407041861488"/>
    <n v="0"/>
    <n v="175667.71866000001"/>
    <n v="116243.75840000001"/>
    <n v="0"/>
    <n v="216705.52147642491"/>
    <n v="121767.29044056864"/>
  </r>
  <r>
    <s v="Regular"/>
    <x v="4"/>
    <x v="2"/>
    <x v="7"/>
    <x v="8"/>
    <x v="1"/>
    <x v="0"/>
    <x v="1"/>
    <x v="8"/>
    <n v="0"/>
    <n v="0"/>
    <n v="984.68299999999999"/>
    <n v="984.68299999999999"/>
    <n v="984.68299999999999"/>
    <n v="984.68299999999999"/>
    <n v="4"/>
    <x v="1"/>
    <n v="0"/>
    <n v="0"/>
    <n v="68"/>
    <n v="48"/>
    <n v="0"/>
    <n v="186.18"/>
    <n v="123.2"/>
    <m/>
    <n v="229.6735808732725"/>
    <n v="129.05407041861488"/>
    <n v="0"/>
    <n v="183328.28094"/>
    <n v="121312.94560000001"/>
    <n v="0"/>
    <n v="226155.67063503657"/>
    <n v="127077.34922201296"/>
  </r>
  <r>
    <s v="Regular"/>
    <x v="4"/>
    <x v="2"/>
    <x v="7"/>
    <x v="8"/>
    <x v="1"/>
    <x v="0"/>
    <x v="1"/>
    <x v="9"/>
    <n v="0"/>
    <n v="0"/>
    <n v="1076.22"/>
    <n v="1076.22"/>
    <n v="1076.22"/>
    <n v="1076.22"/>
    <n v="4"/>
    <x v="1"/>
    <n v="0"/>
    <n v="0"/>
    <n v="68"/>
    <n v="48"/>
    <n v="0"/>
    <n v="186.18"/>
    <n v="123.2"/>
    <m/>
    <n v="229.6735808732725"/>
    <n v="129.05407041861488"/>
    <n v="0"/>
    <n v="200370.63960000002"/>
    <n v="132590.304"/>
    <n v="0"/>
    <n v="247179.30120743334"/>
    <n v="138890.57166592171"/>
  </r>
  <r>
    <s v="Regular"/>
    <x v="4"/>
    <x v="2"/>
    <x v="7"/>
    <x v="8"/>
    <x v="1"/>
    <x v="0"/>
    <x v="1"/>
    <x v="10"/>
    <n v="0"/>
    <n v="0"/>
    <n v="1068.528"/>
    <n v="1068.528"/>
    <n v="1068.528"/>
    <n v="1068.528"/>
    <n v="4"/>
    <x v="1"/>
    <n v="0"/>
    <n v="0"/>
    <n v="68"/>
    <n v="48"/>
    <n v="0"/>
    <n v="186.18"/>
    <n v="123.2"/>
    <m/>
    <n v="229.6735808732725"/>
    <n v="129.05407041861488"/>
    <n v="0"/>
    <n v="198938.54304000002"/>
    <n v="131642.6496"/>
    <n v="0"/>
    <n v="245412.65202335612"/>
    <n v="137897.88775626174"/>
  </r>
  <r>
    <s v="PROJETADO"/>
    <x v="4"/>
    <x v="2"/>
    <x v="7"/>
    <x v="8"/>
    <x v="1"/>
    <x v="0"/>
    <x v="1"/>
    <x v="11"/>
    <n v="0"/>
    <n v="0"/>
    <n v="1068.528"/>
    <n v="1068.528"/>
    <n v="1068.528"/>
    <n v="1068.528"/>
    <n v="4"/>
    <x v="1"/>
    <n v="0"/>
    <n v="0"/>
    <n v="68"/>
    <n v="48"/>
    <n v="0"/>
    <n v="186.18"/>
    <n v="123.2"/>
    <m/>
    <n v="229.6735808732725"/>
    <n v="129.05407041861488"/>
    <n v="0"/>
    <n v="198938.54304000002"/>
    <n v="131642.6496"/>
    <n v="0"/>
    <n v="245412.65202335612"/>
    <n v="137897.8877562617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6">
  <r>
    <s v="Regular"/>
    <x v="0"/>
    <x v="0"/>
    <x v="0"/>
    <x v="0"/>
    <x v="0"/>
    <x v="0"/>
    <x v="0"/>
    <x v="0"/>
    <n v="2514"/>
    <n v="1257"/>
    <n v="0"/>
    <n v="0"/>
    <n v="0"/>
    <n v="0"/>
    <n v="0"/>
    <s v="LIVRE"/>
    <n v="0"/>
    <n v="1"/>
    <n v="0"/>
    <n v="0"/>
    <n v="22.9"/>
    <n v="0"/>
    <n v="0"/>
    <n v="21.733731888847863"/>
    <n v="117.83242038312405"/>
    <m/>
    <n v="28785.3"/>
    <n v="0"/>
    <n v="27319.300984281763"/>
    <n v="0"/>
    <x v="0"/>
  </r>
  <r>
    <s v="Regular"/>
    <x v="0"/>
    <x v="0"/>
    <x v="0"/>
    <x v="0"/>
    <x v="0"/>
    <x v="0"/>
    <x v="0"/>
    <x v="1"/>
    <n v="2432"/>
    <n v="1216"/>
    <n v="0"/>
    <n v="0"/>
    <n v="0"/>
    <n v="0"/>
    <n v="0"/>
    <s v="LIVRE"/>
    <n v="0"/>
    <n v="1"/>
    <n v="0"/>
    <n v="0"/>
    <n v="22.9"/>
    <n v="0"/>
    <n v="0"/>
    <n v="21.733731888847863"/>
    <n v="117.83242038312405"/>
    <m/>
    <n v="27846.399999999998"/>
    <n v="0"/>
    <n v="26428.217976839001"/>
    <n v="0"/>
    <x v="0"/>
  </r>
  <r>
    <s v="Regular"/>
    <x v="0"/>
    <x v="0"/>
    <x v="0"/>
    <x v="0"/>
    <x v="0"/>
    <x v="0"/>
    <x v="0"/>
    <x v="2"/>
    <n v="2500"/>
    <n v="1250"/>
    <n v="0"/>
    <n v="0"/>
    <n v="0"/>
    <n v="0"/>
    <n v="0"/>
    <s v="LIVRE"/>
    <n v="0"/>
    <n v="1"/>
    <n v="0"/>
    <n v="0"/>
    <n v="22.9"/>
    <n v="0"/>
    <n v="0"/>
    <n v="21.733731888847863"/>
    <n v="117.83242038312405"/>
    <m/>
    <n v="28625"/>
    <n v="0"/>
    <n v="27167.164861059828"/>
    <n v="0"/>
    <x v="0"/>
  </r>
  <r>
    <s v="Regular"/>
    <x v="0"/>
    <x v="0"/>
    <x v="0"/>
    <x v="0"/>
    <x v="0"/>
    <x v="0"/>
    <x v="0"/>
    <x v="3"/>
    <n v="2623"/>
    <n v="1311.5"/>
    <n v="0"/>
    <n v="0"/>
    <n v="0"/>
    <n v="0"/>
    <n v="0"/>
    <s v="LIVRE"/>
    <n v="0"/>
    <n v="1"/>
    <n v="0"/>
    <n v="0"/>
    <n v="22.9"/>
    <n v="0"/>
    <n v="0"/>
    <n v="21.733731888847863"/>
    <n v="117.83242038312405"/>
    <m/>
    <n v="30033.35"/>
    <n v="0"/>
    <n v="28503.789372223971"/>
    <n v="0"/>
    <x v="0"/>
  </r>
  <r>
    <s v="Regular"/>
    <x v="0"/>
    <x v="0"/>
    <x v="0"/>
    <x v="0"/>
    <x v="0"/>
    <x v="0"/>
    <x v="0"/>
    <x v="4"/>
    <n v="2533"/>
    <n v="1266.5"/>
    <n v="0"/>
    <n v="0"/>
    <n v="0"/>
    <n v="0"/>
    <n v="0"/>
    <s v="LIVRE"/>
    <n v="0"/>
    <n v="1"/>
    <n v="0"/>
    <n v="0"/>
    <n v="22.9"/>
    <n v="0"/>
    <n v="0"/>
    <n v="21.733731888847863"/>
    <n v="117.83242038312405"/>
    <m/>
    <n v="29002.85"/>
    <n v="0"/>
    <n v="27525.77143722582"/>
    <n v="0"/>
    <x v="0"/>
  </r>
  <r>
    <s v="Regular"/>
    <x v="0"/>
    <x v="0"/>
    <x v="0"/>
    <x v="0"/>
    <x v="0"/>
    <x v="0"/>
    <x v="0"/>
    <x v="5"/>
    <n v="2500"/>
    <n v="1250"/>
    <n v="0"/>
    <n v="0"/>
    <n v="0"/>
    <n v="0"/>
    <n v="0"/>
    <s v="LIVRE"/>
    <n v="0"/>
    <n v="1"/>
    <n v="0"/>
    <n v="0"/>
    <n v="22.9"/>
    <n v="0"/>
    <n v="0"/>
    <n v="21.733731888847863"/>
    <n v="117.83242038312405"/>
    <m/>
    <n v="28625"/>
    <n v="0"/>
    <n v="27167.164861059828"/>
    <n v="0"/>
    <x v="0"/>
  </r>
  <r>
    <s v="Regular"/>
    <x v="0"/>
    <x v="0"/>
    <x v="0"/>
    <x v="0"/>
    <x v="0"/>
    <x v="0"/>
    <x v="0"/>
    <x v="6"/>
    <n v="2500"/>
    <n v="1250"/>
    <n v="0"/>
    <n v="0"/>
    <n v="0"/>
    <n v="0"/>
    <n v="0"/>
    <s v="LIVRE"/>
    <n v="0"/>
    <n v="1"/>
    <n v="0"/>
    <n v="0"/>
    <n v="22.9"/>
    <n v="0"/>
    <n v="0"/>
    <n v="21.733731888847863"/>
    <n v="117.83242038312405"/>
    <m/>
    <n v="28625"/>
    <n v="0"/>
    <n v="27167.164861059828"/>
    <n v="0"/>
    <x v="0"/>
  </r>
  <r>
    <s v="Regular"/>
    <x v="0"/>
    <x v="0"/>
    <x v="0"/>
    <x v="0"/>
    <x v="0"/>
    <x v="0"/>
    <x v="0"/>
    <x v="7"/>
    <n v="2061"/>
    <n v="1030.5"/>
    <n v="0"/>
    <n v="0"/>
    <n v="0"/>
    <n v="0"/>
    <n v="0"/>
    <s v="LIVRE"/>
    <n v="0"/>
    <n v="1"/>
    <n v="0"/>
    <n v="0"/>
    <n v="22.9"/>
    <n v="0"/>
    <n v="0"/>
    <n v="21.733731888847863"/>
    <n v="117.83242038312405"/>
    <m/>
    <n v="23598.449999999997"/>
    <n v="0"/>
    <n v="22396.610711457724"/>
    <n v="0"/>
    <x v="0"/>
  </r>
  <r>
    <s v="Regular"/>
    <x v="0"/>
    <x v="0"/>
    <x v="0"/>
    <x v="0"/>
    <x v="0"/>
    <x v="0"/>
    <x v="0"/>
    <x v="8"/>
    <n v="2421"/>
    <n v="1210.5"/>
    <n v="0"/>
    <n v="0"/>
    <n v="0"/>
    <n v="0"/>
    <n v="0"/>
    <s v="LIVRE"/>
    <n v="0"/>
    <n v="1"/>
    <n v="0"/>
    <n v="0"/>
    <n v="22.9"/>
    <n v="0"/>
    <n v="0"/>
    <n v="21.733731888847863"/>
    <n v="117.83242038312405"/>
    <m/>
    <n v="27720.449999999997"/>
    <n v="0"/>
    <n v="26308.682451450339"/>
    <n v="0"/>
    <x v="0"/>
  </r>
  <r>
    <s v="Regular"/>
    <x v="0"/>
    <x v="0"/>
    <x v="0"/>
    <x v="0"/>
    <x v="0"/>
    <x v="0"/>
    <x v="0"/>
    <x v="9"/>
    <n v="2500"/>
    <n v="1250"/>
    <n v="0"/>
    <n v="0"/>
    <n v="0"/>
    <n v="0"/>
    <n v="0"/>
    <s v="LIVRE"/>
    <n v="0"/>
    <n v="1"/>
    <n v="0"/>
    <n v="0"/>
    <n v="22.9"/>
    <n v="0"/>
    <n v="0"/>
    <n v="21.733731888847863"/>
    <n v="117.83242038312405"/>
    <m/>
    <n v="28625"/>
    <n v="0"/>
    <n v="27167.164861059828"/>
    <n v="0"/>
    <x v="0"/>
  </r>
  <r>
    <s v="Regular"/>
    <x v="0"/>
    <x v="0"/>
    <x v="0"/>
    <x v="0"/>
    <x v="0"/>
    <x v="0"/>
    <x v="0"/>
    <x v="10"/>
    <n v="2500"/>
    <n v="1250"/>
    <n v="0"/>
    <n v="0"/>
    <n v="0"/>
    <n v="0"/>
    <n v="0"/>
    <s v="LIVRE"/>
    <n v="0"/>
    <n v="1"/>
    <n v="0"/>
    <n v="0"/>
    <n v="22.9"/>
    <n v="0"/>
    <n v="0"/>
    <n v="21.733731888847863"/>
    <n v="117.83242038312405"/>
    <m/>
    <n v="28625"/>
    <n v="0"/>
    <n v="27167.164861059828"/>
    <n v="0"/>
    <x v="0"/>
  </r>
  <r>
    <s v="PROJETADO"/>
    <x v="0"/>
    <x v="0"/>
    <x v="0"/>
    <x v="0"/>
    <x v="0"/>
    <x v="0"/>
    <x v="0"/>
    <x v="11"/>
    <n v="2500"/>
    <n v="1250"/>
    <n v="0"/>
    <n v="0"/>
    <n v="0"/>
    <n v="0"/>
    <n v="0"/>
    <s v="LIVRE"/>
    <n v="0"/>
    <n v="1"/>
    <n v="0"/>
    <n v="0"/>
    <n v="22.9"/>
    <n v="0"/>
    <n v="0"/>
    <n v="21.733731888847863"/>
    <n v="117.83242038312405"/>
    <m/>
    <n v="28625"/>
    <n v="0"/>
    <n v="27167.164861059828"/>
    <n v="0"/>
    <x v="0"/>
  </r>
  <r>
    <s v="Regular"/>
    <x v="0"/>
    <x v="0"/>
    <x v="0"/>
    <x v="0"/>
    <x v="0"/>
    <x v="0"/>
    <x v="1"/>
    <x v="0"/>
    <n v="0"/>
    <n v="0"/>
    <n v="1047.816"/>
    <n v="1047.816"/>
    <n v="0"/>
    <n v="0"/>
    <n v="1"/>
    <s v="LIVRE"/>
    <n v="0"/>
    <n v="0"/>
    <n v="27"/>
    <n v="0"/>
    <n v="0"/>
    <n v="73.19"/>
    <n v="0"/>
    <m/>
    <n v="117.83242038312405"/>
    <m/>
    <n v="0"/>
    <n v="0"/>
    <n v="0"/>
    <n v="0"/>
    <x v="0"/>
  </r>
  <r>
    <s v="Regular"/>
    <x v="0"/>
    <x v="0"/>
    <x v="0"/>
    <x v="0"/>
    <x v="0"/>
    <x v="0"/>
    <x v="1"/>
    <x v="1"/>
    <n v="0"/>
    <n v="0"/>
    <n v="1103.0350000000001"/>
    <n v="1103.0350000000001"/>
    <n v="0"/>
    <n v="0"/>
    <n v="1"/>
    <s v="LIVRE"/>
    <n v="0"/>
    <n v="0"/>
    <n v="27"/>
    <n v="0"/>
    <n v="0"/>
    <n v="73.19"/>
    <n v="0"/>
    <m/>
    <n v="117.83242038312405"/>
    <m/>
    <n v="0"/>
    <n v="0"/>
    <n v="0"/>
    <n v="0"/>
    <x v="0"/>
  </r>
  <r>
    <s v="Regular"/>
    <x v="0"/>
    <x v="0"/>
    <x v="0"/>
    <x v="0"/>
    <x v="0"/>
    <x v="0"/>
    <x v="1"/>
    <x v="2"/>
    <n v="0"/>
    <n v="0"/>
    <n v="833.274"/>
    <n v="833.274"/>
    <n v="0"/>
    <n v="0"/>
    <n v="1"/>
    <s v="LIVRE"/>
    <n v="0"/>
    <n v="0"/>
    <n v="27"/>
    <n v="0"/>
    <n v="0"/>
    <n v="73.19"/>
    <n v="0"/>
    <m/>
    <n v="117.83242038312405"/>
    <m/>
    <n v="0"/>
    <n v="0"/>
    <n v="0"/>
    <n v="0"/>
    <x v="0"/>
  </r>
  <r>
    <s v="Regular"/>
    <x v="0"/>
    <x v="0"/>
    <x v="0"/>
    <x v="0"/>
    <x v="0"/>
    <x v="0"/>
    <x v="1"/>
    <x v="3"/>
    <n v="0"/>
    <n v="0"/>
    <n v="1142.8879999999999"/>
    <n v="1142.8879999999999"/>
    <n v="0"/>
    <n v="0"/>
    <n v="1"/>
    <s v="LIVRE"/>
    <n v="0"/>
    <n v="0"/>
    <n v="27"/>
    <n v="0"/>
    <n v="0"/>
    <n v="73.19"/>
    <n v="0"/>
    <m/>
    <n v="117.83242038312405"/>
    <m/>
    <n v="0"/>
    <n v="0"/>
    <n v="0"/>
    <n v="0"/>
    <x v="0"/>
  </r>
  <r>
    <s v="Regular"/>
    <x v="0"/>
    <x v="0"/>
    <x v="0"/>
    <x v="0"/>
    <x v="0"/>
    <x v="0"/>
    <x v="1"/>
    <x v="4"/>
    <n v="0"/>
    <n v="0"/>
    <n v="967.81600000000003"/>
    <n v="967.81600000000003"/>
    <n v="0"/>
    <n v="0"/>
    <n v="1"/>
    <s v="LIVRE"/>
    <n v="0"/>
    <n v="0"/>
    <n v="27"/>
    <n v="0"/>
    <n v="0"/>
    <n v="73.19"/>
    <n v="0"/>
    <m/>
    <n v="117.83242038312405"/>
    <m/>
    <n v="0"/>
    <n v="0"/>
    <n v="0"/>
    <n v="0"/>
    <x v="0"/>
  </r>
  <r>
    <s v="Regular"/>
    <x v="0"/>
    <x v="0"/>
    <x v="0"/>
    <x v="0"/>
    <x v="0"/>
    <x v="0"/>
    <x v="1"/>
    <x v="5"/>
    <n v="0"/>
    <n v="0"/>
    <n v="829.04499999999996"/>
    <n v="829.04499999999996"/>
    <n v="0"/>
    <n v="0"/>
    <n v="1"/>
    <s v="LIVRE"/>
    <n v="0"/>
    <n v="0"/>
    <n v="27"/>
    <n v="0"/>
    <n v="0"/>
    <n v="73.19"/>
    <n v="0"/>
    <m/>
    <n v="117.83242038312405"/>
    <m/>
    <n v="0"/>
    <n v="0"/>
    <n v="0"/>
    <n v="0"/>
    <x v="0"/>
  </r>
  <r>
    <s v="Regular"/>
    <x v="0"/>
    <x v="0"/>
    <x v="0"/>
    <x v="0"/>
    <x v="0"/>
    <x v="0"/>
    <x v="1"/>
    <x v="6"/>
    <n v="0"/>
    <n v="0"/>
    <n v="770.24199999999996"/>
    <n v="770.24199999999996"/>
    <n v="0"/>
    <n v="0"/>
    <n v="1"/>
    <s v="LIVRE"/>
    <n v="0"/>
    <n v="0"/>
    <n v="27"/>
    <n v="0"/>
    <n v="0"/>
    <n v="73.19"/>
    <n v="0"/>
    <m/>
    <n v="117.83242038312405"/>
    <m/>
    <n v="0"/>
    <n v="0"/>
    <n v="0"/>
    <n v="0"/>
    <x v="0"/>
  </r>
  <r>
    <s v="Regular"/>
    <x v="0"/>
    <x v="0"/>
    <x v="0"/>
    <x v="0"/>
    <x v="0"/>
    <x v="0"/>
    <x v="1"/>
    <x v="7"/>
    <n v="0"/>
    <n v="0"/>
    <n v="790.34799999999996"/>
    <n v="790.34799999999996"/>
    <n v="0"/>
    <n v="0"/>
    <n v="1"/>
    <s v="LIVRE"/>
    <n v="0"/>
    <n v="0"/>
    <n v="27"/>
    <n v="0"/>
    <n v="0"/>
    <n v="73.19"/>
    <n v="0"/>
    <m/>
    <n v="117.83242038312405"/>
    <m/>
    <n v="0"/>
    <n v="0"/>
    <n v="0"/>
    <n v="0"/>
    <x v="0"/>
  </r>
  <r>
    <s v="Regular"/>
    <x v="0"/>
    <x v="0"/>
    <x v="0"/>
    <x v="0"/>
    <x v="0"/>
    <x v="0"/>
    <x v="1"/>
    <x v="8"/>
    <n v="0"/>
    <n v="0"/>
    <n v="945.61"/>
    <n v="945.61"/>
    <n v="0"/>
    <n v="0"/>
    <n v="1"/>
    <s v="LIVRE"/>
    <n v="0"/>
    <n v="0"/>
    <n v="27"/>
    <n v="0"/>
    <n v="0"/>
    <n v="73.19"/>
    <n v="0"/>
    <m/>
    <n v="117.83242038312405"/>
    <m/>
    <n v="0"/>
    <n v="0"/>
    <n v="0"/>
    <n v="0"/>
    <x v="0"/>
  </r>
  <r>
    <s v="Regular"/>
    <x v="0"/>
    <x v="0"/>
    <x v="0"/>
    <x v="0"/>
    <x v="0"/>
    <x v="0"/>
    <x v="1"/>
    <x v="9"/>
    <n v="0"/>
    <n v="0"/>
    <n v="1069.9860000000001"/>
    <n v="1069.9860000000001"/>
    <n v="0"/>
    <n v="0"/>
    <n v="1"/>
    <s v="LIVRE"/>
    <n v="0"/>
    <n v="0"/>
    <n v="27"/>
    <n v="0"/>
    <n v="0"/>
    <n v="73.19"/>
    <n v="0"/>
    <m/>
    <n v="117.83242038312405"/>
    <m/>
    <n v="0"/>
    <n v="0"/>
    <n v="0"/>
    <n v="0"/>
    <x v="0"/>
  </r>
  <r>
    <s v="Regular"/>
    <x v="0"/>
    <x v="0"/>
    <x v="0"/>
    <x v="0"/>
    <x v="0"/>
    <x v="0"/>
    <x v="1"/>
    <x v="10"/>
    <n v="0"/>
    <n v="0"/>
    <n v="838.41700000000003"/>
    <n v="838.41700000000003"/>
    <n v="0"/>
    <n v="0"/>
    <n v="1"/>
    <s v="LIVRE"/>
    <n v="0"/>
    <n v="0"/>
    <n v="27"/>
    <n v="0"/>
    <n v="0"/>
    <n v="73.19"/>
    <n v="0"/>
    <m/>
    <n v="117.83242038312405"/>
    <m/>
    <n v="0"/>
    <n v="0"/>
    <n v="0"/>
    <n v="0"/>
    <x v="0"/>
  </r>
  <r>
    <s v="PROJETADO"/>
    <x v="0"/>
    <x v="0"/>
    <x v="0"/>
    <x v="0"/>
    <x v="0"/>
    <x v="0"/>
    <x v="1"/>
    <x v="11"/>
    <n v="0"/>
    <n v="0"/>
    <n v="838.41700000000003"/>
    <n v="838.41700000000003"/>
    <n v="0"/>
    <n v="0"/>
    <n v="1"/>
    <s v="LIVRE"/>
    <n v="0"/>
    <n v="0"/>
    <n v="27"/>
    <n v="0"/>
    <n v="0"/>
    <n v="73.19"/>
    <n v="0"/>
    <m/>
    <n v="117.83242038312405"/>
    <m/>
    <n v="0"/>
    <n v="0"/>
    <n v="0"/>
    <n v="0"/>
    <x v="0"/>
  </r>
  <r>
    <s v="Regular"/>
    <x v="0"/>
    <x v="0"/>
    <x v="0"/>
    <x v="0"/>
    <x v="0"/>
    <x v="0"/>
    <x v="2"/>
    <x v="0"/>
    <n v="121"/>
    <n v="60.5"/>
    <n v="0"/>
    <n v="0"/>
    <n v="0"/>
    <n v="0"/>
    <n v="0"/>
    <s v="LIVRE"/>
    <n v="0"/>
    <n v="7"/>
    <n v="0"/>
    <n v="0"/>
    <n v="59.47"/>
    <n v="0"/>
    <n v="0"/>
    <n v="56.480448697803254"/>
    <n v="117.83242038312405"/>
    <m/>
    <n v="3597.9349999999999"/>
    <n v="0"/>
    <n v="3417.0671462170967"/>
    <n v="0"/>
    <x v="0"/>
  </r>
  <r>
    <s v="Regular"/>
    <x v="0"/>
    <x v="0"/>
    <x v="0"/>
    <x v="0"/>
    <x v="0"/>
    <x v="0"/>
    <x v="2"/>
    <x v="1"/>
    <n v="123"/>
    <n v="61.5"/>
    <n v="0"/>
    <n v="0"/>
    <n v="0"/>
    <n v="0"/>
    <n v="0"/>
    <s v="LIVRE"/>
    <n v="0"/>
    <n v="7"/>
    <n v="0"/>
    <n v="0"/>
    <n v="59.47"/>
    <n v="0"/>
    <n v="0"/>
    <n v="56.480448697803254"/>
    <n v="117.83242038312405"/>
    <m/>
    <n v="3657.4049999999997"/>
    <n v="0"/>
    <n v="3473.5475949148999"/>
    <n v="0"/>
    <x v="0"/>
  </r>
  <r>
    <s v="Regular"/>
    <x v="0"/>
    <x v="0"/>
    <x v="0"/>
    <x v="0"/>
    <x v="0"/>
    <x v="0"/>
    <x v="2"/>
    <x v="2"/>
    <n v="110"/>
    <n v="55"/>
    <n v="0"/>
    <n v="0"/>
    <n v="0"/>
    <n v="0"/>
    <n v="0"/>
    <s v="LIVRE"/>
    <n v="0"/>
    <n v="7"/>
    <n v="0"/>
    <n v="0"/>
    <n v="59.47"/>
    <n v="0"/>
    <n v="0"/>
    <n v="56.480448697803254"/>
    <n v="117.83242038312405"/>
    <m/>
    <n v="3270.85"/>
    <n v="0"/>
    <n v="3106.4246783791791"/>
    <n v="0"/>
    <x v="0"/>
  </r>
  <r>
    <s v="Regular"/>
    <x v="0"/>
    <x v="0"/>
    <x v="0"/>
    <x v="0"/>
    <x v="0"/>
    <x v="0"/>
    <x v="2"/>
    <x v="3"/>
    <n v="110"/>
    <n v="55"/>
    <n v="0"/>
    <n v="0"/>
    <n v="0"/>
    <n v="0"/>
    <n v="0"/>
    <s v="LIVRE"/>
    <n v="0"/>
    <n v="7"/>
    <n v="0"/>
    <n v="0"/>
    <n v="59.47"/>
    <n v="0"/>
    <n v="0"/>
    <n v="56.480448697803254"/>
    <n v="117.83242038312405"/>
    <m/>
    <n v="3270.85"/>
    <n v="0"/>
    <n v="3106.4246783791791"/>
    <n v="0"/>
    <x v="0"/>
  </r>
  <r>
    <s v="Regular"/>
    <x v="0"/>
    <x v="0"/>
    <x v="0"/>
    <x v="0"/>
    <x v="0"/>
    <x v="0"/>
    <x v="2"/>
    <x v="4"/>
    <n v="110"/>
    <n v="55"/>
    <n v="0"/>
    <n v="0"/>
    <n v="0"/>
    <n v="0"/>
    <n v="0"/>
    <s v="LIVRE"/>
    <n v="0"/>
    <n v="7"/>
    <n v="0"/>
    <n v="0"/>
    <n v="59.47"/>
    <n v="0"/>
    <n v="0"/>
    <n v="56.480448697803254"/>
    <n v="117.83242038312405"/>
    <m/>
    <n v="3270.85"/>
    <n v="0"/>
    <n v="3106.4246783791791"/>
    <n v="0"/>
    <x v="0"/>
  </r>
  <r>
    <s v="Regular"/>
    <x v="0"/>
    <x v="0"/>
    <x v="0"/>
    <x v="0"/>
    <x v="0"/>
    <x v="0"/>
    <x v="2"/>
    <x v="5"/>
    <n v="110"/>
    <n v="55"/>
    <n v="0"/>
    <n v="0"/>
    <n v="0"/>
    <n v="0"/>
    <n v="0"/>
    <s v="LIVRE"/>
    <n v="0"/>
    <n v="7"/>
    <n v="0"/>
    <n v="0"/>
    <n v="59.47"/>
    <n v="0"/>
    <n v="0"/>
    <n v="56.480448697803254"/>
    <n v="117.83242038312405"/>
    <m/>
    <n v="3270.85"/>
    <n v="0"/>
    <n v="3106.4246783791791"/>
    <n v="0"/>
    <x v="0"/>
  </r>
  <r>
    <s v="Regular"/>
    <x v="0"/>
    <x v="0"/>
    <x v="0"/>
    <x v="0"/>
    <x v="0"/>
    <x v="0"/>
    <x v="2"/>
    <x v="6"/>
    <n v="110"/>
    <n v="55"/>
    <n v="0"/>
    <n v="0"/>
    <n v="0"/>
    <n v="0"/>
    <n v="0"/>
    <s v="LIVRE"/>
    <n v="0"/>
    <n v="7"/>
    <n v="0"/>
    <n v="0"/>
    <n v="59.47"/>
    <n v="0"/>
    <n v="0"/>
    <n v="56.480448697803254"/>
    <n v="117.83242038312405"/>
    <m/>
    <n v="3270.85"/>
    <n v="0"/>
    <n v="3106.4246783791791"/>
    <n v="0"/>
    <x v="0"/>
  </r>
  <r>
    <s v="Regular"/>
    <x v="0"/>
    <x v="0"/>
    <x v="0"/>
    <x v="0"/>
    <x v="0"/>
    <x v="0"/>
    <x v="2"/>
    <x v="7"/>
    <n v="110"/>
    <n v="55"/>
    <n v="0"/>
    <n v="0"/>
    <n v="0"/>
    <n v="0"/>
    <n v="0"/>
    <s v="LIVRE"/>
    <n v="0"/>
    <n v="7"/>
    <n v="0"/>
    <n v="0"/>
    <n v="59.47"/>
    <n v="0"/>
    <n v="0"/>
    <n v="56.480448697803254"/>
    <n v="117.83242038312405"/>
    <m/>
    <n v="3270.85"/>
    <n v="0"/>
    <n v="3106.4246783791791"/>
    <n v="0"/>
    <x v="0"/>
  </r>
  <r>
    <s v="Regular"/>
    <x v="0"/>
    <x v="0"/>
    <x v="0"/>
    <x v="0"/>
    <x v="0"/>
    <x v="0"/>
    <x v="2"/>
    <x v="8"/>
    <n v="110"/>
    <n v="55"/>
    <n v="0"/>
    <n v="0"/>
    <n v="0"/>
    <n v="0"/>
    <n v="0"/>
    <s v="LIVRE"/>
    <n v="0"/>
    <n v="7"/>
    <n v="0"/>
    <n v="0"/>
    <n v="59.47"/>
    <n v="0"/>
    <n v="0"/>
    <n v="56.480448697803254"/>
    <n v="117.83242038312405"/>
    <m/>
    <n v="3270.85"/>
    <n v="0"/>
    <n v="3106.4246783791791"/>
    <n v="0"/>
    <x v="0"/>
  </r>
  <r>
    <s v="Regular"/>
    <x v="0"/>
    <x v="0"/>
    <x v="0"/>
    <x v="0"/>
    <x v="0"/>
    <x v="0"/>
    <x v="2"/>
    <x v="9"/>
    <n v="110"/>
    <n v="55"/>
    <n v="0"/>
    <n v="0"/>
    <n v="0"/>
    <n v="0"/>
    <n v="0"/>
    <s v="LIVRE"/>
    <n v="0"/>
    <n v="7"/>
    <n v="0"/>
    <n v="0"/>
    <n v="59.47"/>
    <n v="0"/>
    <n v="0"/>
    <n v="56.480448697803254"/>
    <n v="117.83242038312405"/>
    <m/>
    <n v="3270.85"/>
    <n v="0"/>
    <n v="3106.4246783791791"/>
    <n v="0"/>
    <x v="0"/>
  </r>
  <r>
    <s v="Regular"/>
    <x v="0"/>
    <x v="0"/>
    <x v="0"/>
    <x v="0"/>
    <x v="0"/>
    <x v="0"/>
    <x v="2"/>
    <x v="10"/>
    <n v="110"/>
    <n v="55"/>
    <n v="0"/>
    <n v="0"/>
    <n v="0"/>
    <n v="0"/>
    <n v="0"/>
    <s v="LIVRE"/>
    <n v="0"/>
    <n v="7"/>
    <n v="0"/>
    <n v="0"/>
    <n v="59.47"/>
    <n v="0"/>
    <n v="0"/>
    <n v="56.480448697803254"/>
    <n v="117.83242038312405"/>
    <m/>
    <n v="3270.85"/>
    <n v="0"/>
    <n v="3106.4246783791791"/>
    <n v="0"/>
    <x v="0"/>
  </r>
  <r>
    <s v="PROJETADO"/>
    <x v="0"/>
    <x v="0"/>
    <x v="0"/>
    <x v="0"/>
    <x v="0"/>
    <x v="0"/>
    <x v="2"/>
    <x v="11"/>
    <n v="110"/>
    <n v="55"/>
    <n v="0"/>
    <n v="0"/>
    <n v="0"/>
    <n v="0"/>
    <n v="0"/>
    <s v="LIVRE"/>
    <n v="0"/>
    <n v="7"/>
    <n v="0"/>
    <n v="0"/>
    <n v="59.47"/>
    <n v="0"/>
    <n v="0"/>
    <n v="56.480448697803254"/>
    <n v="117.83242038312405"/>
    <m/>
    <n v="3270.85"/>
    <n v="0"/>
    <n v="3106.4246783791791"/>
    <n v="0"/>
    <x v="0"/>
  </r>
  <r>
    <s v="Regular"/>
    <x v="0"/>
    <x v="1"/>
    <x v="0"/>
    <x v="0"/>
    <x v="0"/>
    <x v="0"/>
    <x v="0"/>
    <x v="0"/>
    <n v="0"/>
    <n v="0"/>
    <n v="2685.5039999999999"/>
    <n v="2685.5039999999999"/>
    <n v="0"/>
    <n v="0"/>
    <n v="0"/>
    <s v="LIVRE"/>
    <n v="0"/>
    <n v="0"/>
    <n v="18"/>
    <n v="0"/>
    <n v="0"/>
    <n v="73.19"/>
    <n v="0"/>
    <m/>
    <n v="117.83242038312405"/>
    <m/>
    <n v="0"/>
    <n v="0"/>
    <n v="0"/>
    <n v="0"/>
    <x v="0"/>
  </r>
  <r>
    <s v="Regular"/>
    <x v="0"/>
    <x v="1"/>
    <x v="0"/>
    <x v="0"/>
    <x v="0"/>
    <x v="0"/>
    <x v="0"/>
    <x v="1"/>
    <n v="0"/>
    <n v="0"/>
    <n v="2733.4639999999999"/>
    <n v="2733.4639999999999"/>
    <n v="0"/>
    <n v="0"/>
    <n v="0"/>
    <s v="LIVRE"/>
    <n v="0"/>
    <n v="0"/>
    <n v="18"/>
    <n v="0"/>
    <n v="0"/>
    <n v="73.19"/>
    <n v="0"/>
    <m/>
    <n v="117.83242038312405"/>
    <m/>
    <n v="0"/>
    <n v="0"/>
    <n v="0"/>
    <n v="0"/>
    <x v="0"/>
  </r>
  <r>
    <s v="Regular"/>
    <x v="0"/>
    <x v="1"/>
    <x v="0"/>
    <x v="0"/>
    <x v="0"/>
    <x v="0"/>
    <x v="0"/>
    <x v="2"/>
    <n v="0"/>
    <n v="0"/>
    <n v="2712.8209999999999"/>
    <n v="2712.8209999999999"/>
    <n v="0"/>
    <n v="0"/>
    <n v="0"/>
    <s v="LIVRE"/>
    <n v="0"/>
    <n v="0"/>
    <n v="18"/>
    <n v="0"/>
    <n v="0"/>
    <n v="73.19"/>
    <n v="0"/>
    <m/>
    <n v="117.83242038312405"/>
    <m/>
    <n v="0"/>
    <n v="0"/>
    <n v="0"/>
    <n v="0"/>
    <x v="0"/>
  </r>
  <r>
    <s v="Regular"/>
    <x v="0"/>
    <x v="1"/>
    <x v="0"/>
    <x v="0"/>
    <x v="0"/>
    <x v="0"/>
    <x v="0"/>
    <x v="3"/>
    <n v="0"/>
    <n v="0"/>
    <n v="2704.5920000000001"/>
    <n v="2704.5920000000001"/>
    <n v="0"/>
    <n v="0"/>
    <n v="0"/>
    <s v="LIVRE"/>
    <n v="0"/>
    <n v="0"/>
    <n v="18"/>
    <n v="0"/>
    <n v="0"/>
    <n v="73.19"/>
    <n v="0"/>
    <m/>
    <n v="117.83242038312405"/>
    <m/>
    <n v="0"/>
    <n v="0"/>
    <n v="0"/>
    <n v="0"/>
    <x v="0"/>
  </r>
  <r>
    <s v="Regular"/>
    <x v="0"/>
    <x v="1"/>
    <x v="0"/>
    <x v="0"/>
    <x v="0"/>
    <x v="0"/>
    <x v="0"/>
    <x v="4"/>
    <n v="0"/>
    <n v="0"/>
    <n v="2656.8690000000001"/>
    <n v="2656.8690000000001"/>
    <n v="0"/>
    <n v="0"/>
    <n v="0"/>
    <s v="LIVRE"/>
    <n v="0"/>
    <n v="0"/>
    <n v="18"/>
    <n v="0"/>
    <n v="0"/>
    <n v="73.19"/>
    <n v="0"/>
    <m/>
    <n v="117.83242038312405"/>
    <m/>
    <n v="0"/>
    <n v="0"/>
    <n v="0"/>
    <n v="0"/>
    <x v="0"/>
  </r>
  <r>
    <s v="Regular"/>
    <x v="0"/>
    <x v="1"/>
    <x v="0"/>
    <x v="0"/>
    <x v="0"/>
    <x v="0"/>
    <x v="0"/>
    <x v="5"/>
    <n v="0"/>
    <n v="0"/>
    <n v="2634.998"/>
    <n v="2634.998"/>
    <n v="0"/>
    <n v="0"/>
    <n v="0"/>
    <s v="LIVRE"/>
    <n v="0"/>
    <n v="0"/>
    <n v="18"/>
    <n v="0"/>
    <n v="0"/>
    <n v="73.19"/>
    <n v="0"/>
    <m/>
    <n v="117.83242038312405"/>
    <m/>
    <n v="0"/>
    <n v="0"/>
    <n v="0"/>
    <n v="0"/>
    <x v="0"/>
  </r>
  <r>
    <s v="Regular"/>
    <x v="0"/>
    <x v="1"/>
    <x v="0"/>
    <x v="0"/>
    <x v="0"/>
    <x v="0"/>
    <x v="0"/>
    <x v="6"/>
    <n v="0"/>
    <n v="0"/>
    <n v="2436.9760000000001"/>
    <n v="2436.9760000000001"/>
    <n v="0"/>
    <n v="0"/>
    <n v="0"/>
    <s v="LIVRE"/>
    <n v="0"/>
    <n v="0"/>
    <n v="18"/>
    <n v="0"/>
    <n v="0"/>
    <n v="73.19"/>
    <n v="0"/>
    <m/>
    <n v="117.83242038312405"/>
    <m/>
    <n v="0"/>
    <n v="0"/>
    <n v="0"/>
    <n v="0"/>
    <x v="0"/>
  </r>
  <r>
    <s v="Regular"/>
    <x v="0"/>
    <x v="1"/>
    <x v="0"/>
    <x v="0"/>
    <x v="0"/>
    <x v="0"/>
    <x v="0"/>
    <x v="7"/>
    <n v="0"/>
    <n v="0"/>
    <n v="2841.8339999999998"/>
    <n v="2841.8339999999998"/>
    <n v="0"/>
    <n v="0"/>
    <n v="0"/>
    <s v="LIVRE"/>
    <n v="0"/>
    <n v="0"/>
    <n v="18"/>
    <n v="0"/>
    <n v="0"/>
    <n v="73.19"/>
    <n v="0"/>
    <m/>
    <n v="117.83242038312405"/>
    <m/>
    <n v="0"/>
    <n v="0"/>
    <n v="0"/>
    <n v="0"/>
    <x v="0"/>
  </r>
  <r>
    <s v="Regular"/>
    <x v="0"/>
    <x v="1"/>
    <x v="0"/>
    <x v="0"/>
    <x v="0"/>
    <x v="0"/>
    <x v="0"/>
    <x v="8"/>
    <n v="0"/>
    <n v="0"/>
    <n v="2543.5279999999998"/>
    <n v="2543.5279999999998"/>
    <n v="0"/>
    <n v="0"/>
    <n v="0"/>
    <s v="LIVRE"/>
    <n v="0"/>
    <n v="0"/>
    <n v="18"/>
    <n v="0"/>
    <n v="0"/>
    <n v="73.19"/>
    <n v="0"/>
    <m/>
    <n v="117.83242038312405"/>
    <m/>
    <n v="0"/>
    <n v="0"/>
    <n v="0"/>
    <n v="0"/>
    <x v="0"/>
  </r>
  <r>
    <s v="Regular"/>
    <x v="0"/>
    <x v="1"/>
    <x v="0"/>
    <x v="0"/>
    <x v="0"/>
    <x v="0"/>
    <x v="0"/>
    <x v="9"/>
    <n v="0"/>
    <n v="0"/>
    <n v="2743.3420000000001"/>
    <n v="2743.3420000000001"/>
    <n v="0"/>
    <n v="0"/>
    <n v="0"/>
    <s v="LIVRE"/>
    <n v="0"/>
    <n v="0"/>
    <n v="18"/>
    <n v="0"/>
    <n v="0"/>
    <n v="73.19"/>
    <n v="0"/>
    <m/>
    <n v="117.83242038312405"/>
    <m/>
    <n v="0"/>
    <n v="0"/>
    <n v="0"/>
    <n v="0"/>
    <x v="0"/>
  </r>
  <r>
    <s v="Regular"/>
    <x v="0"/>
    <x v="1"/>
    <x v="0"/>
    <x v="0"/>
    <x v="0"/>
    <x v="0"/>
    <x v="0"/>
    <x v="10"/>
    <n v="0"/>
    <n v="0"/>
    <n v="2720.0070000000001"/>
    <n v="2720.0070000000001"/>
    <n v="0"/>
    <n v="0"/>
    <n v="0"/>
    <s v="LIVRE"/>
    <n v="0"/>
    <n v="0"/>
    <n v="18"/>
    <n v="0"/>
    <n v="0"/>
    <n v="73.19"/>
    <n v="0"/>
    <m/>
    <n v="117.83242038312405"/>
    <m/>
    <n v="0"/>
    <n v="0"/>
    <n v="0"/>
    <n v="0"/>
    <x v="0"/>
  </r>
  <r>
    <s v="PROJETADO"/>
    <x v="0"/>
    <x v="1"/>
    <x v="0"/>
    <x v="0"/>
    <x v="0"/>
    <x v="0"/>
    <x v="0"/>
    <x v="11"/>
    <n v="0"/>
    <n v="0"/>
    <n v="2720.0070000000001"/>
    <n v="2720.0070000000001"/>
    <n v="0"/>
    <n v="0"/>
    <n v="0"/>
    <s v="LIVRE"/>
    <n v="0"/>
    <n v="0"/>
    <n v="18"/>
    <n v="0"/>
    <n v="0"/>
    <n v="73.19"/>
    <n v="0"/>
    <m/>
    <n v="117.83242038312405"/>
    <m/>
    <n v="0"/>
    <n v="0"/>
    <n v="0"/>
    <n v="0"/>
    <x v="0"/>
  </r>
  <r>
    <s v="Regular"/>
    <x v="0"/>
    <x v="1"/>
    <x v="0"/>
    <x v="0"/>
    <x v="0"/>
    <x v="0"/>
    <x v="1"/>
    <x v="0"/>
    <n v="10322"/>
    <n v="4424.0092000000004"/>
    <n v="0"/>
    <n v="0"/>
    <n v="0"/>
    <n v="0"/>
    <n v="7"/>
    <s v="LIVRE"/>
    <n v="0"/>
    <n v="24"/>
    <n v="0"/>
    <n v="0"/>
    <n v="22.9"/>
    <n v="0"/>
    <n v="0"/>
    <n v="21.733731888847863"/>
    <m/>
    <m/>
    <n v="135063.98931999999"/>
    <n v="0"/>
    <n v="128185.35073009132"/>
    <n v="0"/>
    <x v="0"/>
  </r>
  <r>
    <s v="Regular"/>
    <x v="0"/>
    <x v="1"/>
    <x v="0"/>
    <x v="0"/>
    <x v="0"/>
    <x v="0"/>
    <x v="1"/>
    <x v="1"/>
    <n v="10306"/>
    <n v="4902.5641999999998"/>
    <n v="0"/>
    <n v="0"/>
    <n v="0"/>
    <n v="0"/>
    <n v="7"/>
    <s v="LIVRE"/>
    <n v="0"/>
    <n v="24"/>
    <n v="0"/>
    <n v="0"/>
    <n v="22.9"/>
    <n v="0"/>
    <n v="0"/>
    <n v="21.733731888847863"/>
    <m/>
    <m/>
    <n v="123738.67981999999"/>
    <n v="0"/>
    <n v="117436.82495580216"/>
    <n v="0"/>
    <x v="0"/>
  </r>
  <r>
    <s v="Regular"/>
    <x v="0"/>
    <x v="1"/>
    <x v="0"/>
    <x v="0"/>
    <x v="0"/>
    <x v="0"/>
    <x v="1"/>
    <x v="2"/>
    <n v="10319"/>
    <n v="4909.7802000000001"/>
    <n v="0"/>
    <n v="0"/>
    <n v="0"/>
    <n v="0"/>
    <n v="7"/>
    <s v="LIVRE"/>
    <n v="0"/>
    <n v="24"/>
    <n v="0"/>
    <n v="0"/>
    <n v="22.9"/>
    <n v="0"/>
    <n v="0"/>
    <n v="21.733731888847863"/>
    <m/>
    <m/>
    <n v="123871.13341999998"/>
    <n v="0"/>
    <n v="117562.53286104726"/>
    <n v="0"/>
    <x v="0"/>
  </r>
  <r>
    <s v="Regular"/>
    <x v="0"/>
    <x v="1"/>
    <x v="0"/>
    <x v="0"/>
    <x v="0"/>
    <x v="0"/>
    <x v="1"/>
    <x v="3"/>
    <n v="10344"/>
    <n v="4921.6751999999997"/>
    <n v="0"/>
    <n v="0"/>
    <n v="0"/>
    <n v="0"/>
    <n v="7"/>
    <s v="LIVRE"/>
    <n v="0"/>
    <n v="24"/>
    <n v="0"/>
    <n v="0"/>
    <n v="22.9"/>
    <n v="0"/>
    <n v="0"/>
    <n v="21.733731888847863"/>
    <m/>
    <m/>
    <n v="124171.23792"/>
    <n v="0"/>
    <n v="117847.35341745062"/>
    <n v="0"/>
    <x v="0"/>
  </r>
  <r>
    <s v="Regular"/>
    <x v="0"/>
    <x v="1"/>
    <x v="0"/>
    <x v="0"/>
    <x v="0"/>
    <x v="0"/>
    <x v="1"/>
    <x v="4"/>
    <n v="10347"/>
    <n v="4923.1026000000002"/>
    <n v="0"/>
    <n v="0"/>
    <n v="0"/>
    <n v="0"/>
    <n v="7"/>
    <s v="LIVRE"/>
    <n v="0"/>
    <n v="24"/>
    <n v="0"/>
    <n v="0"/>
    <n v="22.9"/>
    <n v="0"/>
    <n v="0"/>
    <n v="21.733731888847863"/>
    <m/>
    <m/>
    <n v="124207.25046"/>
    <n v="0"/>
    <n v="117881.53188421902"/>
    <n v="0"/>
    <x v="0"/>
  </r>
  <r>
    <s v="Regular"/>
    <x v="0"/>
    <x v="1"/>
    <x v="0"/>
    <x v="0"/>
    <x v="0"/>
    <x v="0"/>
    <x v="1"/>
    <x v="5"/>
    <n v="10342"/>
    <n v="4920.7236000000003"/>
    <n v="0"/>
    <n v="0"/>
    <n v="0"/>
    <n v="0"/>
    <n v="7"/>
    <s v="LIVRE"/>
    <n v="0"/>
    <n v="24"/>
    <n v="0"/>
    <n v="0"/>
    <n v="22.9"/>
    <n v="0"/>
    <n v="0"/>
    <n v="21.733731888847863"/>
    <m/>
    <m/>
    <n v="124147.22955999999"/>
    <n v="0"/>
    <n v="117824.56777293835"/>
    <n v="0"/>
    <x v="0"/>
  </r>
  <r>
    <s v="Regular"/>
    <x v="0"/>
    <x v="1"/>
    <x v="0"/>
    <x v="0"/>
    <x v="0"/>
    <x v="0"/>
    <x v="1"/>
    <x v="6"/>
    <n v="10695"/>
    <n v="5097.2370000000001"/>
    <n v="0"/>
    <n v="0"/>
    <n v="0"/>
    <n v="0"/>
    <n v="7"/>
    <s v="LIVRE"/>
    <n v="0"/>
    <n v="24"/>
    <n v="0"/>
    <n v="0"/>
    <n v="22.9"/>
    <n v="0"/>
    <n v="0"/>
    <n v="21.733731888847863"/>
    <m/>
    <m/>
    <n v="128188.77269999999"/>
    <n v="0"/>
    <n v="121660.28021931268"/>
    <n v="0"/>
    <x v="0"/>
  </r>
  <r>
    <s v="Regular"/>
    <x v="0"/>
    <x v="1"/>
    <x v="0"/>
    <x v="0"/>
    <x v="0"/>
    <x v="0"/>
    <x v="1"/>
    <x v="7"/>
    <n v="10912"/>
    <n v="5206.1152000000002"/>
    <n v="0"/>
    <n v="0"/>
    <n v="0"/>
    <n v="0"/>
    <n v="7"/>
    <s v="LIVRE"/>
    <n v="0"/>
    <n v="24"/>
    <n v="0"/>
    <n v="0"/>
    <n v="22.9"/>
    <n v="0"/>
    <n v="0"/>
    <n v="21.733731888847863"/>
    <m/>
    <m/>
    <n v="130664.76191999999"/>
    <n v="0"/>
    <n v="124010.17043185231"/>
    <n v="0"/>
    <x v="0"/>
  </r>
  <r>
    <s v="Regular"/>
    <x v="0"/>
    <x v="1"/>
    <x v="0"/>
    <x v="0"/>
    <x v="0"/>
    <x v="0"/>
    <x v="1"/>
    <x v="8"/>
    <n v="11030"/>
    <n v="5264.6189999999997"/>
    <n v="0"/>
    <n v="0"/>
    <n v="0"/>
    <n v="0"/>
    <n v="7"/>
    <s v="LIVRE"/>
    <n v="0"/>
    <n v="24"/>
    <n v="0"/>
    <n v="0"/>
    <n v="22.9"/>
    <n v="0"/>
    <n v="0"/>
    <n v="21.733731888847863"/>
    <m/>
    <m/>
    <n v="132027.2249"/>
    <n v="0"/>
    <n v="125303.24489105759"/>
    <n v="0"/>
    <x v="0"/>
  </r>
  <r>
    <s v="Regular"/>
    <x v="0"/>
    <x v="1"/>
    <x v="0"/>
    <x v="0"/>
    <x v="0"/>
    <x v="0"/>
    <x v="1"/>
    <x v="9"/>
    <n v="10935"/>
    <n v="5217.0884999999998"/>
    <n v="0"/>
    <n v="0"/>
    <n v="0"/>
    <n v="0"/>
    <n v="7"/>
    <s v="LIVRE"/>
    <n v="0"/>
    <n v="24"/>
    <n v="0"/>
    <n v="0"/>
    <n v="22.9"/>
    <n v="0"/>
    <n v="0"/>
    <n v="21.733731888847863"/>
    <m/>
    <m/>
    <n v="130940.17335"/>
    <n v="0"/>
    <n v="124271.55550515992"/>
    <n v="0"/>
    <x v="0"/>
  </r>
  <r>
    <s v="Regular"/>
    <x v="0"/>
    <x v="1"/>
    <x v="0"/>
    <x v="0"/>
    <x v="0"/>
    <x v="0"/>
    <x v="1"/>
    <x v="10"/>
    <n v="10989"/>
    <n v="5243.9507999999996"/>
    <n v="0"/>
    <n v="0"/>
    <n v="0"/>
    <n v="0"/>
    <n v="7"/>
    <s v="LIVRE"/>
    <n v="0"/>
    <n v="24"/>
    <n v="0"/>
    <n v="0"/>
    <n v="22.9"/>
    <n v="0"/>
    <n v="0"/>
    <n v="21.733731888847863"/>
    <m/>
    <m/>
    <n v="131561.62667999999"/>
    <n v="0"/>
    <n v="124861.35900103992"/>
    <n v="0"/>
    <x v="0"/>
  </r>
  <r>
    <s v="PROJETADO"/>
    <x v="0"/>
    <x v="1"/>
    <x v="0"/>
    <x v="0"/>
    <x v="0"/>
    <x v="0"/>
    <x v="1"/>
    <x v="11"/>
    <n v="10989"/>
    <n v="5243.9507999999996"/>
    <n v="0"/>
    <n v="0"/>
    <n v="0"/>
    <n v="0"/>
    <n v="7"/>
    <s v="LIVRE"/>
    <n v="0"/>
    <n v="24"/>
    <n v="0"/>
    <n v="0"/>
    <n v="22.9"/>
    <n v="0"/>
    <n v="0"/>
    <n v="21.733731888847863"/>
    <m/>
    <m/>
    <n v="131561.62667999999"/>
    <n v="0"/>
    <n v="124861.35900103992"/>
    <n v="0"/>
    <x v="0"/>
  </r>
  <r>
    <s v="Regular"/>
    <x v="0"/>
    <x v="1"/>
    <x v="0"/>
    <x v="0"/>
    <x v="0"/>
    <x v="0"/>
    <x v="2"/>
    <x v="0"/>
    <n v="0"/>
    <n v="0"/>
    <n v="221.56700000000001"/>
    <n v="94.963616200000004"/>
    <n v="0"/>
    <n v="0"/>
    <n v="0"/>
    <s v="LIVRE"/>
    <n v="0"/>
    <n v="0"/>
    <n v="5"/>
    <n v="0"/>
    <n v="0"/>
    <n v="1518.97"/>
    <n v="0"/>
    <m/>
    <n v="1492.9858702094405"/>
    <m/>
    <n v="0"/>
    <n v="192306.74189068601"/>
    <n v="0"/>
    <n v="189017.06313410279"/>
    <x v="0"/>
  </r>
  <r>
    <s v="Regular"/>
    <x v="0"/>
    <x v="1"/>
    <x v="0"/>
    <x v="0"/>
    <x v="0"/>
    <x v="0"/>
    <x v="2"/>
    <x v="1"/>
    <n v="0"/>
    <n v="0"/>
    <n v="233.02"/>
    <n v="116.183772"/>
    <n v="0"/>
    <n v="0"/>
    <n v="0"/>
    <s v="LIVRE"/>
    <n v="0"/>
    <n v="0"/>
    <n v="5"/>
    <n v="0"/>
    <n v="0"/>
    <n v="1518.97"/>
    <n v="0"/>
    <m/>
    <n v="1492.9858702094405"/>
    <m/>
    <n v="0"/>
    <n v="177470.72524516002"/>
    <n v="0"/>
    <n v="174434.83753256861"/>
    <x v="0"/>
  </r>
  <r>
    <s v="Regular"/>
    <x v="0"/>
    <x v="1"/>
    <x v="0"/>
    <x v="0"/>
    <x v="0"/>
    <x v="0"/>
    <x v="2"/>
    <x v="2"/>
    <n v="0"/>
    <n v="0"/>
    <n v="224.77099999999999"/>
    <n v="112.1157748"/>
    <n v="0"/>
    <n v="0"/>
    <n v="0"/>
    <s v="LIVRE"/>
    <n v="0"/>
    <n v="0"/>
    <n v="5"/>
    <n v="0"/>
    <n v="0"/>
    <n v="1518.97"/>
    <n v="0"/>
    <m/>
    <n v="1492.9858702094405"/>
    <m/>
    <n v="0"/>
    <n v="171119.90742204399"/>
    <n v="0"/>
    <n v="168192.65942886248"/>
    <x v="0"/>
  </r>
  <r>
    <s v="Regular"/>
    <x v="0"/>
    <x v="1"/>
    <x v="0"/>
    <x v="0"/>
    <x v="0"/>
    <x v="0"/>
    <x v="2"/>
    <x v="3"/>
    <n v="0"/>
    <n v="0"/>
    <n v="227.09100000000001"/>
    <n v="113.74988190000001"/>
    <n v="0"/>
    <n v="0"/>
    <n v="0"/>
    <s v="LIVRE"/>
    <n v="0"/>
    <n v="0"/>
    <n v="5"/>
    <n v="0"/>
    <n v="0"/>
    <n v="1518.97"/>
    <n v="0"/>
    <m/>
    <n v="1492.9858702094405"/>
    <m/>
    <n v="0"/>
    <n v="172161.75816035701"/>
    <n v="0"/>
    <n v="169216.68783703947"/>
    <x v="0"/>
  </r>
  <r>
    <s v="Regular"/>
    <x v="0"/>
    <x v="1"/>
    <x v="0"/>
    <x v="0"/>
    <x v="0"/>
    <x v="0"/>
    <x v="2"/>
    <x v="4"/>
    <n v="0"/>
    <n v="0"/>
    <n v="245.57499999999999"/>
    <n v="123.27865"/>
    <n v="0"/>
    <n v="0"/>
    <n v="0"/>
    <s v="LIVRE"/>
    <n v="0"/>
    <n v="0"/>
    <n v="5"/>
    <n v="0"/>
    <n v="0"/>
    <n v="1518.97"/>
    <n v="0"/>
    <m/>
    <n v="1492.9858702094405"/>
    <m/>
    <n v="0"/>
    <n v="185764.4867595"/>
    <n v="0"/>
    <n v="182586.72252818829"/>
    <x v="0"/>
  </r>
  <r>
    <s v="Regular"/>
    <x v="0"/>
    <x v="1"/>
    <x v="0"/>
    <x v="0"/>
    <x v="0"/>
    <x v="0"/>
    <x v="2"/>
    <x v="5"/>
    <n v="0"/>
    <n v="0"/>
    <n v="228.524"/>
    <n v="114.719048"/>
    <n v="0"/>
    <n v="0"/>
    <n v="0"/>
    <s v="LIVRE"/>
    <n v="0"/>
    <n v="0"/>
    <n v="5"/>
    <n v="0"/>
    <n v="0"/>
    <n v="1518.97"/>
    <n v="0"/>
    <m/>
    <n v="1492.9858702094405"/>
    <m/>
    <n v="0"/>
    <n v="172866.30793944001"/>
    <n v="0"/>
    <n v="169909.1852958636"/>
    <x v="0"/>
  </r>
  <r>
    <s v="Regular"/>
    <x v="0"/>
    <x v="1"/>
    <x v="0"/>
    <x v="0"/>
    <x v="0"/>
    <x v="0"/>
    <x v="2"/>
    <x v="6"/>
    <n v="0"/>
    <n v="0"/>
    <n v="212.62799999999999"/>
    <n v="107.37714"/>
    <n v="0"/>
    <n v="0"/>
    <n v="0"/>
    <s v="LIVRE"/>
    <n v="0"/>
    <n v="0"/>
    <n v="5"/>
    <n v="0"/>
    <n v="0"/>
    <n v="1518.97"/>
    <n v="0"/>
    <m/>
    <n v="1492.9858702094405"/>
    <m/>
    <n v="0"/>
    <n v="159872.89881419999"/>
    <n v="0"/>
    <n v="157138.04680739198"/>
    <x v="0"/>
  </r>
  <r>
    <s v="Regular"/>
    <x v="0"/>
    <x v="1"/>
    <x v="0"/>
    <x v="0"/>
    <x v="0"/>
    <x v="0"/>
    <x v="2"/>
    <x v="7"/>
    <n v="0"/>
    <n v="0"/>
    <n v="228.40799999999999"/>
    <n v="113.35889040000001"/>
    <n v="0"/>
    <n v="0"/>
    <n v="0"/>
    <s v="LIVRE"/>
    <n v="0"/>
    <n v="0"/>
    <n v="5"/>
    <n v="0"/>
    <n v="0"/>
    <n v="1518.97"/>
    <n v="0"/>
    <m/>
    <n v="1492.9858702094405"/>
    <m/>
    <n v="0"/>
    <n v="174756.14600911198"/>
    <n v="0"/>
    <n v="171766.69501297726"/>
    <x v="0"/>
  </r>
  <r>
    <s v="Regular"/>
    <x v="0"/>
    <x v="1"/>
    <x v="0"/>
    <x v="0"/>
    <x v="0"/>
    <x v="0"/>
    <x v="2"/>
    <x v="8"/>
    <n v="0"/>
    <n v="0"/>
    <n v="197.779"/>
    <n v="100.45195409999999"/>
    <n v="0"/>
    <n v="0"/>
    <n v="0"/>
    <s v="LIVRE"/>
    <n v="0"/>
    <n v="0"/>
    <n v="5"/>
    <n v="0"/>
    <n v="0"/>
    <n v="1518.97"/>
    <n v="0"/>
    <m/>
    <n v="1492.9858702094405"/>
    <m/>
    <n v="0"/>
    <n v="147836.86291072299"/>
    <n v="0"/>
    <n v="145307.90431792566"/>
    <x v="0"/>
  </r>
  <r>
    <s v="Regular"/>
    <x v="0"/>
    <x v="1"/>
    <x v="0"/>
    <x v="0"/>
    <x v="0"/>
    <x v="0"/>
    <x v="2"/>
    <x v="9"/>
    <n v="0"/>
    <n v="0"/>
    <n v="220.24"/>
    <n v="110.802744"/>
    <n v="0"/>
    <n v="0"/>
    <n v="0"/>
    <s v="LIVRE"/>
    <n v="0"/>
    <n v="0"/>
    <n v="5"/>
    <n v="0"/>
    <n v="0"/>
    <n v="1518.97"/>
    <n v="0"/>
    <m/>
    <n v="1492.9858702094405"/>
    <m/>
    <n v="0"/>
    <n v="166231.90874632"/>
    <n v="0"/>
    <n v="163388.27688249332"/>
    <x v="0"/>
  </r>
  <r>
    <s v="Regular"/>
    <x v="0"/>
    <x v="1"/>
    <x v="0"/>
    <x v="0"/>
    <x v="0"/>
    <x v="0"/>
    <x v="2"/>
    <x v="10"/>
    <n v="0"/>
    <n v="0"/>
    <n v="210.67"/>
    <n v="105.566737"/>
    <n v="0"/>
    <n v="0"/>
    <n v="0"/>
    <s v="LIVRE"/>
    <n v="0"/>
    <n v="0"/>
    <n v="5"/>
    <n v="0"/>
    <n v="0"/>
    <n v="1518.97"/>
    <n v="0"/>
    <m/>
    <n v="1492.9858702094405"/>
    <m/>
    <n v="0"/>
    <n v="159648.70339910997"/>
    <n v="0"/>
    <n v="156917.68657190667"/>
    <x v="0"/>
  </r>
  <r>
    <s v="PROJETADO"/>
    <x v="0"/>
    <x v="1"/>
    <x v="0"/>
    <x v="0"/>
    <x v="0"/>
    <x v="0"/>
    <x v="2"/>
    <x v="11"/>
    <n v="0"/>
    <n v="0"/>
    <n v="210.67"/>
    <n v="105.566737"/>
    <n v="0"/>
    <n v="0"/>
    <n v="0"/>
    <s v="LIVRE"/>
    <n v="0"/>
    <n v="0"/>
    <n v="5"/>
    <n v="0"/>
    <n v="0"/>
    <n v="1518.97"/>
    <n v="0"/>
    <m/>
    <n v="1492.9858702094405"/>
    <m/>
    <n v="0"/>
    <n v="159648.70339910997"/>
    <n v="0"/>
    <n v="156917.68657190667"/>
    <x v="0"/>
  </r>
  <r>
    <s v="Regular"/>
    <x v="0"/>
    <x v="1"/>
    <x v="1"/>
    <x v="1"/>
    <x v="1"/>
    <x v="0"/>
    <x v="0"/>
    <x v="0"/>
    <n v="0"/>
    <n v="0"/>
    <n v="144.673"/>
    <n v="135.99261999999999"/>
    <n v="144.673"/>
    <n v="135.99261999999999"/>
    <n v="0"/>
    <s v="CATIVO"/>
    <n v="0"/>
    <n v="0"/>
    <n v="18"/>
    <n v="73"/>
    <n v="0"/>
    <n v="73.19"/>
    <n v="211.71"/>
    <m/>
    <n v="117.83242038312405"/>
    <n v="222.99901551132911"/>
    <n v="0"/>
    <n v="2473.0402620000041"/>
    <n v="0"/>
    <n v="2958.5463795094979"/>
    <x v="1"/>
  </r>
  <r>
    <s v="Regular"/>
    <x v="0"/>
    <x v="1"/>
    <x v="1"/>
    <x v="1"/>
    <x v="1"/>
    <x v="0"/>
    <x v="0"/>
    <x v="1"/>
    <n v="0"/>
    <n v="0"/>
    <n v="138.93100000000001"/>
    <n v="130.59513999999999"/>
    <n v="138.93100000000001"/>
    <n v="130.59513999999999"/>
    <n v="0"/>
    <s v="CATIVO"/>
    <n v="0"/>
    <n v="0"/>
    <n v="18"/>
    <n v="73"/>
    <n v="0"/>
    <n v="73.19"/>
    <n v="211.71"/>
    <m/>
    <n v="117.83242038312405"/>
    <n v="222.99901551132911"/>
    <n v="0"/>
    <n v="2374.8865140000071"/>
    <n v="0"/>
    <n v="2841.1231332151447"/>
    <x v="1"/>
  </r>
  <r>
    <s v="Regular"/>
    <x v="0"/>
    <x v="1"/>
    <x v="1"/>
    <x v="1"/>
    <x v="1"/>
    <x v="0"/>
    <x v="0"/>
    <x v="2"/>
    <n v="0"/>
    <n v="0"/>
    <n v="147.15600000000001"/>
    <n v="138.32664"/>
    <n v="147.15600000000001"/>
    <n v="138.32664"/>
    <n v="0"/>
    <s v="CATIVO"/>
    <n v="0"/>
    <n v="0"/>
    <n v="18"/>
    <n v="73"/>
    <n v="0"/>
    <n v="73.19"/>
    <n v="211.71"/>
    <m/>
    <n v="117.83242038312405"/>
    <n v="222.99901551132911"/>
    <n v="0"/>
    <n v="2515.4846640000023"/>
    <n v="0"/>
    <n v="3009.323446829052"/>
    <x v="1"/>
  </r>
  <r>
    <s v="Regular"/>
    <x v="0"/>
    <x v="1"/>
    <x v="1"/>
    <x v="1"/>
    <x v="1"/>
    <x v="0"/>
    <x v="0"/>
    <x v="3"/>
    <n v="0"/>
    <n v="0"/>
    <n v="150.27600000000001"/>
    <n v="141.25944000000001"/>
    <n v="150.27600000000001"/>
    <n v="141.25944000000001"/>
    <n v="0"/>
    <s v="CATIVO"/>
    <n v="0"/>
    <n v="0"/>
    <n v="18"/>
    <n v="73"/>
    <n v="0"/>
    <n v="73.19"/>
    <n v="211.71"/>
    <m/>
    <n v="117.83242038312405"/>
    <n v="222.99901551132911"/>
    <n v="0"/>
    <n v="2568.8179439999994"/>
    <n v="0"/>
    <n v="3073.1270916284898"/>
    <x v="1"/>
  </r>
  <r>
    <s v="Regular"/>
    <x v="0"/>
    <x v="1"/>
    <x v="1"/>
    <x v="1"/>
    <x v="1"/>
    <x v="0"/>
    <x v="0"/>
    <x v="4"/>
    <n v="0"/>
    <n v="0"/>
    <n v="179.06700000000001"/>
    <n v="168.32298"/>
    <n v="179.06700000000001"/>
    <n v="168.32298"/>
    <n v="0"/>
    <s v="CATIVO"/>
    <n v="0"/>
    <n v="0"/>
    <n v="18"/>
    <n v="73"/>
    <n v="0"/>
    <n v="73.19"/>
    <n v="211.71"/>
    <m/>
    <n v="117.83242038312405"/>
    <n v="222.99901551132911"/>
    <n v="0"/>
    <n v="3060.9712980000018"/>
    <n v="0"/>
    <n v="3661.8997638787246"/>
    <x v="1"/>
  </r>
  <r>
    <s v="Regular"/>
    <x v="0"/>
    <x v="1"/>
    <x v="1"/>
    <x v="1"/>
    <x v="1"/>
    <x v="0"/>
    <x v="0"/>
    <x v="5"/>
    <n v="0"/>
    <n v="0"/>
    <n v="219.52799999999999"/>
    <n v="206.35632000000001"/>
    <n v="219.52799999999999"/>
    <n v="206.35632000000001"/>
    <n v="0"/>
    <s v="CATIVO"/>
    <n v="0"/>
    <n v="0"/>
    <n v="18"/>
    <n v="73"/>
    <n v="0"/>
    <n v="73.19"/>
    <n v="211.71"/>
    <m/>
    <n v="117.83242038312405"/>
    <n v="222.99901551132911"/>
    <n v="0"/>
    <n v="3752.6116319999946"/>
    <n v="0"/>
    <n v="4489.3226075422444"/>
    <x v="1"/>
  </r>
  <r>
    <s v="Regular"/>
    <x v="0"/>
    <x v="1"/>
    <x v="1"/>
    <x v="1"/>
    <x v="1"/>
    <x v="0"/>
    <x v="0"/>
    <x v="6"/>
    <n v="0"/>
    <n v="0"/>
    <n v="177.56899999999999"/>
    <n v="166.91486"/>
    <n v="177.56899999999999"/>
    <n v="166.91486"/>
    <n v="0"/>
    <s v="CATIVO"/>
    <n v="0"/>
    <n v="0"/>
    <n v="18"/>
    <n v="73"/>
    <n v="0"/>
    <n v="73.19"/>
    <n v="211.71"/>
    <m/>
    <n v="117.83242038312405"/>
    <n v="222.99901551132911"/>
    <n v="0"/>
    <n v="3035.3644859999954"/>
    <n v="0"/>
    <n v="3631.2658344205238"/>
    <x v="1"/>
  </r>
  <r>
    <s v="Regular"/>
    <x v="0"/>
    <x v="1"/>
    <x v="1"/>
    <x v="1"/>
    <x v="1"/>
    <x v="0"/>
    <x v="0"/>
    <x v="7"/>
    <n v="0"/>
    <n v="0"/>
    <n v="170.62100000000001"/>
    <n v="160.38373999999999"/>
    <n v="170.62100000000001"/>
    <n v="160.38373999999999"/>
    <n v="0"/>
    <s v="CATIVO"/>
    <n v="0"/>
    <n v="0"/>
    <n v="18"/>
    <n v="73"/>
    <n v="0"/>
    <n v="73.19"/>
    <n v="211.71"/>
    <m/>
    <n v="117.83242038312405"/>
    <n v="222.99901551132911"/>
    <n v="0"/>
    <n v="2916.5953740000059"/>
    <n v="0"/>
    <n v="3489.1800254248565"/>
    <x v="1"/>
  </r>
  <r>
    <s v="Regular"/>
    <x v="0"/>
    <x v="1"/>
    <x v="1"/>
    <x v="1"/>
    <x v="1"/>
    <x v="0"/>
    <x v="0"/>
    <x v="8"/>
    <n v="0"/>
    <n v="0"/>
    <n v="164.25200000000001"/>
    <n v="154.39688000000001"/>
    <n v="164.25200000000001"/>
    <n v="154.39688000000001"/>
    <n v="0"/>
    <s v="CATIVO"/>
    <n v="0"/>
    <n v="0"/>
    <n v="18"/>
    <n v="73"/>
    <n v="0"/>
    <n v="73.19"/>
    <n v="211.71"/>
    <m/>
    <n v="117.83242038312405"/>
    <n v="222.99901551132911"/>
    <n v="0"/>
    <n v="2807.723688"/>
    <n v="0"/>
    <n v="3358.9347005121426"/>
    <x v="1"/>
  </r>
  <r>
    <s v="Regular"/>
    <x v="0"/>
    <x v="1"/>
    <x v="1"/>
    <x v="1"/>
    <x v="1"/>
    <x v="0"/>
    <x v="0"/>
    <x v="9"/>
    <n v="0"/>
    <n v="0"/>
    <n v="160.15100000000001"/>
    <n v="150.54194000000001"/>
    <n v="160.15100000000001"/>
    <n v="150.54194000000001"/>
    <n v="0"/>
    <s v="CATIVO"/>
    <n v="0"/>
    <n v="0"/>
    <n v="18"/>
    <n v="73"/>
    <n v="0"/>
    <n v="73.19"/>
    <n v="211.71"/>
    <m/>
    <n v="117.83242038312405"/>
    <n v="222.99901551132911"/>
    <n v="0"/>
    <n v="2737.6211940000003"/>
    <n v="0"/>
    <n v="3275.0697173959538"/>
    <x v="1"/>
  </r>
  <r>
    <s v="Regular"/>
    <x v="0"/>
    <x v="1"/>
    <x v="1"/>
    <x v="1"/>
    <x v="1"/>
    <x v="0"/>
    <x v="0"/>
    <x v="10"/>
    <n v="0"/>
    <n v="0"/>
    <n v="160.02600000000001"/>
    <n v="150.42444"/>
    <n v="160.02600000000001"/>
    <n v="150.42444"/>
    <n v="0"/>
    <s v="CATIVO"/>
    <n v="0"/>
    <n v="0"/>
    <n v="18"/>
    <n v="73"/>
    <n v="0"/>
    <n v="73.19"/>
    <n v="211.71"/>
    <m/>
    <n v="117.83242038312405"/>
    <n v="222.99901551132911"/>
    <n v="0"/>
    <n v="2735.4844440000015"/>
    <n v="0"/>
    <n v="3272.5134816267482"/>
    <x v="1"/>
  </r>
  <r>
    <s v="PROJETADO"/>
    <x v="0"/>
    <x v="1"/>
    <x v="1"/>
    <x v="1"/>
    <x v="1"/>
    <x v="0"/>
    <x v="0"/>
    <x v="11"/>
    <n v="0"/>
    <n v="0"/>
    <n v="160.02600000000001"/>
    <n v="150.42444"/>
    <n v="160.02600000000001"/>
    <n v="150.42444"/>
    <n v="0"/>
    <s v="CATIVO"/>
    <n v="0"/>
    <n v="0"/>
    <n v="18"/>
    <n v="73"/>
    <n v="0"/>
    <n v="73.19"/>
    <n v="211.71"/>
    <m/>
    <n v="117.83242038312405"/>
    <n v="222.99901551132911"/>
    <n v="0"/>
    <n v="2735.4844440000015"/>
    <n v="0"/>
    <n v="3272.5134816267482"/>
    <x v="1"/>
  </r>
  <r>
    <s v="Regular"/>
    <x v="0"/>
    <x v="1"/>
    <x v="1"/>
    <x v="1"/>
    <x v="1"/>
    <x v="0"/>
    <x v="1"/>
    <x v="0"/>
    <n v="400"/>
    <n v="340"/>
    <n v="0"/>
    <n v="0"/>
    <n v="0"/>
    <n v="0"/>
    <n v="1"/>
    <s v="CATIVO"/>
    <n v="0"/>
    <n v="24"/>
    <n v="0"/>
    <n v="0"/>
    <n v="22.9"/>
    <n v="0"/>
    <n v="0"/>
    <n v="21.733731888847863"/>
    <m/>
    <m/>
    <n v="1374"/>
    <n v="0"/>
    <n v="1304.0239133308719"/>
    <n v="0"/>
    <x v="1"/>
  </r>
  <r>
    <s v="Regular"/>
    <x v="0"/>
    <x v="1"/>
    <x v="1"/>
    <x v="1"/>
    <x v="1"/>
    <x v="0"/>
    <x v="1"/>
    <x v="1"/>
    <n v="400"/>
    <n v="340"/>
    <n v="0"/>
    <n v="0"/>
    <n v="0"/>
    <n v="0"/>
    <n v="1"/>
    <s v="CATIVO"/>
    <n v="0"/>
    <n v="24"/>
    <n v="0"/>
    <n v="0"/>
    <n v="22.9"/>
    <n v="0"/>
    <n v="0"/>
    <n v="21.733731888847863"/>
    <m/>
    <m/>
    <n v="1374"/>
    <n v="0"/>
    <n v="1304.0239133308719"/>
    <n v="0"/>
    <x v="1"/>
  </r>
  <r>
    <s v="Regular"/>
    <x v="0"/>
    <x v="1"/>
    <x v="1"/>
    <x v="1"/>
    <x v="1"/>
    <x v="0"/>
    <x v="1"/>
    <x v="2"/>
    <n v="400"/>
    <n v="340"/>
    <n v="0"/>
    <n v="0"/>
    <n v="0"/>
    <n v="0"/>
    <n v="1"/>
    <s v="CATIVO"/>
    <n v="0"/>
    <n v="24"/>
    <n v="0"/>
    <n v="0"/>
    <n v="22.9"/>
    <n v="0"/>
    <n v="0"/>
    <n v="21.733731888847863"/>
    <m/>
    <m/>
    <n v="1374"/>
    <n v="0"/>
    <n v="1304.0239133308719"/>
    <n v="0"/>
    <x v="1"/>
  </r>
  <r>
    <s v="Regular"/>
    <x v="0"/>
    <x v="1"/>
    <x v="1"/>
    <x v="1"/>
    <x v="1"/>
    <x v="0"/>
    <x v="1"/>
    <x v="3"/>
    <n v="400"/>
    <n v="340"/>
    <n v="0"/>
    <n v="0"/>
    <n v="0"/>
    <n v="0"/>
    <n v="1"/>
    <s v="CATIVO"/>
    <n v="0"/>
    <n v="24"/>
    <n v="0"/>
    <n v="0"/>
    <n v="22.9"/>
    <n v="0"/>
    <n v="0"/>
    <n v="21.733731888847863"/>
    <m/>
    <m/>
    <n v="1374"/>
    <n v="0"/>
    <n v="1304.0239133308719"/>
    <n v="0"/>
    <x v="1"/>
  </r>
  <r>
    <s v="Regular"/>
    <x v="0"/>
    <x v="1"/>
    <x v="1"/>
    <x v="1"/>
    <x v="1"/>
    <x v="0"/>
    <x v="1"/>
    <x v="4"/>
    <n v="484"/>
    <n v="411.4"/>
    <n v="0"/>
    <n v="0"/>
    <n v="0"/>
    <n v="0"/>
    <n v="1"/>
    <s v="CATIVO"/>
    <n v="0"/>
    <n v="24"/>
    <n v="0"/>
    <n v="0"/>
    <n v="22.9"/>
    <n v="0"/>
    <n v="0"/>
    <n v="21.733731888847863"/>
    <m/>
    <m/>
    <n v="1662.5400000000004"/>
    <n v="0"/>
    <n v="1577.8689351303553"/>
    <n v="0"/>
    <x v="1"/>
  </r>
  <r>
    <s v="Regular"/>
    <x v="0"/>
    <x v="1"/>
    <x v="1"/>
    <x v="1"/>
    <x v="1"/>
    <x v="0"/>
    <x v="1"/>
    <x v="5"/>
    <n v="490"/>
    <n v="416.5"/>
    <n v="0"/>
    <n v="0"/>
    <n v="0"/>
    <n v="0"/>
    <n v="1"/>
    <s v="CATIVO"/>
    <n v="0"/>
    <n v="24"/>
    <n v="0"/>
    <n v="0"/>
    <n v="22.9"/>
    <n v="0"/>
    <n v="0"/>
    <n v="21.733731888847863"/>
    <m/>
    <m/>
    <n v="1683.1499999999999"/>
    <n v="0"/>
    <n v="1597.4292938303179"/>
    <n v="0"/>
    <x v="1"/>
  </r>
  <r>
    <s v="Regular"/>
    <x v="0"/>
    <x v="1"/>
    <x v="1"/>
    <x v="1"/>
    <x v="1"/>
    <x v="0"/>
    <x v="1"/>
    <x v="6"/>
    <n v="421"/>
    <n v="357.84999999999997"/>
    <n v="0"/>
    <n v="0"/>
    <n v="0"/>
    <n v="0"/>
    <n v="1"/>
    <s v="CATIVO"/>
    <n v="0"/>
    <n v="24"/>
    <n v="0"/>
    <n v="0"/>
    <n v="22.9"/>
    <n v="0"/>
    <n v="0"/>
    <n v="21.733731888847863"/>
    <m/>
    <m/>
    <n v="1446.1350000000007"/>
    <n v="0"/>
    <n v="1372.4851687807434"/>
    <n v="0"/>
    <x v="1"/>
  </r>
  <r>
    <s v="Regular"/>
    <x v="0"/>
    <x v="1"/>
    <x v="1"/>
    <x v="1"/>
    <x v="1"/>
    <x v="0"/>
    <x v="1"/>
    <x v="7"/>
    <n v="426"/>
    <n v="362.09999999999997"/>
    <n v="0"/>
    <n v="0"/>
    <n v="0"/>
    <n v="0"/>
    <n v="1"/>
    <s v="CATIVO"/>
    <n v="0"/>
    <n v="24"/>
    <n v="0"/>
    <n v="0"/>
    <n v="22.9"/>
    <n v="0"/>
    <n v="0"/>
    <n v="21.733731888847863"/>
    <m/>
    <m/>
    <n v="1463.3100000000006"/>
    <n v="0"/>
    <n v="1388.7854676973793"/>
    <n v="0"/>
    <x v="1"/>
  </r>
  <r>
    <s v="Regular"/>
    <x v="0"/>
    <x v="1"/>
    <x v="1"/>
    <x v="1"/>
    <x v="1"/>
    <x v="0"/>
    <x v="1"/>
    <x v="8"/>
    <n v="405"/>
    <n v="344.25"/>
    <n v="0"/>
    <n v="0"/>
    <n v="0"/>
    <n v="0"/>
    <n v="1"/>
    <s v="CATIVO"/>
    <n v="0"/>
    <n v="24"/>
    <n v="0"/>
    <n v="0"/>
    <n v="22.9"/>
    <n v="0"/>
    <n v="0"/>
    <n v="21.733731888847863"/>
    <m/>
    <m/>
    <n v="1391.175"/>
    <n v="0"/>
    <n v="1320.3242122475076"/>
    <n v="0"/>
    <x v="1"/>
  </r>
  <r>
    <s v="Regular"/>
    <x v="0"/>
    <x v="1"/>
    <x v="1"/>
    <x v="1"/>
    <x v="1"/>
    <x v="0"/>
    <x v="1"/>
    <x v="9"/>
    <n v="400"/>
    <n v="340"/>
    <n v="0"/>
    <n v="0"/>
    <n v="0"/>
    <n v="0"/>
    <n v="1"/>
    <s v="CATIVO"/>
    <n v="0"/>
    <n v="24"/>
    <n v="0"/>
    <n v="0"/>
    <n v="22.9"/>
    <n v="0"/>
    <n v="0"/>
    <n v="21.733731888847863"/>
    <m/>
    <m/>
    <n v="1374"/>
    <n v="0"/>
    <n v="1304.0239133308719"/>
    <n v="0"/>
    <x v="1"/>
  </r>
  <r>
    <s v="Regular"/>
    <x v="0"/>
    <x v="1"/>
    <x v="1"/>
    <x v="1"/>
    <x v="1"/>
    <x v="0"/>
    <x v="1"/>
    <x v="10"/>
    <n v="400"/>
    <n v="340"/>
    <n v="0"/>
    <n v="0"/>
    <n v="0"/>
    <n v="0"/>
    <n v="1"/>
    <s v="CATIVO"/>
    <n v="0"/>
    <n v="24"/>
    <n v="0"/>
    <n v="0"/>
    <n v="22.9"/>
    <n v="0"/>
    <n v="0"/>
    <n v="21.733731888847863"/>
    <m/>
    <m/>
    <n v="1374"/>
    <n v="0"/>
    <n v="1304.0239133308719"/>
    <n v="0"/>
    <x v="1"/>
  </r>
  <r>
    <s v="PROJETADO"/>
    <x v="0"/>
    <x v="1"/>
    <x v="1"/>
    <x v="1"/>
    <x v="1"/>
    <x v="0"/>
    <x v="1"/>
    <x v="11"/>
    <n v="400"/>
    <n v="340"/>
    <n v="0"/>
    <n v="0"/>
    <n v="0"/>
    <n v="0"/>
    <n v="1"/>
    <s v="CATIVO"/>
    <n v="0"/>
    <n v="24"/>
    <n v="0"/>
    <n v="0"/>
    <n v="22.9"/>
    <n v="0"/>
    <n v="0"/>
    <n v="21.733731888847863"/>
    <m/>
    <m/>
    <n v="1374"/>
    <n v="0"/>
    <n v="1304.0239133308719"/>
    <n v="0"/>
    <x v="1"/>
  </r>
  <r>
    <s v="Regular"/>
    <x v="0"/>
    <x v="1"/>
    <x v="1"/>
    <x v="1"/>
    <x v="1"/>
    <x v="0"/>
    <x v="2"/>
    <x v="0"/>
    <n v="0"/>
    <n v="0"/>
    <n v="14.43"/>
    <n v="13.5642"/>
    <n v="14.43"/>
    <n v="13.5642"/>
    <n v="0"/>
    <s v="CATIVO"/>
    <n v="0"/>
    <n v="0"/>
    <n v="5"/>
    <n v="69"/>
    <n v="0"/>
    <n v="1518.97"/>
    <n v="359.33"/>
    <m/>
    <n v="1492.9858702094405"/>
    <n v="362.73600214515886"/>
    <n v="0"/>
    <n v="1626.2321400000001"/>
    <n v="0"/>
    <n v="1606.6839970846124"/>
    <x v="1"/>
  </r>
  <r>
    <s v="Regular"/>
    <x v="0"/>
    <x v="1"/>
    <x v="1"/>
    <x v="1"/>
    <x v="1"/>
    <x v="0"/>
    <x v="2"/>
    <x v="1"/>
    <n v="0"/>
    <n v="0"/>
    <n v="13.776999999999999"/>
    <n v="12.950379999999999"/>
    <n v="13.776999999999999"/>
    <n v="12.950379999999999"/>
    <n v="0"/>
    <s v="CATIVO"/>
    <n v="0"/>
    <n v="0"/>
    <n v="5"/>
    <n v="69"/>
    <n v="0"/>
    <n v="1518.97"/>
    <n v="359.33"/>
    <m/>
    <n v="1492.9858702094405"/>
    <n v="362.73600214515886"/>
    <n v="0"/>
    <n v="1552.6403460000001"/>
    <n v="0"/>
    <n v="1533.9768141257591"/>
    <x v="1"/>
  </r>
  <r>
    <s v="Regular"/>
    <x v="0"/>
    <x v="1"/>
    <x v="1"/>
    <x v="1"/>
    <x v="1"/>
    <x v="0"/>
    <x v="2"/>
    <x v="2"/>
    <n v="0"/>
    <n v="0"/>
    <n v="12.991"/>
    <n v="12.211539999999999"/>
    <n v="12.991"/>
    <n v="12.211539999999999"/>
    <n v="0"/>
    <s v="CATIVO"/>
    <n v="0"/>
    <n v="0"/>
    <n v="5"/>
    <n v="69"/>
    <n v="0"/>
    <n v="1518.97"/>
    <n v="359.33"/>
    <m/>
    <n v="1492.9858702094405"/>
    <n v="362.73600214515886"/>
    <n v="0"/>
    <n v="1464.0597180000007"/>
    <n v="0"/>
    <n v="1446.4609706255164"/>
    <x v="1"/>
  </r>
  <r>
    <s v="Regular"/>
    <x v="0"/>
    <x v="1"/>
    <x v="1"/>
    <x v="1"/>
    <x v="1"/>
    <x v="0"/>
    <x v="2"/>
    <x v="3"/>
    <n v="0"/>
    <n v="0"/>
    <n v="14.047000000000001"/>
    <n v="13.204179999999999"/>
    <n v="14.047000000000001"/>
    <n v="13.204179999999999"/>
    <n v="0"/>
    <s v="CATIVO"/>
    <n v="0"/>
    <n v="0"/>
    <n v="5"/>
    <n v="69"/>
    <n v="0"/>
    <n v="1518.97"/>
    <n v="359.33"/>
    <m/>
    <n v="1492.9858702094405"/>
    <n v="362.73600214515886"/>
    <n v="0"/>
    <n v="1583.0688060000027"/>
    <n v="0"/>
    <n v="1564.0395084579061"/>
    <x v="1"/>
  </r>
  <r>
    <s v="Regular"/>
    <x v="0"/>
    <x v="1"/>
    <x v="1"/>
    <x v="1"/>
    <x v="1"/>
    <x v="0"/>
    <x v="2"/>
    <x v="4"/>
    <n v="0"/>
    <n v="0"/>
    <n v="21.306000000000001"/>
    <n v="20.027640000000002"/>
    <n v="21.306000000000001"/>
    <n v="20.027640000000002"/>
    <n v="0"/>
    <s v="CATIVO"/>
    <n v="0"/>
    <n v="0"/>
    <n v="5"/>
    <n v="69"/>
    <n v="0"/>
    <n v="1518.97"/>
    <n v="359.33"/>
    <m/>
    <n v="1492.9858702094405"/>
    <n v="362.73600214515886"/>
    <n v="0"/>
    <n v="2401.1435879999985"/>
    <n v="0"/>
    <n v="2372.2806127432241"/>
    <x v="1"/>
  </r>
  <r>
    <s v="Regular"/>
    <x v="0"/>
    <x v="1"/>
    <x v="1"/>
    <x v="1"/>
    <x v="1"/>
    <x v="0"/>
    <x v="2"/>
    <x v="5"/>
    <n v="0"/>
    <n v="0"/>
    <n v="22.757000000000001"/>
    <n v="21.391580000000001"/>
    <n v="22.757000000000001"/>
    <n v="21.391580000000001"/>
    <n v="0"/>
    <s v="CATIVO"/>
    <n v="0"/>
    <n v="0"/>
    <n v="5"/>
    <n v="69"/>
    <n v="0"/>
    <n v="1518.97"/>
    <n v="359.33"/>
    <m/>
    <n v="1492.9858702094405"/>
    <n v="362.73600214515886"/>
    <n v="0"/>
    <n v="2564.6683860000003"/>
    <n v="0"/>
    <n v="2533.8397589504175"/>
    <x v="1"/>
  </r>
  <r>
    <s v="Regular"/>
    <x v="0"/>
    <x v="1"/>
    <x v="1"/>
    <x v="1"/>
    <x v="1"/>
    <x v="0"/>
    <x v="2"/>
    <x v="6"/>
    <n v="0"/>
    <n v="0"/>
    <n v="18.914000000000001"/>
    <n v="17.779160000000001"/>
    <n v="18.914000000000001"/>
    <n v="17.779160000000001"/>
    <n v="0"/>
    <s v="CATIVO"/>
    <n v="0"/>
    <n v="0"/>
    <n v="5"/>
    <n v="69"/>
    <n v="0"/>
    <n v="1518.97"/>
    <n v="359.33"/>
    <m/>
    <n v="1492.9858702094405"/>
    <n v="362.73600214515886"/>
    <n v="0"/>
    <n v="2131.5699720000011"/>
    <n v="0"/>
    <n v="2105.9474096228946"/>
    <x v="1"/>
  </r>
  <r>
    <s v="Regular"/>
    <x v="0"/>
    <x v="1"/>
    <x v="1"/>
    <x v="1"/>
    <x v="1"/>
    <x v="0"/>
    <x v="2"/>
    <x v="7"/>
    <n v="0"/>
    <n v="0"/>
    <n v="19.082000000000001"/>
    <n v="17.937080000000002"/>
    <n v="19.082000000000001"/>
    <n v="17.937080000000002"/>
    <n v="0"/>
    <s v="CATIVO"/>
    <n v="0"/>
    <n v="0"/>
    <n v="5"/>
    <n v="69"/>
    <n v="0"/>
    <n v="1518.97"/>
    <n v="359.33"/>
    <m/>
    <n v="1492.9858702094405"/>
    <n v="362.73600214515886"/>
    <n v="0"/>
    <n v="2150.5032359999982"/>
    <n v="0"/>
    <n v="2124.6530860962262"/>
    <x v="1"/>
  </r>
  <r>
    <s v="Regular"/>
    <x v="0"/>
    <x v="1"/>
    <x v="1"/>
    <x v="1"/>
    <x v="1"/>
    <x v="0"/>
    <x v="2"/>
    <x v="8"/>
    <n v="0"/>
    <n v="0"/>
    <n v="16.46"/>
    <n v="15.4724"/>
    <n v="16.46"/>
    <n v="15.4724"/>
    <n v="0"/>
    <s v="CATIVO"/>
    <n v="0"/>
    <n v="0"/>
    <n v="5"/>
    <n v="69"/>
    <n v="0"/>
    <n v="1518.97"/>
    <n v="359.33"/>
    <m/>
    <n v="1492.9858702094405"/>
    <n v="362.73600214515886"/>
    <n v="0"/>
    <n v="1855.0090800000009"/>
    <n v="0"/>
    <n v="1832.7109211374031"/>
    <x v="1"/>
  </r>
  <r>
    <s v="Regular"/>
    <x v="0"/>
    <x v="1"/>
    <x v="1"/>
    <x v="1"/>
    <x v="1"/>
    <x v="0"/>
    <x v="2"/>
    <x v="9"/>
    <n v="0"/>
    <n v="0"/>
    <n v="17.936"/>
    <n v="16.859839999999998"/>
    <n v="17.936"/>
    <n v="16.859839999999998"/>
    <n v="0"/>
    <s v="CATIVO"/>
    <n v="0"/>
    <n v="0"/>
    <n v="5"/>
    <n v="69"/>
    <n v="0"/>
    <n v="1518.97"/>
    <n v="359.33"/>
    <m/>
    <n v="1492.9858702094405"/>
    <n v="362.73600214515886"/>
    <n v="0"/>
    <n v="2021.3513280000029"/>
    <n v="0"/>
    <n v="1997.0536501531285"/>
    <x v="1"/>
  </r>
  <r>
    <s v="Regular"/>
    <x v="0"/>
    <x v="1"/>
    <x v="1"/>
    <x v="1"/>
    <x v="1"/>
    <x v="0"/>
    <x v="2"/>
    <x v="10"/>
    <n v="0"/>
    <n v="0"/>
    <n v="18.001000000000001"/>
    <n v="16.920940000000002"/>
    <n v="18.001000000000001"/>
    <n v="16.920940000000002"/>
    <n v="0"/>
    <s v="CATIVO"/>
    <n v="0"/>
    <n v="0"/>
    <n v="5"/>
    <n v="69"/>
    <n v="0"/>
    <n v="1518.97"/>
    <n v="359.33"/>
    <m/>
    <n v="1492.9858702094405"/>
    <n v="362.73600214515886"/>
    <n v="0"/>
    <n v="2028.6766979999993"/>
    <n v="0"/>
    <n v="2004.2909654553077"/>
    <x v="1"/>
  </r>
  <r>
    <s v="PROJETADO"/>
    <x v="0"/>
    <x v="1"/>
    <x v="1"/>
    <x v="1"/>
    <x v="1"/>
    <x v="0"/>
    <x v="2"/>
    <x v="11"/>
    <n v="0"/>
    <n v="0"/>
    <n v="18.001000000000001"/>
    <n v="16.920940000000002"/>
    <n v="18.001000000000001"/>
    <n v="16.920940000000002"/>
    <n v="0"/>
    <s v="CATIVO"/>
    <n v="0"/>
    <n v="0"/>
    <n v="5"/>
    <n v="69"/>
    <n v="0"/>
    <n v="1518.97"/>
    <n v="359.33"/>
    <m/>
    <n v="1492.9858702094405"/>
    <n v="362.73600214515886"/>
    <n v="0"/>
    <n v="2028.6766979999993"/>
    <n v="0"/>
    <n v="2004.2909654553077"/>
    <x v="1"/>
  </r>
  <r>
    <s v="Regular"/>
    <x v="1"/>
    <x v="2"/>
    <x v="2"/>
    <x v="2"/>
    <x v="1"/>
    <x v="0"/>
    <x v="1"/>
    <x v="0"/>
    <n v="0"/>
    <n v="0"/>
    <n v="4928.0069999999996"/>
    <n v="4928.0069999999996"/>
    <n v="4928.0069999999996"/>
    <n v="4928.0069999999996"/>
    <n v="33874"/>
    <s v="CATIVO"/>
    <n v="0"/>
    <n v="0"/>
    <n v="2"/>
    <n v="41"/>
    <n v="0"/>
    <n v="338.51"/>
    <n v="224.01"/>
    <m/>
    <n v="417.58832886049538"/>
    <n v="234.64376439748159"/>
    <n v="0"/>
    <n v="0"/>
    <n v="0"/>
    <n v="0"/>
    <x v="2"/>
  </r>
  <r>
    <s v="Regular"/>
    <x v="1"/>
    <x v="2"/>
    <x v="2"/>
    <x v="3"/>
    <x v="1"/>
    <x v="0"/>
    <x v="1"/>
    <x v="0"/>
    <n v="0"/>
    <n v="0"/>
    <n v="39.646000000000001"/>
    <n v="39.646000000000001"/>
    <n v="39.646000000000001"/>
    <n v="39.646000000000001"/>
    <n v="69"/>
    <s v="CATIVO"/>
    <n v="0"/>
    <n v="0"/>
    <n v="28"/>
    <n v="64"/>
    <n v="0"/>
    <n v="94.55"/>
    <n v="78.400000000000006"/>
    <m/>
    <n v="102.5548534812466"/>
    <n v="82.125317539118555"/>
    <n v="0"/>
    <n v="12733.898739999999"/>
    <n v="0"/>
    <n v="13597.684397650597"/>
    <x v="3"/>
  </r>
  <r>
    <s v="Regular"/>
    <x v="1"/>
    <x v="2"/>
    <x v="2"/>
    <x v="3"/>
    <x v="1"/>
    <x v="0"/>
    <x v="1"/>
    <x v="1"/>
    <n v="0"/>
    <n v="0"/>
    <n v="40.024999999999999"/>
    <n v="40.024999999999999"/>
    <n v="40.024999999999999"/>
    <n v="40.024999999999999"/>
    <n v="62"/>
    <s v="CATIVO"/>
    <n v="0"/>
    <n v="0"/>
    <n v="28"/>
    <n v="64"/>
    <n v="0"/>
    <n v="94.55"/>
    <n v="78.400000000000006"/>
    <m/>
    <n v="102.5548534812466"/>
    <n v="82.125317539118555"/>
    <n v="0"/>
    <n v="12855.629749999996"/>
    <n v="0"/>
    <n v="13727.672855167359"/>
    <x v="3"/>
  </r>
  <r>
    <s v="Regular"/>
    <x v="1"/>
    <x v="2"/>
    <x v="2"/>
    <x v="3"/>
    <x v="1"/>
    <x v="0"/>
    <x v="1"/>
    <x v="2"/>
    <n v="0"/>
    <n v="0"/>
    <n v="40.651000000000003"/>
    <n v="40.651000000000003"/>
    <n v="40.651000000000003"/>
    <n v="40.651000000000003"/>
    <n v="62"/>
    <s v="CATIVO"/>
    <n v="0"/>
    <n v="0"/>
    <n v="28"/>
    <n v="64"/>
    <n v="0"/>
    <n v="94.55"/>
    <n v="78.400000000000006"/>
    <m/>
    <n v="102.5548534812466"/>
    <n v="82.125317539118555"/>
    <n v="0"/>
    <n v="13056.694689999998"/>
    <n v="0"/>
    <n v="13942.376745419322"/>
    <x v="3"/>
  </r>
  <r>
    <s v="Regular"/>
    <x v="1"/>
    <x v="2"/>
    <x v="2"/>
    <x v="3"/>
    <x v="1"/>
    <x v="0"/>
    <x v="1"/>
    <x v="3"/>
    <n v="0"/>
    <n v="0"/>
    <n v="40.799999999999997"/>
    <n v="40.799999999999997"/>
    <n v="40.799999999999997"/>
    <n v="40.799999999999997"/>
    <n v="62"/>
    <s v="CATIVO"/>
    <n v="0"/>
    <n v="0"/>
    <n v="28"/>
    <n v="64"/>
    <n v="0"/>
    <n v="94.55"/>
    <n v="78.400000000000006"/>
    <m/>
    <n v="102.5548534812466"/>
    <n v="82.125317539118555"/>
    <n v="0"/>
    <n v="13104.551999999996"/>
    <n v="0"/>
    <n v="13993.480387028812"/>
    <x v="3"/>
  </r>
  <r>
    <s v="Regular"/>
    <x v="1"/>
    <x v="2"/>
    <x v="2"/>
    <x v="3"/>
    <x v="1"/>
    <x v="0"/>
    <x v="1"/>
    <x v="4"/>
    <n v="0"/>
    <n v="0"/>
    <n v="41.198999999999998"/>
    <n v="41.198999999999998"/>
    <n v="41.198999999999998"/>
    <n v="41.198999999999998"/>
    <n v="61"/>
    <s v="CATIVO"/>
    <n v="0"/>
    <n v="0"/>
    <n v="28"/>
    <n v="64"/>
    <n v="0"/>
    <n v="94.55"/>
    <n v="78.400000000000006"/>
    <m/>
    <n v="102.5548534812466"/>
    <n v="82.125317539118555"/>
    <n v="0"/>
    <n v="13232.706809999996"/>
    <n v="0"/>
    <n v="14130.328393754902"/>
    <x v="3"/>
  </r>
  <r>
    <s v="Regular"/>
    <x v="1"/>
    <x v="2"/>
    <x v="2"/>
    <x v="3"/>
    <x v="1"/>
    <x v="0"/>
    <x v="1"/>
    <x v="5"/>
    <n v="0"/>
    <n v="0"/>
    <n v="41.094000000000001"/>
    <n v="41.094000000000001"/>
    <n v="41.094000000000001"/>
    <n v="41.094000000000001"/>
    <n v="38"/>
    <s v="CATIVO"/>
    <n v="0"/>
    <n v="0"/>
    <n v="28"/>
    <n v="64"/>
    <n v="0"/>
    <n v="94.55"/>
    <n v="78.400000000000006"/>
    <m/>
    <n v="102.5548534812466"/>
    <n v="82.125317539118555"/>
    <n v="0"/>
    <n v="13198.981859999998"/>
    <n v="0"/>
    <n v="14094.315760405932"/>
    <x v="3"/>
  </r>
  <r>
    <s v="Regular"/>
    <x v="1"/>
    <x v="2"/>
    <x v="2"/>
    <x v="3"/>
    <x v="1"/>
    <x v="0"/>
    <x v="1"/>
    <x v="6"/>
    <n v="0"/>
    <n v="0"/>
    <n v="41.872999999999998"/>
    <n v="41.872999999999998"/>
    <n v="41.872999999999998"/>
    <n v="41.872999999999998"/>
    <n v="35"/>
    <s v="CATIVO"/>
    <n v="0"/>
    <n v="0"/>
    <n v="28"/>
    <n v="64"/>
    <n v="0"/>
    <n v="94.55"/>
    <n v="78.400000000000006"/>
    <m/>
    <n v="102.5548534812466"/>
    <n v="82.125317539118555"/>
    <n v="0"/>
    <n v="13449.188869999996"/>
    <n v="0"/>
    <n v="14361.49520210925"/>
    <x v="3"/>
  </r>
  <r>
    <s v="Regular"/>
    <x v="1"/>
    <x v="2"/>
    <x v="2"/>
    <x v="3"/>
    <x v="1"/>
    <x v="0"/>
    <x v="1"/>
    <x v="7"/>
    <n v="0"/>
    <n v="0"/>
    <n v="42.484999999999999"/>
    <n v="42.484999999999999"/>
    <n v="42.484999999999999"/>
    <n v="42.484999999999999"/>
    <n v="36"/>
    <s v="CATIVO"/>
    <n v="0"/>
    <n v="0"/>
    <n v="28"/>
    <n v="64"/>
    <n v="0"/>
    <n v="94.55"/>
    <n v="78.400000000000006"/>
    <m/>
    <n v="102.5548534812466"/>
    <n v="82.125317539118555"/>
    <n v="0"/>
    <n v="13645.757149999998"/>
    <n v="0"/>
    <n v="14571.397407914685"/>
    <x v="3"/>
  </r>
  <r>
    <s v="Regular"/>
    <x v="1"/>
    <x v="2"/>
    <x v="2"/>
    <x v="3"/>
    <x v="1"/>
    <x v="0"/>
    <x v="1"/>
    <x v="8"/>
    <n v="0"/>
    <n v="0"/>
    <n v="42.991"/>
    <n v="42.991"/>
    <n v="42.991"/>
    <n v="42.991"/>
    <n v="47"/>
    <s v="CATIVO"/>
    <n v="0"/>
    <n v="0"/>
    <n v="28"/>
    <n v="64"/>
    <n v="0"/>
    <n v="94.55"/>
    <n v="78.400000000000006"/>
    <m/>
    <n v="102.5548534812466"/>
    <n v="82.125317539118555"/>
    <n v="0"/>
    <n v="13808.279289999997"/>
    <n v="0"/>
    <n v="14744.944002910679"/>
    <x v="3"/>
  </r>
  <r>
    <s v="Regular"/>
    <x v="1"/>
    <x v="2"/>
    <x v="2"/>
    <x v="3"/>
    <x v="1"/>
    <x v="0"/>
    <x v="1"/>
    <x v="9"/>
    <n v="0"/>
    <n v="0"/>
    <n v="44.802999999999997"/>
    <n v="44.802999999999997"/>
    <n v="44.802999999999997"/>
    <n v="44.802999999999997"/>
    <n v="50"/>
    <s v="CATIVO"/>
    <n v="0"/>
    <n v="0"/>
    <n v="28"/>
    <n v="64"/>
    <n v="0"/>
    <n v="94.55"/>
    <n v="78.400000000000006"/>
    <m/>
    <n v="102.5548534812466"/>
    <n v="82.125317539118555"/>
    <n v="0"/>
    <n v="14390.275569999996"/>
    <n v="0"/>
    <n v="15366.41916127578"/>
    <x v="3"/>
  </r>
  <r>
    <s v="Regular"/>
    <x v="1"/>
    <x v="2"/>
    <x v="2"/>
    <x v="3"/>
    <x v="1"/>
    <x v="0"/>
    <x v="1"/>
    <x v="10"/>
    <n v="0"/>
    <n v="0"/>
    <n v="49.92"/>
    <n v="49.92"/>
    <n v="49.92"/>
    <n v="49.92"/>
    <n v="71"/>
    <s v="CATIVO"/>
    <n v="0"/>
    <n v="0"/>
    <n v="28"/>
    <n v="64"/>
    <n v="0"/>
    <n v="94.55"/>
    <n v="78.400000000000006"/>
    <m/>
    <n v="102.5548534812466"/>
    <n v="82.125317539118555"/>
    <n v="0"/>
    <n v="16033.804799999998"/>
    <n v="0"/>
    <n v="17121.434826482313"/>
    <x v="3"/>
  </r>
  <r>
    <s v="Sistema de Compensação"/>
    <x v="1"/>
    <x v="2"/>
    <x v="2"/>
    <x v="3"/>
    <x v="1"/>
    <x v="0"/>
    <x v="1"/>
    <x v="10"/>
    <n v="0"/>
    <n v="0"/>
    <n v="0.06"/>
    <n v="-1.7999999999999999E-2"/>
    <n v="0.06"/>
    <n v="-1.7999999999999999E-2"/>
    <n v="0"/>
    <s v="CATIVO"/>
    <n v="0"/>
    <n v="0"/>
    <n v="28"/>
    <n v="64"/>
    <n v="0"/>
    <n v="94.55"/>
    <n v="78.400000000000006"/>
    <m/>
    <n v="102.5548534812466"/>
    <n v="82.125317539118555"/>
    <n v="0"/>
    <n v="32.761499999999998"/>
    <n v="0"/>
    <n v="34.983700967572027"/>
    <x v="3"/>
  </r>
  <r>
    <s v="PROJETADO"/>
    <x v="1"/>
    <x v="2"/>
    <x v="2"/>
    <x v="3"/>
    <x v="1"/>
    <x v="0"/>
    <x v="1"/>
    <x v="11"/>
    <n v="0"/>
    <n v="0"/>
    <n v="49.92"/>
    <n v="49.92"/>
    <n v="49.92"/>
    <n v="49.92"/>
    <n v="71"/>
    <s v="CATIVO"/>
    <n v="0"/>
    <n v="0"/>
    <n v="28"/>
    <n v="64"/>
    <n v="0"/>
    <n v="94.55"/>
    <n v="78.400000000000006"/>
    <m/>
    <n v="102.5548534812466"/>
    <n v="82.125317539118555"/>
    <n v="0"/>
    <n v="16033.804799999998"/>
    <n v="0"/>
    <n v="17121.434826482313"/>
    <x v="3"/>
  </r>
  <r>
    <s v="PROJETADO"/>
    <x v="1"/>
    <x v="2"/>
    <x v="2"/>
    <x v="3"/>
    <x v="1"/>
    <x v="0"/>
    <x v="1"/>
    <x v="11"/>
    <n v="0"/>
    <n v="0"/>
    <n v="0.06"/>
    <n v="-1.7999999999999999E-2"/>
    <n v="0.06"/>
    <n v="-1.7999999999999999E-2"/>
    <n v="0"/>
    <s v="CATIVO"/>
    <n v="0"/>
    <n v="0"/>
    <n v="28"/>
    <n v="64"/>
    <n v="0"/>
    <n v="94.55"/>
    <n v="78.400000000000006"/>
    <m/>
    <n v="102.5548534812466"/>
    <n v="82.125317539118555"/>
    <n v="0"/>
    <n v="32.761499999999998"/>
    <n v="0"/>
    <n v="34.983700967572027"/>
    <x v="3"/>
  </r>
  <r>
    <s v="Regular"/>
    <x v="1"/>
    <x v="2"/>
    <x v="2"/>
    <x v="4"/>
    <x v="1"/>
    <x v="0"/>
    <x v="1"/>
    <x v="0"/>
    <n v="0"/>
    <n v="0"/>
    <n v="79.998000000000005"/>
    <n v="79.998000000000005"/>
    <n v="79.998000000000005"/>
    <n v="79.998000000000005"/>
    <n v="276"/>
    <s v="CATIVO"/>
    <n v="0"/>
    <n v="0"/>
    <n v="30"/>
    <n v="32"/>
    <n v="0"/>
    <n v="162.08000000000001"/>
    <n v="134.4"/>
    <m/>
    <n v="175.8083202535656"/>
    <n v="140.78625863848896"/>
    <n v="0"/>
    <n v="15812.404679999996"/>
    <n v="0"/>
    <n v="16884.622081471054"/>
    <x v="3"/>
  </r>
  <r>
    <s v="Regular"/>
    <x v="1"/>
    <x v="2"/>
    <x v="2"/>
    <x v="4"/>
    <x v="1"/>
    <x v="0"/>
    <x v="1"/>
    <x v="1"/>
    <n v="0"/>
    <n v="0"/>
    <n v="83.417000000000002"/>
    <n v="83.417000000000002"/>
    <n v="83.417000000000002"/>
    <n v="83.417000000000002"/>
    <n v="230"/>
    <s v="CATIVO"/>
    <n v="0"/>
    <n v="0"/>
    <n v="30"/>
    <n v="32"/>
    <n v="0"/>
    <n v="162.08000000000001"/>
    <n v="134.4"/>
    <m/>
    <n v="175.8083202535656"/>
    <n v="140.78625863848896"/>
    <n v="0"/>
    <n v="16488.204219999996"/>
    <n v="0"/>
    <n v="17606.246658292344"/>
    <x v="3"/>
  </r>
  <r>
    <s v="Regular"/>
    <x v="1"/>
    <x v="2"/>
    <x v="2"/>
    <x v="4"/>
    <x v="1"/>
    <x v="0"/>
    <x v="1"/>
    <x v="2"/>
    <n v="0"/>
    <n v="0"/>
    <n v="83.188999999999993"/>
    <n v="83.188999999999993"/>
    <n v="83.188999999999993"/>
    <n v="83.188999999999993"/>
    <n v="269"/>
    <s v="CATIVO"/>
    <n v="0"/>
    <n v="0"/>
    <n v="30"/>
    <n v="32"/>
    <n v="0"/>
    <n v="162.08000000000001"/>
    <n v="134.4"/>
    <m/>
    <n v="175.8083202535656"/>
    <n v="140.78625863848896"/>
    <n v="0"/>
    <n v="16443.137739999995"/>
    <n v="0"/>
    <n v="17558.124282300749"/>
    <x v="3"/>
  </r>
  <r>
    <s v="Refaturamento - Regular"/>
    <x v="1"/>
    <x v="2"/>
    <x v="2"/>
    <x v="4"/>
    <x v="1"/>
    <x v="0"/>
    <x v="1"/>
    <x v="2"/>
    <n v="0"/>
    <n v="0"/>
    <n v="6.3E-2"/>
    <n v="6.3E-2"/>
    <n v="6.3E-2"/>
    <n v="6.3E-2"/>
    <n v="0"/>
    <s v="CATIVO"/>
    <n v="0"/>
    <n v="0"/>
    <n v="30"/>
    <n v="32"/>
    <n v="0"/>
    <n v="162.08000000000001"/>
    <n v="134.4"/>
    <m/>
    <n v="175.8083202535656"/>
    <n v="140.78625863848896"/>
    <n v="0"/>
    <n v="12.452579999999996"/>
    <n v="0"/>
    <n v="13.296972313466291"/>
    <x v="3"/>
  </r>
  <r>
    <s v="Regular"/>
    <x v="1"/>
    <x v="2"/>
    <x v="2"/>
    <x v="4"/>
    <x v="1"/>
    <x v="0"/>
    <x v="1"/>
    <x v="3"/>
    <n v="0"/>
    <n v="0"/>
    <n v="84.503"/>
    <n v="84.503"/>
    <n v="84.503"/>
    <n v="84.503"/>
    <n v="244"/>
    <s v="CATIVO"/>
    <n v="0"/>
    <n v="0"/>
    <n v="30"/>
    <n v="32"/>
    <n v="0"/>
    <n v="162.08000000000001"/>
    <n v="134.4"/>
    <m/>
    <n v="175.8083202535656"/>
    <n v="140.78625863848896"/>
    <n v="0"/>
    <n v="16702.862979999994"/>
    <n v="0"/>
    <n v="17835.46113341019"/>
    <x v="3"/>
  </r>
  <r>
    <s v="Regular"/>
    <x v="1"/>
    <x v="2"/>
    <x v="2"/>
    <x v="4"/>
    <x v="1"/>
    <x v="0"/>
    <x v="1"/>
    <x v="4"/>
    <n v="0"/>
    <n v="0"/>
    <n v="85.695999999999998"/>
    <n v="85.695999999999998"/>
    <n v="85.695999999999998"/>
    <n v="85.695999999999998"/>
    <n v="244"/>
    <s v="CATIVO"/>
    <n v="0"/>
    <n v="0"/>
    <n v="30"/>
    <n v="32"/>
    <n v="0"/>
    <n v="162.08000000000001"/>
    <n v="134.4"/>
    <m/>
    <n v="175.8083202535656"/>
    <n v="140.78625863848896"/>
    <n v="0"/>
    <n v="16938.671359999993"/>
    <n v="0"/>
    <n v="18087.259355155671"/>
    <x v="3"/>
  </r>
  <r>
    <s v="Refaturamento - Regular"/>
    <x v="1"/>
    <x v="2"/>
    <x v="2"/>
    <x v="4"/>
    <x v="1"/>
    <x v="0"/>
    <x v="1"/>
    <x v="4"/>
    <n v="0"/>
    <n v="0"/>
    <n v="4.2999999999999997E-2"/>
    <n v="4.2999999999999997E-2"/>
    <n v="4.2999999999999997E-2"/>
    <n v="4.2999999999999997E-2"/>
    <n v="0"/>
    <s v="CATIVO"/>
    <n v="0"/>
    <n v="0"/>
    <n v="30"/>
    <n v="32"/>
    <n v="0"/>
    <n v="162.08000000000001"/>
    <n v="134.4"/>
    <m/>
    <n v="175.8083202535656"/>
    <n v="140.78625863848896"/>
    <n v="0"/>
    <n v="8.4993799999999968"/>
    <n v="0"/>
    <n v="9.0757112615722306"/>
    <x v="3"/>
  </r>
  <r>
    <s v="Regular"/>
    <x v="1"/>
    <x v="2"/>
    <x v="2"/>
    <x v="4"/>
    <x v="1"/>
    <x v="0"/>
    <x v="1"/>
    <x v="5"/>
    <n v="0"/>
    <n v="0"/>
    <n v="89.171000000000006"/>
    <n v="89.171000000000006"/>
    <n v="89.171000000000006"/>
    <n v="89.171000000000006"/>
    <n v="161"/>
    <s v="CATIVO"/>
    <n v="0"/>
    <n v="0"/>
    <n v="30"/>
    <n v="32"/>
    <n v="0"/>
    <n v="162.08000000000001"/>
    <n v="134.4"/>
    <m/>
    <n v="175.8083202535656"/>
    <n v="140.78625863848896"/>
    <n v="0"/>
    <n v="17625.539859999997"/>
    <n v="0"/>
    <n v="18820.703462922265"/>
    <x v="3"/>
  </r>
  <r>
    <s v="Refaturamento - Regular"/>
    <x v="1"/>
    <x v="2"/>
    <x v="2"/>
    <x v="4"/>
    <x v="1"/>
    <x v="0"/>
    <x v="1"/>
    <x v="5"/>
    <n v="0"/>
    <n v="0"/>
    <n v="-6.8000000000000005E-2"/>
    <n v="-6.8000000000000005E-2"/>
    <n v="-6.8000000000000005E-2"/>
    <n v="-6.8000000000000005E-2"/>
    <n v="0"/>
    <s v="CATIVO"/>
    <n v="0"/>
    <n v="0"/>
    <n v="30"/>
    <n v="32"/>
    <n v="0"/>
    <n v="162.08000000000001"/>
    <n v="134.4"/>
    <m/>
    <n v="175.8083202535656"/>
    <n v="140.78625863848896"/>
    <n v="0"/>
    <n v="-13.440879999999996"/>
    <n v="0"/>
    <n v="-14.352287576439808"/>
    <x v="3"/>
  </r>
  <r>
    <s v="Regular"/>
    <x v="1"/>
    <x v="2"/>
    <x v="2"/>
    <x v="4"/>
    <x v="1"/>
    <x v="0"/>
    <x v="1"/>
    <x v="6"/>
    <n v="0"/>
    <n v="0"/>
    <n v="90.623000000000005"/>
    <n v="90.623000000000005"/>
    <n v="90.623000000000005"/>
    <n v="90.623000000000005"/>
    <n v="166"/>
    <s v="CATIVO"/>
    <n v="0"/>
    <n v="0"/>
    <n v="30"/>
    <n v="32"/>
    <n v="0"/>
    <n v="162.08000000000001"/>
    <n v="134.4"/>
    <m/>
    <n v="175.8083202535656"/>
    <n v="140.78625863848896"/>
    <n v="0"/>
    <n v="17912.542179999997"/>
    <n v="0"/>
    <n v="19127.167015289775"/>
    <x v="3"/>
  </r>
  <r>
    <s v="Regular"/>
    <x v="1"/>
    <x v="2"/>
    <x v="2"/>
    <x v="4"/>
    <x v="1"/>
    <x v="0"/>
    <x v="1"/>
    <x v="7"/>
    <n v="0"/>
    <n v="0"/>
    <n v="91.774000000000001"/>
    <n v="91.774000000000001"/>
    <n v="91.774000000000001"/>
    <n v="91.774000000000001"/>
    <n v="177"/>
    <s v="CATIVO"/>
    <n v="0"/>
    <n v="0"/>
    <n v="30"/>
    <n v="32"/>
    <n v="0"/>
    <n v="162.08000000000001"/>
    <n v="134.4"/>
    <m/>
    <n v="175.8083202535656"/>
    <n v="140.78625863848896"/>
    <n v="0"/>
    <n v="18140.048839999996"/>
    <n v="0"/>
    <n v="19370.100588826277"/>
    <x v="3"/>
  </r>
  <r>
    <s v="Regular"/>
    <x v="1"/>
    <x v="2"/>
    <x v="2"/>
    <x v="4"/>
    <x v="1"/>
    <x v="0"/>
    <x v="1"/>
    <x v="8"/>
    <n v="0"/>
    <n v="0"/>
    <n v="92.322999999999993"/>
    <n v="92.322999999999993"/>
    <n v="92.322999999999993"/>
    <n v="92.322999999999993"/>
    <n v="189"/>
    <s v="CATIVO"/>
    <n v="0"/>
    <n v="0"/>
    <n v="30"/>
    <n v="32"/>
    <n v="0"/>
    <n v="162.08000000000001"/>
    <n v="134.4"/>
    <m/>
    <n v="175.8083202535656"/>
    <n v="140.78625863848896"/>
    <n v="0"/>
    <n v="18248.564179999994"/>
    <n v="0"/>
    <n v="19485.974204700768"/>
    <x v="3"/>
  </r>
  <r>
    <s v="Refaturamento - Regular"/>
    <x v="1"/>
    <x v="2"/>
    <x v="2"/>
    <x v="4"/>
    <x v="1"/>
    <x v="0"/>
    <x v="1"/>
    <x v="8"/>
    <n v="0"/>
    <n v="0"/>
    <n v="5.8000000000000003E-2"/>
    <n v="5.8000000000000003E-2"/>
    <n v="5.8000000000000003E-2"/>
    <n v="5.8000000000000003E-2"/>
    <n v="0"/>
    <s v="CATIVO"/>
    <n v="0"/>
    <n v="0"/>
    <n v="30"/>
    <n v="32"/>
    <n v="0"/>
    <n v="162.08000000000001"/>
    <n v="134.4"/>
    <m/>
    <n v="175.8083202535656"/>
    <n v="140.78625863848896"/>
    <n v="0"/>
    <n v="11.464279999999997"/>
    <n v="0"/>
    <n v="12.241657050492776"/>
    <x v="3"/>
  </r>
  <r>
    <s v="Regular"/>
    <x v="1"/>
    <x v="2"/>
    <x v="2"/>
    <x v="4"/>
    <x v="1"/>
    <x v="0"/>
    <x v="1"/>
    <x v="9"/>
    <n v="0"/>
    <n v="0"/>
    <n v="93.614000000000004"/>
    <n v="93.614000000000004"/>
    <n v="93.614000000000004"/>
    <n v="93.614000000000004"/>
    <n v="267"/>
    <s v="CATIVO"/>
    <n v="0"/>
    <n v="0"/>
    <n v="30"/>
    <n v="32"/>
    <n v="0"/>
    <n v="162.08000000000001"/>
    <n v="134.4"/>
    <m/>
    <n v="175.8083202535656"/>
    <n v="140.78625863848896"/>
    <n v="0"/>
    <n v="18503.743239999996"/>
    <n v="0"/>
    <n v="19758.456605600531"/>
    <x v="3"/>
  </r>
  <r>
    <s v="Regular"/>
    <x v="1"/>
    <x v="2"/>
    <x v="2"/>
    <x v="4"/>
    <x v="1"/>
    <x v="0"/>
    <x v="1"/>
    <x v="10"/>
    <n v="0"/>
    <n v="0"/>
    <n v="101.9"/>
    <n v="101.9"/>
    <n v="101.9"/>
    <n v="101.9"/>
    <n v="333"/>
    <s v="CATIVO"/>
    <n v="0"/>
    <n v="0"/>
    <n v="30"/>
    <n v="32"/>
    <n v="0"/>
    <n v="162.08000000000001"/>
    <n v="134.4"/>
    <m/>
    <n v="175.8083202535656"/>
    <n v="140.78625863848896"/>
    <n v="0"/>
    <n v="20141.553999999996"/>
    <n v="0"/>
    <n v="21507.325059400242"/>
    <x v="3"/>
  </r>
  <r>
    <s v="Sistema de Compensação"/>
    <x v="1"/>
    <x v="2"/>
    <x v="2"/>
    <x v="4"/>
    <x v="1"/>
    <x v="0"/>
    <x v="1"/>
    <x v="10"/>
    <n v="0"/>
    <n v="0"/>
    <n v="1.4E-2"/>
    <n v="2.8E-3"/>
    <n v="1.4E-2"/>
    <n v="2.8E-3"/>
    <n v="0"/>
    <s v="CATIVO"/>
    <n v="0"/>
    <n v="0"/>
    <n v="30"/>
    <n v="32"/>
    <n v="0"/>
    <n v="162.08000000000001"/>
    <n v="134.4"/>
    <m/>
    <n v="175.8083202535656"/>
    <n v="140.78625863848896"/>
    <n v="0"/>
    <n v="6.0878159999999992"/>
    <n v="0"/>
    <n v="6.5007420199168529"/>
    <x v="3"/>
  </r>
  <r>
    <s v="PROJETADO"/>
    <x v="1"/>
    <x v="2"/>
    <x v="2"/>
    <x v="4"/>
    <x v="1"/>
    <x v="0"/>
    <x v="1"/>
    <x v="11"/>
    <n v="0"/>
    <n v="0"/>
    <n v="101.9"/>
    <n v="101.9"/>
    <n v="101.9"/>
    <n v="101.9"/>
    <n v="333"/>
    <s v="CATIVO"/>
    <n v="0"/>
    <n v="0"/>
    <n v="30"/>
    <n v="32"/>
    <n v="0"/>
    <n v="162.08000000000001"/>
    <n v="134.4"/>
    <m/>
    <n v="175.8083202535656"/>
    <n v="140.78625863848896"/>
    <n v="0"/>
    <n v="20141.553999999996"/>
    <n v="0"/>
    <n v="21507.325059400242"/>
    <x v="3"/>
  </r>
  <r>
    <s v="PROJETADO"/>
    <x v="1"/>
    <x v="2"/>
    <x v="2"/>
    <x v="4"/>
    <x v="1"/>
    <x v="0"/>
    <x v="1"/>
    <x v="11"/>
    <n v="0"/>
    <n v="0"/>
    <n v="1.4E-2"/>
    <n v="2.8E-3"/>
    <n v="1.4E-2"/>
    <n v="2.8E-3"/>
    <n v="0"/>
    <s v="CATIVO"/>
    <n v="0"/>
    <n v="0"/>
    <n v="30"/>
    <n v="32"/>
    <n v="0"/>
    <n v="162.08000000000001"/>
    <n v="134.4"/>
    <m/>
    <n v="175.8083202535656"/>
    <n v="140.78625863848896"/>
    <n v="0"/>
    <n v="6.0878159999999992"/>
    <n v="0"/>
    <n v="6.5007420199168529"/>
    <x v="3"/>
  </r>
  <r>
    <s v="Regular"/>
    <x v="1"/>
    <x v="2"/>
    <x v="2"/>
    <x v="5"/>
    <x v="1"/>
    <x v="0"/>
    <x v="1"/>
    <x v="0"/>
    <n v="0"/>
    <n v="0"/>
    <n v="77.028999999999996"/>
    <n v="77.028999999999996"/>
    <n v="77.028999999999996"/>
    <n v="77.028999999999996"/>
    <n v="652"/>
    <s v="CATIVO"/>
    <n v="0"/>
    <n v="0"/>
    <n v="37"/>
    <n v="58"/>
    <n v="0"/>
    <n v="243.12"/>
    <n v="201.61"/>
    <m/>
    <n v="263.71248038034844"/>
    <n v="211.17938795773344"/>
    <n v="0"/>
    <n v="3806.0028899999975"/>
    <n v="0"/>
    <n v="4064.4939695793437"/>
    <x v="3"/>
  </r>
  <r>
    <s v="Refaturamento - Regular"/>
    <x v="1"/>
    <x v="2"/>
    <x v="2"/>
    <x v="5"/>
    <x v="1"/>
    <x v="0"/>
    <x v="1"/>
    <x v="0"/>
    <n v="0"/>
    <n v="0"/>
    <n v="-6.7000000000000004E-2"/>
    <n v="-6.7000000000000004E-2"/>
    <n v="-6.7000000000000004E-2"/>
    <n v="-6.7000000000000004E-2"/>
    <n v="0"/>
    <s v="CATIVO"/>
    <n v="0"/>
    <n v="0"/>
    <n v="37"/>
    <n v="58"/>
    <n v="0"/>
    <n v="243.12"/>
    <n v="201.61"/>
    <m/>
    <n v="263.71248038034844"/>
    <n v="211.17938795773344"/>
    <n v="0"/>
    <n v="-3.3104699999999982"/>
    <n v="0"/>
    <n v="-3.535306130961275"/>
    <x v="3"/>
  </r>
  <r>
    <s v="Regular"/>
    <x v="1"/>
    <x v="2"/>
    <x v="2"/>
    <x v="5"/>
    <x v="1"/>
    <x v="0"/>
    <x v="1"/>
    <x v="1"/>
    <n v="0"/>
    <n v="0"/>
    <n v="85.152000000000001"/>
    <n v="85.152000000000001"/>
    <n v="85.152000000000001"/>
    <n v="85.152000000000001"/>
    <n v="652"/>
    <s v="CATIVO"/>
    <n v="0"/>
    <n v="0"/>
    <n v="37"/>
    <n v="58"/>
    <n v="0"/>
    <n v="243.12"/>
    <n v="201.61"/>
    <m/>
    <n v="263.71248038034844"/>
    <n v="211.17938795773344"/>
    <n v="0"/>
    <n v="4207.360319999997"/>
    <n v="0"/>
    <n v="4493.1102636360374"/>
    <x v="3"/>
  </r>
  <r>
    <s v="Refaturamento - Regular"/>
    <x v="1"/>
    <x v="2"/>
    <x v="2"/>
    <x v="5"/>
    <x v="1"/>
    <x v="0"/>
    <x v="1"/>
    <x v="1"/>
    <n v="0"/>
    <n v="0"/>
    <n v="-8.5000000000000006E-2"/>
    <n v="-8.5000000000000006E-2"/>
    <n v="-8.5000000000000006E-2"/>
    <n v="-8.5000000000000006E-2"/>
    <n v="0"/>
    <s v="CATIVO"/>
    <n v="0"/>
    <n v="0"/>
    <n v="37"/>
    <n v="58"/>
    <n v="0"/>
    <n v="243.12"/>
    <n v="201.61"/>
    <m/>
    <n v="263.71248038034844"/>
    <n v="211.17938795773344"/>
    <n v="0"/>
    <n v="-4.1998499999999979"/>
    <n v="0"/>
    <n v="-4.4850898676374387"/>
    <x v="3"/>
  </r>
  <r>
    <s v="Regular"/>
    <x v="1"/>
    <x v="2"/>
    <x v="2"/>
    <x v="5"/>
    <x v="1"/>
    <x v="0"/>
    <x v="1"/>
    <x v="2"/>
    <n v="0"/>
    <n v="0"/>
    <n v="79.515000000000001"/>
    <n v="79.515000000000001"/>
    <n v="79.515000000000001"/>
    <n v="79.515000000000001"/>
    <n v="705"/>
    <s v="CATIVO"/>
    <n v="0"/>
    <n v="0"/>
    <n v="37"/>
    <n v="58"/>
    <n v="0"/>
    <n v="243.12"/>
    <n v="201.61"/>
    <m/>
    <n v="263.71248038034844"/>
    <n v="211.17938795773344"/>
    <n v="0"/>
    <n v="3928.8361499999974"/>
    <n v="0"/>
    <n v="4195.6696567669524"/>
    <x v="3"/>
  </r>
  <r>
    <s v="Refaturamento - Regular"/>
    <x v="1"/>
    <x v="2"/>
    <x v="2"/>
    <x v="5"/>
    <x v="1"/>
    <x v="0"/>
    <x v="1"/>
    <x v="2"/>
    <n v="0"/>
    <n v="0"/>
    <n v="-1.9E-2"/>
    <n v="-1.9E-2"/>
    <n v="-1.9E-2"/>
    <n v="-1.9E-2"/>
    <n v="0"/>
    <s v="CATIVO"/>
    <n v="0"/>
    <n v="0"/>
    <n v="37"/>
    <n v="58"/>
    <n v="0"/>
    <n v="243.12"/>
    <n v="201.61"/>
    <m/>
    <n v="263.71248038034844"/>
    <n v="211.17938795773344"/>
    <n v="0"/>
    <n v="-0.93878999999999935"/>
    <n v="0"/>
    <n v="-1.0025494998248392"/>
    <x v="3"/>
  </r>
  <r>
    <s v="Regular"/>
    <x v="1"/>
    <x v="2"/>
    <x v="2"/>
    <x v="5"/>
    <x v="1"/>
    <x v="0"/>
    <x v="1"/>
    <x v="3"/>
    <n v="0"/>
    <n v="0"/>
    <n v="82.828000000000003"/>
    <n v="82.828000000000003"/>
    <n v="82.828000000000003"/>
    <n v="82.828000000000003"/>
    <n v="702"/>
    <s v="CATIVO"/>
    <n v="0"/>
    <n v="0"/>
    <n v="37"/>
    <n v="58"/>
    <n v="0"/>
    <n v="243.12"/>
    <n v="201.61"/>
    <m/>
    <n v="263.71248038034844"/>
    <n v="211.17938795773344"/>
    <n v="0"/>
    <n v="4092.5314799999974"/>
    <n v="0"/>
    <n v="4370.4826300785144"/>
    <x v="3"/>
  </r>
  <r>
    <s v="Refaturamento - Regular"/>
    <x v="1"/>
    <x v="2"/>
    <x v="2"/>
    <x v="5"/>
    <x v="1"/>
    <x v="0"/>
    <x v="1"/>
    <x v="3"/>
    <n v="0"/>
    <n v="0"/>
    <n v="-0.11"/>
    <n v="-0.11"/>
    <n v="-0.11"/>
    <n v="-0.11"/>
    <n v="0"/>
    <s v="CATIVO"/>
    <n v="0"/>
    <n v="0"/>
    <n v="37"/>
    <n v="58"/>
    <n v="0"/>
    <n v="243.12"/>
    <n v="201.61"/>
    <m/>
    <n v="263.71248038034844"/>
    <n v="211.17938795773344"/>
    <n v="0"/>
    <n v="-5.4350999999999967"/>
    <n v="0"/>
    <n v="-5.8042339463543318"/>
    <x v="3"/>
  </r>
  <r>
    <s v="Regular"/>
    <x v="1"/>
    <x v="2"/>
    <x v="2"/>
    <x v="5"/>
    <x v="1"/>
    <x v="0"/>
    <x v="1"/>
    <x v="4"/>
    <n v="0"/>
    <n v="0"/>
    <n v="82.319000000000003"/>
    <n v="82.319000000000003"/>
    <n v="82.319000000000003"/>
    <n v="82.319000000000003"/>
    <n v="726"/>
    <s v="CATIVO"/>
    <n v="0"/>
    <n v="0"/>
    <n v="37"/>
    <n v="58"/>
    <n v="0"/>
    <n v="243.12"/>
    <n v="201.61"/>
    <m/>
    <n v="263.71248038034844"/>
    <n v="211.17938795773344"/>
    <n v="0"/>
    <n v="4067.3817899999976"/>
    <n v="0"/>
    <n v="4343.624856635839"/>
    <x v="3"/>
  </r>
  <r>
    <s v="Refaturamento - Regular"/>
    <x v="1"/>
    <x v="2"/>
    <x v="2"/>
    <x v="5"/>
    <x v="1"/>
    <x v="0"/>
    <x v="1"/>
    <x v="4"/>
    <n v="0"/>
    <n v="0"/>
    <n v="-5.8000000000000003E-2"/>
    <n v="-5.8000000000000003E-2"/>
    <n v="-5.8000000000000003E-2"/>
    <n v="-5.8000000000000003E-2"/>
    <n v="0"/>
    <s v="CATIVO"/>
    <n v="0"/>
    <n v="0"/>
    <n v="37"/>
    <n v="58"/>
    <n v="0"/>
    <n v="243.12"/>
    <n v="201.61"/>
    <m/>
    <n v="263.71248038034844"/>
    <n v="211.17938795773344"/>
    <n v="0"/>
    <n v="-2.8657799999999982"/>
    <n v="0"/>
    <n v="-3.0604142626231932"/>
    <x v="3"/>
  </r>
  <r>
    <s v="Regular"/>
    <x v="1"/>
    <x v="2"/>
    <x v="2"/>
    <x v="5"/>
    <x v="1"/>
    <x v="0"/>
    <x v="1"/>
    <x v="5"/>
    <n v="0"/>
    <n v="0"/>
    <n v="104.45399999999999"/>
    <n v="104.45399999999999"/>
    <n v="104.45399999999999"/>
    <n v="104.45399999999999"/>
    <n v="616"/>
    <s v="CATIVO"/>
    <n v="0"/>
    <n v="0"/>
    <n v="37"/>
    <n v="58"/>
    <n v="0"/>
    <n v="243.12"/>
    <n v="201.61"/>
    <m/>
    <n v="263.71248038034844"/>
    <n v="211.17938795773344"/>
    <n v="0"/>
    <n v="5161.0721399999966"/>
    <n v="0"/>
    <n v="5511.5950239317763"/>
    <x v="3"/>
  </r>
  <r>
    <s v="Refaturamento - Regular"/>
    <x v="1"/>
    <x v="2"/>
    <x v="2"/>
    <x v="5"/>
    <x v="1"/>
    <x v="0"/>
    <x v="1"/>
    <x v="5"/>
    <n v="0"/>
    <n v="0"/>
    <n v="-0.12"/>
    <n v="-0.12"/>
    <n v="-0.12"/>
    <n v="-0.12"/>
    <n v="0"/>
    <s v="CATIVO"/>
    <n v="0"/>
    <n v="0"/>
    <n v="37"/>
    <n v="58"/>
    <n v="0"/>
    <n v="243.12"/>
    <n v="201.61"/>
    <m/>
    <n v="263.71248038034844"/>
    <n v="211.17938795773344"/>
    <n v="0"/>
    <n v="-5.9291999999999963"/>
    <n v="0"/>
    <n v="-6.3318915778410894"/>
    <x v="3"/>
  </r>
  <r>
    <s v="Regular"/>
    <x v="1"/>
    <x v="2"/>
    <x v="2"/>
    <x v="5"/>
    <x v="1"/>
    <x v="0"/>
    <x v="1"/>
    <x v="6"/>
    <n v="0"/>
    <n v="0"/>
    <n v="105.911"/>
    <n v="105.911"/>
    <n v="105.911"/>
    <n v="105.911"/>
    <n v="626"/>
    <s v="CATIVO"/>
    <n v="0"/>
    <n v="0"/>
    <n v="37"/>
    <n v="58"/>
    <n v="0"/>
    <n v="243.12"/>
    <n v="201.61"/>
    <m/>
    <n v="263.71248038034844"/>
    <n v="211.17938795773344"/>
    <n v="0"/>
    <n v="5233.062509999997"/>
    <n v="0"/>
    <n v="5588.4747408393969"/>
    <x v="3"/>
  </r>
  <r>
    <s v="Regular"/>
    <x v="1"/>
    <x v="2"/>
    <x v="2"/>
    <x v="5"/>
    <x v="1"/>
    <x v="0"/>
    <x v="1"/>
    <x v="7"/>
    <n v="0"/>
    <n v="0"/>
    <n v="103.733"/>
    <n v="103.733"/>
    <n v="103.733"/>
    <n v="103.733"/>
    <n v="682"/>
    <s v="CATIVO"/>
    <n v="0"/>
    <n v="0"/>
    <n v="37"/>
    <n v="58"/>
    <n v="0"/>
    <n v="243.12"/>
    <n v="201.61"/>
    <m/>
    <n v="263.71248038034844"/>
    <n v="211.17938795773344"/>
    <n v="0"/>
    <n v="5125.4475299999967"/>
    <n v="0"/>
    <n v="5473.5509087015816"/>
    <x v="3"/>
  </r>
  <r>
    <s v="Refaturamento - Regular"/>
    <x v="1"/>
    <x v="2"/>
    <x v="2"/>
    <x v="5"/>
    <x v="1"/>
    <x v="0"/>
    <x v="1"/>
    <x v="7"/>
    <n v="0"/>
    <n v="0"/>
    <n v="-4.3999999999999997E-2"/>
    <n v="-4.3999999999999997E-2"/>
    <n v="-4.3999999999999997E-2"/>
    <n v="-4.3999999999999997E-2"/>
    <n v="0"/>
    <s v="CATIVO"/>
    <n v="0"/>
    <n v="0"/>
    <n v="37"/>
    <n v="58"/>
    <n v="0"/>
    <n v="243.12"/>
    <n v="201.61"/>
    <m/>
    <n v="263.71248038034844"/>
    <n v="211.17938795773344"/>
    <n v="0"/>
    <n v="-2.1740399999999984"/>
    <n v="0"/>
    <n v="-2.3216935785417325"/>
    <x v="3"/>
  </r>
  <r>
    <s v="Regular"/>
    <x v="1"/>
    <x v="2"/>
    <x v="2"/>
    <x v="5"/>
    <x v="1"/>
    <x v="0"/>
    <x v="1"/>
    <x v="8"/>
    <n v="0"/>
    <n v="0"/>
    <n v="101.02200000000001"/>
    <n v="101.02200000000001"/>
    <n v="101.02200000000001"/>
    <n v="101.02200000000001"/>
    <n v="726"/>
    <s v="CATIVO"/>
    <n v="0"/>
    <n v="0"/>
    <n v="37"/>
    <n v="58"/>
    <n v="0"/>
    <n v="243.12"/>
    <n v="201.61"/>
    <m/>
    <n v="263.71248038034844"/>
    <n v="211.17938795773344"/>
    <n v="0"/>
    <n v="4991.4970199999971"/>
    <n v="0"/>
    <n v="5330.5029248055216"/>
    <x v="3"/>
  </r>
  <r>
    <s v="Refaturamento - Regular"/>
    <x v="1"/>
    <x v="2"/>
    <x v="2"/>
    <x v="5"/>
    <x v="1"/>
    <x v="0"/>
    <x v="1"/>
    <x v="8"/>
    <n v="0"/>
    <n v="0"/>
    <n v="5.8999999999999997E-2"/>
    <n v="5.8999999999999997E-2"/>
    <n v="5.8999999999999997E-2"/>
    <n v="5.8999999999999997E-2"/>
    <n v="0"/>
    <s v="CATIVO"/>
    <n v="0"/>
    <n v="0"/>
    <n v="37"/>
    <n v="58"/>
    <n v="0"/>
    <n v="243.12"/>
    <n v="201.61"/>
    <m/>
    <n v="263.71248038034844"/>
    <n v="211.17938795773344"/>
    <n v="0"/>
    <n v="2.9151899999999982"/>
    <n v="0"/>
    <n v="3.1131800257718689"/>
    <x v="3"/>
  </r>
  <r>
    <s v="Regular"/>
    <x v="1"/>
    <x v="2"/>
    <x v="2"/>
    <x v="5"/>
    <x v="1"/>
    <x v="0"/>
    <x v="1"/>
    <x v="9"/>
    <n v="0"/>
    <n v="0"/>
    <n v="91.027000000000001"/>
    <n v="91.027000000000001"/>
    <n v="91.027000000000001"/>
    <n v="91.027000000000001"/>
    <n v="817"/>
    <s v="CATIVO"/>
    <n v="0"/>
    <n v="0"/>
    <n v="37"/>
    <n v="58"/>
    <n v="0"/>
    <n v="243.12"/>
    <n v="201.61"/>
    <m/>
    <n v="263.71248038034844"/>
    <n v="211.17938795773344"/>
    <n v="0"/>
    <n v="4497.6440699999976"/>
    <n v="0"/>
    <n v="4803.1091221345068"/>
    <x v="3"/>
  </r>
  <r>
    <s v="Regular"/>
    <x v="1"/>
    <x v="2"/>
    <x v="2"/>
    <x v="5"/>
    <x v="1"/>
    <x v="0"/>
    <x v="1"/>
    <x v="10"/>
    <n v="0"/>
    <n v="0"/>
    <n v="99.652000000000001"/>
    <n v="99.652000000000001"/>
    <n v="99.652000000000001"/>
    <n v="99.652000000000001"/>
    <n v="825"/>
    <s v="CATIVO"/>
    <n v="0"/>
    <n v="0"/>
    <n v="37"/>
    <n v="58"/>
    <n v="0"/>
    <n v="243.12"/>
    <n v="201.61"/>
    <m/>
    <n v="263.71248038034844"/>
    <n v="211.17938795773344"/>
    <n v="0"/>
    <n v="4923.8053199999968"/>
    <n v="0"/>
    <n v="5258.2138292918353"/>
    <x v="3"/>
  </r>
  <r>
    <s v="PROJETADO"/>
    <x v="1"/>
    <x v="2"/>
    <x v="2"/>
    <x v="5"/>
    <x v="1"/>
    <x v="0"/>
    <x v="1"/>
    <x v="11"/>
    <n v="0"/>
    <n v="0"/>
    <n v="99.652000000000001"/>
    <n v="99.652000000000001"/>
    <n v="99.652000000000001"/>
    <n v="99.652000000000001"/>
    <n v="825"/>
    <s v="CATIVO"/>
    <n v="0"/>
    <n v="0"/>
    <n v="37"/>
    <n v="58"/>
    <n v="0"/>
    <n v="243.12"/>
    <n v="201.61"/>
    <m/>
    <n v="263.71248038034844"/>
    <n v="211.17938795773344"/>
    <n v="0"/>
    <n v="4923.8053199999968"/>
    <n v="0"/>
    <n v="5258.2138292918353"/>
    <x v="3"/>
  </r>
  <r>
    <s v="Regular"/>
    <x v="1"/>
    <x v="2"/>
    <x v="2"/>
    <x v="6"/>
    <x v="1"/>
    <x v="0"/>
    <x v="1"/>
    <x v="0"/>
    <n v="0"/>
    <n v="0"/>
    <n v="25.678999999999998"/>
    <n v="25.678999999999998"/>
    <n v="25.678999999999998"/>
    <n v="25.678999999999998"/>
    <n v="322"/>
    <s v="CATIVO"/>
    <n v="0"/>
    <n v="0"/>
    <n v="6"/>
    <n v="34"/>
    <n v="0"/>
    <n v="270.13"/>
    <n v="224.01"/>
    <m/>
    <n v="293.013867089276"/>
    <n v="234.64376439748159"/>
    <n v="0"/>
    <n v="0"/>
    <n v="0"/>
    <n v="7.2984107646334446E-13"/>
    <x v="3"/>
  </r>
  <r>
    <s v="Refaturamento - Regular"/>
    <x v="1"/>
    <x v="2"/>
    <x v="2"/>
    <x v="6"/>
    <x v="1"/>
    <x v="0"/>
    <x v="1"/>
    <x v="0"/>
    <n v="0"/>
    <n v="0"/>
    <n v="-0.13300000000000001"/>
    <n v="-0.13300000000000001"/>
    <n v="-0.13300000000000001"/>
    <n v="-0.13300000000000001"/>
    <n v="0"/>
    <s v="CATIVO"/>
    <n v="0"/>
    <n v="0"/>
    <n v="6"/>
    <n v="34"/>
    <n v="0"/>
    <n v="270.13"/>
    <n v="224.01"/>
    <m/>
    <n v="293.013867089276"/>
    <n v="234.64376439748159"/>
    <n v="0"/>
    <n v="0"/>
    <n v="0"/>
    <n v="-3.7800873542437332E-15"/>
    <x v="3"/>
  </r>
  <r>
    <s v="Regular"/>
    <x v="1"/>
    <x v="2"/>
    <x v="2"/>
    <x v="6"/>
    <x v="1"/>
    <x v="0"/>
    <x v="1"/>
    <x v="1"/>
    <n v="0"/>
    <n v="0"/>
    <n v="33.174999999999997"/>
    <n v="33.174999999999997"/>
    <n v="33.174999999999997"/>
    <n v="33.174999999999997"/>
    <n v="390"/>
    <s v="CATIVO"/>
    <n v="0"/>
    <n v="0"/>
    <n v="6"/>
    <n v="34"/>
    <n v="0"/>
    <n v="270.13"/>
    <n v="224.01"/>
    <m/>
    <n v="293.013867089276"/>
    <n v="234.64376439748159"/>
    <n v="0"/>
    <n v="0"/>
    <n v="0"/>
    <n v="9.4289021035365287E-13"/>
    <x v="3"/>
  </r>
  <r>
    <s v="Refaturamento - Regular"/>
    <x v="1"/>
    <x v="2"/>
    <x v="2"/>
    <x v="6"/>
    <x v="1"/>
    <x v="0"/>
    <x v="1"/>
    <x v="1"/>
    <n v="0"/>
    <n v="0"/>
    <n v="-0.115"/>
    <n v="-0.115"/>
    <n v="-0.115"/>
    <n v="-0.115"/>
    <n v="0"/>
    <s v="CATIVO"/>
    <n v="0"/>
    <n v="0"/>
    <n v="6"/>
    <n v="34"/>
    <n v="0"/>
    <n v="270.13"/>
    <n v="224.01"/>
    <m/>
    <n v="293.013867089276"/>
    <n v="234.64376439748159"/>
    <n v="0"/>
    <n v="0"/>
    <n v="0"/>
    <n v="-3.268496584496461E-15"/>
    <x v="3"/>
  </r>
  <r>
    <s v="Regular"/>
    <x v="1"/>
    <x v="2"/>
    <x v="2"/>
    <x v="6"/>
    <x v="1"/>
    <x v="0"/>
    <x v="1"/>
    <x v="2"/>
    <n v="0"/>
    <n v="0"/>
    <n v="25.416"/>
    <n v="25.416"/>
    <n v="25.416"/>
    <n v="25.416"/>
    <n v="317"/>
    <s v="CATIVO"/>
    <n v="0"/>
    <n v="0"/>
    <n v="6"/>
    <n v="34"/>
    <n v="0"/>
    <n v="270.13"/>
    <n v="224.01"/>
    <m/>
    <n v="293.013867089276"/>
    <n v="234.64376439748159"/>
    <n v="0"/>
    <n v="0"/>
    <n v="0"/>
    <n v="7.2236616688314826E-13"/>
    <x v="3"/>
  </r>
  <r>
    <s v="Refaturamento - Regular"/>
    <x v="1"/>
    <x v="2"/>
    <x v="2"/>
    <x v="6"/>
    <x v="1"/>
    <x v="0"/>
    <x v="1"/>
    <x v="2"/>
    <n v="0"/>
    <n v="0"/>
    <n v="-0.16500000000000001"/>
    <n v="-0.16500000000000001"/>
    <n v="-0.16500000000000001"/>
    <n v="-0.16500000000000001"/>
    <n v="0"/>
    <s v="CATIVO"/>
    <n v="0"/>
    <n v="0"/>
    <n v="6"/>
    <n v="34"/>
    <n v="0"/>
    <n v="270.13"/>
    <n v="224.01"/>
    <m/>
    <n v="293.013867089276"/>
    <n v="234.64376439748159"/>
    <n v="0"/>
    <n v="0"/>
    <n v="0"/>
    <n v="-4.6895820560166614E-15"/>
    <x v="3"/>
  </r>
  <r>
    <s v="Regular"/>
    <x v="1"/>
    <x v="2"/>
    <x v="2"/>
    <x v="6"/>
    <x v="1"/>
    <x v="0"/>
    <x v="1"/>
    <x v="3"/>
    <n v="0"/>
    <n v="0"/>
    <n v="25.062000000000001"/>
    <n v="25.062000000000001"/>
    <n v="25.062000000000001"/>
    <n v="25.062000000000001"/>
    <n v="349"/>
    <s v="CATIVO"/>
    <n v="0"/>
    <n v="0"/>
    <n v="6"/>
    <n v="34"/>
    <n v="0"/>
    <n v="270.13"/>
    <n v="224.01"/>
    <m/>
    <n v="293.013867089276"/>
    <n v="234.64376439748159"/>
    <n v="0"/>
    <n v="0"/>
    <n v="0"/>
    <n v="7.1230488174478527E-13"/>
    <x v="3"/>
  </r>
  <r>
    <s v="Refaturamento - Regular"/>
    <x v="1"/>
    <x v="2"/>
    <x v="2"/>
    <x v="6"/>
    <x v="1"/>
    <x v="0"/>
    <x v="1"/>
    <x v="3"/>
    <n v="0"/>
    <n v="0"/>
    <n v="-8.8999999999999996E-2"/>
    <n v="-8.8999999999999996E-2"/>
    <n v="-8.8999999999999996E-2"/>
    <n v="-8.8999999999999996E-2"/>
    <n v="0"/>
    <s v="CATIVO"/>
    <n v="0"/>
    <n v="0"/>
    <n v="6"/>
    <n v="34"/>
    <n v="0"/>
    <n v="270.13"/>
    <n v="224.01"/>
    <m/>
    <n v="293.013867089276"/>
    <n v="234.64376439748159"/>
    <n v="0"/>
    <n v="0"/>
    <n v="0"/>
    <n v="-2.5295321393059565E-15"/>
    <x v="3"/>
  </r>
  <r>
    <s v="Regular"/>
    <x v="1"/>
    <x v="2"/>
    <x v="2"/>
    <x v="6"/>
    <x v="1"/>
    <x v="0"/>
    <x v="1"/>
    <x v="4"/>
    <n v="0"/>
    <n v="0"/>
    <n v="24.013999999999999"/>
    <n v="24.013999999999999"/>
    <n v="24.013999999999999"/>
    <n v="24.013999999999999"/>
    <n v="339"/>
    <s v="CATIVO"/>
    <n v="0"/>
    <n v="0"/>
    <n v="6"/>
    <n v="34"/>
    <n v="0"/>
    <n v="270.13"/>
    <n v="224.01"/>
    <m/>
    <n v="293.013867089276"/>
    <n v="234.64376439748159"/>
    <n v="0"/>
    <n v="0"/>
    <n v="0"/>
    <n v="6.8251893026172182E-13"/>
    <x v="3"/>
  </r>
  <r>
    <s v="Refaturamento - Regular"/>
    <x v="1"/>
    <x v="2"/>
    <x v="2"/>
    <x v="6"/>
    <x v="1"/>
    <x v="0"/>
    <x v="1"/>
    <x v="4"/>
    <n v="0"/>
    <n v="0"/>
    <n v="-2.3E-2"/>
    <n v="-2.3E-2"/>
    <n v="-2.3E-2"/>
    <n v="-2.3E-2"/>
    <n v="0"/>
    <s v="CATIVO"/>
    <n v="0"/>
    <n v="0"/>
    <n v="6"/>
    <n v="34"/>
    <n v="0"/>
    <n v="270.13"/>
    <n v="224.01"/>
    <m/>
    <n v="293.013867089276"/>
    <n v="234.64376439748159"/>
    <n v="0"/>
    <n v="0"/>
    <n v="0"/>
    <n v="-6.5369931689929216E-16"/>
    <x v="3"/>
  </r>
  <r>
    <s v="Regular"/>
    <x v="1"/>
    <x v="2"/>
    <x v="2"/>
    <x v="6"/>
    <x v="1"/>
    <x v="0"/>
    <x v="1"/>
    <x v="5"/>
    <n v="0"/>
    <n v="0"/>
    <n v="54.155000000000001"/>
    <n v="54.155000000000001"/>
    <n v="54.155000000000001"/>
    <n v="54.155000000000001"/>
    <n v="552"/>
    <s v="CATIVO"/>
    <n v="0"/>
    <n v="0"/>
    <n v="6"/>
    <n v="34"/>
    <n v="0"/>
    <n v="270.13"/>
    <n v="224.01"/>
    <m/>
    <n v="293.013867089276"/>
    <n v="234.64376439748159"/>
    <n v="0"/>
    <n v="0"/>
    <n v="0"/>
    <n v="1.5391776742035291E-12"/>
    <x v="3"/>
  </r>
  <r>
    <s v="Refaturamento - Regular"/>
    <x v="1"/>
    <x v="2"/>
    <x v="2"/>
    <x v="6"/>
    <x v="1"/>
    <x v="0"/>
    <x v="1"/>
    <x v="5"/>
    <n v="0"/>
    <n v="0"/>
    <n v="-0.01"/>
    <n v="-0.01"/>
    <n v="-0.01"/>
    <n v="-0.01"/>
    <n v="0"/>
    <s v="CATIVO"/>
    <n v="0"/>
    <n v="0"/>
    <n v="6"/>
    <n v="34"/>
    <n v="0"/>
    <n v="270.13"/>
    <n v="224.01"/>
    <m/>
    <n v="293.013867089276"/>
    <n v="234.64376439748159"/>
    <n v="0"/>
    <n v="0"/>
    <n v="0"/>
    <n v="-2.8421709430404008E-16"/>
    <x v="3"/>
  </r>
  <r>
    <s v="Regular"/>
    <x v="1"/>
    <x v="2"/>
    <x v="2"/>
    <x v="6"/>
    <x v="1"/>
    <x v="0"/>
    <x v="1"/>
    <x v="6"/>
    <n v="0"/>
    <n v="0"/>
    <n v="63.542000000000002"/>
    <n v="63.542000000000002"/>
    <n v="63.542000000000002"/>
    <n v="63.542000000000002"/>
    <n v="567"/>
    <s v="CATIVO"/>
    <n v="0"/>
    <n v="0"/>
    <n v="6"/>
    <n v="34"/>
    <n v="0"/>
    <n v="270.13"/>
    <n v="224.01"/>
    <m/>
    <n v="293.013867089276"/>
    <n v="234.64376439748159"/>
    <n v="0"/>
    <n v="0"/>
    <n v="0"/>
    <n v="1.8059722606267315E-12"/>
    <x v="3"/>
  </r>
  <r>
    <s v="Regular"/>
    <x v="1"/>
    <x v="2"/>
    <x v="2"/>
    <x v="6"/>
    <x v="1"/>
    <x v="0"/>
    <x v="1"/>
    <x v="7"/>
    <n v="0"/>
    <n v="0"/>
    <n v="56.566000000000003"/>
    <n v="56.566000000000003"/>
    <n v="56.566000000000003"/>
    <n v="56.566000000000003"/>
    <n v="517"/>
    <s v="CATIVO"/>
    <n v="0"/>
    <n v="0"/>
    <n v="6"/>
    <n v="34"/>
    <n v="0"/>
    <n v="270.13"/>
    <n v="224.01"/>
    <m/>
    <n v="293.013867089276"/>
    <n v="234.64376439748159"/>
    <n v="0"/>
    <n v="0"/>
    <n v="0"/>
    <n v="1.6077024156402332E-12"/>
    <x v="3"/>
  </r>
  <r>
    <s v="Refaturamento - Regular"/>
    <x v="1"/>
    <x v="2"/>
    <x v="2"/>
    <x v="6"/>
    <x v="1"/>
    <x v="0"/>
    <x v="1"/>
    <x v="7"/>
    <n v="0"/>
    <n v="0"/>
    <n v="-1.474"/>
    <n v="-1.474"/>
    <n v="-1.474"/>
    <n v="-1.474"/>
    <n v="0"/>
    <s v="CATIVO"/>
    <n v="0"/>
    <n v="0"/>
    <n v="6"/>
    <n v="34"/>
    <n v="0"/>
    <n v="270.13"/>
    <n v="224.01"/>
    <m/>
    <n v="293.013867089276"/>
    <n v="234.64376439748159"/>
    <n v="0"/>
    <n v="0"/>
    <n v="0"/>
    <n v="-4.1893599700415506E-14"/>
    <x v="3"/>
  </r>
  <r>
    <s v="Regular"/>
    <x v="1"/>
    <x v="2"/>
    <x v="2"/>
    <x v="6"/>
    <x v="1"/>
    <x v="0"/>
    <x v="1"/>
    <x v="8"/>
    <n v="0"/>
    <n v="0"/>
    <n v="42.036000000000001"/>
    <n v="42.036000000000001"/>
    <n v="42.036000000000001"/>
    <n v="42.036000000000001"/>
    <n v="470"/>
    <s v="CATIVO"/>
    <n v="0"/>
    <n v="0"/>
    <n v="6"/>
    <n v="34"/>
    <n v="0"/>
    <n v="270.13"/>
    <n v="224.01"/>
    <m/>
    <n v="293.013867089276"/>
    <n v="234.64376439748159"/>
    <n v="0"/>
    <n v="0"/>
    <n v="0"/>
    <n v="1.1947349776164629E-12"/>
    <x v="3"/>
  </r>
  <r>
    <s v="Refaturamento - Regular"/>
    <x v="1"/>
    <x v="2"/>
    <x v="2"/>
    <x v="6"/>
    <x v="1"/>
    <x v="0"/>
    <x v="1"/>
    <x v="8"/>
    <n v="0"/>
    <n v="0"/>
    <n v="-0.28999999999999998"/>
    <n v="-0.28999999999999998"/>
    <n v="-0.28999999999999998"/>
    <n v="-0.28999999999999998"/>
    <n v="0"/>
    <s v="CATIVO"/>
    <n v="0"/>
    <n v="0"/>
    <n v="6"/>
    <n v="34"/>
    <n v="0"/>
    <n v="270.13"/>
    <n v="224.01"/>
    <m/>
    <n v="293.013867089276"/>
    <n v="234.64376439748159"/>
    <n v="0"/>
    <n v="0"/>
    <n v="0"/>
    <n v="-8.2422957348171616E-15"/>
    <x v="3"/>
  </r>
  <r>
    <s v="Regular"/>
    <x v="1"/>
    <x v="2"/>
    <x v="2"/>
    <x v="6"/>
    <x v="1"/>
    <x v="0"/>
    <x v="1"/>
    <x v="9"/>
    <n v="0"/>
    <n v="0"/>
    <n v="29.068999999999999"/>
    <n v="29.068999999999999"/>
    <n v="29.068999999999999"/>
    <n v="29.068999999999999"/>
    <n v="361"/>
    <s v="CATIVO"/>
    <n v="0"/>
    <n v="0"/>
    <n v="6"/>
    <n v="34"/>
    <n v="0"/>
    <n v="270.13"/>
    <n v="224.01"/>
    <m/>
    <n v="293.013867089276"/>
    <n v="234.64376439748159"/>
    <n v="0"/>
    <n v="0"/>
    <n v="0"/>
    <n v="8.2619067143241407E-13"/>
    <x v="3"/>
  </r>
  <r>
    <s v="Regular"/>
    <x v="1"/>
    <x v="2"/>
    <x v="2"/>
    <x v="6"/>
    <x v="1"/>
    <x v="0"/>
    <x v="1"/>
    <x v="10"/>
    <n v="0"/>
    <n v="0"/>
    <n v="38.725000000000001"/>
    <n v="38.725000000000001"/>
    <n v="38.725000000000001"/>
    <n v="38.725000000000001"/>
    <n v="433"/>
    <s v="CATIVO"/>
    <n v="0"/>
    <n v="0"/>
    <n v="6"/>
    <n v="34"/>
    <n v="0"/>
    <n v="270.13"/>
    <n v="224.01"/>
    <m/>
    <n v="293.013867089276"/>
    <n v="234.64376439748159"/>
    <n v="0"/>
    <n v="0"/>
    <n v="0"/>
    <n v="1.1006306976923952E-12"/>
    <x v="3"/>
  </r>
  <r>
    <s v="PROJETADO"/>
    <x v="1"/>
    <x v="2"/>
    <x v="2"/>
    <x v="6"/>
    <x v="1"/>
    <x v="0"/>
    <x v="1"/>
    <x v="11"/>
    <n v="0"/>
    <n v="0"/>
    <n v="38.725000000000001"/>
    <n v="38.725000000000001"/>
    <n v="38.725000000000001"/>
    <n v="38.725000000000001"/>
    <n v="433"/>
    <s v="CATIVO"/>
    <n v="0"/>
    <n v="0"/>
    <n v="6"/>
    <n v="34"/>
    <n v="0"/>
    <n v="270.13"/>
    <n v="224.01"/>
    <m/>
    <n v="293.013867089276"/>
    <n v="234.64376439748159"/>
    <n v="0"/>
    <n v="0"/>
    <n v="0"/>
    <n v="1.1006306976923952E-12"/>
    <x v="3"/>
  </r>
  <r>
    <s v="Regular"/>
    <x v="2"/>
    <x v="2"/>
    <x v="3"/>
    <x v="7"/>
    <x v="2"/>
    <x v="0"/>
    <x v="1"/>
    <x v="0"/>
    <n v="0"/>
    <n v="0"/>
    <n v="2.472"/>
    <n v="2.472"/>
    <n v="2.472"/>
    <n v="2.472"/>
    <n v="0"/>
    <s v="CATIVO"/>
    <n v="0"/>
    <n v="0"/>
    <n v="16"/>
    <n v="54"/>
    <n v="0"/>
    <n v="297.89"/>
    <n v="197.13"/>
    <m/>
    <n v="392.53302912886562"/>
    <n v="220.56513853363268"/>
    <n v="0"/>
    <n v="166.85999999999999"/>
    <n v="0"/>
    <n v="96.739064072023353"/>
    <x v="4"/>
  </r>
  <r>
    <s v="Regular"/>
    <x v="2"/>
    <x v="2"/>
    <x v="3"/>
    <x v="7"/>
    <x v="2"/>
    <x v="0"/>
    <x v="1"/>
    <x v="1"/>
    <n v="0"/>
    <n v="0"/>
    <n v="3.6890000000000001"/>
    <n v="3.6890000000000001"/>
    <n v="3.6890000000000001"/>
    <n v="3.6890000000000001"/>
    <n v="0"/>
    <s v="CATIVO"/>
    <n v="0"/>
    <n v="0"/>
    <n v="16"/>
    <n v="54"/>
    <n v="0"/>
    <n v="297.89"/>
    <n v="197.13"/>
    <m/>
    <n v="392.53302912886562"/>
    <n v="220.56513853363268"/>
    <n v="0"/>
    <n v="249.00749999999999"/>
    <n v="0"/>
    <n v="144.36505152172091"/>
    <x v="4"/>
  </r>
  <r>
    <s v="Regular"/>
    <x v="2"/>
    <x v="2"/>
    <x v="3"/>
    <x v="7"/>
    <x v="2"/>
    <x v="0"/>
    <x v="1"/>
    <x v="2"/>
    <n v="0"/>
    <n v="0"/>
    <n v="1.538"/>
    <n v="1.538"/>
    <n v="1.538"/>
    <n v="1.538"/>
    <n v="0"/>
    <s v="CATIVO"/>
    <n v="0"/>
    <n v="0"/>
    <n v="16"/>
    <n v="54"/>
    <n v="0"/>
    <n v="297.89"/>
    <n v="197.13"/>
    <m/>
    <n v="392.53302912886562"/>
    <n v="220.56513853363268"/>
    <n v="0"/>
    <n v="103.815"/>
    <n v="0"/>
    <n v="60.187977565846246"/>
    <x v="4"/>
  </r>
  <r>
    <s v="Regular"/>
    <x v="2"/>
    <x v="2"/>
    <x v="3"/>
    <x v="7"/>
    <x v="2"/>
    <x v="0"/>
    <x v="1"/>
    <x v="3"/>
    <n v="0"/>
    <n v="0"/>
    <n v="2.7269999999999999"/>
    <n v="2.7269999999999999"/>
    <n v="2.7269999999999999"/>
    <n v="2.7269999999999999"/>
    <n v="0"/>
    <s v="CATIVO"/>
    <n v="0"/>
    <n v="0"/>
    <n v="16"/>
    <n v="54"/>
    <n v="0"/>
    <n v="297.89"/>
    <n v="197.13"/>
    <m/>
    <n v="392.53302912886562"/>
    <n v="220.56513853363268"/>
    <n v="0"/>
    <n v="184.07249999999999"/>
    <n v="0"/>
    <n v="106.71821509887042"/>
    <x v="4"/>
  </r>
  <r>
    <s v="Regular"/>
    <x v="2"/>
    <x v="2"/>
    <x v="3"/>
    <x v="7"/>
    <x v="2"/>
    <x v="0"/>
    <x v="1"/>
    <x v="4"/>
    <n v="0"/>
    <n v="0"/>
    <n v="8.2140000000000004"/>
    <n v="8.2140000000000004"/>
    <n v="8.2140000000000004"/>
    <n v="8.2140000000000004"/>
    <n v="0"/>
    <s v="CATIVO"/>
    <n v="0"/>
    <n v="0"/>
    <n v="16"/>
    <n v="54"/>
    <n v="0"/>
    <n v="297.89"/>
    <n v="197.13"/>
    <m/>
    <n v="392.53302912886562"/>
    <n v="220.56513853363268"/>
    <n v="0"/>
    <n v="554.44500000000005"/>
    <n v="0"/>
    <n v="321.44606484126206"/>
    <x v="4"/>
  </r>
  <r>
    <s v="Refaturamento - Regular"/>
    <x v="2"/>
    <x v="2"/>
    <x v="3"/>
    <x v="7"/>
    <x v="2"/>
    <x v="0"/>
    <x v="1"/>
    <x v="4"/>
    <n v="0"/>
    <n v="0"/>
    <n v="-0.85299999999999998"/>
    <n v="-0.85299999999999998"/>
    <n v="-0.85299999999999998"/>
    <n v="-0.85299999999999998"/>
    <n v="0"/>
    <s v="CATIVO"/>
    <n v="0"/>
    <n v="0"/>
    <n v="16"/>
    <n v="54"/>
    <n v="0"/>
    <n v="297.89"/>
    <n v="197.13"/>
    <m/>
    <n v="392.53302912886562"/>
    <n v="220.56513853363268"/>
    <n v="0"/>
    <n v="-57.577500000000001"/>
    <n v="0"/>
    <n v="-33.381238532943328"/>
    <x v="4"/>
  </r>
  <r>
    <s v="Regular"/>
    <x v="2"/>
    <x v="2"/>
    <x v="3"/>
    <x v="7"/>
    <x v="2"/>
    <x v="0"/>
    <x v="1"/>
    <x v="5"/>
    <n v="0"/>
    <n v="0"/>
    <n v="5.101"/>
    <n v="5.101"/>
    <n v="5.101"/>
    <n v="5.101"/>
    <n v="0"/>
    <s v="CATIVO"/>
    <n v="0"/>
    <n v="0"/>
    <n v="16"/>
    <n v="54"/>
    <n v="0"/>
    <n v="297.89"/>
    <n v="197.13"/>
    <m/>
    <n v="392.53302912886562"/>
    <n v="220.56513853363268"/>
    <n v="0"/>
    <n v="344.3175"/>
    <n v="0"/>
    <n v="199.62215446253686"/>
    <x v="4"/>
  </r>
  <r>
    <s v="Refaturamento - Regular"/>
    <x v="2"/>
    <x v="2"/>
    <x v="3"/>
    <x v="7"/>
    <x v="2"/>
    <x v="0"/>
    <x v="1"/>
    <x v="5"/>
    <n v="0"/>
    <n v="0"/>
    <n v="-2.6259999999999999"/>
    <n v="-2.6259999999999999"/>
    <n v="-2.6259999999999999"/>
    <n v="-2.6259999999999999"/>
    <n v="0"/>
    <s v="CATIVO"/>
    <n v="0"/>
    <n v="0"/>
    <n v="16"/>
    <n v="54"/>
    <n v="0"/>
    <n v="297.89"/>
    <n v="197.13"/>
    <m/>
    <n v="392.53302912886562"/>
    <n v="220.56513853363268"/>
    <n v="0"/>
    <n v="-177.255"/>
    <n v="0"/>
    <n v="-102.76568861372706"/>
    <x v="4"/>
  </r>
  <r>
    <s v="Regular"/>
    <x v="2"/>
    <x v="2"/>
    <x v="3"/>
    <x v="7"/>
    <x v="2"/>
    <x v="0"/>
    <x v="1"/>
    <x v="6"/>
    <n v="0"/>
    <n v="0"/>
    <n v="4.117"/>
    <n v="4.117"/>
    <n v="4.117"/>
    <n v="4.117"/>
    <n v="0"/>
    <s v="CATIVO"/>
    <n v="0"/>
    <n v="0"/>
    <n v="16"/>
    <n v="54"/>
    <n v="0"/>
    <n v="297.89"/>
    <n v="197.13"/>
    <m/>
    <n v="392.53302912886562"/>
    <n v="220.56513853363268"/>
    <n v="0"/>
    <n v="277.89749999999998"/>
    <n v="0"/>
    <n v="161.11437167658582"/>
    <x v="4"/>
  </r>
  <r>
    <s v="Regular"/>
    <x v="2"/>
    <x v="2"/>
    <x v="3"/>
    <x v="7"/>
    <x v="2"/>
    <x v="0"/>
    <x v="1"/>
    <x v="7"/>
    <n v="0"/>
    <n v="0"/>
    <n v="1.5509999999999999"/>
    <n v="1.5509999999999999"/>
    <n v="1.5509999999999999"/>
    <n v="1.5509999999999999"/>
    <n v="0"/>
    <s v="CATIVO"/>
    <n v="0"/>
    <n v="0"/>
    <n v="16"/>
    <n v="54"/>
    <n v="0"/>
    <n v="297.89"/>
    <n v="197.13"/>
    <m/>
    <n v="392.53302912886562"/>
    <n v="220.56513853363268"/>
    <n v="0"/>
    <n v="104.6925"/>
    <n v="0"/>
    <n v="60.696718598587459"/>
    <x v="4"/>
  </r>
  <r>
    <s v="Regular"/>
    <x v="2"/>
    <x v="2"/>
    <x v="3"/>
    <x v="7"/>
    <x v="2"/>
    <x v="0"/>
    <x v="1"/>
    <x v="8"/>
    <n v="0"/>
    <n v="0"/>
    <n v="1.1870000000000001"/>
    <n v="1.1870000000000001"/>
    <n v="1.1870000000000001"/>
    <n v="1.1870000000000001"/>
    <n v="0"/>
    <s v="CATIVO"/>
    <n v="0"/>
    <n v="0"/>
    <n v="16"/>
    <n v="54"/>
    <n v="0"/>
    <n v="297.89"/>
    <n v="197.13"/>
    <m/>
    <n v="392.53302912886562"/>
    <n v="220.56513853363268"/>
    <n v="0"/>
    <n v="80.122500000000002"/>
    <n v="0"/>
    <n v="46.451969681833219"/>
    <x v="4"/>
  </r>
  <r>
    <s v="Regular"/>
    <x v="2"/>
    <x v="2"/>
    <x v="3"/>
    <x v="7"/>
    <x v="2"/>
    <x v="0"/>
    <x v="1"/>
    <x v="9"/>
    <n v="0"/>
    <n v="0"/>
    <n v="0.27300000000000002"/>
    <n v="0.27300000000000002"/>
    <n v="0.27300000000000002"/>
    <n v="0.27300000000000002"/>
    <n v="0"/>
    <s v="CATIVO"/>
    <n v="0"/>
    <n v="0"/>
    <n v="16"/>
    <n v="54"/>
    <n v="0"/>
    <n v="297.89"/>
    <n v="197.13"/>
    <m/>
    <n v="392.53302912886562"/>
    <n v="220.56513853363268"/>
    <n v="0"/>
    <n v="18.427500000000002"/>
    <n v="0"/>
    <n v="10.683561687565685"/>
    <x v="4"/>
  </r>
  <r>
    <s v="Refaturamento - Regular"/>
    <x v="2"/>
    <x v="2"/>
    <x v="3"/>
    <x v="7"/>
    <x v="2"/>
    <x v="0"/>
    <x v="1"/>
    <x v="9"/>
    <n v="0"/>
    <n v="0"/>
    <n v="-0.33600000000000002"/>
    <n v="-0.33600000000000002"/>
    <n v="-0.33600000000000002"/>
    <n v="-0.33600000000000002"/>
    <n v="0"/>
    <s v="CATIVO"/>
    <n v="0"/>
    <n v="0"/>
    <n v="16"/>
    <n v="54"/>
    <n v="0"/>
    <n v="297.89"/>
    <n v="197.13"/>
    <m/>
    <n v="392.53302912886562"/>
    <n v="220.56513853363268"/>
    <n v="0"/>
    <n v="-22.68"/>
    <n v="0"/>
    <n v="-13.148999000080844"/>
    <x v="4"/>
  </r>
  <r>
    <s v="Regular"/>
    <x v="2"/>
    <x v="2"/>
    <x v="3"/>
    <x v="7"/>
    <x v="2"/>
    <x v="0"/>
    <x v="1"/>
    <x v="10"/>
    <n v="0"/>
    <n v="0"/>
    <n v="0.17699999999999999"/>
    <n v="0.17699999999999999"/>
    <n v="0.17699999999999999"/>
    <n v="0.17699999999999999"/>
    <n v="0"/>
    <s v="CATIVO"/>
    <n v="0"/>
    <n v="0"/>
    <n v="16"/>
    <n v="54"/>
    <n v="0"/>
    <n v="297.89"/>
    <n v="197.13"/>
    <m/>
    <n v="392.53302912886562"/>
    <n v="220.56513853363268"/>
    <n v="0"/>
    <n v="11.9475"/>
    <n v="0"/>
    <n v="6.9267048303997294"/>
    <x v="4"/>
  </r>
  <r>
    <s v="PROJETADO"/>
    <x v="2"/>
    <x v="2"/>
    <x v="3"/>
    <x v="7"/>
    <x v="2"/>
    <x v="0"/>
    <x v="1"/>
    <x v="11"/>
    <n v="0"/>
    <n v="0"/>
    <n v="0.17699999999999999"/>
    <n v="0.17699999999999999"/>
    <n v="0.17699999999999999"/>
    <n v="0.17699999999999999"/>
    <n v="0"/>
    <s v="CATIVO"/>
    <n v="0"/>
    <n v="0"/>
    <n v="16"/>
    <n v="54"/>
    <n v="0"/>
    <n v="297.89"/>
    <n v="197.13"/>
    <m/>
    <n v="392.53302912886562"/>
    <n v="220.56513853363268"/>
    <n v="0"/>
    <n v="11.9475"/>
    <n v="0"/>
    <n v="6.9267048303997294"/>
    <x v="4"/>
  </r>
  <r>
    <s v="Regular"/>
    <x v="2"/>
    <x v="2"/>
    <x v="3"/>
    <x v="7"/>
    <x v="3"/>
    <x v="0"/>
    <x v="1"/>
    <x v="0"/>
    <n v="0"/>
    <n v="0"/>
    <n v="1.3129999999999999"/>
    <n v="0.5252"/>
    <n v="1.3129999999999999"/>
    <n v="0.5252"/>
    <n v="0"/>
    <s v="CATIVO"/>
    <n v="0"/>
    <n v="0"/>
    <n v="16"/>
    <n v="54"/>
    <n v="0"/>
    <n v="297.89"/>
    <n v="197.13"/>
    <m/>
    <n v="392.53302912886562"/>
    <n v="220.56513853363268"/>
    <n v="0"/>
    <n v="478.60425599999996"/>
    <n v="0"/>
    <n v="534.38158079137963"/>
    <x v="5"/>
  </r>
  <r>
    <s v="Regular"/>
    <x v="2"/>
    <x v="2"/>
    <x v="3"/>
    <x v="7"/>
    <x v="3"/>
    <x v="0"/>
    <x v="1"/>
    <x v="1"/>
    <n v="0"/>
    <n v="0"/>
    <n v="1.7609999999999999"/>
    <n v="0.70440000000000003"/>
    <n v="1.7609999999999999"/>
    <n v="0.70440000000000003"/>
    <n v="0"/>
    <s v="CATIVO"/>
    <n v="0"/>
    <n v="0"/>
    <n v="16"/>
    <n v="54"/>
    <n v="0"/>
    <n v="297.89"/>
    <n v="197.13"/>
    <m/>
    <n v="392.53302912886562"/>
    <n v="220.56513853363268"/>
    <n v="0"/>
    <n v="641.90563199999997"/>
    <n v="0"/>
    <n v="716.7143669258337"/>
    <x v="5"/>
  </r>
  <r>
    <s v="Regular"/>
    <x v="2"/>
    <x v="2"/>
    <x v="3"/>
    <x v="7"/>
    <x v="3"/>
    <x v="0"/>
    <x v="1"/>
    <x v="2"/>
    <n v="0"/>
    <n v="0"/>
    <n v="0.82599999999999996"/>
    <n v="0.33040000000000003"/>
    <n v="0.82599999999999996"/>
    <n v="0.33040000000000003"/>
    <n v="0"/>
    <s v="CATIVO"/>
    <n v="0"/>
    <n v="0"/>
    <n v="16"/>
    <n v="54"/>
    <n v="0"/>
    <n v="297.89"/>
    <n v="197.13"/>
    <m/>
    <n v="392.53302912886562"/>
    <n v="220.56513853363268"/>
    <n v="0"/>
    <n v="301.08691199999998"/>
    <n v="0"/>
    <n v="336.17607443539953"/>
    <x v="5"/>
  </r>
  <r>
    <s v="Regular"/>
    <x v="2"/>
    <x v="2"/>
    <x v="3"/>
    <x v="7"/>
    <x v="3"/>
    <x v="0"/>
    <x v="1"/>
    <x v="3"/>
    <n v="0"/>
    <n v="0"/>
    <n v="1.579"/>
    <n v="0.63160000000000005"/>
    <n v="1.579"/>
    <n v="0.63160000000000005"/>
    <n v="0"/>
    <s v="CATIVO"/>
    <n v="0"/>
    <n v="0"/>
    <n v="16"/>
    <n v="54"/>
    <n v="0"/>
    <n v="297.89"/>
    <n v="197.13"/>
    <m/>
    <n v="392.53302912886562"/>
    <n v="220.56513853363268"/>
    <n v="0"/>
    <n v="575.56444799999997"/>
    <n v="0"/>
    <n v="642.64167255871178"/>
    <x v="5"/>
  </r>
  <r>
    <s v="Regular"/>
    <x v="2"/>
    <x v="2"/>
    <x v="3"/>
    <x v="7"/>
    <x v="3"/>
    <x v="0"/>
    <x v="1"/>
    <x v="4"/>
    <n v="0"/>
    <n v="0"/>
    <n v="3.202"/>
    <n v="1.2807999999999999"/>
    <n v="3.202"/>
    <n v="1.2807999999999999"/>
    <n v="0"/>
    <s v="CATIVO"/>
    <n v="0"/>
    <n v="0"/>
    <n v="16"/>
    <n v="54"/>
    <n v="0"/>
    <n v="297.89"/>
    <n v="197.13"/>
    <m/>
    <n v="392.53302912886562"/>
    <n v="220.56513853363268"/>
    <n v="0"/>
    <n v="1167.167424"/>
    <n v="0"/>
    <n v="1303.1910294699146"/>
    <x v="5"/>
  </r>
  <r>
    <s v="Refaturamento - Regular"/>
    <x v="2"/>
    <x v="2"/>
    <x v="3"/>
    <x v="7"/>
    <x v="3"/>
    <x v="0"/>
    <x v="1"/>
    <x v="4"/>
    <n v="0"/>
    <n v="0"/>
    <n v="0.08"/>
    <n v="3.2000000000000001E-2"/>
    <n v="0.08"/>
    <n v="3.2000000000000001E-2"/>
    <n v="0"/>
    <s v="CATIVO"/>
    <n v="0"/>
    <n v="0"/>
    <n v="16"/>
    <n v="54"/>
    <n v="0"/>
    <n v="297.89"/>
    <n v="197.13"/>
    <m/>
    <n v="392.53302912886562"/>
    <n v="220.56513853363268"/>
    <n v="0"/>
    <n v="29.160960000000003"/>
    <n v="0"/>
    <n v="32.559426095438212"/>
    <x v="5"/>
  </r>
  <r>
    <s v="Regular"/>
    <x v="2"/>
    <x v="2"/>
    <x v="3"/>
    <x v="7"/>
    <x v="3"/>
    <x v="0"/>
    <x v="1"/>
    <x v="5"/>
    <n v="0"/>
    <n v="0"/>
    <n v="3.0150000000000001"/>
    <n v="1.206"/>
    <n v="3.0150000000000001"/>
    <n v="1.206"/>
    <n v="0"/>
    <s v="CATIVO"/>
    <n v="0"/>
    <n v="0"/>
    <n v="16"/>
    <n v="54"/>
    <n v="0"/>
    <n v="297.89"/>
    <n v="197.13"/>
    <m/>
    <n v="392.53302912886562"/>
    <n v="220.56513853363268"/>
    <n v="0"/>
    <n v="1099.00368"/>
    <n v="0"/>
    <n v="1227.0833709718279"/>
    <x v="5"/>
  </r>
  <r>
    <s v="Regular"/>
    <x v="2"/>
    <x v="2"/>
    <x v="3"/>
    <x v="7"/>
    <x v="3"/>
    <x v="0"/>
    <x v="1"/>
    <x v="6"/>
    <n v="0"/>
    <n v="0"/>
    <n v="2.5670000000000002"/>
    <n v="1.0267999999999999"/>
    <n v="2.5670000000000002"/>
    <n v="1.0267999999999999"/>
    <n v="0"/>
    <s v="CATIVO"/>
    <n v="0"/>
    <n v="0"/>
    <n v="16"/>
    <n v="54"/>
    <n v="0"/>
    <n v="297.89"/>
    <n v="197.13"/>
    <m/>
    <n v="392.53302912886562"/>
    <n v="220.56513853363268"/>
    <n v="0"/>
    <n v="935.70230400000014"/>
    <n v="0"/>
    <n v="1044.7505848373739"/>
    <x v="5"/>
  </r>
  <r>
    <s v="Regular"/>
    <x v="2"/>
    <x v="2"/>
    <x v="3"/>
    <x v="7"/>
    <x v="3"/>
    <x v="0"/>
    <x v="1"/>
    <x v="7"/>
    <n v="0"/>
    <n v="0"/>
    <n v="0.36399999999999999"/>
    <n v="0.14560000000000001"/>
    <n v="0.36399999999999999"/>
    <n v="0.14560000000000001"/>
    <n v="0"/>
    <s v="CATIVO"/>
    <n v="0"/>
    <n v="0"/>
    <n v="16"/>
    <n v="54"/>
    <n v="0"/>
    <n v="297.89"/>
    <n v="197.13"/>
    <m/>
    <n v="392.53302912886562"/>
    <n v="220.56513853363268"/>
    <n v="0"/>
    <n v="132.682368"/>
    <n v="0"/>
    <n v="148.14538873424388"/>
    <x v="5"/>
  </r>
  <r>
    <s v="Regular"/>
    <x v="2"/>
    <x v="2"/>
    <x v="3"/>
    <x v="7"/>
    <x v="3"/>
    <x v="0"/>
    <x v="1"/>
    <x v="8"/>
    <n v="0"/>
    <n v="0"/>
    <n v="2.9000000000000001E-2"/>
    <n v="1.1599999999999999E-2"/>
    <n v="2.9000000000000001E-2"/>
    <n v="1.1599999999999999E-2"/>
    <n v="0"/>
    <s v="CATIVO"/>
    <n v="0"/>
    <n v="0"/>
    <n v="16"/>
    <n v="54"/>
    <n v="0"/>
    <n v="297.89"/>
    <n v="197.13"/>
    <m/>
    <n v="392.53302912886562"/>
    <n v="220.56513853363268"/>
    <n v="0"/>
    <n v="10.570848"/>
    <n v="0"/>
    <n v="11.802791959596355"/>
    <x v="5"/>
  </r>
  <r>
    <s v="Regular"/>
    <x v="2"/>
    <x v="2"/>
    <x v="3"/>
    <x v="7"/>
    <x v="3"/>
    <x v="0"/>
    <x v="1"/>
    <x v="9"/>
    <n v="0"/>
    <n v="0"/>
    <n v="2.7E-2"/>
    <n v="1.0800000000000001E-2"/>
    <n v="2.7E-2"/>
    <n v="1.0800000000000001E-2"/>
    <n v="0"/>
    <s v="CATIVO"/>
    <n v="0"/>
    <n v="0"/>
    <n v="16"/>
    <n v="54"/>
    <n v="0"/>
    <n v="297.89"/>
    <n v="197.13"/>
    <m/>
    <n v="392.53302912886562"/>
    <n v="220.56513853363268"/>
    <n v="0"/>
    <n v="9.841823999999999"/>
    <n v="0"/>
    <n v="10.988806307210396"/>
    <x v="5"/>
  </r>
  <r>
    <s v="Refaturamento - Regular"/>
    <x v="2"/>
    <x v="2"/>
    <x v="3"/>
    <x v="7"/>
    <x v="3"/>
    <x v="0"/>
    <x v="1"/>
    <x v="9"/>
    <n v="0"/>
    <n v="0"/>
    <n v="0.09"/>
    <n v="3.5999999999999997E-2"/>
    <n v="0.09"/>
    <n v="3.5999999999999997E-2"/>
    <n v="0"/>
    <s v="CATIVO"/>
    <n v="0"/>
    <n v="0"/>
    <n v="16"/>
    <n v="54"/>
    <n v="0"/>
    <n v="297.89"/>
    <n v="197.13"/>
    <m/>
    <n v="392.53302912886562"/>
    <n v="220.56513853363268"/>
    <n v="0"/>
    <n v="32.806080000000001"/>
    <n v="0"/>
    <n v="36.629354357367994"/>
    <x v="5"/>
  </r>
  <r>
    <s v="Regular"/>
    <x v="2"/>
    <x v="2"/>
    <x v="3"/>
    <x v="7"/>
    <x v="3"/>
    <x v="0"/>
    <x v="1"/>
    <x v="10"/>
    <n v="0"/>
    <n v="0"/>
    <n v="2.3E-2"/>
    <n v="9.1999999999999998E-3"/>
    <n v="2.3E-2"/>
    <n v="9.1999999999999998E-3"/>
    <n v="0"/>
    <s v="CATIVO"/>
    <n v="0"/>
    <n v="0"/>
    <n v="16"/>
    <n v="54"/>
    <n v="0"/>
    <n v="297.89"/>
    <n v="197.13"/>
    <m/>
    <n v="392.53302912886562"/>
    <n v="220.56513853363268"/>
    <n v="0"/>
    <n v="8.3837759999999992"/>
    <n v="0"/>
    <n v="9.3608350024384865"/>
    <x v="5"/>
  </r>
  <r>
    <s v="PROJETADO"/>
    <x v="2"/>
    <x v="2"/>
    <x v="3"/>
    <x v="7"/>
    <x v="3"/>
    <x v="0"/>
    <x v="1"/>
    <x v="11"/>
    <n v="0"/>
    <n v="0"/>
    <n v="2.3E-2"/>
    <n v="9.1999999999999998E-3"/>
    <n v="2.3E-2"/>
    <n v="9.1999999999999998E-3"/>
    <n v="0"/>
    <s v="CATIVO"/>
    <n v="0"/>
    <n v="0"/>
    <n v="16"/>
    <n v="54"/>
    <n v="0"/>
    <n v="297.89"/>
    <n v="197.13"/>
    <m/>
    <n v="392.53302912886562"/>
    <n v="220.56513853363268"/>
    <n v="0"/>
    <n v="8.3837759999999992"/>
    <n v="0"/>
    <n v="9.3608350024384865"/>
    <x v="5"/>
  </r>
  <r>
    <s v="Regular"/>
    <x v="2"/>
    <x v="2"/>
    <x v="3"/>
    <x v="0"/>
    <x v="1"/>
    <x v="0"/>
    <x v="1"/>
    <x v="0"/>
    <n v="0"/>
    <n v="0"/>
    <n v="751.04300000000001"/>
    <n v="751.04300000000001"/>
    <n v="751.04300000000001"/>
    <n v="751.04300000000001"/>
    <n v="2482"/>
    <s v="CATIVO"/>
    <n v="0"/>
    <n v="0"/>
    <n v="16"/>
    <n v="54"/>
    <n v="0"/>
    <n v="297.89"/>
    <n v="197.13"/>
    <m/>
    <n v="392.53302912886562"/>
    <n v="220.56513853363268"/>
    <n v="0"/>
    <n v="50695.402500000004"/>
    <n v="0"/>
    <n v="29391.26088100511"/>
    <x v="4"/>
  </r>
  <r>
    <s v="Refaturamento - Regular"/>
    <x v="2"/>
    <x v="2"/>
    <x v="3"/>
    <x v="0"/>
    <x v="1"/>
    <x v="0"/>
    <x v="1"/>
    <x v="0"/>
    <n v="0"/>
    <n v="0"/>
    <n v="-1.2769999999999999"/>
    <n v="-1.2769999999999999"/>
    <n v="-1.2769999999999999"/>
    <n v="-1.2769999999999999"/>
    <n v="0"/>
    <s v="CATIVO"/>
    <n v="0"/>
    <n v="0"/>
    <n v="16"/>
    <n v="54"/>
    <n v="0"/>
    <n v="297.89"/>
    <n v="197.13"/>
    <m/>
    <n v="392.53302912886562"/>
    <n v="220.56513853363268"/>
    <n v="0"/>
    <n v="-86.197499999999991"/>
    <n v="0"/>
    <n v="-49.974022985426295"/>
    <x v="4"/>
  </r>
  <r>
    <s v="Sistema de Compensação"/>
    <x v="2"/>
    <x v="2"/>
    <x v="3"/>
    <x v="0"/>
    <x v="1"/>
    <x v="0"/>
    <x v="1"/>
    <x v="0"/>
    <n v="0"/>
    <n v="0"/>
    <n v="6.4160000000000004"/>
    <n v="6.4160000000000004"/>
    <n v="6.4160000000000004"/>
    <n v="6.4160000000000004"/>
    <n v="10"/>
    <s v="CATIVO"/>
    <n v="0"/>
    <n v="0"/>
    <n v="16"/>
    <n v="54"/>
    <n v="0"/>
    <n v="297.89"/>
    <n v="197.13"/>
    <m/>
    <n v="392.53302912886562"/>
    <n v="220.56513853363268"/>
    <n v="0"/>
    <n v="433.08000000000004"/>
    <n v="0"/>
    <n v="251.08326662059136"/>
    <x v="4"/>
  </r>
  <r>
    <s v="Regular"/>
    <x v="2"/>
    <x v="2"/>
    <x v="3"/>
    <x v="0"/>
    <x v="1"/>
    <x v="0"/>
    <x v="1"/>
    <x v="1"/>
    <n v="0"/>
    <n v="0"/>
    <n v="922.43"/>
    <n v="922.43"/>
    <n v="922.43"/>
    <n v="922.43"/>
    <n v="2485"/>
    <s v="CATIVO"/>
    <n v="0"/>
    <n v="0"/>
    <n v="16"/>
    <n v="54"/>
    <n v="0"/>
    <n v="297.89"/>
    <n v="197.13"/>
    <m/>
    <n v="392.53302912886562"/>
    <n v="220.56513853363268"/>
    <n v="0"/>
    <n v="62264.024999999994"/>
    <n v="0"/>
    <n v="36098.306987037417"/>
    <x v="4"/>
  </r>
  <r>
    <s v="Refaturamento - Regular"/>
    <x v="2"/>
    <x v="2"/>
    <x v="3"/>
    <x v="0"/>
    <x v="1"/>
    <x v="0"/>
    <x v="1"/>
    <x v="1"/>
    <n v="0"/>
    <n v="0"/>
    <n v="-0.497"/>
    <n v="-0.497"/>
    <n v="-0.497"/>
    <n v="-0.497"/>
    <n v="0"/>
    <s v="CATIVO"/>
    <n v="0"/>
    <n v="0"/>
    <n v="16"/>
    <n v="54"/>
    <n v="0"/>
    <n v="297.89"/>
    <n v="197.13"/>
    <m/>
    <n v="392.53302912886562"/>
    <n v="220.56513853363268"/>
    <n v="0"/>
    <n v="-33.547499999999999"/>
    <n v="0"/>
    <n v="-19.449561020952913"/>
    <x v="4"/>
  </r>
  <r>
    <s v="Sistema de Compensação"/>
    <x v="2"/>
    <x v="2"/>
    <x v="3"/>
    <x v="0"/>
    <x v="1"/>
    <x v="0"/>
    <x v="1"/>
    <x v="1"/>
    <n v="0"/>
    <n v="0"/>
    <n v="8.3219999999999992"/>
    <n v="8.3219999999999992"/>
    <n v="8.3219999999999992"/>
    <n v="8.3219999999999992"/>
    <n v="11"/>
    <s v="CATIVO"/>
    <n v="0"/>
    <n v="0"/>
    <n v="16"/>
    <n v="54"/>
    <n v="0"/>
    <n v="297.89"/>
    <n v="197.13"/>
    <m/>
    <n v="392.53302912886562"/>
    <n v="220.56513853363268"/>
    <n v="0"/>
    <n v="561.7349999999999"/>
    <n v="0"/>
    <n v="325.67252880557373"/>
    <x v="4"/>
  </r>
  <r>
    <s v="Regular"/>
    <x v="2"/>
    <x v="2"/>
    <x v="3"/>
    <x v="0"/>
    <x v="1"/>
    <x v="0"/>
    <x v="1"/>
    <x v="2"/>
    <n v="0"/>
    <n v="0"/>
    <n v="1154.396"/>
    <n v="1154.396"/>
    <n v="1154.396"/>
    <n v="1154.396"/>
    <n v="2488"/>
    <s v="CATIVO"/>
    <n v="0"/>
    <n v="0"/>
    <n v="16"/>
    <n v="54"/>
    <n v="0"/>
    <n v="297.89"/>
    <n v="197.13"/>
    <m/>
    <n v="392.53302912886562"/>
    <n v="220.56513853363268"/>
    <n v="0"/>
    <n v="77921.73"/>
    <n v="0"/>
    <n v="45176.04717171823"/>
    <x v="4"/>
  </r>
  <r>
    <s v="Sistema de Compensação"/>
    <x v="2"/>
    <x v="2"/>
    <x v="3"/>
    <x v="0"/>
    <x v="1"/>
    <x v="0"/>
    <x v="1"/>
    <x v="2"/>
    <n v="0"/>
    <n v="0"/>
    <n v="11.291"/>
    <n v="11.291"/>
    <n v="11.291"/>
    <n v="11.291"/>
    <n v="12"/>
    <s v="CATIVO"/>
    <n v="0"/>
    <n v="0"/>
    <n v="16"/>
    <n v="54"/>
    <n v="0"/>
    <n v="297.89"/>
    <n v="197.13"/>
    <m/>
    <n v="392.53302912886562"/>
    <n v="220.56513853363268"/>
    <n v="0"/>
    <n v="762.14250000000004"/>
    <n v="0"/>
    <n v="441.86115389855001"/>
    <x v="4"/>
  </r>
  <r>
    <s v="Regular"/>
    <x v="2"/>
    <x v="2"/>
    <x v="3"/>
    <x v="0"/>
    <x v="1"/>
    <x v="0"/>
    <x v="1"/>
    <x v="3"/>
    <n v="0"/>
    <n v="0"/>
    <n v="1512.5139999999999"/>
    <n v="1512.5139999999999"/>
    <n v="1512.5139999999999"/>
    <n v="1512.5139999999999"/>
    <n v="2485"/>
    <s v="CATIVO"/>
    <n v="0"/>
    <n v="0"/>
    <n v="16"/>
    <n v="54"/>
    <n v="0"/>
    <n v="297.89"/>
    <n v="197.13"/>
    <m/>
    <n v="392.53302912886562"/>
    <n v="220.56513853363268"/>
    <n v="0"/>
    <n v="102094.69499999999"/>
    <n v="0"/>
    <n v="59190.61033811987"/>
    <x v="4"/>
  </r>
  <r>
    <s v="Refaturamento - Regular"/>
    <x v="2"/>
    <x v="2"/>
    <x v="3"/>
    <x v="0"/>
    <x v="1"/>
    <x v="0"/>
    <x v="1"/>
    <x v="3"/>
    <n v="0"/>
    <n v="0"/>
    <n v="-2.9809999999999999"/>
    <n v="-2.9809999999999999"/>
    <n v="-2.9809999999999999"/>
    <n v="-2.9809999999999999"/>
    <n v="0"/>
    <s v="CATIVO"/>
    <n v="0"/>
    <n v="0"/>
    <n v="16"/>
    <n v="54"/>
    <n v="0"/>
    <n v="297.89"/>
    <n v="197.13"/>
    <m/>
    <n v="392.53302912886562"/>
    <n v="220.56513853363268"/>
    <n v="0"/>
    <n v="-201.2175"/>
    <n v="0"/>
    <n v="-116.658232200122"/>
    <x v="4"/>
  </r>
  <r>
    <s v="Sistema de Compensação"/>
    <x v="2"/>
    <x v="2"/>
    <x v="3"/>
    <x v="0"/>
    <x v="1"/>
    <x v="0"/>
    <x v="1"/>
    <x v="3"/>
    <n v="0"/>
    <n v="0"/>
    <n v="8.0329999999999995"/>
    <n v="8.0329999999999995"/>
    <n v="8.0329999999999995"/>
    <n v="8.0329999999999995"/>
    <n v="13"/>
    <s v="CATIVO"/>
    <n v="0"/>
    <n v="0"/>
    <n v="16"/>
    <n v="54"/>
    <n v="0"/>
    <n v="297.89"/>
    <n v="197.13"/>
    <m/>
    <n v="392.53302912886562"/>
    <n v="220.56513853363268"/>
    <n v="0"/>
    <n v="542.22749999999996"/>
    <n v="0"/>
    <n v="314.36282430848036"/>
    <x v="4"/>
  </r>
  <r>
    <s v="Regular"/>
    <x v="2"/>
    <x v="2"/>
    <x v="3"/>
    <x v="0"/>
    <x v="1"/>
    <x v="0"/>
    <x v="1"/>
    <x v="4"/>
    <n v="0"/>
    <n v="0"/>
    <n v="1420.2070000000001"/>
    <n v="1420.2070000000001"/>
    <n v="1420.2070000000001"/>
    <n v="1420.2070000000001"/>
    <n v="2491"/>
    <s v="CATIVO"/>
    <n v="0"/>
    <n v="0"/>
    <n v="16"/>
    <n v="54"/>
    <n v="0"/>
    <n v="297.89"/>
    <n v="197.13"/>
    <m/>
    <n v="392.53302912886562"/>
    <n v="220.56513853363268"/>
    <n v="0"/>
    <n v="95863.972500000003"/>
    <n v="0"/>
    <n v="55578.275068178024"/>
    <x v="4"/>
  </r>
  <r>
    <s v="Refaturamento - Regular"/>
    <x v="2"/>
    <x v="2"/>
    <x v="3"/>
    <x v="0"/>
    <x v="1"/>
    <x v="0"/>
    <x v="1"/>
    <x v="4"/>
    <n v="0"/>
    <n v="0"/>
    <n v="-0.28699999999999998"/>
    <n v="-0.28699999999999998"/>
    <n v="-0.28699999999999998"/>
    <n v="-0.28699999999999998"/>
    <n v="0"/>
    <s v="CATIVO"/>
    <n v="0"/>
    <n v="0"/>
    <n v="16"/>
    <n v="54"/>
    <n v="0"/>
    <n v="297.89"/>
    <n v="197.13"/>
    <m/>
    <n v="392.53302912886562"/>
    <n v="220.56513853363268"/>
    <n v="0"/>
    <n v="-19.372499999999999"/>
    <n v="0"/>
    <n v="-11.231436645902386"/>
    <x v="4"/>
  </r>
  <r>
    <s v="Sistema de Compensação"/>
    <x v="2"/>
    <x v="2"/>
    <x v="3"/>
    <x v="0"/>
    <x v="1"/>
    <x v="0"/>
    <x v="1"/>
    <x v="4"/>
    <n v="0"/>
    <n v="0"/>
    <n v="11.968"/>
    <n v="11.968"/>
    <n v="11.968"/>
    <n v="11.968"/>
    <n v="13"/>
    <s v="CATIVO"/>
    <n v="0"/>
    <n v="0"/>
    <n v="16"/>
    <n v="54"/>
    <n v="0"/>
    <n v="297.89"/>
    <n v="197.13"/>
    <m/>
    <n v="392.53302912886562"/>
    <n v="220.56513853363268"/>
    <n v="0"/>
    <n v="807.84"/>
    <n v="0"/>
    <n v="468.35482152668908"/>
    <x v="4"/>
  </r>
  <r>
    <s v="Regular"/>
    <x v="2"/>
    <x v="2"/>
    <x v="3"/>
    <x v="0"/>
    <x v="1"/>
    <x v="0"/>
    <x v="1"/>
    <x v="5"/>
    <n v="0"/>
    <n v="0"/>
    <n v="1030.336"/>
    <n v="1030.336"/>
    <n v="1030.336"/>
    <n v="1030.336"/>
    <n v="2487"/>
    <s v="CATIVO"/>
    <n v="0"/>
    <n v="0"/>
    <n v="16"/>
    <n v="54"/>
    <n v="0"/>
    <n v="297.89"/>
    <n v="197.13"/>
    <m/>
    <n v="392.53302912886562"/>
    <n v="220.56513853363268"/>
    <n v="0"/>
    <n v="69547.680000000008"/>
    <n v="0"/>
    <n v="40321.092362343144"/>
    <x v="4"/>
  </r>
  <r>
    <s v="Sistema de Compensação"/>
    <x v="2"/>
    <x v="2"/>
    <x v="3"/>
    <x v="0"/>
    <x v="1"/>
    <x v="0"/>
    <x v="1"/>
    <x v="5"/>
    <n v="0"/>
    <n v="0"/>
    <n v="6.9569999999999999"/>
    <n v="6.9569999999999999"/>
    <n v="6.9569999999999999"/>
    <n v="6.9569999999999999"/>
    <n v="17"/>
    <s v="CATIVO"/>
    <n v="0"/>
    <n v="0"/>
    <n v="16"/>
    <n v="54"/>
    <n v="0"/>
    <n v="297.89"/>
    <n v="197.13"/>
    <m/>
    <n v="392.53302912886562"/>
    <n v="220.56513853363268"/>
    <n v="0"/>
    <n v="469.59749999999997"/>
    <n v="0"/>
    <n v="272.25472036774534"/>
    <x v="4"/>
  </r>
  <r>
    <s v="Regular"/>
    <x v="2"/>
    <x v="2"/>
    <x v="3"/>
    <x v="0"/>
    <x v="1"/>
    <x v="0"/>
    <x v="1"/>
    <x v="6"/>
    <n v="0"/>
    <n v="0"/>
    <n v="1003.285"/>
    <n v="1003.285"/>
    <n v="1003.285"/>
    <n v="1003.285"/>
    <n v="2481"/>
    <s v="CATIVO"/>
    <n v="0"/>
    <n v="0"/>
    <n v="16"/>
    <n v="54"/>
    <n v="0"/>
    <n v="297.89"/>
    <n v="197.13"/>
    <m/>
    <n v="392.53302912886562"/>
    <n v="220.56513853363268"/>
    <n v="0"/>
    <n v="67721.737500000003"/>
    <n v="0"/>
    <n v="39262.480541059849"/>
    <x v="4"/>
  </r>
  <r>
    <s v="Refaturamento - Regular"/>
    <x v="2"/>
    <x v="2"/>
    <x v="3"/>
    <x v="0"/>
    <x v="1"/>
    <x v="0"/>
    <x v="1"/>
    <x v="6"/>
    <n v="0"/>
    <n v="0"/>
    <n v="-2.1040000000000001"/>
    <n v="-2.1040000000000001"/>
    <n v="-2.1040000000000001"/>
    <n v="-2.1040000000000001"/>
    <n v="0"/>
    <s v="CATIVO"/>
    <n v="0"/>
    <n v="0"/>
    <n v="16"/>
    <n v="54"/>
    <n v="0"/>
    <n v="297.89"/>
    <n v="197.13"/>
    <m/>
    <n v="392.53302912886562"/>
    <n v="220.56513853363268"/>
    <n v="0"/>
    <n v="-142.02000000000001"/>
    <n v="0"/>
    <n v="-82.33777945288719"/>
    <x v="4"/>
  </r>
  <r>
    <s v="Sistema de Compensação"/>
    <x v="2"/>
    <x v="2"/>
    <x v="3"/>
    <x v="0"/>
    <x v="1"/>
    <x v="0"/>
    <x v="1"/>
    <x v="6"/>
    <n v="0"/>
    <n v="0"/>
    <n v="15.468"/>
    <n v="15.468"/>
    <n v="15.468"/>
    <n v="15.468"/>
    <n v="22"/>
    <s v="CATIVO"/>
    <n v="0"/>
    <n v="0"/>
    <n v="16"/>
    <n v="54"/>
    <n v="0"/>
    <n v="297.89"/>
    <n v="197.13"/>
    <m/>
    <n v="392.53302912886562"/>
    <n v="220.56513853363268"/>
    <n v="0"/>
    <n v="1044.0899999999999"/>
    <n v="0"/>
    <n v="605.32356111086449"/>
    <x v="4"/>
  </r>
  <r>
    <s v="Regular"/>
    <x v="2"/>
    <x v="2"/>
    <x v="3"/>
    <x v="0"/>
    <x v="1"/>
    <x v="0"/>
    <x v="1"/>
    <x v="7"/>
    <n v="0"/>
    <n v="0"/>
    <n v="877.62300000000005"/>
    <n v="877.62300000000005"/>
    <n v="877.62300000000005"/>
    <n v="877.62300000000005"/>
    <n v="2476"/>
    <s v="CATIVO"/>
    <n v="0"/>
    <n v="0"/>
    <n v="16"/>
    <n v="54"/>
    <n v="0"/>
    <n v="297.89"/>
    <n v="197.13"/>
    <m/>
    <n v="392.53302912886562"/>
    <n v="220.56513853363268"/>
    <n v="0"/>
    <n v="59239.552500000005"/>
    <n v="0"/>
    <n v="34344.833182880808"/>
    <x v="4"/>
  </r>
  <r>
    <s v="Refaturamento - Regular"/>
    <x v="2"/>
    <x v="2"/>
    <x v="3"/>
    <x v="0"/>
    <x v="1"/>
    <x v="0"/>
    <x v="1"/>
    <x v="7"/>
    <n v="0"/>
    <n v="0"/>
    <n v="-4.6929999999999996"/>
    <n v="-4.6929999999999996"/>
    <n v="-4.6929999999999996"/>
    <n v="-4.6929999999999996"/>
    <n v="0"/>
    <s v="CATIVO"/>
    <n v="0"/>
    <n v="0"/>
    <n v="16"/>
    <n v="54"/>
    <n v="0"/>
    <n v="297.89"/>
    <n v="197.13"/>
    <m/>
    <n v="392.53302912886562"/>
    <n v="220.56513853363268"/>
    <n v="0"/>
    <n v="-316.77749999999997"/>
    <n v="0"/>
    <n v="-183.65551281958153"/>
    <x v="4"/>
  </r>
  <r>
    <s v="Sistema de Compensação"/>
    <x v="2"/>
    <x v="2"/>
    <x v="3"/>
    <x v="0"/>
    <x v="1"/>
    <x v="0"/>
    <x v="1"/>
    <x v="7"/>
    <n v="0"/>
    <n v="0"/>
    <n v="7.75"/>
    <n v="7.75"/>
    <n v="7.75"/>
    <n v="7.75"/>
    <n v="25"/>
    <s v="CATIVO"/>
    <n v="0"/>
    <n v="0"/>
    <n v="16"/>
    <n v="54"/>
    <n v="0"/>
    <n v="297.89"/>
    <n v="197.13"/>
    <m/>
    <n v="392.53302912886562"/>
    <n v="220.56513853363268"/>
    <n v="0"/>
    <n v="523.125"/>
    <n v="0"/>
    <n v="303.28792336495991"/>
    <x v="4"/>
  </r>
  <r>
    <s v="Regular"/>
    <x v="2"/>
    <x v="2"/>
    <x v="3"/>
    <x v="0"/>
    <x v="1"/>
    <x v="0"/>
    <x v="1"/>
    <x v="8"/>
    <n v="0"/>
    <n v="0"/>
    <n v="767.22"/>
    <n v="767.22"/>
    <n v="767.22"/>
    <n v="767.22"/>
    <n v="2460"/>
    <s v="CATIVO"/>
    <n v="0"/>
    <n v="0"/>
    <n v="16"/>
    <n v="54"/>
    <n v="0"/>
    <n v="297.89"/>
    <n v="197.13"/>
    <m/>
    <n v="392.53302912886562"/>
    <n v="220.56513853363268"/>
    <n v="0"/>
    <n v="51787.35"/>
    <n v="0"/>
    <n v="30024.330395363169"/>
    <x v="4"/>
  </r>
  <r>
    <s v="Refaturamento - Regular"/>
    <x v="2"/>
    <x v="2"/>
    <x v="3"/>
    <x v="0"/>
    <x v="1"/>
    <x v="0"/>
    <x v="1"/>
    <x v="8"/>
    <n v="0"/>
    <n v="0"/>
    <n v="-0.36599999999999999"/>
    <n v="-0.36599999999999999"/>
    <n v="-0.36599999999999999"/>
    <n v="-0.36599999999999999"/>
    <n v="0"/>
    <s v="CATIVO"/>
    <n v="0"/>
    <n v="0"/>
    <n v="16"/>
    <n v="54"/>
    <n v="0"/>
    <n v="297.89"/>
    <n v="197.13"/>
    <m/>
    <n v="392.53302912886562"/>
    <n v="220.56513853363268"/>
    <n v="0"/>
    <n v="-24.704999999999998"/>
    <n v="0"/>
    <n v="-14.323016767945203"/>
    <x v="4"/>
  </r>
  <r>
    <s v="Sistema de Compensação"/>
    <x v="2"/>
    <x v="2"/>
    <x v="3"/>
    <x v="0"/>
    <x v="1"/>
    <x v="0"/>
    <x v="1"/>
    <x v="8"/>
    <n v="0"/>
    <n v="0"/>
    <n v="9.6259999999999994"/>
    <n v="9.6259999999999994"/>
    <n v="9.6259999999999994"/>
    <n v="9.6259999999999994"/>
    <n v="29"/>
    <s v="CATIVO"/>
    <n v="0"/>
    <n v="0"/>
    <n v="16"/>
    <n v="54"/>
    <n v="0"/>
    <n v="297.89"/>
    <n v="197.13"/>
    <m/>
    <n v="392.53302912886562"/>
    <n v="220.56513853363268"/>
    <n v="0"/>
    <n v="649.755"/>
    <n v="0"/>
    <n v="376.70316778207797"/>
    <x v="4"/>
  </r>
  <r>
    <s v="Regular"/>
    <x v="2"/>
    <x v="2"/>
    <x v="3"/>
    <x v="0"/>
    <x v="1"/>
    <x v="0"/>
    <x v="1"/>
    <x v="9"/>
    <n v="0"/>
    <n v="0"/>
    <n v="757.27300000000002"/>
    <n v="757.27300000000002"/>
    <n v="757.27300000000002"/>
    <n v="757.27300000000002"/>
    <n v="2458"/>
    <s v="CATIVO"/>
    <n v="0"/>
    <n v="0"/>
    <n v="16"/>
    <n v="54"/>
    <n v="0"/>
    <n v="297.89"/>
    <n v="197.13"/>
    <m/>
    <n v="392.53302912886562"/>
    <n v="220.56513853363268"/>
    <n v="0"/>
    <n v="51115.927500000005"/>
    <n v="0"/>
    <n v="29635.065237464943"/>
    <x v="4"/>
  </r>
  <r>
    <s v="Sistema de Compensação"/>
    <x v="2"/>
    <x v="2"/>
    <x v="3"/>
    <x v="0"/>
    <x v="1"/>
    <x v="0"/>
    <x v="1"/>
    <x v="9"/>
    <n v="0"/>
    <n v="0"/>
    <n v="14.491"/>
    <n v="14.491"/>
    <n v="14.491"/>
    <n v="14.491"/>
    <n v="31"/>
    <s v="CATIVO"/>
    <n v="0"/>
    <n v="0"/>
    <n v="16"/>
    <n v="54"/>
    <n v="0"/>
    <n v="297.89"/>
    <n v="197.13"/>
    <m/>
    <n v="392.53302912886562"/>
    <n v="220.56513853363268"/>
    <n v="0"/>
    <n v="978.14249999999993"/>
    <n v="0"/>
    <n v="567.08971580408183"/>
    <x v="4"/>
  </r>
  <r>
    <s v="Regular"/>
    <x v="2"/>
    <x v="2"/>
    <x v="3"/>
    <x v="0"/>
    <x v="1"/>
    <x v="0"/>
    <x v="1"/>
    <x v="10"/>
    <n v="0"/>
    <n v="0"/>
    <n v="687.50599999999997"/>
    <n v="687.50599999999997"/>
    <n v="687.50599999999997"/>
    <n v="687.50599999999997"/>
    <n v="2440"/>
    <s v="CATIVO"/>
    <n v="0"/>
    <n v="0"/>
    <n v="16"/>
    <n v="54"/>
    <n v="0"/>
    <n v="297.89"/>
    <n v="197.13"/>
    <m/>
    <n v="392.53302912886562"/>
    <n v="220.56513853363268"/>
    <n v="0"/>
    <n v="46406.654999999999"/>
    <n v="0"/>
    <n v="26904.808650445179"/>
    <x v="4"/>
  </r>
  <r>
    <s v="Refaturamento - Regular"/>
    <x v="2"/>
    <x v="2"/>
    <x v="3"/>
    <x v="0"/>
    <x v="1"/>
    <x v="0"/>
    <x v="1"/>
    <x v="10"/>
    <n v="0"/>
    <n v="0"/>
    <n v="-2.6579999999999999"/>
    <n v="-2.6579999999999999"/>
    <n v="-2.6579999999999999"/>
    <n v="-2.6579999999999999"/>
    <n v="0"/>
    <s v="CATIVO"/>
    <n v="0"/>
    <n v="0"/>
    <n v="16"/>
    <n v="54"/>
    <n v="0"/>
    <n v="297.89"/>
    <n v="197.13"/>
    <m/>
    <n v="392.53302912886562"/>
    <n v="220.56513853363268"/>
    <n v="0"/>
    <n v="-179.41499999999999"/>
    <n v="0"/>
    <n v="-104.01797423278238"/>
    <x v="4"/>
  </r>
  <r>
    <s v="Sistema de Compensação"/>
    <x v="2"/>
    <x v="2"/>
    <x v="3"/>
    <x v="0"/>
    <x v="1"/>
    <x v="0"/>
    <x v="1"/>
    <x v="10"/>
    <n v="0"/>
    <n v="0"/>
    <n v="12.61"/>
    <n v="12.61"/>
    <n v="12.61"/>
    <n v="12.61"/>
    <n v="37"/>
    <s v="CATIVO"/>
    <n v="0"/>
    <n v="0"/>
    <n v="16"/>
    <n v="54"/>
    <n v="0"/>
    <n v="297.89"/>
    <n v="197.13"/>
    <m/>
    <n v="392.53302912886562"/>
    <n v="220.56513853363268"/>
    <n v="0"/>
    <n v="851.17499999999995"/>
    <n v="0"/>
    <n v="493.47880175898638"/>
    <x v="4"/>
  </r>
  <r>
    <s v="PROJETADO"/>
    <x v="2"/>
    <x v="2"/>
    <x v="3"/>
    <x v="0"/>
    <x v="1"/>
    <x v="0"/>
    <x v="1"/>
    <x v="11"/>
    <n v="0"/>
    <n v="0"/>
    <n v="687.50599999999997"/>
    <n v="687.50599999999997"/>
    <n v="687.50599999999997"/>
    <n v="687.50599999999997"/>
    <n v="2440"/>
    <s v="CATIVO"/>
    <n v="0"/>
    <n v="0"/>
    <n v="16"/>
    <n v="54"/>
    <n v="0"/>
    <n v="297.89"/>
    <n v="197.13"/>
    <m/>
    <n v="392.53302912886562"/>
    <n v="220.56513853363268"/>
    <n v="0"/>
    <n v="46406.654999999999"/>
    <n v="0"/>
    <n v="26904.808650445179"/>
    <x v="4"/>
  </r>
  <r>
    <s v="PROJETADO"/>
    <x v="2"/>
    <x v="2"/>
    <x v="3"/>
    <x v="0"/>
    <x v="1"/>
    <x v="0"/>
    <x v="1"/>
    <x v="11"/>
    <n v="0"/>
    <n v="0"/>
    <n v="-2.6579999999999999"/>
    <n v="-2.6579999999999999"/>
    <n v="-2.6579999999999999"/>
    <n v="-2.6579999999999999"/>
    <n v="0"/>
    <s v="CATIVO"/>
    <n v="0"/>
    <n v="0"/>
    <n v="16"/>
    <n v="54"/>
    <n v="0"/>
    <n v="297.89"/>
    <n v="197.13"/>
    <m/>
    <n v="392.53302912886562"/>
    <n v="220.56513853363268"/>
    <n v="0"/>
    <n v="-179.41499999999999"/>
    <n v="0"/>
    <n v="-104.01797423278238"/>
    <x v="4"/>
  </r>
  <r>
    <s v="PROJETADO"/>
    <x v="2"/>
    <x v="2"/>
    <x v="3"/>
    <x v="0"/>
    <x v="1"/>
    <x v="0"/>
    <x v="1"/>
    <x v="11"/>
    <n v="0"/>
    <n v="0"/>
    <n v="12.61"/>
    <n v="12.61"/>
    <n v="12.61"/>
    <n v="12.61"/>
    <n v="37"/>
    <s v="CATIVO"/>
    <n v="0"/>
    <n v="0"/>
    <n v="16"/>
    <n v="54"/>
    <n v="0"/>
    <n v="297.89"/>
    <n v="197.13"/>
    <m/>
    <n v="392.53302912886562"/>
    <n v="220.56513853363268"/>
    <n v="0"/>
    <n v="851.17499999999995"/>
    <n v="0"/>
    <n v="493.47880175898638"/>
    <x v="4"/>
  </r>
  <r>
    <s v="Regular"/>
    <x v="3"/>
    <x v="2"/>
    <x v="1"/>
    <x v="1"/>
    <x v="1"/>
    <x v="0"/>
    <x v="1"/>
    <x v="0"/>
    <n v="0"/>
    <n v="0"/>
    <n v="46.851999999999997"/>
    <n v="44.040879999999994"/>
    <n v="46.851999999999997"/>
    <n v="44.040879999999994"/>
    <n v="32"/>
    <s v="CATIVO"/>
    <n v="0"/>
    <n v="0"/>
    <n v="33"/>
    <n v="85"/>
    <n v="0"/>
    <n v="338.51"/>
    <n v="224.01"/>
    <m/>
    <n v="417.58832886049538"/>
    <n v="234.64376439748159"/>
    <n v="0"/>
    <n v="1581.3112224000015"/>
    <n v="0"/>
    <n v="1833.5026819993659"/>
    <x v="1"/>
  </r>
  <r>
    <s v="Regular"/>
    <x v="3"/>
    <x v="2"/>
    <x v="1"/>
    <x v="1"/>
    <x v="1"/>
    <x v="0"/>
    <x v="1"/>
    <x v="1"/>
    <n v="0"/>
    <n v="0"/>
    <n v="49.296999999999997"/>
    <n v="46.339179999999992"/>
    <n v="49.296999999999997"/>
    <n v="46.339179999999992"/>
    <n v="32"/>
    <s v="CATIVO"/>
    <n v="0"/>
    <n v="0"/>
    <n v="33"/>
    <n v="85"/>
    <n v="0"/>
    <n v="338.51"/>
    <n v="224.01"/>
    <m/>
    <n v="417.58832886049538"/>
    <n v="234.64376439748159"/>
    <n v="0"/>
    <n v="1663.8329064000029"/>
    <n v="0"/>
    <n v="1929.1851300803128"/>
    <x v="1"/>
  </r>
  <r>
    <s v="Regular"/>
    <x v="3"/>
    <x v="2"/>
    <x v="1"/>
    <x v="1"/>
    <x v="1"/>
    <x v="0"/>
    <x v="1"/>
    <x v="2"/>
    <n v="0"/>
    <n v="0"/>
    <n v="45.563000000000002"/>
    <n v="42.829219999999999"/>
    <n v="45.563000000000002"/>
    <n v="42.829219999999999"/>
    <n v="32"/>
    <s v="CATIVO"/>
    <n v="0"/>
    <n v="0"/>
    <n v="33"/>
    <n v="85"/>
    <n v="0"/>
    <n v="338.51"/>
    <n v="224.01"/>
    <m/>
    <n v="417.58832886049538"/>
    <n v="234.64376439748159"/>
    <n v="0"/>
    <n v="1537.8059256000015"/>
    <n v="0"/>
    <n v="1783.0590519067941"/>
    <x v="1"/>
  </r>
  <r>
    <s v="Regular"/>
    <x v="3"/>
    <x v="2"/>
    <x v="1"/>
    <x v="1"/>
    <x v="1"/>
    <x v="0"/>
    <x v="1"/>
    <x v="3"/>
    <n v="0"/>
    <n v="0"/>
    <n v="47.423999999999999"/>
    <n v="44.578560000000003"/>
    <n v="47.423999999999999"/>
    <n v="44.578560000000003"/>
    <n v="34"/>
    <s v="CATIVO"/>
    <n v="0"/>
    <n v="0"/>
    <n v="33"/>
    <n v="85"/>
    <n v="0"/>
    <n v="338.51"/>
    <n v="224.01"/>
    <m/>
    <n v="417.58832886049538"/>
    <n v="234.64376439748159"/>
    <n v="0"/>
    <n v="1600.6169087999979"/>
    <n v="0"/>
    <n v="1855.8872874399758"/>
    <x v="1"/>
  </r>
  <r>
    <s v="Regular"/>
    <x v="3"/>
    <x v="2"/>
    <x v="1"/>
    <x v="1"/>
    <x v="1"/>
    <x v="0"/>
    <x v="1"/>
    <x v="4"/>
    <n v="0"/>
    <n v="0"/>
    <n v="44.262999999999998"/>
    <n v="41.607219999999998"/>
    <n v="44.262999999999998"/>
    <n v="41.607219999999998"/>
    <n v="33"/>
    <s v="CATIVO"/>
    <n v="0"/>
    <n v="0"/>
    <n v="33"/>
    <n v="85"/>
    <n v="0"/>
    <n v="338.51"/>
    <n v="224.01"/>
    <m/>
    <n v="417.58832886049538"/>
    <n v="234.64376439748159"/>
    <n v="0"/>
    <n v="1493.9293656"/>
    <n v="0"/>
    <n v="1732.1849486326701"/>
    <x v="1"/>
  </r>
  <r>
    <s v="Refaturamento - Regular"/>
    <x v="3"/>
    <x v="2"/>
    <x v="1"/>
    <x v="1"/>
    <x v="1"/>
    <x v="0"/>
    <x v="1"/>
    <x v="4"/>
    <n v="0"/>
    <n v="0"/>
    <n v="-0.307"/>
    <n v="-0.28858"/>
    <n v="-0.307"/>
    <n v="-0.28858"/>
    <n v="0"/>
    <s v="CATIVO"/>
    <n v="0"/>
    <n v="0"/>
    <n v="33"/>
    <n v="85"/>
    <n v="0"/>
    <n v="338.51"/>
    <n v="224.01"/>
    <m/>
    <n v="417.58832886049538"/>
    <n v="234.64376439748159"/>
    <n v="0"/>
    <n v="-10.361618399999994"/>
    <n v="0"/>
    <n v="-12.014115157811931"/>
    <x v="1"/>
  </r>
  <r>
    <s v="Regular"/>
    <x v="3"/>
    <x v="2"/>
    <x v="1"/>
    <x v="1"/>
    <x v="1"/>
    <x v="0"/>
    <x v="1"/>
    <x v="5"/>
    <n v="0"/>
    <n v="0"/>
    <n v="60.606000000000002"/>
    <n v="56.969639999999998"/>
    <n v="60.606000000000002"/>
    <n v="56.969639999999998"/>
    <n v="33"/>
    <s v="CATIVO"/>
    <n v="0"/>
    <n v="0"/>
    <n v="33"/>
    <n v="85"/>
    <n v="0"/>
    <n v="338.51"/>
    <n v="224.01"/>
    <m/>
    <n v="417.58832886049538"/>
    <n v="234.64376439748159"/>
    <n v="0"/>
    <n v="2045.5252272000018"/>
    <n v="0"/>
    <n v="2371.7506946395793"/>
    <x v="1"/>
  </r>
  <r>
    <s v="Regular"/>
    <x v="3"/>
    <x v="2"/>
    <x v="1"/>
    <x v="1"/>
    <x v="1"/>
    <x v="0"/>
    <x v="1"/>
    <x v="6"/>
    <n v="0"/>
    <n v="0"/>
    <n v="47.884999999999998"/>
    <n v="45.011899999999997"/>
    <n v="47.884999999999998"/>
    <n v="45.011899999999997"/>
    <n v="33"/>
    <s v="CATIVO"/>
    <n v="0"/>
    <n v="0"/>
    <n v="33"/>
    <n v="85"/>
    <n v="0"/>
    <n v="338.51"/>
    <n v="224.01"/>
    <m/>
    <n v="417.58832886049538"/>
    <n v="234.64376439748159"/>
    <n v="0"/>
    <n v="1616.1762120000003"/>
    <n v="0"/>
    <n v="1873.9280271394941"/>
    <x v="1"/>
  </r>
  <r>
    <s v="Regular"/>
    <x v="3"/>
    <x v="2"/>
    <x v="1"/>
    <x v="1"/>
    <x v="1"/>
    <x v="0"/>
    <x v="1"/>
    <x v="7"/>
    <n v="0"/>
    <n v="0"/>
    <n v="66.007000000000005"/>
    <n v="62.046579999999999"/>
    <n v="66.007000000000005"/>
    <n v="62.046579999999999"/>
    <n v="33"/>
    <s v="CATIVO"/>
    <n v="0"/>
    <n v="0"/>
    <n v="33"/>
    <n v="85"/>
    <n v="0"/>
    <n v="338.51"/>
    <n v="224.01"/>
    <m/>
    <n v="417.58832886049538"/>
    <n v="234.64376439748159"/>
    <n v="0"/>
    <n v="2227.8154584000035"/>
    <n v="0"/>
    <n v="2583.1130267807612"/>
    <x v="1"/>
  </r>
  <r>
    <s v="Regular"/>
    <x v="3"/>
    <x v="2"/>
    <x v="1"/>
    <x v="1"/>
    <x v="1"/>
    <x v="0"/>
    <x v="1"/>
    <x v="8"/>
    <n v="0"/>
    <n v="0"/>
    <n v="49.927"/>
    <n v="46.931379999999997"/>
    <n v="49.927"/>
    <n v="46.931379999999997"/>
    <n v="37"/>
    <s v="CATIVO"/>
    <n v="0"/>
    <n v="0"/>
    <n v="33"/>
    <n v="85"/>
    <n v="0"/>
    <n v="338.51"/>
    <n v="224.01"/>
    <m/>
    <n v="417.58832886049538"/>
    <n v="234.64376439748159"/>
    <n v="0"/>
    <n v="1685.0961624000015"/>
    <n v="0"/>
    <n v="1953.8395032054627"/>
    <x v="1"/>
  </r>
  <r>
    <s v="Regular"/>
    <x v="3"/>
    <x v="2"/>
    <x v="1"/>
    <x v="1"/>
    <x v="1"/>
    <x v="0"/>
    <x v="1"/>
    <x v="9"/>
    <n v="0"/>
    <n v="0"/>
    <n v="50.348999999999997"/>
    <n v="47.328060000000001"/>
    <n v="50.348999999999997"/>
    <n v="47.328060000000001"/>
    <n v="37"/>
    <s v="CATIVO"/>
    <n v="0"/>
    <n v="0"/>
    <n v="33"/>
    <n v="85"/>
    <n v="0"/>
    <n v="338.51"/>
    <n v="224.01"/>
    <m/>
    <n v="417.58832886049538"/>
    <n v="234.64376439748159"/>
    <n v="0"/>
    <n v="1699.3391687999977"/>
    <n v="0"/>
    <n v="1970.3540198067503"/>
    <x v="1"/>
  </r>
  <r>
    <s v="Regular"/>
    <x v="3"/>
    <x v="2"/>
    <x v="1"/>
    <x v="1"/>
    <x v="1"/>
    <x v="0"/>
    <x v="1"/>
    <x v="10"/>
    <n v="0"/>
    <n v="0"/>
    <n v="45.19"/>
    <n v="42.4786"/>
    <n v="45.19"/>
    <n v="42.4786"/>
    <n v="37"/>
    <s v="CATIVO"/>
    <n v="0"/>
    <n v="0"/>
    <n v="33"/>
    <n v="85"/>
    <n v="0"/>
    <n v="338.51"/>
    <n v="224.01"/>
    <m/>
    <n v="417.58832886049538"/>
    <n v="234.64376439748159"/>
    <n v="0"/>
    <n v="1525.2167279999985"/>
    <n v="0"/>
    <n v="1768.4620976596771"/>
    <x v="1"/>
  </r>
  <r>
    <s v="PROJETADO"/>
    <x v="3"/>
    <x v="2"/>
    <x v="1"/>
    <x v="1"/>
    <x v="1"/>
    <x v="0"/>
    <x v="1"/>
    <x v="11"/>
    <n v="0"/>
    <n v="0"/>
    <n v="45.19"/>
    <n v="42.4786"/>
    <n v="45.19"/>
    <n v="42.4786"/>
    <n v="37"/>
    <s v="CATIVO"/>
    <n v="0"/>
    <n v="0"/>
    <n v="33"/>
    <n v="85"/>
    <n v="0"/>
    <n v="338.51"/>
    <n v="224.01"/>
    <m/>
    <n v="417.58832886049538"/>
    <n v="234.64376439748159"/>
    <n v="0"/>
    <n v="1525.2167279999985"/>
    <n v="0"/>
    <n v="1768.4620976596771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0">
  <r>
    <s v="Regular"/>
    <x v="0"/>
    <x v="0"/>
    <x v="0"/>
    <x v="0"/>
    <x v="0"/>
    <x v="0"/>
    <x v="0"/>
    <x v="0"/>
    <n v="2514"/>
    <n v="1257"/>
    <n v="0"/>
    <n v="0"/>
    <n v="0"/>
    <n v="0"/>
    <n v="0"/>
    <x v="0"/>
    <n v="0"/>
    <n v="1"/>
    <n v="0"/>
    <n v="0"/>
    <n v="22.9"/>
    <n v="0"/>
    <n v="0"/>
    <n v="21.733731888847863"/>
    <n v="117.83242038312405"/>
    <m/>
    <n v="28785.3"/>
    <n v="0"/>
    <n v="0"/>
    <n v="27319.300984281763"/>
    <n v="0"/>
    <n v="0"/>
  </r>
  <r>
    <s v="Regular"/>
    <x v="0"/>
    <x v="0"/>
    <x v="0"/>
    <x v="0"/>
    <x v="0"/>
    <x v="0"/>
    <x v="0"/>
    <x v="1"/>
    <n v="2432"/>
    <n v="1216"/>
    <n v="0"/>
    <n v="0"/>
    <n v="0"/>
    <n v="0"/>
    <n v="0"/>
    <x v="0"/>
    <n v="0"/>
    <n v="1"/>
    <n v="0"/>
    <n v="0"/>
    <n v="22.9"/>
    <n v="0"/>
    <n v="0"/>
    <n v="21.733731888847863"/>
    <n v="117.83242038312405"/>
    <m/>
    <n v="27846.399999999998"/>
    <n v="0"/>
    <n v="0"/>
    <n v="26428.217976839001"/>
    <n v="0"/>
    <n v="0"/>
  </r>
  <r>
    <s v="Regular"/>
    <x v="0"/>
    <x v="0"/>
    <x v="0"/>
    <x v="0"/>
    <x v="0"/>
    <x v="0"/>
    <x v="0"/>
    <x v="2"/>
    <n v="2500"/>
    <n v="1250"/>
    <n v="0"/>
    <n v="0"/>
    <n v="0"/>
    <n v="0"/>
    <n v="0"/>
    <x v="0"/>
    <n v="0"/>
    <n v="1"/>
    <n v="0"/>
    <n v="0"/>
    <n v="22.9"/>
    <n v="0"/>
    <n v="0"/>
    <n v="21.733731888847863"/>
    <n v="117.83242038312405"/>
    <m/>
    <n v="28625"/>
    <n v="0"/>
    <n v="0"/>
    <n v="27167.164861059828"/>
    <n v="0"/>
    <n v="0"/>
  </r>
  <r>
    <s v="Regular"/>
    <x v="0"/>
    <x v="0"/>
    <x v="0"/>
    <x v="0"/>
    <x v="0"/>
    <x v="0"/>
    <x v="0"/>
    <x v="3"/>
    <n v="2623"/>
    <n v="1311.5"/>
    <n v="0"/>
    <n v="0"/>
    <n v="0"/>
    <n v="0"/>
    <n v="0"/>
    <x v="0"/>
    <n v="0"/>
    <n v="1"/>
    <n v="0"/>
    <n v="0"/>
    <n v="22.9"/>
    <n v="0"/>
    <n v="0"/>
    <n v="21.733731888847863"/>
    <n v="117.83242038312405"/>
    <m/>
    <n v="30033.35"/>
    <n v="0"/>
    <n v="0"/>
    <n v="28503.789372223971"/>
    <n v="0"/>
    <n v="0"/>
  </r>
  <r>
    <s v="Regular"/>
    <x v="0"/>
    <x v="0"/>
    <x v="0"/>
    <x v="0"/>
    <x v="0"/>
    <x v="0"/>
    <x v="0"/>
    <x v="4"/>
    <n v="2533"/>
    <n v="1266.5"/>
    <n v="0"/>
    <n v="0"/>
    <n v="0"/>
    <n v="0"/>
    <n v="0"/>
    <x v="0"/>
    <n v="0"/>
    <n v="1"/>
    <n v="0"/>
    <n v="0"/>
    <n v="22.9"/>
    <n v="0"/>
    <n v="0"/>
    <n v="21.733731888847863"/>
    <n v="117.83242038312405"/>
    <m/>
    <n v="29002.85"/>
    <n v="0"/>
    <n v="0"/>
    <n v="27525.77143722582"/>
    <n v="0"/>
    <n v="0"/>
  </r>
  <r>
    <s v="Regular"/>
    <x v="0"/>
    <x v="0"/>
    <x v="0"/>
    <x v="0"/>
    <x v="0"/>
    <x v="0"/>
    <x v="0"/>
    <x v="5"/>
    <n v="2500"/>
    <n v="1250"/>
    <n v="0"/>
    <n v="0"/>
    <n v="0"/>
    <n v="0"/>
    <n v="0"/>
    <x v="0"/>
    <n v="0"/>
    <n v="1"/>
    <n v="0"/>
    <n v="0"/>
    <n v="22.9"/>
    <n v="0"/>
    <n v="0"/>
    <n v="21.733731888847863"/>
    <n v="117.83242038312405"/>
    <m/>
    <n v="28625"/>
    <n v="0"/>
    <n v="0"/>
    <n v="27167.164861059828"/>
    <n v="0"/>
    <n v="0"/>
  </r>
  <r>
    <s v="Regular"/>
    <x v="0"/>
    <x v="0"/>
    <x v="0"/>
    <x v="0"/>
    <x v="0"/>
    <x v="0"/>
    <x v="0"/>
    <x v="6"/>
    <n v="2500"/>
    <n v="1250"/>
    <n v="0"/>
    <n v="0"/>
    <n v="0"/>
    <n v="0"/>
    <n v="0"/>
    <x v="0"/>
    <n v="0"/>
    <n v="1"/>
    <n v="0"/>
    <n v="0"/>
    <n v="22.9"/>
    <n v="0"/>
    <n v="0"/>
    <n v="21.733731888847863"/>
    <n v="117.83242038312405"/>
    <m/>
    <n v="28625"/>
    <n v="0"/>
    <n v="0"/>
    <n v="27167.164861059828"/>
    <n v="0"/>
    <n v="0"/>
  </r>
  <r>
    <s v="Regular"/>
    <x v="0"/>
    <x v="0"/>
    <x v="0"/>
    <x v="0"/>
    <x v="0"/>
    <x v="0"/>
    <x v="0"/>
    <x v="7"/>
    <n v="2061"/>
    <n v="1030.5"/>
    <n v="0"/>
    <n v="0"/>
    <n v="0"/>
    <n v="0"/>
    <n v="0"/>
    <x v="0"/>
    <n v="0"/>
    <n v="1"/>
    <n v="0"/>
    <n v="0"/>
    <n v="22.9"/>
    <n v="0"/>
    <n v="0"/>
    <n v="21.733731888847863"/>
    <n v="117.83242038312405"/>
    <m/>
    <n v="23598.449999999997"/>
    <n v="0"/>
    <n v="0"/>
    <n v="22396.610711457724"/>
    <n v="0"/>
    <n v="0"/>
  </r>
  <r>
    <s v="Regular"/>
    <x v="0"/>
    <x v="0"/>
    <x v="0"/>
    <x v="0"/>
    <x v="0"/>
    <x v="0"/>
    <x v="0"/>
    <x v="8"/>
    <n v="2421"/>
    <n v="1210.5"/>
    <n v="0"/>
    <n v="0"/>
    <n v="0"/>
    <n v="0"/>
    <n v="0"/>
    <x v="0"/>
    <n v="0"/>
    <n v="1"/>
    <n v="0"/>
    <n v="0"/>
    <n v="22.9"/>
    <n v="0"/>
    <n v="0"/>
    <n v="21.733731888847863"/>
    <n v="117.83242038312405"/>
    <m/>
    <n v="27720.449999999997"/>
    <n v="0"/>
    <n v="0"/>
    <n v="26308.682451450339"/>
    <n v="0"/>
    <n v="0"/>
  </r>
  <r>
    <s v="Regular"/>
    <x v="0"/>
    <x v="0"/>
    <x v="0"/>
    <x v="0"/>
    <x v="0"/>
    <x v="0"/>
    <x v="0"/>
    <x v="9"/>
    <n v="2500"/>
    <n v="1250"/>
    <n v="0"/>
    <n v="0"/>
    <n v="0"/>
    <n v="0"/>
    <n v="0"/>
    <x v="0"/>
    <n v="0"/>
    <n v="1"/>
    <n v="0"/>
    <n v="0"/>
    <n v="22.9"/>
    <n v="0"/>
    <n v="0"/>
    <n v="21.733731888847863"/>
    <n v="117.83242038312405"/>
    <m/>
    <n v="28625"/>
    <n v="0"/>
    <n v="0"/>
    <n v="27167.164861059828"/>
    <n v="0"/>
    <n v="0"/>
  </r>
  <r>
    <s v="Regular"/>
    <x v="0"/>
    <x v="0"/>
    <x v="0"/>
    <x v="0"/>
    <x v="0"/>
    <x v="0"/>
    <x v="0"/>
    <x v="10"/>
    <n v="2500"/>
    <n v="1250"/>
    <n v="0"/>
    <n v="0"/>
    <n v="0"/>
    <n v="0"/>
    <n v="0"/>
    <x v="0"/>
    <n v="0"/>
    <n v="1"/>
    <n v="0"/>
    <n v="0"/>
    <n v="22.9"/>
    <n v="0"/>
    <n v="0"/>
    <n v="21.733731888847863"/>
    <n v="117.83242038312405"/>
    <m/>
    <n v="28625"/>
    <n v="0"/>
    <n v="0"/>
    <n v="27167.164861059828"/>
    <n v="0"/>
    <n v="0"/>
  </r>
  <r>
    <s v="PROJETADO"/>
    <x v="0"/>
    <x v="0"/>
    <x v="0"/>
    <x v="0"/>
    <x v="0"/>
    <x v="0"/>
    <x v="0"/>
    <x v="11"/>
    <n v="2500"/>
    <n v="1250"/>
    <n v="0"/>
    <n v="0"/>
    <n v="0"/>
    <n v="0"/>
    <n v="0"/>
    <x v="0"/>
    <n v="0"/>
    <n v="1"/>
    <n v="0"/>
    <n v="0"/>
    <n v="22.9"/>
    <n v="0"/>
    <n v="0"/>
    <n v="21.733731888847863"/>
    <n v="117.83242038312405"/>
    <m/>
    <n v="28625"/>
    <n v="0"/>
    <n v="0"/>
    <n v="27167.164861059828"/>
    <n v="0"/>
    <n v="0"/>
  </r>
  <r>
    <s v="Regular"/>
    <x v="0"/>
    <x v="0"/>
    <x v="0"/>
    <x v="0"/>
    <x v="0"/>
    <x v="0"/>
    <x v="1"/>
    <x v="0"/>
    <n v="0"/>
    <n v="0"/>
    <n v="1047.816"/>
    <n v="1047.816"/>
    <n v="0"/>
    <n v="0"/>
    <n v="1"/>
    <x v="0"/>
    <n v="0"/>
    <n v="0"/>
    <n v="27"/>
    <n v="0"/>
    <n v="0"/>
    <n v="73.19"/>
    <n v="0"/>
    <m/>
    <n v="117.83242038312405"/>
    <m/>
    <n v="0"/>
    <n v="76689.653040000005"/>
    <n v="0"/>
    <n v="0"/>
    <n v="123466.69539616352"/>
    <n v="0"/>
  </r>
  <r>
    <s v="Regular"/>
    <x v="0"/>
    <x v="0"/>
    <x v="0"/>
    <x v="0"/>
    <x v="0"/>
    <x v="0"/>
    <x v="1"/>
    <x v="1"/>
    <n v="0"/>
    <n v="0"/>
    <n v="1103.0350000000001"/>
    <n v="1103.0350000000001"/>
    <n v="0"/>
    <n v="0"/>
    <n v="1"/>
    <x v="0"/>
    <n v="0"/>
    <n v="0"/>
    <n v="27"/>
    <n v="0"/>
    <n v="0"/>
    <n v="73.19"/>
    <n v="0"/>
    <m/>
    <n v="117.83242038312405"/>
    <m/>
    <n v="0"/>
    <n v="80731.13165000001"/>
    <n v="0"/>
    <n v="0"/>
    <n v="129973.28381729923"/>
    <n v="0"/>
  </r>
  <r>
    <s v="Regular"/>
    <x v="0"/>
    <x v="0"/>
    <x v="0"/>
    <x v="0"/>
    <x v="0"/>
    <x v="0"/>
    <x v="1"/>
    <x v="2"/>
    <n v="0"/>
    <n v="0"/>
    <n v="833.274"/>
    <n v="833.274"/>
    <n v="0"/>
    <n v="0"/>
    <n v="1"/>
    <x v="0"/>
    <n v="0"/>
    <n v="0"/>
    <n v="27"/>
    <n v="0"/>
    <n v="0"/>
    <n v="73.19"/>
    <n v="0"/>
    <m/>
    <n v="117.83242038312405"/>
    <m/>
    <n v="0"/>
    <n v="60987.324059999999"/>
    <n v="0"/>
    <n v="0"/>
    <n v="98186.692262327313"/>
    <n v="0"/>
  </r>
  <r>
    <s v="Regular"/>
    <x v="0"/>
    <x v="0"/>
    <x v="0"/>
    <x v="0"/>
    <x v="0"/>
    <x v="0"/>
    <x v="1"/>
    <x v="3"/>
    <n v="0"/>
    <n v="0"/>
    <n v="1142.8879999999999"/>
    <n v="1142.8879999999999"/>
    <n v="0"/>
    <n v="0"/>
    <n v="1"/>
    <x v="0"/>
    <n v="0"/>
    <n v="0"/>
    <n v="27"/>
    <n v="0"/>
    <n v="0"/>
    <n v="73.19"/>
    <n v="0"/>
    <m/>
    <n v="117.83242038312405"/>
    <m/>
    <n v="0"/>
    <n v="83647.972719999991"/>
    <n v="0"/>
    <n v="0"/>
    <n v="134669.25926682787"/>
    <n v="0"/>
  </r>
  <r>
    <s v="Regular"/>
    <x v="0"/>
    <x v="0"/>
    <x v="0"/>
    <x v="0"/>
    <x v="0"/>
    <x v="0"/>
    <x v="1"/>
    <x v="4"/>
    <n v="0"/>
    <n v="0"/>
    <n v="967.81600000000003"/>
    <n v="967.81600000000003"/>
    <n v="0"/>
    <n v="0"/>
    <n v="1"/>
    <x v="0"/>
    <n v="0"/>
    <n v="0"/>
    <n v="27"/>
    <n v="0"/>
    <n v="0"/>
    <n v="73.19"/>
    <n v="0"/>
    <m/>
    <n v="117.83242038312405"/>
    <m/>
    <n v="0"/>
    <n v="70834.453039999993"/>
    <n v="0"/>
    <n v="0"/>
    <n v="114040.10176551358"/>
    <n v="0"/>
  </r>
  <r>
    <s v="Regular"/>
    <x v="0"/>
    <x v="0"/>
    <x v="0"/>
    <x v="0"/>
    <x v="0"/>
    <x v="0"/>
    <x v="1"/>
    <x v="5"/>
    <n v="0"/>
    <n v="0"/>
    <n v="829.04499999999996"/>
    <n v="829.04499999999996"/>
    <n v="0"/>
    <n v="0"/>
    <n v="1"/>
    <x v="0"/>
    <n v="0"/>
    <n v="0"/>
    <n v="27"/>
    <n v="0"/>
    <n v="0"/>
    <n v="73.19"/>
    <n v="0"/>
    <m/>
    <n v="117.83242038312405"/>
    <m/>
    <n v="0"/>
    <n v="60677.803549999997"/>
    <n v="0"/>
    <n v="0"/>
    <n v="97688.378956527071"/>
    <n v="0"/>
  </r>
  <r>
    <s v="Regular"/>
    <x v="0"/>
    <x v="0"/>
    <x v="0"/>
    <x v="0"/>
    <x v="0"/>
    <x v="0"/>
    <x v="1"/>
    <x v="6"/>
    <n v="0"/>
    <n v="0"/>
    <n v="770.24199999999996"/>
    <n v="770.24199999999996"/>
    <n v="0"/>
    <n v="0"/>
    <n v="1"/>
    <x v="0"/>
    <n v="0"/>
    <n v="0"/>
    <n v="27"/>
    <n v="0"/>
    <n v="0"/>
    <n v="73.19"/>
    <n v="0"/>
    <m/>
    <n v="117.83242038312405"/>
    <m/>
    <n v="0"/>
    <n v="56374.011979999996"/>
    <n v="0"/>
    <n v="0"/>
    <n v="90759.479140738229"/>
    <n v="0"/>
  </r>
  <r>
    <s v="Regular"/>
    <x v="0"/>
    <x v="0"/>
    <x v="0"/>
    <x v="0"/>
    <x v="0"/>
    <x v="0"/>
    <x v="1"/>
    <x v="7"/>
    <n v="0"/>
    <n v="0"/>
    <n v="790.34799999999996"/>
    <n v="790.34799999999996"/>
    <n v="0"/>
    <n v="0"/>
    <n v="1"/>
    <x v="0"/>
    <n v="0"/>
    <n v="0"/>
    <n v="27"/>
    <n v="0"/>
    <n v="0"/>
    <n v="73.19"/>
    <n v="0"/>
    <m/>
    <n v="117.83242038312405"/>
    <m/>
    <n v="0"/>
    <n v="57845.570119999997"/>
    <n v="0"/>
    <n v="0"/>
    <n v="93128.617784961316"/>
    <n v="0"/>
  </r>
  <r>
    <s v="Regular"/>
    <x v="0"/>
    <x v="0"/>
    <x v="0"/>
    <x v="0"/>
    <x v="0"/>
    <x v="0"/>
    <x v="1"/>
    <x v="8"/>
    <n v="0"/>
    <n v="0"/>
    <n v="945.61"/>
    <n v="945.61"/>
    <n v="0"/>
    <n v="0"/>
    <n v="1"/>
    <x v="0"/>
    <n v="0"/>
    <n v="0"/>
    <n v="27"/>
    <n v="0"/>
    <n v="0"/>
    <n v="73.19"/>
    <n v="0"/>
    <m/>
    <n v="117.83242038312405"/>
    <m/>
    <n v="0"/>
    <n v="69209.195900000006"/>
    <n v="0"/>
    <n v="0"/>
    <n v="111423.51503848593"/>
    <n v="0"/>
  </r>
  <r>
    <s v="Regular"/>
    <x v="0"/>
    <x v="0"/>
    <x v="0"/>
    <x v="0"/>
    <x v="0"/>
    <x v="0"/>
    <x v="1"/>
    <x v="9"/>
    <n v="0"/>
    <n v="0"/>
    <n v="1069.9860000000001"/>
    <n v="1069.9860000000001"/>
    <n v="0"/>
    <n v="0"/>
    <n v="1"/>
    <x v="0"/>
    <n v="0"/>
    <n v="0"/>
    <n v="27"/>
    <n v="0"/>
    <n v="0"/>
    <n v="73.19"/>
    <n v="0"/>
    <m/>
    <n v="117.83242038312405"/>
    <m/>
    <n v="0"/>
    <n v="78312.275340000007"/>
    <n v="0"/>
    <n v="0"/>
    <n v="126079.04015605738"/>
    <n v="0"/>
  </r>
  <r>
    <s v="Regular"/>
    <x v="0"/>
    <x v="0"/>
    <x v="0"/>
    <x v="0"/>
    <x v="0"/>
    <x v="0"/>
    <x v="1"/>
    <x v="10"/>
    <n v="0"/>
    <n v="0"/>
    <n v="838.41700000000003"/>
    <n v="838.41700000000003"/>
    <n v="0"/>
    <n v="0"/>
    <n v="1"/>
    <x v="0"/>
    <n v="0"/>
    <n v="0"/>
    <n v="27"/>
    <n v="0"/>
    <n v="0"/>
    <n v="73.19"/>
    <n v="0"/>
    <m/>
    <n v="117.83242038312405"/>
    <m/>
    <n v="0"/>
    <n v="61363.740230000003"/>
    <n v="0"/>
    <n v="0"/>
    <n v="98792.704400357718"/>
    <n v="0"/>
  </r>
  <r>
    <s v="PROJETADO"/>
    <x v="0"/>
    <x v="0"/>
    <x v="0"/>
    <x v="0"/>
    <x v="0"/>
    <x v="0"/>
    <x v="1"/>
    <x v="11"/>
    <n v="0"/>
    <n v="0"/>
    <n v="838.41700000000003"/>
    <n v="838.41700000000003"/>
    <n v="0"/>
    <n v="0"/>
    <n v="1"/>
    <x v="0"/>
    <n v="0"/>
    <n v="0"/>
    <n v="27"/>
    <n v="0"/>
    <n v="0"/>
    <n v="73.19"/>
    <n v="0"/>
    <m/>
    <n v="117.83242038312405"/>
    <m/>
    <n v="0"/>
    <n v="61363.740230000003"/>
    <n v="0"/>
    <n v="0"/>
    <n v="98792.704400357718"/>
    <n v="0"/>
  </r>
  <r>
    <s v="Regular"/>
    <x v="0"/>
    <x v="0"/>
    <x v="0"/>
    <x v="0"/>
    <x v="0"/>
    <x v="0"/>
    <x v="2"/>
    <x v="0"/>
    <n v="121"/>
    <n v="60.5"/>
    <n v="0"/>
    <n v="0"/>
    <n v="0"/>
    <n v="0"/>
    <n v="0"/>
    <x v="0"/>
    <n v="0"/>
    <n v="7"/>
    <n v="0"/>
    <n v="0"/>
    <n v="59.47"/>
    <n v="0"/>
    <n v="0"/>
    <n v="56.480448697803254"/>
    <n v="117.83242038312405"/>
    <m/>
    <n v="3597.9349999999999"/>
    <n v="0"/>
    <n v="0"/>
    <n v="3417.0671462170967"/>
    <n v="0"/>
    <n v="0"/>
  </r>
  <r>
    <s v="Regular"/>
    <x v="0"/>
    <x v="0"/>
    <x v="0"/>
    <x v="0"/>
    <x v="0"/>
    <x v="0"/>
    <x v="2"/>
    <x v="1"/>
    <n v="123"/>
    <n v="61.5"/>
    <n v="0"/>
    <n v="0"/>
    <n v="0"/>
    <n v="0"/>
    <n v="0"/>
    <x v="0"/>
    <n v="0"/>
    <n v="7"/>
    <n v="0"/>
    <n v="0"/>
    <n v="59.47"/>
    <n v="0"/>
    <n v="0"/>
    <n v="56.480448697803254"/>
    <n v="117.83242038312405"/>
    <m/>
    <n v="3657.4049999999997"/>
    <n v="0"/>
    <n v="0"/>
    <n v="3473.5475949148999"/>
    <n v="0"/>
    <n v="0"/>
  </r>
  <r>
    <s v="Regular"/>
    <x v="0"/>
    <x v="0"/>
    <x v="0"/>
    <x v="0"/>
    <x v="0"/>
    <x v="0"/>
    <x v="2"/>
    <x v="2"/>
    <n v="110"/>
    <n v="55"/>
    <n v="0"/>
    <n v="0"/>
    <n v="0"/>
    <n v="0"/>
    <n v="0"/>
    <x v="0"/>
    <n v="0"/>
    <n v="7"/>
    <n v="0"/>
    <n v="0"/>
    <n v="59.47"/>
    <n v="0"/>
    <n v="0"/>
    <n v="56.480448697803254"/>
    <n v="117.83242038312405"/>
    <m/>
    <n v="3270.85"/>
    <n v="0"/>
    <n v="0"/>
    <n v="3106.4246783791791"/>
    <n v="0"/>
    <n v="0"/>
  </r>
  <r>
    <s v="Regular"/>
    <x v="0"/>
    <x v="0"/>
    <x v="0"/>
    <x v="0"/>
    <x v="0"/>
    <x v="0"/>
    <x v="2"/>
    <x v="3"/>
    <n v="110"/>
    <n v="55"/>
    <n v="0"/>
    <n v="0"/>
    <n v="0"/>
    <n v="0"/>
    <n v="0"/>
    <x v="0"/>
    <n v="0"/>
    <n v="7"/>
    <n v="0"/>
    <n v="0"/>
    <n v="59.47"/>
    <n v="0"/>
    <n v="0"/>
    <n v="56.480448697803254"/>
    <n v="117.83242038312405"/>
    <m/>
    <n v="3270.85"/>
    <n v="0"/>
    <n v="0"/>
    <n v="3106.4246783791791"/>
    <n v="0"/>
    <n v="0"/>
  </r>
  <r>
    <s v="Regular"/>
    <x v="0"/>
    <x v="0"/>
    <x v="0"/>
    <x v="0"/>
    <x v="0"/>
    <x v="0"/>
    <x v="2"/>
    <x v="4"/>
    <n v="110"/>
    <n v="55"/>
    <n v="0"/>
    <n v="0"/>
    <n v="0"/>
    <n v="0"/>
    <n v="0"/>
    <x v="0"/>
    <n v="0"/>
    <n v="7"/>
    <n v="0"/>
    <n v="0"/>
    <n v="59.47"/>
    <n v="0"/>
    <n v="0"/>
    <n v="56.480448697803254"/>
    <n v="117.83242038312405"/>
    <m/>
    <n v="3270.85"/>
    <n v="0"/>
    <n v="0"/>
    <n v="3106.4246783791791"/>
    <n v="0"/>
    <n v="0"/>
  </r>
  <r>
    <s v="Regular"/>
    <x v="0"/>
    <x v="0"/>
    <x v="0"/>
    <x v="0"/>
    <x v="0"/>
    <x v="0"/>
    <x v="2"/>
    <x v="5"/>
    <n v="110"/>
    <n v="55"/>
    <n v="0"/>
    <n v="0"/>
    <n v="0"/>
    <n v="0"/>
    <n v="0"/>
    <x v="0"/>
    <n v="0"/>
    <n v="7"/>
    <n v="0"/>
    <n v="0"/>
    <n v="59.47"/>
    <n v="0"/>
    <n v="0"/>
    <n v="56.480448697803254"/>
    <n v="117.83242038312405"/>
    <m/>
    <n v="3270.85"/>
    <n v="0"/>
    <n v="0"/>
    <n v="3106.4246783791791"/>
    <n v="0"/>
    <n v="0"/>
  </r>
  <r>
    <s v="Regular"/>
    <x v="0"/>
    <x v="0"/>
    <x v="0"/>
    <x v="0"/>
    <x v="0"/>
    <x v="0"/>
    <x v="2"/>
    <x v="6"/>
    <n v="110"/>
    <n v="55"/>
    <n v="0"/>
    <n v="0"/>
    <n v="0"/>
    <n v="0"/>
    <n v="0"/>
    <x v="0"/>
    <n v="0"/>
    <n v="7"/>
    <n v="0"/>
    <n v="0"/>
    <n v="59.47"/>
    <n v="0"/>
    <n v="0"/>
    <n v="56.480448697803254"/>
    <n v="117.83242038312405"/>
    <m/>
    <n v="3270.85"/>
    <n v="0"/>
    <n v="0"/>
    <n v="3106.4246783791791"/>
    <n v="0"/>
    <n v="0"/>
  </r>
  <r>
    <s v="Regular"/>
    <x v="0"/>
    <x v="0"/>
    <x v="0"/>
    <x v="0"/>
    <x v="0"/>
    <x v="0"/>
    <x v="2"/>
    <x v="7"/>
    <n v="110"/>
    <n v="55"/>
    <n v="0"/>
    <n v="0"/>
    <n v="0"/>
    <n v="0"/>
    <n v="0"/>
    <x v="0"/>
    <n v="0"/>
    <n v="7"/>
    <n v="0"/>
    <n v="0"/>
    <n v="59.47"/>
    <n v="0"/>
    <n v="0"/>
    <n v="56.480448697803254"/>
    <n v="117.83242038312405"/>
    <m/>
    <n v="3270.85"/>
    <n v="0"/>
    <n v="0"/>
    <n v="3106.4246783791791"/>
    <n v="0"/>
    <n v="0"/>
  </r>
  <r>
    <s v="Regular"/>
    <x v="0"/>
    <x v="0"/>
    <x v="0"/>
    <x v="0"/>
    <x v="0"/>
    <x v="0"/>
    <x v="2"/>
    <x v="8"/>
    <n v="110"/>
    <n v="55"/>
    <n v="0"/>
    <n v="0"/>
    <n v="0"/>
    <n v="0"/>
    <n v="0"/>
    <x v="0"/>
    <n v="0"/>
    <n v="7"/>
    <n v="0"/>
    <n v="0"/>
    <n v="59.47"/>
    <n v="0"/>
    <n v="0"/>
    <n v="56.480448697803254"/>
    <n v="117.83242038312405"/>
    <m/>
    <n v="3270.85"/>
    <n v="0"/>
    <n v="0"/>
    <n v="3106.4246783791791"/>
    <n v="0"/>
    <n v="0"/>
  </r>
  <r>
    <s v="Regular"/>
    <x v="0"/>
    <x v="0"/>
    <x v="0"/>
    <x v="0"/>
    <x v="0"/>
    <x v="0"/>
    <x v="2"/>
    <x v="9"/>
    <n v="110"/>
    <n v="55"/>
    <n v="0"/>
    <n v="0"/>
    <n v="0"/>
    <n v="0"/>
    <n v="0"/>
    <x v="0"/>
    <n v="0"/>
    <n v="7"/>
    <n v="0"/>
    <n v="0"/>
    <n v="59.47"/>
    <n v="0"/>
    <n v="0"/>
    <n v="56.480448697803254"/>
    <n v="117.83242038312405"/>
    <m/>
    <n v="3270.85"/>
    <n v="0"/>
    <n v="0"/>
    <n v="3106.4246783791791"/>
    <n v="0"/>
    <n v="0"/>
  </r>
  <r>
    <s v="Regular"/>
    <x v="0"/>
    <x v="0"/>
    <x v="0"/>
    <x v="0"/>
    <x v="0"/>
    <x v="0"/>
    <x v="2"/>
    <x v="10"/>
    <n v="110"/>
    <n v="55"/>
    <n v="0"/>
    <n v="0"/>
    <n v="0"/>
    <n v="0"/>
    <n v="0"/>
    <x v="0"/>
    <n v="0"/>
    <n v="7"/>
    <n v="0"/>
    <n v="0"/>
    <n v="59.47"/>
    <n v="0"/>
    <n v="0"/>
    <n v="56.480448697803254"/>
    <n v="117.83242038312405"/>
    <m/>
    <n v="3270.85"/>
    <n v="0"/>
    <n v="0"/>
    <n v="3106.4246783791791"/>
    <n v="0"/>
    <n v="0"/>
  </r>
  <r>
    <s v="PROJETADO"/>
    <x v="0"/>
    <x v="0"/>
    <x v="0"/>
    <x v="0"/>
    <x v="0"/>
    <x v="0"/>
    <x v="2"/>
    <x v="11"/>
    <n v="110"/>
    <n v="55"/>
    <n v="0"/>
    <n v="0"/>
    <n v="0"/>
    <n v="0"/>
    <n v="0"/>
    <x v="0"/>
    <n v="0"/>
    <n v="7"/>
    <n v="0"/>
    <n v="0"/>
    <n v="59.47"/>
    <n v="0"/>
    <n v="0"/>
    <n v="56.480448697803254"/>
    <n v="117.83242038312405"/>
    <m/>
    <n v="3270.85"/>
    <n v="0"/>
    <n v="0"/>
    <n v="3106.4246783791791"/>
    <n v="0"/>
    <n v="0"/>
  </r>
  <r>
    <s v="Regular"/>
    <x v="0"/>
    <x v="0"/>
    <x v="0"/>
    <x v="0"/>
    <x v="1"/>
    <x v="0"/>
    <x v="0"/>
    <x v="0"/>
    <n v="192"/>
    <n v="192"/>
    <n v="69.471000000000004"/>
    <n v="69.471000000000004"/>
    <n v="69.471000000000004"/>
    <n v="69.471000000000004"/>
    <n v="0"/>
    <x v="1"/>
    <n v="0"/>
    <n v="1"/>
    <n v="27"/>
    <n v="73"/>
    <n v="22.9"/>
    <n v="73.19"/>
    <n v="211.71"/>
    <n v="21.733731888847863"/>
    <n v="117.83242038312405"/>
    <n v="222.99901551132911"/>
    <n v="4396.7999999999993"/>
    <n v="5084.5824899999998"/>
    <n v="14707.70541"/>
    <n v="4172.8765226587893"/>
    <n v="8185.9360764360108"/>
    <n v="15491.964606587546"/>
  </r>
  <r>
    <s v="Regular"/>
    <x v="0"/>
    <x v="0"/>
    <x v="0"/>
    <x v="0"/>
    <x v="1"/>
    <x v="0"/>
    <x v="0"/>
    <x v="1"/>
    <n v="186"/>
    <n v="186"/>
    <n v="65.379000000000005"/>
    <n v="65.379000000000005"/>
    <n v="65.379000000000005"/>
    <n v="65.379000000000005"/>
    <n v="0"/>
    <x v="1"/>
    <n v="0"/>
    <n v="1"/>
    <n v="27"/>
    <n v="73"/>
    <n v="22.9"/>
    <n v="73.19"/>
    <n v="211.71"/>
    <n v="21.733731888847863"/>
    <n v="117.83242038312405"/>
    <n v="222.99901551132911"/>
    <n v="4259.3999999999996"/>
    <n v="4785.0890100000006"/>
    <n v="13841.388090000002"/>
    <n v="4042.4741313257027"/>
    <n v="7703.7658122282674"/>
    <n v="14579.452635115187"/>
  </r>
  <r>
    <s v="Regular"/>
    <x v="0"/>
    <x v="0"/>
    <x v="0"/>
    <x v="0"/>
    <x v="1"/>
    <x v="0"/>
    <x v="0"/>
    <x v="2"/>
    <n v="191"/>
    <n v="191"/>
    <n v="69.84"/>
    <n v="69.84"/>
    <n v="69.84"/>
    <n v="69.84"/>
    <n v="0"/>
    <x v="1"/>
    <n v="0"/>
    <n v="1"/>
    <n v="27"/>
    <n v="73"/>
    <n v="22.9"/>
    <n v="73.19"/>
    <n v="211.71"/>
    <n v="21.733731888847863"/>
    <n v="117.83242038312405"/>
    <n v="222.99901551132911"/>
    <n v="4373.8999999999996"/>
    <n v="5111.5896000000002"/>
    <n v="14785.826400000002"/>
    <n v="4151.1427907699417"/>
    <n v="8229.416239557384"/>
    <n v="15574.251243311226"/>
  </r>
  <r>
    <s v="Regular"/>
    <x v="0"/>
    <x v="0"/>
    <x v="0"/>
    <x v="0"/>
    <x v="1"/>
    <x v="0"/>
    <x v="0"/>
    <x v="3"/>
    <n v="186"/>
    <n v="186"/>
    <n v="68.825000000000003"/>
    <n v="68.825000000000003"/>
    <n v="68.825000000000003"/>
    <n v="68.825000000000003"/>
    <n v="0"/>
    <x v="1"/>
    <n v="0"/>
    <n v="1"/>
    <n v="27"/>
    <n v="73"/>
    <n v="22.9"/>
    <n v="73.19"/>
    <n v="211.71"/>
    <n v="21.733731888847863"/>
    <n v="117.83242038312405"/>
    <n v="222.99901551132911"/>
    <n v="4259.3999999999996"/>
    <n v="5037.3017499999996"/>
    <n v="14570.940750000002"/>
    <n v="4042.4741313257027"/>
    <n v="8109.8163328685132"/>
    <n v="15347.907242567226"/>
  </r>
  <r>
    <s v="Regular"/>
    <x v="0"/>
    <x v="0"/>
    <x v="0"/>
    <x v="0"/>
    <x v="1"/>
    <x v="0"/>
    <x v="0"/>
    <x v="4"/>
    <n v="188"/>
    <n v="188"/>
    <n v="53.982999999999997"/>
    <n v="53.982999999999997"/>
    <n v="53.982999999999997"/>
    <n v="53.982999999999997"/>
    <n v="0"/>
    <x v="1"/>
    <n v="0"/>
    <n v="1"/>
    <n v="27"/>
    <n v="73"/>
    <n v="22.9"/>
    <n v="73.19"/>
    <n v="211.71"/>
    <n v="21.733731888847863"/>
    <n v="117.83242038312405"/>
    <n v="222.99901551132911"/>
    <n v="4305.2"/>
    <n v="3951.0157699999995"/>
    <n v="11428.74093"/>
    <n v="4085.9415951033984"/>
    <n v="6360.9475495421848"/>
    <n v="12038.155854348079"/>
  </r>
  <r>
    <s v="Regular"/>
    <x v="0"/>
    <x v="0"/>
    <x v="0"/>
    <x v="0"/>
    <x v="1"/>
    <x v="0"/>
    <x v="0"/>
    <x v="5"/>
    <n v="193"/>
    <n v="193"/>
    <n v="52.811999999999998"/>
    <n v="52.811999999999998"/>
    <n v="52.811999999999998"/>
    <n v="52.811999999999998"/>
    <n v="0"/>
    <x v="1"/>
    <n v="0"/>
    <n v="1"/>
    <n v="27"/>
    <n v="73"/>
    <n v="22.9"/>
    <n v="73.19"/>
    <n v="211.71"/>
    <n v="21.733731888847863"/>
    <n v="117.83242038312405"/>
    <n v="222.99901551132911"/>
    <n v="4419.7"/>
    <n v="3865.3102799999997"/>
    <n v="11180.828519999999"/>
    <n v="4194.6102545476379"/>
    <n v="6222.9657852735472"/>
    <n v="11777.024007184313"/>
  </r>
  <r>
    <s v="Regular"/>
    <x v="0"/>
    <x v="0"/>
    <x v="0"/>
    <x v="0"/>
    <x v="1"/>
    <x v="0"/>
    <x v="0"/>
    <x v="6"/>
    <n v="194"/>
    <n v="194"/>
    <n v="64.382000000000005"/>
    <n v="64.382000000000005"/>
    <n v="64.382000000000005"/>
    <n v="64.382000000000005"/>
    <n v="0"/>
    <x v="1"/>
    <n v="0"/>
    <n v="1"/>
    <n v="27"/>
    <n v="73"/>
    <n v="22.9"/>
    <n v="73.19"/>
    <n v="211.71"/>
    <n v="21.733731888847863"/>
    <n v="117.83242038312405"/>
    <n v="222.99901551132911"/>
    <n v="4442.5999999999995"/>
    <n v="4712.1185800000003"/>
    <n v="13630.313220000002"/>
    <n v="4216.3439864364855"/>
    <n v="7586.2868891062926"/>
    <n v="14357.122616650391"/>
  </r>
  <r>
    <s v="Regular"/>
    <x v="0"/>
    <x v="0"/>
    <x v="0"/>
    <x v="0"/>
    <x v="1"/>
    <x v="0"/>
    <x v="0"/>
    <x v="7"/>
    <n v="199"/>
    <n v="199"/>
    <n v="73.945999999999998"/>
    <n v="73.945999999999998"/>
    <n v="73.945999999999998"/>
    <n v="73.945999999999998"/>
    <n v="0"/>
    <x v="1"/>
    <n v="0"/>
    <n v="1"/>
    <n v="27"/>
    <n v="73"/>
    <n v="22.9"/>
    <n v="73.19"/>
    <n v="211.71"/>
    <n v="21.733731888847863"/>
    <n v="117.83242038312405"/>
    <n v="222.99901551132911"/>
    <n v="4557.0999999999995"/>
    <n v="5412.1077399999995"/>
    <n v="15655.10766"/>
    <n v="4325.0126458807244"/>
    <n v="8713.23615765049"/>
    <n v="16489.885201000743"/>
  </r>
  <r>
    <s v="Regular"/>
    <x v="0"/>
    <x v="0"/>
    <x v="0"/>
    <x v="0"/>
    <x v="1"/>
    <x v="0"/>
    <x v="0"/>
    <x v="8"/>
    <n v="195"/>
    <n v="195"/>
    <n v="71.290999999999997"/>
    <n v="71.290999999999997"/>
    <n v="71.290999999999997"/>
    <n v="71.290999999999997"/>
    <n v="0"/>
    <x v="1"/>
    <n v="0"/>
    <n v="1"/>
    <n v="27"/>
    <n v="73"/>
    <n v="22.9"/>
    <n v="73.19"/>
    <n v="211.71"/>
    <n v="21.733731888847863"/>
    <n v="117.83242038312405"/>
    <n v="222.99901551132911"/>
    <n v="4465.5"/>
    <n v="5217.7882899999995"/>
    <n v="15093.017610000001"/>
    <n v="4238.0777183253331"/>
    <n v="8400.3910815332965"/>
    <n v="15897.822814818162"/>
  </r>
  <r>
    <s v="Regular"/>
    <x v="0"/>
    <x v="0"/>
    <x v="0"/>
    <x v="0"/>
    <x v="1"/>
    <x v="0"/>
    <x v="0"/>
    <x v="9"/>
    <n v="194"/>
    <n v="194"/>
    <n v="71.894999999999996"/>
    <n v="71.894999999999996"/>
    <n v="71.894999999999996"/>
    <n v="71.894999999999996"/>
    <n v="0"/>
    <x v="1"/>
    <n v="0"/>
    <n v="1"/>
    <n v="27"/>
    <n v="73"/>
    <n v="22.9"/>
    <n v="73.19"/>
    <n v="211.71"/>
    <n v="21.733731888847863"/>
    <n v="117.83242038312405"/>
    <n v="222.99901551132911"/>
    <n v="4442.5999999999995"/>
    <n v="5261.9950499999995"/>
    <n v="15220.890449999999"/>
    <n v="4216.3439864364855"/>
    <n v="8471.5618634447019"/>
    <n v="16032.514220187006"/>
  </r>
  <r>
    <s v="Regular"/>
    <x v="0"/>
    <x v="0"/>
    <x v="0"/>
    <x v="0"/>
    <x v="1"/>
    <x v="0"/>
    <x v="0"/>
    <x v="10"/>
    <n v="193"/>
    <n v="193"/>
    <n v="72.581000000000003"/>
    <n v="72.581000000000003"/>
    <n v="72.581000000000003"/>
    <n v="72.581000000000003"/>
    <n v="0"/>
    <x v="1"/>
    <n v="0"/>
    <n v="1"/>
    <n v="27"/>
    <n v="73"/>
    <n v="22.9"/>
    <n v="73.19"/>
    <n v="211.71"/>
    <n v="21.733731888847863"/>
    <n v="117.83242038312405"/>
    <n v="222.99901551132911"/>
    <n v="4419.7"/>
    <n v="5312.2033899999997"/>
    <n v="15366.123510000001"/>
    <n v="4194.6102545476379"/>
    <n v="8552.3949038275259"/>
    <n v="16185.491544827779"/>
  </r>
  <r>
    <s v="PROJETADO"/>
    <x v="0"/>
    <x v="0"/>
    <x v="0"/>
    <x v="0"/>
    <x v="1"/>
    <x v="0"/>
    <x v="0"/>
    <x v="11"/>
    <n v="193"/>
    <n v="193"/>
    <n v="72.581000000000003"/>
    <n v="72.581000000000003"/>
    <n v="72.581000000000003"/>
    <n v="72.581000000000003"/>
    <n v="0"/>
    <x v="1"/>
    <n v="0"/>
    <n v="1"/>
    <n v="27"/>
    <n v="73"/>
    <n v="22.9"/>
    <n v="73.19"/>
    <n v="211.71"/>
    <n v="21.733731888847863"/>
    <n v="117.83242038312405"/>
    <n v="222.99901551132911"/>
    <n v="4419.7"/>
    <n v="5312.2033899999997"/>
    <n v="15366.123510000001"/>
    <n v="4194.6102545476379"/>
    <n v="8552.3949038275259"/>
    <n v="16185.491544827779"/>
  </r>
  <r>
    <s v="Regular"/>
    <x v="0"/>
    <x v="0"/>
    <x v="0"/>
    <x v="0"/>
    <x v="1"/>
    <x v="0"/>
    <x v="2"/>
    <x v="0"/>
    <n v="136"/>
    <n v="136"/>
    <n v="8.016"/>
    <n v="8.016"/>
    <n v="8.016"/>
    <n v="8.016"/>
    <n v="0"/>
    <x v="1"/>
    <n v="0"/>
    <n v="7"/>
    <n v="27"/>
    <n v="69"/>
    <n v="59.47"/>
    <n v="73.19"/>
    <n v="359.33"/>
    <n v="56.480448697803254"/>
    <n v="117.83242038312405"/>
    <n v="362.73600214515886"/>
    <n v="8087.92"/>
    <n v="586.69103999999993"/>
    <n v="2880.3892799999999"/>
    <n v="7681.3410229012425"/>
    <n v="944.54468179112234"/>
    <n v="2907.6917931955936"/>
  </r>
  <r>
    <s v="Regular"/>
    <x v="0"/>
    <x v="0"/>
    <x v="0"/>
    <x v="0"/>
    <x v="1"/>
    <x v="0"/>
    <x v="2"/>
    <x v="1"/>
    <n v="130"/>
    <n v="130"/>
    <n v="7.15"/>
    <n v="7.15"/>
    <n v="7.15"/>
    <n v="7.15"/>
    <n v="0"/>
    <x v="1"/>
    <n v="0"/>
    <n v="7"/>
    <n v="27"/>
    <n v="69"/>
    <n v="59.47"/>
    <n v="73.19"/>
    <n v="359.33"/>
    <n v="56.480448697803254"/>
    <n v="117.83242038312405"/>
    <n v="362.73600214515886"/>
    <n v="7731.0999999999995"/>
    <n v="523.30849999999998"/>
    <n v="2569.2094999999999"/>
    <n v="7342.458330714423"/>
    <n v="842.50180573933699"/>
    <n v="2593.5624153378858"/>
  </r>
  <r>
    <s v="Regular"/>
    <x v="0"/>
    <x v="0"/>
    <x v="0"/>
    <x v="0"/>
    <x v="1"/>
    <x v="0"/>
    <x v="2"/>
    <x v="2"/>
    <n v="135"/>
    <n v="135"/>
    <n v="7.1479999999999997"/>
    <n v="7.1479999999999997"/>
    <n v="7.1479999999999997"/>
    <n v="7.1479999999999997"/>
    <n v="0"/>
    <x v="1"/>
    <n v="0"/>
    <n v="7"/>
    <n v="27"/>
    <n v="69"/>
    <n v="59.47"/>
    <n v="73.19"/>
    <n v="359.33"/>
    <n v="56.480448697803254"/>
    <n v="117.83242038312405"/>
    <n v="362.73600214515886"/>
    <n v="8028.45"/>
    <n v="523.16211999999996"/>
    <n v="2568.4908399999999"/>
    <n v="7624.8605742034397"/>
    <n v="842.2661408985706"/>
    <n v="2592.8369433335956"/>
  </r>
  <r>
    <s v="Regular"/>
    <x v="0"/>
    <x v="0"/>
    <x v="0"/>
    <x v="0"/>
    <x v="1"/>
    <x v="0"/>
    <x v="2"/>
    <x v="3"/>
    <n v="130"/>
    <n v="130"/>
    <n v="6.9379999999999997"/>
    <n v="6.9379999999999997"/>
    <n v="6.9379999999999997"/>
    <n v="6.9379999999999997"/>
    <n v="0"/>
    <x v="1"/>
    <n v="0"/>
    <n v="7"/>
    <n v="27"/>
    <n v="69"/>
    <n v="59.47"/>
    <n v="73.19"/>
    <n v="359.33"/>
    <n v="56.480448697803254"/>
    <n v="117.83242038312405"/>
    <n v="362.73600214515886"/>
    <n v="7731.0999999999995"/>
    <n v="507.79221999999999"/>
    <n v="2493.0315399999999"/>
    <n v="7342.458330714423"/>
    <n v="817.52133261811457"/>
    <n v="2516.6623828831121"/>
  </r>
  <r>
    <s v="Regular"/>
    <x v="0"/>
    <x v="0"/>
    <x v="0"/>
    <x v="0"/>
    <x v="1"/>
    <x v="0"/>
    <x v="2"/>
    <x v="4"/>
    <n v="134"/>
    <n v="134"/>
    <n v="5.9080000000000004"/>
    <n v="5.9080000000000004"/>
    <n v="5.9080000000000004"/>
    <n v="5.9080000000000004"/>
    <n v="0"/>
    <x v="1"/>
    <n v="0"/>
    <n v="7"/>
    <n v="27"/>
    <n v="69"/>
    <n v="59.47"/>
    <n v="73.19"/>
    <n v="359.33"/>
    <n v="56.480448697803254"/>
    <n v="117.83242038312405"/>
    <n v="362.73600214515886"/>
    <n v="7968.98"/>
    <n v="432.40652"/>
    <n v="2122.92164"/>
    <n v="7568.380125505636"/>
    <n v="696.15393962349685"/>
    <n v="2143.0443006735986"/>
  </r>
  <r>
    <s v="Regular"/>
    <x v="0"/>
    <x v="0"/>
    <x v="0"/>
    <x v="0"/>
    <x v="1"/>
    <x v="0"/>
    <x v="2"/>
    <x v="5"/>
    <n v="133"/>
    <n v="133"/>
    <n v="5.8380000000000001"/>
    <n v="5.8380000000000001"/>
    <n v="5.8380000000000001"/>
    <n v="5.8380000000000001"/>
    <n v="0"/>
    <x v="1"/>
    <n v="0"/>
    <n v="7"/>
    <n v="27"/>
    <n v="69"/>
    <n v="59.47"/>
    <n v="73.19"/>
    <n v="359.33"/>
    <n v="56.480448697803254"/>
    <n v="117.83242038312405"/>
    <n v="362.73600214515886"/>
    <n v="7909.51"/>
    <n v="427.28321999999997"/>
    <n v="2097.76854"/>
    <n v="7511.8996768078332"/>
    <n v="687.90567019667822"/>
    <n v="2117.6527805234373"/>
  </r>
  <r>
    <s v="Regular"/>
    <x v="0"/>
    <x v="0"/>
    <x v="0"/>
    <x v="0"/>
    <x v="1"/>
    <x v="0"/>
    <x v="2"/>
    <x v="6"/>
    <n v="136"/>
    <n v="136"/>
    <n v="7.2439999999999998"/>
    <n v="7.2439999999999998"/>
    <n v="7.2439999999999998"/>
    <n v="7.2439999999999998"/>
    <n v="0"/>
    <x v="1"/>
    <n v="0"/>
    <n v="7"/>
    <n v="27"/>
    <n v="69"/>
    <n v="59.47"/>
    <n v="73.19"/>
    <n v="359.33"/>
    <n v="56.480448697803254"/>
    <n v="117.83242038312405"/>
    <n v="362.73600214515886"/>
    <n v="8087.92"/>
    <n v="530.18835999999999"/>
    <n v="2602.9865199999999"/>
    <n v="7681.3410229012425"/>
    <n v="853.5780532553506"/>
    <n v="2627.6595995395305"/>
  </r>
  <r>
    <s v="Regular"/>
    <x v="0"/>
    <x v="0"/>
    <x v="0"/>
    <x v="0"/>
    <x v="1"/>
    <x v="0"/>
    <x v="2"/>
    <x v="7"/>
    <n v="140"/>
    <n v="140"/>
    <n v="8.2309999999999999"/>
    <n v="8.2309999999999999"/>
    <n v="8.2309999999999999"/>
    <n v="8.2309999999999999"/>
    <n v="0"/>
    <x v="1"/>
    <n v="0"/>
    <n v="7"/>
    <n v="27"/>
    <n v="69"/>
    <n v="59.47"/>
    <n v="73.19"/>
    <n v="359.33"/>
    <n v="56.480448697803254"/>
    <n v="117.83242038312405"/>
    <n v="362.73600214515886"/>
    <n v="8325.7999999999993"/>
    <n v="602.42688999999996"/>
    <n v="2957.6452299999996"/>
    <n v="7907.2628176924554"/>
    <n v="969.87865217349395"/>
    <n v="2985.6800336568026"/>
  </r>
  <r>
    <s v="Regular"/>
    <x v="0"/>
    <x v="0"/>
    <x v="0"/>
    <x v="0"/>
    <x v="1"/>
    <x v="0"/>
    <x v="2"/>
    <x v="8"/>
    <n v="138"/>
    <n v="138"/>
    <n v="6.8380000000000001"/>
    <n v="6.8380000000000001"/>
    <n v="6.8380000000000001"/>
    <n v="6.8380000000000001"/>
    <n v="0"/>
    <x v="1"/>
    <n v="0"/>
    <n v="7"/>
    <n v="27"/>
    <n v="69"/>
    <n v="59.47"/>
    <n v="73.19"/>
    <n v="359.33"/>
    <n v="56.480448697803254"/>
    <n v="117.83242038312405"/>
    <n v="362.73600214515886"/>
    <n v="8206.86"/>
    <n v="500.47321999999997"/>
    <n v="2457.09854"/>
    <n v="7794.3019202968489"/>
    <n v="805.73809057980225"/>
    <n v="2480.3887826685964"/>
  </r>
  <r>
    <s v="Regular"/>
    <x v="0"/>
    <x v="0"/>
    <x v="0"/>
    <x v="0"/>
    <x v="1"/>
    <x v="0"/>
    <x v="2"/>
    <x v="9"/>
    <n v="138"/>
    <n v="138"/>
    <n v="7.8890000000000002"/>
    <n v="7.8890000000000002"/>
    <n v="7.8890000000000002"/>
    <n v="7.8890000000000002"/>
    <n v="0"/>
    <x v="1"/>
    <n v="0"/>
    <n v="7"/>
    <n v="27"/>
    <n v="69"/>
    <n v="59.47"/>
    <n v="73.19"/>
    <n v="359.33"/>
    <n v="56.480448697803254"/>
    <n v="117.83242038312405"/>
    <n v="362.73600214515886"/>
    <n v="8206.86"/>
    <n v="577.39590999999996"/>
    <n v="2834.7543700000001"/>
    <n v="7794.3019202968489"/>
    <n v="929.57996440246563"/>
    <n v="2861.6243209231584"/>
  </r>
  <r>
    <s v="Regular"/>
    <x v="0"/>
    <x v="0"/>
    <x v="0"/>
    <x v="0"/>
    <x v="1"/>
    <x v="0"/>
    <x v="2"/>
    <x v="10"/>
    <n v="136"/>
    <n v="136"/>
    <n v="7.6029999999999998"/>
    <n v="7.6029999999999998"/>
    <n v="7.6029999999999998"/>
    <n v="7.6029999999999998"/>
    <n v="0"/>
    <x v="1"/>
    <n v="0"/>
    <n v="7"/>
    <n v="27"/>
    <n v="69"/>
    <n v="59.47"/>
    <n v="73.19"/>
    <n v="359.33"/>
    <n v="56.480448697803254"/>
    <n v="117.83242038312405"/>
    <n v="362.73600214515886"/>
    <n v="8087.92"/>
    <n v="556.46357"/>
    <n v="2731.9859899999997"/>
    <n v="7681.3410229012425"/>
    <n v="895.87989217289214"/>
    <n v="2757.881824309643"/>
  </r>
  <r>
    <s v="PROJETADO"/>
    <x v="0"/>
    <x v="0"/>
    <x v="0"/>
    <x v="0"/>
    <x v="1"/>
    <x v="0"/>
    <x v="2"/>
    <x v="11"/>
    <n v="136"/>
    <n v="136"/>
    <n v="7.6029999999999998"/>
    <n v="7.6029999999999998"/>
    <n v="7.6029999999999998"/>
    <n v="7.6029999999999998"/>
    <n v="0"/>
    <x v="1"/>
    <n v="0"/>
    <n v="7"/>
    <n v="27"/>
    <n v="69"/>
    <n v="59.47"/>
    <n v="73.19"/>
    <n v="359.33"/>
    <n v="56.480448697803254"/>
    <n v="117.83242038312405"/>
    <n v="362.73600214515886"/>
    <n v="8087.92"/>
    <n v="556.46357"/>
    <n v="2731.9859899999997"/>
    <n v="7681.3410229012425"/>
    <n v="895.87989217289214"/>
    <n v="2757.881824309643"/>
  </r>
  <r>
    <s v="Regular"/>
    <x v="0"/>
    <x v="1"/>
    <x v="1"/>
    <x v="0"/>
    <x v="1"/>
    <x v="0"/>
    <x v="0"/>
    <x v="0"/>
    <n v="0"/>
    <n v="0"/>
    <n v="2035.172"/>
    <n v="2035.172"/>
    <n v="2035.172"/>
    <n v="2035.172"/>
    <n v="0"/>
    <x v="1"/>
    <n v="0"/>
    <n v="0"/>
    <n v="18"/>
    <n v="73"/>
    <n v="0"/>
    <n v="73.19"/>
    <n v="211.71"/>
    <m/>
    <n v="117.83242038312405"/>
    <n v="222.99901551132911"/>
    <n v="0"/>
    <n v="148954.23868000001"/>
    <n v="430866.26412000001"/>
    <n v="0"/>
    <n v="239809.24265596335"/>
    <n v="453841.3523962227"/>
  </r>
  <r>
    <s v="Regular"/>
    <x v="0"/>
    <x v="1"/>
    <x v="1"/>
    <x v="0"/>
    <x v="1"/>
    <x v="0"/>
    <x v="0"/>
    <x v="1"/>
    <n v="0"/>
    <n v="0"/>
    <n v="2211.12"/>
    <n v="2211.12"/>
    <n v="2211.12"/>
    <n v="2211.12"/>
    <n v="0"/>
    <x v="1"/>
    <n v="0"/>
    <n v="0"/>
    <n v="18"/>
    <n v="73"/>
    <n v="0"/>
    <n v="73.19"/>
    <n v="211.71"/>
    <m/>
    <n v="117.83242038312405"/>
    <n v="222.99901551132911"/>
    <n v="0"/>
    <n v="161831.87279999998"/>
    <n v="468116.21519999998"/>
    <n v="0"/>
    <n v="260541.62135753324"/>
    <n v="493077.58317741001"/>
  </r>
  <r>
    <s v="Regular"/>
    <x v="0"/>
    <x v="1"/>
    <x v="1"/>
    <x v="0"/>
    <x v="1"/>
    <x v="0"/>
    <x v="0"/>
    <x v="2"/>
    <n v="0"/>
    <n v="0"/>
    <n v="2145.2460000000001"/>
    <n v="2145.2460000000001"/>
    <n v="2145.2460000000001"/>
    <n v="2145.2460000000001"/>
    <n v="0"/>
    <x v="1"/>
    <n v="0"/>
    <n v="0"/>
    <n v="18"/>
    <n v="73"/>
    <n v="0"/>
    <n v="73.19"/>
    <n v="211.71"/>
    <m/>
    <n v="117.83242038312405"/>
    <n v="222.99901551132911"/>
    <n v="0"/>
    <n v="157010.55473999999"/>
    <n v="454170.03066000005"/>
    <n v="0"/>
    <n v="252779.52849721533"/>
    <n v="478387.74602961674"/>
  </r>
  <r>
    <s v="Regular"/>
    <x v="0"/>
    <x v="1"/>
    <x v="1"/>
    <x v="0"/>
    <x v="1"/>
    <x v="0"/>
    <x v="0"/>
    <x v="3"/>
    <n v="0"/>
    <n v="0"/>
    <n v="2449.5129999999999"/>
    <n v="2449.5129999999999"/>
    <n v="2449.5129999999999"/>
    <n v="2449.5129999999999"/>
    <n v="0"/>
    <x v="1"/>
    <n v="0"/>
    <n v="0"/>
    <n v="18"/>
    <n v="73"/>
    <n v="0"/>
    <n v="73.19"/>
    <n v="211.71"/>
    <m/>
    <n v="117.83242038312405"/>
    <n v="222.99901551132911"/>
    <n v="0"/>
    <n v="179279.85647"/>
    <n v="518586.39723"/>
    <n v="0"/>
    <n v="288632.04554992734"/>
    <n v="546238.98748220224"/>
  </r>
  <r>
    <s v="Regular"/>
    <x v="0"/>
    <x v="1"/>
    <x v="1"/>
    <x v="0"/>
    <x v="1"/>
    <x v="0"/>
    <x v="0"/>
    <x v="4"/>
    <n v="0"/>
    <n v="0"/>
    <n v="2745.7040000000002"/>
    <n v="2745.7040000000002"/>
    <n v="2745.7040000000002"/>
    <n v="2745.7040000000002"/>
    <n v="0"/>
    <x v="1"/>
    <n v="0"/>
    <n v="0"/>
    <n v="18"/>
    <n v="73"/>
    <n v="0"/>
    <n v="73.19"/>
    <n v="211.71"/>
    <m/>
    <n v="117.83242038312405"/>
    <n v="222.99901551132911"/>
    <n v="0"/>
    <n v="200958.07576000001"/>
    <n v="581292.99384000001"/>
    <n v="0"/>
    <n v="323532.94797562523"/>
    <n v="612289.28888551844"/>
  </r>
  <r>
    <s v="Sistema de Compensação"/>
    <x v="0"/>
    <x v="1"/>
    <x v="1"/>
    <x v="0"/>
    <x v="1"/>
    <x v="0"/>
    <x v="0"/>
    <x v="4"/>
    <n v="0"/>
    <n v="0"/>
    <n v="45.22"/>
    <n v="45.22"/>
    <n v="45.22"/>
    <n v="45.22"/>
    <n v="0"/>
    <x v="1"/>
    <n v="0"/>
    <n v="0"/>
    <n v="18"/>
    <n v="73"/>
    <n v="0"/>
    <n v="73.19"/>
    <n v="211.71"/>
    <m/>
    <n v="117.83242038312405"/>
    <n v="222.99901551132911"/>
    <n v="0"/>
    <n v="3309.6517999999996"/>
    <n v="9573.5262000000002"/>
    <n v="0"/>
    <n v="5328.3820497248689"/>
    <n v="10084.015481422302"/>
  </r>
  <r>
    <s v="Regular"/>
    <x v="0"/>
    <x v="1"/>
    <x v="1"/>
    <x v="0"/>
    <x v="1"/>
    <x v="0"/>
    <x v="0"/>
    <x v="5"/>
    <n v="0"/>
    <n v="0"/>
    <n v="2724.8580000000002"/>
    <n v="2724.8580000000002"/>
    <n v="2724.8580000000002"/>
    <n v="2724.8580000000002"/>
    <n v="0"/>
    <x v="1"/>
    <n v="0"/>
    <n v="0"/>
    <n v="18"/>
    <n v="73"/>
    <n v="0"/>
    <n v="73.19"/>
    <n v="211.71"/>
    <m/>
    <n v="117.83242038312405"/>
    <n v="222.99901551132911"/>
    <n v="0"/>
    <n v="199432.35702"/>
    <n v="576879.68718000001"/>
    <n v="0"/>
    <n v="321076.61334031867"/>
    <n v="607640.65140816919"/>
  </r>
  <r>
    <s v="Sistema de Compensação"/>
    <x v="0"/>
    <x v="1"/>
    <x v="1"/>
    <x v="0"/>
    <x v="1"/>
    <x v="0"/>
    <x v="0"/>
    <x v="5"/>
    <n v="0"/>
    <n v="0"/>
    <n v="45.866999999999997"/>
    <n v="45.866999999999997"/>
    <n v="45.866999999999997"/>
    <n v="45.866999999999997"/>
    <n v="0"/>
    <x v="1"/>
    <n v="0"/>
    <n v="0"/>
    <n v="18"/>
    <n v="73"/>
    <n v="0"/>
    <n v="73.19"/>
    <n v="211.71"/>
    <m/>
    <n v="117.83242038312405"/>
    <n v="222.99901551132911"/>
    <n v="0"/>
    <n v="3357.0057299999999"/>
    <n v="9710.5025700000006"/>
    <n v="0"/>
    <n v="5404.6196257127503"/>
    <n v="10228.295844458131"/>
  </r>
  <r>
    <s v="Regular"/>
    <x v="0"/>
    <x v="1"/>
    <x v="1"/>
    <x v="0"/>
    <x v="1"/>
    <x v="0"/>
    <x v="0"/>
    <x v="6"/>
    <n v="0"/>
    <n v="0"/>
    <n v="2615.8589999999999"/>
    <n v="2615.8589999999999"/>
    <n v="2615.8589999999999"/>
    <n v="2615.8589999999999"/>
    <n v="0"/>
    <x v="1"/>
    <n v="0"/>
    <n v="0"/>
    <n v="18"/>
    <n v="73"/>
    <n v="0"/>
    <n v="73.19"/>
    <n v="211.71"/>
    <m/>
    <n v="117.83242038312405"/>
    <n v="222.99901551132911"/>
    <n v="0"/>
    <n v="191454.72021"/>
    <n v="553803.50889000006"/>
    <n v="0"/>
    <n v="308232.99735097849"/>
    <n v="583333.98171644984"/>
  </r>
  <r>
    <s v="Sistema de Compensação"/>
    <x v="0"/>
    <x v="1"/>
    <x v="1"/>
    <x v="0"/>
    <x v="1"/>
    <x v="0"/>
    <x v="0"/>
    <x v="6"/>
    <n v="0"/>
    <n v="0"/>
    <n v="46.393999999999998"/>
    <n v="46.393999999999998"/>
    <n v="46.393999999999998"/>
    <n v="46.393999999999998"/>
    <n v="0"/>
    <x v="1"/>
    <n v="0"/>
    <n v="0"/>
    <n v="18"/>
    <n v="73"/>
    <n v="0"/>
    <n v="73.19"/>
    <n v="211.71"/>
    <m/>
    <n v="117.83242038312405"/>
    <n v="222.99901551132911"/>
    <n v="0"/>
    <n v="3395.5768599999997"/>
    <n v="9822.0737399999998"/>
    <n v="0"/>
    <n v="5466.717311254657"/>
    <n v="10345.816325632602"/>
  </r>
  <r>
    <s v="Regular"/>
    <x v="0"/>
    <x v="1"/>
    <x v="1"/>
    <x v="0"/>
    <x v="1"/>
    <x v="0"/>
    <x v="0"/>
    <x v="7"/>
    <n v="0"/>
    <n v="0"/>
    <n v="2779.0639999999999"/>
    <n v="2779.0639999999999"/>
    <n v="2779.0639999999999"/>
    <n v="2779.0639999999999"/>
    <n v="0"/>
    <x v="1"/>
    <n v="0"/>
    <n v="0"/>
    <n v="18"/>
    <n v="73"/>
    <n v="0"/>
    <n v="73.19"/>
    <n v="211.71"/>
    <m/>
    <n v="117.83242038312405"/>
    <n v="222.99901551132911"/>
    <n v="0"/>
    <n v="203399.69415999998"/>
    <n v="588355.63943999994"/>
    <n v="0"/>
    <n v="327463.83751960623"/>
    <n v="619728.53604297631"/>
  </r>
  <r>
    <s v="Sistema de Compensação"/>
    <x v="0"/>
    <x v="1"/>
    <x v="1"/>
    <x v="0"/>
    <x v="1"/>
    <x v="0"/>
    <x v="0"/>
    <x v="7"/>
    <n v="0"/>
    <n v="0"/>
    <n v="44.688000000000002"/>
    <n v="44.688000000000002"/>
    <n v="44.688000000000002"/>
    <n v="44.688000000000002"/>
    <n v="0"/>
    <x v="1"/>
    <n v="0"/>
    <n v="0"/>
    <n v="18"/>
    <n v="73"/>
    <n v="0"/>
    <n v="73.19"/>
    <n v="211.71"/>
    <m/>
    <n v="117.83242038312405"/>
    <n v="222.99901551132911"/>
    <n v="0"/>
    <n v="3270.7147199999999"/>
    <n v="9460.8964800000012"/>
    <n v="0"/>
    <n v="5265.6952020810477"/>
    <n v="9965.3800051702765"/>
  </r>
  <r>
    <s v="Regular"/>
    <x v="0"/>
    <x v="1"/>
    <x v="1"/>
    <x v="0"/>
    <x v="1"/>
    <x v="0"/>
    <x v="0"/>
    <x v="8"/>
    <n v="0"/>
    <n v="0"/>
    <n v="2255.348"/>
    <n v="2255.348"/>
    <n v="2255.348"/>
    <n v="2255.348"/>
    <n v="0"/>
    <x v="1"/>
    <n v="0"/>
    <n v="0"/>
    <n v="18"/>
    <n v="73"/>
    <n v="0"/>
    <n v="73.19"/>
    <n v="211.71"/>
    <m/>
    <n v="117.83242038312405"/>
    <n v="222.99901551132911"/>
    <n v="0"/>
    <n v="165068.92012"/>
    <n v="477479.72508"/>
    <n v="0"/>
    <n v="265753.11364623805"/>
    <n v="502940.38363544509"/>
  </r>
  <r>
    <s v="Sistema de Compensação"/>
    <x v="0"/>
    <x v="1"/>
    <x v="1"/>
    <x v="0"/>
    <x v="1"/>
    <x v="0"/>
    <x v="0"/>
    <x v="8"/>
    <n v="0"/>
    <n v="0"/>
    <n v="32.241"/>
    <n v="32.241"/>
    <n v="32.241"/>
    <n v="32.241"/>
    <n v="0"/>
    <x v="1"/>
    <n v="0"/>
    <n v="0"/>
    <n v="18"/>
    <n v="73"/>
    <n v="0"/>
    <n v="73.19"/>
    <n v="211.71"/>
    <m/>
    <n v="117.83242038312405"/>
    <n v="222.99901551132911"/>
    <n v="0"/>
    <n v="2359.7187899999999"/>
    <n v="6825.7421100000001"/>
    <n v="0"/>
    <n v="3799.0350655723023"/>
    <n v="7189.7112591007617"/>
  </r>
  <r>
    <s v="Regular"/>
    <x v="0"/>
    <x v="1"/>
    <x v="1"/>
    <x v="0"/>
    <x v="1"/>
    <x v="0"/>
    <x v="0"/>
    <x v="9"/>
    <n v="0"/>
    <n v="0"/>
    <n v="2097.8850000000002"/>
    <n v="2097.8850000000002"/>
    <n v="2097.8850000000002"/>
    <n v="2097.8850000000002"/>
    <n v="0"/>
    <x v="1"/>
    <n v="0"/>
    <n v="0"/>
    <n v="18"/>
    <n v="73"/>
    <n v="0"/>
    <n v="73.19"/>
    <n v="211.71"/>
    <m/>
    <n v="117.83242038312405"/>
    <n v="222.99901551132911"/>
    <n v="0"/>
    <n v="153544.20315000002"/>
    <n v="444143.23335000005"/>
    <n v="0"/>
    <n v="247198.86723545022"/>
    <n v="467826.28965598473"/>
  </r>
  <r>
    <s v="Sistema de Compensação"/>
    <x v="0"/>
    <x v="1"/>
    <x v="1"/>
    <x v="0"/>
    <x v="1"/>
    <x v="0"/>
    <x v="0"/>
    <x v="9"/>
    <n v="0"/>
    <n v="0"/>
    <n v="32.703000000000003"/>
    <n v="32.703000000000003"/>
    <n v="32.703000000000003"/>
    <n v="32.703000000000003"/>
    <n v="0"/>
    <x v="1"/>
    <n v="0"/>
    <n v="0"/>
    <n v="18"/>
    <n v="73"/>
    <n v="0"/>
    <n v="73.19"/>
    <n v="211.71"/>
    <m/>
    <n v="117.83242038312405"/>
    <n v="222.99901551132911"/>
    <n v="0"/>
    <n v="2393.5325700000003"/>
    <n v="6923.5521300000009"/>
    <n v="0"/>
    <n v="3853.4736437893062"/>
    <n v="7292.7368042669968"/>
  </r>
  <r>
    <s v="Regular"/>
    <x v="0"/>
    <x v="1"/>
    <x v="1"/>
    <x v="0"/>
    <x v="1"/>
    <x v="0"/>
    <x v="0"/>
    <x v="10"/>
    <n v="0"/>
    <n v="0"/>
    <n v="1974.92"/>
    <n v="1974.92"/>
    <n v="1974.92"/>
    <n v="1974.92"/>
    <n v="0"/>
    <x v="1"/>
    <n v="0"/>
    <n v="0"/>
    <n v="18"/>
    <n v="73"/>
    <n v="0"/>
    <n v="73.19"/>
    <n v="211.71"/>
    <m/>
    <n v="117.83242038312405"/>
    <n v="222.99901551132911"/>
    <n v="0"/>
    <n v="144544.39480000001"/>
    <n v="418110.31320000003"/>
    <n v="0"/>
    <n v="232709.60366303934"/>
    <n v="440405.2157136341"/>
  </r>
  <r>
    <s v="Sistema de Compensação"/>
    <x v="0"/>
    <x v="1"/>
    <x v="1"/>
    <x v="0"/>
    <x v="1"/>
    <x v="0"/>
    <x v="0"/>
    <x v="10"/>
    <n v="0"/>
    <n v="0"/>
    <n v="37.793999999999997"/>
    <n v="37.793999999999997"/>
    <n v="37.793999999999997"/>
    <n v="37.793999999999997"/>
    <n v="0"/>
    <x v="1"/>
    <n v="0"/>
    <n v="0"/>
    <n v="18"/>
    <n v="73"/>
    <n v="0"/>
    <n v="73.19"/>
    <n v="211.71"/>
    <m/>
    <n v="117.83242038312405"/>
    <n v="222.99901551132911"/>
    <n v="0"/>
    <n v="2766.1428599999995"/>
    <n v="8001.3677399999997"/>
    <n v="0"/>
    <n v="4453.3584959597902"/>
    <n v="8428.0247922351718"/>
  </r>
  <r>
    <s v="PROJETADO"/>
    <x v="0"/>
    <x v="1"/>
    <x v="1"/>
    <x v="0"/>
    <x v="1"/>
    <x v="0"/>
    <x v="0"/>
    <x v="11"/>
    <n v="0"/>
    <n v="0"/>
    <n v="1974.92"/>
    <n v="1974.92"/>
    <n v="1974.92"/>
    <n v="1974.92"/>
    <n v="0"/>
    <x v="1"/>
    <n v="0"/>
    <n v="0"/>
    <n v="18"/>
    <n v="73"/>
    <n v="0"/>
    <n v="73.19"/>
    <n v="211.71"/>
    <m/>
    <n v="117.83242038312405"/>
    <n v="222.99901551132911"/>
    <n v="0"/>
    <n v="144544.39480000001"/>
    <n v="418110.31320000003"/>
    <n v="0"/>
    <n v="232709.60366303934"/>
    <n v="440405.2157136341"/>
  </r>
  <r>
    <s v="PROJETADO"/>
    <x v="0"/>
    <x v="1"/>
    <x v="1"/>
    <x v="0"/>
    <x v="1"/>
    <x v="0"/>
    <x v="0"/>
    <x v="11"/>
    <n v="0"/>
    <n v="0"/>
    <n v="37.793999999999997"/>
    <n v="37.793999999999997"/>
    <n v="37.793999999999997"/>
    <n v="37.793999999999997"/>
    <n v="0"/>
    <x v="1"/>
    <n v="0"/>
    <n v="0"/>
    <n v="18"/>
    <n v="73"/>
    <n v="0"/>
    <n v="73.19"/>
    <n v="211.71"/>
    <m/>
    <n v="117.83242038312405"/>
    <n v="222.99901551132911"/>
    <n v="0"/>
    <n v="2766.1428599999995"/>
    <n v="8001.3677399999997"/>
    <n v="0"/>
    <n v="4453.3584959597902"/>
    <n v="8428.0247922351718"/>
  </r>
  <r>
    <s v="Regular"/>
    <x v="0"/>
    <x v="1"/>
    <x v="1"/>
    <x v="0"/>
    <x v="1"/>
    <x v="0"/>
    <x v="1"/>
    <x v="0"/>
    <n v="8353"/>
    <n v="8353"/>
    <n v="0"/>
    <n v="0"/>
    <n v="0"/>
    <n v="0"/>
    <n v="35"/>
    <x v="1"/>
    <n v="0"/>
    <n v="24"/>
    <n v="0"/>
    <n v="0"/>
    <n v="22.9"/>
    <n v="0"/>
    <n v="0"/>
    <n v="21.733731888847863"/>
    <m/>
    <m/>
    <n v="191283.69999999998"/>
    <n v="0"/>
    <n v="0"/>
    <n v="181541.86246754619"/>
    <n v="0"/>
    <n v="0"/>
  </r>
  <r>
    <s v="Regular"/>
    <x v="0"/>
    <x v="1"/>
    <x v="1"/>
    <x v="0"/>
    <x v="1"/>
    <x v="0"/>
    <x v="1"/>
    <x v="1"/>
    <n v="8501"/>
    <n v="8501"/>
    <n v="0"/>
    <n v="0"/>
    <n v="0"/>
    <n v="0"/>
    <n v="35"/>
    <x v="1"/>
    <n v="0"/>
    <n v="24"/>
    <n v="0"/>
    <n v="0"/>
    <n v="22.9"/>
    <n v="0"/>
    <n v="0"/>
    <n v="21.733731888847863"/>
    <m/>
    <m/>
    <n v="194672.9"/>
    <n v="0"/>
    <n v="0"/>
    <n v="184758.45478709569"/>
    <n v="0"/>
    <n v="0"/>
  </r>
  <r>
    <s v="Regular"/>
    <x v="0"/>
    <x v="1"/>
    <x v="1"/>
    <x v="0"/>
    <x v="1"/>
    <x v="0"/>
    <x v="1"/>
    <x v="2"/>
    <n v="9098"/>
    <n v="9098"/>
    <n v="0"/>
    <n v="0"/>
    <n v="0"/>
    <n v="0"/>
    <n v="35"/>
    <x v="1"/>
    <n v="0"/>
    <n v="24"/>
    <n v="0"/>
    <n v="0"/>
    <n v="22.9"/>
    <n v="0"/>
    <n v="0"/>
    <n v="21.733731888847863"/>
    <m/>
    <m/>
    <n v="208344.19999999998"/>
    <n v="0"/>
    <n v="0"/>
    <n v="197733.49272473785"/>
    <n v="0"/>
    <n v="0"/>
  </r>
  <r>
    <s v="Regular"/>
    <x v="0"/>
    <x v="1"/>
    <x v="1"/>
    <x v="0"/>
    <x v="1"/>
    <x v="0"/>
    <x v="1"/>
    <x v="3"/>
    <n v="9165"/>
    <n v="9165"/>
    <n v="0"/>
    <n v="0"/>
    <n v="0"/>
    <n v="0"/>
    <n v="35"/>
    <x v="1"/>
    <n v="0"/>
    <n v="24"/>
    <n v="0"/>
    <n v="0"/>
    <n v="22.9"/>
    <n v="0"/>
    <n v="0"/>
    <n v="21.733731888847863"/>
    <m/>
    <m/>
    <n v="209878.5"/>
    <n v="0"/>
    <n v="0"/>
    <n v="199189.65276129066"/>
    <n v="0"/>
    <n v="0"/>
  </r>
  <r>
    <s v="Regular"/>
    <x v="0"/>
    <x v="1"/>
    <x v="1"/>
    <x v="0"/>
    <x v="1"/>
    <x v="0"/>
    <x v="1"/>
    <x v="4"/>
    <n v="9247"/>
    <n v="9247"/>
    <n v="0"/>
    <n v="0"/>
    <n v="0"/>
    <n v="0"/>
    <n v="35"/>
    <x v="1"/>
    <n v="0"/>
    <n v="24"/>
    <n v="0"/>
    <n v="0"/>
    <n v="22.9"/>
    <n v="0"/>
    <n v="0"/>
    <n v="21.733731888847863"/>
    <m/>
    <m/>
    <n v="211756.3"/>
    <n v="0"/>
    <n v="0"/>
    <n v="200971.81877617619"/>
    <n v="0"/>
    <n v="0"/>
  </r>
  <r>
    <s v="Sistema de Compensação"/>
    <x v="0"/>
    <x v="1"/>
    <x v="1"/>
    <x v="0"/>
    <x v="1"/>
    <x v="0"/>
    <x v="1"/>
    <x v="4"/>
    <n v="195"/>
    <n v="195"/>
    <n v="0"/>
    <n v="0"/>
    <n v="0"/>
    <n v="0"/>
    <n v="1"/>
    <x v="1"/>
    <n v="0"/>
    <n v="24"/>
    <n v="0"/>
    <n v="0"/>
    <n v="22.9"/>
    <n v="0"/>
    <n v="0"/>
    <n v="21.733731888847863"/>
    <m/>
    <m/>
    <n v="4465.5"/>
    <n v="0"/>
    <n v="0"/>
    <n v="4238.0777183253331"/>
    <n v="0"/>
    <n v="0"/>
  </r>
  <r>
    <s v="Regular"/>
    <x v="0"/>
    <x v="1"/>
    <x v="1"/>
    <x v="0"/>
    <x v="1"/>
    <x v="0"/>
    <x v="1"/>
    <x v="5"/>
    <n v="9263"/>
    <n v="9263"/>
    <n v="0"/>
    <n v="0"/>
    <n v="0"/>
    <n v="0"/>
    <n v="35"/>
    <x v="1"/>
    <n v="0"/>
    <n v="24"/>
    <n v="0"/>
    <n v="0"/>
    <n v="22.9"/>
    <n v="0"/>
    <n v="0"/>
    <n v="21.733731888847863"/>
    <m/>
    <m/>
    <n v="212122.69999999998"/>
    <n v="0"/>
    <n v="0"/>
    <n v="201319.55848639776"/>
    <n v="0"/>
    <n v="0"/>
  </r>
  <r>
    <s v="Sistema de Compensação"/>
    <x v="0"/>
    <x v="1"/>
    <x v="1"/>
    <x v="0"/>
    <x v="1"/>
    <x v="0"/>
    <x v="1"/>
    <x v="5"/>
    <n v="176"/>
    <n v="176"/>
    <n v="0"/>
    <n v="0"/>
    <n v="0"/>
    <n v="0"/>
    <n v="1"/>
    <x v="1"/>
    <n v="0"/>
    <n v="24"/>
    <n v="0"/>
    <n v="0"/>
    <n v="22.9"/>
    <n v="0"/>
    <n v="0"/>
    <n v="21.733731888847863"/>
    <m/>
    <m/>
    <n v="4030.3999999999996"/>
    <n v="0"/>
    <n v="0"/>
    <n v="3825.1368124372239"/>
    <n v="0"/>
    <n v="0"/>
  </r>
  <r>
    <s v="Regular"/>
    <x v="0"/>
    <x v="1"/>
    <x v="1"/>
    <x v="0"/>
    <x v="1"/>
    <x v="0"/>
    <x v="1"/>
    <x v="6"/>
    <n v="9208"/>
    <n v="9208"/>
    <n v="0"/>
    <n v="0"/>
    <n v="0"/>
    <n v="0"/>
    <n v="35"/>
    <x v="1"/>
    <n v="0"/>
    <n v="24"/>
    <n v="0"/>
    <n v="0"/>
    <n v="22.9"/>
    <n v="0"/>
    <n v="0"/>
    <n v="21.733731888847863"/>
    <m/>
    <m/>
    <n v="210863.19999999998"/>
    <n v="0"/>
    <n v="0"/>
    <n v="200124.20323251112"/>
    <n v="0"/>
    <n v="0"/>
  </r>
  <r>
    <s v="Sistema de Compensação"/>
    <x v="0"/>
    <x v="1"/>
    <x v="1"/>
    <x v="0"/>
    <x v="1"/>
    <x v="0"/>
    <x v="1"/>
    <x v="6"/>
    <n v="172"/>
    <n v="172"/>
    <n v="0"/>
    <n v="0"/>
    <n v="0"/>
    <n v="0"/>
    <n v="1"/>
    <x v="1"/>
    <n v="0"/>
    <n v="24"/>
    <n v="0"/>
    <n v="0"/>
    <n v="22.9"/>
    <n v="0"/>
    <n v="0"/>
    <n v="21.733731888847863"/>
    <m/>
    <m/>
    <n v="3938.7999999999997"/>
    <n v="0"/>
    <n v="0"/>
    <n v="3738.2018848818325"/>
    <n v="0"/>
    <n v="0"/>
  </r>
  <r>
    <s v="Regular"/>
    <x v="0"/>
    <x v="1"/>
    <x v="1"/>
    <x v="0"/>
    <x v="1"/>
    <x v="0"/>
    <x v="1"/>
    <x v="7"/>
    <n v="9345"/>
    <n v="9345"/>
    <n v="0"/>
    <n v="0"/>
    <n v="0"/>
    <n v="0"/>
    <n v="35"/>
    <x v="1"/>
    <n v="0"/>
    <n v="24"/>
    <n v="0"/>
    <n v="0"/>
    <n v="22.9"/>
    <n v="0"/>
    <n v="0"/>
    <n v="21.733731888847863"/>
    <m/>
    <m/>
    <n v="214000.5"/>
    <n v="0"/>
    <n v="0"/>
    <n v="203101.72450128329"/>
    <n v="0"/>
    <n v="0"/>
  </r>
  <r>
    <s v="Sistema de Compensação"/>
    <x v="0"/>
    <x v="1"/>
    <x v="1"/>
    <x v="0"/>
    <x v="1"/>
    <x v="0"/>
    <x v="1"/>
    <x v="7"/>
    <n v="205"/>
    <n v="205"/>
    <n v="0"/>
    <n v="0"/>
    <n v="0"/>
    <n v="0"/>
    <n v="1"/>
    <x v="1"/>
    <n v="0"/>
    <n v="24"/>
    <n v="0"/>
    <n v="0"/>
    <n v="22.9"/>
    <n v="0"/>
    <n v="0"/>
    <n v="21.733731888847863"/>
    <m/>
    <m/>
    <n v="4694.5"/>
    <n v="0"/>
    <n v="0"/>
    <n v="4455.415037213812"/>
    <n v="0"/>
    <n v="0"/>
  </r>
  <r>
    <s v="Regular"/>
    <x v="0"/>
    <x v="1"/>
    <x v="1"/>
    <x v="0"/>
    <x v="1"/>
    <x v="0"/>
    <x v="1"/>
    <x v="8"/>
    <n v="9217"/>
    <n v="9217"/>
    <n v="0"/>
    <n v="0"/>
    <n v="0"/>
    <n v="0"/>
    <n v="36"/>
    <x v="1"/>
    <n v="0"/>
    <n v="24"/>
    <n v="0"/>
    <n v="0"/>
    <n v="22.9"/>
    <n v="0"/>
    <n v="0"/>
    <n v="21.733731888847863"/>
    <m/>
    <m/>
    <n v="211069.3"/>
    <n v="0"/>
    <n v="0"/>
    <n v="200319.80681951076"/>
    <n v="0"/>
    <n v="0"/>
  </r>
  <r>
    <s v="Sistema de Compensação"/>
    <x v="0"/>
    <x v="1"/>
    <x v="1"/>
    <x v="0"/>
    <x v="1"/>
    <x v="0"/>
    <x v="1"/>
    <x v="8"/>
    <n v="165"/>
    <n v="165"/>
    <n v="0"/>
    <n v="0"/>
    <n v="0"/>
    <n v="0"/>
    <n v="1"/>
    <x v="1"/>
    <n v="0"/>
    <n v="24"/>
    <n v="0"/>
    <n v="0"/>
    <n v="22.9"/>
    <n v="0"/>
    <n v="0"/>
    <n v="21.733731888847863"/>
    <m/>
    <m/>
    <n v="3778.4999999999995"/>
    <n v="0"/>
    <n v="0"/>
    <n v="3586.0657616598974"/>
    <n v="0"/>
    <n v="0"/>
  </r>
  <r>
    <s v="Regular"/>
    <x v="0"/>
    <x v="1"/>
    <x v="1"/>
    <x v="0"/>
    <x v="1"/>
    <x v="0"/>
    <x v="1"/>
    <x v="9"/>
    <n v="9393"/>
    <n v="9393"/>
    <n v="0"/>
    <n v="0"/>
    <n v="0"/>
    <n v="0"/>
    <n v="37"/>
    <x v="1"/>
    <n v="0"/>
    <n v="24"/>
    <n v="0"/>
    <n v="0"/>
    <n v="22.9"/>
    <n v="0"/>
    <n v="0"/>
    <n v="21.733731888847863"/>
    <m/>
    <m/>
    <n v="215099.69999999998"/>
    <n v="0"/>
    <n v="0"/>
    <n v="204144.94363194797"/>
    <n v="0"/>
    <n v="0"/>
  </r>
  <r>
    <s v="Sistema de Compensação"/>
    <x v="0"/>
    <x v="1"/>
    <x v="1"/>
    <x v="0"/>
    <x v="1"/>
    <x v="0"/>
    <x v="1"/>
    <x v="9"/>
    <n v="165"/>
    <n v="165"/>
    <n v="0"/>
    <n v="0"/>
    <n v="0"/>
    <n v="0"/>
    <n v="1"/>
    <x v="1"/>
    <n v="0"/>
    <n v="24"/>
    <n v="0"/>
    <n v="0"/>
    <n v="22.9"/>
    <n v="0"/>
    <n v="0"/>
    <n v="21.733731888847863"/>
    <m/>
    <m/>
    <n v="3778.4999999999995"/>
    <n v="0"/>
    <n v="0"/>
    <n v="3586.0657616598974"/>
    <n v="0"/>
    <n v="0"/>
  </r>
  <r>
    <s v="Regular"/>
    <x v="0"/>
    <x v="1"/>
    <x v="1"/>
    <x v="0"/>
    <x v="1"/>
    <x v="0"/>
    <x v="1"/>
    <x v="10"/>
    <n v="9408"/>
    <n v="9408"/>
    <n v="0"/>
    <n v="0"/>
    <n v="0"/>
    <n v="0"/>
    <n v="37"/>
    <x v="1"/>
    <n v="0"/>
    <n v="24"/>
    <n v="0"/>
    <n v="0"/>
    <n v="22.9"/>
    <n v="0"/>
    <n v="0"/>
    <n v="21.733731888847863"/>
    <m/>
    <m/>
    <n v="215443.19999999998"/>
    <n v="0"/>
    <n v="0"/>
    <n v="204470.94961028069"/>
    <n v="0"/>
    <n v="0"/>
  </r>
  <r>
    <s v="Sistema de Compensação"/>
    <x v="0"/>
    <x v="1"/>
    <x v="1"/>
    <x v="0"/>
    <x v="1"/>
    <x v="0"/>
    <x v="1"/>
    <x v="10"/>
    <n v="165"/>
    <n v="165"/>
    <n v="0"/>
    <n v="0"/>
    <n v="0"/>
    <n v="0"/>
    <n v="1"/>
    <x v="1"/>
    <n v="0"/>
    <n v="24"/>
    <n v="0"/>
    <n v="0"/>
    <n v="22.9"/>
    <n v="0"/>
    <n v="0"/>
    <n v="21.733731888847863"/>
    <m/>
    <m/>
    <n v="3778.4999999999995"/>
    <n v="0"/>
    <n v="0"/>
    <n v="3586.0657616598974"/>
    <n v="0"/>
    <n v="0"/>
  </r>
  <r>
    <s v="PROJETADO"/>
    <x v="0"/>
    <x v="1"/>
    <x v="1"/>
    <x v="0"/>
    <x v="1"/>
    <x v="0"/>
    <x v="1"/>
    <x v="11"/>
    <n v="9408"/>
    <n v="9408"/>
    <n v="0"/>
    <n v="0"/>
    <n v="0"/>
    <n v="0"/>
    <n v="37"/>
    <x v="1"/>
    <n v="0"/>
    <n v="24"/>
    <n v="0"/>
    <n v="0"/>
    <n v="22.9"/>
    <n v="0"/>
    <n v="0"/>
    <n v="21.733731888847863"/>
    <m/>
    <m/>
    <n v="215443.19999999998"/>
    <n v="0"/>
    <n v="0"/>
    <n v="204470.94961028069"/>
    <n v="0"/>
    <n v="0"/>
  </r>
  <r>
    <s v="PROJETADO"/>
    <x v="0"/>
    <x v="1"/>
    <x v="1"/>
    <x v="0"/>
    <x v="1"/>
    <x v="0"/>
    <x v="1"/>
    <x v="11"/>
    <n v="165"/>
    <n v="165"/>
    <n v="0"/>
    <n v="0"/>
    <n v="0"/>
    <n v="0"/>
    <n v="1"/>
    <x v="1"/>
    <n v="0"/>
    <n v="24"/>
    <n v="0"/>
    <n v="0"/>
    <n v="22.9"/>
    <n v="0"/>
    <n v="0"/>
    <n v="21.733731888847863"/>
    <m/>
    <m/>
    <n v="3778.4999999999995"/>
    <n v="0"/>
    <n v="0"/>
    <n v="3586.0657616598974"/>
    <n v="0"/>
    <n v="0"/>
  </r>
  <r>
    <s v="Regular"/>
    <x v="0"/>
    <x v="1"/>
    <x v="1"/>
    <x v="0"/>
    <x v="1"/>
    <x v="0"/>
    <x v="2"/>
    <x v="0"/>
    <n v="0"/>
    <n v="0"/>
    <n v="111.113"/>
    <n v="111.113"/>
    <n v="111.113"/>
    <n v="111.113"/>
    <n v="0"/>
    <x v="1"/>
    <n v="0"/>
    <n v="0"/>
    <n v="5"/>
    <n v="69"/>
    <n v="0"/>
    <n v="1518.97"/>
    <n v="359.33"/>
    <m/>
    <n v="1492.9858702094405"/>
    <n v="362.73600214515886"/>
    <n v="0"/>
    <n v="168777.31361000001"/>
    <n v="39926.23429"/>
    <n v="0"/>
    <n v="165890.13899658155"/>
    <n v="40304.685406355035"/>
  </r>
  <r>
    <s v="Regular"/>
    <x v="0"/>
    <x v="1"/>
    <x v="1"/>
    <x v="0"/>
    <x v="1"/>
    <x v="0"/>
    <x v="2"/>
    <x v="1"/>
    <n v="0"/>
    <n v="0"/>
    <n v="138.255"/>
    <n v="138.255"/>
    <n v="138.255"/>
    <n v="138.255"/>
    <n v="0"/>
    <x v="1"/>
    <n v="0"/>
    <n v="0"/>
    <n v="5"/>
    <n v="69"/>
    <n v="0"/>
    <n v="1518.97"/>
    <n v="359.33"/>
    <m/>
    <n v="1492.9858702094405"/>
    <n v="362.73600214515886"/>
    <n v="0"/>
    <n v="210005.19735"/>
    <n v="49679.169149999994"/>
    <n v="0"/>
    <n v="206412.76148580617"/>
    <n v="50150.065976578939"/>
  </r>
  <r>
    <s v="Regular"/>
    <x v="0"/>
    <x v="1"/>
    <x v="1"/>
    <x v="0"/>
    <x v="1"/>
    <x v="0"/>
    <x v="2"/>
    <x v="2"/>
    <n v="0"/>
    <n v="0"/>
    <n v="136.34299999999999"/>
    <n v="136.34299999999999"/>
    <n v="136.34299999999999"/>
    <n v="136.34299999999999"/>
    <n v="0"/>
    <x v="1"/>
    <n v="0"/>
    <n v="0"/>
    <n v="5"/>
    <n v="69"/>
    <n v="0"/>
    <n v="1518.97"/>
    <n v="359.33"/>
    <m/>
    <n v="1492.9858702094405"/>
    <n v="362.73600214515886"/>
    <n v="0"/>
    <n v="207100.92671"/>
    <n v="48992.130189999996"/>
    <n v="0"/>
    <n v="203558.17250196572"/>
    <n v="49456.514740477389"/>
  </r>
  <r>
    <s v="Regular"/>
    <x v="0"/>
    <x v="1"/>
    <x v="1"/>
    <x v="0"/>
    <x v="1"/>
    <x v="0"/>
    <x v="2"/>
    <x v="3"/>
    <n v="0"/>
    <n v="0"/>
    <n v="167.01400000000001"/>
    <n v="167.01400000000001"/>
    <n v="167.01400000000001"/>
    <n v="167.01400000000001"/>
    <n v="0"/>
    <x v="1"/>
    <n v="0"/>
    <n v="0"/>
    <n v="5"/>
    <n v="69"/>
    <n v="0"/>
    <n v="1518.97"/>
    <n v="359.33"/>
    <m/>
    <n v="1492.9858702094405"/>
    <n v="362.73600214515886"/>
    <n v="0"/>
    <n v="253689.25558000003"/>
    <n v="60013.140619999998"/>
    <n v="0"/>
    <n v="249349.54212715951"/>
    <n v="60581.990662271564"/>
  </r>
  <r>
    <s v="Regular"/>
    <x v="0"/>
    <x v="1"/>
    <x v="1"/>
    <x v="0"/>
    <x v="1"/>
    <x v="0"/>
    <x v="2"/>
    <x v="4"/>
    <n v="0"/>
    <n v="0"/>
    <n v="215.89500000000001"/>
    <n v="215.89500000000001"/>
    <n v="215.89500000000001"/>
    <n v="215.89500000000001"/>
    <n v="0"/>
    <x v="1"/>
    <n v="0"/>
    <n v="0"/>
    <n v="5"/>
    <n v="69"/>
    <n v="0"/>
    <n v="1518.97"/>
    <n v="359.33"/>
    <m/>
    <n v="1492.9858702094405"/>
    <n v="362.73600214515886"/>
    <n v="0"/>
    <n v="327938.02815000003"/>
    <n v="77577.550350000005"/>
    <n v="0"/>
    <n v="322328.18444886716"/>
    <n v="78312.889183129082"/>
  </r>
  <r>
    <s v="Sistema de Compensação"/>
    <x v="0"/>
    <x v="1"/>
    <x v="1"/>
    <x v="0"/>
    <x v="1"/>
    <x v="0"/>
    <x v="2"/>
    <x v="4"/>
    <n v="0"/>
    <n v="0"/>
    <n v="4.7279999999999998"/>
    <n v="4.7279999999999998"/>
    <n v="4.7279999999999998"/>
    <n v="4.7279999999999998"/>
    <n v="0"/>
    <x v="1"/>
    <n v="0"/>
    <n v="0"/>
    <n v="5"/>
    <n v="69"/>
    <n v="0"/>
    <n v="1518.97"/>
    <n v="359.33"/>
    <m/>
    <n v="1492.9858702094405"/>
    <n v="362.73600214515886"/>
    <n v="0"/>
    <n v="7181.6901600000001"/>
    <n v="1698.9122399999999"/>
    <n v="0"/>
    <n v="7058.8371943502343"/>
    <n v="1715.015818142311"/>
  </r>
  <r>
    <s v="Regular"/>
    <x v="0"/>
    <x v="1"/>
    <x v="1"/>
    <x v="0"/>
    <x v="1"/>
    <x v="0"/>
    <x v="2"/>
    <x v="5"/>
    <n v="0"/>
    <n v="0"/>
    <n v="160.47399999999999"/>
    <n v="160.47399999999999"/>
    <n v="160.47399999999999"/>
    <n v="160.47399999999999"/>
    <n v="0"/>
    <x v="1"/>
    <n v="0"/>
    <n v="0"/>
    <n v="5"/>
    <n v="69"/>
    <n v="0"/>
    <n v="1518.97"/>
    <n v="359.33"/>
    <m/>
    <n v="1492.9858702094405"/>
    <n v="362.73600214515886"/>
    <n v="0"/>
    <n v="243755.19177999999"/>
    <n v="57663.122419999992"/>
    <n v="0"/>
    <n v="239585.41453598972"/>
    <n v="58209.697208242222"/>
  </r>
  <r>
    <s v="Sistema de Compensação"/>
    <x v="0"/>
    <x v="1"/>
    <x v="1"/>
    <x v="0"/>
    <x v="1"/>
    <x v="0"/>
    <x v="2"/>
    <x v="5"/>
    <n v="0"/>
    <n v="0"/>
    <n v="6.2309999999999999"/>
    <n v="6.2309999999999999"/>
    <n v="6.2309999999999999"/>
    <n v="6.2309999999999999"/>
    <n v="0"/>
    <x v="1"/>
    <n v="0"/>
    <n v="0"/>
    <n v="5"/>
    <n v="69"/>
    <n v="0"/>
    <n v="1518.97"/>
    <n v="359.33"/>
    <m/>
    <n v="1492.9858702094405"/>
    <n v="362.73600214515886"/>
    <n v="0"/>
    <n v="9464.7020699999994"/>
    <n v="2238.9852299999998"/>
    <n v="0"/>
    <n v="9302.794957275024"/>
    <n v="2260.2080293664849"/>
  </r>
  <r>
    <s v="Regular"/>
    <x v="0"/>
    <x v="1"/>
    <x v="1"/>
    <x v="0"/>
    <x v="1"/>
    <x v="0"/>
    <x v="2"/>
    <x v="6"/>
    <n v="0"/>
    <n v="0"/>
    <n v="133.67699999999999"/>
    <n v="133.67699999999999"/>
    <n v="133.67699999999999"/>
    <n v="133.67699999999999"/>
    <n v="0"/>
    <x v="1"/>
    <n v="0"/>
    <n v="0"/>
    <n v="5"/>
    <n v="69"/>
    <n v="0"/>
    <n v="1518.97"/>
    <n v="359.33"/>
    <m/>
    <n v="1492.9858702094405"/>
    <n v="362.73600214515886"/>
    <n v="0"/>
    <n v="203051.35269"/>
    <n v="48034.156409999996"/>
    <n v="0"/>
    <n v="199577.87217198737"/>
    <n v="48489.460558758401"/>
  </r>
  <r>
    <s v="Sistema de Compensação"/>
    <x v="0"/>
    <x v="1"/>
    <x v="1"/>
    <x v="0"/>
    <x v="1"/>
    <x v="0"/>
    <x v="2"/>
    <x v="6"/>
    <n v="0"/>
    <n v="0"/>
    <n v="5.6219999999999999"/>
    <n v="5.6219999999999999"/>
    <n v="5.6219999999999999"/>
    <n v="5.6219999999999999"/>
    <n v="0"/>
    <x v="1"/>
    <n v="0"/>
    <n v="0"/>
    <n v="5"/>
    <n v="69"/>
    <n v="0"/>
    <n v="1518.97"/>
    <n v="359.33"/>
    <m/>
    <n v="1492.9858702094405"/>
    <n v="362.73600214515886"/>
    <n v="0"/>
    <n v="8539.6493399999999"/>
    <n v="2020.1532599999998"/>
    <n v="0"/>
    <n v="8393.5665623174737"/>
    <n v="2039.301804060083"/>
  </r>
  <r>
    <s v="Regular"/>
    <x v="0"/>
    <x v="1"/>
    <x v="1"/>
    <x v="0"/>
    <x v="1"/>
    <x v="0"/>
    <x v="2"/>
    <x v="7"/>
    <n v="0"/>
    <n v="0"/>
    <n v="161.63999999999999"/>
    <n v="161.63999999999999"/>
    <n v="161.63999999999999"/>
    <n v="161.63999999999999"/>
    <n v="0"/>
    <x v="1"/>
    <n v="0"/>
    <n v="0"/>
    <n v="5"/>
    <n v="69"/>
    <n v="0"/>
    <n v="1518.97"/>
    <n v="359.33"/>
    <m/>
    <n v="1492.9858702094405"/>
    <n v="362.73600214515886"/>
    <n v="0"/>
    <n v="245526.31079999998"/>
    <n v="58082.10119999999"/>
    <n v="0"/>
    <n v="241326.23606065393"/>
    <n v="58632.647386743476"/>
  </r>
  <r>
    <s v="Sistema de Compensação"/>
    <x v="0"/>
    <x v="1"/>
    <x v="1"/>
    <x v="0"/>
    <x v="1"/>
    <x v="0"/>
    <x v="2"/>
    <x v="7"/>
    <n v="0"/>
    <n v="0"/>
    <n v="4.9580000000000002"/>
    <n v="4.9580000000000002"/>
    <n v="4.9580000000000002"/>
    <n v="4.9580000000000002"/>
    <n v="0"/>
    <x v="1"/>
    <n v="0"/>
    <n v="0"/>
    <n v="5"/>
    <n v="69"/>
    <n v="0"/>
    <n v="1518.97"/>
    <n v="359.33"/>
    <m/>
    <n v="1492.9858702094405"/>
    <n v="362.73600214515886"/>
    <n v="0"/>
    <n v="7531.0532600000006"/>
    <n v="1781.5581400000001"/>
    <n v="0"/>
    <n v="7402.2239444984061"/>
    <n v="1798.4450986356976"/>
  </r>
  <r>
    <s v="Regular"/>
    <x v="0"/>
    <x v="1"/>
    <x v="1"/>
    <x v="0"/>
    <x v="1"/>
    <x v="0"/>
    <x v="2"/>
    <x v="8"/>
    <n v="0"/>
    <n v="0"/>
    <n v="107.43899999999999"/>
    <n v="107.43899999999999"/>
    <n v="107.43899999999999"/>
    <n v="107.43899999999999"/>
    <n v="0"/>
    <x v="1"/>
    <n v="0"/>
    <n v="0"/>
    <n v="5"/>
    <n v="69"/>
    <n v="0"/>
    <n v="1518.97"/>
    <n v="359.33"/>
    <m/>
    <n v="1492.9858702094405"/>
    <n v="362.73600214515886"/>
    <n v="0"/>
    <n v="163196.61783"/>
    <n v="38606.055869999997"/>
    <n v="0"/>
    <n v="160404.90890943207"/>
    <n v="38971.993334473722"/>
  </r>
  <r>
    <s v="Sistema de Compensação"/>
    <x v="0"/>
    <x v="1"/>
    <x v="1"/>
    <x v="0"/>
    <x v="1"/>
    <x v="0"/>
    <x v="2"/>
    <x v="8"/>
    <n v="0"/>
    <n v="0"/>
    <n v="3.5990000000000002"/>
    <n v="3.5990000000000002"/>
    <n v="3.5990000000000002"/>
    <n v="3.5990000000000002"/>
    <n v="0"/>
    <x v="1"/>
    <n v="0"/>
    <n v="0"/>
    <n v="5"/>
    <n v="69"/>
    <n v="0"/>
    <n v="1518.97"/>
    <n v="359.33"/>
    <m/>
    <n v="1492.9858702094405"/>
    <n v="362.73600214515886"/>
    <n v="0"/>
    <n v="5466.7730300000003"/>
    <n v="1293.22867"/>
    <n v="0"/>
    <n v="5373.2561468837766"/>
    <n v="1305.4868717204267"/>
  </r>
  <r>
    <s v="Regular"/>
    <x v="0"/>
    <x v="1"/>
    <x v="1"/>
    <x v="0"/>
    <x v="1"/>
    <x v="0"/>
    <x v="2"/>
    <x v="9"/>
    <n v="0"/>
    <n v="0"/>
    <n v="113.12"/>
    <n v="113.12"/>
    <n v="113.12"/>
    <n v="113.12"/>
    <n v="0"/>
    <x v="1"/>
    <n v="0"/>
    <n v="0"/>
    <n v="5"/>
    <n v="69"/>
    <n v="0"/>
    <n v="1518.97"/>
    <n v="359.33"/>
    <m/>
    <n v="1492.9858702094405"/>
    <n v="362.73600214515886"/>
    <n v="0"/>
    <n v="171825.88640000002"/>
    <n v="40647.409599999999"/>
    <n v="0"/>
    <n v="168886.56163809192"/>
    <n v="41032.696562660371"/>
  </r>
  <r>
    <s v="Sistema de Compensação"/>
    <x v="0"/>
    <x v="1"/>
    <x v="1"/>
    <x v="0"/>
    <x v="1"/>
    <x v="0"/>
    <x v="2"/>
    <x v="9"/>
    <n v="0"/>
    <n v="0"/>
    <n v="3.3260000000000001"/>
    <n v="3.3260000000000001"/>
    <n v="3.3260000000000001"/>
    <n v="3.3260000000000001"/>
    <n v="0"/>
    <x v="1"/>
    <n v="0"/>
    <n v="0"/>
    <n v="5"/>
    <n v="69"/>
    <n v="0"/>
    <n v="1518.97"/>
    <n v="359.33"/>
    <m/>
    <n v="1492.9858702094405"/>
    <n v="362.73600214515886"/>
    <n v="0"/>
    <n v="5052.09422"/>
    <n v="1195.13158"/>
    <n v="0"/>
    <n v="4965.6710043165995"/>
    <n v="1206.4599431347983"/>
  </r>
  <r>
    <s v="Regular"/>
    <x v="0"/>
    <x v="1"/>
    <x v="1"/>
    <x v="0"/>
    <x v="1"/>
    <x v="0"/>
    <x v="2"/>
    <x v="10"/>
    <n v="0"/>
    <n v="0"/>
    <n v="100.00700000000001"/>
    <n v="100.00700000000001"/>
    <n v="100.00700000000001"/>
    <n v="100.00700000000001"/>
    <n v="0"/>
    <x v="1"/>
    <n v="0"/>
    <n v="0"/>
    <n v="5"/>
    <n v="69"/>
    <n v="0"/>
    <n v="1518.97"/>
    <n v="359.33"/>
    <m/>
    <n v="1492.9858702094405"/>
    <n v="362.73600214515886"/>
    <n v="0"/>
    <n v="151907.63279"/>
    <n v="35935.515310000003"/>
    <n v="0"/>
    <n v="149309.03792203552"/>
    <n v="36276.139366530908"/>
  </r>
  <r>
    <s v="Sistema de Compensação"/>
    <x v="0"/>
    <x v="1"/>
    <x v="1"/>
    <x v="0"/>
    <x v="1"/>
    <x v="0"/>
    <x v="2"/>
    <x v="10"/>
    <n v="0"/>
    <n v="0"/>
    <n v="3.3439999999999999"/>
    <n v="3.3439999999999999"/>
    <n v="3.3439999999999999"/>
    <n v="3.3439999999999999"/>
    <n v="0"/>
    <x v="1"/>
    <n v="0"/>
    <n v="0"/>
    <n v="5"/>
    <n v="69"/>
    <n v="0"/>
    <n v="1518.97"/>
    <n v="359.33"/>
    <m/>
    <n v="1492.9858702094405"/>
    <n v="362.73600214515886"/>
    <n v="0"/>
    <n v="5079.4356799999996"/>
    <n v="1201.59952"/>
    <n v="0"/>
    <n v="4992.5447499803686"/>
    <n v="1212.9891911734112"/>
  </r>
  <r>
    <s v="PROJETADO"/>
    <x v="0"/>
    <x v="1"/>
    <x v="1"/>
    <x v="0"/>
    <x v="1"/>
    <x v="0"/>
    <x v="2"/>
    <x v="11"/>
    <n v="0"/>
    <n v="0"/>
    <n v="100.00700000000001"/>
    <n v="100.00700000000001"/>
    <n v="100.00700000000001"/>
    <n v="100.00700000000001"/>
    <n v="0"/>
    <x v="1"/>
    <n v="0"/>
    <n v="0"/>
    <n v="5"/>
    <n v="69"/>
    <n v="0"/>
    <n v="1518.97"/>
    <n v="359.33"/>
    <m/>
    <n v="1492.9858702094405"/>
    <n v="362.73600214515886"/>
    <n v="0"/>
    <n v="151907.63279"/>
    <n v="35935.515310000003"/>
    <n v="0"/>
    <n v="149309.03792203552"/>
    <n v="36276.139366530908"/>
  </r>
  <r>
    <s v="PROJETADO"/>
    <x v="0"/>
    <x v="1"/>
    <x v="1"/>
    <x v="0"/>
    <x v="1"/>
    <x v="0"/>
    <x v="2"/>
    <x v="11"/>
    <n v="0"/>
    <n v="0"/>
    <n v="3.3439999999999999"/>
    <n v="3.3439999999999999"/>
    <n v="3.3439999999999999"/>
    <n v="3.3439999999999999"/>
    <n v="0"/>
    <x v="1"/>
    <n v="0"/>
    <n v="0"/>
    <n v="5"/>
    <n v="69"/>
    <n v="0"/>
    <n v="1518.97"/>
    <n v="359.33"/>
    <m/>
    <n v="1492.9858702094405"/>
    <n v="362.73600214515886"/>
    <n v="0"/>
    <n v="5079.4356799999996"/>
    <n v="1201.59952"/>
    <n v="0"/>
    <n v="4992.5447499803686"/>
    <n v="1212.9891911734112"/>
  </r>
  <r>
    <s v="Regular"/>
    <x v="0"/>
    <x v="1"/>
    <x v="0"/>
    <x v="0"/>
    <x v="0"/>
    <x v="0"/>
    <x v="0"/>
    <x v="0"/>
    <n v="0"/>
    <n v="0"/>
    <n v="2685.5039999999999"/>
    <n v="2685.5039999999999"/>
    <n v="0"/>
    <n v="0"/>
    <n v="0"/>
    <x v="0"/>
    <n v="0"/>
    <n v="0"/>
    <n v="18"/>
    <n v="0"/>
    <n v="0"/>
    <n v="73.19"/>
    <n v="0"/>
    <m/>
    <n v="117.83242038312405"/>
    <m/>
    <n v="0"/>
    <n v="196552.03775999998"/>
    <n v="0"/>
    <n v="0"/>
    <n v="316439.43626856117"/>
    <n v="0"/>
  </r>
  <r>
    <s v="Regular"/>
    <x v="0"/>
    <x v="1"/>
    <x v="0"/>
    <x v="0"/>
    <x v="0"/>
    <x v="0"/>
    <x v="0"/>
    <x v="1"/>
    <n v="0"/>
    <n v="0"/>
    <n v="2733.4639999999999"/>
    <n v="2733.4639999999999"/>
    <n v="0"/>
    <n v="0"/>
    <n v="0"/>
    <x v="0"/>
    <n v="0"/>
    <n v="0"/>
    <n v="18"/>
    <n v="0"/>
    <n v="0"/>
    <n v="73.19"/>
    <n v="0"/>
    <m/>
    <n v="117.83242038312405"/>
    <m/>
    <n v="0"/>
    <n v="200062.23015999998"/>
    <n v="0"/>
    <n v="0"/>
    <n v="322090.67915013578"/>
    <n v="0"/>
  </r>
  <r>
    <s v="Regular"/>
    <x v="0"/>
    <x v="1"/>
    <x v="0"/>
    <x v="0"/>
    <x v="0"/>
    <x v="0"/>
    <x v="0"/>
    <x v="2"/>
    <n v="0"/>
    <n v="0"/>
    <n v="2712.8209999999999"/>
    <n v="2712.8209999999999"/>
    <n v="0"/>
    <n v="0"/>
    <n v="0"/>
    <x v="0"/>
    <n v="0"/>
    <n v="0"/>
    <n v="18"/>
    <n v="0"/>
    <n v="0"/>
    <n v="73.19"/>
    <n v="0"/>
    <m/>
    <n v="117.83242038312405"/>
    <m/>
    <n v="0"/>
    <n v="198551.36898999999"/>
    <n v="0"/>
    <n v="0"/>
    <n v="319658.26449616696"/>
    <n v="0"/>
  </r>
  <r>
    <s v="Regular"/>
    <x v="0"/>
    <x v="1"/>
    <x v="0"/>
    <x v="0"/>
    <x v="0"/>
    <x v="0"/>
    <x v="0"/>
    <x v="3"/>
    <n v="0"/>
    <n v="0"/>
    <n v="2704.5920000000001"/>
    <n v="2704.5920000000001"/>
    <n v="0"/>
    <n v="0"/>
    <n v="0"/>
    <x v="0"/>
    <n v="0"/>
    <n v="0"/>
    <n v="18"/>
    <n v="0"/>
    <n v="0"/>
    <n v="73.19"/>
    <n v="0"/>
    <m/>
    <n v="117.83242038312405"/>
    <m/>
    <n v="0"/>
    <n v="197949.08848000001"/>
    <n v="0"/>
    <n v="0"/>
    <n v="318688.62150883424"/>
    <n v="0"/>
  </r>
  <r>
    <s v="Regular"/>
    <x v="0"/>
    <x v="1"/>
    <x v="0"/>
    <x v="0"/>
    <x v="0"/>
    <x v="0"/>
    <x v="0"/>
    <x v="4"/>
    <n v="0"/>
    <n v="0"/>
    <n v="2656.8690000000001"/>
    <n v="2656.8690000000001"/>
    <n v="0"/>
    <n v="0"/>
    <n v="0"/>
    <x v="0"/>
    <n v="0"/>
    <n v="0"/>
    <n v="18"/>
    <n v="0"/>
    <n v="0"/>
    <n v="73.19"/>
    <n v="0"/>
    <m/>
    <n v="117.83242038312405"/>
    <m/>
    <n v="0"/>
    <n v="194456.24210999999"/>
    <n v="0"/>
    <n v="0"/>
    <n v="313065.30491089041"/>
    <n v="0"/>
  </r>
  <r>
    <s v="Regular"/>
    <x v="0"/>
    <x v="1"/>
    <x v="0"/>
    <x v="0"/>
    <x v="0"/>
    <x v="0"/>
    <x v="0"/>
    <x v="5"/>
    <n v="0"/>
    <n v="0"/>
    <n v="2634.998"/>
    <n v="2634.998"/>
    <n v="0"/>
    <n v="0"/>
    <n v="0"/>
    <x v="0"/>
    <n v="0"/>
    <n v="0"/>
    <n v="18"/>
    <n v="0"/>
    <n v="0"/>
    <n v="73.19"/>
    <n v="0"/>
    <m/>
    <n v="117.83242038312405"/>
    <m/>
    <n v="0"/>
    <n v="192855.50362"/>
    <n v="0"/>
    <n v="0"/>
    <n v="310488.19204469112"/>
    <n v="0"/>
  </r>
  <r>
    <s v="Regular"/>
    <x v="0"/>
    <x v="1"/>
    <x v="0"/>
    <x v="0"/>
    <x v="0"/>
    <x v="0"/>
    <x v="0"/>
    <x v="6"/>
    <n v="0"/>
    <n v="0"/>
    <n v="2436.9760000000001"/>
    <n v="2436.9760000000001"/>
    <n v="0"/>
    <n v="0"/>
    <n v="0"/>
    <x v="0"/>
    <n v="0"/>
    <n v="0"/>
    <n v="18"/>
    <n v="0"/>
    <n v="0"/>
    <n v="73.19"/>
    <n v="0"/>
    <m/>
    <n v="117.83242038312405"/>
    <m/>
    <n v="0"/>
    <n v="178362.27343999999"/>
    <n v="0"/>
    <n v="0"/>
    <n v="287154.78049558413"/>
    <n v="0"/>
  </r>
  <r>
    <s v="Regular"/>
    <x v="0"/>
    <x v="1"/>
    <x v="0"/>
    <x v="0"/>
    <x v="0"/>
    <x v="0"/>
    <x v="0"/>
    <x v="7"/>
    <n v="0"/>
    <n v="0"/>
    <n v="2841.8339999999998"/>
    <n v="2841.8339999999998"/>
    <n v="0"/>
    <n v="0"/>
    <n v="0"/>
    <x v="0"/>
    <n v="0"/>
    <n v="0"/>
    <n v="18"/>
    <n v="0"/>
    <n v="0"/>
    <n v="73.19"/>
    <n v="0"/>
    <m/>
    <n v="117.83242038312405"/>
    <m/>
    <n v="0"/>
    <n v="207993.83045999997"/>
    <n v="0"/>
    <n v="0"/>
    <n v="334860.17854705494"/>
    <n v="0"/>
  </r>
  <r>
    <s v="Regular"/>
    <x v="0"/>
    <x v="1"/>
    <x v="0"/>
    <x v="0"/>
    <x v="0"/>
    <x v="0"/>
    <x v="0"/>
    <x v="8"/>
    <n v="0"/>
    <n v="0"/>
    <n v="2543.5279999999998"/>
    <n v="2543.5279999999998"/>
    <n v="0"/>
    <n v="0"/>
    <n v="0"/>
    <x v="0"/>
    <n v="0"/>
    <n v="0"/>
    <n v="18"/>
    <n v="0"/>
    <n v="0"/>
    <n v="73.19"/>
    <n v="0"/>
    <m/>
    <n v="117.83242038312405"/>
    <m/>
    <n v="0"/>
    <n v="186160.81431999998"/>
    <n v="0"/>
    <n v="0"/>
    <n v="299710.06055224669"/>
    <n v="0"/>
  </r>
  <r>
    <s v="Regular"/>
    <x v="0"/>
    <x v="1"/>
    <x v="0"/>
    <x v="0"/>
    <x v="0"/>
    <x v="0"/>
    <x v="0"/>
    <x v="9"/>
    <n v="0"/>
    <n v="0"/>
    <n v="2743.3420000000001"/>
    <n v="2743.3420000000001"/>
    <n v="0"/>
    <n v="0"/>
    <n v="0"/>
    <x v="0"/>
    <n v="0"/>
    <n v="0"/>
    <n v="18"/>
    <n v="0"/>
    <n v="0"/>
    <n v="73.19"/>
    <n v="0"/>
    <m/>
    <n v="117.83242038312405"/>
    <m/>
    <n v="0"/>
    <n v="200785.20097999999"/>
    <n v="0"/>
    <n v="0"/>
    <n v="323254.62779868027"/>
    <n v="0"/>
  </r>
  <r>
    <s v="Regular"/>
    <x v="0"/>
    <x v="1"/>
    <x v="0"/>
    <x v="0"/>
    <x v="0"/>
    <x v="0"/>
    <x v="0"/>
    <x v="10"/>
    <n v="0"/>
    <n v="0"/>
    <n v="2720.0070000000001"/>
    <n v="2720.0070000000001"/>
    <n v="0"/>
    <n v="0"/>
    <n v="0"/>
    <x v="0"/>
    <n v="0"/>
    <n v="0"/>
    <n v="18"/>
    <n v="0"/>
    <n v="0"/>
    <n v="73.19"/>
    <n v="0"/>
    <m/>
    <n v="117.83242038312405"/>
    <m/>
    <n v="0"/>
    <n v="199077.31232999999"/>
    <n v="0"/>
    <n v="0"/>
    <n v="320505.00826904009"/>
    <n v="0"/>
  </r>
  <r>
    <s v="PROJETADO"/>
    <x v="0"/>
    <x v="1"/>
    <x v="0"/>
    <x v="0"/>
    <x v="0"/>
    <x v="0"/>
    <x v="0"/>
    <x v="11"/>
    <n v="0"/>
    <n v="0"/>
    <n v="2720.0070000000001"/>
    <n v="2720.0070000000001"/>
    <n v="0"/>
    <n v="0"/>
    <n v="0"/>
    <x v="0"/>
    <n v="0"/>
    <n v="0"/>
    <n v="18"/>
    <n v="0"/>
    <n v="0"/>
    <n v="73.19"/>
    <n v="0"/>
    <m/>
    <n v="117.83242038312405"/>
    <m/>
    <n v="0"/>
    <n v="199077.31232999999"/>
    <n v="0"/>
    <n v="0"/>
    <n v="320505.00826904009"/>
    <n v="0"/>
  </r>
  <r>
    <s v="Regular"/>
    <x v="0"/>
    <x v="1"/>
    <x v="0"/>
    <x v="0"/>
    <x v="0"/>
    <x v="0"/>
    <x v="1"/>
    <x v="0"/>
    <n v="10322"/>
    <n v="4424.0092000000004"/>
    <n v="0"/>
    <n v="0"/>
    <n v="0"/>
    <n v="0"/>
    <n v="7"/>
    <x v="0"/>
    <n v="0"/>
    <n v="24"/>
    <n v="0"/>
    <n v="0"/>
    <n v="22.9"/>
    <n v="0"/>
    <n v="0"/>
    <n v="21.733731888847863"/>
    <m/>
    <m/>
    <n v="101309.81068000001"/>
    <n v="0"/>
    <n v="0"/>
    <n v="96150.229826596333"/>
    <n v="0"/>
    <n v="0"/>
  </r>
  <r>
    <s v="Regular"/>
    <x v="0"/>
    <x v="1"/>
    <x v="0"/>
    <x v="0"/>
    <x v="0"/>
    <x v="0"/>
    <x v="1"/>
    <x v="1"/>
    <n v="10306"/>
    <n v="4902.5641999999998"/>
    <n v="0"/>
    <n v="0"/>
    <n v="0"/>
    <n v="0"/>
    <n v="7"/>
    <x v="0"/>
    <n v="0"/>
    <n v="24"/>
    <n v="0"/>
    <n v="0"/>
    <n v="22.9"/>
    <n v="0"/>
    <n v="0"/>
    <n v="21.733731888847863"/>
    <m/>
    <m/>
    <n v="112268.72017999999"/>
    <n v="0"/>
    <n v="0"/>
    <n v="106551.01589066391"/>
    <n v="0"/>
    <n v="0"/>
  </r>
  <r>
    <s v="Regular"/>
    <x v="0"/>
    <x v="1"/>
    <x v="0"/>
    <x v="0"/>
    <x v="0"/>
    <x v="0"/>
    <x v="1"/>
    <x v="2"/>
    <n v="10319"/>
    <n v="4909.7802000000001"/>
    <n v="0"/>
    <n v="0"/>
    <n v="0"/>
    <n v="0"/>
    <n v="7"/>
    <x v="0"/>
    <n v="0"/>
    <n v="24"/>
    <n v="0"/>
    <n v="0"/>
    <n v="22.9"/>
    <n v="0"/>
    <n v="0"/>
    <n v="21.733731888847863"/>
    <m/>
    <m/>
    <n v="112433.96657999999"/>
    <n v="0"/>
    <n v="0"/>
    <n v="106707.84649997385"/>
    <n v="0"/>
    <n v="0"/>
  </r>
  <r>
    <s v="Regular"/>
    <x v="0"/>
    <x v="1"/>
    <x v="0"/>
    <x v="0"/>
    <x v="0"/>
    <x v="0"/>
    <x v="1"/>
    <x v="3"/>
    <n v="10344"/>
    <n v="4921.6751999999997"/>
    <n v="0"/>
    <n v="0"/>
    <n v="0"/>
    <n v="0"/>
    <n v="7"/>
    <x v="0"/>
    <n v="0"/>
    <n v="24"/>
    <n v="0"/>
    <n v="0"/>
    <n v="22.9"/>
    <n v="0"/>
    <n v="0"/>
    <n v="21.733731888847863"/>
    <m/>
    <m/>
    <n v="112706.36207999999"/>
    <n v="0"/>
    <n v="0"/>
    <n v="106966.36924079168"/>
    <n v="0"/>
    <n v="0"/>
  </r>
  <r>
    <s v="Regular"/>
    <x v="0"/>
    <x v="1"/>
    <x v="0"/>
    <x v="0"/>
    <x v="0"/>
    <x v="0"/>
    <x v="1"/>
    <x v="4"/>
    <n v="10347"/>
    <n v="4923.1026000000002"/>
    <n v="0"/>
    <n v="0"/>
    <n v="0"/>
    <n v="0"/>
    <n v="7"/>
    <x v="0"/>
    <n v="0"/>
    <n v="24"/>
    <n v="0"/>
    <n v="0"/>
    <n v="22.9"/>
    <n v="0"/>
    <n v="0"/>
    <n v="21.733731888847863"/>
    <m/>
    <m/>
    <n v="112739.04953999999"/>
    <n v="0"/>
    <n v="0"/>
    <n v="106997.39196968984"/>
    <n v="0"/>
    <n v="0"/>
  </r>
  <r>
    <s v="Regular"/>
    <x v="0"/>
    <x v="1"/>
    <x v="0"/>
    <x v="0"/>
    <x v="0"/>
    <x v="0"/>
    <x v="1"/>
    <x v="5"/>
    <n v="10342"/>
    <n v="4920.7236000000003"/>
    <n v="0"/>
    <n v="0"/>
    <n v="0"/>
    <n v="0"/>
    <n v="7"/>
    <x v="0"/>
    <n v="0"/>
    <n v="24"/>
    <n v="0"/>
    <n v="0"/>
    <n v="22.9"/>
    <n v="0"/>
    <n v="0"/>
    <n v="21.733731888847863"/>
    <m/>
    <m/>
    <n v="112684.57044"/>
    <n v="0"/>
    <n v="0"/>
    <n v="106945.68742152627"/>
    <n v="0"/>
    <n v="0"/>
  </r>
  <r>
    <s v="Regular"/>
    <x v="0"/>
    <x v="1"/>
    <x v="0"/>
    <x v="0"/>
    <x v="0"/>
    <x v="0"/>
    <x v="1"/>
    <x v="6"/>
    <n v="10695"/>
    <n v="5097.2370000000001"/>
    <n v="0"/>
    <n v="0"/>
    <n v="0"/>
    <n v="0"/>
    <n v="7"/>
    <x v="0"/>
    <n v="0"/>
    <n v="24"/>
    <n v="0"/>
    <n v="0"/>
    <n v="22.9"/>
    <n v="0"/>
    <n v="0"/>
    <n v="21.733731888847863"/>
    <m/>
    <m/>
    <n v="116726.7273"/>
    <n v="0"/>
    <n v="0"/>
    <n v="110781.98233191522"/>
    <n v="0"/>
    <n v="0"/>
  </r>
  <r>
    <s v="Regular"/>
    <x v="0"/>
    <x v="1"/>
    <x v="0"/>
    <x v="0"/>
    <x v="0"/>
    <x v="0"/>
    <x v="1"/>
    <x v="7"/>
    <n v="10912"/>
    <n v="5206.1152000000002"/>
    <n v="0"/>
    <n v="0"/>
    <n v="0"/>
    <n v="0"/>
    <n v="7"/>
    <x v="0"/>
    <n v="0"/>
    <n v="24"/>
    <n v="0"/>
    <n v="0"/>
    <n v="22.9"/>
    <n v="0"/>
    <n v="0"/>
    <n v="21.733731888847863"/>
    <m/>
    <m/>
    <n v="119220.03808"/>
    <n v="0"/>
    <n v="0"/>
    <n v="113148.31193925558"/>
    <n v="0"/>
    <n v="0"/>
  </r>
  <r>
    <s v="Regular"/>
    <x v="0"/>
    <x v="1"/>
    <x v="0"/>
    <x v="0"/>
    <x v="0"/>
    <x v="0"/>
    <x v="1"/>
    <x v="8"/>
    <n v="11030"/>
    <n v="5264.6189999999997"/>
    <n v="0"/>
    <n v="0"/>
    <n v="0"/>
    <n v="0"/>
    <n v="7"/>
    <x v="0"/>
    <n v="0"/>
    <n v="24"/>
    <n v="0"/>
    <n v="0"/>
    <n v="22.9"/>
    <n v="0"/>
    <n v="0"/>
    <n v="21.733731888847863"/>
    <m/>
    <m/>
    <n v="120559.77509999998"/>
    <n v="0"/>
    <n v="0"/>
    <n v="114419.81784293434"/>
    <n v="0"/>
    <n v="0"/>
  </r>
  <r>
    <s v="Regular"/>
    <x v="0"/>
    <x v="1"/>
    <x v="0"/>
    <x v="0"/>
    <x v="0"/>
    <x v="0"/>
    <x v="1"/>
    <x v="9"/>
    <n v="10935"/>
    <n v="5217.0884999999998"/>
    <n v="0"/>
    <n v="0"/>
    <n v="0"/>
    <n v="0"/>
    <n v="7"/>
    <x v="0"/>
    <n v="0"/>
    <n v="24"/>
    <n v="0"/>
    <n v="0"/>
    <n v="22.9"/>
    <n v="0"/>
    <n v="0"/>
    <n v="21.733731888847863"/>
    <m/>
    <m/>
    <n v="119471.32664999999"/>
    <n v="0"/>
    <n v="0"/>
    <n v="113386.80269939147"/>
    <n v="0"/>
    <n v="0"/>
  </r>
  <r>
    <s v="Regular"/>
    <x v="0"/>
    <x v="1"/>
    <x v="0"/>
    <x v="0"/>
    <x v="0"/>
    <x v="0"/>
    <x v="1"/>
    <x v="10"/>
    <n v="10989"/>
    <n v="5243.9507999999996"/>
    <n v="0"/>
    <n v="0"/>
    <n v="0"/>
    <n v="0"/>
    <n v="7"/>
    <x v="0"/>
    <n v="0"/>
    <n v="24"/>
    <n v="0"/>
    <n v="0"/>
    <n v="22.9"/>
    <n v="0"/>
    <n v="0"/>
    <n v="21.733731888847863"/>
    <m/>
    <m/>
    <n v="120086.47331999999"/>
    <n v="0"/>
    <n v="0"/>
    <n v="113970.62072550926"/>
    <n v="0"/>
    <n v="0"/>
  </r>
  <r>
    <s v="PROJETADO"/>
    <x v="0"/>
    <x v="1"/>
    <x v="0"/>
    <x v="0"/>
    <x v="0"/>
    <x v="0"/>
    <x v="1"/>
    <x v="11"/>
    <n v="10989"/>
    <n v="5243.9507999999996"/>
    <n v="0"/>
    <n v="0"/>
    <n v="0"/>
    <n v="0"/>
    <n v="7"/>
    <x v="0"/>
    <n v="0"/>
    <n v="24"/>
    <n v="0"/>
    <n v="0"/>
    <n v="22.9"/>
    <n v="0"/>
    <n v="0"/>
    <n v="21.733731888847863"/>
    <m/>
    <m/>
    <n v="120086.47331999999"/>
    <n v="0"/>
    <n v="0"/>
    <n v="113970.62072550926"/>
    <n v="0"/>
    <n v="0"/>
  </r>
  <r>
    <s v="Regular"/>
    <x v="0"/>
    <x v="1"/>
    <x v="0"/>
    <x v="0"/>
    <x v="0"/>
    <x v="0"/>
    <x v="2"/>
    <x v="0"/>
    <n v="0"/>
    <n v="0"/>
    <n v="221.56700000000001"/>
    <n v="94.963616200000004"/>
    <n v="0"/>
    <n v="0"/>
    <n v="0"/>
    <x v="0"/>
    <n v="0"/>
    <n v="0"/>
    <n v="5"/>
    <n v="0"/>
    <n v="0"/>
    <n v="1518.97"/>
    <n v="0"/>
    <m/>
    <n v="1492.9858702094405"/>
    <m/>
    <n v="0"/>
    <n v="144246.88409931402"/>
    <n v="0"/>
    <n v="0"/>
    <n v="141779.33717059233"/>
    <n v="0"/>
  </r>
  <r>
    <s v="Regular"/>
    <x v="0"/>
    <x v="1"/>
    <x v="0"/>
    <x v="0"/>
    <x v="0"/>
    <x v="0"/>
    <x v="2"/>
    <x v="1"/>
    <n v="0"/>
    <n v="0"/>
    <n v="233.02"/>
    <n v="116.183772"/>
    <n v="0"/>
    <n v="0"/>
    <n v="0"/>
    <x v="0"/>
    <n v="0"/>
    <n v="0"/>
    <n v="5"/>
    <n v="0"/>
    <n v="0"/>
    <n v="1518.97"/>
    <n v="0"/>
    <m/>
    <n v="1492.9858702094405"/>
    <m/>
    <n v="0"/>
    <n v="176479.66415484002"/>
    <n v="0"/>
    <n v="0"/>
    <n v="173460.72994363523"/>
    <n v="0"/>
  </r>
  <r>
    <s v="Regular"/>
    <x v="0"/>
    <x v="1"/>
    <x v="0"/>
    <x v="0"/>
    <x v="0"/>
    <x v="0"/>
    <x v="2"/>
    <x v="2"/>
    <n v="0"/>
    <n v="0"/>
    <n v="224.77099999999999"/>
    <n v="112.1157748"/>
    <n v="0"/>
    <n v="0"/>
    <n v="0"/>
    <x v="0"/>
    <n v="0"/>
    <n v="0"/>
    <n v="5"/>
    <n v="0"/>
    <n v="0"/>
    <n v="1518.97"/>
    <n v="0"/>
    <m/>
    <n v="1492.9858702094405"/>
    <m/>
    <n v="0"/>
    <n v="170300.49844795599"/>
    <n v="0"/>
    <n v="0"/>
    <n v="167387.26760398364"/>
    <n v="0"/>
  </r>
  <r>
    <s v="Regular"/>
    <x v="0"/>
    <x v="1"/>
    <x v="0"/>
    <x v="0"/>
    <x v="0"/>
    <x v="0"/>
    <x v="2"/>
    <x v="3"/>
    <n v="0"/>
    <n v="0"/>
    <n v="227.09100000000001"/>
    <n v="113.74988190000001"/>
    <n v="0"/>
    <n v="0"/>
    <n v="0"/>
    <x v="0"/>
    <n v="0"/>
    <n v="0"/>
    <n v="5"/>
    <n v="0"/>
    <n v="0"/>
    <n v="1518.97"/>
    <n v="0"/>
    <m/>
    <n v="1492.9858702094405"/>
    <m/>
    <n v="0"/>
    <n v="172782.658109643"/>
    <n v="0"/>
    <n v="0"/>
    <n v="169826.96641469258"/>
    <n v="0"/>
  </r>
  <r>
    <s v="Regular"/>
    <x v="0"/>
    <x v="1"/>
    <x v="0"/>
    <x v="0"/>
    <x v="0"/>
    <x v="0"/>
    <x v="2"/>
    <x v="4"/>
    <n v="0"/>
    <n v="0"/>
    <n v="245.57499999999999"/>
    <n v="123.27865"/>
    <n v="0"/>
    <n v="0"/>
    <n v="0"/>
    <x v="0"/>
    <n v="0"/>
    <n v="0"/>
    <n v="5"/>
    <n v="0"/>
    <n v="0"/>
    <n v="1518.97"/>
    <n v="0"/>
    <m/>
    <n v="1492.9858702094405"/>
    <m/>
    <n v="0"/>
    <n v="187256.57099050001"/>
    <n v="0"/>
    <n v="0"/>
    <n v="184053.28254849504"/>
    <n v="0"/>
  </r>
  <r>
    <s v="Regular"/>
    <x v="0"/>
    <x v="1"/>
    <x v="0"/>
    <x v="0"/>
    <x v="0"/>
    <x v="0"/>
    <x v="2"/>
    <x v="5"/>
    <n v="0"/>
    <n v="0"/>
    <n v="228.524"/>
    <n v="114.719048"/>
    <n v="0"/>
    <n v="0"/>
    <n v="0"/>
    <x v="0"/>
    <n v="0"/>
    <n v="0"/>
    <n v="5"/>
    <n v="0"/>
    <n v="0"/>
    <n v="1518.97"/>
    <n v="0"/>
    <m/>
    <n v="1492.9858702094405"/>
    <m/>
    <n v="0"/>
    <n v="174254.79234056"/>
    <n v="0"/>
    <n v="0"/>
    <n v="171273.91770787857"/>
    <n v="0"/>
  </r>
  <r>
    <s v="Regular"/>
    <x v="0"/>
    <x v="1"/>
    <x v="0"/>
    <x v="0"/>
    <x v="0"/>
    <x v="0"/>
    <x v="2"/>
    <x v="6"/>
    <n v="0"/>
    <n v="0"/>
    <n v="212.62799999999999"/>
    <n v="107.37714"/>
    <n v="0"/>
    <n v="0"/>
    <n v="0"/>
    <x v="0"/>
    <n v="0"/>
    <n v="0"/>
    <n v="5"/>
    <n v="0"/>
    <n v="0"/>
    <n v="1518.97"/>
    <n v="0"/>
    <m/>
    <n v="1492.9858702094405"/>
    <m/>
    <n v="0"/>
    <n v="163102.65434579999"/>
    <n v="0"/>
    <n v="0"/>
    <n v="160312.5528035009"/>
    <n v="0"/>
  </r>
  <r>
    <s v="Regular"/>
    <x v="0"/>
    <x v="1"/>
    <x v="0"/>
    <x v="0"/>
    <x v="0"/>
    <x v="0"/>
    <x v="2"/>
    <x v="7"/>
    <n v="0"/>
    <n v="0"/>
    <n v="228.40799999999999"/>
    <n v="113.35889040000001"/>
    <n v="0"/>
    <n v="0"/>
    <n v="0"/>
    <x v="0"/>
    <n v="0"/>
    <n v="0"/>
    <n v="5"/>
    <n v="0"/>
    <n v="0"/>
    <n v="1518.97"/>
    <n v="0"/>
    <m/>
    <n v="1492.9858702094405"/>
    <m/>
    <n v="0"/>
    <n v="172188.75375088802"/>
    <n v="0"/>
    <n v="0"/>
    <n v="169243.22162982059"/>
    <n v="0"/>
  </r>
  <r>
    <s v="Regular"/>
    <x v="0"/>
    <x v="1"/>
    <x v="0"/>
    <x v="0"/>
    <x v="0"/>
    <x v="0"/>
    <x v="2"/>
    <x v="8"/>
    <n v="0"/>
    <n v="0"/>
    <n v="197.779"/>
    <n v="100.45195409999999"/>
    <n v="0"/>
    <n v="0"/>
    <n v="0"/>
    <x v="0"/>
    <n v="0"/>
    <n v="0"/>
    <n v="5"/>
    <n v="0"/>
    <n v="0"/>
    <n v="1518.97"/>
    <n v="0"/>
    <m/>
    <n v="1492.9858702094405"/>
    <m/>
    <n v="0"/>
    <n v="152583.504719277"/>
    <n v="0"/>
    <n v="0"/>
    <n v="149973.34810622726"/>
    <n v="0"/>
  </r>
  <r>
    <s v="Regular"/>
    <x v="0"/>
    <x v="1"/>
    <x v="0"/>
    <x v="0"/>
    <x v="0"/>
    <x v="0"/>
    <x v="2"/>
    <x v="9"/>
    <n v="0"/>
    <n v="0"/>
    <n v="220.24"/>
    <n v="110.802744"/>
    <n v="0"/>
    <n v="0"/>
    <n v="0"/>
    <x v="0"/>
    <n v="0"/>
    <n v="0"/>
    <n v="5"/>
    <n v="0"/>
    <n v="0"/>
    <n v="1518.97"/>
    <n v="0"/>
    <m/>
    <n v="1492.9858702094405"/>
    <m/>
    <n v="0"/>
    <n v="168306.04405368"/>
    <n v="0"/>
    <n v="0"/>
    <n v="165426.93117243386"/>
    <n v="0"/>
  </r>
  <r>
    <s v="Regular"/>
    <x v="0"/>
    <x v="1"/>
    <x v="0"/>
    <x v="0"/>
    <x v="0"/>
    <x v="0"/>
    <x v="2"/>
    <x v="10"/>
    <n v="0"/>
    <n v="0"/>
    <n v="210.67"/>
    <n v="105.566737"/>
    <n v="0"/>
    <n v="0"/>
    <n v="0"/>
    <x v="0"/>
    <n v="0"/>
    <n v="0"/>
    <n v="5"/>
    <n v="0"/>
    <n v="0"/>
    <n v="1518.97"/>
    <n v="0"/>
    <m/>
    <n v="1492.9858702094405"/>
    <m/>
    <n v="0"/>
    <n v="160352.70650089"/>
    <n v="0"/>
    <n v="0"/>
    <n v="157609.64670511615"/>
    <n v="0"/>
  </r>
  <r>
    <s v="PROJETADO"/>
    <x v="0"/>
    <x v="1"/>
    <x v="0"/>
    <x v="0"/>
    <x v="0"/>
    <x v="0"/>
    <x v="2"/>
    <x v="11"/>
    <n v="0"/>
    <n v="0"/>
    <n v="210.67"/>
    <n v="105.566737"/>
    <n v="0"/>
    <n v="0"/>
    <n v="0"/>
    <x v="0"/>
    <n v="0"/>
    <n v="0"/>
    <n v="5"/>
    <n v="0"/>
    <n v="0"/>
    <n v="1518.97"/>
    <n v="0"/>
    <m/>
    <n v="1492.9858702094405"/>
    <m/>
    <n v="0"/>
    <n v="160352.70650089"/>
    <n v="0"/>
    <n v="0"/>
    <n v="157609.64670511615"/>
    <n v="0"/>
  </r>
  <r>
    <s v="Regular"/>
    <x v="0"/>
    <x v="1"/>
    <x v="0"/>
    <x v="0"/>
    <x v="1"/>
    <x v="0"/>
    <x v="0"/>
    <x v="0"/>
    <n v="0"/>
    <n v="0"/>
    <n v="3639.2730000000001"/>
    <n v="3639.2730000000001"/>
    <n v="3639.2730000000001"/>
    <n v="3639.2730000000001"/>
    <n v="0"/>
    <x v="1"/>
    <n v="0"/>
    <n v="0"/>
    <n v="18"/>
    <n v="73"/>
    <n v="0"/>
    <n v="73.19"/>
    <n v="211.71"/>
    <m/>
    <n v="117.83242038312405"/>
    <n v="222.99901551132911"/>
    <n v="0"/>
    <n v="266358.39087"/>
    <n v="770470.48683000007"/>
    <n v="0"/>
    <n v="428824.346024953"/>
    <n v="811554.29617696127"/>
  </r>
  <r>
    <s v="Sistema de Compensação"/>
    <x v="0"/>
    <x v="1"/>
    <x v="0"/>
    <x v="0"/>
    <x v="1"/>
    <x v="0"/>
    <x v="0"/>
    <x v="0"/>
    <n v="0"/>
    <n v="0"/>
    <n v="236.98699999999999"/>
    <n v="236.98699999999999"/>
    <n v="236.98699999999999"/>
    <n v="236.98699999999999"/>
    <n v="0"/>
    <x v="1"/>
    <n v="0"/>
    <n v="0"/>
    <n v="18"/>
    <n v="73"/>
    <n v="0"/>
    <n v="73.19"/>
    <n v="211.71"/>
    <m/>
    <n v="117.83242038312405"/>
    <n v="222.99901551132911"/>
    <n v="0"/>
    <n v="17345.078529999999"/>
    <n v="50172.517769999999"/>
    <n v="0"/>
    <n v="27924.751809335419"/>
    <n v="52847.867688983351"/>
  </r>
  <r>
    <s v="Regular"/>
    <x v="0"/>
    <x v="1"/>
    <x v="0"/>
    <x v="0"/>
    <x v="1"/>
    <x v="0"/>
    <x v="0"/>
    <x v="1"/>
    <n v="0"/>
    <n v="0"/>
    <n v="3538.067"/>
    <n v="3538.067"/>
    <n v="3538.067"/>
    <n v="3538.067"/>
    <n v="0"/>
    <x v="1"/>
    <n v="0"/>
    <n v="0"/>
    <n v="18"/>
    <n v="73"/>
    <n v="0"/>
    <n v="73.19"/>
    <n v="211.71"/>
    <m/>
    <n v="117.83242038312405"/>
    <n v="222.99901551132911"/>
    <n v="0"/>
    <n v="258951.12372999999"/>
    <n v="749044.16457000002"/>
    <n v="0"/>
    <n v="416898.99808765855"/>
    <n v="788985.45781312161"/>
  </r>
  <r>
    <s v="Sistema de Compensação"/>
    <x v="0"/>
    <x v="1"/>
    <x v="0"/>
    <x v="0"/>
    <x v="1"/>
    <x v="0"/>
    <x v="0"/>
    <x v="1"/>
    <n v="0"/>
    <n v="0"/>
    <n v="153.905"/>
    <n v="153.905"/>
    <n v="153.905"/>
    <n v="153.905"/>
    <n v="0"/>
    <x v="1"/>
    <n v="0"/>
    <n v="0"/>
    <n v="18"/>
    <n v="73"/>
    <n v="0"/>
    <n v="73.19"/>
    <n v="211.71"/>
    <m/>
    <n v="117.83242038312405"/>
    <n v="222.99901551132911"/>
    <n v="0"/>
    <n v="11264.30695"/>
    <n v="32583.227550000003"/>
    <n v="0"/>
    <n v="18134.998659064706"/>
    <n v="34320.663482271106"/>
  </r>
  <r>
    <s v="Regular"/>
    <x v="0"/>
    <x v="1"/>
    <x v="0"/>
    <x v="0"/>
    <x v="1"/>
    <x v="0"/>
    <x v="0"/>
    <x v="2"/>
    <n v="0"/>
    <n v="0"/>
    <n v="3582.9960000000001"/>
    <n v="3582.9960000000001"/>
    <n v="3582.9960000000001"/>
    <n v="3582.9960000000001"/>
    <n v="0"/>
    <x v="1"/>
    <n v="0"/>
    <n v="0"/>
    <n v="18"/>
    <n v="73"/>
    <n v="0"/>
    <n v="73.19"/>
    <n v="211.71"/>
    <m/>
    <n v="117.83242038312405"/>
    <n v="222.99901551132911"/>
    <n v="0"/>
    <n v="262239.47723999998"/>
    <n v="758556.08316000004"/>
    <n v="0"/>
    <n v="422193.09090305195"/>
    <n v="799004.58058103011"/>
  </r>
  <r>
    <s v="Sistema de Compensação"/>
    <x v="0"/>
    <x v="1"/>
    <x v="0"/>
    <x v="0"/>
    <x v="1"/>
    <x v="0"/>
    <x v="0"/>
    <x v="2"/>
    <n v="0"/>
    <n v="0"/>
    <n v="172.417"/>
    <n v="172.417"/>
    <n v="172.417"/>
    <n v="172.417"/>
    <n v="0"/>
    <x v="1"/>
    <n v="0"/>
    <n v="0"/>
    <n v="18"/>
    <n v="73"/>
    <n v="0"/>
    <n v="73.19"/>
    <n v="211.71"/>
    <m/>
    <n v="117.83242038312405"/>
    <n v="222.99901551132911"/>
    <n v="0"/>
    <n v="12619.20023"/>
    <n v="36502.40307"/>
    <n v="0"/>
    <n v="20316.312425197098"/>
    <n v="38448.821257416828"/>
  </r>
  <r>
    <s v="Regular"/>
    <x v="0"/>
    <x v="1"/>
    <x v="0"/>
    <x v="0"/>
    <x v="1"/>
    <x v="0"/>
    <x v="0"/>
    <x v="3"/>
    <n v="0"/>
    <n v="0"/>
    <n v="3691.752"/>
    <n v="3691.752"/>
    <n v="3691.752"/>
    <n v="3691.752"/>
    <n v="0"/>
    <x v="1"/>
    <n v="0"/>
    <n v="0"/>
    <n v="18"/>
    <n v="73"/>
    <n v="0"/>
    <n v="73.19"/>
    <n v="211.71"/>
    <m/>
    <n v="117.83242038312405"/>
    <n v="222.99901551132911"/>
    <n v="0"/>
    <n v="270199.32887999999"/>
    <n v="781580.81591999996"/>
    <n v="0"/>
    <n v="435008.07361423894"/>
    <n v="823257.06151198025"/>
  </r>
  <r>
    <s v="Sistema de Compensação"/>
    <x v="0"/>
    <x v="1"/>
    <x v="0"/>
    <x v="0"/>
    <x v="1"/>
    <x v="0"/>
    <x v="0"/>
    <x v="3"/>
    <n v="0"/>
    <n v="0"/>
    <n v="222.749"/>
    <n v="222.749"/>
    <n v="222.749"/>
    <n v="222.749"/>
    <n v="0"/>
    <x v="1"/>
    <n v="0"/>
    <n v="0"/>
    <n v="18"/>
    <n v="73"/>
    <n v="0"/>
    <n v="73.19"/>
    <n v="211.71"/>
    <m/>
    <n v="117.83242038312405"/>
    <n v="222.99901551132911"/>
    <n v="0"/>
    <n v="16302.999309999999"/>
    <n v="47158.190790000001"/>
    <n v="0"/>
    <n v="26247.053807920496"/>
    <n v="49672.807706133048"/>
  </r>
  <r>
    <s v="Regular"/>
    <x v="0"/>
    <x v="1"/>
    <x v="0"/>
    <x v="0"/>
    <x v="1"/>
    <x v="0"/>
    <x v="0"/>
    <x v="4"/>
    <n v="0"/>
    <n v="0"/>
    <n v="3388.7339999999999"/>
    <n v="3388.7339999999999"/>
    <n v="3388.7339999999999"/>
    <n v="3388.7339999999999"/>
    <n v="0"/>
    <x v="1"/>
    <n v="0"/>
    <n v="0"/>
    <n v="18"/>
    <n v="73"/>
    <n v="0"/>
    <n v="73.19"/>
    <n v="211.71"/>
    <m/>
    <n v="117.83242038312405"/>
    <n v="222.99901551132911"/>
    <n v="0"/>
    <n v="248021.44145999997"/>
    <n v="717428.87514000002"/>
    <n v="0"/>
    <n v="399302.72925458546"/>
    <n v="755684.34582976834"/>
  </r>
  <r>
    <s v="Sistema de Compensação"/>
    <x v="0"/>
    <x v="1"/>
    <x v="0"/>
    <x v="0"/>
    <x v="1"/>
    <x v="0"/>
    <x v="0"/>
    <x v="4"/>
    <n v="0"/>
    <n v="0"/>
    <n v="194.05600000000001"/>
    <n v="194.05600000000001"/>
    <n v="194.05600000000001"/>
    <n v="194.05600000000001"/>
    <n v="0"/>
    <x v="1"/>
    <n v="0"/>
    <n v="0"/>
    <n v="18"/>
    <n v="73"/>
    <n v="0"/>
    <n v="73.19"/>
    <n v="211.71"/>
    <m/>
    <n v="117.83242038312405"/>
    <n v="222.99901551132911"/>
    <n v="0"/>
    <n v="14202.958640000001"/>
    <n v="41083.595760000004"/>
    <n v="0"/>
    <n v="22866.088169867522"/>
    <n v="43274.296954066485"/>
  </r>
  <r>
    <s v="Regular"/>
    <x v="0"/>
    <x v="1"/>
    <x v="0"/>
    <x v="0"/>
    <x v="1"/>
    <x v="0"/>
    <x v="0"/>
    <x v="5"/>
    <n v="0"/>
    <n v="0"/>
    <n v="3577.1190000000001"/>
    <n v="3577.1190000000001"/>
    <n v="3577.1190000000001"/>
    <n v="3577.1190000000001"/>
    <n v="0"/>
    <x v="1"/>
    <n v="0"/>
    <n v="0"/>
    <n v="18"/>
    <n v="73"/>
    <n v="0"/>
    <n v="73.19"/>
    <n v="211.71"/>
    <m/>
    <n v="117.83242038312405"/>
    <n v="222.99901551132911"/>
    <n v="0"/>
    <n v="261809.33961"/>
    <n v="757311.86349000002"/>
    <n v="0"/>
    <n v="421500.58976846031"/>
    <n v="797694.0153668701"/>
  </r>
  <r>
    <s v="Sistema de Compensação"/>
    <x v="0"/>
    <x v="1"/>
    <x v="0"/>
    <x v="0"/>
    <x v="1"/>
    <x v="0"/>
    <x v="0"/>
    <x v="5"/>
    <n v="0"/>
    <n v="0"/>
    <n v="143.52600000000001"/>
    <n v="143.52600000000001"/>
    <n v="143.52600000000001"/>
    <n v="143.52600000000001"/>
    <n v="0"/>
    <x v="1"/>
    <n v="0"/>
    <n v="0"/>
    <n v="18"/>
    <n v="73"/>
    <n v="0"/>
    <n v="73.19"/>
    <n v="211.71"/>
    <m/>
    <n v="117.83242038312405"/>
    <n v="222.99901551132911"/>
    <n v="0"/>
    <n v="10504.667940000001"/>
    <n v="30385.889460000002"/>
    <n v="0"/>
    <n v="16912.015967908264"/>
    <n v="32006.156700279025"/>
  </r>
  <r>
    <s v="Regular"/>
    <x v="0"/>
    <x v="1"/>
    <x v="0"/>
    <x v="0"/>
    <x v="1"/>
    <x v="0"/>
    <x v="0"/>
    <x v="6"/>
    <n v="0"/>
    <n v="0"/>
    <n v="3515.7339999999999"/>
    <n v="3515.7339999999999"/>
    <n v="3515.7339999999999"/>
    <n v="3515.7339999999999"/>
    <n v="0"/>
    <x v="1"/>
    <n v="0"/>
    <n v="0"/>
    <n v="18"/>
    <n v="73"/>
    <n v="0"/>
    <n v="73.19"/>
    <n v="211.71"/>
    <m/>
    <n v="117.83242038312405"/>
    <n v="222.99901551132911"/>
    <n v="0"/>
    <n v="257316.57145999998"/>
    <n v="744316.04514000006"/>
    <n v="0"/>
    <n v="414267.44664324221"/>
    <n v="784005.22079970711"/>
  </r>
  <r>
    <s v="Sistema de Compensação"/>
    <x v="0"/>
    <x v="1"/>
    <x v="0"/>
    <x v="0"/>
    <x v="1"/>
    <x v="0"/>
    <x v="0"/>
    <x v="6"/>
    <n v="0"/>
    <n v="0"/>
    <n v="145.63300000000001"/>
    <n v="145.63300000000001"/>
    <n v="145.63300000000001"/>
    <n v="145.63300000000001"/>
    <n v="0"/>
    <x v="1"/>
    <n v="0"/>
    <n v="0"/>
    <n v="18"/>
    <n v="73"/>
    <n v="0"/>
    <n v="73.19"/>
    <n v="211.71"/>
    <m/>
    <n v="117.83242038312405"/>
    <n v="222.99901551132911"/>
    <n v="0"/>
    <n v="10658.879270000001"/>
    <n v="30831.962430000003"/>
    <n v="0"/>
    <n v="17160.288877655505"/>
    <n v="32476.015625961394"/>
  </r>
  <r>
    <s v="Regular"/>
    <x v="0"/>
    <x v="1"/>
    <x v="0"/>
    <x v="0"/>
    <x v="1"/>
    <x v="0"/>
    <x v="0"/>
    <x v="7"/>
    <n v="0"/>
    <n v="0"/>
    <n v="3937.855"/>
    <n v="3937.855"/>
    <n v="3937.855"/>
    <n v="3937.855"/>
    <n v="0"/>
    <x v="1"/>
    <n v="0"/>
    <n v="0"/>
    <n v="18"/>
    <n v="73"/>
    <n v="0"/>
    <n v="73.19"/>
    <n v="211.71"/>
    <m/>
    <n v="117.83242038312405"/>
    <n v="222.99901551132911"/>
    <n v="0"/>
    <n v="288211.60745000001"/>
    <n v="833683.28205000004"/>
    <n v="0"/>
    <n v="464006.98576778691"/>
    <n v="878137.78822636488"/>
  </r>
  <r>
    <s v="Sistema de Compensação"/>
    <x v="0"/>
    <x v="1"/>
    <x v="0"/>
    <x v="0"/>
    <x v="1"/>
    <x v="0"/>
    <x v="0"/>
    <x v="7"/>
    <n v="0"/>
    <n v="0"/>
    <n v="177.273"/>
    <n v="177.273"/>
    <n v="177.273"/>
    <n v="177.273"/>
    <n v="0"/>
    <x v="1"/>
    <n v="0"/>
    <n v="0"/>
    <n v="18"/>
    <n v="73"/>
    <n v="0"/>
    <n v="73.19"/>
    <n v="211.71"/>
    <m/>
    <n v="117.83242038312405"/>
    <n v="222.99901551132911"/>
    <n v="0"/>
    <n v="12974.610869999999"/>
    <n v="37530.466829999998"/>
    <n v="0"/>
    <n v="20888.506658577549"/>
    <n v="39531.70447673984"/>
  </r>
  <r>
    <s v="Regular"/>
    <x v="0"/>
    <x v="1"/>
    <x v="0"/>
    <x v="0"/>
    <x v="1"/>
    <x v="0"/>
    <x v="0"/>
    <x v="8"/>
    <n v="0"/>
    <n v="0"/>
    <n v="3543.9470000000001"/>
    <n v="3543.9470000000001"/>
    <n v="3543.9470000000001"/>
    <n v="3543.9470000000001"/>
    <n v="0"/>
    <x v="1"/>
    <n v="0"/>
    <n v="0"/>
    <n v="18"/>
    <n v="73"/>
    <n v="0"/>
    <n v="73.19"/>
    <n v="211.71"/>
    <m/>
    <n v="117.83242038312405"/>
    <n v="222.99901551132911"/>
    <n v="0"/>
    <n v="259381.48092999999"/>
    <n v="750289.01937000011"/>
    <n v="0"/>
    <n v="417591.85271951131"/>
    <n v="790296.69202432828"/>
  </r>
  <r>
    <s v="Sistema de Compensação"/>
    <x v="0"/>
    <x v="1"/>
    <x v="0"/>
    <x v="0"/>
    <x v="1"/>
    <x v="0"/>
    <x v="0"/>
    <x v="8"/>
    <n v="0"/>
    <n v="0"/>
    <n v="175.01900000000001"/>
    <n v="175.01900000000001"/>
    <n v="175.01900000000001"/>
    <n v="175.01900000000001"/>
    <n v="0"/>
    <x v="1"/>
    <n v="0"/>
    <n v="0"/>
    <n v="18"/>
    <n v="73"/>
    <n v="0"/>
    <n v="73.19"/>
    <n v="211.71"/>
    <m/>
    <n v="117.83242038312405"/>
    <n v="222.99901551132911"/>
    <n v="0"/>
    <n v="12809.64061"/>
    <n v="37053.272490000003"/>
    <n v="0"/>
    <n v="20622.912383033989"/>
    <n v="39029.064695777313"/>
  </r>
  <r>
    <s v="Regular"/>
    <x v="0"/>
    <x v="1"/>
    <x v="0"/>
    <x v="0"/>
    <x v="1"/>
    <x v="0"/>
    <x v="0"/>
    <x v="9"/>
    <n v="0"/>
    <n v="0"/>
    <n v="3756.9810000000002"/>
    <n v="3756.9810000000002"/>
    <n v="3756.9810000000002"/>
    <n v="3756.9810000000002"/>
    <n v="0"/>
    <x v="1"/>
    <n v="0"/>
    <n v="0"/>
    <n v="18"/>
    <n v="73"/>
    <n v="0"/>
    <n v="73.19"/>
    <n v="211.71"/>
    <m/>
    <n v="117.83242038312405"/>
    <n v="222.99901551132911"/>
    <n v="0"/>
    <n v="274973.43939000001"/>
    <n v="795390.44751000009"/>
    <n v="0"/>
    <n v="442694.16456340981"/>
    <n v="837803.06429476873"/>
  </r>
  <r>
    <s v="Sistema de Compensação"/>
    <x v="0"/>
    <x v="1"/>
    <x v="0"/>
    <x v="0"/>
    <x v="1"/>
    <x v="0"/>
    <x v="0"/>
    <x v="9"/>
    <n v="0"/>
    <n v="0"/>
    <n v="205.99100000000001"/>
    <n v="205.99100000000001"/>
    <n v="205.99100000000001"/>
    <n v="205.99100000000001"/>
    <n v="0"/>
    <x v="1"/>
    <n v="0"/>
    <n v="0"/>
    <n v="18"/>
    <n v="73"/>
    <n v="0"/>
    <n v="73.19"/>
    <n v="211.71"/>
    <m/>
    <n v="117.83242038312405"/>
    <n v="222.99901551132911"/>
    <n v="0"/>
    <n v="15076.48129"/>
    <n v="43610.354610000002"/>
    <n v="0"/>
    <n v="24272.418107140107"/>
    <n v="45935.7902041942"/>
  </r>
  <r>
    <s v="Regular"/>
    <x v="0"/>
    <x v="1"/>
    <x v="0"/>
    <x v="0"/>
    <x v="1"/>
    <x v="0"/>
    <x v="0"/>
    <x v="10"/>
    <n v="0"/>
    <n v="0"/>
    <n v="3667.9969999999998"/>
    <n v="3667.9969999999998"/>
    <n v="3667.9969999999998"/>
    <n v="3667.9969999999998"/>
    <n v="0"/>
    <x v="1"/>
    <n v="0"/>
    <n v="0"/>
    <n v="18"/>
    <n v="73"/>
    <n v="0"/>
    <n v="73.19"/>
    <n v="211.71"/>
    <m/>
    <n v="117.83242038312405"/>
    <n v="222.99901551132911"/>
    <n v="0"/>
    <n v="268460.70042999997"/>
    <n v="776551.64486999996"/>
    <n v="0"/>
    <n v="432208.96446803783"/>
    <n v="817959.71989850863"/>
  </r>
  <r>
    <s v="Sistema de Compensação"/>
    <x v="0"/>
    <x v="1"/>
    <x v="0"/>
    <x v="0"/>
    <x v="1"/>
    <x v="0"/>
    <x v="0"/>
    <x v="10"/>
    <n v="0"/>
    <n v="0"/>
    <n v="149.054"/>
    <n v="149.054"/>
    <n v="149.054"/>
    <n v="149.054"/>
    <n v="0"/>
    <x v="1"/>
    <n v="0"/>
    <n v="0"/>
    <n v="18"/>
    <n v="73"/>
    <n v="0"/>
    <n v="73.19"/>
    <n v="211.71"/>
    <m/>
    <n v="117.83242038312405"/>
    <n v="222.99901551132911"/>
    <n v="0"/>
    <n v="10909.26226"/>
    <n v="31556.22234"/>
    <n v="0"/>
    <n v="17563.393587786173"/>
    <n v="33238.895258025652"/>
  </r>
  <r>
    <s v="PROJETADO"/>
    <x v="0"/>
    <x v="1"/>
    <x v="0"/>
    <x v="0"/>
    <x v="1"/>
    <x v="0"/>
    <x v="0"/>
    <x v="11"/>
    <n v="0"/>
    <n v="0"/>
    <n v="3667.9969999999998"/>
    <n v="3667.9969999999998"/>
    <n v="3667.9969999999998"/>
    <n v="3667.9969999999998"/>
    <n v="0"/>
    <x v="1"/>
    <n v="0"/>
    <n v="0"/>
    <n v="18"/>
    <n v="73"/>
    <n v="0"/>
    <n v="73.19"/>
    <n v="211.71"/>
    <m/>
    <n v="117.83242038312405"/>
    <n v="222.99901551132911"/>
    <n v="0"/>
    <n v="268460.70042999997"/>
    <n v="776551.64486999996"/>
    <n v="0"/>
    <n v="432208.96446803783"/>
    <n v="817959.71989850863"/>
  </r>
  <r>
    <s v="PROJETADO"/>
    <x v="0"/>
    <x v="1"/>
    <x v="0"/>
    <x v="0"/>
    <x v="1"/>
    <x v="0"/>
    <x v="0"/>
    <x v="11"/>
    <n v="0"/>
    <n v="0"/>
    <n v="149.054"/>
    <n v="149.054"/>
    <n v="149.054"/>
    <n v="149.054"/>
    <n v="0"/>
    <x v="1"/>
    <n v="0"/>
    <n v="0"/>
    <n v="18"/>
    <n v="73"/>
    <n v="0"/>
    <n v="73.19"/>
    <n v="211.71"/>
    <m/>
    <n v="117.83242038312405"/>
    <n v="222.99901551132911"/>
    <n v="0"/>
    <n v="10909.26226"/>
    <n v="31556.22234"/>
    <n v="0"/>
    <n v="17563.393587786173"/>
    <n v="33238.895258025652"/>
  </r>
  <r>
    <s v="Regular"/>
    <x v="0"/>
    <x v="1"/>
    <x v="0"/>
    <x v="0"/>
    <x v="1"/>
    <x v="0"/>
    <x v="1"/>
    <x v="0"/>
    <n v="14139"/>
    <n v="14139"/>
    <n v="0"/>
    <n v="0"/>
    <n v="0"/>
    <n v="0"/>
    <n v="53"/>
    <x v="1"/>
    <n v="0"/>
    <n v="24"/>
    <n v="0"/>
    <n v="0"/>
    <n v="22.9"/>
    <n v="0"/>
    <n v="0"/>
    <n v="21.733731888847863"/>
    <m/>
    <m/>
    <n v="323783.09999999998"/>
    <n v="0"/>
    <n v="0"/>
    <n v="307293.23517641996"/>
    <n v="0"/>
    <n v="0"/>
  </r>
  <r>
    <s v="Sistema de Compensação"/>
    <x v="0"/>
    <x v="1"/>
    <x v="0"/>
    <x v="0"/>
    <x v="1"/>
    <x v="0"/>
    <x v="1"/>
    <x v="0"/>
    <n v="488"/>
    <n v="488"/>
    <n v="0"/>
    <n v="0"/>
    <n v="0"/>
    <n v="0"/>
    <n v="2"/>
    <x v="1"/>
    <n v="0"/>
    <n v="24"/>
    <n v="0"/>
    <n v="0"/>
    <n v="22.9"/>
    <n v="0"/>
    <n v="0"/>
    <n v="21.733731888847863"/>
    <m/>
    <m/>
    <n v="11175.199999999999"/>
    <n v="0"/>
    <n v="0"/>
    <n v="10606.061161757758"/>
    <n v="0"/>
    <n v="0"/>
  </r>
  <r>
    <s v="Regular"/>
    <x v="0"/>
    <x v="1"/>
    <x v="0"/>
    <x v="0"/>
    <x v="1"/>
    <x v="0"/>
    <x v="1"/>
    <x v="1"/>
    <n v="14093"/>
    <n v="14093"/>
    <n v="0"/>
    <n v="0"/>
    <n v="0"/>
    <n v="0"/>
    <n v="53"/>
    <x v="1"/>
    <n v="0"/>
    <n v="24"/>
    <n v="0"/>
    <n v="0"/>
    <n v="22.9"/>
    <n v="0"/>
    <n v="0"/>
    <n v="21.733731888847863"/>
    <m/>
    <m/>
    <n v="322729.69999999995"/>
    <n v="0"/>
    <n v="0"/>
    <n v="306293.48350953293"/>
    <n v="0"/>
    <n v="0"/>
  </r>
  <r>
    <s v="Sistema de Compensação"/>
    <x v="0"/>
    <x v="1"/>
    <x v="0"/>
    <x v="0"/>
    <x v="1"/>
    <x v="0"/>
    <x v="1"/>
    <x v="1"/>
    <n v="532"/>
    <n v="532"/>
    <n v="0"/>
    <n v="0"/>
    <n v="0"/>
    <n v="0"/>
    <n v="2"/>
    <x v="1"/>
    <n v="0"/>
    <n v="24"/>
    <n v="0"/>
    <n v="0"/>
    <n v="22.9"/>
    <n v="0"/>
    <n v="0"/>
    <n v="21.733731888847863"/>
    <m/>
    <m/>
    <n v="12182.8"/>
    <n v="0"/>
    <n v="0"/>
    <n v="11562.345364867064"/>
    <n v="0"/>
    <n v="0"/>
  </r>
  <r>
    <s v="Regular"/>
    <x v="0"/>
    <x v="1"/>
    <x v="0"/>
    <x v="0"/>
    <x v="1"/>
    <x v="0"/>
    <x v="1"/>
    <x v="2"/>
    <n v="14336"/>
    <n v="14336"/>
    <n v="0"/>
    <n v="0"/>
    <n v="0"/>
    <n v="0"/>
    <n v="53"/>
    <x v="1"/>
    <n v="0"/>
    <n v="24"/>
    <n v="0"/>
    <n v="0"/>
    <n v="22.9"/>
    <n v="0"/>
    <n v="0"/>
    <n v="21.733731888847863"/>
    <m/>
    <m/>
    <n v="328294.39999999997"/>
    <n v="0"/>
    <n v="0"/>
    <n v="311574.78035852296"/>
    <n v="0"/>
    <n v="0"/>
  </r>
  <r>
    <s v="Sistema de Compensação"/>
    <x v="0"/>
    <x v="1"/>
    <x v="0"/>
    <x v="0"/>
    <x v="1"/>
    <x v="0"/>
    <x v="1"/>
    <x v="2"/>
    <n v="518"/>
    <n v="518"/>
    <n v="0"/>
    <n v="0"/>
    <n v="0"/>
    <n v="0"/>
    <n v="2"/>
    <x v="1"/>
    <n v="0"/>
    <n v="24"/>
    <n v="0"/>
    <n v="0"/>
    <n v="22.9"/>
    <n v="0"/>
    <n v="0"/>
    <n v="21.733731888847863"/>
    <m/>
    <m/>
    <n v="11862.199999999999"/>
    <n v="0"/>
    <n v="0"/>
    <n v="11258.073118423194"/>
    <n v="0"/>
    <n v="0"/>
  </r>
  <r>
    <s v="Regular"/>
    <x v="0"/>
    <x v="1"/>
    <x v="0"/>
    <x v="0"/>
    <x v="1"/>
    <x v="0"/>
    <x v="1"/>
    <x v="3"/>
    <n v="14463"/>
    <n v="14463"/>
    <n v="0"/>
    <n v="0"/>
    <n v="0"/>
    <n v="0"/>
    <n v="53"/>
    <x v="1"/>
    <n v="0"/>
    <n v="24"/>
    <n v="0"/>
    <n v="0"/>
    <n v="22.9"/>
    <n v="0"/>
    <n v="0"/>
    <n v="21.733731888847863"/>
    <m/>
    <m/>
    <n v="331202.69999999995"/>
    <n v="0"/>
    <n v="0"/>
    <n v="314334.96430840663"/>
    <n v="0"/>
    <n v="0"/>
  </r>
  <r>
    <s v="Sistema de Compensação"/>
    <x v="0"/>
    <x v="1"/>
    <x v="0"/>
    <x v="0"/>
    <x v="1"/>
    <x v="0"/>
    <x v="1"/>
    <x v="3"/>
    <n v="510"/>
    <n v="510"/>
    <n v="0"/>
    <n v="0"/>
    <n v="0"/>
    <n v="0"/>
    <n v="2"/>
    <x v="1"/>
    <n v="0"/>
    <n v="24"/>
    <n v="0"/>
    <n v="0"/>
    <n v="22.9"/>
    <n v="0"/>
    <n v="0"/>
    <n v="21.733731888847863"/>
    <m/>
    <m/>
    <n v="11679"/>
    <n v="0"/>
    <n v="0"/>
    <n v="11084.203263312411"/>
    <n v="0"/>
    <n v="0"/>
  </r>
  <r>
    <s v="Regular"/>
    <x v="0"/>
    <x v="1"/>
    <x v="0"/>
    <x v="0"/>
    <x v="1"/>
    <x v="0"/>
    <x v="1"/>
    <x v="4"/>
    <n v="14808"/>
    <n v="14808"/>
    <n v="0"/>
    <n v="0"/>
    <n v="0"/>
    <n v="0"/>
    <n v="54"/>
    <x v="1"/>
    <n v="0"/>
    <n v="24"/>
    <n v="0"/>
    <n v="0"/>
    <n v="22.9"/>
    <n v="0"/>
    <n v="0"/>
    <n v="21.733731888847863"/>
    <m/>
    <m/>
    <n v="339103.19999999995"/>
    <n v="0"/>
    <n v="0"/>
    <n v="321833.10181005916"/>
    <n v="0"/>
    <n v="0"/>
  </r>
  <r>
    <s v="Sistema de Compensação"/>
    <x v="0"/>
    <x v="1"/>
    <x v="0"/>
    <x v="0"/>
    <x v="1"/>
    <x v="0"/>
    <x v="1"/>
    <x v="4"/>
    <n v="518"/>
    <n v="518"/>
    <n v="0"/>
    <n v="0"/>
    <n v="0"/>
    <n v="0"/>
    <n v="2"/>
    <x v="1"/>
    <n v="0"/>
    <n v="24"/>
    <n v="0"/>
    <n v="0"/>
    <n v="22.9"/>
    <n v="0"/>
    <n v="0"/>
    <n v="21.733731888847863"/>
    <m/>
    <m/>
    <n v="11862.199999999999"/>
    <n v="0"/>
    <n v="0"/>
    <n v="11258.073118423194"/>
    <n v="0"/>
    <n v="0"/>
  </r>
  <r>
    <s v="Regular"/>
    <x v="0"/>
    <x v="1"/>
    <x v="0"/>
    <x v="0"/>
    <x v="1"/>
    <x v="0"/>
    <x v="1"/>
    <x v="5"/>
    <n v="14576"/>
    <n v="14576"/>
    <n v="0"/>
    <n v="0"/>
    <n v="0"/>
    <n v="0"/>
    <n v="54"/>
    <x v="1"/>
    <n v="0"/>
    <n v="24"/>
    <n v="0"/>
    <n v="0"/>
    <n v="22.9"/>
    <n v="0"/>
    <n v="0"/>
    <n v="21.733731888847863"/>
    <m/>
    <m/>
    <n v="333790.39999999997"/>
    <n v="0"/>
    <n v="0"/>
    <n v="316790.87601184647"/>
    <n v="0"/>
    <n v="0"/>
  </r>
  <r>
    <s v="Sistema de Compensação"/>
    <x v="0"/>
    <x v="1"/>
    <x v="0"/>
    <x v="0"/>
    <x v="1"/>
    <x v="0"/>
    <x v="1"/>
    <x v="5"/>
    <n v="524"/>
    <n v="524"/>
    <n v="0"/>
    <n v="0"/>
    <n v="0"/>
    <n v="0"/>
    <n v="2"/>
    <x v="1"/>
    <n v="0"/>
    <n v="24"/>
    <n v="0"/>
    <n v="0"/>
    <n v="22.9"/>
    <n v="0"/>
    <n v="0"/>
    <n v="21.733731888847863"/>
    <m/>
    <m/>
    <n v="11999.599999999999"/>
    <n v="0"/>
    <n v="0"/>
    <n v="11388.475509756281"/>
    <n v="0"/>
    <n v="0"/>
  </r>
  <r>
    <s v="Regular"/>
    <x v="0"/>
    <x v="1"/>
    <x v="0"/>
    <x v="0"/>
    <x v="1"/>
    <x v="0"/>
    <x v="1"/>
    <x v="6"/>
    <n v="14690"/>
    <n v="14690"/>
    <n v="0"/>
    <n v="0"/>
    <n v="0"/>
    <n v="0"/>
    <n v="54"/>
    <x v="1"/>
    <n v="0"/>
    <n v="24"/>
    <n v="0"/>
    <n v="0"/>
    <n v="22.9"/>
    <n v="0"/>
    <n v="0"/>
    <n v="21.733731888847863"/>
    <m/>
    <m/>
    <n v="336401"/>
    <n v="0"/>
    <n v="0"/>
    <n v="319268.52144717512"/>
    <n v="0"/>
    <n v="0"/>
  </r>
  <r>
    <s v="Sistema de Compensação"/>
    <x v="0"/>
    <x v="1"/>
    <x v="0"/>
    <x v="0"/>
    <x v="1"/>
    <x v="0"/>
    <x v="1"/>
    <x v="6"/>
    <n v="516"/>
    <n v="516"/>
    <n v="0"/>
    <n v="0"/>
    <n v="0"/>
    <n v="0"/>
    <n v="2"/>
    <x v="1"/>
    <n v="0"/>
    <n v="24"/>
    <n v="0"/>
    <n v="0"/>
    <n v="22.9"/>
    <n v="0"/>
    <n v="0"/>
    <n v="21.733731888847863"/>
    <m/>
    <m/>
    <n v="11816.4"/>
    <n v="0"/>
    <n v="0"/>
    <n v="11214.605654645498"/>
    <n v="0"/>
    <n v="0"/>
  </r>
  <r>
    <s v="Regular"/>
    <x v="0"/>
    <x v="1"/>
    <x v="0"/>
    <x v="0"/>
    <x v="1"/>
    <x v="0"/>
    <x v="1"/>
    <x v="7"/>
    <n v="14568"/>
    <n v="14568"/>
    <n v="0"/>
    <n v="0"/>
    <n v="0"/>
    <n v="0"/>
    <n v="54"/>
    <x v="1"/>
    <n v="0"/>
    <n v="24"/>
    <n v="0"/>
    <n v="0"/>
    <n v="22.9"/>
    <n v="0"/>
    <n v="0"/>
    <n v="21.733731888847863"/>
    <m/>
    <m/>
    <n v="333607.19999999995"/>
    <n v="0"/>
    <n v="0"/>
    <n v="316617.00615673565"/>
    <n v="0"/>
    <n v="0"/>
  </r>
  <r>
    <s v="Sistema de Compensação"/>
    <x v="0"/>
    <x v="1"/>
    <x v="0"/>
    <x v="0"/>
    <x v="1"/>
    <x v="0"/>
    <x v="1"/>
    <x v="7"/>
    <n v="519"/>
    <n v="519"/>
    <n v="0"/>
    <n v="0"/>
    <n v="0"/>
    <n v="0"/>
    <n v="2"/>
    <x v="1"/>
    <n v="0"/>
    <n v="24"/>
    <n v="0"/>
    <n v="0"/>
    <n v="22.9"/>
    <n v="0"/>
    <n v="0"/>
    <n v="21.733731888847863"/>
    <m/>
    <m/>
    <n v="11885.099999999999"/>
    <n v="0"/>
    <n v="0"/>
    <n v="11279.806850312041"/>
    <n v="0"/>
    <n v="0"/>
  </r>
  <r>
    <s v="Regular"/>
    <x v="0"/>
    <x v="1"/>
    <x v="0"/>
    <x v="0"/>
    <x v="1"/>
    <x v="0"/>
    <x v="1"/>
    <x v="8"/>
    <n v="14547"/>
    <n v="14547"/>
    <n v="0"/>
    <n v="0"/>
    <n v="0"/>
    <n v="0"/>
    <n v="54"/>
    <x v="1"/>
    <n v="0"/>
    <n v="24"/>
    <n v="0"/>
    <n v="0"/>
    <n v="22.9"/>
    <n v="0"/>
    <n v="0"/>
    <n v="21.733731888847863"/>
    <m/>
    <m/>
    <n v="333126.3"/>
    <n v="0"/>
    <n v="0"/>
    <n v="316160.59778706986"/>
    <n v="0"/>
    <n v="0"/>
  </r>
  <r>
    <s v="Sistema de Compensação"/>
    <x v="0"/>
    <x v="1"/>
    <x v="0"/>
    <x v="0"/>
    <x v="1"/>
    <x v="0"/>
    <x v="1"/>
    <x v="8"/>
    <n v="513"/>
    <n v="513"/>
    <n v="0"/>
    <n v="0"/>
    <n v="0"/>
    <n v="0"/>
    <n v="2"/>
    <x v="1"/>
    <n v="0"/>
    <n v="24"/>
    <n v="0"/>
    <n v="0"/>
    <n v="22.9"/>
    <n v="0"/>
    <n v="0"/>
    <n v="21.733731888847863"/>
    <m/>
    <m/>
    <n v="11747.699999999999"/>
    <n v="0"/>
    <n v="0"/>
    <n v="11149.404458978954"/>
    <n v="0"/>
    <n v="0"/>
  </r>
  <r>
    <s v="Regular"/>
    <x v="0"/>
    <x v="1"/>
    <x v="0"/>
    <x v="0"/>
    <x v="1"/>
    <x v="0"/>
    <x v="1"/>
    <x v="9"/>
    <n v="14468"/>
    <n v="14468"/>
    <n v="0"/>
    <n v="0"/>
    <n v="0"/>
    <n v="0"/>
    <n v="54"/>
    <x v="1"/>
    <n v="0"/>
    <n v="24"/>
    <n v="0"/>
    <n v="0"/>
    <n v="22.9"/>
    <n v="0"/>
    <n v="0"/>
    <n v="21.733731888847863"/>
    <m/>
    <m/>
    <n v="331317.19999999995"/>
    <n v="0"/>
    <n v="0"/>
    <n v="314443.63296785089"/>
    <n v="0"/>
    <n v="0"/>
  </r>
  <r>
    <s v="Sistema de Compensação"/>
    <x v="0"/>
    <x v="1"/>
    <x v="0"/>
    <x v="0"/>
    <x v="1"/>
    <x v="0"/>
    <x v="1"/>
    <x v="9"/>
    <n v="518"/>
    <n v="518"/>
    <n v="0"/>
    <n v="0"/>
    <n v="0"/>
    <n v="0"/>
    <n v="2"/>
    <x v="1"/>
    <n v="0"/>
    <n v="24"/>
    <n v="0"/>
    <n v="0"/>
    <n v="22.9"/>
    <n v="0"/>
    <n v="0"/>
    <n v="21.733731888847863"/>
    <m/>
    <m/>
    <n v="11862.199999999999"/>
    <n v="0"/>
    <n v="0"/>
    <n v="11258.073118423194"/>
    <n v="0"/>
    <n v="0"/>
  </r>
  <r>
    <s v="Regular"/>
    <x v="0"/>
    <x v="1"/>
    <x v="0"/>
    <x v="0"/>
    <x v="1"/>
    <x v="0"/>
    <x v="1"/>
    <x v="10"/>
    <n v="14710"/>
    <n v="14710"/>
    <n v="0"/>
    <n v="0"/>
    <n v="0"/>
    <n v="0"/>
    <n v="55"/>
    <x v="1"/>
    <n v="0"/>
    <n v="24"/>
    <n v="0"/>
    <n v="0"/>
    <n v="22.9"/>
    <n v="0"/>
    <n v="0"/>
    <n v="21.733731888847863"/>
    <m/>
    <m/>
    <n v="336859"/>
    <n v="0"/>
    <n v="0"/>
    <n v="319703.1960849521"/>
    <n v="0"/>
    <n v="0"/>
  </r>
  <r>
    <s v="Sistema de Compensação"/>
    <x v="0"/>
    <x v="1"/>
    <x v="0"/>
    <x v="0"/>
    <x v="1"/>
    <x v="0"/>
    <x v="1"/>
    <x v="10"/>
    <n v="514"/>
    <n v="514"/>
    <n v="0"/>
    <n v="0"/>
    <n v="0"/>
    <n v="0"/>
    <n v="2"/>
    <x v="1"/>
    <n v="0"/>
    <n v="24"/>
    <n v="0"/>
    <n v="0"/>
    <n v="22.9"/>
    <n v="0"/>
    <n v="0"/>
    <n v="21.733731888847863"/>
    <m/>
    <m/>
    <n v="11770.599999999999"/>
    <n v="0"/>
    <n v="0"/>
    <n v="11171.138190867801"/>
    <n v="0"/>
    <n v="0"/>
  </r>
  <r>
    <s v="PROJETADO"/>
    <x v="0"/>
    <x v="1"/>
    <x v="0"/>
    <x v="0"/>
    <x v="1"/>
    <x v="0"/>
    <x v="1"/>
    <x v="11"/>
    <n v="14710"/>
    <n v="14710"/>
    <n v="0"/>
    <n v="0"/>
    <n v="0"/>
    <n v="0"/>
    <n v="55"/>
    <x v="1"/>
    <n v="0"/>
    <n v="24"/>
    <n v="0"/>
    <n v="0"/>
    <n v="22.9"/>
    <n v="0"/>
    <n v="0"/>
    <n v="21.733731888847863"/>
    <m/>
    <m/>
    <n v="336859"/>
    <n v="0"/>
    <n v="0"/>
    <n v="319703.1960849521"/>
    <n v="0"/>
    <n v="0"/>
  </r>
  <r>
    <s v="PROJETADO"/>
    <x v="0"/>
    <x v="1"/>
    <x v="0"/>
    <x v="0"/>
    <x v="1"/>
    <x v="0"/>
    <x v="1"/>
    <x v="11"/>
    <n v="514"/>
    <n v="514"/>
    <n v="0"/>
    <n v="0"/>
    <n v="0"/>
    <n v="0"/>
    <n v="2"/>
    <x v="1"/>
    <n v="0"/>
    <n v="24"/>
    <n v="0"/>
    <n v="0"/>
    <n v="22.9"/>
    <n v="0"/>
    <n v="0"/>
    <n v="21.733731888847863"/>
    <m/>
    <m/>
    <n v="11770.599999999999"/>
    <n v="0"/>
    <n v="0"/>
    <n v="11171.138190867801"/>
    <n v="0"/>
    <n v="0"/>
  </r>
  <r>
    <s v="Regular"/>
    <x v="0"/>
    <x v="1"/>
    <x v="0"/>
    <x v="0"/>
    <x v="1"/>
    <x v="0"/>
    <x v="2"/>
    <x v="0"/>
    <n v="0"/>
    <n v="0"/>
    <n v="98.257999999999996"/>
    <n v="98.257999999999996"/>
    <n v="98.257999999999996"/>
    <n v="98.257999999999996"/>
    <n v="0"/>
    <x v="1"/>
    <n v="0"/>
    <n v="0"/>
    <n v="5"/>
    <n v="69"/>
    <n v="0"/>
    <n v="1518.97"/>
    <n v="359.33"/>
    <m/>
    <n v="1492.9858702094405"/>
    <n v="362.73600214515886"/>
    <n v="0"/>
    <n v="149250.95426"/>
    <n v="35307.047139999995"/>
    <n v="0"/>
    <n v="146697.8056350392"/>
    <n v="35641.714098779019"/>
  </r>
  <r>
    <s v="Sistema de Compensação"/>
    <x v="0"/>
    <x v="1"/>
    <x v="0"/>
    <x v="0"/>
    <x v="1"/>
    <x v="0"/>
    <x v="2"/>
    <x v="0"/>
    <n v="0"/>
    <n v="0"/>
    <n v="18.809999999999999"/>
    <n v="18.809999999999999"/>
    <n v="18.809999999999999"/>
    <n v="18.809999999999999"/>
    <n v="0"/>
    <x v="1"/>
    <n v="0"/>
    <n v="0"/>
    <n v="5"/>
    <n v="69"/>
    <n v="0"/>
    <n v="1518.97"/>
    <n v="359.33"/>
    <m/>
    <n v="1492.9858702094405"/>
    <n v="362.73600214515886"/>
    <n v="0"/>
    <n v="28571.825699999998"/>
    <n v="6758.9972999999991"/>
    <n v="0"/>
    <n v="28083.064218639574"/>
    <n v="6823.0642003504381"/>
  </r>
  <r>
    <s v="Regular"/>
    <x v="0"/>
    <x v="1"/>
    <x v="0"/>
    <x v="0"/>
    <x v="1"/>
    <x v="0"/>
    <x v="2"/>
    <x v="1"/>
    <n v="0"/>
    <n v="0"/>
    <n v="114.117"/>
    <n v="114.117"/>
    <n v="114.117"/>
    <n v="114.117"/>
    <n v="0"/>
    <x v="1"/>
    <n v="0"/>
    <n v="0"/>
    <n v="5"/>
    <n v="69"/>
    <n v="0"/>
    <n v="1518.97"/>
    <n v="359.33"/>
    <m/>
    <n v="1492.9858702094405"/>
    <n v="362.73600214515886"/>
    <n v="0"/>
    <n v="173340.29949"/>
    <n v="41005.661610000003"/>
    <n v="0"/>
    <n v="170375.06855069072"/>
    <n v="41394.344356799098"/>
  </r>
  <r>
    <s v="Sistema de Compensação"/>
    <x v="0"/>
    <x v="1"/>
    <x v="0"/>
    <x v="0"/>
    <x v="1"/>
    <x v="0"/>
    <x v="2"/>
    <x v="1"/>
    <n v="0"/>
    <n v="0"/>
    <n v="9.0500000000000007"/>
    <n v="9.0500000000000007"/>
    <n v="9.0500000000000007"/>
    <n v="9.0500000000000007"/>
    <n v="0"/>
    <x v="1"/>
    <n v="0"/>
    <n v="0"/>
    <n v="5"/>
    <n v="69"/>
    <n v="0"/>
    <n v="1518.97"/>
    <n v="359.33"/>
    <m/>
    <n v="1492.9858702094405"/>
    <n v="362.73600214515886"/>
    <n v="0"/>
    <n v="13746.678500000002"/>
    <n v="3251.9365000000003"/>
    <n v="0"/>
    <n v="13511.522125395437"/>
    <n v="3282.7608194136878"/>
  </r>
  <r>
    <s v="Regular"/>
    <x v="0"/>
    <x v="1"/>
    <x v="0"/>
    <x v="0"/>
    <x v="1"/>
    <x v="0"/>
    <x v="2"/>
    <x v="2"/>
    <n v="0"/>
    <n v="0"/>
    <n v="95.334999999999994"/>
    <n v="95.334999999999994"/>
    <n v="95.334999999999994"/>
    <n v="95.334999999999994"/>
    <n v="0"/>
    <x v="1"/>
    <n v="0"/>
    <n v="0"/>
    <n v="5"/>
    <n v="69"/>
    <n v="0"/>
    <n v="1518.97"/>
    <n v="359.33"/>
    <m/>
    <n v="1492.9858702094405"/>
    <n v="362.73600214515886"/>
    <n v="0"/>
    <n v="144811.00495"/>
    <n v="34256.725549999996"/>
    <n v="0"/>
    <n v="142333.807936417"/>
    <n v="34581.436764508719"/>
  </r>
  <r>
    <s v="Sistema de Compensação"/>
    <x v="0"/>
    <x v="1"/>
    <x v="0"/>
    <x v="0"/>
    <x v="1"/>
    <x v="0"/>
    <x v="2"/>
    <x v="2"/>
    <n v="0"/>
    <n v="0"/>
    <n v="6.1539999999999999"/>
    <n v="6.1539999999999999"/>
    <n v="6.1539999999999999"/>
    <n v="6.1539999999999999"/>
    <n v="0"/>
    <x v="1"/>
    <n v="0"/>
    <n v="0"/>
    <n v="5"/>
    <n v="69"/>
    <n v="0"/>
    <n v="1518.97"/>
    <n v="359.33"/>
    <m/>
    <n v="1492.9858702094405"/>
    <n v="362.73600214515886"/>
    <n v="0"/>
    <n v="9347.7413799999995"/>
    <n v="2211.31682"/>
    <n v="0"/>
    <n v="9187.8350452688974"/>
    <n v="2232.2773572013075"/>
  </r>
  <r>
    <s v="Regular"/>
    <x v="0"/>
    <x v="1"/>
    <x v="0"/>
    <x v="0"/>
    <x v="1"/>
    <x v="0"/>
    <x v="2"/>
    <x v="3"/>
    <n v="0"/>
    <n v="0"/>
    <n v="108.517"/>
    <n v="108.517"/>
    <n v="108.517"/>
    <n v="108.517"/>
    <n v="0"/>
    <x v="1"/>
    <n v="0"/>
    <n v="0"/>
    <n v="5"/>
    <n v="69"/>
    <n v="0"/>
    <n v="1518.97"/>
    <n v="359.33"/>
    <m/>
    <n v="1492.9858702094405"/>
    <n v="362.73600214515886"/>
    <n v="0"/>
    <n v="164834.06748999999"/>
    <n v="38993.413609999996"/>
    <n v="0"/>
    <n v="162014.34767751786"/>
    <n v="39363.022744786205"/>
  </r>
  <r>
    <s v="Sistema de Compensação"/>
    <x v="0"/>
    <x v="1"/>
    <x v="0"/>
    <x v="0"/>
    <x v="1"/>
    <x v="0"/>
    <x v="2"/>
    <x v="3"/>
    <n v="0"/>
    <n v="0"/>
    <n v="13.173999999999999"/>
    <n v="13.173999999999999"/>
    <n v="13.173999999999999"/>
    <n v="13.173999999999999"/>
    <n v="0"/>
    <x v="1"/>
    <n v="0"/>
    <n v="0"/>
    <n v="5"/>
    <n v="69"/>
    <n v="0"/>
    <n v="1518.97"/>
    <n v="359.33"/>
    <m/>
    <n v="1492.9858702094405"/>
    <n v="362.73600214515886"/>
    <n v="0"/>
    <n v="20010.910779999998"/>
    <n v="4733.8134199999995"/>
    <n v="0"/>
    <n v="19668.595854139166"/>
    <n v="4778.6840922603224"/>
  </r>
  <r>
    <s v="Regular"/>
    <x v="0"/>
    <x v="1"/>
    <x v="0"/>
    <x v="0"/>
    <x v="1"/>
    <x v="0"/>
    <x v="2"/>
    <x v="4"/>
    <n v="0"/>
    <n v="0"/>
    <n v="118.67"/>
    <n v="118.67"/>
    <n v="118.67"/>
    <n v="118.67"/>
    <n v="0"/>
    <x v="1"/>
    <n v="0"/>
    <n v="0"/>
    <n v="5"/>
    <n v="69"/>
    <n v="0"/>
    <n v="1518.97"/>
    <n v="359.33"/>
    <m/>
    <n v="1492.9858702094405"/>
    <n v="362.73600214515886"/>
    <n v="0"/>
    <n v="180256.16990000001"/>
    <n v="42641.691099999996"/>
    <n v="0"/>
    <n v="177172.63321775431"/>
    <n v="43045.881374566001"/>
  </r>
  <r>
    <s v="Sistema de Compensação"/>
    <x v="0"/>
    <x v="1"/>
    <x v="0"/>
    <x v="0"/>
    <x v="1"/>
    <x v="0"/>
    <x v="2"/>
    <x v="4"/>
    <n v="0"/>
    <n v="0"/>
    <n v="17.209"/>
    <n v="17.209"/>
    <n v="17.209"/>
    <n v="17.209"/>
    <n v="0"/>
    <x v="1"/>
    <n v="0"/>
    <n v="0"/>
    <n v="5"/>
    <n v="69"/>
    <n v="0"/>
    <n v="1518.97"/>
    <n v="359.33"/>
    <m/>
    <n v="1492.9858702094405"/>
    <n v="362.73600214515886"/>
    <n v="0"/>
    <n v="26139.954730000001"/>
    <n v="6183.7099699999999"/>
    <n v="0"/>
    <n v="25692.79384043426"/>
    <n v="6242.3238609160389"/>
  </r>
  <r>
    <s v="Regular"/>
    <x v="0"/>
    <x v="1"/>
    <x v="0"/>
    <x v="0"/>
    <x v="1"/>
    <x v="0"/>
    <x v="2"/>
    <x v="5"/>
    <n v="0"/>
    <n v="0"/>
    <n v="130.976"/>
    <n v="130.976"/>
    <n v="130.976"/>
    <n v="130.976"/>
    <n v="0"/>
    <x v="1"/>
    <n v="0"/>
    <n v="0"/>
    <n v="5"/>
    <n v="69"/>
    <n v="0"/>
    <n v="1518.97"/>
    <n v="359.33"/>
    <m/>
    <n v="1492.9858702094405"/>
    <n v="362.73600214515886"/>
    <n v="0"/>
    <n v="198948.61472000001"/>
    <n v="47063.606079999998"/>
    <n v="0"/>
    <n v="195545.31733655167"/>
    <n v="47509.71061696433"/>
  </r>
  <r>
    <s v="Sistema de Compensação"/>
    <x v="0"/>
    <x v="1"/>
    <x v="0"/>
    <x v="0"/>
    <x v="1"/>
    <x v="0"/>
    <x v="2"/>
    <x v="5"/>
    <n v="0"/>
    <n v="0"/>
    <n v="10.894"/>
    <n v="10.894"/>
    <n v="10.894"/>
    <n v="10.894"/>
    <n v="0"/>
    <x v="1"/>
    <n v="0"/>
    <n v="0"/>
    <n v="5"/>
    <n v="69"/>
    <n v="0"/>
    <n v="1518.97"/>
    <n v="359.33"/>
    <m/>
    <n v="1492.9858702094405"/>
    <n v="362.73600214515886"/>
    <n v="0"/>
    <n v="16547.659179999999"/>
    <n v="3914.5410199999997"/>
    <n v="0"/>
    <n v="16264.588070061645"/>
    <n v="3951.6460073693606"/>
  </r>
  <r>
    <s v="Regular"/>
    <x v="0"/>
    <x v="1"/>
    <x v="0"/>
    <x v="0"/>
    <x v="1"/>
    <x v="0"/>
    <x v="2"/>
    <x v="6"/>
    <n v="0"/>
    <n v="0"/>
    <n v="147.625"/>
    <n v="147.625"/>
    <n v="147.625"/>
    <n v="147.625"/>
    <n v="0"/>
    <x v="1"/>
    <n v="0"/>
    <n v="0"/>
    <n v="5"/>
    <n v="69"/>
    <n v="0"/>
    <n v="1518.97"/>
    <n v="359.33"/>
    <m/>
    <n v="1492.9858702094405"/>
    <n v="362.73600214515886"/>
    <n v="0"/>
    <n v="224237.94625000001"/>
    <n v="53046.091249999998"/>
    <n v="0"/>
    <n v="220402.03908966866"/>
    <n v="53548.902316679079"/>
  </r>
  <r>
    <s v="Sistema de Compensação"/>
    <x v="0"/>
    <x v="1"/>
    <x v="0"/>
    <x v="0"/>
    <x v="1"/>
    <x v="0"/>
    <x v="2"/>
    <x v="6"/>
    <n v="0"/>
    <n v="0"/>
    <n v="11.051"/>
    <n v="11.051"/>
    <n v="11.051"/>
    <n v="11.051"/>
    <n v="0"/>
    <x v="1"/>
    <n v="0"/>
    <n v="0"/>
    <n v="5"/>
    <n v="69"/>
    <n v="0"/>
    <n v="1518.97"/>
    <n v="359.33"/>
    <m/>
    <n v="1492.9858702094405"/>
    <n v="362.73600214515886"/>
    <n v="0"/>
    <n v="16786.137470000001"/>
    <n v="3970.9558299999999"/>
    <n v="0"/>
    <n v="16498.986851684527"/>
    <n v="4008.5955597061507"/>
  </r>
  <r>
    <s v="Regular"/>
    <x v="0"/>
    <x v="1"/>
    <x v="0"/>
    <x v="0"/>
    <x v="1"/>
    <x v="0"/>
    <x v="2"/>
    <x v="7"/>
    <n v="0"/>
    <n v="0"/>
    <n v="159.49"/>
    <n v="159.49"/>
    <n v="159.49"/>
    <n v="159.49"/>
    <n v="0"/>
    <x v="1"/>
    <n v="0"/>
    <n v="0"/>
    <n v="5"/>
    <n v="69"/>
    <n v="0"/>
    <n v="1518.97"/>
    <n v="359.33"/>
    <m/>
    <n v="1492.9858702094405"/>
    <n v="362.73600214515886"/>
    <n v="0"/>
    <n v="242260.52530000001"/>
    <n v="57309.541700000002"/>
    <n v="0"/>
    <n v="238116.31643970366"/>
    <n v="57852.76498213139"/>
  </r>
  <r>
    <s v="Sistema de Compensação"/>
    <x v="0"/>
    <x v="1"/>
    <x v="0"/>
    <x v="0"/>
    <x v="1"/>
    <x v="0"/>
    <x v="2"/>
    <x v="7"/>
    <n v="0"/>
    <n v="0"/>
    <n v="14.669"/>
    <n v="14.669"/>
    <n v="14.669"/>
    <n v="14.669"/>
    <n v="0"/>
    <x v="1"/>
    <n v="0"/>
    <n v="0"/>
    <n v="5"/>
    <n v="69"/>
    <n v="0"/>
    <n v="1518.97"/>
    <n v="359.33"/>
    <m/>
    <n v="1492.9858702094405"/>
    <n v="362.73600214515886"/>
    <n v="0"/>
    <n v="22281.770930000002"/>
    <n v="5271.0117700000001"/>
    <n v="0"/>
    <n v="21900.609730102282"/>
    <n v="5320.9744154673353"/>
  </r>
  <r>
    <s v="Regular"/>
    <x v="0"/>
    <x v="1"/>
    <x v="0"/>
    <x v="0"/>
    <x v="1"/>
    <x v="0"/>
    <x v="2"/>
    <x v="8"/>
    <n v="0"/>
    <n v="0"/>
    <n v="140.93199999999999"/>
    <n v="140.93199999999999"/>
    <n v="140.93199999999999"/>
    <n v="140.93199999999999"/>
    <n v="0"/>
    <x v="1"/>
    <n v="0"/>
    <n v="0"/>
    <n v="5"/>
    <n v="69"/>
    <n v="0"/>
    <n v="1518.97"/>
    <n v="359.33"/>
    <m/>
    <n v="1492.9858702094405"/>
    <n v="362.73600214515886"/>
    <n v="0"/>
    <n v="214071.48003999999"/>
    <n v="50641.095559999994"/>
    <n v="0"/>
    <n v="210409.48466035686"/>
    <n v="51121.110254321524"/>
  </r>
  <r>
    <s v="Sistema de Compensação"/>
    <x v="0"/>
    <x v="1"/>
    <x v="0"/>
    <x v="0"/>
    <x v="1"/>
    <x v="0"/>
    <x v="2"/>
    <x v="8"/>
    <n v="0"/>
    <n v="0"/>
    <n v="13.086"/>
    <n v="13.086"/>
    <n v="13.086"/>
    <n v="13.086"/>
    <n v="0"/>
    <x v="1"/>
    <n v="0"/>
    <n v="0"/>
    <n v="5"/>
    <n v="69"/>
    <n v="0"/>
    <n v="1518.97"/>
    <n v="359.33"/>
    <m/>
    <n v="1492.9858702094405"/>
    <n v="362.73600214515886"/>
    <n v="0"/>
    <n v="19877.241420000002"/>
    <n v="4702.1923799999995"/>
    <n v="0"/>
    <n v="19537.21309756074"/>
    <n v="4746.7633240715486"/>
  </r>
  <r>
    <s v="Regular"/>
    <x v="0"/>
    <x v="1"/>
    <x v="0"/>
    <x v="0"/>
    <x v="1"/>
    <x v="0"/>
    <x v="2"/>
    <x v="9"/>
    <n v="0"/>
    <n v="0"/>
    <n v="160.12299999999999"/>
    <n v="160.12299999999999"/>
    <n v="160.12299999999999"/>
    <n v="160.12299999999999"/>
    <n v="0"/>
    <x v="1"/>
    <n v="0"/>
    <n v="0"/>
    <n v="5"/>
    <n v="69"/>
    <n v="0"/>
    <n v="1518.97"/>
    <n v="359.33"/>
    <m/>
    <n v="1492.9858702094405"/>
    <n v="362.73600214515886"/>
    <n v="0"/>
    <n v="243222.03331"/>
    <n v="57536.997589999992"/>
    <n v="0"/>
    <n v="239061.37649554622"/>
    <n v="58082.376871489272"/>
  </r>
  <r>
    <s v="Sistema de Compensação"/>
    <x v="0"/>
    <x v="1"/>
    <x v="0"/>
    <x v="0"/>
    <x v="1"/>
    <x v="0"/>
    <x v="2"/>
    <x v="9"/>
    <n v="0"/>
    <n v="0"/>
    <n v="16.306999999999999"/>
    <n v="16.306999999999999"/>
    <n v="16.306999999999999"/>
    <n v="16.306999999999999"/>
    <n v="0"/>
    <x v="1"/>
    <n v="0"/>
    <n v="0"/>
    <n v="5"/>
    <n v="69"/>
    <n v="0"/>
    <n v="1518.97"/>
    <n v="359.33"/>
    <m/>
    <n v="1492.9858702094405"/>
    <n v="362.73600214515886"/>
    <n v="0"/>
    <n v="24769.843789999999"/>
    <n v="5859.5943099999995"/>
    <n v="0"/>
    <n v="24346.120585505345"/>
    <n v="5915.1359869811049"/>
  </r>
  <r>
    <s v="Regular"/>
    <x v="0"/>
    <x v="1"/>
    <x v="0"/>
    <x v="0"/>
    <x v="1"/>
    <x v="0"/>
    <x v="2"/>
    <x v="10"/>
    <n v="0"/>
    <n v="0"/>
    <n v="169.49299999999999"/>
    <n v="169.49299999999999"/>
    <n v="169.49299999999999"/>
    <n v="169.49299999999999"/>
    <n v="0"/>
    <x v="1"/>
    <n v="0"/>
    <n v="0"/>
    <n v="5"/>
    <n v="69"/>
    <n v="0"/>
    <n v="1518.97"/>
    <n v="359.33"/>
    <m/>
    <n v="1492.9858702094405"/>
    <n v="362.73600214515886"/>
    <n v="0"/>
    <n v="257454.78221"/>
    <n v="60903.919689999995"/>
    <n v="0"/>
    <n v="253050.65409940868"/>
    <n v="61481.213211589413"/>
  </r>
  <r>
    <s v="Sistema de Compensação"/>
    <x v="0"/>
    <x v="1"/>
    <x v="0"/>
    <x v="0"/>
    <x v="1"/>
    <x v="0"/>
    <x v="2"/>
    <x v="10"/>
    <n v="0"/>
    <n v="0"/>
    <n v="12.361000000000001"/>
    <n v="12.361000000000001"/>
    <n v="12.361000000000001"/>
    <n v="12.361000000000001"/>
    <n v="0"/>
    <x v="1"/>
    <n v="0"/>
    <n v="0"/>
    <n v="5"/>
    <n v="69"/>
    <n v="0"/>
    <n v="1518.97"/>
    <n v="359.33"/>
    <m/>
    <n v="1492.9858702094405"/>
    <n v="362.73600214515886"/>
    <n v="0"/>
    <n v="18775.988170000001"/>
    <n v="4441.6781300000002"/>
    <n v="0"/>
    <n v="18454.798341658894"/>
    <n v="4483.7797225163085"/>
  </r>
  <r>
    <s v="PROJETADO"/>
    <x v="0"/>
    <x v="1"/>
    <x v="0"/>
    <x v="0"/>
    <x v="1"/>
    <x v="0"/>
    <x v="2"/>
    <x v="11"/>
    <n v="0"/>
    <n v="0"/>
    <n v="169.49299999999999"/>
    <n v="169.49299999999999"/>
    <n v="169.49299999999999"/>
    <n v="169.49299999999999"/>
    <n v="0"/>
    <x v="1"/>
    <n v="0"/>
    <n v="0"/>
    <n v="5"/>
    <n v="69"/>
    <n v="0"/>
    <n v="1518.97"/>
    <n v="359.33"/>
    <m/>
    <n v="1492.9858702094405"/>
    <n v="362.73600214515886"/>
    <n v="0"/>
    <n v="257454.78221"/>
    <n v="60903.919689999995"/>
    <n v="0"/>
    <n v="253050.65409940868"/>
    <n v="61481.213211589413"/>
  </r>
  <r>
    <s v="PROJETADO"/>
    <x v="0"/>
    <x v="1"/>
    <x v="0"/>
    <x v="0"/>
    <x v="1"/>
    <x v="0"/>
    <x v="2"/>
    <x v="11"/>
    <n v="0"/>
    <n v="0"/>
    <n v="12.361000000000001"/>
    <n v="12.361000000000001"/>
    <n v="12.361000000000001"/>
    <n v="12.361000000000001"/>
    <n v="0"/>
    <x v="1"/>
    <n v="0"/>
    <n v="0"/>
    <n v="5"/>
    <n v="69"/>
    <n v="0"/>
    <n v="1518.97"/>
    <n v="359.33"/>
    <m/>
    <n v="1492.9858702094405"/>
    <n v="362.73600214515886"/>
    <n v="0"/>
    <n v="18775.988170000001"/>
    <n v="4441.6781300000002"/>
    <n v="0"/>
    <n v="18454.798341658894"/>
    <n v="4483.7797225163085"/>
  </r>
  <r>
    <s v="Regular"/>
    <x v="0"/>
    <x v="1"/>
    <x v="2"/>
    <x v="0"/>
    <x v="1"/>
    <x v="0"/>
    <x v="0"/>
    <x v="0"/>
    <n v="0"/>
    <n v="0"/>
    <n v="22.125"/>
    <n v="22.125"/>
    <n v="22.125"/>
    <n v="22.125"/>
    <n v="0"/>
    <x v="1"/>
    <n v="0"/>
    <n v="0"/>
    <n v="18"/>
    <n v="73"/>
    <n v="0"/>
    <n v="73.19"/>
    <n v="211.71"/>
    <m/>
    <n v="117.83242038312405"/>
    <n v="222.99901551132911"/>
    <n v="0"/>
    <n v="1619.3287499999999"/>
    <n v="4684.0837499999998"/>
    <n v="0"/>
    <n v="2607.0423009766196"/>
    <n v="4933.8532181881565"/>
  </r>
  <r>
    <s v="Regular"/>
    <x v="0"/>
    <x v="1"/>
    <x v="2"/>
    <x v="0"/>
    <x v="1"/>
    <x v="0"/>
    <x v="0"/>
    <x v="1"/>
    <n v="0"/>
    <n v="0"/>
    <n v="25.553999999999998"/>
    <n v="25.553999999999998"/>
    <n v="25.553999999999998"/>
    <n v="25.553999999999998"/>
    <n v="0"/>
    <x v="1"/>
    <n v="0"/>
    <n v="0"/>
    <n v="18"/>
    <n v="73"/>
    <n v="0"/>
    <n v="73.19"/>
    <n v="211.71"/>
    <m/>
    <n v="117.83242038312405"/>
    <n v="222.99901551132911"/>
    <n v="0"/>
    <n v="1870.2972599999998"/>
    <n v="5410.0373399999999"/>
    <n v="0"/>
    <n v="3011.0896704703518"/>
    <n v="5698.5168423765035"/>
  </r>
  <r>
    <s v="Regular"/>
    <x v="0"/>
    <x v="1"/>
    <x v="2"/>
    <x v="0"/>
    <x v="1"/>
    <x v="0"/>
    <x v="0"/>
    <x v="2"/>
    <n v="0"/>
    <n v="0"/>
    <n v="30.795999999999999"/>
    <n v="30.795999999999999"/>
    <n v="30.795999999999999"/>
    <n v="30.795999999999999"/>
    <n v="0"/>
    <x v="1"/>
    <n v="0"/>
    <n v="0"/>
    <n v="18"/>
    <n v="73"/>
    <n v="0"/>
    <n v="73.19"/>
    <n v="211.71"/>
    <m/>
    <n v="117.83242038312405"/>
    <n v="222.99901551132911"/>
    <n v="0"/>
    <n v="2253.9592399999997"/>
    <n v="6519.8211600000004"/>
    <n v="0"/>
    <n v="3628.7672181186881"/>
    <n v="6867.4776816868907"/>
  </r>
  <r>
    <s v="Regular"/>
    <x v="0"/>
    <x v="1"/>
    <x v="2"/>
    <x v="0"/>
    <x v="1"/>
    <x v="0"/>
    <x v="0"/>
    <x v="3"/>
    <n v="0"/>
    <n v="0"/>
    <n v="35.530999999999999"/>
    <n v="35.530999999999999"/>
    <n v="35.530999999999999"/>
    <n v="35.530999999999999"/>
    <n v="0"/>
    <x v="1"/>
    <n v="0"/>
    <n v="0"/>
    <n v="18"/>
    <n v="73"/>
    <n v="0"/>
    <n v="73.19"/>
    <n v="211.71"/>
    <m/>
    <n v="117.83242038312405"/>
    <n v="222.99901551132911"/>
    <n v="0"/>
    <n v="2600.5138899999997"/>
    <n v="7522.2680099999998"/>
    <n v="0"/>
    <n v="4186.7037286327804"/>
    <n v="7923.3780201330346"/>
  </r>
  <r>
    <s v="Regular"/>
    <x v="0"/>
    <x v="1"/>
    <x v="2"/>
    <x v="0"/>
    <x v="1"/>
    <x v="0"/>
    <x v="0"/>
    <x v="4"/>
    <n v="0"/>
    <n v="0"/>
    <n v="5.016"/>
    <n v="5.016"/>
    <n v="5.016"/>
    <n v="5.016"/>
    <n v="0"/>
    <x v="1"/>
    <n v="0"/>
    <n v="0"/>
    <n v="18"/>
    <n v="73"/>
    <n v="0"/>
    <n v="73.19"/>
    <n v="211.71"/>
    <m/>
    <n v="117.83242038312405"/>
    <n v="222.99901551132911"/>
    <n v="0"/>
    <n v="367.12103999999999"/>
    <n v="1061.9373600000001"/>
    <n v="0"/>
    <n v="591.04742064175025"/>
    <n v="1118.5630618048267"/>
  </r>
  <r>
    <s v="Sistema de Compensação"/>
    <x v="0"/>
    <x v="1"/>
    <x v="2"/>
    <x v="0"/>
    <x v="1"/>
    <x v="0"/>
    <x v="0"/>
    <x v="4"/>
    <n v="0"/>
    <n v="0"/>
    <n v="24.227"/>
    <n v="24.227"/>
    <n v="24.227"/>
    <n v="24.227"/>
    <n v="0"/>
    <x v="1"/>
    <n v="0"/>
    <n v="0"/>
    <n v="18"/>
    <n v="73"/>
    <n v="0"/>
    <n v="73.19"/>
    <n v="211.71"/>
    <m/>
    <n v="117.83242038312405"/>
    <n v="222.99901551132911"/>
    <n v="0"/>
    <n v="1773.1741299999999"/>
    <n v="5129.0981700000002"/>
    <n v="0"/>
    <n v="2854.7260486219461"/>
    <n v="5402.5971487929701"/>
  </r>
  <r>
    <s v="Regular"/>
    <x v="0"/>
    <x v="1"/>
    <x v="2"/>
    <x v="0"/>
    <x v="1"/>
    <x v="0"/>
    <x v="0"/>
    <x v="5"/>
    <n v="0"/>
    <n v="0"/>
    <n v="6.3380000000000001"/>
    <n v="6.3380000000000001"/>
    <n v="6.3380000000000001"/>
    <n v="6.3380000000000001"/>
    <n v="0"/>
    <x v="1"/>
    <n v="0"/>
    <n v="0"/>
    <n v="18"/>
    <n v="73"/>
    <n v="0"/>
    <n v="73.19"/>
    <n v="211.71"/>
    <m/>
    <n v="117.83242038312405"/>
    <n v="222.99901551132911"/>
    <n v="0"/>
    <n v="463.87822"/>
    <n v="1341.81798"/>
    <n v="0"/>
    <n v="746.82188038824017"/>
    <n v="1413.367760310804"/>
  </r>
  <r>
    <s v="Sistema de Compensação"/>
    <x v="0"/>
    <x v="1"/>
    <x v="2"/>
    <x v="0"/>
    <x v="1"/>
    <x v="0"/>
    <x v="0"/>
    <x v="5"/>
    <n v="0"/>
    <n v="0"/>
    <n v="27.763999999999999"/>
    <n v="27.763999999999999"/>
    <n v="27.763999999999999"/>
    <n v="27.763999999999999"/>
    <n v="0"/>
    <x v="1"/>
    <n v="0"/>
    <n v="0"/>
    <n v="18"/>
    <n v="73"/>
    <n v="0"/>
    <n v="73.19"/>
    <n v="211.71"/>
    <m/>
    <n v="117.83242038312405"/>
    <n v="222.99901551132911"/>
    <n v="0"/>
    <n v="2032.0471599999998"/>
    <n v="5877.91644"/>
    <n v="0"/>
    <n v="3271.4993195170559"/>
    <n v="6191.3446666565414"/>
  </r>
  <r>
    <s v="Regular"/>
    <x v="0"/>
    <x v="1"/>
    <x v="2"/>
    <x v="0"/>
    <x v="1"/>
    <x v="0"/>
    <x v="0"/>
    <x v="6"/>
    <n v="0"/>
    <n v="0"/>
    <n v="6.3890000000000002"/>
    <n v="6.3890000000000002"/>
    <n v="6.3890000000000002"/>
    <n v="6.3890000000000002"/>
    <n v="0"/>
    <x v="1"/>
    <n v="0"/>
    <n v="0"/>
    <n v="18"/>
    <n v="73"/>
    <n v="0"/>
    <n v="73.19"/>
    <n v="211.71"/>
    <m/>
    <n v="117.83242038312405"/>
    <n v="222.99901551132911"/>
    <n v="0"/>
    <n v="467.61090999999999"/>
    <n v="1352.6151900000002"/>
    <n v="0"/>
    <n v="752.83133382777953"/>
    <n v="1424.7407101018816"/>
  </r>
  <r>
    <s v="Sistema de Compensação"/>
    <x v="0"/>
    <x v="1"/>
    <x v="2"/>
    <x v="0"/>
    <x v="1"/>
    <x v="0"/>
    <x v="0"/>
    <x v="6"/>
    <n v="0"/>
    <n v="0"/>
    <n v="24.472000000000001"/>
    <n v="24.472000000000001"/>
    <n v="24.472000000000001"/>
    <n v="24.472000000000001"/>
    <n v="0"/>
    <x v="1"/>
    <n v="0"/>
    <n v="0"/>
    <n v="18"/>
    <n v="73"/>
    <n v="0"/>
    <n v="73.19"/>
    <n v="211.71"/>
    <m/>
    <n v="117.83242038312405"/>
    <n v="222.99901551132911"/>
    <n v="0"/>
    <n v="1791.1056800000001"/>
    <n v="5180.9671200000003"/>
    <n v="0"/>
    <n v="2883.594991615812"/>
    <n v="5457.2319075932464"/>
  </r>
  <r>
    <s v="Regular"/>
    <x v="0"/>
    <x v="1"/>
    <x v="2"/>
    <x v="0"/>
    <x v="1"/>
    <x v="0"/>
    <x v="0"/>
    <x v="7"/>
    <n v="0"/>
    <n v="0"/>
    <n v="6.0259999999999998"/>
    <n v="6.0259999999999998"/>
    <n v="6.0259999999999998"/>
    <n v="6.0259999999999998"/>
    <n v="0"/>
    <x v="1"/>
    <n v="0"/>
    <n v="0"/>
    <n v="18"/>
    <n v="73"/>
    <n v="0"/>
    <n v="73.19"/>
    <n v="211.71"/>
    <m/>
    <n v="117.83242038312405"/>
    <n v="222.99901551132911"/>
    <n v="0"/>
    <n v="441.04293999999999"/>
    <n v="1275.7644600000001"/>
    <n v="0"/>
    <n v="710.05816522870543"/>
    <n v="1343.7920674712691"/>
  </r>
  <r>
    <s v="Sistema de Compensação"/>
    <x v="0"/>
    <x v="1"/>
    <x v="2"/>
    <x v="0"/>
    <x v="1"/>
    <x v="0"/>
    <x v="0"/>
    <x v="7"/>
    <n v="0"/>
    <n v="0"/>
    <n v="25.759"/>
    <n v="25.759"/>
    <n v="25.759"/>
    <n v="25.759"/>
    <n v="0"/>
    <x v="1"/>
    <n v="0"/>
    <n v="0"/>
    <n v="18"/>
    <n v="73"/>
    <n v="0"/>
    <n v="73.19"/>
    <n v="211.71"/>
    <m/>
    <n v="117.83242038312405"/>
    <n v="222.99901551132911"/>
    <n v="0"/>
    <n v="1885.3012099999999"/>
    <n v="5453.4378900000002"/>
    <n v="0"/>
    <n v="3035.2453166488922"/>
    <n v="5744.2316405563261"/>
  </r>
  <r>
    <s v="Regular"/>
    <x v="0"/>
    <x v="1"/>
    <x v="2"/>
    <x v="0"/>
    <x v="1"/>
    <x v="0"/>
    <x v="0"/>
    <x v="8"/>
    <n v="0"/>
    <n v="0"/>
    <n v="4.91"/>
    <n v="4.91"/>
    <n v="4.91"/>
    <n v="4.91"/>
    <n v="0"/>
    <x v="1"/>
    <n v="0"/>
    <n v="0"/>
    <n v="18"/>
    <n v="73"/>
    <n v="0"/>
    <n v="73.19"/>
    <n v="211.71"/>
    <m/>
    <n v="117.83242038312405"/>
    <n v="222.99901551132911"/>
    <n v="0"/>
    <n v="359.36290000000002"/>
    <n v="1039.4961000000001"/>
    <n v="0"/>
    <n v="578.5571840811391"/>
    <n v="1094.9251661606258"/>
  </r>
  <r>
    <s v="Sistema de Compensação"/>
    <x v="0"/>
    <x v="1"/>
    <x v="2"/>
    <x v="0"/>
    <x v="1"/>
    <x v="0"/>
    <x v="0"/>
    <x v="8"/>
    <n v="0"/>
    <n v="0"/>
    <n v="17"/>
    <n v="17"/>
    <n v="17"/>
    <n v="17"/>
    <n v="0"/>
    <x v="1"/>
    <n v="0"/>
    <n v="0"/>
    <n v="18"/>
    <n v="73"/>
    <n v="0"/>
    <n v="73.19"/>
    <n v="211.71"/>
    <m/>
    <n v="117.83242038312405"/>
    <n v="222.99901551132911"/>
    <n v="0"/>
    <n v="1244.23"/>
    <n v="3599.07"/>
    <n v="0"/>
    <n v="2003.1511465131089"/>
    <n v="3790.9832636925948"/>
  </r>
  <r>
    <s v="Regular"/>
    <x v="0"/>
    <x v="1"/>
    <x v="2"/>
    <x v="0"/>
    <x v="1"/>
    <x v="0"/>
    <x v="0"/>
    <x v="9"/>
    <n v="0"/>
    <n v="0"/>
    <n v="4.8129999999999997"/>
    <n v="4.8129999999999997"/>
    <n v="4.8129999999999997"/>
    <n v="4.8129999999999997"/>
    <n v="0"/>
    <x v="1"/>
    <n v="0"/>
    <n v="0"/>
    <n v="18"/>
    <n v="73"/>
    <n v="0"/>
    <n v="73.19"/>
    <n v="211.71"/>
    <m/>
    <n v="117.83242038312405"/>
    <n v="222.99901551132911"/>
    <n v="0"/>
    <n v="352.26346999999998"/>
    <n v="1018.96023"/>
    <n v="0"/>
    <n v="567.12743930397596"/>
    <n v="1073.2942616560269"/>
  </r>
  <r>
    <s v="Sistema de Compensação"/>
    <x v="0"/>
    <x v="1"/>
    <x v="2"/>
    <x v="0"/>
    <x v="1"/>
    <x v="0"/>
    <x v="0"/>
    <x v="9"/>
    <n v="0"/>
    <n v="0"/>
    <n v="13.731999999999999"/>
    <n v="13.731999999999999"/>
    <n v="13.731999999999999"/>
    <n v="13.731999999999999"/>
    <n v="0"/>
    <x v="1"/>
    <n v="0"/>
    <n v="0"/>
    <n v="18"/>
    <n v="73"/>
    <n v="0"/>
    <n v="73.19"/>
    <n v="211.71"/>
    <m/>
    <n v="117.83242038312405"/>
    <n v="222.99901551132911"/>
    <n v="0"/>
    <n v="1005.0450799999999"/>
    <n v="2907.20172"/>
    <n v="0"/>
    <n v="1618.0747967010593"/>
    <n v="3062.2224810015709"/>
  </r>
  <r>
    <s v="Regular"/>
    <x v="0"/>
    <x v="1"/>
    <x v="2"/>
    <x v="0"/>
    <x v="1"/>
    <x v="0"/>
    <x v="0"/>
    <x v="10"/>
    <n v="0"/>
    <n v="0"/>
    <n v="5.4690000000000003"/>
    <n v="5.4690000000000003"/>
    <n v="5.4690000000000003"/>
    <n v="5.4690000000000003"/>
    <n v="0"/>
    <x v="1"/>
    <n v="0"/>
    <n v="0"/>
    <n v="18"/>
    <n v="73"/>
    <n v="0"/>
    <n v="73.19"/>
    <n v="211.71"/>
    <m/>
    <n v="117.83242038312405"/>
    <n v="222.99901551132911"/>
    <n v="0"/>
    <n v="400.27611000000002"/>
    <n v="1157.8419900000001"/>
    <n v="0"/>
    <n v="644.4255070753054"/>
    <n v="1219.581615831459"/>
  </r>
  <r>
    <s v="Sistema de Compensação"/>
    <x v="0"/>
    <x v="1"/>
    <x v="2"/>
    <x v="0"/>
    <x v="1"/>
    <x v="0"/>
    <x v="0"/>
    <x v="10"/>
    <n v="0"/>
    <n v="0"/>
    <n v="11.313000000000001"/>
    <n v="11.313000000000001"/>
    <n v="11.313000000000001"/>
    <n v="11.313000000000001"/>
    <n v="0"/>
    <x v="1"/>
    <n v="0"/>
    <n v="0"/>
    <n v="18"/>
    <n v="73"/>
    <n v="0"/>
    <n v="73.19"/>
    <n v="211.71"/>
    <m/>
    <n v="117.83242038312405"/>
    <n v="222.99901551132911"/>
    <n v="0"/>
    <n v="827.99847"/>
    <n v="2395.0752300000004"/>
    <n v="0"/>
    <n v="1333.0381717942823"/>
    <n v="2522.7878624796663"/>
  </r>
  <r>
    <s v="PROJETADO"/>
    <x v="0"/>
    <x v="1"/>
    <x v="2"/>
    <x v="0"/>
    <x v="1"/>
    <x v="0"/>
    <x v="0"/>
    <x v="11"/>
    <n v="0"/>
    <n v="0"/>
    <n v="5.4690000000000003"/>
    <n v="5.4690000000000003"/>
    <n v="5.4690000000000003"/>
    <n v="5.4690000000000003"/>
    <n v="0"/>
    <x v="1"/>
    <n v="0"/>
    <n v="0"/>
    <n v="18"/>
    <n v="73"/>
    <n v="0"/>
    <n v="73.19"/>
    <n v="211.71"/>
    <m/>
    <n v="117.83242038312405"/>
    <n v="222.99901551132911"/>
    <n v="0"/>
    <n v="400.27611000000002"/>
    <n v="1157.8419900000001"/>
    <n v="0"/>
    <n v="644.4255070753054"/>
    <n v="1219.581615831459"/>
  </r>
  <r>
    <s v="PROJETADO"/>
    <x v="0"/>
    <x v="1"/>
    <x v="2"/>
    <x v="0"/>
    <x v="1"/>
    <x v="0"/>
    <x v="0"/>
    <x v="11"/>
    <n v="0"/>
    <n v="0"/>
    <n v="11.313000000000001"/>
    <n v="11.313000000000001"/>
    <n v="11.313000000000001"/>
    <n v="11.313000000000001"/>
    <n v="0"/>
    <x v="1"/>
    <n v="0"/>
    <n v="0"/>
    <n v="18"/>
    <n v="73"/>
    <n v="0"/>
    <n v="73.19"/>
    <n v="211.71"/>
    <m/>
    <n v="117.83242038312405"/>
    <n v="222.99901551132911"/>
    <n v="0"/>
    <n v="827.99847"/>
    <n v="2395.0752300000004"/>
    <n v="0"/>
    <n v="1333.0381717942823"/>
    <n v="2522.7878624796663"/>
  </r>
  <r>
    <s v="Regular"/>
    <x v="0"/>
    <x v="1"/>
    <x v="2"/>
    <x v="0"/>
    <x v="1"/>
    <x v="0"/>
    <x v="1"/>
    <x v="0"/>
    <n v="227"/>
    <n v="227"/>
    <n v="0"/>
    <n v="0"/>
    <n v="0"/>
    <n v="0"/>
    <n v="2"/>
    <x v="1"/>
    <n v="0"/>
    <n v="24"/>
    <n v="0"/>
    <n v="0"/>
    <n v="22.9"/>
    <n v="0"/>
    <n v="0"/>
    <n v="21.733731888847863"/>
    <m/>
    <m/>
    <n v="5198.2999999999993"/>
    <n v="0"/>
    <n v="0"/>
    <n v="4933.5571387684649"/>
    <n v="0"/>
    <n v="0"/>
  </r>
  <r>
    <s v="Regular"/>
    <x v="0"/>
    <x v="1"/>
    <x v="2"/>
    <x v="0"/>
    <x v="1"/>
    <x v="0"/>
    <x v="1"/>
    <x v="1"/>
    <n v="209"/>
    <n v="209"/>
    <n v="0"/>
    <n v="0"/>
    <n v="0"/>
    <n v="0"/>
    <n v="2"/>
    <x v="1"/>
    <n v="0"/>
    <n v="24"/>
    <n v="0"/>
    <n v="0"/>
    <n v="22.9"/>
    <n v="0"/>
    <n v="0"/>
    <n v="21.733731888847863"/>
    <m/>
    <m/>
    <n v="4786.0999999999995"/>
    <n v="0"/>
    <n v="0"/>
    <n v="4542.3499647692033"/>
    <n v="0"/>
    <n v="0"/>
  </r>
  <r>
    <s v="Regular"/>
    <x v="0"/>
    <x v="1"/>
    <x v="2"/>
    <x v="0"/>
    <x v="1"/>
    <x v="0"/>
    <x v="1"/>
    <x v="2"/>
    <n v="217"/>
    <n v="217"/>
    <n v="0"/>
    <n v="0"/>
    <n v="0"/>
    <n v="0"/>
    <n v="2"/>
    <x v="1"/>
    <n v="0"/>
    <n v="24"/>
    <n v="0"/>
    <n v="0"/>
    <n v="22.9"/>
    <n v="0"/>
    <n v="0"/>
    <n v="21.733731888847863"/>
    <m/>
    <m/>
    <n v="4969.2999999999993"/>
    <n v="0"/>
    <n v="0"/>
    <n v="4716.2198198799861"/>
    <n v="0"/>
    <n v="0"/>
  </r>
  <r>
    <s v="Regular"/>
    <x v="0"/>
    <x v="1"/>
    <x v="2"/>
    <x v="0"/>
    <x v="1"/>
    <x v="0"/>
    <x v="1"/>
    <x v="3"/>
    <n v="255"/>
    <n v="255"/>
    <n v="0"/>
    <n v="0"/>
    <n v="0"/>
    <n v="0"/>
    <n v="2"/>
    <x v="1"/>
    <n v="0"/>
    <n v="24"/>
    <n v="0"/>
    <n v="0"/>
    <n v="22.9"/>
    <n v="0"/>
    <n v="0"/>
    <n v="21.733731888847863"/>
    <m/>
    <m/>
    <n v="5839.5"/>
    <n v="0"/>
    <n v="0"/>
    <n v="5542.1016316562054"/>
    <n v="0"/>
    <n v="0"/>
  </r>
  <r>
    <s v="Regular"/>
    <x v="0"/>
    <x v="1"/>
    <x v="2"/>
    <x v="0"/>
    <x v="1"/>
    <x v="0"/>
    <x v="1"/>
    <x v="4"/>
    <n v="60"/>
    <n v="60"/>
    <n v="0"/>
    <n v="0"/>
    <n v="0"/>
    <n v="0"/>
    <n v="1"/>
    <x v="1"/>
    <n v="0"/>
    <n v="24"/>
    <n v="0"/>
    <n v="0"/>
    <n v="22.9"/>
    <n v="0"/>
    <n v="0"/>
    <n v="21.733731888847863"/>
    <m/>
    <m/>
    <n v="1374"/>
    <n v="0"/>
    <n v="0"/>
    <n v="1304.0239133308719"/>
    <n v="0"/>
    <n v="0"/>
  </r>
  <r>
    <s v="Sistema de Compensação"/>
    <x v="0"/>
    <x v="1"/>
    <x v="2"/>
    <x v="0"/>
    <x v="1"/>
    <x v="0"/>
    <x v="1"/>
    <x v="4"/>
    <n v="175"/>
    <n v="175"/>
    <n v="0"/>
    <n v="0"/>
    <n v="0"/>
    <n v="0"/>
    <n v="1"/>
    <x v="1"/>
    <n v="0"/>
    <n v="24"/>
    <n v="0"/>
    <n v="0"/>
    <n v="22.9"/>
    <n v="0"/>
    <n v="0"/>
    <n v="21.733731888847863"/>
    <m/>
    <m/>
    <n v="4007.4999999999995"/>
    <n v="0"/>
    <n v="0"/>
    <n v="3803.4030805483762"/>
    <n v="0"/>
    <n v="0"/>
  </r>
  <r>
    <s v="Regular"/>
    <x v="0"/>
    <x v="1"/>
    <x v="2"/>
    <x v="0"/>
    <x v="1"/>
    <x v="0"/>
    <x v="1"/>
    <x v="5"/>
    <n v="60"/>
    <n v="60"/>
    <n v="0"/>
    <n v="0"/>
    <n v="0"/>
    <n v="0"/>
    <n v="1"/>
    <x v="1"/>
    <n v="0"/>
    <n v="24"/>
    <n v="0"/>
    <n v="0"/>
    <n v="22.9"/>
    <n v="0"/>
    <n v="0"/>
    <n v="21.733731888847863"/>
    <m/>
    <m/>
    <n v="1374"/>
    <n v="0"/>
    <n v="0"/>
    <n v="1304.0239133308719"/>
    <n v="0"/>
    <n v="0"/>
  </r>
  <r>
    <s v="Sistema de Compensação"/>
    <x v="0"/>
    <x v="1"/>
    <x v="2"/>
    <x v="0"/>
    <x v="1"/>
    <x v="0"/>
    <x v="1"/>
    <x v="5"/>
    <n v="188"/>
    <n v="188"/>
    <n v="0"/>
    <n v="0"/>
    <n v="0"/>
    <n v="0"/>
    <n v="1"/>
    <x v="1"/>
    <n v="0"/>
    <n v="24"/>
    <n v="0"/>
    <n v="0"/>
    <n v="22.9"/>
    <n v="0"/>
    <n v="0"/>
    <n v="21.733731888847863"/>
    <m/>
    <m/>
    <n v="4305.2"/>
    <n v="0"/>
    <n v="0"/>
    <n v="4085.9415951033984"/>
    <n v="0"/>
    <n v="0"/>
  </r>
  <r>
    <s v="Regular"/>
    <x v="0"/>
    <x v="1"/>
    <x v="2"/>
    <x v="0"/>
    <x v="1"/>
    <x v="0"/>
    <x v="1"/>
    <x v="6"/>
    <n v="60"/>
    <n v="60"/>
    <n v="0"/>
    <n v="0"/>
    <n v="0"/>
    <n v="0"/>
    <n v="1"/>
    <x v="1"/>
    <n v="0"/>
    <n v="24"/>
    <n v="0"/>
    <n v="0"/>
    <n v="22.9"/>
    <n v="0"/>
    <n v="0"/>
    <n v="21.733731888847863"/>
    <m/>
    <m/>
    <n v="1374"/>
    <n v="0"/>
    <n v="0"/>
    <n v="1304.0239133308719"/>
    <n v="0"/>
    <n v="0"/>
  </r>
  <r>
    <s v="Sistema de Compensação"/>
    <x v="0"/>
    <x v="1"/>
    <x v="2"/>
    <x v="0"/>
    <x v="1"/>
    <x v="0"/>
    <x v="1"/>
    <x v="6"/>
    <n v="184"/>
    <n v="184"/>
    <n v="0"/>
    <n v="0"/>
    <n v="0"/>
    <n v="0"/>
    <n v="1"/>
    <x v="1"/>
    <n v="0"/>
    <n v="24"/>
    <n v="0"/>
    <n v="0"/>
    <n v="22.9"/>
    <n v="0"/>
    <n v="0"/>
    <n v="21.733731888847863"/>
    <m/>
    <m/>
    <n v="4213.5999999999995"/>
    <n v="0"/>
    <n v="0"/>
    <n v="3999.006667548007"/>
    <n v="0"/>
    <n v="0"/>
  </r>
  <r>
    <s v="Regular"/>
    <x v="0"/>
    <x v="1"/>
    <x v="2"/>
    <x v="0"/>
    <x v="1"/>
    <x v="0"/>
    <x v="1"/>
    <x v="7"/>
    <n v="60"/>
    <n v="60"/>
    <n v="0"/>
    <n v="0"/>
    <n v="0"/>
    <n v="0"/>
    <n v="1"/>
    <x v="1"/>
    <n v="0"/>
    <n v="24"/>
    <n v="0"/>
    <n v="0"/>
    <n v="22.9"/>
    <n v="0"/>
    <n v="0"/>
    <n v="21.733731888847863"/>
    <m/>
    <m/>
    <n v="1374"/>
    <n v="0"/>
    <n v="0"/>
    <n v="1304.0239133308719"/>
    <n v="0"/>
    <n v="0"/>
  </r>
  <r>
    <s v="Sistema de Compensação"/>
    <x v="0"/>
    <x v="1"/>
    <x v="2"/>
    <x v="0"/>
    <x v="1"/>
    <x v="0"/>
    <x v="1"/>
    <x v="7"/>
    <n v="220"/>
    <n v="220"/>
    <n v="0"/>
    <n v="0"/>
    <n v="0"/>
    <n v="0"/>
    <n v="1"/>
    <x v="1"/>
    <n v="0"/>
    <n v="24"/>
    <n v="0"/>
    <n v="0"/>
    <n v="22.9"/>
    <n v="0"/>
    <n v="0"/>
    <n v="21.733731888847863"/>
    <m/>
    <m/>
    <n v="5038"/>
    <n v="0"/>
    <n v="0"/>
    <n v="4781.4210155465298"/>
    <n v="0"/>
    <n v="0"/>
  </r>
  <r>
    <s v="Regular"/>
    <x v="0"/>
    <x v="1"/>
    <x v="2"/>
    <x v="0"/>
    <x v="1"/>
    <x v="0"/>
    <x v="1"/>
    <x v="8"/>
    <n v="60"/>
    <n v="60"/>
    <n v="0"/>
    <n v="0"/>
    <n v="0"/>
    <n v="0"/>
    <n v="1"/>
    <x v="1"/>
    <n v="0"/>
    <n v="24"/>
    <n v="0"/>
    <n v="0"/>
    <n v="22.9"/>
    <n v="0"/>
    <n v="0"/>
    <n v="21.733731888847863"/>
    <m/>
    <m/>
    <n v="1374"/>
    <n v="0"/>
    <n v="0"/>
    <n v="1304.0239133308719"/>
    <n v="0"/>
    <n v="0"/>
  </r>
  <r>
    <s v="Sistema de Compensação"/>
    <x v="0"/>
    <x v="1"/>
    <x v="2"/>
    <x v="0"/>
    <x v="1"/>
    <x v="0"/>
    <x v="1"/>
    <x v="8"/>
    <n v="183"/>
    <n v="183"/>
    <n v="0"/>
    <n v="0"/>
    <n v="0"/>
    <n v="0"/>
    <n v="1"/>
    <x v="1"/>
    <n v="0"/>
    <n v="24"/>
    <n v="0"/>
    <n v="0"/>
    <n v="22.9"/>
    <n v="0"/>
    <n v="0"/>
    <n v="21.733731888847863"/>
    <m/>
    <m/>
    <n v="4190.7"/>
    <n v="0"/>
    <n v="0"/>
    <n v="3977.272935659159"/>
    <n v="0"/>
    <n v="0"/>
  </r>
  <r>
    <s v="Regular"/>
    <x v="0"/>
    <x v="1"/>
    <x v="2"/>
    <x v="0"/>
    <x v="1"/>
    <x v="0"/>
    <x v="1"/>
    <x v="9"/>
    <n v="60"/>
    <n v="60"/>
    <n v="0"/>
    <n v="0"/>
    <n v="0"/>
    <n v="0"/>
    <n v="1"/>
    <x v="1"/>
    <n v="0"/>
    <n v="24"/>
    <n v="0"/>
    <n v="0"/>
    <n v="22.9"/>
    <n v="0"/>
    <n v="0"/>
    <n v="21.733731888847863"/>
    <m/>
    <m/>
    <n v="1374"/>
    <n v="0"/>
    <n v="0"/>
    <n v="1304.0239133308719"/>
    <n v="0"/>
    <n v="0"/>
  </r>
  <r>
    <s v="Sistema de Compensação"/>
    <x v="0"/>
    <x v="1"/>
    <x v="2"/>
    <x v="0"/>
    <x v="1"/>
    <x v="0"/>
    <x v="1"/>
    <x v="9"/>
    <n v="100"/>
    <n v="100"/>
    <n v="0"/>
    <n v="0"/>
    <n v="0"/>
    <n v="0"/>
    <n v="1"/>
    <x v="1"/>
    <n v="0"/>
    <n v="24"/>
    <n v="0"/>
    <n v="0"/>
    <n v="22.9"/>
    <n v="0"/>
    <n v="0"/>
    <n v="21.733731888847863"/>
    <m/>
    <m/>
    <n v="2290"/>
    <n v="0"/>
    <n v="0"/>
    <n v="2173.3731888847865"/>
    <n v="0"/>
    <n v="0"/>
  </r>
  <r>
    <s v="Regular"/>
    <x v="0"/>
    <x v="1"/>
    <x v="2"/>
    <x v="0"/>
    <x v="1"/>
    <x v="0"/>
    <x v="1"/>
    <x v="10"/>
    <n v="60"/>
    <n v="60"/>
    <n v="0"/>
    <n v="0"/>
    <n v="0"/>
    <n v="0"/>
    <n v="1"/>
    <x v="1"/>
    <n v="0"/>
    <n v="24"/>
    <n v="0"/>
    <n v="0"/>
    <n v="22.9"/>
    <n v="0"/>
    <n v="0"/>
    <n v="21.733731888847863"/>
    <m/>
    <m/>
    <n v="1374"/>
    <n v="0"/>
    <n v="0"/>
    <n v="1304.0239133308719"/>
    <n v="0"/>
    <n v="0"/>
  </r>
  <r>
    <s v="Sistema de Compensação"/>
    <x v="0"/>
    <x v="1"/>
    <x v="2"/>
    <x v="0"/>
    <x v="1"/>
    <x v="0"/>
    <x v="1"/>
    <x v="10"/>
    <n v="100"/>
    <n v="100"/>
    <n v="0"/>
    <n v="0"/>
    <n v="0"/>
    <n v="0"/>
    <n v="1"/>
    <x v="1"/>
    <n v="0"/>
    <n v="24"/>
    <n v="0"/>
    <n v="0"/>
    <n v="22.9"/>
    <n v="0"/>
    <n v="0"/>
    <n v="21.733731888847863"/>
    <m/>
    <m/>
    <n v="2290"/>
    <n v="0"/>
    <n v="0"/>
    <n v="2173.3731888847865"/>
    <n v="0"/>
    <n v="0"/>
  </r>
  <r>
    <s v="PROJETADO"/>
    <x v="0"/>
    <x v="1"/>
    <x v="2"/>
    <x v="0"/>
    <x v="1"/>
    <x v="0"/>
    <x v="1"/>
    <x v="11"/>
    <n v="60"/>
    <n v="60"/>
    <n v="0"/>
    <n v="0"/>
    <n v="0"/>
    <n v="0"/>
    <n v="1"/>
    <x v="1"/>
    <n v="0"/>
    <n v="24"/>
    <n v="0"/>
    <n v="0"/>
    <n v="22.9"/>
    <n v="0"/>
    <n v="0"/>
    <n v="21.733731888847863"/>
    <m/>
    <m/>
    <n v="1374"/>
    <n v="0"/>
    <n v="0"/>
    <n v="1304.0239133308719"/>
    <n v="0"/>
    <n v="0"/>
  </r>
  <r>
    <s v="PROJETADO"/>
    <x v="0"/>
    <x v="1"/>
    <x v="2"/>
    <x v="0"/>
    <x v="1"/>
    <x v="0"/>
    <x v="1"/>
    <x v="11"/>
    <n v="100"/>
    <n v="100"/>
    <n v="0"/>
    <n v="0"/>
    <n v="0"/>
    <n v="0"/>
    <n v="1"/>
    <x v="1"/>
    <n v="0"/>
    <n v="24"/>
    <n v="0"/>
    <n v="0"/>
    <n v="22.9"/>
    <n v="0"/>
    <n v="0"/>
    <n v="21.733731888847863"/>
    <m/>
    <m/>
    <n v="2290"/>
    <n v="0"/>
    <n v="0"/>
    <n v="2173.3731888847865"/>
    <n v="0"/>
    <n v="0"/>
  </r>
  <r>
    <s v="Regular"/>
    <x v="0"/>
    <x v="1"/>
    <x v="2"/>
    <x v="0"/>
    <x v="1"/>
    <x v="0"/>
    <x v="2"/>
    <x v="0"/>
    <n v="0"/>
    <n v="0"/>
    <n v="1.669"/>
    <n v="1.669"/>
    <n v="1.669"/>
    <n v="1.669"/>
    <n v="0"/>
    <x v="1"/>
    <n v="0"/>
    <n v="0"/>
    <n v="5"/>
    <n v="69"/>
    <n v="0"/>
    <n v="1518.97"/>
    <n v="359.33"/>
    <m/>
    <n v="1492.9858702094405"/>
    <n v="362.73600214515886"/>
    <n v="0"/>
    <n v="2535.16093"/>
    <n v="599.72176999999999"/>
    <n v="0"/>
    <n v="2491.7934173795561"/>
    <n v="605.40638758027012"/>
  </r>
  <r>
    <s v="Regular"/>
    <x v="0"/>
    <x v="1"/>
    <x v="2"/>
    <x v="0"/>
    <x v="1"/>
    <x v="0"/>
    <x v="2"/>
    <x v="1"/>
    <n v="0"/>
    <n v="0"/>
    <n v="1.77"/>
    <n v="1.77"/>
    <n v="1.77"/>
    <n v="1.77"/>
    <n v="0"/>
    <x v="1"/>
    <n v="0"/>
    <n v="0"/>
    <n v="5"/>
    <n v="69"/>
    <n v="0"/>
    <n v="1518.97"/>
    <n v="359.33"/>
    <m/>
    <n v="1492.9858702094405"/>
    <n v="362.73600214515886"/>
    <n v="0"/>
    <n v="2688.5769"/>
    <n v="636.01409999999998"/>
    <n v="0"/>
    <n v="2642.5849902707096"/>
    <n v="642.04272379693123"/>
  </r>
  <r>
    <s v="Regular"/>
    <x v="0"/>
    <x v="1"/>
    <x v="2"/>
    <x v="0"/>
    <x v="1"/>
    <x v="0"/>
    <x v="2"/>
    <x v="2"/>
    <n v="0"/>
    <n v="0"/>
    <n v="1.5740000000000001"/>
    <n v="1.5740000000000001"/>
    <n v="1.5740000000000001"/>
    <n v="1.5740000000000001"/>
    <n v="0"/>
    <x v="1"/>
    <n v="0"/>
    <n v="0"/>
    <n v="5"/>
    <n v="69"/>
    <n v="0"/>
    <n v="1518.97"/>
    <n v="359.33"/>
    <m/>
    <n v="1492.9858702094405"/>
    <n v="362.73600214515886"/>
    <n v="0"/>
    <n v="2390.85878"/>
    <n v="565.58542"/>
    <n v="0"/>
    <n v="2349.9597597096595"/>
    <n v="570.94646737648009"/>
  </r>
  <r>
    <s v="Regular"/>
    <x v="0"/>
    <x v="1"/>
    <x v="2"/>
    <x v="0"/>
    <x v="1"/>
    <x v="0"/>
    <x v="2"/>
    <x v="3"/>
    <n v="0"/>
    <n v="0"/>
    <n v="1.851"/>
    <n v="1.851"/>
    <n v="1.851"/>
    <n v="1.851"/>
    <n v="0"/>
    <x v="1"/>
    <n v="0"/>
    <n v="0"/>
    <n v="5"/>
    <n v="69"/>
    <n v="0"/>
    <n v="1518.97"/>
    <n v="359.33"/>
    <m/>
    <n v="1492.9858702094405"/>
    <n v="362.73600214515886"/>
    <n v="0"/>
    <n v="2811.6134700000002"/>
    <n v="665.11982999999998"/>
    <n v="0"/>
    <n v="2763.5168457576742"/>
    <n v="671.42433997068906"/>
  </r>
  <r>
    <s v="Regular"/>
    <x v="0"/>
    <x v="1"/>
    <x v="2"/>
    <x v="0"/>
    <x v="1"/>
    <x v="0"/>
    <x v="2"/>
    <x v="4"/>
    <n v="0"/>
    <n v="0"/>
    <n v="0.56999999999999995"/>
    <n v="0.56999999999999995"/>
    <n v="0.56999999999999995"/>
    <n v="0.56999999999999995"/>
    <n v="0"/>
    <x v="1"/>
    <n v="0"/>
    <n v="0"/>
    <n v="5"/>
    <n v="69"/>
    <n v="0"/>
    <n v="1518.97"/>
    <n v="359.33"/>
    <m/>
    <n v="1492.9858702094405"/>
    <n v="362.73600214515886"/>
    <n v="0"/>
    <n v="865.8128999999999"/>
    <n v="204.81809999999999"/>
    <n v="0"/>
    <n v="851.00194601938097"/>
    <n v="206.75952122274055"/>
  </r>
  <r>
    <s v="Sistema de Compensação"/>
    <x v="0"/>
    <x v="1"/>
    <x v="2"/>
    <x v="0"/>
    <x v="1"/>
    <x v="0"/>
    <x v="2"/>
    <x v="4"/>
    <n v="0"/>
    <n v="0"/>
    <n v="1.5620000000000001"/>
    <n v="1.5620000000000001"/>
    <n v="1.5620000000000001"/>
    <n v="1.5620000000000001"/>
    <n v="0"/>
    <x v="1"/>
    <n v="0"/>
    <n v="0"/>
    <n v="5"/>
    <n v="69"/>
    <n v="0"/>
    <n v="1518.97"/>
    <n v="359.33"/>
    <m/>
    <n v="1492.9858702094405"/>
    <n v="362.73600214515886"/>
    <n v="0"/>
    <n v="2372.63114"/>
    <n v="561.27346"/>
    <n v="0"/>
    <n v="2332.0439292671463"/>
    <n v="566.59363535073817"/>
  </r>
  <r>
    <s v="Regular"/>
    <x v="0"/>
    <x v="1"/>
    <x v="2"/>
    <x v="0"/>
    <x v="1"/>
    <x v="0"/>
    <x v="2"/>
    <x v="5"/>
    <n v="0"/>
    <n v="0"/>
    <n v="0.57899999999999996"/>
    <n v="0.57899999999999996"/>
    <n v="0.57899999999999996"/>
    <n v="0.57899999999999996"/>
    <n v="0"/>
    <x v="1"/>
    <n v="0"/>
    <n v="0"/>
    <n v="5"/>
    <n v="69"/>
    <n v="0"/>
    <n v="1518.97"/>
    <n v="359.33"/>
    <m/>
    <n v="1492.9858702094405"/>
    <n v="362.73600214515886"/>
    <n v="0"/>
    <n v="879.48362999999995"/>
    <n v="208.05206999999999"/>
    <n v="0"/>
    <n v="864.43881885126598"/>
    <n v="210.02414524204696"/>
  </r>
  <r>
    <s v="Sistema de Compensação"/>
    <x v="0"/>
    <x v="1"/>
    <x v="2"/>
    <x v="0"/>
    <x v="1"/>
    <x v="0"/>
    <x v="2"/>
    <x v="5"/>
    <n v="0"/>
    <n v="0"/>
    <n v="1.25"/>
    <n v="1.25"/>
    <n v="1.25"/>
    <n v="1.25"/>
    <n v="0"/>
    <x v="1"/>
    <n v="0"/>
    <n v="0"/>
    <n v="5"/>
    <n v="69"/>
    <n v="0"/>
    <n v="1518.97"/>
    <n v="359.33"/>
    <m/>
    <n v="1492.9858702094405"/>
    <n v="362.73600214515886"/>
    <n v="0"/>
    <n v="1898.7125000000001"/>
    <n v="449.16249999999997"/>
    <n v="0"/>
    <n v="1866.2323377618006"/>
    <n v="453.42000268144858"/>
  </r>
  <r>
    <s v="Regular"/>
    <x v="0"/>
    <x v="1"/>
    <x v="2"/>
    <x v="0"/>
    <x v="1"/>
    <x v="0"/>
    <x v="2"/>
    <x v="6"/>
    <n v="0"/>
    <n v="0"/>
    <n v="0.54400000000000004"/>
    <n v="0.54400000000000004"/>
    <n v="0.54400000000000004"/>
    <n v="0.54400000000000004"/>
    <n v="0"/>
    <x v="1"/>
    <n v="0"/>
    <n v="0"/>
    <n v="5"/>
    <n v="69"/>
    <n v="0"/>
    <n v="1518.97"/>
    <n v="359.33"/>
    <m/>
    <n v="1492.9858702094405"/>
    <n v="362.73600214515886"/>
    <n v="0"/>
    <n v="826.31968000000006"/>
    <n v="195.47552000000002"/>
    <n v="0"/>
    <n v="812.18431339393567"/>
    <n v="197.32838516696643"/>
  </r>
  <r>
    <s v="Sistema de Compensação"/>
    <x v="0"/>
    <x v="1"/>
    <x v="2"/>
    <x v="0"/>
    <x v="1"/>
    <x v="0"/>
    <x v="2"/>
    <x v="6"/>
    <n v="0"/>
    <n v="0"/>
    <n v="1.5529999999999999"/>
    <n v="1.5529999999999999"/>
    <n v="1.5529999999999999"/>
    <n v="1.5529999999999999"/>
    <n v="0"/>
    <x v="1"/>
    <n v="0"/>
    <n v="0"/>
    <n v="5"/>
    <n v="69"/>
    <n v="0"/>
    <n v="1518.97"/>
    <n v="359.33"/>
    <m/>
    <n v="1492.9858702094405"/>
    <n v="362.73600214515886"/>
    <n v="0"/>
    <n v="2358.9604100000001"/>
    <n v="558.03949"/>
    <n v="0"/>
    <n v="2318.6070564352608"/>
    <n v="563.32901133143173"/>
  </r>
  <r>
    <s v="Regular"/>
    <x v="0"/>
    <x v="1"/>
    <x v="2"/>
    <x v="0"/>
    <x v="1"/>
    <x v="0"/>
    <x v="2"/>
    <x v="7"/>
    <n v="0"/>
    <n v="0"/>
    <n v="0.58699999999999997"/>
    <n v="0.58699999999999997"/>
    <n v="0.58699999999999997"/>
    <n v="0.58699999999999997"/>
    <n v="0"/>
    <x v="1"/>
    <n v="0"/>
    <n v="0"/>
    <n v="5"/>
    <n v="69"/>
    <n v="0"/>
    <n v="1518.97"/>
    <n v="359.33"/>
    <m/>
    <n v="1492.9858702094405"/>
    <n v="362.73600214515886"/>
    <n v="0"/>
    <n v="891.63538999999992"/>
    <n v="210.92670999999999"/>
    <n v="0"/>
    <n v="876.38270581294148"/>
    <n v="212.92603325920825"/>
  </r>
  <r>
    <s v="Sistema de Compensação"/>
    <x v="0"/>
    <x v="1"/>
    <x v="2"/>
    <x v="0"/>
    <x v="1"/>
    <x v="0"/>
    <x v="2"/>
    <x v="7"/>
    <n v="0"/>
    <n v="0"/>
    <n v="1.262"/>
    <n v="1.262"/>
    <n v="1.262"/>
    <n v="1.262"/>
    <n v="0"/>
    <x v="1"/>
    <n v="0"/>
    <n v="0"/>
    <n v="5"/>
    <n v="69"/>
    <n v="0"/>
    <n v="1518.97"/>
    <n v="359.33"/>
    <m/>
    <n v="1492.9858702094405"/>
    <n v="362.73600214515886"/>
    <n v="0"/>
    <n v="1916.9401400000002"/>
    <n v="453.47445999999997"/>
    <n v="0"/>
    <n v="1884.1481682043138"/>
    <n v="457.7728347071905"/>
  </r>
  <r>
    <s v="Regular"/>
    <x v="0"/>
    <x v="1"/>
    <x v="2"/>
    <x v="0"/>
    <x v="1"/>
    <x v="0"/>
    <x v="2"/>
    <x v="8"/>
    <n v="0"/>
    <n v="0"/>
    <n v="0.48799999999999999"/>
    <n v="0.48799999999999999"/>
    <n v="0.48799999999999999"/>
    <n v="0.48799999999999999"/>
    <n v="0"/>
    <x v="1"/>
    <n v="0"/>
    <n v="0"/>
    <n v="5"/>
    <n v="69"/>
    <n v="0"/>
    <n v="1518.97"/>
    <n v="359.33"/>
    <m/>
    <n v="1492.9858702094405"/>
    <n v="362.73600214515886"/>
    <n v="0"/>
    <n v="741.25735999999995"/>
    <n v="175.35303999999999"/>
    <n v="0"/>
    <n v="728.57710466220692"/>
    <n v="177.01516904683751"/>
  </r>
  <r>
    <s v="Sistema de Compensação"/>
    <x v="0"/>
    <x v="1"/>
    <x v="2"/>
    <x v="0"/>
    <x v="1"/>
    <x v="0"/>
    <x v="2"/>
    <x v="8"/>
    <n v="0"/>
    <n v="0"/>
    <n v="1.2250000000000001"/>
    <n v="1.2250000000000001"/>
    <n v="1.2250000000000001"/>
    <n v="1.2250000000000001"/>
    <n v="0"/>
    <x v="1"/>
    <n v="0"/>
    <n v="0"/>
    <n v="5"/>
    <n v="69"/>
    <n v="0"/>
    <n v="1518.97"/>
    <n v="359.33"/>
    <m/>
    <n v="1492.9858702094405"/>
    <n v="362.73600214515886"/>
    <n v="0"/>
    <n v="1860.7382500000001"/>
    <n v="440.17925000000002"/>
    <n v="0"/>
    <n v="1828.9076910065646"/>
    <n v="444.35160262781966"/>
  </r>
  <r>
    <s v="Regular"/>
    <x v="0"/>
    <x v="1"/>
    <x v="2"/>
    <x v="0"/>
    <x v="1"/>
    <x v="0"/>
    <x v="2"/>
    <x v="9"/>
    <n v="0"/>
    <n v="0"/>
    <n v="0.53800000000000003"/>
    <n v="0.53800000000000003"/>
    <n v="0.53800000000000003"/>
    <n v="0.53800000000000003"/>
    <n v="0"/>
    <x v="1"/>
    <n v="0"/>
    <n v="0"/>
    <n v="5"/>
    <n v="69"/>
    <n v="0"/>
    <n v="1518.97"/>
    <n v="359.33"/>
    <m/>
    <n v="1492.9858702094405"/>
    <n v="362.73600214515886"/>
    <n v="0"/>
    <n v="817.20586000000003"/>
    <n v="193.31954000000002"/>
    <n v="0"/>
    <n v="803.22639817267907"/>
    <n v="195.15196915409547"/>
  </r>
  <r>
    <s v="Sistema de Compensação"/>
    <x v="0"/>
    <x v="1"/>
    <x v="2"/>
    <x v="0"/>
    <x v="1"/>
    <x v="0"/>
    <x v="2"/>
    <x v="9"/>
    <n v="0"/>
    <n v="0"/>
    <n v="1.3009999999999999"/>
    <n v="1.3009999999999999"/>
    <n v="1.3009999999999999"/>
    <n v="1.3009999999999999"/>
    <n v="0"/>
    <x v="1"/>
    <n v="0"/>
    <n v="0"/>
    <n v="5"/>
    <n v="69"/>
    <n v="0"/>
    <n v="1518.97"/>
    <n v="359.33"/>
    <m/>
    <n v="1492.9858702094405"/>
    <n v="362.73600214515886"/>
    <n v="0"/>
    <n v="1976.1799699999999"/>
    <n v="467.48832999999996"/>
    <n v="0"/>
    <n v="1942.3746171424818"/>
    <n v="471.91953879085168"/>
  </r>
  <r>
    <s v="Regular"/>
    <x v="0"/>
    <x v="1"/>
    <x v="2"/>
    <x v="0"/>
    <x v="1"/>
    <x v="0"/>
    <x v="2"/>
    <x v="10"/>
    <n v="0"/>
    <n v="0"/>
    <n v="0.55900000000000005"/>
    <n v="0.55900000000000005"/>
    <n v="0.55900000000000005"/>
    <n v="0.55900000000000005"/>
    <n v="0"/>
    <x v="1"/>
    <n v="0"/>
    <n v="0"/>
    <n v="5"/>
    <n v="69"/>
    <n v="0"/>
    <n v="1518.97"/>
    <n v="359.33"/>
    <m/>
    <n v="1492.9858702094405"/>
    <n v="362.73600214515886"/>
    <n v="0"/>
    <n v="849.10423000000014"/>
    <n v="200.86547000000002"/>
    <n v="0"/>
    <n v="834.57910144707728"/>
    <n v="202.76942519914383"/>
  </r>
  <r>
    <s v="Sistema de Compensação"/>
    <x v="0"/>
    <x v="1"/>
    <x v="2"/>
    <x v="0"/>
    <x v="1"/>
    <x v="0"/>
    <x v="2"/>
    <x v="10"/>
    <n v="0"/>
    <n v="0"/>
    <n v="1.222"/>
    <n v="1.222"/>
    <n v="1.222"/>
    <n v="1.222"/>
    <n v="0"/>
    <x v="1"/>
    <n v="0"/>
    <n v="0"/>
    <n v="5"/>
    <n v="69"/>
    <n v="0"/>
    <n v="1518.97"/>
    <n v="359.33"/>
    <m/>
    <n v="1492.9858702094405"/>
    <n v="362.73600214515886"/>
    <n v="0"/>
    <n v="1856.1813400000001"/>
    <n v="439.10125999999997"/>
    <n v="0"/>
    <n v="1824.4287333959362"/>
    <n v="443.26339462138412"/>
  </r>
  <r>
    <s v="PROJETADO"/>
    <x v="0"/>
    <x v="1"/>
    <x v="2"/>
    <x v="0"/>
    <x v="1"/>
    <x v="0"/>
    <x v="2"/>
    <x v="11"/>
    <n v="0"/>
    <n v="0"/>
    <n v="0.55900000000000005"/>
    <n v="0.55900000000000005"/>
    <n v="0.55900000000000005"/>
    <n v="0.55900000000000005"/>
    <n v="0"/>
    <x v="1"/>
    <n v="0"/>
    <n v="0"/>
    <n v="5"/>
    <n v="69"/>
    <n v="0"/>
    <n v="1518.97"/>
    <n v="359.33"/>
    <m/>
    <n v="1492.9858702094405"/>
    <n v="362.73600214515886"/>
    <n v="0"/>
    <n v="849.10423000000014"/>
    <n v="200.86547000000002"/>
    <n v="0"/>
    <n v="834.57910144707728"/>
    <n v="202.76942519914383"/>
  </r>
  <r>
    <s v="PROJETADO"/>
    <x v="0"/>
    <x v="1"/>
    <x v="2"/>
    <x v="0"/>
    <x v="1"/>
    <x v="0"/>
    <x v="2"/>
    <x v="11"/>
    <n v="0"/>
    <n v="0"/>
    <n v="1.222"/>
    <n v="1.222"/>
    <n v="1.222"/>
    <n v="1.222"/>
    <n v="0"/>
    <x v="1"/>
    <n v="0"/>
    <n v="0"/>
    <n v="5"/>
    <n v="69"/>
    <n v="0"/>
    <n v="1518.97"/>
    <n v="359.33"/>
    <m/>
    <n v="1492.9858702094405"/>
    <n v="362.73600214515886"/>
    <n v="0"/>
    <n v="1856.1813400000001"/>
    <n v="439.10125999999997"/>
    <n v="0"/>
    <n v="1824.4287333959362"/>
    <n v="443.26339462138412"/>
  </r>
  <r>
    <s v="Regular"/>
    <x v="0"/>
    <x v="1"/>
    <x v="3"/>
    <x v="1"/>
    <x v="1"/>
    <x v="0"/>
    <x v="0"/>
    <x v="0"/>
    <n v="0"/>
    <n v="0"/>
    <n v="144.673"/>
    <n v="144.673"/>
    <n v="144.673"/>
    <n v="144.673"/>
    <n v="0"/>
    <x v="1"/>
    <n v="0"/>
    <n v="0"/>
    <n v="18"/>
    <n v="73"/>
    <n v="0"/>
    <n v="68.798599999999993"/>
    <n v="199.00739999999999"/>
    <m/>
    <n v="114.29744777163032"/>
    <n v="216.30904504598922"/>
    <n v="0"/>
    <n v="9953.2998577999988"/>
    <n v="28790.997580199997"/>
    <n v="0"/>
    <n v="16024.339568842441"/>
    <n v="31294.0784739384"/>
  </r>
  <r>
    <s v="Regular"/>
    <x v="0"/>
    <x v="1"/>
    <x v="3"/>
    <x v="1"/>
    <x v="1"/>
    <x v="0"/>
    <x v="0"/>
    <x v="1"/>
    <n v="0"/>
    <n v="0"/>
    <n v="138.93100000000001"/>
    <n v="138.93100000000001"/>
    <n v="138.93100000000001"/>
    <n v="138.93100000000001"/>
    <n v="0"/>
    <x v="1"/>
    <n v="0"/>
    <n v="0"/>
    <n v="18"/>
    <n v="73"/>
    <n v="0"/>
    <n v="68.798599999999993"/>
    <n v="199.00739999999999"/>
    <m/>
    <n v="114.29744777163032"/>
    <n v="216.30904504598922"/>
    <n v="0"/>
    <n v="9558.2582965999991"/>
    <n v="27648.297089399999"/>
    <n v="0"/>
    <n v="15388.341436472936"/>
    <n v="30052.03193728433"/>
  </r>
  <r>
    <s v="Regular"/>
    <x v="0"/>
    <x v="1"/>
    <x v="3"/>
    <x v="1"/>
    <x v="1"/>
    <x v="0"/>
    <x v="0"/>
    <x v="2"/>
    <n v="0"/>
    <n v="0"/>
    <n v="147.15600000000001"/>
    <n v="147.15600000000001"/>
    <n v="147.15600000000001"/>
    <n v="147.15600000000001"/>
    <n v="0"/>
    <x v="1"/>
    <n v="0"/>
    <n v="0"/>
    <n v="18"/>
    <n v="73"/>
    <n v="0"/>
    <n v="68.798599999999993"/>
    <n v="199.00739999999999"/>
    <m/>
    <n v="114.29744777163032"/>
    <n v="216.30904504598922"/>
    <n v="0"/>
    <n v="10124.1267816"/>
    <n v="29285.1329544"/>
    <n v="0"/>
    <n v="16299.362794665061"/>
    <n v="31831.17383278759"/>
  </r>
  <r>
    <s v="Regular"/>
    <x v="0"/>
    <x v="1"/>
    <x v="3"/>
    <x v="1"/>
    <x v="1"/>
    <x v="0"/>
    <x v="0"/>
    <x v="3"/>
    <n v="0"/>
    <n v="0"/>
    <n v="150.27600000000001"/>
    <n v="150.27600000000001"/>
    <n v="150.27600000000001"/>
    <n v="150.27600000000001"/>
    <n v="0"/>
    <x v="1"/>
    <n v="0"/>
    <n v="0"/>
    <n v="18"/>
    <n v="73"/>
    <n v="0"/>
    <n v="68.798599999999993"/>
    <n v="199.00739999999999"/>
    <m/>
    <n v="114.29744777163032"/>
    <n v="216.30904504598922"/>
    <n v="0"/>
    <n v="10338.778413599999"/>
    <n v="29906.036042399999"/>
    <n v="0"/>
    <n v="16644.941717164689"/>
    <n v="32506.058053331079"/>
  </r>
  <r>
    <s v="Regular"/>
    <x v="0"/>
    <x v="1"/>
    <x v="3"/>
    <x v="1"/>
    <x v="1"/>
    <x v="0"/>
    <x v="0"/>
    <x v="4"/>
    <n v="0"/>
    <n v="0"/>
    <n v="179.06700000000001"/>
    <n v="179.06700000000001"/>
    <n v="179.06700000000001"/>
    <n v="179.06700000000001"/>
    <n v="0"/>
    <x v="1"/>
    <n v="0"/>
    <n v="0"/>
    <n v="18"/>
    <n v="73"/>
    <n v="0"/>
    <n v="68.798599999999993"/>
    <n v="199.00739999999999"/>
    <m/>
    <n v="114.29744777163032"/>
    <n v="216.30904504598922"/>
    <n v="0"/>
    <n v="12319.5589062"/>
    <n v="35635.658095799998"/>
    <n v="0"/>
    <n v="19833.90413950018"/>
    <n v="38733.811769250155"/>
  </r>
  <r>
    <s v="Regular"/>
    <x v="0"/>
    <x v="1"/>
    <x v="3"/>
    <x v="1"/>
    <x v="1"/>
    <x v="0"/>
    <x v="0"/>
    <x v="5"/>
    <n v="0"/>
    <n v="0"/>
    <n v="219.52799999999999"/>
    <n v="219.52799999999999"/>
    <n v="219.52799999999999"/>
    <n v="219.52799999999999"/>
    <n v="0"/>
    <x v="1"/>
    <n v="0"/>
    <n v="0"/>
    <n v="18"/>
    <n v="73"/>
    <n v="0"/>
    <n v="68.798599999999993"/>
    <n v="199.00739999999999"/>
    <m/>
    <n v="114.29744777163032"/>
    <n v="216.30904504598922"/>
    <n v="0"/>
    <n v="15103.219060799998"/>
    <n v="43687.696507199995"/>
    <n v="0"/>
    <n v="24315.464646954468"/>
    <n v="47485.892040855921"/>
  </r>
  <r>
    <s v="Regular"/>
    <x v="0"/>
    <x v="1"/>
    <x v="3"/>
    <x v="1"/>
    <x v="1"/>
    <x v="0"/>
    <x v="0"/>
    <x v="6"/>
    <n v="0"/>
    <n v="0"/>
    <n v="177.56899999999999"/>
    <n v="177.56899999999999"/>
    <n v="177.56899999999999"/>
    <n v="177.56899999999999"/>
    <n v="0"/>
    <x v="1"/>
    <n v="0"/>
    <n v="0"/>
    <n v="18"/>
    <n v="73"/>
    <n v="0"/>
    <n v="68.798599999999993"/>
    <n v="199.00739999999999"/>
    <m/>
    <n v="114.29744777163032"/>
    <n v="216.30904504598922"/>
    <n v="0"/>
    <n v="12216.498603399998"/>
    <n v="35337.545010599999"/>
    <n v="0"/>
    <n v="19667.981951710295"/>
    <n v="38409.780819771258"/>
  </r>
  <r>
    <s v="Regular"/>
    <x v="0"/>
    <x v="1"/>
    <x v="3"/>
    <x v="1"/>
    <x v="1"/>
    <x v="0"/>
    <x v="0"/>
    <x v="7"/>
    <n v="0"/>
    <n v="0"/>
    <n v="170.62100000000001"/>
    <n v="170.62100000000001"/>
    <n v="170.62100000000001"/>
    <n v="170.62100000000001"/>
    <n v="0"/>
    <x v="1"/>
    <n v="0"/>
    <n v="0"/>
    <n v="18"/>
    <n v="73"/>
    <n v="0"/>
    <n v="68.798599999999993"/>
    <n v="199.00739999999999"/>
    <m/>
    <n v="114.29744777163032"/>
    <n v="216.30904504598922"/>
    <n v="0"/>
    <n v="11738.4859306"/>
    <n v="33954.841595400001"/>
    <n v="0"/>
    <n v="18898.404274297667"/>
    <n v="36906.865574791729"/>
  </r>
  <r>
    <s v="Regular"/>
    <x v="0"/>
    <x v="1"/>
    <x v="3"/>
    <x v="1"/>
    <x v="1"/>
    <x v="0"/>
    <x v="0"/>
    <x v="8"/>
    <n v="0"/>
    <n v="0"/>
    <n v="164.25200000000001"/>
    <n v="164.25200000000001"/>
    <n v="164.25200000000001"/>
    <n v="164.25200000000001"/>
    <n v="0"/>
    <x v="1"/>
    <n v="0"/>
    <n v="0"/>
    <n v="18"/>
    <n v="73"/>
    <n v="0"/>
    <n v="68.798599999999993"/>
    <n v="199.00739999999999"/>
    <m/>
    <n v="114.29744777163032"/>
    <n v="216.30904504598922"/>
    <n v="0"/>
    <n v="11300.307647199999"/>
    <n v="32687.363464800001"/>
    <n v="0"/>
    <n v="18192.958070002758"/>
    <n v="35529.193266893824"/>
  </r>
  <r>
    <s v="Regular"/>
    <x v="0"/>
    <x v="1"/>
    <x v="3"/>
    <x v="1"/>
    <x v="1"/>
    <x v="0"/>
    <x v="0"/>
    <x v="9"/>
    <n v="0"/>
    <n v="0"/>
    <n v="160.15100000000001"/>
    <n v="160.15100000000001"/>
    <n v="160.15100000000001"/>
    <n v="160.15100000000001"/>
    <n v="0"/>
    <x v="1"/>
    <n v="0"/>
    <n v="0"/>
    <n v="18"/>
    <n v="73"/>
    <n v="0"/>
    <n v="68.798599999999993"/>
    <n v="199.00739999999999"/>
    <m/>
    <n v="114.29744777163032"/>
    <n v="216.30904504598922"/>
    <n v="0"/>
    <n v="11018.164588599999"/>
    <n v="31871.234117399999"/>
    <n v="0"/>
    <n v="17738.721159371038"/>
    <n v="34642.109873160225"/>
  </r>
  <r>
    <s v="Regular"/>
    <x v="0"/>
    <x v="1"/>
    <x v="3"/>
    <x v="1"/>
    <x v="1"/>
    <x v="0"/>
    <x v="0"/>
    <x v="10"/>
    <n v="0"/>
    <n v="0"/>
    <n v="160.02600000000001"/>
    <n v="160.02600000000001"/>
    <n v="160.02600000000001"/>
    <n v="160.02600000000001"/>
    <n v="0"/>
    <x v="1"/>
    <n v="0"/>
    <n v="0"/>
    <n v="18"/>
    <n v="73"/>
    <n v="0"/>
    <n v="68.798599999999993"/>
    <n v="199.00739999999999"/>
    <m/>
    <n v="114.29744777163032"/>
    <n v="216.30904504598922"/>
    <n v="0"/>
    <n v="11009.564763599999"/>
    <n v="31846.358192399999"/>
    <n v="0"/>
    <n v="17724.875849976019"/>
    <n v="34615.071242529477"/>
  </r>
  <r>
    <s v="PROJETADO"/>
    <x v="0"/>
    <x v="1"/>
    <x v="3"/>
    <x v="1"/>
    <x v="1"/>
    <x v="0"/>
    <x v="0"/>
    <x v="11"/>
    <n v="0"/>
    <n v="0"/>
    <n v="160.02600000000001"/>
    <n v="160.02600000000001"/>
    <n v="160.02600000000001"/>
    <n v="160.02600000000001"/>
    <n v="0"/>
    <x v="1"/>
    <n v="0"/>
    <n v="0"/>
    <n v="18"/>
    <n v="73"/>
    <n v="0"/>
    <n v="68.798599999999993"/>
    <n v="199.00739999999999"/>
    <m/>
    <n v="114.29744777163032"/>
    <n v="216.30904504598922"/>
    <n v="0"/>
    <n v="11009.564763599999"/>
    <n v="31846.358192399999"/>
    <n v="0"/>
    <n v="17724.875849976019"/>
    <n v="34615.071242529477"/>
  </r>
  <r>
    <s v="Regular"/>
    <x v="0"/>
    <x v="1"/>
    <x v="3"/>
    <x v="1"/>
    <x v="1"/>
    <x v="0"/>
    <x v="1"/>
    <x v="0"/>
    <n v="400"/>
    <n v="400"/>
    <n v="0"/>
    <n v="0"/>
    <n v="0"/>
    <n v="0"/>
    <n v="1"/>
    <x v="1"/>
    <n v="0"/>
    <n v="24"/>
    <n v="0"/>
    <n v="0"/>
    <n v="21.525999999999996"/>
    <n v="0"/>
    <n v="0"/>
    <n v="21.081719932182427"/>
    <m/>
    <m/>
    <n v="8610.3999999999978"/>
    <n v="0"/>
    <n v="0"/>
    <n v="7389.4688422082736"/>
    <n v="0"/>
    <n v="0"/>
  </r>
  <r>
    <s v="Regular"/>
    <x v="0"/>
    <x v="1"/>
    <x v="3"/>
    <x v="1"/>
    <x v="1"/>
    <x v="0"/>
    <x v="1"/>
    <x v="1"/>
    <n v="400"/>
    <n v="400"/>
    <n v="0"/>
    <n v="0"/>
    <n v="0"/>
    <n v="0"/>
    <n v="1"/>
    <x v="1"/>
    <n v="0"/>
    <n v="24"/>
    <n v="0"/>
    <n v="0"/>
    <n v="21.525999999999996"/>
    <n v="0"/>
    <n v="0"/>
    <n v="21.081719932182427"/>
    <m/>
    <m/>
    <n v="8610.3999999999978"/>
    <n v="0"/>
    <n v="0"/>
    <n v="7389.4688422082736"/>
    <n v="0"/>
    <n v="0"/>
  </r>
  <r>
    <s v="Regular"/>
    <x v="0"/>
    <x v="1"/>
    <x v="3"/>
    <x v="1"/>
    <x v="1"/>
    <x v="0"/>
    <x v="1"/>
    <x v="2"/>
    <n v="400"/>
    <n v="400"/>
    <n v="0"/>
    <n v="0"/>
    <n v="0"/>
    <n v="0"/>
    <n v="1"/>
    <x v="1"/>
    <n v="0"/>
    <n v="24"/>
    <n v="0"/>
    <n v="0"/>
    <n v="21.525999999999996"/>
    <n v="0"/>
    <n v="0"/>
    <n v="21.081719932182427"/>
    <m/>
    <m/>
    <n v="8610.3999999999978"/>
    <n v="0"/>
    <n v="0"/>
    <n v="7389.4688422082736"/>
    <n v="0"/>
    <n v="0"/>
  </r>
  <r>
    <s v="Regular"/>
    <x v="0"/>
    <x v="1"/>
    <x v="3"/>
    <x v="1"/>
    <x v="1"/>
    <x v="0"/>
    <x v="1"/>
    <x v="3"/>
    <n v="400"/>
    <n v="400"/>
    <n v="0"/>
    <n v="0"/>
    <n v="0"/>
    <n v="0"/>
    <n v="1"/>
    <x v="1"/>
    <n v="0"/>
    <n v="24"/>
    <n v="0"/>
    <n v="0"/>
    <n v="21.525999999999996"/>
    <n v="0"/>
    <n v="0"/>
    <n v="21.081719932182427"/>
    <m/>
    <m/>
    <n v="8610.3999999999978"/>
    <n v="0"/>
    <n v="0"/>
    <n v="7389.4688422082736"/>
    <n v="0"/>
    <n v="0"/>
  </r>
  <r>
    <s v="Regular"/>
    <x v="0"/>
    <x v="1"/>
    <x v="3"/>
    <x v="1"/>
    <x v="1"/>
    <x v="0"/>
    <x v="1"/>
    <x v="4"/>
    <n v="484"/>
    <n v="484"/>
    <n v="0"/>
    <n v="0"/>
    <n v="0"/>
    <n v="0"/>
    <n v="1"/>
    <x v="1"/>
    <n v="0"/>
    <n v="24"/>
    <n v="0"/>
    <n v="0"/>
    <n v="21.525999999999996"/>
    <n v="0"/>
    <n v="0"/>
    <n v="21.081719932182427"/>
    <m/>
    <m/>
    <n v="10418.583999999999"/>
    <n v="0"/>
    <n v="0"/>
    <n v="8941.2572990720109"/>
    <n v="0"/>
    <n v="0"/>
  </r>
  <r>
    <s v="Regular"/>
    <x v="0"/>
    <x v="1"/>
    <x v="3"/>
    <x v="1"/>
    <x v="1"/>
    <x v="0"/>
    <x v="1"/>
    <x v="5"/>
    <n v="490"/>
    <n v="490"/>
    <n v="0"/>
    <n v="0"/>
    <n v="0"/>
    <n v="0"/>
    <n v="1"/>
    <x v="1"/>
    <n v="0"/>
    <n v="24"/>
    <n v="0"/>
    <n v="0"/>
    <n v="21.525999999999996"/>
    <n v="0"/>
    <n v="0"/>
    <n v="21.081719932182427"/>
    <m/>
    <m/>
    <n v="10547.739999999998"/>
    <n v="0"/>
    <n v="0"/>
    <n v="9052.0993317051343"/>
    <n v="0"/>
    <n v="0"/>
  </r>
  <r>
    <s v="Regular"/>
    <x v="0"/>
    <x v="1"/>
    <x v="3"/>
    <x v="1"/>
    <x v="1"/>
    <x v="0"/>
    <x v="1"/>
    <x v="6"/>
    <n v="421"/>
    <n v="421"/>
    <n v="0"/>
    <n v="0"/>
    <n v="0"/>
    <n v="0"/>
    <n v="1"/>
    <x v="1"/>
    <n v="0"/>
    <n v="24"/>
    <n v="0"/>
    <n v="0"/>
    <n v="21.525999999999996"/>
    <n v="0"/>
    <n v="0"/>
    <n v="21.081719932182427"/>
    <m/>
    <m/>
    <n v="9062.4459999999981"/>
    <n v="0"/>
    <n v="0"/>
    <n v="7777.4159564242073"/>
    <n v="0"/>
    <n v="0"/>
  </r>
  <r>
    <s v="Regular"/>
    <x v="0"/>
    <x v="1"/>
    <x v="3"/>
    <x v="1"/>
    <x v="1"/>
    <x v="0"/>
    <x v="1"/>
    <x v="7"/>
    <n v="426"/>
    <n v="426"/>
    <n v="0"/>
    <n v="0"/>
    <n v="0"/>
    <n v="0"/>
    <n v="1"/>
    <x v="1"/>
    <n v="0"/>
    <n v="24"/>
    <n v="0"/>
    <n v="0"/>
    <n v="21.525999999999996"/>
    <n v="0"/>
    <n v="0"/>
    <n v="21.081719932182427"/>
    <m/>
    <m/>
    <n v="9170.0759999999991"/>
    <n v="0"/>
    <n v="0"/>
    <n v="7869.784316951811"/>
    <n v="0"/>
    <n v="0"/>
  </r>
  <r>
    <s v="Regular"/>
    <x v="0"/>
    <x v="1"/>
    <x v="3"/>
    <x v="1"/>
    <x v="1"/>
    <x v="0"/>
    <x v="1"/>
    <x v="8"/>
    <n v="405"/>
    <n v="405"/>
    <n v="0"/>
    <n v="0"/>
    <n v="0"/>
    <n v="0"/>
    <n v="1"/>
    <x v="1"/>
    <n v="0"/>
    <n v="24"/>
    <n v="0"/>
    <n v="0"/>
    <n v="21.525999999999996"/>
    <n v="0"/>
    <n v="0"/>
    <n v="21.081719932182427"/>
    <m/>
    <m/>
    <n v="8718.0299999999988"/>
    <n v="0"/>
    <n v="0"/>
    <n v="7481.8372027358773"/>
    <n v="0"/>
    <n v="0"/>
  </r>
  <r>
    <s v="Regular"/>
    <x v="0"/>
    <x v="1"/>
    <x v="3"/>
    <x v="1"/>
    <x v="1"/>
    <x v="0"/>
    <x v="1"/>
    <x v="9"/>
    <n v="400"/>
    <n v="400"/>
    <n v="0"/>
    <n v="0"/>
    <n v="0"/>
    <n v="0"/>
    <n v="1"/>
    <x v="1"/>
    <n v="0"/>
    <n v="24"/>
    <n v="0"/>
    <n v="0"/>
    <n v="21.525999999999996"/>
    <n v="0"/>
    <n v="0"/>
    <n v="21.081719932182427"/>
    <m/>
    <m/>
    <n v="8610.3999999999978"/>
    <n v="0"/>
    <n v="0"/>
    <n v="7389.4688422082736"/>
    <n v="0"/>
    <n v="0"/>
  </r>
  <r>
    <s v="Regular"/>
    <x v="0"/>
    <x v="1"/>
    <x v="3"/>
    <x v="1"/>
    <x v="1"/>
    <x v="0"/>
    <x v="1"/>
    <x v="10"/>
    <n v="400"/>
    <n v="400"/>
    <n v="0"/>
    <n v="0"/>
    <n v="0"/>
    <n v="0"/>
    <n v="1"/>
    <x v="1"/>
    <n v="0"/>
    <n v="24"/>
    <n v="0"/>
    <n v="0"/>
    <n v="21.525999999999996"/>
    <n v="0"/>
    <n v="0"/>
    <n v="21.081719932182427"/>
    <m/>
    <m/>
    <n v="8610.3999999999978"/>
    <n v="0"/>
    <n v="0"/>
    <n v="7389.4688422082736"/>
    <n v="0"/>
    <n v="0"/>
  </r>
  <r>
    <s v="PROJETADO"/>
    <x v="0"/>
    <x v="1"/>
    <x v="3"/>
    <x v="1"/>
    <x v="1"/>
    <x v="0"/>
    <x v="1"/>
    <x v="11"/>
    <n v="400"/>
    <n v="400"/>
    <n v="0"/>
    <n v="0"/>
    <n v="0"/>
    <n v="0"/>
    <n v="1"/>
    <x v="1"/>
    <n v="0"/>
    <n v="24"/>
    <n v="0"/>
    <n v="0"/>
    <n v="21.525999999999996"/>
    <n v="0"/>
    <n v="0"/>
    <n v="21.081719932182427"/>
    <m/>
    <m/>
    <n v="8610.3999999999978"/>
    <n v="0"/>
    <n v="0"/>
    <n v="7389.4688422082736"/>
    <n v="0"/>
    <n v="0"/>
  </r>
  <r>
    <s v="Regular"/>
    <x v="0"/>
    <x v="1"/>
    <x v="3"/>
    <x v="1"/>
    <x v="1"/>
    <x v="0"/>
    <x v="2"/>
    <x v="0"/>
    <n v="0"/>
    <n v="0"/>
    <n v="14.43"/>
    <n v="14.43"/>
    <n v="14.43"/>
    <n v="14.43"/>
    <n v="0"/>
    <x v="1"/>
    <n v="0"/>
    <n v="0"/>
    <n v="5"/>
    <n v="69"/>
    <n v="0"/>
    <n v="1427.8317999999999"/>
    <n v="337.77019999999999"/>
    <m/>
    <n v="1448.1962941031572"/>
    <n v="351.85392208080407"/>
    <n v="0"/>
    <n v="20603.612873999999"/>
    <n v="4874.0239860000001"/>
    <n v="0"/>
    <n v="20251.158940694891"/>
    <n v="5077.2520956260023"/>
  </r>
  <r>
    <s v="Regular"/>
    <x v="0"/>
    <x v="1"/>
    <x v="3"/>
    <x v="1"/>
    <x v="1"/>
    <x v="0"/>
    <x v="2"/>
    <x v="1"/>
    <n v="0"/>
    <n v="0"/>
    <n v="13.776999999999999"/>
    <n v="13.776999999999999"/>
    <n v="13.776999999999999"/>
    <n v="13.776999999999999"/>
    <n v="0"/>
    <x v="1"/>
    <n v="0"/>
    <n v="0"/>
    <n v="5"/>
    <n v="69"/>
    <n v="0"/>
    <n v="1427.8317999999999"/>
    <n v="337.77019999999999"/>
    <m/>
    <n v="1448.1962941031572"/>
    <n v="351.85392208080407"/>
    <n v="0"/>
    <n v="19671.238708599998"/>
    <n v="4653.4600453999992"/>
    <n v="0"/>
    <n v="19334.734353842934"/>
    <n v="4847.4914845072371"/>
  </r>
  <r>
    <s v="Regular"/>
    <x v="0"/>
    <x v="1"/>
    <x v="3"/>
    <x v="1"/>
    <x v="1"/>
    <x v="0"/>
    <x v="2"/>
    <x v="2"/>
    <n v="0"/>
    <n v="0"/>
    <n v="12.991"/>
    <n v="12.991"/>
    <n v="12.991"/>
    <n v="12.991"/>
    <n v="0"/>
    <x v="1"/>
    <n v="0"/>
    <n v="0"/>
    <n v="5"/>
    <n v="69"/>
    <n v="0"/>
    <n v="1427.8317999999999"/>
    <n v="337.77019999999999"/>
    <m/>
    <n v="1448.1962941031572"/>
    <n v="351.85392208080407"/>
    <n v="0"/>
    <n v="18548.962913799998"/>
    <n v="4387.9726682"/>
    <n v="0"/>
    <n v="18231.656673497389"/>
    <n v="4570.9343017517258"/>
  </r>
  <r>
    <s v="Regular"/>
    <x v="0"/>
    <x v="1"/>
    <x v="3"/>
    <x v="1"/>
    <x v="1"/>
    <x v="0"/>
    <x v="2"/>
    <x v="3"/>
    <n v="0"/>
    <n v="0"/>
    <n v="14.047000000000001"/>
    <n v="14.047000000000001"/>
    <n v="14.047000000000001"/>
    <n v="14.047000000000001"/>
    <n v="0"/>
    <x v="1"/>
    <n v="0"/>
    <n v="0"/>
    <n v="5"/>
    <n v="69"/>
    <n v="0"/>
    <n v="1427.8317999999999"/>
    <n v="337.77019999999999"/>
    <m/>
    <n v="1448.1962941031572"/>
    <n v="351.85392208080407"/>
    <n v="0"/>
    <n v="20056.753294599999"/>
    <n v="4744.6579994000003"/>
    <n v="0"/>
    <n v="19713.654167702087"/>
    <n v="4942.4920434690548"/>
  </r>
  <r>
    <s v="Regular"/>
    <x v="0"/>
    <x v="1"/>
    <x v="3"/>
    <x v="1"/>
    <x v="1"/>
    <x v="0"/>
    <x v="2"/>
    <x v="4"/>
    <n v="0"/>
    <n v="0"/>
    <n v="21.306000000000001"/>
    <n v="21.306000000000001"/>
    <n v="21.306000000000001"/>
    <n v="21.306000000000001"/>
    <n v="0"/>
    <x v="1"/>
    <n v="0"/>
    <n v="0"/>
    <n v="5"/>
    <n v="69"/>
    <n v="0"/>
    <n v="1427.8317999999999"/>
    <n v="337.77019999999999"/>
    <m/>
    <n v="1448.1962941031572"/>
    <n v="351.85392208080407"/>
    <n v="0"/>
    <n v="30421.3843308"/>
    <n v="7196.5318812000005"/>
    <n v="0"/>
    <n v="29900.9835336414"/>
    <n v="7496.5996638536117"/>
  </r>
  <r>
    <s v="Regular"/>
    <x v="0"/>
    <x v="1"/>
    <x v="3"/>
    <x v="1"/>
    <x v="1"/>
    <x v="0"/>
    <x v="2"/>
    <x v="5"/>
    <n v="0"/>
    <n v="0"/>
    <n v="22.757000000000001"/>
    <n v="22.757000000000001"/>
    <n v="22.757000000000001"/>
    <n v="22.757000000000001"/>
    <n v="0"/>
    <x v="1"/>
    <n v="0"/>
    <n v="0"/>
    <n v="5"/>
    <n v="69"/>
    <n v="0"/>
    <n v="1427.8317999999999"/>
    <n v="337.77019999999999"/>
    <m/>
    <n v="1448.1962941031572"/>
    <n v="351.85392208080407"/>
    <n v="0"/>
    <n v="32493.1682726"/>
    <n v="7686.6364414"/>
    <n v="0"/>
    <n v="31937.326681454862"/>
    <n v="8007.1397047928585"/>
  </r>
  <r>
    <s v="Regular"/>
    <x v="0"/>
    <x v="1"/>
    <x v="3"/>
    <x v="1"/>
    <x v="1"/>
    <x v="0"/>
    <x v="2"/>
    <x v="6"/>
    <n v="0"/>
    <n v="0"/>
    <n v="18.914000000000001"/>
    <n v="18.914000000000001"/>
    <n v="18.914000000000001"/>
    <n v="18.914000000000001"/>
    <n v="0"/>
    <x v="1"/>
    <n v="0"/>
    <n v="0"/>
    <n v="5"/>
    <n v="69"/>
    <n v="0"/>
    <n v="1427.8317999999999"/>
    <n v="337.77019999999999"/>
    <m/>
    <n v="1448.1962941031572"/>
    <n v="351.85392208080407"/>
    <n v="0"/>
    <n v="27006.010665199999"/>
    <n v="6388.5855627999999"/>
    <n v="0"/>
    <n v="26544.034664192877"/>
    <n v="6654.9650822363283"/>
  </r>
  <r>
    <s v="Regular"/>
    <x v="0"/>
    <x v="1"/>
    <x v="3"/>
    <x v="1"/>
    <x v="1"/>
    <x v="0"/>
    <x v="2"/>
    <x v="7"/>
    <n v="0"/>
    <n v="0"/>
    <n v="19.082000000000001"/>
    <n v="19.082000000000001"/>
    <n v="19.082000000000001"/>
    <n v="19.082000000000001"/>
    <n v="0"/>
    <x v="1"/>
    <n v="0"/>
    <n v="0"/>
    <n v="5"/>
    <n v="69"/>
    <n v="0"/>
    <n v="1427.8317999999999"/>
    <n v="337.77019999999999"/>
    <m/>
    <n v="1448.1962941031572"/>
    <n v="351.85392208080407"/>
    <n v="0"/>
    <n v="27245.886407599999"/>
    <n v="6445.3309564000001"/>
    <n v="0"/>
    <n v="26779.806992816353"/>
    <n v="6714.0765411459033"/>
  </r>
  <r>
    <s v="Regular"/>
    <x v="0"/>
    <x v="1"/>
    <x v="3"/>
    <x v="1"/>
    <x v="1"/>
    <x v="0"/>
    <x v="2"/>
    <x v="8"/>
    <n v="0"/>
    <n v="0"/>
    <n v="16.46"/>
    <n v="16.46"/>
    <n v="16.46"/>
    <n v="16.46"/>
    <n v="0"/>
    <x v="1"/>
    <n v="0"/>
    <n v="0"/>
    <n v="5"/>
    <n v="69"/>
    <n v="0"/>
    <n v="1427.8317999999999"/>
    <n v="337.77019999999999"/>
    <m/>
    <n v="1448.1962941031572"/>
    <n v="351.85392208080407"/>
    <n v="0"/>
    <n v="23502.111428"/>
    <n v="5559.6974920000002"/>
    <n v="0"/>
    <n v="23100.074578228548"/>
    <n v="5791.515557450035"/>
  </r>
  <r>
    <s v="Regular"/>
    <x v="0"/>
    <x v="1"/>
    <x v="3"/>
    <x v="1"/>
    <x v="1"/>
    <x v="0"/>
    <x v="2"/>
    <x v="9"/>
    <n v="0"/>
    <n v="0"/>
    <n v="17.936"/>
    <n v="17.936"/>
    <n v="17.936"/>
    <n v="17.936"/>
    <n v="0"/>
    <x v="1"/>
    <n v="0"/>
    <n v="0"/>
    <n v="5"/>
    <n v="69"/>
    <n v="0"/>
    <n v="1427.8317999999999"/>
    <n v="337.77019999999999"/>
    <m/>
    <n v="1448.1962941031572"/>
    <n v="351.85392208080407"/>
    <n v="0"/>
    <n v="25609.5911648"/>
    <n v="6058.2463072"/>
    <n v="0"/>
    <n v="25171.502893991932"/>
    <n v="6310.8519464413021"/>
  </r>
  <r>
    <s v="Regular"/>
    <x v="0"/>
    <x v="1"/>
    <x v="3"/>
    <x v="1"/>
    <x v="1"/>
    <x v="0"/>
    <x v="2"/>
    <x v="10"/>
    <n v="0"/>
    <n v="0"/>
    <n v="18.001000000000001"/>
    <n v="18.001000000000001"/>
    <n v="18.001000000000001"/>
    <n v="18.001000000000001"/>
    <n v="0"/>
    <x v="1"/>
    <n v="0"/>
    <n v="0"/>
    <n v="5"/>
    <n v="69"/>
    <n v="0"/>
    <n v="1427.8317999999999"/>
    <n v="337.77019999999999"/>
    <m/>
    <n v="1448.1962941031572"/>
    <n v="351.85392208080407"/>
    <n v="0"/>
    <n v="25702.400231800002"/>
    <n v="6080.2013702000004"/>
    <n v="0"/>
    <n v="25262.724330661731"/>
    <n v="6333.7224513765541"/>
  </r>
  <r>
    <s v="PROJETADO"/>
    <x v="0"/>
    <x v="1"/>
    <x v="3"/>
    <x v="1"/>
    <x v="1"/>
    <x v="0"/>
    <x v="2"/>
    <x v="11"/>
    <n v="0"/>
    <n v="0"/>
    <n v="18.001000000000001"/>
    <n v="18.001000000000001"/>
    <n v="18.001000000000001"/>
    <n v="18.001000000000001"/>
    <n v="0"/>
    <x v="1"/>
    <n v="0"/>
    <n v="0"/>
    <n v="5"/>
    <n v="69"/>
    <n v="0"/>
    <n v="1427.8317999999999"/>
    <n v="337.77019999999999"/>
    <m/>
    <n v="1448.1962941031572"/>
    <n v="351.85392208080407"/>
    <n v="0"/>
    <n v="25702.400231800002"/>
    <n v="6080.2013702000004"/>
    <n v="0"/>
    <n v="25262.724330661731"/>
    <n v="6333.7224513765541"/>
  </r>
  <r>
    <s v="Regular"/>
    <x v="1"/>
    <x v="2"/>
    <x v="4"/>
    <x v="2"/>
    <x v="1"/>
    <x v="0"/>
    <x v="1"/>
    <x v="0"/>
    <n v="0"/>
    <n v="0"/>
    <n v="4928.0069999999996"/>
    <n v="4928.0069999999996"/>
    <n v="4928.0069999999996"/>
    <n v="4928.0069999999996"/>
    <n v="33874"/>
    <x v="1"/>
    <n v="0"/>
    <n v="0"/>
    <n v="2"/>
    <n v="41"/>
    <n v="0"/>
    <n v="338.51"/>
    <n v="224.01"/>
    <m/>
    <n v="417.58832886049538"/>
    <n v="234.64376439748159"/>
    <n v="0"/>
    <n v="1668179.6495699999"/>
    <n v="1103922.8480699998"/>
    <n v="0"/>
    <n v="2057878.2077428231"/>
    <n v="1156326.11345714"/>
  </r>
  <r>
    <s v="Refaturamento - Regular"/>
    <x v="1"/>
    <x v="2"/>
    <x v="4"/>
    <x v="2"/>
    <x v="1"/>
    <x v="0"/>
    <x v="1"/>
    <x v="0"/>
    <n v="0"/>
    <n v="0"/>
    <n v="-7.3739999999999997"/>
    <n v="-7.3739999999999997"/>
    <n v="-7.3739999999999997"/>
    <n v="-7.3739999999999997"/>
    <n v="0"/>
    <x v="1"/>
    <n v="0"/>
    <n v="0"/>
    <n v="2"/>
    <n v="41"/>
    <n v="0"/>
    <n v="338.51"/>
    <n v="224.01"/>
    <m/>
    <n v="417.58832886049538"/>
    <n v="234.64376439748159"/>
    <n v="0"/>
    <n v="-2496.17274"/>
    <n v="-1651.8497399999999"/>
    <n v="0"/>
    <n v="-3079.2963370172929"/>
    <n v="-1730.2631186670292"/>
  </r>
  <r>
    <s v="Sistema de Compensação"/>
    <x v="1"/>
    <x v="2"/>
    <x v="4"/>
    <x v="2"/>
    <x v="1"/>
    <x v="0"/>
    <x v="1"/>
    <x v="0"/>
    <n v="0"/>
    <n v="0"/>
    <n v="15.32"/>
    <n v="15.32"/>
    <n v="15.32"/>
    <n v="15.32"/>
    <n v="70"/>
    <x v="1"/>
    <n v="0"/>
    <n v="0"/>
    <n v="2"/>
    <n v="41"/>
    <n v="0"/>
    <n v="338.51"/>
    <n v="224.01"/>
    <m/>
    <n v="417.58832886049538"/>
    <n v="234.64376439748159"/>
    <n v="0"/>
    <n v="5185.9732000000004"/>
    <n v="3431.8332"/>
    <n v="0"/>
    <n v="6397.453198142789"/>
    <n v="3594.7424705694179"/>
  </r>
  <r>
    <s v="Regular"/>
    <x v="1"/>
    <x v="2"/>
    <x v="4"/>
    <x v="2"/>
    <x v="1"/>
    <x v="0"/>
    <x v="1"/>
    <x v="1"/>
    <n v="0"/>
    <n v="0"/>
    <n v="5208.9440000000004"/>
    <n v="5208.9440000000004"/>
    <n v="5208.9440000000004"/>
    <n v="5208.9440000000004"/>
    <n v="33927"/>
    <x v="1"/>
    <n v="0"/>
    <n v="0"/>
    <n v="2"/>
    <n v="41"/>
    <n v="0"/>
    <n v="338.51"/>
    <n v="224.01"/>
    <m/>
    <n v="417.58832886049538"/>
    <n v="234.64376439748159"/>
    <n v="0"/>
    <n v="1763279.63344"/>
    <n v="1166855.54544"/>
    <n v="0"/>
    <n v="2175194.2200879045"/>
    <n v="1222246.2286956755"/>
  </r>
  <r>
    <s v="Refaturamento - Regular"/>
    <x v="1"/>
    <x v="2"/>
    <x v="4"/>
    <x v="2"/>
    <x v="1"/>
    <x v="0"/>
    <x v="1"/>
    <x v="1"/>
    <n v="0"/>
    <n v="0"/>
    <n v="-5.6660000000000004"/>
    <n v="-5.6660000000000004"/>
    <n v="-5.6660000000000004"/>
    <n v="-5.6660000000000004"/>
    <n v="0"/>
    <x v="1"/>
    <n v="0"/>
    <n v="0"/>
    <n v="2"/>
    <n v="41"/>
    <n v="0"/>
    <n v="338.51"/>
    <n v="224.01"/>
    <m/>
    <n v="417.58832886049538"/>
    <n v="234.64376439748159"/>
    <n v="0"/>
    <n v="-1917.99766"/>
    <n v="-1269.2406599999999"/>
    <n v="0"/>
    <n v="-2366.055471323567"/>
    <n v="-1329.4915690761309"/>
  </r>
  <r>
    <s v="Sistema de Compensação"/>
    <x v="1"/>
    <x v="2"/>
    <x v="4"/>
    <x v="2"/>
    <x v="1"/>
    <x v="0"/>
    <x v="1"/>
    <x v="1"/>
    <n v="0"/>
    <n v="0"/>
    <n v="17.734000000000002"/>
    <n v="17.734000000000002"/>
    <n v="17.734000000000002"/>
    <n v="17.734000000000002"/>
    <n v="76"/>
    <x v="1"/>
    <n v="0"/>
    <n v="0"/>
    <n v="2"/>
    <n v="41"/>
    <n v="0"/>
    <n v="338.51"/>
    <n v="224.01"/>
    <m/>
    <n v="417.58832886049538"/>
    <n v="234.64376439748159"/>
    <n v="0"/>
    <n v="6003.13634"/>
    <n v="3972.5933400000004"/>
    <n v="0"/>
    <n v="7405.5114240120256"/>
    <n v="4161.172517824939"/>
  </r>
  <r>
    <s v="Regular"/>
    <x v="1"/>
    <x v="2"/>
    <x v="4"/>
    <x v="2"/>
    <x v="1"/>
    <x v="0"/>
    <x v="1"/>
    <x v="2"/>
    <n v="0"/>
    <n v="0"/>
    <n v="4926.8670000000002"/>
    <n v="4926.8670000000002"/>
    <n v="4926.8670000000002"/>
    <n v="4926.8670000000002"/>
    <n v="33992"/>
    <x v="1"/>
    <n v="0"/>
    <n v="0"/>
    <n v="2"/>
    <n v="41"/>
    <n v="0"/>
    <n v="338.51"/>
    <n v="224.01"/>
    <m/>
    <n v="417.58832886049538"/>
    <n v="234.64376439748159"/>
    <n v="0"/>
    <n v="1667793.74817"/>
    <n v="1103667.47667"/>
    <n v="0"/>
    <n v="2057402.1570479223"/>
    <n v="1156058.619565727"/>
  </r>
  <r>
    <s v="Refaturamento - Regular"/>
    <x v="1"/>
    <x v="2"/>
    <x v="4"/>
    <x v="2"/>
    <x v="1"/>
    <x v="0"/>
    <x v="1"/>
    <x v="2"/>
    <n v="0"/>
    <n v="0"/>
    <n v="-4.68"/>
    <n v="-4.68"/>
    <n v="-4.68"/>
    <n v="-4.68"/>
    <n v="0"/>
    <x v="1"/>
    <n v="0"/>
    <n v="0"/>
    <n v="2"/>
    <n v="41"/>
    <n v="0"/>
    <n v="338.51"/>
    <n v="224.01"/>
    <m/>
    <n v="417.58832886049538"/>
    <n v="234.64376439748159"/>
    <n v="0"/>
    <n v="-1584.2267999999999"/>
    <n v="-1048.3667999999998"/>
    <n v="0"/>
    <n v="-1954.3133790671181"/>
    <n v="-1098.1328173802137"/>
  </r>
  <r>
    <s v="Sistema de Compensação"/>
    <x v="1"/>
    <x v="2"/>
    <x v="4"/>
    <x v="2"/>
    <x v="1"/>
    <x v="0"/>
    <x v="1"/>
    <x v="2"/>
    <n v="0"/>
    <n v="0"/>
    <n v="14.765000000000001"/>
    <n v="14.765000000000001"/>
    <n v="14.765000000000001"/>
    <n v="14.765000000000001"/>
    <n v="77"/>
    <x v="1"/>
    <n v="0"/>
    <n v="0"/>
    <n v="2"/>
    <n v="41"/>
    <n v="0"/>
    <n v="338.51"/>
    <n v="224.01"/>
    <m/>
    <n v="417.58832886049538"/>
    <n v="234.64376439748159"/>
    <n v="0"/>
    <n v="4998.1001500000002"/>
    <n v="3307.50765"/>
    <n v="0"/>
    <n v="6165.6916756252149"/>
    <n v="3464.5151813288157"/>
  </r>
  <r>
    <s v="Regular"/>
    <x v="1"/>
    <x v="2"/>
    <x v="4"/>
    <x v="2"/>
    <x v="1"/>
    <x v="0"/>
    <x v="1"/>
    <x v="3"/>
    <n v="0"/>
    <n v="0"/>
    <n v="5126.7280000000001"/>
    <n v="5126.7280000000001"/>
    <n v="5126.7280000000001"/>
    <n v="5126.7280000000001"/>
    <n v="34168"/>
    <x v="1"/>
    <n v="0"/>
    <n v="0"/>
    <n v="2"/>
    <n v="41"/>
    <n v="0"/>
    <n v="338.51"/>
    <n v="224.01"/>
    <m/>
    <n v="417.58832886049538"/>
    <n v="234.64376439748159"/>
    <n v="0"/>
    <n v="1735448.6952799999"/>
    <n v="1148438.33928"/>
    <n v="0"/>
    <n v="2140861.7780423099"/>
    <n v="1202954.756961972"/>
  </r>
  <r>
    <s v="Refaturamento - Regular"/>
    <x v="1"/>
    <x v="2"/>
    <x v="4"/>
    <x v="2"/>
    <x v="1"/>
    <x v="0"/>
    <x v="1"/>
    <x v="3"/>
    <n v="0"/>
    <n v="0"/>
    <n v="-5.8"/>
    <n v="-5.8"/>
    <n v="-5.8"/>
    <n v="-5.8"/>
    <n v="0"/>
    <x v="1"/>
    <n v="0"/>
    <n v="0"/>
    <n v="2"/>
    <n v="41"/>
    <n v="0"/>
    <n v="338.51"/>
    <n v="224.01"/>
    <m/>
    <n v="417.58832886049538"/>
    <n v="234.64376439748159"/>
    <n v="0"/>
    <n v="-1963.3579999999999"/>
    <n v="-1299.2579999999998"/>
    <n v="0"/>
    <n v="-2422.012307390873"/>
    <n v="-1360.9338335053931"/>
  </r>
  <r>
    <s v="Sistema de Compensação"/>
    <x v="1"/>
    <x v="2"/>
    <x v="4"/>
    <x v="2"/>
    <x v="1"/>
    <x v="0"/>
    <x v="1"/>
    <x v="3"/>
    <n v="0"/>
    <n v="0"/>
    <n v="12.593"/>
    <n v="12.593"/>
    <n v="12.593"/>
    <n v="12.593"/>
    <n v="89"/>
    <x v="1"/>
    <n v="0"/>
    <n v="0"/>
    <n v="2"/>
    <n v="41"/>
    <n v="0"/>
    <n v="338.51"/>
    <n v="224.01"/>
    <m/>
    <n v="417.58832886049538"/>
    <n v="234.64376439748159"/>
    <n v="0"/>
    <n v="4262.8564299999998"/>
    <n v="2820.95793"/>
    <n v="0"/>
    <n v="5258.6898253402187"/>
    <n v="2954.8689250574857"/>
  </r>
  <r>
    <s v="Regular"/>
    <x v="1"/>
    <x v="2"/>
    <x v="4"/>
    <x v="2"/>
    <x v="1"/>
    <x v="0"/>
    <x v="1"/>
    <x v="4"/>
    <n v="0"/>
    <n v="0"/>
    <n v="5234.1000000000004"/>
    <n v="5234.1000000000004"/>
    <n v="5234.1000000000004"/>
    <n v="5234.1000000000004"/>
    <n v="34261"/>
    <x v="1"/>
    <n v="0"/>
    <n v="0"/>
    <n v="2"/>
    <n v="41"/>
    <n v="0"/>
    <n v="338.51"/>
    <n v="224.01"/>
    <m/>
    <n v="417.58832886049538"/>
    <n v="234.64376439748159"/>
    <n v="0"/>
    <n v="1771795.1910000001"/>
    <n v="1172490.7409999999"/>
    <n v="0"/>
    <n v="2185699.0720887189"/>
    <n v="1228148.9272328585"/>
  </r>
  <r>
    <s v="Refaturamento - Regular"/>
    <x v="1"/>
    <x v="2"/>
    <x v="4"/>
    <x v="2"/>
    <x v="1"/>
    <x v="0"/>
    <x v="1"/>
    <x v="4"/>
    <n v="0"/>
    <n v="0"/>
    <n v="-5.3869999999999996"/>
    <n v="-5.3869999999999996"/>
    <n v="-5.3869999999999996"/>
    <n v="-5.3869999999999996"/>
    <n v="0"/>
    <x v="1"/>
    <n v="0"/>
    <n v="0"/>
    <n v="2"/>
    <n v="41"/>
    <n v="0"/>
    <n v="338.51"/>
    <n v="224.01"/>
    <m/>
    <n v="417.58832886049538"/>
    <n v="234.64376439748159"/>
    <n v="0"/>
    <n v="-1823.5533699999999"/>
    <n v="-1206.7418699999998"/>
    <n v="0"/>
    <n v="-2249.5483275714882"/>
    <n v="-1264.0259588092333"/>
  </r>
  <r>
    <s v="Sistema de Compensação"/>
    <x v="1"/>
    <x v="2"/>
    <x v="4"/>
    <x v="2"/>
    <x v="1"/>
    <x v="0"/>
    <x v="1"/>
    <x v="4"/>
    <n v="0"/>
    <n v="0"/>
    <n v="12.22"/>
    <n v="12.22"/>
    <n v="12.22"/>
    <n v="12.22"/>
    <n v="97"/>
    <x v="1"/>
    <n v="0"/>
    <n v="0"/>
    <n v="2"/>
    <n v="41"/>
    <n v="0"/>
    <n v="338.51"/>
    <n v="224.01"/>
    <m/>
    <n v="417.58832886049538"/>
    <n v="234.64376439748159"/>
    <n v="0"/>
    <n v="4136.5922"/>
    <n v="2737.4022"/>
    <n v="0"/>
    <n v="5102.9293786752542"/>
    <n v="2867.346800937225"/>
  </r>
  <r>
    <s v="Regular"/>
    <x v="1"/>
    <x v="2"/>
    <x v="4"/>
    <x v="2"/>
    <x v="1"/>
    <x v="0"/>
    <x v="1"/>
    <x v="5"/>
    <n v="0"/>
    <n v="0"/>
    <n v="7849.884"/>
    <n v="7849.884"/>
    <n v="7849.884"/>
    <n v="7849.884"/>
    <n v="34480"/>
    <x v="1"/>
    <n v="0"/>
    <n v="0"/>
    <n v="2"/>
    <n v="41"/>
    <n v="0"/>
    <n v="338.51"/>
    <n v="224.01"/>
    <m/>
    <n v="417.58832886049538"/>
    <n v="234.64376439748159"/>
    <n v="0"/>
    <n v="2657264.2328399997"/>
    <n v="1758452.5148399998"/>
    <n v="0"/>
    <n v="3278019.941308741"/>
    <n v="1841926.3318435603"/>
  </r>
  <r>
    <s v="Refaturamento - Regular"/>
    <x v="1"/>
    <x v="2"/>
    <x v="4"/>
    <x v="2"/>
    <x v="1"/>
    <x v="0"/>
    <x v="1"/>
    <x v="5"/>
    <n v="0"/>
    <n v="0"/>
    <n v="-6.492"/>
    <n v="-6.492"/>
    <n v="-6.492"/>
    <n v="-6.492"/>
    <n v="0"/>
    <x v="1"/>
    <n v="0"/>
    <n v="0"/>
    <n v="2"/>
    <n v="41"/>
    <n v="0"/>
    <n v="338.51"/>
    <n v="224.01"/>
    <m/>
    <n v="417.58832886049538"/>
    <n v="234.64376439748159"/>
    <n v="0"/>
    <n v="-2197.6069199999997"/>
    <n v="-1454.2729199999999"/>
    <n v="0"/>
    <n v="-2710.9834309623361"/>
    <n v="-1523.3073184684504"/>
  </r>
  <r>
    <s v="Sistema de Compensação"/>
    <x v="1"/>
    <x v="2"/>
    <x v="4"/>
    <x v="2"/>
    <x v="1"/>
    <x v="0"/>
    <x v="1"/>
    <x v="5"/>
    <n v="0"/>
    <n v="0"/>
    <n v="20.792000000000002"/>
    <n v="20.792000000000002"/>
    <n v="20.792000000000002"/>
    <n v="20.792000000000002"/>
    <n v="112"/>
    <x v="1"/>
    <n v="0"/>
    <n v="0"/>
    <n v="2"/>
    <n v="41"/>
    <n v="0"/>
    <n v="338.51"/>
    <n v="224.01"/>
    <m/>
    <n v="417.58832886049538"/>
    <n v="234.64376439748159"/>
    <n v="0"/>
    <n v="7038.2999200000004"/>
    <n v="4657.6159200000002"/>
    <n v="0"/>
    <n v="8682.4965336674213"/>
    <n v="4878.7131493524375"/>
  </r>
  <r>
    <s v="Sistema de Compensação"/>
    <x v="1"/>
    <x v="2"/>
    <x v="4"/>
    <x v="2"/>
    <x v="1"/>
    <x v="0"/>
    <x v="1"/>
    <x v="5"/>
    <n v="0"/>
    <n v="0"/>
    <n v="-0.123"/>
    <n v="-0.123"/>
    <n v="-0.123"/>
    <n v="-0.123"/>
    <n v="2"/>
    <x v="1"/>
    <n v="0"/>
    <n v="0"/>
    <n v="2"/>
    <n v="41"/>
    <n v="0"/>
    <n v="338.51"/>
    <n v="224.01"/>
    <m/>
    <n v="417.58832886049538"/>
    <n v="234.64376439748159"/>
    <n v="0"/>
    <n v="-41.63673"/>
    <n v="-27.553229999999999"/>
    <n v="0"/>
    <n v="-51.36336444984093"/>
    <n v="-28.861183020890234"/>
  </r>
  <r>
    <s v="Regular"/>
    <x v="1"/>
    <x v="2"/>
    <x v="4"/>
    <x v="2"/>
    <x v="1"/>
    <x v="0"/>
    <x v="1"/>
    <x v="6"/>
    <n v="0"/>
    <n v="0"/>
    <n v="7514.75"/>
    <n v="7514.75"/>
    <n v="7514.75"/>
    <n v="7514.75"/>
    <n v="34521"/>
    <x v="1"/>
    <n v="0"/>
    <n v="0"/>
    <n v="2"/>
    <n v="41"/>
    <n v="0"/>
    <n v="338.51"/>
    <n v="224.01"/>
    <m/>
    <n v="417.58832886049538"/>
    <n v="234.64376439748159"/>
    <n v="0"/>
    <n v="2543818.0225"/>
    <n v="1683379.1475"/>
    <n v="0"/>
    <n v="3138071.8943044078"/>
    <n v="1763289.2285059749"/>
  </r>
  <r>
    <s v="Refaturamento - Regular"/>
    <x v="1"/>
    <x v="2"/>
    <x v="4"/>
    <x v="2"/>
    <x v="1"/>
    <x v="0"/>
    <x v="1"/>
    <x v="6"/>
    <n v="0"/>
    <n v="0"/>
    <n v="-40.649000000000001"/>
    <n v="-40.649000000000001"/>
    <n v="-40.649000000000001"/>
    <n v="-40.649000000000001"/>
    <n v="0"/>
    <x v="1"/>
    <n v="0"/>
    <n v="0"/>
    <n v="2"/>
    <n v="41"/>
    <n v="0"/>
    <n v="338.51"/>
    <n v="224.01"/>
    <m/>
    <n v="417.58832886049538"/>
    <n v="234.64376439748159"/>
    <n v="0"/>
    <n v="-13760.092989999999"/>
    <n v="-9105.7824899999996"/>
    <n v="0"/>
    <n v="-16974.547979850278"/>
    <n v="-9538.0343789932285"/>
  </r>
  <r>
    <s v="Sistema de Compensação"/>
    <x v="1"/>
    <x v="2"/>
    <x v="4"/>
    <x v="2"/>
    <x v="1"/>
    <x v="0"/>
    <x v="1"/>
    <x v="6"/>
    <n v="0"/>
    <n v="0"/>
    <n v="26.545999999999999"/>
    <n v="26.545999999999999"/>
    <n v="26.545999999999999"/>
    <n v="26.545999999999999"/>
    <n v="125"/>
    <x v="1"/>
    <n v="0"/>
    <n v="0"/>
    <n v="2"/>
    <n v="41"/>
    <n v="0"/>
    <n v="338.51"/>
    <n v="224.01"/>
    <m/>
    <n v="417.58832886049538"/>
    <n v="234.64376439748159"/>
    <n v="0"/>
    <n v="8986.0864600000004"/>
    <n v="5946.5694599999997"/>
    <n v="0"/>
    <n v="11085.29977793071"/>
    <n v="6228.8533696955465"/>
  </r>
  <r>
    <s v="Sistema de Compensação"/>
    <x v="1"/>
    <x v="2"/>
    <x v="4"/>
    <x v="2"/>
    <x v="1"/>
    <x v="0"/>
    <x v="1"/>
    <x v="6"/>
    <n v="0"/>
    <n v="0"/>
    <n v="0.34799999999999998"/>
    <n v="0.34799999999999998"/>
    <n v="0.34799999999999998"/>
    <n v="0.34799999999999998"/>
    <n v="2"/>
    <x v="1"/>
    <n v="0"/>
    <n v="0"/>
    <n v="2"/>
    <n v="41"/>
    <n v="0"/>
    <n v="338.51"/>
    <n v="224.01"/>
    <m/>
    <n v="417.58832886049538"/>
    <n v="234.64376439748159"/>
    <n v="0"/>
    <n v="117.80147999999998"/>
    <n v="77.955479999999994"/>
    <n v="0"/>
    <n v="145.32073844345237"/>
    <n v="81.65603001032359"/>
  </r>
  <r>
    <s v="Regular"/>
    <x v="1"/>
    <x v="2"/>
    <x v="4"/>
    <x v="2"/>
    <x v="1"/>
    <x v="0"/>
    <x v="1"/>
    <x v="7"/>
    <n v="0"/>
    <n v="0"/>
    <n v="6618.0469999999996"/>
    <n v="6618.0469999999996"/>
    <n v="6618.0469999999996"/>
    <n v="6618.0469999999996"/>
    <n v="34509"/>
    <x v="1"/>
    <n v="0"/>
    <n v="0"/>
    <n v="2"/>
    <n v="41"/>
    <n v="0"/>
    <n v="338.51"/>
    <n v="224.01"/>
    <m/>
    <n v="417.58832886049538"/>
    <n v="234.64376439748159"/>
    <n v="0"/>
    <n v="2240275.0899699996"/>
    <n v="1482508.70847"/>
    <n v="0"/>
    <n v="2763619.1870502145"/>
    <n v="1552883.4610394598"/>
  </r>
  <r>
    <s v="Refaturamento - Regular"/>
    <x v="1"/>
    <x v="2"/>
    <x v="4"/>
    <x v="2"/>
    <x v="1"/>
    <x v="0"/>
    <x v="1"/>
    <x v="7"/>
    <n v="0"/>
    <n v="0"/>
    <n v="-17.483000000000001"/>
    <n v="-17.483000000000001"/>
    <n v="-17.483000000000001"/>
    <n v="-17.483000000000001"/>
    <n v="0"/>
    <x v="1"/>
    <n v="0"/>
    <n v="0"/>
    <n v="2"/>
    <n v="41"/>
    <n v="0"/>
    <n v="338.51"/>
    <n v="224.01"/>
    <m/>
    <n v="417.58832886049538"/>
    <n v="234.64376439748159"/>
    <n v="0"/>
    <n v="-5918.1703299999999"/>
    <n v="-3916.3668299999999"/>
    <n v="0"/>
    <n v="-7300.6967534680407"/>
    <n v="-4102.276932961171"/>
  </r>
  <r>
    <s v="Sistema de Compensação"/>
    <x v="1"/>
    <x v="2"/>
    <x v="4"/>
    <x v="2"/>
    <x v="1"/>
    <x v="0"/>
    <x v="1"/>
    <x v="7"/>
    <n v="0"/>
    <n v="0"/>
    <n v="28.388000000000002"/>
    <n v="28.388000000000002"/>
    <n v="28.388000000000002"/>
    <n v="28.388000000000002"/>
    <n v="137"/>
    <x v="1"/>
    <n v="0"/>
    <n v="0"/>
    <n v="2"/>
    <n v="41"/>
    <n v="0"/>
    <n v="338.51"/>
    <n v="224.01"/>
    <m/>
    <n v="417.58832886049538"/>
    <n v="234.64376439748159"/>
    <n v="0"/>
    <n v="9609.6218800000006"/>
    <n v="6359.1958800000002"/>
    <n v="0"/>
    <n v="11854.497479691743"/>
    <n v="6661.0671837157079"/>
  </r>
  <r>
    <s v="Regular"/>
    <x v="1"/>
    <x v="2"/>
    <x v="4"/>
    <x v="2"/>
    <x v="1"/>
    <x v="0"/>
    <x v="1"/>
    <x v="8"/>
    <n v="0"/>
    <n v="0"/>
    <n v="5701.33"/>
    <n v="5701.33"/>
    <n v="5701.33"/>
    <n v="5701.33"/>
    <n v="34551"/>
    <x v="1"/>
    <n v="0"/>
    <n v="0"/>
    <n v="2"/>
    <n v="41"/>
    <n v="0"/>
    <n v="338.51"/>
    <n v="224.01"/>
    <m/>
    <n v="417.58832886049538"/>
    <n v="234.64376439748159"/>
    <n v="0"/>
    <n v="1929957.2182999998"/>
    <n v="1277154.9332999999"/>
    <n v="0"/>
    <n v="2380808.8669822081"/>
    <n v="1337781.5332722936"/>
  </r>
  <r>
    <s v="Refaturamento - Regular"/>
    <x v="1"/>
    <x v="2"/>
    <x v="4"/>
    <x v="2"/>
    <x v="1"/>
    <x v="0"/>
    <x v="1"/>
    <x v="8"/>
    <n v="0"/>
    <n v="0"/>
    <n v="-3.4449999999999998"/>
    <n v="-3.4449999999999998"/>
    <n v="-3.4449999999999998"/>
    <n v="-3.4449999999999998"/>
    <n v="0"/>
    <x v="1"/>
    <n v="0"/>
    <n v="0"/>
    <n v="2"/>
    <n v="41"/>
    <n v="0"/>
    <n v="338.51"/>
    <n v="224.01"/>
    <m/>
    <n v="417.58832886049538"/>
    <n v="234.64376439748159"/>
    <n v="0"/>
    <n v="-1166.1669499999998"/>
    <n v="-771.71444999999994"/>
    <n v="0"/>
    <n v="-1438.5917929244065"/>
    <n v="-808.34776834932404"/>
  </r>
  <r>
    <s v="Sistema de Compensação"/>
    <x v="1"/>
    <x v="2"/>
    <x v="4"/>
    <x v="2"/>
    <x v="1"/>
    <x v="0"/>
    <x v="1"/>
    <x v="8"/>
    <n v="0"/>
    <n v="0"/>
    <n v="25.193000000000001"/>
    <n v="25.193000000000001"/>
    <n v="25.193000000000001"/>
    <n v="25.193000000000001"/>
    <n v="149"/>
    <x v="1"/>
    <n v="0"/>
    <n v="0"/>
    <n v="2"/>
    <n v="41"/>
    <n v="0"/>
    <n v="338.51"/>
    <n v="224.01"/>
    <m/>
    <n v="417.58832886049538"/>
    <n v="234.64376439748159"/>
    <n v="0"/>
    <n v="8528.0824300000004"/>
    <n v="5643.4839300000003"/>
    <n v="0"/>
    <n v="10520.302768982461"/>
    <n v="5911.3803564657537"/>
  </r>
  <r>
    <s v="Regular"/>
    <x v="1"/>
    <x v="2"/>
    <x v="4"/>
    <x v="2"/>
    <x v="1"/>
    <x v="0"/>
    <x v="1"/>
    <x v="9"/>
    <n v="0"/>
    <n v="0"/>
    <n v="5303.0519999999997"/>
    <n v="5303.0519999999997"/>
    <n v="5303.0519999999997"/>
    <n v="5303.0519999999997"/>
    <n v="34508"/>
    <x v="1"/>
    <n v="0"/>
    <n v="0"/>
    <n v="2"/>
    <n v="41"/>
    <n v="0"/>
    <n v="338.51"/>
    <n v="224.01"/>
    <m/>
    <n v="417.58832886049538"/>
    <n v="234.64376439748159"/>
    <n v="0"/>
    <n v="1795136.1325199998"/>
    <n v="1187936.6785199998"/>
    <n v="0"/>
    <n v="2214492.6225403077"/>
    <n v="1244328.0840755934"/>
  </r>
  <r>
    <s v="Refaturamento - Regular"/>
    <x v="1"/>
    <x v="2"/>
    <x v="4"/>
    <x v="2"/>
    <x v="1"/>
    <x v="0"/>
    <x v="1"/>
    <x v="9"/>
    <n v="0"/>
    <n v="0"/>
    <n v="-6.3440000000000003"/>
    <n v="-6.3440000000000003"/>
    <n v="-6.3440000000000003"/>
    <n v="-6.3440000000000003"/>
    <n v="0"/>
    <x v="1"/>
    <n v="0"/>
    <n v="0"/>
    <n v="2"/>
    <n v="41"/>
    <n v="0"/>
    <n v="338.51"/>
    <n v="224.01"/>
    <m/>
    <n v="417.58832886049538"/>
    <n v="234.64376439748159"/>
    <n v="0"/>
    <n v="-2147.5074399999999"/>
    <n v="-1421.1194399999999"/>
    <n v="0"/>
    <n v="-2649.1803582909829"/>
    <n v="-1488.5800413376232"/>
  </r>
  <r>
    <s v="Sistema de Compensação"/>
    <x v="1"/>
    <x v="2"/>
    <x v="4"/>
    <x v="2"/>
    <x v="1"/>
    <x v="0"/>
    <x v="1"/>
    <x v="9"/>
    <n v="0"/>
    <n v="0"/>
    <n v="25.428999999999998"/>
    <n v="25.428999999999998"/>
    <n v="25.428999999999998"/>
    <n v="25.428999999999998"/>
    <n v="161"/>
    <x v="1"/>
    <n v="0"/>
    <n v="0"/>
    <n v="2"/>
    <n v="41"/>
    <n v="0"/>
    <n v="338.51"/>
    <n v="224.01"/>
    <m/>
    <n v="417.58832886049538"/>
    <n v="234.64376439748159"/>
    <n v="0"/>
    <n v="8607.9707899999994"/>
    <n v="5696.3502899999994"/>
    <n v="0"/>
    <n v="10618.853614593536"/>
    <n v="5966.7562848635589"/>
  </r>
  <r>
    <s v="Regular"/>
    <x v="1"/>
    <x v="2"/>
    <x v="4"/>
    <x v="2"/>
    <x v="1"/>
    <x v="0"/>
    <x v="1"/>
    <x v="10"/>
    <n v="0"/>
    <n v="0"/>
    <n v="4975.6130000000003"/>
    <n v="4975.6130000000003"/>
    <n v="4975.6130000000003"/>
    <n v="4975.6130000000003"/>
    <n v="34371"/>
    <x v="1"/>
    <n v="0"/>
    <n v="0"/>
    <n v="2"/>
    <n v="41"/>
    <n v="0"/>
    <n v="338.51"/>
    <n v="224.01"/>
    <m/>
    <n v="417.58832886049538"/>
    <n v="234.64376439748159"/>
    <n v="0"/>
    <n v="1684294.75663"/>
    <n v="1114587.06813"/>
    <n v="0"/>
    <n v="2077757.9177265561"/>
    <n v="1167496.5645050467"/>
  </r>
  <r>
    <s v="Refaturamento - Regular"/>
    <x v="1"/>
    <x v="2"/>
    <x v="4"/>
    <x v="2"/>
    <x v="1"/>
    <x v="0"/>
    <x v="1"/>
    <x v="10"/>
    <n v="0"/>
    <n v="0"/>
    <n v="-300.40899999999999"/>
    <n v="-300.40899999999999"/>
    <n v="-300.40899999999999"/>
    <n v="-300.40899999999999"/>
    <n v="0"/>
    <x v="1"/>
    <n v="0"/>
    <n v="0"/>
    <n v="2"/>
    <n v="41"/>
    <n v="0"/>
    <n v="338.51"/>
    <n v="224.01"/>
    <m/>
    <n v="417.58832886049538"/>
    <n v="234.64376439748159"/>
    <n v="0"/>
    <n v="-101691.45058999999"/>
    <n v="-67294.620089999997"/>
    <n v="0"/>
    <n v="-125447.29228465255"/>
    <n v="-70489.098618883043"/>
  </r>
  <r>
    <s v="Sistema de Compensação"/>
    <x v="1"/>
    <x v="2"/>
    <x v="4"/>
    <x v="2"/>
    <x v="1"/>
    <x v="0"/>
    <x v="1"/>
    <x v="10"/>
    <n v="0"/>
    <n v="0"/>
    <n v="32.904000000000003"/>
    <n v="32.904000000000003"/>
    <n v="32.904000000000003"/>
    <n v="32.904000000000003"/>
    <n v="168"/>
    <x v="1"/>
    <n v="0"/>
    <n v="0"/>
    <n v="2"/>
    <n v="41"/>
    <n v="0"/>
    <n v="338.51"/>
    <n v="224.01"/>
    <m/>
    <n v="417.58832886049538"/>
    <n v="234.64376439748159"/>
    <n v="0"/>
    <n v="11138.333040000001"/>
    <n v="7370.8250400000006"/>
    <n v="0"/>
    <n v="13740.326372825741"/>
    <n v="7720.7184237347346"/>
  </r>
  <r>
    <s v="PROJETADO"/>
    <x v="1"/>
    <x v="2"/>
    <x v="4"/>
    <x v="2"/>
    <x v="1"/>
    <x v="0"/>
    <x v="1"/>
    <x v="11"/>
    <n v="0"/>
    <n v="0"/>
    <n v="4975.6130000000003"/>
    <n v="4975.6130000000003"/>
    <n v="4975.6130000000003"/>
    <n v="4975.6130000000003"/>
    <n v="34371"/>
    <x v="1"/>
    <n v="0"/>
    <n v="0"/>
    <n v="2"/>
    <n v="41"/>
    <n v="0"/>
    <n v="338.51"/>
    <n v="224.01"/>
    <m/>
    <n v="417.58832886049538"/>
    <n v="234.64376439748159"/>
    <n v="0"/>
    <n v="1684294.75663"/>
    <n v="1114587.06813"/>
    <n v="0"/>
    <n v="2077757.9177265561"/>
    <n v="1167496.5645050467"/>
  </r>
  <r>
    <s v="PROJETADO"/>
    <x v="1"/>
    <x v="2"/>
    <x v="4"/>
    <x v="2"/>
    <x v="1"/>
    <x v="0"/>
    <x v="1"/>
    <x v="11"/>
    <n v="0"/>
    <n v="0"/>
    <n v="-300.40899999999999"/>
    <n v="-300.40899999999999"/>
    <n v="-300.40899999999999"/>
    <n v="-300.40899999999999"/>
    <n v="0"/>
    <x v="1"/>
    <n v="0"/>
    <n v="0"/>
    <n v="2"/>
    <n v="41"/>
    <n v="0"/>
    <n v="338.51"/>
    <n v="224.01"/>
    <m/>
    <n v="417.58832886049538"/>
    <n v="234.64376439748159"/>
    <n v="0"/>
    <n v="-101691.45058999999"/>
    <n v="-67294.620089999997"/>
    <n v="0"/>
    <n v="-125447.29228465255"/>
    <n v="-70489.098618883043"/>
  </r>
  <r>
    <s v="PROJETADO"/>
    <x v="1"/>
    <x v="2"/>
    <x v="4"/>
    <x v="2"/>
    <x v="1"/>
    <x v="0"/>
    <x v="1"/>
    <x v="11"/>
    <n v="0"/>
    <n v="0"/>
    <n v="32.904000000000003"/>
    <n v="32.904000000000003"/>
    <n v="32.904000000000003"/>
    <n v="32.904000000000003"/>
    <n v="168"/>
    <x v="1"/>
    <n v="0"/>
    <n v="0"/>
    <n v="2"/>
    <n v="41"/>
    <n v="0"/>
    <n v="338.51"/>
    <n v="224.01"/>
    <m/>
    <n v="417.58832886049538"/>
    <n v="234.64376439748159"/>
    <n v="0"/>
    <n v="11138.333040000001"/>
    <n v="7370.8250400000006"/>
    <n v="0"/>
    <n v="13740.326372825741"/>
    <n v="7720.7184237347346"/>
  </r>
  <r>
    <s v="Regular"/>
    <x v="1"/>
    <x v="2"/>
    <x v="4"/>
    <x v="3"/>
    <x v="1"/>
    <x v="0"/>
    <x v="1"/>
    <x v="0"/>
    <n v="0"/>
    <n v="0"/>
    <n v="39.646000000000001"/>
    <n v="39.646000000000001"/>
    <n v="39.646000000000001"/>
    <n v="39.646000000000001"/>
    <n v="69"/>
    <x v="1"/>
    <n v="0"/>
    <n v="0"/>
    <n v="28"/>
    <n v="64"/>
    <n v="0"/>
    <n v="94.55"/>
    <n v="78.400000000000006"/>
    <m/>
    <n v="102.5548534812466"/>
    <n v="82.125317539118555"/>
    <n v="0"/>
    <n v="3748.5293000000001"/>
    <n v="3108.2464000000004"/>
    <n v="0"/>
    <n v="4065.8897211175026"/>
    <n v="3255.9403391558944"/>
  </r>
  <r>
    <s v="Regular"/>
    <x v="1"/>
    <x v="2"/>
    <x v="4"/>
    <x v="3"/>
    <x v="1"/>
    <x v="0"/>
    <x v="1"/>
    <x v="1"/>
    <n v="0"/>
    <n v="0"/>
    <n v="40.024999999999999"/>
    <n v="40.024999999999999"/>
    <n v="40.024999999999999"/>
    <n v="40.024999999999999"/>
    <n v="62"/>
    <x v="1"/>
    <n v="0"/>
    <n v="0"/>
    <n v="28"/>
    <n v="64"/>
    <n v="0"/>
    <n v="94.55"/>
    <n v="78.400000000000006"/>
    <m/>
    <n v="102.5548534812466"/>
    <n v="82.125317539118555"/>
    <n v="0"/>
    <n v="3784.3637499999995"/>
    <n v="3137.96"/>
    <n v="0"/>
    <n v="4104.7580105868947"/>
    <n v="3287.0658345032202"/>
  </r>
  <r>
    <s v="Regular"/>
    <x v="1"/>
    <x v="2"/>
    <x v="4"/>
    <x v="3"/>
    <x v="1"/>
    <x v="0"/>
    <x v="1"/>
    <x v="2"/>
    <n v="0"/>
    <n v="0"/>
    <n v="40.651000000000003"/>
    <n v="40.651000000000003"/>
    <n v="40.651000000000003"/>
    <n v="40.651000000000003"/>
    <n v="62"/>
    <x v="1"/>
    <n v="0"/>
    <n v="0"/>
    <n v="28"/>
    <n v="64"/>
    <n v="0"/>
    <n v="94.55"/>
    <n v="78.400000000000006"/>
    <m/>
    <n v="102.5548534812466"/>
    <n v="82.125317539118555"/>
    <n v="0"/>
    <n v="3843.5520500000002"/>
    <n v="3187.0384000000004"/>
    <n v="0"/>
    <n v="4168.9573488661554"/>
    <n v="3338.4762832827087"/>
  </r>
  <r>
    <s v="Regular"/>
    <x v="1"/>
    <x v="2"/>
    <x v="4"/>
    <x v="3"/>
    <x v="1"/>
    <x v="0"/>
    <x v="1"/>
    <x v="3"/>
    <n v="0"/>
    <n v="0"/>
    <n v="40.799999999999997"/>
    <n v="40.799999999999997"/>
    <n v="40.799999999999997"/>
    <n v="40.799999999999997"/>
    <n v="62"/>
    <x v="1"/>
    <n v="0"/>
    <n v="0"/>
    <n v="28"/>
    <n v="64"/>
    <n v="0"/>
    <n v="94.55"/>
    <n v="78.400000000000006"/>
    <m/>
    <n v="102.5548534812466"/>
    <n v="82.125317539118555"/>
    <n v="0"/>
    <n v="3857.6399999999994"/>
    <n v="3198.72"/>
    <n v="0"/>
    <n v="4184.2380220348605"/>
    <n v="3350.7129555960369"/>
  </r>
  <r>
    <s v="Regular"/>
    <x v="1"/>
    <x v="2"/>
    <x v="4"/>
    <x v="3"/>
    <x v="1"/>
    <x v="0"/>
    <x v="1"/>
    <x v="4"/>
    <n v="0"/>
    <n v="0"/>
    <n v="41.198999999999998"/>
    <n v="41.198999999999998"/>
    <n v="41.198999999999998"/>
    <n v="41.198999999999998"/>
    <n v="61"/>
    <x v="1"/>
    <n v="0"/>
    <n v="0"/>
    <n v="28"/>
    <n v="64"/>
    <n v="0"/>
    <n v="94.55"/>
    <n v="78.400000000000006"/>
    <m/>
    <n v="102.5548534812466"/>
    <n v="82.125317539118555"/>
    <n v="0"/>
    <n v="3895.3654499999998"/>
    <n v="3230.0016000000001"/>
    <n v="0"/>
    <n v="4225.1574085738785"/>
    <n v="3383.4809572941454"/>
  </r>
  <r>
    <s v="Regular"/>
    <x v="1"/>
    <x v="2"/>
    <x v="4"/>
    <x v="3"/>
    <x v="1"/>
    <x v="0"/>
    <x v="1"/>
    <x v="5"/>
    <n v="0"/>
    <n v="0"/>
    <n v="41.094000000000001"/>
    <n v="41.094000000000001"/>
    <n v="41.094000000000001"/>
    <n v="41.094000000000001"/>
    <n v="38"/>
    <x v="1"/>
    <n v="0"/>
    <n v="0"/>
    <n v="28"/>
    <n v="64"/>
    <n v="0"/>
    <n v="94.55"/>
    <n v="78.400000000000006"/>
    <m/>
    <n v="102.5548534812466"/>
    <n v="82.125317539118555"/>
    <n v="0"/>
    <n v="3885.4376999999999"/>
    <n v="3221.7696000000005"/>
    <n v="0"/>
    <n v="4214.3891489583475"/>
    <n v="3374.8577989525379"/>
  </r>
  <r>
    <s v="Regular"/>
    <x v="1"/>
    <x v="2"/>
    <x v="4"/>
    <x v="3"/>
    <x v="1"/>
    <x v="0"/>
    <x v="1"/>
    <x v="6"/>
    <n v="0"/>
    <n v="0"/>
    <n v="41.872999999999998"/>
    <n v="41.872999999999998"/>
    <n v="41.872999999999998"/>
    <n v="41.872999999999998"/>
    <n v="35"/>
    <x v="1"/>
    <n v="0"/>
    <n v="0"/>
    <n v="28"/>
    <n v="64"/>
    <n v="0"/>
    <n v="94.55"/>
    <n v="78.400000000000006"/>
    <m/>
    <n v="102.5548534812466"/>
    <n v="82.125317539118555"/>
    <n v="0"/>
    <n v="3959.0921499999995"/>
    <n v="3282.8432000000003"/>
    <n v="0"/>
    <n v="4294.2793798202383"/>
    <n v="3438.8334213155113"/>
  </r>
  <r>
    <s v="Regular"/>
    <x v="1"/>
    <x v="2"/>
    <x v="4"/>
    <x v="3"/>
    <x v="1"/>
    <x v="0"/>
    <x v="1"/>
    <x v="7"/>
    <n v="0"/>
    <n v="0"/>
    <n v="42.484999999999999"/>
    <n v="42.484999999999999"/>
    <n v="42.484999999999999"/>
    <n v="42.484999999999999"/>
    <n v="36"/>
    <x v="1"/>
    <n v="0"/>
    <n v="0"/>
    <n v="28"/>
    <n v="64"/>
    <n v="0"/>
    <n v="94.55"/>
    <n v="78.400000000000006"/>
    <m/>
    <n v="102.5548534812466"/>
    <n v="82.125317539118555"/>
    <n v="0"/>
    <n v="4016.9567499999998"/>
    <n v="3330.8240000000001"/>
    <n v="0"/>
    <n v="4357.0429501507615"/>
    <n v="3489.0941156494519"/>
  </r>
  <r>
    <s v="Regular"/>
    <x v="1"/>
    <x v="2"/>
    <x v="4"/>
    <x v="3"/>
    <x v="1"/>
    <x v="0"/>
    <x v="1"/>
    <x v="8"/>
    <n v="0"/>
    <n v="0"/>
    <n v="42.991"/>
    <n v="42.991"/>
    <n v="42.991"/>
    <n v="42.991"/>
    <n v="47"/>
    <x v="1"/>
    <n v="0"/>
    <n v="0"/>
    <n v="28"/>
    <n v="64"/>
    <n v="0"/>
    <n v="94.55"/>
    <n v="78.400000000000006"/>
    <m/>
    <n v="102.5548534812466"/>
    <n v="82.125317539118555"/>
    <n v="0"/>
    <n v="4064.7990499999996"/>
    <n v="3370.4944"/>
    <n v="0"/>
    <n v="4408.935706012272"/>
    <n v="3530.6495263242459"/>
  </r>
  <r>
    <s v="Regular"/>
    <x v="1"/>
    <x v="2"/>
    <x v="4"/>
    <x v="3"/>
    <x v="1"/>
    <x v="0"/>
    <x v="1"/>
    <x v="9"/>
    <n v="0"/>
    <n v="0"/>
    <n v="44.802999999999997"/>
    <n v="44.802999999999997"/>
    <n v="44.802999999999997"/>
    <n v="44.802999999999997"/>
    <n v="50"/>
    <x v="1"/>
    <n v="0"/>
    <n v="0"/>
    <n v="28"/>
    <n v="64"/>
    <n v="0"/>
    <n v="94.55"/>
    <n v="78.400000000000006"/>
    <m/>
    <n v="102.5548534812466"/>
    <n v="82.125317539118555"/>
    <n v="0"/>
    <n v="4236.1236499999995"/>
    <n v="3512.5552000000002"/>
    <n v="0"/>
    <n v="4594.7651005202906"/>
    <n v="3679.4606017051283"/>
  </r>
  <r>
    <s v="Regular"/>
    <x v="1"/>
    <x v="2"/>
    <x v="4"/>
    <x v="3"/>
    <x v="1"/>
    <x v="0"/>
    <x v="1"/>
    <x v="10"/>
    <n v="0"/>
    <n v="0"/>
    <n v="49.92"/>
    <n v="49.92"/>
    <n v="49.92"/>
    <n v="49.92"/>
    <n v="71"/>
    <x v="1"/>
    <n v="0"/>
    <n v="0"/>
    <n v="28"/>
    <n v="64"/>
    <n v="0"/>
    <n v="94.55"/>
    <n v="78.400000000000006"/>
    <m/>
    <n v="102.5548534812466"/>
    <n v="82.125317539118555"/>
    <n v="0"/>
    <n v="4719.9359999999997"/>
    <n v="3913.7280000000005"/>
    <n v="0"/>
    <n v="5119.5382857838304"/>
    <n v="4099.6958515527986"/>
  </r>
  <r>
    <s v="Sistema de Compensação"/>
    <x v="1"/>
    <x v="2"/>
    <x v="4"/>
    <x v="3"/>
    <x v="1"/>
    <x v="0"/>
    <x v="1"/>
    <x v="10"/>
    <n v="0"/>
    <n v="0"/>
    <n v="0.06"/>
    <n v="-1.7999999999999999E-2"/>
    <n v="0.06"/>
    <n v="-1.7999999999999999E-2"/>
    <n v="0"/>
    <x v="1"/>
    <n v="0"/>
    <n v="0"/>
    <n v="28"/>
    <n v="64"/>
    <n v="0"/>
    <n v="94.55"/>
    <n v="78.400000000000006"/>
    <m/>
    <n v="102.5548534812466"/>
    <n v="82.125317539118555"/>
    <n v="0"/>
    <n v="-1.7018999999999997"/>
    <n v="-1.4112"/>
    <n v="0"/>
    <n v="-1.8459873626624386"/>
    <n v="-1.4782557157041338"/>
  </r>
  <r>
    <s v="PROJETADO"/>
    <x v="1"/>
    <x v="2"/>
    <x v="4"/>
    <x v="3"/>
    <x v="1"/>
    <x v="0"/>
    <x v="1"/>
    <x v="11"/>
    <n v="0"/>
    <n v="0"/>
    <n v="49.92"/>
    <n v="49.92"/>
    <n v="49.92"/>
    <n v="49.92"/>
    <n v="71"/>
    <x v="1"/>
    <n v="0"/>
    <n v="0"/>
    <n v="28"/>
    <n v="64"/>
    <n v="0"/>
    <n v="94.55"/>
    <n v="78.400000000000006"/>
    <m/>
    <n v="102.5548534812466"/>
    <n v="82.125317539118555"/>
    <n v="0"/>
    <n v="4719.9359999999997"/>
    <n v="3913.7280000000005"/>
    <n v="0"/>
    <n v="5119.5382857838304"/>
    <n v="4099.6958515527986"/>
  </r>
  <r>
    <s v="PROJETADO"/>
    <x v="1"/>
    <x v="2"/>
    <x v="4"/>
    <x v="3"/>
    <x v="1"/>
    <x v="0"/>
    <x v="1"/>
    <x v="11"/>
    <n v="0"/>
    <n v="0"/>
    <n v="0.06"/>
    <n v="-1.7999999999999999E-2"/>
    <n v="0.06"/>
    <n v="-1.7999999999999999E-2"/>
    <n v="0"/>
    <x v="1"/>
    <n v="0"/>
    <n v="0"/>
    <n v="28"/>
    <n v="64"/>
    <n v="0"/>
    <n v="94.55"/>
    <n v="78.400000000000006"/>
    <m/>
    <n v="102.5548534812466"/>
    <n v="82.125317539118555"/>
    <n v="0"/>
    <n v="-1.7018999999999997"/>
    <n v="-1.4112"/>
    <n v="0"/>
    <n v="-1.8459873626624386"/>
    <n v="-1.4782557157041338"/>
  </r>
  <r>
    <s v="Regular"/>
    <x v="1"/>
    <x v="2"/>
    <x v="4"/>
    <x v="4"/>
    <x v="1"/>
    <x v="0"/>
    <x v="1"/>
    <x v="0"/>
    <n v="0"/>
    <n v="0"/>
    <n v="79.998000000000005"/>
    <n v="79.998000000000005"/>
    <n v="79.998000000000005"/>
    <n v="79.998000000000005"/>
    <n v="276"/>
    <x v="1"/>
    <n v="0"/>
    <n v="0"/>
    <n v="30"/>
    <n v="32"/>
    <n v="0"/>
    <n v="162.08000000000001"/>
    <n v="134.4"/>
    <m/>
    <n v="175.8083202535656"/>
    <n v="140.78625863848896"/>
    <n v="0"/>
    <n v="12966.075840000001"/>
    <n v="10751.731200000002"/>
    <n v="0"/>
    <n v="14064.314003644742"/>
    <n v="11262.619118561841"/>
  </r>
  <r>
    <s v="Regular"/>
    <x v="1"/>
    <x v="2"/>
    <x v="4"/>
    <x v="4"/>
    <x v="1"/>
    <x v="0"/>
    <x v="1"/>
    <x v="1"/>
    <n v="0"/>
    <n v="0"/>
    <n v="83.417000000000002"/>
    <n v="83.417000000000002"/>
    <n v="83.417000000000002"/>
    <n v="83.417000000000002"/>
    <n v="230"/>
    <x v="1"/>
    <n v="0"/>
    <n v="0"/>
    <n v="30"/>
    <n v="32"/>
    <n v="0"/>
    <n v="162.08000000000001"/>
    <n v="134.4"/>
    <m/>
    <n v="175.8083202535656"/>
    <n v="140.78625863848896"/>
    <n v="0"/>
    <n v="13520.227360000001"/>
    <n v="11211.2448"/>
    <n v="0"/>
    <n v="14665.402650591681"/>
    <n v="11743.967336846834"/>
  </r>
  <r>
    <s v="Regular"/>
    <x v="1"/>
    <x v="2"/>
    <x v="4"/>
    <x v="4"/>
    <x v="1"/>
    <x v="0"/>
    <x v="1"/>
    <x v="2"/>
    <n v="0"/>
    <n v="0"/>
    <n v="83.188999999999993"/>
    <n v="83.188999999999993"/>
    <n v="83.188999999999993"/>
    <n v="83.188999999999993"/>
    <n v="269"/>
    <x v="1"/>
    <n v="0"/>
    <n v="0"/>
    <n v="30"/>
    <n v="32"/>
    <n v="0"/>
    <n v="162.08000000000001"/>
    <n v="134.4"/>
    <m/>
    <n v="175.8083202535656"/>
    <n v="140.78625863848896"/>
    <n v="0"/>
    <n v="13483.27312"/>
    <n v="11180.6016"/>
    <n v="0"/>
    <n v="14625.318353573868"/>
    <n v="11711.868069877257"/>
  </r>
  <r>
    <s v="Refaturamento - Regular"/>
    <x v="1"/>
    <x v="2"/>
    <x v="4"/>
    <x v="4"/>
    <x v="1"/>
    <x v="0"/>
    <x v="1"/>
    <x v="2"/>
    <n v="0"/>
    <n v="0"/>
    <n v="6.3E-2"/>
    <n v="6.3E-2"/>
    <n v="6.3E-2"/>
    <n v="6.3E-2"/>
    <n v="0"/>
    <x v="1"/>
    <n v="0"/>
    <n v="0"/>
    <n v="30"/>
    <n v="32"/>
    <n v="0"/>
    <n v="162.08000000000001"/>
    <n v="134.4"/>
    <m/>
    <n v="175.8083202535656"/>
    <n v="140.78625863848896"/>
    <n v="0"/>
    <n v="10.211040000000001"/>
    <n v="8.4672000000000001"/>
    <n v="0"/>
    <n v="11.075924175974633"/>
    <n v="8.8695342942248043"/>
  </r>
  <r>
    <s v="Regular"/>
    <x v="1"/>
    <x v="2"/>
    <x v="4"/>
    <x v="4"/>
    <x v="1"/>
    <x v="0"/>
    <x v="1"/>
    <x v="3"/>
    <n v="0"/>
    <n v="0"/>
    <n v="84.503"/>
    <n v="84.503"/>
    <n v="84.503"/>
    <n v="84.503"/>
    <n v="244"/>
    <x v="1"/>
    <n v="0"/>
    <n v="0"/>
    <n v="30"/>
    <n v="32"/>
    <n v="0"/>
    <n v="162.08000000000001"/>
    <n v="134.4"/>
    <m/>
    <n v="175.8083202535656"/>
    <n v="140.78625863848896"/>
    <n v="0"/>
    <n v="13696.24624"/>
    <n v="11357.2032"/>
    <n v="0"/>
    <n v="14856.330486387054"/>
    <n v="11896.861213728233"/>
  </r>
  <r>
    <s v="Regular"/>
    <x v="1"/>
    <x v="2"/>
    <x v="4"/>
    <x v="4"/>
    <x v="1"/>
    <x v="0"/>
    <x v="1"/>
    <x v="4"/>
    <n v="0"/>
    <n v="0"/>
    <n v="85.695999999999998"/>
    <n v="85.695999999999998"/>
    <n v="85.695999999999998"/>
    <n v="85.695999999999998"/>
    <n v="244"/>
    <x v="1"/>
    <n v="0"/>
    <n v="0"/>
    <n v="30"/>
    <n v="32"/>
    <n v="0"/>
    <n v="162.08000000000001"/>
    <n v="134.4"/>
    <m/>
    <n v="175.8083202535656"/>
    <n v="140.78625863848896"/>
    <n v="0"/>
    <n v="13889.607680000001"/>
    <n v="11517.5424"/>
    <n v="0"/>
    <n v="15066.069812449558"/>
    <n v="12064.819220283949"/>
  </r>
  <r>
    <s v="Refaturamento - Regular"/>
    <x v="1"/>
    <x v="2"/>
    <x v="4"/>
    <x v="4"/>
    <x v="1"/>
    <x v="0"/>
    <x v="1"/>
    <x v="4"/>
    <n v="0"/>
    <n v="0"/>
    <n v="4.2999999999999997E-2"/>
    <n v="4.2999999999999997E-2"/>
    <n v="4.2999999999999997E-2"/>
    <n v="4.2999999999999997E-2"/>
    <n v="0"/>
    <x v="1"/>
    <n v="0"/>
    <n v="0"/>
    <n v="30"/>
    <n v="32"/>
    <n v="0"/>
    <n v="162.08000000000001"/>
    <n v="134.4"/>
    <m/>
    <n v="175.8083202535656"/>
    <n v="140.78625863848896"/>
    <n v="0"/>
    <n v="6.9694399999999996"/>
    <n v="5.7791999999999994"/>
    <n v="0"/>
    <n v="7.5597577709033201"/>
    <n v="6.0538091214550249"/>
  </r>
  <r>
    <s v="Regular"/>
    <x v="1"/>
    <x v="2"/>
    <x v="4"/>
    <x v="4"/>
    <x v="1"/>
    <x v="0"/>
    <x v="1"/>
    <x v="5"/>
    <n v="0"/>
    <n v="0"/>
    <n v="89.171000000000006"/>
    <n v="89.171000000000006"/>
    <n v="89.171000000000006"/>
    <n v="89.171000000000006"/>
    <n v="161"/>
    <x v="1"/>
    <n v="0"/>
    <n v="0"/>
    <n v="30"/>
    <n v="32"/>
    <n v="0"/>
    <n v="162.08000000000001"/>
    <n v="134.4"/>
    <m/>
    <n v="175.8083202535656"/>
    <n v="140.78625863848896"/>
    <n v="0"/>
    <n v="14452.835680000002"/>
    <n v="11984.582400000001"/>
    <n v="0"/>
    <n v="15677.003725330698"/>
    <n v="12554.0514690527"/>
  </r>
  <r>
    <s v="Refaturamento - Regular"/>
    <x v="1"/>
    <x v="2"/>
    <x v="4"/>
    <x v="4"/>
    <x v="1"/>
    <x v="0"/>
    <x v="1"/>
    <x v="5"/>
    <n v="0"/>
    <n v="0"/>
    <n v="-6.8000000000000005E-2"/>
    <n v="-6.8000000000000005E-2"/>
    <n v="-6.8000000000000005E-2"/>
    <n v="-6.8000000000000005E-2"/>
    <n v="0"/>
    <x v="1"/>
    <n v="0"/>
    <n v="0"/>
    <n v="30"/>
    <n v="32"/>
    <n v="0"/>
    <n v="162.08000000000001"/>
    <n v="134.4"/>
    <m/>
    <n v="175.8083202535656"/>
    <n v="140.78625863848896"/>
    <n v="0"/>
    <n v="-11.021440000000002"/>
    <n v="-9.1392000000000007"/>
    <n v="0"/>
    <n v="-11.954965777242462"/>
    <n v="-9.5734655874172496"/>
  </r>
  <r>
    <s v="Regular"/>
    <x v="1"/>
    <x v="2"/>
    <x v="4"/>
    <x v="4"/>
    <x v="1"/>
    <x v="0"/>
    <x v="1"/>
    <x v="6"/>
    <n v="0"/>
    <n v="0"/>
    <n v="90.623000000000005"/>
    <n v="90.623000000000005"/>
    <n v="90.623000000000005"/>
    <n v="90.623000000000005"/>
    <n v="166"/>
    <x v="1"/>
    <n v="0"/>
    <n v="0"/>
    <n v="30"/>
    <n v="32"/>
    <n v="0"/>
    <n v="162.08000000000001"/>
    <n v="134.4"/>
    <m/>
    <n v="175.8083202535656"/>
    <n v="140.78625863848896"/>
    <n v="0"/>
    <n v="14688.175840000002"/>
    <n v="12179.731200000002"/>
    <n v="0"/>
    <n v="15932.277406338875"/>
    <n v="12758.473116595786"/>
  </r>
  <r>
    <s v="Regular"/>
    <x v="1"/>
    <x v="2"/>
    <x v="4"/>
    <x v="4"/>
    <x v="1"/>
    <x v="0"/>
    <x v="1"/>
    <x v="7"/>
    <n v="0"/>
    <n v="0"/>
    <n v="91.774000000000001"/>
    <n v="91.774000000000001"/>
    <n v="91.774000000000001"/>
    <n v="91.774000000000001"/>
    <n v="177"/>
    <x v="1"/>
    <n v="0"/>
    <n v="0"/>
    <n v="30"/>
    <n v="32"/>
    <n v="0"/>
    <n v="162.08000000000001"/>
    <n v="134.4"/>
    <m/>
    <n v="175.8083202535656"/>
    <n v="140.78625863848896"/>
    <n v="0"/>
    <n v="14874.729920000002"/>
    <n v="12334.4256"/>
    <n v="0"/>
    <n v="16134.63278295073"/>
    <n v="12920.518100288686"/>
  </r>
  <r>
    <s v="Regular"/>
    <x v="1"/>
    <x v="2"/>
    <x v="4"/>
    <x v="4"/>
    <x v="1"/>
    <x v="0"/>
    <x v="1"/>
    <x v="8"/>
    <n v="0"/>
    <n v="0"/>
    <n v="92.322999999999993"/>
    <n v="92.322999999999993"/>
    <n v="92.322999999999993"/>
    <n v="92.322999999999993"/>
    <n v="189"/>
    <x v="1"/>
    <n v="0"/>
    <n v="0"/>
    <n v="30"/>
    <n v="32"/>
    <n v="0"/>
    <n v="162.08000000000001"/>
    <n v="134.4"/>
    <m/>
    <n v="175.8083202535656"/>
    <n v="140.78625863848896"/>
    <n v="0"/>
    <n v="14963.71184"/>
    <n v="12408.2112"/>
    <n v="0"/>
    <n v="16231.151550769935"/>
    <n v="12997.809756281215"/>
  </r>
  <r>
    <s v="Refaturamento - Regular"/>
    <x v="1"/>
    <x v="2"/>
    <x v="4"/>
    <x v="4"/>
    <x v="1"/>
    <x v="0"/>
    <x v="1"/>
    <x v="8"/>
    <n v="0"/>
    <n v="0"/>
    <n v="5.8000000000000003E-2"/>
    <n v="5.8000000000000003E-2"/>
    <n v="5.8000000000000003E-2"/>
    <n v="5.8000000000000003E-2"/>
    <n v="0"/>
    <x v="1"/>
    <n v="0"/>
    <n v="0"/>
    <n v="30"/>
    <n v="32"/>
    <n v="0"/>
    <n v="162.08000000000001"/>
    <n v="134.4"/>
    <m/>
    <n v="175.8083202535656"/>
    <n v="140.78625863848896"/>
    <n v="0"/>
    <n v="9.400640000000001"/>
    <n v="7.7952000000000004"/>
    <n v="0"/>
    <n v="10.196882574706805"/>
    <n v="8.1656030010323608"/>
  </r>
  <r>
    <s v="Regular"/>
    <x v="1"/>
    <x v="2"/>
    <x v="4"/>
    <x v="4"/>
    <x v="1"/>
    <x v="0"/>
    <x v="1"/>
    <x v="9"/>
    <n v="0"/>
    <n v="0"/>
    <n v="93.614000000000004"/>
    <n v="93.614000000000004"/>
    <n v="93.614000000000004"/>
    <n v="93.614000000000004"/>
    <n v="267"/>
    <x v="1"/>
    <n v="0"/>
    <n v="0"/>
    <n v="30"/>
    <n v="32"/>
    <n v="0"/>
    <n v="162.08000000000001"/>
    <n v="134.4"/>
    <m/>
    <n v="175.8083202535656"/>
    <n v="140.78625863848896"/>
    <n v="0"/>
    <n v="15172.957120000003"/>
    <n v="12581.721600000001"/>
    <n v="0"/>
    <n v="16458.12009221729"/>
    <n v="13179.564816183505"/>
  </r>
  <r>
    <s v="Regular"/>
    <x v="1"/>
    <x v="2"/>
    <x v="4"/>
    <x v="4"/>
    <x v="1"/>
    <x v="0"/>
    <x v="1"/>
    <x v="10"/>
    <n v="0"/>
    <n v="0"/>
    <n v="101.9"/>
    <n v="101.9"/>
    <n v="101.9"/>
    <n v="101.9"/>
    <n v="333"/>
    <x v="1"/>
    <n v="0"/>
    <n v="0"/>
    <n v="30"/>
    <n v="32"/>
    <n v="0"/>
    <n v="162.08000000000001"/>
    <n v="134.4"/>
    <m/>
    <n v="175.8083202535656"/>
    <n v="140.78625863848896"/>
    <n v="0"/>
    <n v="16515.952000000001"/>
    <n v="13695.36"/>
    <n v="0"/>
    <n v="17914.867833838336"/>
    <n v="14346.119755262025"/>
  </r>
  <r>
    <s v="Sistema de Compensação"/>
    <x v="1"/>
    <x v="2"/>
    <x v="4"/>
    <x v="4"/>
    <x v="1"/>
    <x v="0"/>
    <x v="1"/>
    <x v="10"/>
    <n v="0"/>
    <n v="0"/>
    <n v="1.4E-2"/>
    <n v="2.8E-3"/>
    <n v="1.4E-2"/>
    <n v="2.8E-3"/>
    <n v="0"/>
    <x v="1"/>
    <n v="0"/>
    <n v="0"/>
    <n v="30"/>
    <n v="32"/>
    <n v="0"/>
    <n v="162.08000000000001"/>
    <n v="134.4"/>
    <m/>
    <n v="175.8083202535656"/>
    <n v="140.78625863848896"/>
    <n v="0"/>
    <n v="0.45382400000000001"/>
    <n v="0.37631999999999999"/>
    <n v="0"/>
    <n v="0.49226329670998364"/>
    <n v="0.3942015241877691"/>
  </r>
  <r>
    <s v="PROJETADO"/>
    <x v="1"/>
    <x v="2"/>
    <x v="4"/>
    <x v="4"/>
    <x v="1"/>
    <x v="0"/>
    <x v="1"/>
    <x v="11"/>
    <n v="0"/>
    <n v="0"/>
    <n v="101.9"/>
    <n v="101.9"/>
    <n v="101.9"/>
    <n v="101.9"/>
    <n v="333"/>
    <x v="1"/>
    <n v="0"/>
    <n v="0"/>
    <n v="30"/>
    <n v="32"/>
    <n v="0"/>
    <n v="162.08000000000001"/>
    <n v="134.4"/>
    <m/>
    <n v="175.8083202535656"/>
    <n v="140.78625863848896"/>
    <n v="0"/>
    <n v="16515.952000000001"/>
    <n v="13695.36"/>
    <n v="0"/>
    <n v="17914.867833838336"/>
    <n v="14346.119755262025"/>
  </r>
  <r>
    <s v="PROJETADO"/>
    <x v="1"/>
    <x v="2"/>
    <x v="4"/>
    <x v="4"/>
    <x v="1"/>
    <x v="0"/>
    <x v="1"/>
    <x v="11"/>
    <n v="0"/>
    <n v="0"/>
    <n v="1.4E-2"/>
    <n v="2.8E-3"/>
    <n v="1.4E-2"/>
    <n v="2.8E-3"/>
    <n v="0"/>
    <x v="1"/>
    <n v="0"/>
    <n v="0"/>
    <n v="30"/>
    <n v="32"/>
    <n v="0"/>
    <n v="162.08000000000001"/>
    <n v="134.4"/>
    <m/>
    <n v="175.8083202535656"/>
    <n v="140.78625863848896"/>
    <n v="0"/>
    <n v="0.45382400000000001"/>
    <n v="0.37631999999999999"/>
    <n v="0"/>
    <n v="0.49226329670998364"/>
    <n v="0.3942015241877691"/>
  </r>
  <r>
    <s v="Regular"/>
    <x v="1"/>
    <x v="2"/>
    <x v="4"/>
    <x v="5"/>
    <x v="1"/>
    <x v="0"/>
    <x v="1"/>
    <x v="0"/>
    <n v="0"/>
    <n v="0"/>
    <n v="77.028999999999996"/>
    <n v="77.028999999999996"/>
    <n v="77.028999999999996"/>
    <n v="77.028999999999996"/>
    <n v="652"/>
    <x v="1"/>
    <n v="0"/>
    <n v="0"/>
    <n v="37"/>
    <n v="58"/>
    <n v="0"/>
    <n v="243.12"/>
    <n v="201.61"/>
    <m/>
    <n v="263.71248038034844"/>
    <n v="211.17938795773344"/>
    <n v="0"/>
    <n v="18727.29048"/>
    <n v="15529.81669"/>
    <n v="0"/>
    <n v="20313.50865121786"/>
    <n v="16266.937074996249"/>
  </r>
  <r>
    <s v="Refaturamento - Regular"/>
    <x v="1"/>
    <x v="2"/>
    <x v="4"/>
    <x v="5"/>
    <x v="1"/>
    <x v="0"/>
    <x v="1"/>
    <x v="0"/>
    <n v="0"/>
    <n v="0"/>
    <n v="-6.7000000000000004E-2"/>
    <n v="-6.7000000000000004E-2"/>
    <n v="-6.7000000000000004E-2"/>
    <n v="-6.7000000000000004E-2"/>
    <n v="0"/>
    <x v="1"/>
    <n v="0"/>
    <n v="0"/>
    <n v="37"/>
    <n v="58"/>
    <n v="0"/>
    <n v="243.12"/>
    <n v="201.61"/>
    <m/>
    <n v="263.71248038034844"/>
    <n v="211.17938795773344"/>
    <n v="0"/>
    <n v="-16.28904"/>
    <n v="-13.507870000000002"/>
    <n v="0"/>
    <n v="-17.668736185483347"/>
    <n v="-14.149018993168141"/>
  </r>
  <r>
    <s v="Regular"/>
    <x v="1"/>
    <x v="2"/>
    <x v="4"/>
    <x v="5"/>
    <x v="1"/>
    <x v="0"/>
    <x v="1"/>
    <x v="1"/>
    <n v="0"/>
    <n v="0"/>
    <n v="85.152000000000001"/>
    <n v="85.152000000000001"/>
    <n v="85.152000000000001"/>
    <n v="85.152000000000001"/>
    <n v="652"/>
    <x v="1"/>
    <n v="0"/>
    <n v="0"/>
    <n v="37"/>
    <n v="58"/>
    <n v="0"/>
    <n v="243.12"/>
    <n v="201.61"/>
    <m/>
    <n v="263.71248038034844"/>
    <n v="211.17938795773344"/>
    <n v="0"/>
    <n v="20702.15424"/>
    <n v="17167.494720000002"/>
    <n v="0"/>
    <n v="22455.645129347431"/>
    <n v="17982.347243376917"/>
  </r>
  <r>
    <s v="Refaturamento - Regular"/>
    <x v="1"/>
    <x v="2"/>
    <x v="4"/>
    <x v="5"/>
    <x v="1"/>
    <x v="0"/>
    <x v="1"/>
    <x v="1"/>
    <n v="0"/>
    <n v="0"/>
    <n v="-8.5000000000000006E-2"/>
    <n v="-8.5000000000000006E-2"/>
    <n v="-8.5000000000000006E-2"/>
    <n v="-8.5000000000000006E-2"/>
    <n v="0"/>
    <x v="1"/>
    <n v="0"/>
    <n v="0"/>
    <n v="37"/>
    <n v="58"/>
    <n v="0"/>
    <n v="243.12"/>
    <n v="201.61"/>
    <m/>
    <n v="263.71248038034844"/>
    <n v="211.17938795773344"/>
    <n v="0"/>
    <n v="-20.665200000000002"/>
    <n v="-17.136850000000003"/>
    <n v="0"/>
    <n v="-22.415560832329618"/>
    <n v="-17.950247976407343"/>
  </r>
  <r>
    <s v="Regular"/>
    <x v="1"/>
    <x v="2"/>
    <x v="4"/>
    <x v="5"/>
    <x v="1"/>
    <x v="0"/>
    <x v="1"/>
    <x v="2"/>
    <n v="0"/>
    <n v="0"/>
    <n v="79.515000000000001"/>
    <n v="79.515000000000001"/>
    <n v="79.515000000000001"/>
    <n v="79.515000000000001"/>
    <n v="705"/>
    <x v="1"/>
    <n v="0"/>
    <n v="0"/>
    <n v="37"/>
    <n v="58"/>
    <n v="0"/>
    <n v="243.12"/>
    <n v="201.61"/>
    <m/>
    <n v="263.71248038034844"/>
    <n v="211.17938795773344"/>
    <n v="0"/>
    <n v="19331.686799999999"/>
    <n v="16031.019150000002"/>
    <n v="0"/>
    <n v="20969.097877443408"/>
    <n v="16791.929033459175"/>
  </r>
  <r>
    <s v="Refaturamento - Regular"/>
    <x v="1"/>
    <x v="2"/>
    <x v="4"/>
    <x v="5"/>
    <x v="1"/>
    <x v="0"/>
    <x v="1"/>
    <x v="2"/>
    <n v="0"/>
    <n v="0"/>
    <n v="-1.9E-2"/>
    <n v="-1.9E-2"/>
    <n v="-1.9E-2"/>
    <n v="-1.9E-2"/>
    <n v="0"/>
    <x v="1"/>
    <n v="0"/>
    <n v="0"/>
    <n v="37"/>
    <n v="58"/>
    <n v="0"/>
    <n v="243.12"/>
    <n v="201.61"/>
    <m/>
    <n v="263.71248038034844"/>
    <n v="211.17938795773344"/>
    <n v="0"/>
    <n v="-4.6192799999999998"/>
    <n v="-3.8305900000000004"/>
    <n v="0"/>
    <n v="-5.0105371272266206"/>
    <n v="-4.0124083711969352"/>
  </r>
  <r>
    <s v="Regular"/>
    <x v="1"/>
    <x v="2"/>
    <x v="4"/>
    <x v="5"/>
    <x v="1"/>
    <x v="0"/>
    <x v="1"/>
    <x v="3"/>
    <n v="0"/>
    <n v="0"/>
    <n v="82.828000000000003"/>
    <n v="82.828000000000003"/>
    <n v="82.828000000000003"/>
    <n v="82.828000000000003"/>
    <n v="702"/>
    <x v="1"/>
    <n v="0"/>
    <n v="0"/>
    <n v="37"/>
    <n v="58"/>
    <n v="0"/>
    <n v="243.12"/>
    <n v="201.61"/>
    <m/>
    <n v="263.71248038034844"/>
    <n v="211.17938795773344"/>
    <n v="0"/>
    <n v="20137.143360000002"/>
    <n v="16698.953080000003"/>
    <n v="0"/>
    <n v="21842.777324943501"/>
    <n v="17491.566345763145"/>
  </r>
  <r>
    <s v="Refaturamento - Regular"/>
    <x v="1"/>
    <x v="2"/>
    <x v="4"/>
    <x v="5"/>
    <x v="1"/>
    <x v="0"/>
    <x v="1"/>
    <x v="3"/>
    <n v="0"/>
    <n v="0"/>
    <n v="-0.11"/>
    <n v="-0.11"/>
    <n v="-0.11"/>
    <n v="-0.11"/>
    <n v="0"/>
    <x v="1"/>
    <n v="0"/>
    <n v="0"/>
    <n v="37"/>
    <n v="58"/>
    <n v="0"/>
    <n v="243.12"/>
    <n v="201.61"/>
    <m/>
    <n v="263.71248038034844"/>
    <n v="211.17938795773344"/>
    <n v="0"/>
    <n v="-26.743200000000002"/>
    <n v="-22.177100000000003"/>
    <n v="0"/>
    <n v="-29.008372841838327"/>
    <n v="-23.229732675350679"/>
  </r>
  <r>
    <s v="Regular"/>
    <x v="1"/>
    <x v="2"/>
    <x v="4"/>
    <x v="5"/>
    <x v="1"/>
    <x v="0"/>
    <x v="1"/>
    <x v="4"/>
    <n v="0"/>
    <n v="0"/>
    <n v="82.319000000000003"/>
    <n v="82.319000000000003"/>
    <n v="82.319000000000003"/>
    <n v="82.319000000000003"/>
    <n v="726"/>
    <x v="1"/>
    <n v="0"/>
    <n v="0"/>
    <n v="37"/>
    <n v="58"/>
    <n v="0"/>
    <n v="243.12"/>
    <n v="201.61"/>
    <m/>
    <n v="263.71248038034844"/>
    <n v="211.17938795773344"/>
    <n v="0"/>
    <n v="20013.395280000001"/>
    <n v="16596.333590000002"/>
    <n v="0"/>
    <n v="21708.547672429904"/>
    <n v="17384.07603729266"/>
  </r>
  <r>
    <s v="Refaturamento - Regular"/>
    <x v="1"/>
    <x v="2"/>
    <x v="4"/>
    <x v="5"/>
    <x v="1"/>
    <x v="0"/>
    <x v="1"/>
    <x v="4"/>
    <n v="0"/>
    <n v="0"/>
    <n v="-5.8000000000000003E-2"/>
    <n v="-5.8000000000000003E-2"/>
    <n v="-5.8000000000000003E-2"/>
    <n v="-5.8000000000000003E-2"/>
    <n v="0"/>
    <x v="1"/>
    <n v="0"/>
    <n v="0"/>
    <n v="37"/>
    <n v="58"/>
    <n v="0"/>
    <n v="243.12"/>
    <n v="201.61"/>
    <m/>
    <n v="263.71248038034844"/>
    <n v="211.17938795773344"/>
    <n v="0"/>
    <n v="-14.100960000000001"/>
    <n v="-11.693380000000001"/>
    <n v="0"/>
    <n v="-15.29532386206021"/>
    <n v="-12.24840450154854"/>
  </r>
  <r>
    <s v="Regular"/>
    <x v="1"/>
    <x v="2"/>
    <x v="4"/>
    <x v="5"/>
    <x v="1"/>
    <x v="0"/>
    <x v="1"/>
    <x v="5"/>
    <n v="0"/>
    <n v="0"/>
    <n v="104.45399999999999"/>
    <n v="104.45399999999999"/>
    <n v="104.45399999999999"/>
    <n v="104.45399999999999"/>
    <n v="616"/>
    <x v="1"/>
    <n v="0"/>
    <n v="0"/>
    <n v="37"/>
    <n v="58"/>
    <n v="0"/>
    <n v="243.12"/>
    <n v="201.61"/>
    <m/>
    <n v="263.71248038034844"/>
    <n v="211.17938795773344"/>
    <n v="0"/>
    <n v="25394.856479999999"/>
    <n v="21058.970939999999"/>
    <n v="0"/>
    <n v="27545.823425648916"/>
    <n v="22058.531789737088"/>
  </r>
  <r>
    <s v="Refaturamento - Regular"/>
    <x v="1"/>
    <x v="2"/>
    <x v="4"/>
    <x v="5"/>
    <x v="1"/>
    <x v="0"/>
    <x v="1"/>
    <x v="5"/>
    <n v="0"/>
    <n v="0"/>
    <n v="-0.12"/>
    <n v="-0.12"/>
    <n v="-0.12"/>
    <n v="-0.12"/>
    <n v="0"/>
    <x v="1"/>
    <n v="0"/>
    <n v="0"/>
    <n v="37"/>
    <n v="58"/>
    <n v="0"/>
    <n v="243.12"/>
    <n v="201.61"/>
    <m/>
    <n v="263.71248038034844"/>
    <n v="211.17938795773344"/>
    <n v="0"/>
    <n v="-29.174399999999999"/>
    <n v="-24.193200000000001"/>
    <n v="0"/>
    <n v="-31.645497645641811"/>
    <n v="-25.341526554928013"/>
  </r>
  <r>
    <s v="Regular"/>
    <x v="1"/>
    <x v="2"/>
    <x v="4"/>
    <x v="5"/>
    <x v="1"/>
    <x v="0"/>
    <x v="1"/>
    <x v="6"/>
    <n v="0"/>
    <n v="0"/>
    <n v="105.911"/>
    <n v="105.911"/>
    <n v="105.911"/>
    <n v="105.911"/>
    <n v="626"/>
    <x v="1"/>
    <n v="0"/>
    <n v="0"/>
    <n v="37"/>
    <n v="58"/>
    <n v="0"/>
    <n v="243.12"/>
    <n v="201.61"/>
    <m/>
    <n v="263.71248038034844"/>
    <n v="211.17938795773344"/>
    <n v="0"/>
    <n v="25749.082320000001"/>
    <n v="21352.716710000001"/>
    <n v="0"/>
    <n v="27930.052509563084"/>
    <n v="22366.220157991505"/>
  </r>
  <r>
    <s v="Regular"/>
    <x v="1"/>
    <x v="2"/>
    <x v="4"/>
    <x v="5"/>
    <x v="1"/>
    <x v="0"/>
    <x v="1"/>
    <x v="7"/>
    <n v="0"/>
    <n v="0"/>
    <n v="103.733"/>
    <n v="103.733"/>
    <n v="103.733"/>
    <n v="103.733"/>
    <n v="682"/>
    <x v="1"/>
    <n v="0"/>
    <n v="0"/>
    <n v="37"/>
    <n v="58"/>
    <n v="0"/>
    <n v="243.12"/>
    <n v="201.61"/>
    <m/>
    <n v="263.71248038034844"/>
    <n v="211.17938795773344"/>
    <n v="0"/>
    <n v="25219.56696"/>
    <n v="20913.610130000001"/>
    <n v="0"/>
    <n v="27355.686727294687"/>
    <n v="21906.271451019562"/>
  </r>
  <r>
    <s v="Refaturamento - Regular"/>
    <x v="1"/>
    <x v="2"/>
    <x v="4"/>
    <x v="5"/>
    <x v="1"/>
    <x v="0"/>
    <x v="1"/>
    <x v="7"/>
    <n v="0"/>
    <n v="0"/>
    <n v="-4.3999999999999997E-2"/>
    <n v="-4.3999999999999997E-2"/>
    <n v="-4.3999999999999997E-2"/>
    <n v="-4.3999999999999997E-2"/>
    <n v="0"/>
    <x v="1"/>
    <n v="0"/>
    <n v="0"/>
    <n v="37"/>
    <n v="58"/>
    <n v="0"/>
    <n v="243.12"/>
    <n v="201.61"/>
    <m/>
    <n v="263.71248038034844"/>
    <n v="211.17938795773344"/>
    <n v="0"/>
    <n v="-10.697279999999999"/>
    <n v="-8.8708399999999994"/>
    <n v="0"/>
    <n v="-11.60334913673533"/>
    <n v="-9.2918930701402704"/>
  </r>
  <r>
    <s v="Regular"/>
    <x v="1"/>
    <x v="2"/>
    <x v="4"/>
    <x v="5"/>
    <x v="1"/>
    <x v="0"/>
    <x v="1"/>
    <x v="8"/>
    <n v="0"/>
    <n v="0"/>
    <n v="101.02200000000001"/>
    <n v="101.02200000000001"/>
    <n v="101.02200000000001"/>
    <n v="101.02200000000001"/>
    <n v="726"/>
    <x v="1"/>
    <n v="0"/>
    <n v="0"/>
    <n v="37"/>
    <n v="58"/>
    <n v="0"/>
    <n v="243.12"/>
    <n v="201.61"/>
    <m/>
    <n v="263.71248038034844"/>
    <n v="211.17938795773344"/>
    <n v="0"/>
    <n v="24560.468640000003"/>
    <n v="20367.045420000002"/>
    <n v="0"/>
    <n v="26640.762192983562"/>
    <n v="21333.76413026615"/>
  </r>
  <r>
    <s v="Refaturamento - Regular"/>
    <x v="1"/>
    <x v="2"/>
    <x v="4"/>
    <x v="5"/>
    <x v="1"/>
    <x v="0"/>
    <x v="1"/>
    <x v="8"/>
    <n v="0"/>
    <n v="0"/>
    <n v="5.8999999999999997E-2"/>
    <n v="5.8999999999999997E-2"/>
    <n v="5.8999999999999997E-2"/>
    <n v="5.8999999999999997E-2"/>
    <n v="0"/>
    <x v="1"/>
    <n v="0"/>
    <n v="0"/>
    <n v="37"/>
    <n v="58"/>
    <n v="0"/>
    <n v="243.12"/>
    <n v="201.61"/>
    <m/>
    <n v="263.71248038034844"/>
    <n v="211.17938795773344"/>
    <n v="0"/>
    <n v="14.34408"/>
    <n v="11.89499"/>
    <n v="0"/>
    <n v="15.559036342440557"/>
    <n v="12.459583889506272"/>
  </r>
  <r>
    <s v="Regular"/>
    <x v="1"/>
    <x v="2"/>
    <x v="4"/>
    <x v="5"/>
    <x v="1"/>
    <x v="0"/>
    <x v="1"/>
    <x v="9"/>
    <n v="0"/>
    <n v="0"/>
    <n v="91.027000000000001"/>
    <n v="91.027000000000001"/>
    <n v="91.027000000000001"/>
    <n v="91.027000000000001"/>
    <n v="817"/>
    <x v="1"/>
    <n v="0"/>
    <n v="0"/>
    <n v="37"/>
    <n v="58"/>
    <n v="0"/>
    <n v="243.12"/>
    <n v="201.61"/>
    <m/>
    <n v="263.71248038034844"/>
    <n v="211.17938795773344"/>
    <n v="0"/>
    <n v="22130.484240000002"/>
    <n v="18351.95347"/>
    <n v="0"/>
    <n v="24004.955951581978"/>
    <n v="19223.026147628603"/>
  </r>
  <r>
    <s v="Regular"/>
    <x v="1"/>
    <x v="2"/>
    <x v="4"/>
    <x v="5"/>
    <x v="1"/>
    <x v="0"/>
    <x v="1"/>
    <x v="10"/>
    <n v="0"/>
    <n v="0"/>
    <n v="99.652000000000001"/>
    <n v="99.652000000000001"/>
    <n v="99.652000000000001"/>
    <n v="99.652000000000001"/>
    <n v="825"/>
    <x v="1"/>
    <n v="0"/>
    <n v="0"/>
    <n v="37"/>
    <n v="58"/>
    <n v="0"/>
    <n v="243.12"/>
    <n v="201.61"/>
    <m/>
    <n v="263.71248038034844"/>
    <n v="211.17938795773344"/>
    <n v="0"/>
    <n v="24227.394240000001"/>
    <n v="20090.83972"/>
    <n v="0"/>
    <n v="26279.476094862483"/>
    <n v="21044.448368764053"/>
  </r>
  <r>
    <s v="PROJETADO"/>
    <x v="1"/>
    <x v="2"/>
    <x v="4"/>
    <x v="5"/>
    <x v="1"/>
    <x v="0"/>
    <x v="1"/>
    <x v="11"/>
    <n v="0"/>
    <n v="0"/>
    <n v="99.652000000000001"/>
    <n v="99.652000000000001"/>
    <n v="99.652000000000001"/>
    <n v="99.652000000000001"/>
    <n v="825"/>
    <x v="1"/>
    <n v="0"/>
    <n v="0"/>
    <n v="37"/>
    <n v="58"/>
    <n v="0"/>
    <n v="243.12"/>
    <n v="201.61"/>
    <m/>
    <n v="263.71248038034844"/>
    <n v="211.17938795773344"/>
    <n v="0"/>
    <n v="24227.394240000001"/>
    <n v="20090.83972"/>
    <n v="0"/>
    <n v="26279.476094862483"/>
    <n v="21044.448368764053"/>
  </r>
  <r>
    <s v="Regular"/>
    <x v="1"/>
    <x v="2"/>
    <x v="4"/>
    <x v="6"/>
    <x v="1"/>
    <x v="0"/>
    <x v="1"/>
    <x v="0"/>
    <n v="0"/>
    <n v="0"/>
    <n v="25.678999999999998"/>
    <n v="25.678999999999998"/>
    <n v="25.678999999999998"/>
    <n v="25.678999999999998"/>
    <n v="322"/>
    <x v="1"/>
    <n v="0"/>
    <n v="0"/>
    <n v="6"/>
    <n v="34"/>
    <n v="0"/>
    <n v="270.13"/>
    <n v="224.01"/>
    <m/>
    <n v="293.013867089276"/>
    <n v="234.64376439748159"/>
    <n v="0"/>
    <n v="6936.6682699999992"/>
    <n v="5752.352789999999"/>
    <n v="0"/>
    <n v="7524.3030929855177"/>
    <n v="6025.4172259629295"/>
  </r>
  <r>
    <s v="Refaturamento - Regular"/>
    <x v="1"/>
    <x v="2"/>
    <x v="4"/>
    <x v="6"/>
    <x v="1"/>
    <x v="0"/>
    <x v="1"/>
    <x v="0"/>
    <n v="0"/>
    <n v="0"/>
    <n v="-0.13300000000000001"/>
    <n v="-0.13300000000000001"/>
    <n v="-0.13300000000000001"/>
    <n v="-0.13300000000000001"/>
    <n v="0"/>
    <x v="1"/>
    <n v="0"/>
    <n v="0"/>
    <n v="6"/>
    <n v="34"/>
    <n v="0"/>
    <n v="270.13"/>
    <n v="224.01"/>
    <m/>
    <n v="293.013867089276"/>
    <n v="234.64376439748159"/>
    <n v="0"/>
    <n v="-35.927289999999999"/>
    <n v="-29.793330000000001"/>
    <n v="0"/>
    <n v="-38.97084432287371"/>
    <n v="-31.207620664865054"/>
  </r>
  <r>
    <s v="Regular"/>
    <x v="1"/>
    <x v="2"/>
    <x v="4"/>
    <x v="6"/>
    <x v="1"/>
    <x v="0"/>
    <x v="1"/>
    <x v="1"/>
    <n v="0"/>
    <n v="0"/>
    <n v="33.174999999999997"/>
    <n v="33.174999999999997"/>
    <n v="33.174999999999997"/>
    <n v="33.174999999999997"/>
    <n v="390"/>
    <x v="1"/>
    <n v="0"/>
    <n v="0"/>
    <n v="6"/>
    <n v="34"/>
    <n v="0"/>
    <n v="270.13"/>
    <n v="224.01"/>
    <m/>
    <n v="293.013867089276"/>
    <n v="234.64376439748159"/>
    <n v="0"/>
    <n v="8961.5627499999991"/>
    <n v="7431.5317499999992"/>
    <n v="0"/>
    <n v="9720.7350406867299"/>
    <n v="7784.306883886451"/>
  </r>
  <r>
    <s v="Refaturamento - Regular"/>
    <x v="1"/>
    <x v="2"/>
    <x v="4"/>
    <x v="6"/>
    <x v="1"/>
    <x v="0"/>
    <x v="1"/>
    <x v="1"/>
    <n v="0"/>
    <n v="0"/>
    <n v="-0.115"/>
    <n v="-0.115"/>
    <n v="-0.115"/>
    <n v="-0.115"/>
    <n v="0"/>
    <x v="1"/>
    <n v="0"/>
    <n v="0"/>
    <n v="6"/>
    <n v="34"/>
    <n v="0"/>
    <n v="270.13"/>
    <n v="224.01"/>
    <m/>
    <n v="293.013867089276"/>
    <n v="234.64376439748159"/>
    <n v="0"/>
    <n v="-31.06495"/>
    <n v="-25.761150000000001"/>
    <n v="0"/>
    <n v="-33.696594715266741"/>
    <n v="-26.984032905710382"/>
  </r>
  <r>
    <s v="Regular"/>
    <x v="1"/>
    <x v="2"/>
    <x v="4"/>
    <x v="6"/>
    <x v="1"/>
    <x v="0"/>
    <x v="1"/>
    <x v="2"/>
    <n v="0"/>
    <n v="0"/>
    <n v="25.416"/>
    <n v="25.416"/>
    <n v="25.416"/>
    <n v="25.416"/>
    <n v="317"/>
    <x v="1"/>
    <n v="0"/>
    <n v="0"/>
    <n v="6"/>
    <n v="34"/>
    <n v="0"/>
    <n v="270.13"/>
    <n v="224.01"/>
    <m/>
    <n v="293.013867089276"/>
    <n v="234.64376439748159"/>
    <n v="0"/>
    <n v="6865.6240799999996"/>
    <n v="5693.4381599999997"/>
    <n v="0"/>
    <n v="7447.2404459410391"/>
    <n v="5963.7059159263918"/>
  </r>
  <r>
    <s v="Refaturamento - Regular"/>
    <x v="1"/>
    <x v="2"/>
    <x v="4"/>
    <x v="6"/>
    <x v="1"/>
    <x v="0"/>
    <x v="1"/>
    <x v="2"/>
    <n v="0"/>
    <n v="0"/>
    <n v="-0.16500000000000001"/>
    <n v="-0.16500000000000001"/>
    <n v="-0.16500000000000001"/>
    <n v="-0.16500000000000001"/>
    <n v="0"/>
    <x v="1"/>
    <n v="0"/>
    <n v="0"/>
    <n v="6"/>
    <n v="34"/>
    <n v="0"/>
    <n v="270.13"/>
    <n v="224.01"/>
    <m/>
    <n v="293.013867089276"/>
    <n v="234.64376439748159"/>
    <n v="0"/>
    <n v="-44.571449999999999"/>
    <n v="-36.961649999999999"/>
    <n v="0"/>
    <n v="-48.347288069730546"/>
    <n v="-38.716221125584461"/>
  </r>
  <r>
    <s v="Regular"/>
    <x v="1"/>
    <x v="2"/>
    <x v="4"/>
    <x v="6"/>
    <x v="1"/>
    <x v="0"/>
    <x v="1"/>
    <x v="3"/>
    <n v="0"/>
    <n v="0"/>
    <n v="25.062000000000001"/>
    <n v="25.062000000000001"/>
    <n v="25.062000000000001"/>
    <n v="25.062000000000001"/>
    <n v="349"/>
    <x v="1"/>
    <n v="0"/>
    <n v="0"/>
    <n v="6"/>
    <n v="34"/>
    <n v="0"/>
    <n v="270.13"/>
    <n v="224.01"/>
    <m/>
    <n v="293.013867089276"/>
    <n v="234.64376439748159"/>
    <n v="0"/>
    <n v="6769.9980599999999"/>
    <n v="5614.1386199999997"/>
    <n v="0"/>
    <n v="7343.513536991436"/>
    <n v="5880.642023329684"/>
  </r>
  <r>
    <s v="Refaturamento - Regular"/>
    <x v="1"/>
    <x v="2"/>
    <x v="4"/>
    <x v="6"/>
    <x v="1"/>
    <x v="0"/>
    <x v="1"/>
    <x v="3"/>
    <n v="0"/>
    <n v="0"/>
    <n v="-8.8999999999999996E-2"/>
    <n v="-8.8999999999999996E-2"/>
    <n v="-8.8999999999999996E-2"/>
    <n v="-8.8999999999999996E-2"/>
    <n v="0"/>
    <x v="1"/>
    <n v="0"/>
    <n v="0"/>
    <n v="6"/>
    <n v="34"/>
    <n v="0"/>
    <n v="270.13"/>
    <n v="224.01"/>
    <m/>
    <n v="293.013867089276"/>
    <n v="234.64376439748159"/>
    <n v="0"/>
    <n v="-24.04157"/>
    <n v="-19.936889999999998"/>
    <n v="0"/>
    <n v="-26.078234170945564"/>
    <n v="-20.883295031375859"/>
  </r>
  <r>
    <s v="Regular"/>
    <x v="1"/>
    <x v="2"/>
    <x v="4"/>
    <x v="6"/>
    <x v="1"/>
    <x v="0"/>
    <x v="1"/>
    <x v="4"/>
    <n v="0"/>
    <n v="0"/>
    <n v="24.013999999999999"/>
    <n v="24.013999999999999"/>
    <n v="24.013999999999999"/>
    <n v="24.013999999999999"/>
    <n v="339"/>
    <x v="1"/>
    <n v="0"/>
    <n v="0"/>
    <n v="6"/>
    <n v="34"/>
    <n v="0"/>
    <n v="270.13"/>
    <n v="224.01"/>
    <m/>
    <n v="293.013867089276"/>
    <n v="234.64376439748159"/>
    <n v="0"/>
    <n v="6486.90182"/>
    <n v="5379.3761399999994"/>
    <n v="0"/>
    <n v="7036.4350042818742"/>
    <n v="5634.7353582411224"/>
  </r>
  <r>
    <s v="Refaturamento - Regular"/>
    <x v="1"/>
    <x v="2"/>
    <x v="4"/>
    <x v="6"/>
    <x v="1"/>
    <x v="0"/>
    <x v="1"/>
    <x v="4"/>
    <n v="0"/>
    <n v="0"/>
    <n v="-2.3E-2"/>
    <n v="-2.3E-2"/>
    <n v="-2.3E-2"/>
    <n v="-2.3E-2"/>
    <n v="0"/>
    <x v="1"/>
    <n v="0"/>
    <n v="0"/>
    <n v="6"/>
    <n v="34"/>
    <n v="0"/>
    <n v="270.13"/>
    <n v="224.01"/>
    <m/>
    <n v="293.013867089276"/>
    <n v="234.64376439748159"/>
    <n v="0"/>
    <n v="-6.2129899999999996"/>
    <n v="-5.1522299999999994"/>
    <n v="0"/>
    <n v="-6.7393189430533482"/>
    <n v="-5.3968065811420765"/>
  </r>
  <r>
    <s v="Regular"/>
    <x v="1"/>
    <x v="2"/>
    <x v="4"/>
    <x v="6"/>
    <x v="1"/>
    <x v="0"/>
    <x v="1"/>
    <x v="5"/>
    <n v="0"/>
    <n v="0"/>
    <n v="54.155000000000001"/>
    <n v="54.155000000000001"/>
    <n v="54.155000000000001"/>
    <n v="54.155000000000001"/>
    <n v="552"/>
    <x v="1"/>
    <n v="0"/>
    <n v="0"/>
    <n v="6"/>
    <n v="34"/>
    <n v="0"/>
    <n v="270.13"/>
    <n v="224.01"/>
    <m/>
    <n v="293.013867089276"/>
    <n v="234.64376439748159"/>
    <n v="0"/>
    <n v="14628.890149999999"/>
    <n v="12131.261549999999"/>
    <n v="0"/>
    <n v="15868.165972219742"/>
    <n v="12707.133060945616"/>
  </r>
  <r>
    <s v="Refaturamento - Regular"/>
    <x v="1"/>
    <x v="2"/>
    <x v="4"/>
    <x v="6"/>
    <x v="1"/>
    <x v="0"/>
    <x v="1"/>
    <x v="5"/>
    <n v="0"/>
    <n v="0"/>
    <n v="-0.01"/>
    <n v="-0.01"/>
    <n v="-0.01"/>
    <n v="-0.01"/>
    <n v="0"/>
    <x v="1"/>
    <n v="0"/>
    <n v="0"/>
    <n v="6"/>
    <n v="34"/>
    <n v="0"/>
    <n v="270.13"/>
    <n v="224.01"/>
    <m/>
    <n v="293.013867089276"/>
    <n v="234.64376439748159"/>
    <n v="0"/>
    <n v="-2.7012999999999998"/>
    <n v="-2.2401"/>
    <n v="0"/>
    <n v="-2.9301386708927599"/>
    <n v="-2.346437643974816"/>
  </r>
  <r>
    <s v="Regular"/>
    <x v="1"/>
    <x v="2"/>
    <x v="4"/>
    <x v="6"/>
    <x v="1"/>
    <x v="0"/>
    <x v="1"/>
    <x v="6"/>
    <n v="0"/>
    <n v="0"/>
    <n v="63.542000000000002"/>
    <n v="63.542000000000002"/>
    <n v="63.542000000000002"/>
    <n v="63.542000000000002"/>
    <n v="567"/>
    <x v="1"/>
    <n v="0"/>
    <n v="0"/>
    <n v="6"/>
    <n v="34"/>
    <n v="0"/>
    <n v="270.13"/>
    <n v="224.01"/>
    <m/>
    <n v="293.013867089276"/>
    <n v="234.64376439748159"/>
    <n v="0"/>
    <n v="17164.600460000001"/>
    <n v="14234.04342"/>
    <n v="0"/>
    <n v="18618.687142586776"/>
    <n v="14909.734077344776"/>
  </r>
  <r>
    <s v="Regular"/>
    <x v="1"/>
    <x v="2"/>
    <x v="4"/>
    <x v="6"/>
    <x v="1"/>
    <x v="0"/>
    <x v="1"/>
    <x v="7"/>
    <n v="0"/>
    <n v="0"/>
    <n v="56.566000000000003"/>
    <n v="56.566000000000003"/>
    <n v="56.566000000000003"/>
    <n v="56.566000000000003"/>
    <n v="517"/>
    <x v="1"/>
    <n v="0"/>
    <n v="0"/>
    <n v="6"/>
    <n v="34"/>
    <n v="0"/>
    <n v="270.13"/>
    <n v="224.01"/>
    <m/>
    <n v="293.013867089276"/>
    <n v="234.64376439748159"/>
    <n v="0"/>
    <n v="15280.173580000001"/>
    <n v="12671.34966"/>
    <n v="0"/>
    <n v="16574.622405771988"/>
    <n v="13272.859176907945"/>
  </r>
  <r>
    <s v="Refaturamento - Regular"/>
    <x v="1"/>
    <x v="2"/>
    <x v="4"/>
    <x v="6"/>
    <x v="1"/>
    <x v="0"/>
    <x v="1"/>
    <x v="7"/>
    <n v="0"/>
    <n v="0"/>
    <n v="-1.474"/>
    <n v="-1.474"/>
    <n v="-1.474"/>
    <n v="-1.474"/>
    <n v="0"/>
    <x v="1"/>
    <n v="0"/>
    <n v="0"/>
    <n v="6"/>
    <n v="34"/>
    <n v="0"/>
    <n v="270.13"/>
    <n v="224.01"/>
    <m/>
    <n v="293.013867089276"/>
    <n v="234.64376439748159"/>
    <n v="0"/>
    <n v="-398.17161999999996"/>
    <n v="-330.19074000000001"/>
    <n v="0"/>
    <n v="-431.9024400895928"/>
    <n v="-345.86490872188784"/>
  </r>
  <r>
    <s v="Regular"/>
    <x v="1"/>
    <x v="2"/>
    <x v="4"/>
    <x v="6"/>
    <x v="1"/>
    <x v="0"/>
    <x v="1"/>
    <x v="8"/>
    <n v="0"/>
    <n v="0"/>
    <n v="42.036000000000001"/>
    <n v="42.036000000000001"/>
    <n v="42.036000000000001"/>
    <n v="42.036000000000001"/>
    <n v="470"/>
    <x v="1"/>
    <n v="0"/>
    <n v="0"/>
    <n v="6"/>
    <n v="34"/>
    <n v="0"/>
    <n v="270.13"/>
    <n v="224.01"/>
    <m/>
    <n v="293.013867089276"/>
    <n v="234.64376439748159"/>
    <n v="0"/>
    <n v="11355.18468"/>
    <n v="9416.4843600000004"/>
    <n v="0"/>
    <n v="12317.130916964807"/>
    <n v="9863.485280212537"/>
  </r>
  <r>
    <s v="Refaturamento - Regular"/>
    <x v="1"/>
    <x v="2"/>
    <x v="4"/>
    <x v="6"/>
    <x v="1"/>
    <x v="0"/>
    <x v="1"/>
    <x v="8"/>
    <n v="0"/>
    <n v="0"/>
    <n v="-0.28999999999999998"/>
    <n v="-0.28999999999999998"/>
    <n v="-0.28999999999999998"/>
    <n v="-0.28999999999999998"/>
    <n v="0"/>
    <x v="1"/>
    <n v="0"/>
    <n v="0"/>
    <n v="6"/>
    <n v="34"/>
    <n v="0"/>
    <n v="270.13"/>
    <n v="224.01"/>
    <m/>
    <n v="293.013867089276"/>
    <n v="234.64376439748159"/>
    <n v="0"/>
    <n v="-78.337699999999998"/>
    <n v="-64.962899999999991"/>
    <n v="0"/>
    <n v="-84.974021455890039"/>
    <n v="-68.046691675269656"/>
  </r>
  <r>
    <s v="Regular"/>
    <x v="1"/>
    <x v="2"/>
    <x v="4"/>
    <x v="6"/>
    <x v="1"/>
    <x v="0"/>
    <x v="1"/>
    <x v="9"/>
    <n v="0"/>
    <n v="0"/>
    <n v="29.068999999999999"/>
    <n v="29.068999999999999"/>
    <n v="29.068999999999999"/>
    <n v="29.068999999999999"/>
    <n v="361"/>
    <x v="1"/>
    <n v="0"/>
    <n v="0"/>
    <n v="6"/>
    <n v="34"/>
    <n v="0"/>
    <n v="270.13"/>
    <n v="224.01"/>
    <m/>
    <n v="293.013867089276"/>
    <n v="234.64376439748159"/>
    <n v="0"/>
    <n v="7852.4089699999995"/>
    <n v="6511.7466899999999"/>
    <n v="0"/>
    <n v="8517.6201024181646"/>
    <n v="6820.8595872703918"/>
  </r>
  <r>
    <s v="Regular"/>
    <x v="1"/>
    <x v="2"/>
    <x v="4"/>
    <x v="6"/>
    <x v="1"/>
    <x v="0"/>
    <x v="1"/>
    <x v="10"/>
    <n v="0"/>
    <n v="0"/>
    <n v="38.725000000000001"/>
    <n v="38.725000000000001"/>
    <n v="38.725000000000001"/>
    <n v="38.725000000000001"/>
    <n v="433"/>
    <x v="1"/>
    <n v="0"/>
    <n v="0"/>
    <n v="6"/>
    <n v="34"/>
    <n v="0"/>
    <n v="270.13"/>
    <n v="224.01"/>
    <m/>
    <n v="293.013867089276"/>
    <n v="234.64376439748159"/>
    <n v="0"/>
    <n v="10460.784250000001"/>
    <n v="8674.7872499999994"/>
    <n v="0"/>
    <n v="11346.962003032213"/>
    <n v="9086.5797762924758"/>
  </r>
  <r>
    <s v="PROJETADO"/>
    <x v="1"/>
    <x v="2"/>
    <x v="4"/>
    <x v="6"/>
    <x v="1"/>
    <x v="0"/>
    <x v="1"/>
    <x v="11"/>
    <n v="0"/>
    <n v="0"/>
    <n v="38.725000000000001"/>
    <n v="38.725000000000001"/>
    <n v="38.725000000000001"/>
    <n v="38.725000000000001"/>
    <n v="433"/>
    <x v="1"/>
    <n v="0"/>
    <n v="0"/>
    <n v="6"/>
    <n v="34"/>
    <n v="0"/>
    <n v="270.13"/>
    <n v="224.01"/>
    <m/>
    <n v="293.013867089276"/>
    <n v="234.64376439748159"/>
    <n v="0"/>
    <n v="10460.784250000001"/>
    <n v="8674.7872499999994"/>
    <n v="0"/>
    <n v="11346.962003032213"/>
    <n v="9086.5797762924758"/>
  </r>
  <r>
    <s v="Regular"/>
    <x v="2"/>
    <x v="2"/>
    <x v="5"/>
    <x v="7"/>
    <x v="2"/>
    <x v="0"/>
    <x v="1"/>
    <x v="0"/>
    <n v="0"/>
    <n v="0"/>
    <n v="2.472"/>
    <n v="2.472"/>
    <n v="2.472"/>
    <n v="2.472"/>
    <n v="0"/>
    <x v="1"/>
    <n v="0"/>
    <n v="0"/>
    <n v="16"/>
    <n v="54"/>
    <n v="0"/>
    <n v="297.89"/>
    <n v="197.13"/>
    <m/>
    <n v="392.53302912886562"/>
    <n v="220.56513853363268"/>
    <n v="0"/>
    <n v="736.38407999999993"/>
    <n v="487.30536000000001"/>
    <n v="0"/>
    <n v="970.34164800655583"/>
    <n v="545.23702245513994"/>
  </r>
  <r>
    <s v="Regular"/>
    <x v="2"/>
    <x v="2"/>
    <x v="5"/>
    <x v="7"/>
    <x v="2"/>
    <x v="0"/>
    <x v="1"/>
    <x v="1"/>
    <n v="0"/>
    <n v="0"/>
    <n v="3.6890000000000001"/>
    <n v="3.6890000000000001"/>
    <n v="3.6890000000000001"/>
    <n v="3.6890000000000001"/>
    <n v="0"/>
    <x v="1"/>
    <n v="0"/>
    <n v="0"/>
    <n v="16"/>
    <n v="54"/>
    <n v="0"/>
    <n v="297.89"/>
    <n v="197.13"/>
    <m/>
    <n v="392.53302912886562"/>
    <n v="220.56513853363268"/>
    <n v="0"/>
    <n v="1098.9162099999999"/>
    <n v="727.21257000000003"/>
    <n v="0"/>
    <n v="1448.0543444563853"/>
    <n v="813.664796050571"/>
  </r>
  <r>
    <s v="Regular"/>
    <x v="2"/>
    <x v="2"/>
    <x v="5"/>
    <x v="7"/>
    <x v="2"/>
    <x v="0"/>
    <x v="1"/>
    <x v="2"/>
    <n v="0"/>
    <n v="0"/>
    <n v="1.538"/>
    <n v="1.538"/>
    <n v="1.538"/>
    <n v="1.538"/>
    <n v="0"/>
    <x v="1"/>
    <n v="0"/>
    <n v="0"/>
    <n v="16"/>
    <n v="54"/>
    <n v="0"/>
    <n v="297.89"/>
    <n v="197.13"/>
    <m/>
    <n v="392.53302912886562"/>
    <n v="220.56513853363268"/>
    <n v="0"/>
    <n v="458.15481999999997"/>
    <n v="303.18594000000002"/>
    <n v="0"/>
    <n v="603.71579880019533"/>
    <n v="339.22918306472707"/>
  </r>
  <r>
    <s v="Regular"/>
    <x v="2"/>
    <x v="2"/>
    <x v="5"/>
    <x v="7"/>
    <x v="2"/>
    <x v="0"/>
    <x v="1"/>
    <x v="3"/>
    <n v="0"/>
    <n v="0"/>
    <n v="2.7269999999999999"/>
    <n v="2.7269999999999999"/>
    <n v="2.7269999999999999"/>
    <n v="2.7269999999999999"/>
    <n v="0"/>
    <x v="1"/>
    <n v="0"/>
    <n v="0"/>
    <n v="16"/>
    <n v="54"/>
    <n v="0"/>
    <n v="297.89"/>
    <n v="197.13"/>
    <m/>
    <n v="392.53302912886562"/>
    <n v="220.56513853363268"/>
    <n v="0"/>
    <n v="812.34602999999993"/>
    <n v="537.57350999999994"/>
    <n v="0"/>
    <n v="1070.4375704344166"/>
    <n v="601.48113278121627"/>
  </r>
  <r>
    <s v="Regular"/>
    <x v="2"/>
    <x v="2"/>
    <x v="5"/>
    <x v="7"/>
    <x v="2"/>
    <x v="0"/>
    <x v="1"/>
    <x v="4"/>
    <n v="0"/>
    <n v="0"/>
    <n v="8.2140000000000004"/>
    <n v="8.2140000000000004"/>
    <n v="8.2140000000000004"/>
    <n v="8.2140000000000004"/>
    <n v="0"/>
    <x v="1"/>
    <n v="0"/>
    <n v="0"/>
    <n v="16"/>
    <n v="54"/>
    <n v="0"/>
    <n v="297.89"/>
    <n v="197.13"/>
    <m/>
    <n v="392.53302912886562"/>
    <n v="220.56513853363268"/>
    <n v="0"/>
    <n v="2446.8684600000001"/>
    <n v="1619.2258200000001"/>
    <n v="0"/>
    <n v="3224.2663012645025"/>
    <n v="1811.7220479152588"/>
  </r>
  <r>
    <s v="Refaturamento - Regular"/>
    <x v="2"/>
    <x v="2"/>
    <x v="5"/>
    <x v="7"/>
    <x v="2"/>
    <x v="0"/>
    <x v="1"/>
    <x v="4"/>
    <n v="0"/>
    <n v="0"/>
    <n v="-0.85299999999999998"/>
    <n v="-0.85299999999999998"/>
    <n v="-0.85299999999999998"/>
    <n v="-0.85299999999999998"/>
    <n v="0"/>
    <x v="1"/>
    <n v="0"/>
    <n v="0"/>
    <n v="16"/>
    <n v="54"/>
    <n v="0"/>
    <n v="297.89"/>
    <n v="197.13"/>
    <m/>
    <n v="392.53302912886562"/>
    <n v="220.56513853363268"/>
    <n v="0"/>
    <n v="-254.10016999999999"/>
    <n v="-168.15188999999998"/>
    <n v="0"/>
    <n v="-334.83067384692237"/>
    <n v="-188.14206316918867"/>
  </r>
  <r>
    <s v="Regular"/>
    <x v="2"/>
    <x v="2"/>
    <x v="5"/>
    <x v="7"/>
    <x v="2"/>
    <x v="0"/>
    <x v="1"/>
    <x v="5"/>
    <n v="0"/>
    <n v="0"/>
    <n v="5.101"/>
    <n v="5.101"/>
    <n v="5.101"/>
    <n v="5.101"/>
    <n v="0"/>
    <x v="1"/>
    <n v="0"/>
    <n v="0"/>
    <n v="16"/>
    <n v="54"/>
    <n v="0"/>
    <n v="297.89"/>
    <n v="197.13"/>
    <m/>
    <n v="392.53302912886562"/>
    <n v="220.56513853363268"/>
    <n v="0"/>
    <n v="1519.5368899999999"/>
    <n v="1005.56013"/>
    <n v="0"/>
    <n v="2002.3109815863436"/>
    <n v="1125.1027716600602"/>
  </r>
  <r>
    <s v="Refaturamento - Regular"/>
    <x v="2"/>
    <x v="2"/>
    <x v="5"/>
    <x v="7"/>
    <x v="2"/>
    <x v="0"/>
    <x v="1"/>
    <x v="5"/>
    <n v="0"/>
    <n v="0"/>
    <n v="-2.6259999999999999"/>
    <n v="-2.6259999999999999"/>
    <n v="-2.6259999999999999"/>
    <n v="-2.6259999999999999"/>
    <n v="0"/>
    <x v="1"/>
    <n v="0"/>
    <n v="0"/>
    <n v="16"/>
    <n v="54"/>
    <n v="0"/>
    <n v="297.89"/>
    <n v="197.13"/>
    <m/>
    <n v="392.53302912886562"/>
    <n v="220.56513853363268"/>
    <n v="0"/>
    <n v="-782.25913999999989"/>
    <n v="-517.66337999999996"/>
    <n v="0"/>
    <n v="-1030.791734492401"/>
    <n v="-579.20405378931935"/>
  </r>
  <r>
    <s v="Regular"/>
    <x v="2"/>
    <x v="2"/>
    <x v="5"/>
    <x v="7"/>
    <x v="2"/>
    <x v="0"/>
    <x v="1"/>
    <x v="6"/>
    <n v="0"/>
    <n v="0"/>
    <n v="4.117"/>
    <n v="4.117"/>
    <n v="4.117"/>
    <n v="4.117"/>
    <n v="0"/>
    <x v="1"/>
    <n v="0"/>
    <n v="0"/>
    <n v="16"/>
    <n v="54"/>
    <n v="0"/>
    <n v="297.89"/>
    <n v="197.13"/>
    <m/>
    <n v="392.53302912886562"/>
    <n v="220.56513853363268"/>
    <n v="0"/>
    <n v="1226.4131299999999"/>
    <n v="811.58420999999998"/>
    <n v="0"/>
    <n v="1616.0584809235397"/>
    <n v="908.06667534296571"/>
  </r>
  <r>
    <s v="Regular"/>
    <x v="2"/>
    <x v="2"/>
    <x v="5"/>
    <x v="7"/>
    <x v="2"/>
    <x v="0"/>
    <x v="1"/>
    <x v="7"/>
    <n v="0"/>
    <n v="0"/>
    <n v="1.5509999999999999"/>
    <n v="1.5509999999999999"/>
    <n v="1.5509999999999999"/>
    <n v="1.5509999999999999"/>
    <n v="0"/>
    <x v="1"/>
    <n v="0"/>
    <n v="0"/>
    <n v="16"/>
    <n v="54"/>
    <n v="0"/>
    <n v="297.89"/>
    <n v="197.13"/>
    <m/>
    <n v="392.53302912886562"/>
    <n v="220.56513853363268"/>
    <n v="0"/>
    <n v="462.02738999999997"/>
    <n v="305.74862999999999"/>
    <n v="0"/>
    <n v="608.81872817887051"/>
    <n v="342.09652986566425"/>
  </r>
  <r>
    <s v="Regular"/>
    <x v="2"/>
    <x v="2"/>
    <x v="5"/>
    <x v="7"/>
    <x v="2"/>
    <x v="0"/>
    <x v="1"/>
    <x v="8"/>
    <n v="0"/>
    <n v="0"/>
    <n v="1.1870000000000001"/>
    <n v="1.1870000000000001"/>
    <n v="1.1870000000000001"/>
    <n v="1.1870000000000001"/>
    <n v="0"/>
    <x v="1"/>
    <n v="0"/>
    <n v="0"/>
    <n v="16"/>
    <n v="54"/>
    <n v="0"/>
    <n v="297.89"/>
    <n v="197.13"/>
    <m/>
    <n v="392.53302912886562"/>
    <n v="220.56513853363268"/>
    <n v="0"/>
    <n v="353.59543000000002"/>
    <n v="233.99331000000001"/>
    <n v="0"/>
    <n v="465.93670557596352"/>
    <n v="261.810819439422"/>
  </r>
  <r>
    <s v="Regular"/>
    <x v="2"/>
    <x v="2"/>
    <x v="5"/>
    <x v="7"/>
    <x v="2"/>
    <x v="0"/>
    <x v="1"/>
    <x v="9"/>
    <n v="0"/>
    <n v="0"/>
    <n v="0.27300000000000002"/>
    <n v="0.27300000000000002"/>
    <n v="0.27300000000000002"/>
    <n v="0.27300000000000002"/>
    <n v="0"/>
    <x v="1"/>
    <n v="0"/>
    <n v="0"/>
    <n v="16"/>
    <n v="54"/>
    <n v="0"/>
    <n v="297.89"/>
    <n v="197.13"/>
    <m/>
    <n v="392.53302912886562"/>
    <n v="220.56513853363268"/>
    <n v="0"/>
    <n v="81.323970000000003"/>
    <n v="53.816490000000002"/>
    <n v="0"/>
    <n v="107.16151695218032"/>
    <n v="60.214282819681728"/>
  </r>
  <r>
    <s v="Refaturamento - Regular"/>
    <x v="2"/>
    <x v="2"/>
    <x v="5"/>
    <x v="7"/>
    <x v="2"/>
    <x v="0"/>
    <x v="1"/>
    <x v="9"/>
    <n v="0"/>
    <n v="0"/>
    <n v="-0.33600000000000002"/>
    <n v="-0.33600000000000002"/>
    <n v="-0.33600000000000002"/>
    <n v="-0.33600000000000002"/>
    <n v="0"/>
    <x v="1"/>
    <n v="0"/>
    <n v="0"/>
    <n v="16"/>
    <n v="54"/>
    <n v="0"/>
    <n v="297.89"/>
    <n v="197.13"/>
    <m/>
    <n v="392.53302912886562"/>
    <n v="220.56513853363268"/>
    <n v="0"/>
    <n v="-100.09104000000001"/>
    <n v="-66.235680000000002"/>
    <n v="0"/>
    <n v="-131.89109778729886"/>
    <n v="-74.10988654730059"/>
  </r>
  <r>
    <s v="Regular"/>
    <x v="2"/>
    <x v="2"/>
    <x v="5"/>
    <x v="7"/>
    <x v="2"/>
    <x v="0"/>
    <x v="1"/>
    <x v="10"/>
    <n v="0"/>
    <n v="0"/>
    <n v="0.17699999999999999"/>
    <n v="0.17699999999999999"/>
    <n v="0.17699999999999999"/>
    <n v="0.17699999999999999"/>
    <n v="0"/>
    <x v="1"/>
    <n v="0"/>
    <n v="0"/>
    <n v="16"/>
    <n v="54"/>
    <n v="0"/>
    <n v="297.89"/>
    <n v="197.13"/>
    <m/>
    <n v="392.53302912886562"/>
    <n v="220.56513853363268"/>
    <n v="0"/>
    <n v="52.726529999999997"/>
    <n v="34.892009999999999"/>
    <n v="0"/>
    <n v="69.478346155809206"/>
    <n v="39.040029520452983"/>
  </r>
  <r>
    <s v="PROJETADO"/>
    <x v="2"/>
    <x v="2"/>
    <x v="5"/>
    <x v="7"/>
    <x v="2"/>
    <x v="0"/>
    <x v="1"/>
    <x v="11"/>
    <n v="0"/>
    <n v="0"/>
    <n v="0.17699999999999999"/>
    <n v="0.17699999999999999"/>
    <n v="0.17699999999999999"/>
    <n v="0.17699999999999999"/>
    <n v="0"/>
    <x v="1"/>
    <n v="0"/>
    <n v="0"/>
    <n v="16"/>
    <n v="54"/>
    <n v="0"/>
    <n v="297.89"/>
    <n v="197.13"/>
    <m/>
    <n v="392.53302912886562"/>
    <n v="220.56513853363268"/>
    <n v="0"/>
    <n v="52.726529999999997"/>
    <n v="34.892009999999999"/>
    <n v="0"/>
    <n v="69.478346155809206"/>
    <n v="39.040029520452983"/>
  </r>
  <r>
    <s v="Regular"/>
    <x v="2"/>
    <x v="2"/>
    <x v="5"/>
    <x v="7"/>
    <x v="3"/>
    <x v="0"/>
    <x v="1"/>
    <x v="0"/>
    <n v="0"/>
    <n v="0"/>
    <n v="1.3129999999999999"/>
    <n v="0.5252"/>
    <n v="1.3129999999999999"/>
    <n v="0.5252"/>
    <n v="0"/>
    <x v="1"/>
    <n v="0"/>
    <n v="0"/>
    <n v="16"/>
    <n v="54"/>
    <n v="0"/>
    <n v="297.89"/>
    <n v="197.13"/>
    <m/>
    <n v="392.53302912886562"/>
    <n v="220.56513853363268"/>
    <n v="0"/>
    <n v="156.45182800000001"/>
    <n v="103.532676"/>
    <n v="0"/>
    <n v="206.15834689848023"/>
    <n v="115.84081075786388"/>
  </r>
  <r>
    <s v="Regular"/>
    <x v="2"/>
    <x v="2"/>
    <x v="5"/>
    <x v="7"/>
    <x v="3"/>
    <x v="0"/>
    <x v="1"/>
    <x v="1"/>
    <n v="0"/>
    <n v="0"/>
    <n v="1.7609999999999999"/>
    <n v="0.70440000000000003"/>
    <n v="1.7609999999999999"/>
    <n v="0.70440000000000003"/>
    <n v="0"/>
    <x v="1"/>
    <n v="0"/>
    <n v="0"/>
    <n v="16"/>
    <n v="54"/>
    <n v="0"/>
    <n v="297.89"/>
    <n v="197.13"/>
    <m/>
    <n v="392.53302912886562"/>
    <n v="220.56513853363268"/>
    <n v="0"/>
    <n v="209.83371600000001"/>
    <n v="138.858372"/>
    <n v="0"/>
    <n v="276.50026571837293"/>
    <n v="155.36608358309087"/>
  </r>
  <r>
    <s v="Regular"/>
    <x v="2"/>
    <x v="2"/>
    <x v="5"/>
    <x v="7"/>
    <x v="3"/>
    <x v="0"/>
    <x v="1"/>
    <x v="2"/>
    <n v="0"/>
    <n v="0"/>
    <n v="0.82599999999999996"/>
    <n v="0.33040000000000003"/>
    <n v="0.82599999999999996"/>
    <n v="0.33040000000000003"/>
    <n v="0"/>
    <x v="1"/>
    <n v="0"/>
    <n v="0"/>
    <n v="16"/>
    <n v="54"/>
    <n v="0"/>
    <n v="297.89"/>
    <n v="197.13"/>
    <m/>
    <n v="392.53302912886562"/>
    <n v="220.56513853363268"/>
    <n v="0"/>
    <n v="98.42285600000001"/>
    <n v="65.131752000000006"/>
    <n v="0"/>
    <n v="129.6929128241772"/>
    <n v="72.874721771512242"/>
  </r>
  <r>
    <s v="Regular"/>
    <x v="2"/>
    <x v="2"/>
    <x v="5"/>
    <x v="7"/>
    <x v="3"/>
    <x v="0"/>
    <x v="1"/>
    <x v="3"/>
    <n v="0"/>
    <n v="0"/>
    <n v="1.579"/>
    <n v="0.63160000000000005"/>
    <n v="1.579"/>
    <n v="0.63160000000000005"/>
    <n v="0"/>
    <x v="1"/>
    <n v="0"/>
    <n v="0"/>
    <n v="16"/>
    <n v="54"/>
    <n v="0"/>
    <n v="297.89"/>
    <n v="197.13"/>
    <m/>
    <n v="392.53302912886562"/>
    <n v="220.56513853363268"/>
    <n v="0"/>
    <n v="188.147324"/>
    <n v="124.50730800000001"/>
    <n v="0"/>
    <n v="247.92386119779155"/>
    <n v="139.3089414978424"/>
  </r>
  <r>
    <s v="Regular"/>
    <x v="2"/>
    <x v="2"/>
    <x v="5"/>
    <x v="7"/>
    <x v="3"/>
    <x v="0"/>
    <x v="1"/>
    <x v="4"/>
    <n v="0"/>
    <n v="0"/>
    <n v="3.202"/>
    <n v="1.2807999999999999"/>
    <n v="3.202"/>
    <n v="1.2807999999999999"/>
    <n v="0"/>
    <x v="1"/>
    <n v="0"/>
    <n v="0"/>
    <n v="16"/>
    <n v="54"/>
    <n v="0"/>
    <n v="297.89"/>
    <n v="197.13"/>
    <m/>
    <n v="392.53302912886562"/>
    <n v="220.56513853363268"/>
    <n v="0"/>
    <n v="381.53751199999999"/>
    <n v="252.48410399999997"/>
    <n v="0"/>
    <n v="502.75630370825104"/>
    <n v="282.4998294338767"/>
  </r>
  <r>
    <s v="Refaturamento - Regular"/>
    <x v="2"/>
    <x v="2"/>
    <x v="5"/>
    <x v="7"/>
    <x v="3"/>
    <x v="0"/>
    <x v="1"/>
    <x v="4"/>
    <n v="0"/>
    <n v="0"/>
    <n v="0.08"/>
    <n v="3.2000000000000001E-2"/>
    <n v="0.08"/>
    <n v="3.2000000000000001E-2"/>
    <n v="0"/>
    <x v="1"/>
    <n v="0"/>
    <n v="0"/>
    <n v="16"/>
    <n v="54"/>
    <n v="0"/>
    <n v="297.89"/>
    <n v="197.13"/>
    <m/>
    <n v="392.53302912886562"/>
    <n v="220.56513853363268"/>
    <n v="0"/>
    <n v="9.5324799999999996"/>
    <n v="6.30816"/>
    <n v="0"/>
    <n v="12.5610569321237"/>
    <n v="7.058084433076246"/>
  </r>
  <r>
    <s v="Regular"/>
    <x v="2"/>
    <x v="2"/>
    <x v="5"/>
    <x v="7"/>
    <x v="3"/>
    <x v="0"/>
    <x v="1"/>
    <x v="5"/>
    <n v="0"/>
    <n v="0"/>
    <n v="3.0150000000000001"/>
    <n v="1.206"/>
    <n v="3.0150000000000001"/>
    <n v="1.206"/>
    <n v="0"/>
    <x v="1"/>
    <n v="0"/>
    <n v="0"/>
    <n v="16"/>
    <n v="54"/>
    <n v="0"/>
    <n v="297.89"/>
    <n v="197.13"/>
    <m/>
    <n v="392.53302912886562"/>
    <n v="220.56513853363268"/>
    <n v="0"/>
    <n v="359.25533999999999"/>
    <n v="237.73877999999999"/>
    <n v="0"/>
    <n v="473.39483312941195"/>
    <n v="266.00155707156102"/>
  </r>
  <r>
    <s v="Regular"/>
    <x v="2"/>
    <x v="2"/>
    <x v="5"/>
    <x v="7"/>
    <x v="3"/>
    <x v="0"/>
    <x v="1"/>
    <x v="6"/>
    <n v="0"/>
    <n v="0"/>
    <n v="2.5670000000000002"/>
    <n v="1.0267999999999999"/>
    <n v="2.5670000000000002"/>
    <n v="1.0267999999999999"/>
    <n v="0"/>
    <x v="1"/>
    <n v="0"/>
    <n v="0"/>
    <n v="16"/>
    <n v="54"/>
    <n v="0"/>
    <n v="297.89"/>
    <n v="197.13"/>
    <m/>
    <n v="392.53302912886562"/>
    <n v="220.56513853363268"/>
    <n v="0"/>
    <n v="305.87345199999999"/>
    <n v="202.41308399999997"/>
    <n v="0"/>
    <n v="403.05291430951917"/>
    <n v="226.47628424633402"/>
  </r>
  <r>
    <s v="Regular"/>
    <x v="2"/>
    <x v="2"/>
    <x v="5"/>
    <x v="7"/>
    <x v="3"/>
    <x v="0"/>
    <x v="1"/>
    <x v="7"/>
    <n v="0"/>
    <n v="0"/>
    <n v="0.36399999999999999"/>
    <n v="0.14560000000000001"/>
    <n v="0.36399999999999999"/>
    <n v="0.14560000000000001"/>
    <n v="0"/>
    <x v="1"/>
    <n v="0"/>
    <n v="0"/>
    <n v="16"/>
    <n v="54"/>
    <n v="0"/>
    <n v="297.89"/>
    <n v="197.13"/>
    <m/>
    <n v="392.53302912886562"/>
    <n v="220.56513853363268"/>
    <n v="0"/>
    <n v="43.372784000000003"/>
    <n v="28.702128000000002"/>
    <n v="0"/>
    <n v="57.15280904116284"/>
    <n v="32.114284170496923"/>
  </r>
  <r>
    <s v="Regular"/>
    <x v="2"/>
    <x v="2"/>
    <x v="5"/>
    <x v="7"/>
    <x v="3"/>
    <x v="0"/>
    <x v="1"/>
    <x v="8"/>
    <n v="0"/>
    <n v="0"/>
    <n v="2.9000000000000001E-2"/>
    <n v="1.1599999999999999E-2"/>
    <n v="2.9000000000000001E-2"/>
    <n v="1.1599999999999999E-2"/>
    <n v="0"/>
    <x v="1"/>
    <n v="0"/>
    <n v="0"/>
    <n v="16"/>
    <n v="54"/>
    <n v="0"/>
    <n v="297.89"/>
    <n v="197.13"/>
    <m/>
    <n v="392.53302912886562"/>
    <n v="220.56513853363268"/>
    <n v="0"/>
    <n v="3.4555239999999996"/>
    <n v="2.286708"/>
    <n v="0"/>
    <n v="4.5533831378948406"/>
    <n v="2.5585556069901387"/>
  </r>
  <r>
    <s v="Regular"/>
    <x v="2"/>
    <x v="2"/>
    <x v="5"/>
    <x v="7"/>
    <x v="3"/>
    <x v="0"/>
    <x v="1"/>
    <x v="9"/>
    <n v="0"/>
    <n v="0"/>
    <n v="2.7E-2"/>
    <n v="1.0800000000000001E-2"/>
    <n v="2.7E-2"/>
    <n v="1.0800000000000001E-2"/>
    <n v="0"/>
    <x v="1"/>
    <n v="0"/>
    <n v="0"/>
    <n v="16"/>
    <n v="54"/>
    <n v="0"/>
    <n v="297.89"/>
    <n v="197.13"/>
    <m/>
    <n v="392.53302912886562"/>
    <n v="220.56513853363268"/>
    <n v="0"/>
    <n v="3.217212"/>
    <n v="2.1290040000000001"/>
    <n v="0"/>
    <n v="4.2393567145917492"/>
    <n v="2.382103496163233"/>
  </r>
  <r>
    <s v="Refaturamento - Regular"/>
    <x v="2"/>
    <x v="2"/>
    <x v="5"/>
    <x v="7"/>
    <x v="3"/>
    <x v="0"/>
    <x v="1"/>
    <x v="9"/>
    <n v="0"/>
    <n v="0"/>
    <n v="0.09"/>
    <n v="3.5999999999999997E-2"/>
    <n v="0.09"/>
    <n v="3.5999999999999997E-2"/>
    <n v="0"/>
    <x v="1"/>
    <n v="0"/>
    <n v="0"/>
    <n v="16"/>
    <n v="54"/>
    <n v="0"/>
    <n v="297.89"/>
    <n v="197.13"/>
    <m/>
    <n v="392.53302912886562"/>
    <n v="220.56513853363268"/>
    <n v="0"/>
    <n v="10.724039999999999"/>
    <n v="7.0966799999999992"/>
    <n v="0"/>
    <n v="14.131189048639161"/>
    <n v="7.9403449872107759"/>
  </r>
  <r>
    <s v="Regular"/>
    <x v="2"/>
    <x v="2"/>
    <x v="5"/>
    <x v="7"/>
    <x v="3"/>
    <x v="0"/>
    <x v="1"/>
    <x v="10"/>
    <n v="0"/>
    <n v="0"/>
    <n v="2.3E-2"/>
    <n v="9.1999999999999998E-3"/>
    <n v="2.3E-2"/>
    <n v="9.1999999999999998E-3"/>
    <n v="0"/>
    <x v="1"/>
    <n v="0"/>
    <n v="0"/>
    <n v="16"/>
    <n v="54"/>
    <n v="0"/>
    <n v="297.89"/>
    <n v="197.13"/>
    <m/>
    <n v="392.53302912886562"/>
    <n v="220.56513853363268"/>
    <n v="0"/>
    <n v="2.7405879999999998"/>
    <n v="1.813596"/>
    <n v="0"/>
    <n v="3.6113038679855638"/>
    <n v="2.0291992745094207"/>
  </r>
  <r>
    <s v="PROJETADO"/>
    <x v="2"/>
    <x v="2"/>
    <x v="5"/>
    <x v="7"/>
    <x v="3"/>
    <x v="0"/>
    <x v="1"/>
    <x v="11"/>
    <n v="0"/>
    <n v="0"/>
    <n v="2.3E-2"/>
    <n v="9.1999999999999998E-3"/>
    <n v="2.3E-2"/>
    <n v="9.1999999999999998E-3"/>
    <n v="0"/>
    <x v="1"/>
    <n v="0"/>
    <n v="0"/>
    <n v="16"/>
    <n v="54"/>
    <n v="0"/>
    <n v="297.89"/>
    <n v="197.13"/>
    <m/>
    <n v="392.53302912886562"/>
    <n v="220.56513853363268"/>
    <n v="0"/>
    <n v="2.7405879999999998"/>
    <n v="1.813596"/>
    <n v="0"/>
    <n v="3.6113038679855638"/>
    <n v="2.0291992745094207"/>
  </r>
  <r>
    <s v="Regular"/>
    <x v="2"/>
    <x v="2"/>
    <x v="5"/>
    <x v="0"/>
    <x v="1"/>
    <x v="0"/>
    <x v="1"/>
    <x v="0"/>
    <n v="0"/>
    <n v="0"/>
    <n v="751.04300000000001"/>
    <n v="751.04300000000001"/>
    <n v="751.04300000000001"/>
    <n v="751.04300000000001"/>
    <n v="2482"/>
    <x v="1"/>
    <n v="0"/>
    <n v="0"/>
    <n v="16"/>
    <n v="54"/>
    <n v="0"/>
    <n v="297.89"/>
    <n v="197.13"/>
    <m/>
    <n v="392.53302912886562"/>
    <n v="220.56513853363268"/>
    <n v="0"/>
    <n v="223728.19926999998"/>
    <n v="148053.10659000001"/>
    <n v="0"/>
    <n v="294809.18379603064"/>
    <n v="165653.90333971509"/>
  </r>
  <r>
    <s v="Refaturamento - Regular"/>
    <x v="2"/>
    <x v="2"/>
    <x v="5"/>
    <x v="0"/>
    <x v="1"/>
    <x v="0"/>
    <x v="1"/>
    <x v="0"/>
    <n v="0"/>
    <n v="0"/>
    <n v="-1.2769999999999999"/>
    <n v="-1.2769999999999999"/>
    <n v="-1.2769999999999999"/>
    <n v="-1.2769999999999999"/>
    <n v="0"/>
    <x v="1"/>
    <n v="0"/>
    <n v="0"/>
    <n v="16"/>
    <n v="54"/>
    <n v="0"/>
    <n v="297.89"/>
    <n v="197.13"/>
    <m/>
    <n v="392.53302912886562"/>
    <n v="220.56513853363268"/>
    <n v="0"/>
    <n v="-380.40552999999994"/>
    <n v="-251.73500999999999"/>
    <n v="0"/>
    <n v="-501.26467819756135"/>
    <n v="-281.66168190744889"/>
  </r>
  <r>
    <s v="Sistema de Compensação"/>
    <x v="2"/>
    <x v="2"/>
    <x v="5"/>
    <x v="0"/>
    <x v="1"/>
    <x v="0"/>
    <x v="1"/>
    <x v="0"/>
    <n v="0"/>
    <n v="0"/>
    <n v="6.4160000000000004"/>
    <n v="6.4160000000000004"/>
    <n v="6.4160000000000004"/>
    <n v="6.4160000000000004"/>
    <n v="10"/>
    <x v="1"/>
    <n v="0"/>
    <n v="0"/>
    <n v="16"/>
    <n v="54"/>
    <n v="0"/>
    <n v="297.89"/>
    <n v="197.13"/>
    <m/>
    <n v="392.53302912886562"/>
    <n v="220.56513853363268"/>
    <n v="0"/>
    <n v="1911.26224"/>
    <n v="1264.7860800000001"/>
    <n v="0"/>
    <n v="2518.491914890802"/>
    <n v="1415.1459288317874"/>
  </r>
  <r>
    <s v="Regular"/>
    <x v="2"/>
    <x v="2"/>
    <x v="5"/>
    <x v="0"/>
    <x v="1"/>
    <x v="0"/>
    <x v="1"/>
    <x v="1"/>
    <n v="0"/>
    <n v="0"/>
    <n v="922.43"/>
    <n v="922.43"/>
    <n v="922.43"/>
    <n v="922.43"/>
    <n v="2485"/>
    <x v="1"/>
    <n v="0"/>
    <n v="0"/>
    <n v="16"/>
    <n v="54"/>
    <n v="0"/>
    <n v="297.89"/>
    <n v="197.13"/>
    <m/>
    <n v="392.53302912886562"/>
    <n v="220.56513853363268"/>
    <n v="0"/>
    <n v="274782.6727"/>
    <n v="181838.62589999998"/>
    <n v="0"/>
    <n v="362084.24205933948"/>
    <n v="203455.90073757878"/>
  </r>
  <r>
    <s v="Refaturamento - Regular"/>
    <x v="2"/>
    <x v="2"/>
    <x v="5"/>
    <x v="0"/>
    <x v="1"/>
    <x v="0"/>
    <x v="1"/>
    <x v="1"/>
    <n v="0"/>
    <n v="0"/>
    <n v="-0.497"/>
    <n v="-0.497"/>
    <n v="-0.497"/>
    <n v="-0.497"/>
    <n v="0"/>
    <x v="1"/>
    <n v="0"/>
    <n v="0"/>
    <n v="16"/>
    <n v="54"/>
    <n v="0"/>
    <n v="297.89"/>
    <n v="197.13"/>
    <m/>
    <n v="392.53302912886562"/>
    <n v="220.56513853363268"/>
    <n v="0"/>
    <n v="-148.05132999999998"/>
    <n v="-97.973609999999994"/>
    <n v="0"/>
    <n v="-195.08891547704621"/>
    <n v="-109.62087385121544"/>
  </r>
  <r>
    <s v="Sistema de Compensação"/>
    <x v="2"/>
    <x v="2"/>
    <x v="5"/>
    <x v="0"/>
    <x v="1"/>
    <x v="0"/>
    <x v="1"/>
    <x v="1"/>
    <n v="0"/>
    <n v="0"/>
    <n v="8.3219999999999992"/>
    <n v="8.3219999999999992"/>
    <n v="8.3219999999999992"/>
    <n v="8.3219999999999992"/>
    <n v="11"/>
    <x v="1"/>
    <n v="0"/>
    <n v="0"/>
    <n v="16"/>
    <n v="54"/>
    <n v="0"/>
    <n v="297.89"/>
    <n v="197.13"/>
    <m/>
    <n v="392.53302912886562"/>
    <n v="220.56513853363268"/>
    <n v="0"/>
    <n v="2479.0405799999999"/>
    <n v="1640.5158599999997"/>
    <n v="0"/>
    <n v="3266.6598684104192"/>
    <n v="1835.543082876891"/>
  </r>
  <r>
    <s v="Regular"/>
    <x v="2"/>
    <x v="2"/>
    <x v="5"/>
    <x v="0"/>
    <x v="1"/>
    <x v="0"/>
    <x v="1"/>
    <x v="2"/>
    <n v="0"/>
    <n v="0"/>
    <n v="1154.396"/>
    <n v="1154.396"/>
    <n v="1154.396"/>
    <n v="1154.396"/>
    <n v="2488"/>
    <x v="1"/>
    <n v="0"/>
    <n v="0"/>
    <n v="16"/>
    <n v="54"/>
    <n v="0"/>
    <n v="297.89"/>
    <n v="197.13"/>
    <m/>
    <n v="392.53302912886562"/>
    <n v="220.56513853363268"/>
    <n v="0"/>
    <n v="343883.02443999995"/>
    <n v="227566.08347999997"/>
    <n v="0"/>
    <n v="453138.55869424593"/>
    <n v="254619.51366267141"/>
  </r>
  <r>
    <s v="Sistema de Compensação"/>
    <x v="2"/>
    <x v="2"/>
    <x v="5"/>
    <x v="0"/>
    <x v="1"/>
    <x v="0"/>
    <x v="1"/>
    <x v="2"/>
    <n v="0"/>
    <n v="0"/>
    <n v="11.291"/>
    <n v="11.291"/>
    <n v="11.291"/>
    <n v="11.291"/>
    <n v="12"/>
    <x v="1"/>
    <n v="0"/>
    <n v="0"/>
    <n v="16"/>
    <n v="54"/>
    <n v="0"/>
    <n v="297.89"/>
    <n v="197.13"/>
    <m/>
    <n v="392.53302912886562"/>
    <n v="220.56513853363268"/>
    <n v="0"/>
    <n v="3363.4759899999999"/>
    <n v="2225.7948299999998"/>
    <n v="0"/>
    <n v="4432.090431894022"/>
    <n v="2490.4009791832468"/>
  </r>
  <r>
    <s v="Regular"/>
    <x v="2"/>
    <x v="2"/>
    <x v="5"/>
    <x v="0"/>
    <x v="1"/>
    <x v="0"/>
    <x v="1"/>
    <x v="3"/>
    <n v="0"/>
    <n v="0"/>
    <n v="1512.5139999999999"/>
    <n v="1512.5139999999999"/>
    <n v="1512.5139999999999"/>
    <n v="1512.5139999999999"/>
    <n v="2485"/>
    <x v="1"/>
    <n v="0"/>
    <n v="0"/>
    <n v="16"/>
    <n v="54"/>
    <n v="0"/>
    <n v="297.89"/>
    <n v="197.13"/>
    <m/>
    <n v="392.53302912886562"/>
    <n v="220.56513853363268"/>
    <n v="0"/>
    <n v="450562.79545999994"/>
    <n v="298161.88481999998"/>
    <n v="0"/>
    <n v="593711.70201981696"/>
    <n v="333607.85994405887"/>
  </r>
  <r>
    <s v="Refaturamento - Regular"/>
    <x v="2"/>
    <x v="2"/>
    <x v="5"/>
    <x v="0"/>
    <x v="1"/>
    <x v="0"/>
    <x v="1"/>
    <x v="3"/>
    <n v="0"/>
    <n v="0"/>
    <n v="-2.9809999999999999"/>
    <n v="-2.9809999999999999"/>
    <n v="-2.9809999999999999"/>
    <n v="-2.9809999999999999"/>
    <n v="0"/>
    <x v="1"/>
    <n v="0"/>
    <n v="0"/>
    <n v="16"/>
    <n v="54"/>
    <n v="0"/>
    <n v="297.89"/>
    <n v="197.13"/>
    <m/>
    <n v="392.53302912886562"/>
    <n v="220.56513853363268"/>
    <n v="0"/>
    <n v="-888.01008999999988"/>
    <n v="-587.64452999999992"/>
    <n v="0"/>
    <n v="-1170.1409598331484"/>
    <n v="-657.50467796875898"/>
  </r>
  <r>
    <s v="Sistema de Compensação"/>
    <x v="2"/>
    <x v="2"/>
    <x v="5"/>
    <x v="0"/>
    <x v="1"/>
    <x v="0"/>
    <x v="1"/>
    <x v="3"/>
    <n v="0"/>
    <n v="0"/>
    <n v="8.0329999999999995"/>
    <n v="8.0329999999999995"/>
    <n v="8.0329999999999995"/>
    <n v="8.0329999999999995"/>
    <n v="13"/>
    <x v="1"/>
    <n v="0"/>
    <n v="0"/>
    <n v="16"/>
    <n v="54"/>
    <n v="0"/>
    <n v="297.89"/>
    <n v="197.13"/>
    <m/>
    <n v="392.53302912886562"/>
    <n v="220.56513853363268"/>
    <n v="0"/>
    <n v="2392.9503699999996"/>
    <n v="1583.5452899999998"/>
    <n v="0"/>
    <n v="3153.2178229921774"/>
    <n v="1771.7997578406712"/>
  </r>
  <r>
    <s v="Regular"/>
    <x v="2"/>
    <x v="2"/>
    <x v="5"/>
    <x v="0"/>
    <x v="1"/>
    <x v="0"/>
    <x v="1"/>
    <x v="4"/>
    <n v="0"/>
    <n v="0"/>
    <n v="1420.2070000000001"/>
    <n v="1420.2070000000001"/>
    <n v="1420.2070000000001"/>
    <n v="1420.2070000000001"/>
    <n v="2491"/>
    <x v="1"/>
    <n v="0"/>
    <n v="0"/>
    <n v="16"/>
    <n v="54"/>
    <n v="0"/>
    <n v="297.89"/>
    <n v="197.13"/>
    <m/>
    <n v="392.53302912886562"/>
    <n v="220.56513853363268"/>
    <n v="0"/>
    <n v="423065.46322999999"/>
    <n v="279965.40591000003"/>
    <n v="0"/>
    <n v="557478.15570001886"/>
    <n v="313248.1537014349"/>
  </r>
  <r>
    <s v="Refaturamento - Regular"/>
    <x v="2"/>
    <x v="2"/>
    <x v="5"/>
    <x v="0"/>
    <x v="1"/>
    <x v="0"/>
    <x v="1"/>
    <x v="4"/>
    <n v="0"/>
    <n v="0"/>
    <n v="-0.28699999999999998"/>
    <n v="-0.28699999999999998"/>
    <n v="-0.28699999999999998"/>
    <n v="-0.28699999999999998"/>
    <n v="0"/>
    <x v="1"/>
    <n v="0"/>
    <n v="0"/>
    <n v="16"/>
    <n v="54"/>
    <n v="0"/>
    <n v="297.89"/>
    <n v="197.13"/>
    <m/>
    <n v="392.53302912886562"/>
    <n v="220.56513853363268"/>
    <n v="0"/>
    <n v="-85.494429999999994"/>
    <n v="-56.576309999999992"/>
    <n v="0"/>
    <n v="-112.65697935998442"/>
    <n v="-63.30219475915257"/>
  </r>
  <r>
    <s v="Sistema de Compensação"/>
    <x v="2"/>
    <x v="2"/>
    <x v="5"/>
    <x v="0"/>
    <x v="1"/>
    <x v="0"/>
    <x v="1"/>
    <x v="4"/>
    <n v="0"/>
    <n v="0"/>
    <n v="11.968"/>
    <n v="11.968"/>
    <n v="11.968"/>
    <n v="11.968"/>
    <n v="13"/>
    <x v="1"/>
    <n v="0"/>
    <n v="0"/>
    <n v="16"/>
    <n v="54"/>
    <n v="0"/>
    <n v="297.89"/>
    <n v="197.13"/>
    <m/>
    <n v="392.53302912886562"/>
    <n v="220.56513853363268"/>
    <n v="0"/>
    <n v="3565.14752"/>
    <n v="2359.2518399999999"/>
    <n v="0"/>
    <n v="4697.8352926142634"/>
    <n v="2639.7235779705161"/>
  </r>
  <r>
    <s v="Regular"/>
    <x v="2"/>
    <x v="2"/>
    <x v="5"/>
    <x v="0"/>
    <x v="1"/>
    <x v="0"/>
    <x v="1"/>
    <x v="5"/>
    <n v="0"/>
    <n v="0"/>
    <n v="1030.336"/>
    <n v="1030.336"/>
    <n v="1030.336"/>
    <n v="1030.336"/>
    <n v="2487"/>
    <x v="1"/>
    <n v="0"/>
    <n v="0"/>
    <n v="16"/>
    <n v="54"/>
    <n v="0"/>
    <n v="297.89"/>
    <n v="197.13"/>
    <m/>
    <n v="392.53302912886562"/>
    <n v="220.56513853363268"/>
    <n v="0"/>
    <n v="306926.79103999998"/>
    <n v="203110.13568000001"/>
    <n v="0"/>
    <n v="404440.91110051889"/>
    <n v="227256.20257618895"/>
  </r>
  <r>
    <s v="Sistema de Compensação"/>
    <x v="2"/>
    <x v="2"/>
    <x v="5"/>
    <x v="0"/>
    <x v="1"/>
    <x v="0"/>
    <x v="1"/>
    <x v="5"/>
    <n v="0"/>
    <n v="0"/>
    <n v="6.9569999999999999"/>
    <n v="6.9569999999999999"/>
    <n v="6.9569999999999999"/>
    <n v="6.9569999999999999"/>
    <n v="17"/>
    <x v="1"/>
    <n v="0"/>
    <n v="0"/>
    <n v="16"/>
    <n v="54"/>
    <n v="0"/>
    <n v="297.89"/>
    <n v="197.13"/>
    <m/>
    <n v="392.53302912886562"/>
    <n v="220.56513853363268"/>
    <n v="0"/>
    <n v="2072.4207299999998"/>
    <n v="1371.4334099999999"/>
    <n v="0"/>
    <n v="2730.8522836495181"/>
    <n v="1534.4716687784826"/>
  </r>
  <r>
    <s v="Regular"/>
    <x v="2"/>
    <x v="2"/>
    <x v="5"/>
    <x v="0"/>
    <x v="1"/>
    <x v="0"/>
    <x v="1"/>
    <x v="6"/>
    <n v="0"/>
    <n v="0"/>
    <n v="1003.285"/>
    <n v="1003.285"/>
    <n v="1003.285"/>
    <n v="1003.285"/>
    <n v="2481"/>
    <x v="1"/>
    <n v="0"/>
    <n v="0"/>
    <n v="16"/>
    <n v="54"/>
    <n v="0"/>
    <n v="297.89"/>
    <n v="197.13"/>
    <m/>
    <n v="392.53302912886562"/>
    <n v="220.56513853363268"/>
    <n v="0"/>
    <n v="298868.56864999997"/>
    <n v="197777.57204999999"/>
    <n v="0"/>
    <n v="393822.50012955396"/>
    <n v="221289.69501371565"/>
  </r>
  <r>
    <s v="Refaturamento - Regular"/>
    <x v="2"/>
    <x v="2"/>
    <x v="5"/>
    <x v="0"/>
    <x v="1"/>
    <x v="0"/>
    <x v="1"/>
    <x v="6"/>
    <n v="0"/>
    <n v="0"/>
    <n v="-2.1040000000000001"/>
    <n v="-2.1040000000000001"/>
    <n v="-2.1040000000000001"/>
    <n v="-2.1040000000000001"/>
    <n v="0"/>
    <x v="1"/>
    <n v="0"/>
    <n v="0"/>
    <n v="16"/>
    <n v="54"/>
    <n v="0"/>
    <n v="297.89"/>
    <n v="197.13"/>
    <m/>
    <n v="392.53302912886562"/>
    <n v="220.56513853363268"/>
    <n v="0"/>
    <n v="-626.76056000000005"/>
    <n v="-414.76152000000002"/>
    <n v="0"/>
    <n v="-825.88949328713329"/>
    <n v="-464.06905147476317"/>
  </r>
  <r>
    <s v="Sistema de Compensação"/>
    <x v="2"/>
    <x v="2"/>
    <x v="5"/>
    <x v="0"/>
    <x v="1"/>
    <x v="0"/>
    <x v="1"/>
    <x v="6"/>
    <n v="0"/>
    <n v="0"/>
    <n v="15.468"/>
    <n v="15.468"/>
    <n v="15.468"/>
    <n v="15.468"/>
    <n v="22"/>
    <x v="1"/>
    <n v="0"/>
    <n v="0"/>
    <n v="16"/>
    <n v="54"/>
    <n v="0"/>
    <n v="297.89"/>
    <n v="197.13"/>
    <m/>
    <n v="392.53302912886562"/>
    <n v="220.56513853363268"/>
    <n v="0"/>
    <n v="4607.7625200000002"/>
    <n v="3049.2068399999998"/>
    <n v="0"/>
    <n v="6071.7008945652933"/>
    <n v="3411.7015628382301"/>
  </r>
  <r>
    <s v="Regular"/>
    <x v="2"/>
    <x v="2"/>
    <x v="5"/>
    <x v="0"/>
    <x v="1"/>
    <x v="0"/>
    <x v="1"/>
    <x v="7"/>
    <n v="0"/>
    <n v="0"/>
    <n v="877.62300000000005"/>
    <n v="877.62300000000005"/>
    <n v="877.62300000000005"/>
    <n v="877.62300000000005"/>
    <n v="2476"/>
    <x v="1"/>
    <n v="0"/>
    <n v="0"/>
    <n v="16"/>
    <n v="54"/>
    <n v="0"/>
    <n v="297.89"/>
    <n v="197.13"/>
    <m/>
    <n v="392.53302912886562"/>
    <n v="220.56513853363268"/>
    <n v="0"/>
    <n v="261435.11546999999"/>
    <n v="173005.82199"/>
    <n v="0"/>
    <n v="344496.01462316245"/>
    <n v="193573.03857530231"/>
  </r>
  <r>
    <s v="Refaturamento - Regular"/>
    <x v="2"/>
    <x v="2"/>
    <x v="5"/>
    <x v="0"/>
    <x v="1"/>
    <x v="0"/>
    <x v="1"/>
    <x v="7"/>
    <n v="0"/>
    <n v="0"/>
    <n v="-4.6929999999999996"/>
    <n v="-4.6929999999999996"/>
    <n v="-4.6929999999999996"/>
    <n v="-4.6929999999999996"/>
    <n v="0"/>
    <x v="1"/>
    <n v="0"/>
    <n v="0"/>
    <n v="16"/>
    <n v="54"/>
    <n v="0"/>
    <n v="297.89"/>
    <n v="197.13"/>
    <m/>
    <n v="392.53302912886562"/>
    <n v="220.56513853363268"/>
    <n v="0"/>
    <n v="-1397.9977699999997"/>
    <n v="-925.13108999999986"/>
    <n v="0"/>
    <n v="-1842.1575057017662"/>
    <n v="-1035.1121951383382"/>
  </r>
  <r>
    <s v="Sistema de Compensação"/>
    <x v="2"/>
    <x v="2"/>
    <x v="5"/>
    <x v="0"/>
    <x v="1"/>
    <x v="0"/>
    <x v="1"/>
    <x v="7"/>
    <n v="0"/>
    <n v="0"/>
    <n v="7.75"/>
    <n v="7.75"/>
    <n v="7.75"/>
    <n v="7.75"/>
    <n v="25"/>
    <x v="1"/>
    <n v="0"/>
    <n v="0"/>
    <n v="16"/>
    <n v="54"/>
    <n v="0"/>
    <n v="297.89"/>
    <n v="197.13"/>
    <m/>
    <n v="392.53302912886562"/>
    <n v="220.56513853363268"/>
    <n v="0"/>
    <n v="2308.6475"/>
    <n v="1527.7574999999999"/>
    <n v="0"/>
    <n v="3042.1309757487084"/>
    <n v="1709.3798236356533"/>
  </r>
  <r>
    <s v="Regular"/>
    <x v="2"/>
    <x v="2"/>
    <x v="5"/>
    <x v="0"/>
    <x v="1"/>
    <x v="0"/>
    <x v="1"/>
    <x v="8"/>
    <n v="0"/>
    <n v="0"/>
    <n v="767.22"/>
    <n v="767.22"/>
    <n v="767.22"/>
    <n v="767.22"/>
    <n v="2460"/>
    <x v="1"/>
    <n v="0"/>
    <n v="0"/>
    <n v="16"/>
    <n v="54"/>
    <n v="0"/>
    <n v="297.89"/>
    <n v="197.13"/>
    <m/>
    <n v="392.53302912886562"/>
    <n v="220.56513853363268"/>
    <n v="0"/>
    <n v="228547.16579999999"/>
    <n v="151242.07860000001"/>
    <n v="0"/>
    <n v="301159.19060824829"/>
    <n v="169221.98558577365"/>
  </r>
  <r>
    <s v="Refaturamento - Regular"/>
    <x v="2"/>
    <x v="2"/>
    <x v="5"/>
    <x v="0"/>
    <x v="1"/>
    <x v="0"/>
    <x v="1"/>
    <x v="8"/>
    <n v="0"/>
    <n v="0"/>
    <n v="-0.36599999999999999"/>
    <n v="-0.36599999999999999"/>
    <n v="-0.36599999999999999"/>
    <n v="-0.36599999999999999"/>
    <n v="0"/>
    <x v="1"/>
    <n v="0"/>
    <n v="0"/>
    <n v="16"/>
    <n v="54"/>
    <n v="0"/>
    <n v="297.89"/>
    <n v="197.13"/>
    <m/>
    <n v="392.53302912886562"/>
    <n v="220.56513853363268"/>
    <n v="0"/>
    <n v="-109.02773999999999"/>
    <n v="-72.14958"/>
    <n v="0"/>
    <n v="-143.66708866116483"/>
    <n v="-80.726840703309563"/>
  </r>
  <r>
    <s v="Sistema de Compensação"/>
    <x v="2"/>
    <x v="2"/>
    <x v="5"/>
    <x v="0"/>
    <x v="1"/>
    <x v="0"/>
    <x v="1"/>
    <x v="8"/>
    <n v="0"/>
    <n v="0"/>
    <n v="9.6259999999999994"/>
    <n v="9.6259999999999994"/>
    <n v="9.6259999999999994"/>
    <n v="9.6259999999999994"/>
    <n v="29"/>
    <x v="1"/>
    <n v="0"/>
    <n v="0"/>
    <n v="16"/>
    <n v="54"/>
    <n v="0"/>
    <n v="297.89"/>
    <n v="197.13"/>
    <m/>
    <n v="392.53302912886562"/>
    <n v="220.56513853363268"/>
    <n v="0"/>
    <n v="2867.4891399999997"/>
    <n v="1897.5733799999998"/>
    <n v="0"/>
    <n v="3778.5229383944602"/>
    <n v="2123.1600235247479"/>
  </r>
  <r>
    <s v="Regular"/>
    <x v="2"/>
    <x v="2"/>
    <x v="5"/>
    <x v="0"/>
    <x v="1"/>
    <x v="0"/>
    <x v="1"/>
    <x v="9"/>
    <n v="0"/>
    <n v="0"/>
    <n v="757.27300000000002"/>
    <n v="757.27300000000002"/>
    <n v="757.27300000000002"/>
    <n v="757.27300000000002"/>
    <n v="2458"/>
    <x v="1"/>
    <n v="0"/>
    <n v="0"/>
    <n v="16"/>
    <n v="54"/>
    <n v="0"/>
    <n v="297.89"/>
    <n v="197.13"/>
    <m/>
    <n v="392.53302912886562"/>
    <n v="220.56513853363268"/>
    <n v="0"/>
    <n v="225584.05397000001"/>
    <n v="149281.22649"/>
    <n v="0"/>
    <n v="297254.66456750344"/>
    <n v="167028.02415277963"/>
  </r>
  <r>
    <s v="Sistema de Compensação"/>
    <x v="2"/>
    <x v="2"/>
    <x v="5"/>
    <x v="0"/>
    <x v="1"/>
    <x v="0"/>
    <x v="1"/>
    <x v="9"/>
    <n v="0"/>
    <n v="0"/>
    <n v="14.491"/>
    <n v="14.491"/>
    <n v="14.491"/>
    <n v="14.491"/>
    <n v="31"/>
    <x v="1"/>
    <n v="0"/>
    <n v="0"/>
    <n v="16"/>
    <n v="54"/>
    <n v="0"/>
    <n v="297.89"/>
    <n v="197.13"/>
    <m/>
    <n v="392.53302912886562"/>
    <n v="220.56513853363268"/>
    <n v="0"/>
    <n v="4316.7239899999995"/>
    <n v="2856.6108300000001"/>
    <n v="0"/>
    <n v="5688.1961251063913"/>
    <n v="3196.209422490871"/>
  </r>
  <r>
    <s v="Regular"/>
    <x v="2"/>
    <x v="2"/>
    <x v="5"/>
    <x v="0"/>
    <x v="1"/>
    <x v="0"/>
    <x v="1"/>
    <x v="10"/>
    <n v="0"/>
    <n v="0"/>
    <n v="687.50599999999997"/>
    <n v="687.50599999999997"/>
    <n v="687.50599999999997"/>
    <n v="687.50599999999997"/>
    <n v="2440"/>
    <x v="1"/>
    <n v="0"/>
    <n v="0"/>
    <n v="16"/>
    <n v="54"/>
    <n v="0"/>
    <n v="297.89"/>
    <n v="197.13"/>
    <m/>
    <n v="392.53302912886562"/>
    <n v="220.56513853363268"/>
    <n v="0"/>
    <n v="204801.16233999998"/>
    <n v="135528.05778"/>
    <n v="0"/>
    <n v="269868.81272426987"/>
    <n v="151639.85613270366"/>
  </r>
  <r>
    <s v="Refaturamento - Regular"/>
    <x v="2"/>
    <x v="2"/>
    <x v="5"/>
    <x v="0"/>
    <x v="1"/>
    <x v="0"/>
    <x v="1"/>
    <x v="10"/>
    <n v="0"/>
    <n v="0"/>
    <n v="-2.6579999999999999"/>
    <n v="-2.6579999999999999"/>
    <n v="-2.6579999999999999"/>
    <n v="-2.6579999999999999"/>
    <n v="0"/>
    <x v="1"/>
    <n v="0"/>
    <n v="0"/>
    <n v="16"/>
    <n v="54"/>
    <n v="0"/>
    <n v="297.89"/>
    <n v="197.13"/>
    <m/>
    <n v="392.53302912886562"/>
    <n v="220.56513853363268"/>
    <n v="0"/>
    <n v="-791.79161999999997"/>
    <n v="-523.97154"/>
    <n v="0"/>
    <n v="-1043.3527914245249"/>
    <n v="-586.26213822239561"/>
  </r>
  <r>
    <s v="Sistema de Compensação"/>
    <x v="2"/>
    <x v="2"/>
    <x v="5"/>
    <x v="0"/>
    <x v="1"/>
    <x v="0"/>
    <x v="1"/>
    <x v="10"/>
    <n v="0"/>
    <n v="0"/>
    <n v="12.61"/>
    <n v="12.61"/>
    <n v="12.61"/>
    <n v="12.61"/>
    <n v="37"/>
    <x v="1"/>
    <n v="0"/>
    <n v="0"/>
    <n v="16"/>
    <n v="54"/>
    <n v="0"/>
    <n v="297.89"/>
    <n v="197.13"/>
    <m/>
    <n v="392.53302912886562"/>
    <n v="220.56513853363268"/>
    <n v="0"/>
    <n v="3756.3928999999998"/>
    <n v="2485.8092999999999"/>
    <n v="0"/>
    <n v="4949.8414973149956"/>
    <n v="2781.3263969091081"/>
  </r>
  <r>
    <s v="PROJETADO"/>
    <x v="2"/>
    <x v="2"/>
    <x v="5"/>
    <x v="0"/>
    <x v="1"/>
    <x v="0"/>
    <x v="1"/>
    <x v="11"/>
    <n v="0"/>
    <n v="0"/>
    <n v="687.50599999999997"/>
    <n v="687.50599999999997"/>
    <n v="687.50599999999997"/>
    <n v="687.50599999999997"/>
    <n v="2440"/>
    <x v="1"/>
    <n v="0"/>
    <n v="0"/>
    <n v="16"/>
    <n v="54"/>
    <n v="0"/>
    <n v="297.89"/>
    <n v="197.13"/>
    <m/>
    <n v="392.53302912886562"/>
    <n v="220.56513853363268"/>
    <n v="0"/>
    <n v="204801.16233999998"/>
    <n v="135528.05778"/>
    <n v="0"/>
    <n v="269868.81272426987"/>
    <n v="151639.85613270366"/>
  </r>
  <r>
    <s v="PROJETADO"/>
    <x v="2"/>
    <x v="2"/>
    <x v="5"/>
    <x v="0"/>
    <x v="1"/>
    <x v="0"/>
    <x v="1"/>
    <x v="11"/>
    <n v="0"/>
    <n v="0"/>
    <n v="-2.6579999999999999"/>
    <n v="-2.6579999999999999"/>
    <n v="-2.6579999999999999"/>
    <n v="-2.6579999999999999"/>
    <n v="0"/>
    <x v="1"/>
    <n v="0"/>
    <n v="0"/>
    <n v="16"/>
    <n v="54"/>
    <n v="0"/>
    <n v="297.89"/>
    <n v="197.13"/>
    <m/>
    <n v="392.53302912886562"/>
    <n v="220.56513853363268"/>
    <n v="0"/>
    <n v="-791.79161999999997"/>
    <n v="-523.97154"/>
    <n v="0"/>
    <n v="-1043.3527914245249"/>
    <n v="-586.26213822239561"/>
  </r>
  <r>
    <s v="PROJETADO"/>
    <x v="2"/>
    <x v="2"/>
    <x v="5"/>
    <x v="0"/>
    <x v="1"/>
    <x v="0"/>
    <x v="1"/>
    <x v="11"/>
    <n v="0"/>
    <n v="0"/>
    <n v="12.61"/>
    <n v="12.61"/>
    <n v="12.61"/>
    <n v="12.61"/>
    <n v="37"/>
    <x v="1"/>
    <n v="0"/>
    <n v="0"/>
    <n v="16"/>
    <n v="54"/>
    <n v="0"/>
    <n v="297.89"/>
    <n v="197.13"/>
    <m/>
    <n v="392.53302912886562"/>
    <n v="220.56513853363268"/>
    <n v="0"/>
    <n v="3756.3928999999998"/>
    <n v="2485.8092999999999"/>
    <n v="0"/>
    <n v="4949.8414973149956"/>
    <n v="2781.3263969091081"/>
  </r>
  <r>
    <s v="Regular"/>
    <x v="3"/>
    <x v="3"/>
    <x v="6"/>
    <x v="0"/>
    <x v="1"/>
    <x v="0"/>
    <x v="0"/>
    <x v="0"/>
    <n v="0"/>
    <n v="0"/>
    <n v="1.34"/>
    <n v="1.34"/>
    <n v="1.34"/>
    <n v="1.34"/>
    <n v="0"/>
    <x v="1"/>
    <n v="0"/>
    <n v="0"/>
    <n v="31"/>
    <n v="83"/>
    <n v="0"/>
    <n v="275.05"/>
    <n v="211.71"/>
    <m/>
    <n v="336.3279460510845"/>
    <n v="222.99901551132911"/>
    <n v="0"/>
    <n v="368.56700000000006"/>
    <n v="283.69140000000004"/>
    <n v="0"/>
    <n v="450.67944770845327"/>
    <n v="298.81868078518102"/>
  </r>
  <r>
    <s v="Regular"/>
    <x v="3"/>
    <x v="3"/>
    <x v="6"/>
    <x v="0"/>
    <x v="1"/>
    <x v="0"/>
    <x v="0"/>
    <x v="1"/>
    <n v="0"/>
    <n v="0"/>
    <n v="1.484"/>
    <n v="1.484"/>
    <n v="1.484"/>
    <n v="1.484"/>
    <n v="0"/>
    <x v="1"/>
    <n v="0"/>
    <n v="0"/>
    <n v="31"/>
    <n v="83"/>
    <n v="0"/>
    <n v="275.05"/>
    <n v="211.71"/>
    <m/>
    <n v="336.3279460510845"/>
    <n v="222.99901551132911"/>
    <n v="0"/>
    <n v="408.17419999999998"/>
    <n v="314.17764"/>
    <n v="0"/>
    <n v="499.11067193980938"/>
    <n v="330.9305390188124"/>
  </r>
  <r>
    <s v="Regular"/>
    <x v="3"/>
    <x v="3"/>
    <x v="6"/>
    <x v="0"/>
    <x v="1"/>
    <x v="0"/>
    <x v="0"/>
    <x v="2"/>
    <n v="0"/>
    <n v="0"/>
    <n v="1.3839999999999999"/>
    <n v="1.3839999999999999"/>
    <n v="1.3839999999999999"/>
    <n v="1.3839999999999999"/>
    <n v="0"/>
    <x v="1"/>
    <n v="0"/>
    <n v="0"/>
    <n v="31"/>
    <n v="83"/>
    <n v="0"/>
    <n v="275.05"/>
    <n v="211.71"/>
    <m/>
    <n v="336.3279460510845"/>
    <n v="222.99901551132911"/>
    <n v="0"/>
    <n v="380.66919999999999"/>
    <n v="293.00664"/>
    <n v="0"/>
    <n v="465.47787733470091"/>
    <n v="308.63063746767943"/>
  </r>
  <r>
    <s v="Regular"/>
    <x v="3"/>
    <x v="3"/>
    <x v="6"/>
    <x v="0"/>
    <x v="1"/>
    <x v="0"/>
    <x v="0"/>
    <x v="3"/>
    <n v="0"/>
    <n v="0"/>
    <n v="1.597"/>
    <n v="1.597"/>
    <n v="1.597"/>
    <n v="1.597"/>
    <n v="0"/>
    <x v="1"/>
    <n v="0"/>
    <n v="0"/>
    <n v="31"/>
    <n v="83"/>
    <n v="0"/>
    <n v="275.05"/>
    <n v="211.71"/>
    <m/>
    <n v="336.3279460510845"/>
    <n v="222.99901551132911"/>
    <n v="0"/>
    <n v="439.25485000000003"/>
    <n v="338.10086999999999"/>
    <n v="0"/>
    <n v="537.1157298435819"/>
    <n v="356.12942777159259"/>
  </r>
  <r>
    <s v="Regular"/>
    <x v="3"/>
    <x v="3"/>
    <x v="6"/>
    <x v="0"/>
    <x v="1"/>
    <x v="0"/>
    <x v="0"/>
    <x v="4"/>
    <n v="0"/>
    <n v="0"/>
    <n v="2.2639999999999998"/>
    <n v="2.2639999999999998"/>
    <n v="2.2639999999999998"/>
    <n v="2.2639999999999998"/>
    <n v="0"/>
    <x v="1"/>
    <n v="0"/>
    <n v="0"/>
    <n v="31"/>
    <n v="83"/>
    <n v="0"/>
    <n v="275.05"/>
    <n v="211.71"/>
    <m/>
    <n v="336.3279460510845"/>
    <n v="222.99901551132911"/>
    <n v="0"/>
    <n v="622.71319999999992"/>
    <n v="479.31143999999995"/>
    <n v="0"/>
    <n v="761.44646985965528"/>
    <n v="504.86977111764907"/>
  </r>
  <r>
    <s v="Regular"/>
    <x v="3"/>
    <x v="3"/>
    <x v="6"/>
    <x v="0"/>
    <x v="1"/>
    <x v="0"/>
    <x v="0"/>
    <x v="5"/>
    <n v="0"/>
    <n v="0"/>
    <n v="3.24"/>
    <n v="3.24"/>
    <n v="3.24"/>
    <n v="3.24"/>
    <n v="0"/>
    <x v="1"/>
    <n v="0"/>
    <n v="0"/>
    <n v="31"/>
    <n v="83"/>
    <n v="0"/>
    <n v="275.05"/>
    <n v="211.71"/>
    <m/>
    <n v="336.3279460510845"/>
    <n v="222.99901551132911"/>
    <n v="0"/>
    <n v="891.16200000000015"/>
    <n v="685.94040000000007"/>
    <n v="0"/>
    <n v="1089.7025452055138"/>
    <n v="722.51681025670632"/>
  </r>
  <r>
    <s v="Regular"/>
    <x v="3"/>
    <x v="3"/>
    <x v="6"/>
    <x v="0"/>
    <x v="1"/>
    <x v="0"/>
    <x v="0"/>
    <x v="6"/>
    <n v="0"/>
    <n v="0"/>
    <n v="4.7839999999999998"/>
    <n v="4.7839999999999998"/>
    <n v="4.7839999999999998"/>
    <n v="4.7839999999999998"/>
    <n v="0"/>
    <x v="1"/>
    <n v="0"/>
    <n v="0"/>
    <n v="31"/>
    <n v="83"/>
    <n v="0"/>
    <n v="275.05"/>
    <n v="211.71"/>
    <m/>
    <n v="336.3279460510845"/>
    <n v="222.99901551132911"/>
    <n v="0"/>
    <n v="1315.8391999999999"/>
    <n v="1012.82064"/>
    <n v="0"/>
    <n v="1608.9928939083882"/>
    <n v="1066.8272902061983"/>
  </r>
  <r>
    <s v="Regular"/>
    <x v="3"/>
    <x v="3"/>
    <x v="6"/>
    <x v="0"/>
    <x v="1"/>
    <x v="0"/>
    <x v="0"/>
    <x v="7"/>
    <n v="0"/>
    <n v="0"/>
    <n v="3.4209999999999998"/>
    <n v="3.4209999999999998"/>
    <n v="3.4209999999999998"/>
    <n v="3.4209999999999998"/>
    <n v="0"/>
    <x v="1"/>
    <n v="0"/>
    <n v="0"/>
    <n v="31"/>
    <n v="83"/>
    <n v="0"/>
    <n v="275.05"/>
    <n v="211.71"/>
    <m/>
    <n v="336.3279460510845"/>
    <n v="222.99901551132911"/>
    <n v="0"/>
    <n v="940.94605000000001"/>
    <n v="724.25990999999999"/>
    <n v="0"/>
    <n v="1150.5779034407601"/>
    <n v="762.87963206425684"/>
  </r>
  <r>
    <s v="Regular"/>
    <x v="3"/>
    <x v="3"/>
    <x v="6"/>
    <x v="0"/>
    <x v="1"/>
    <x v="0"/>
    <x v="0"/>
    <x v="8"/>
    <n v="0"/>
    <n v="0"/>
    <n v="3.141"/>
    <n v="3.141"/>
    <n v="3.141"/>
    <n v="3.141"/>
    <n v="0"/>
    <x v="1"/>
    <n v="0"/>
    <n v="0"/>
    <n v="31"/>
    <n v="83"/>
    <n v="0"/>
    <n v="275.05"/>
    <n v="211.71"/>
    <m/>
    <n v="336.3279460510845"/>
    <n v="222.99901551132911"/>
    <n v="0"/>
    <n v="863.93205"/>
    <n v="664.98111000000006"/>
    <n v="0"/>
    <n v="1056.4060785464565"/>
    <n v="700.43990772108475"/>
  </r>
  <r>
    <s v="Regular"/>
    <x v="3"/>
    <x v="3"/>
    <x v="6"/>
    <x v="0"/>
    <x v="1"/>
    <x v="0"/>
    <x v="0"/>
    <x v="9"/>
    <n v="0"/>
    <n v="0"/>
    <n v="1.8620000000000001"/>
    <n v="1.8620000000000001"/>
    <n v="1.8620000000000001"/>
    <n v="1.8620000000000001"/>
    <n v="0"/>
    <x v="1"/>
    <n v="0"/>
    <n v="0"/>
    <n v="31"/>
    <n v="83"/>
    <n v="0"/>
    <n v="275.05"/>
    <n v="211.71"/>
    <m/>
    <n v="336.3279460510845"/>
    <n v="222.99901551132911"/>
    <n v="0"/>
    <n v="512.1431"/>
    <n v="394.20402000000001"/>
    <n v="0"/>
    <n v="626.24263554711933"/>
    <n v="415.22416688209483"/>
  </r>
  <r>
    <s v="Regular"/>
    <x v="3"/>
    <x v="3"/>
    <x v="6"/>
    <x v="0"/>
    <x v="1"/>
    <x v="0"/>
    <x v="0"/>
    <x v="10"/>
    <n v="0"/>
    <n v="0"/>
    <n v="1.3380000000000001"/>
    <n v="1.3380000000000001"/>
    <n v="1.3380000000000001"/>
    <n v="1.3380000000000001"/>
    <n v="0"/>
    <x v="1"/>
    <n v="0"/>
    <n v="0"/>
    <n v="31"/>
    <n v="83"/>
    <n v="0"/>
    <n v="275.05"/>
    <n v="211.71"/>
    <m/>
    <n v="336.3279460510845"/>
    <n v="222.99901551132911"/>
    <n v="0"/>
    <n v="368.01690000000002"/>
    <n v="283.26798000000002"/>
    <n v="0"/>
    <n v="450.0067918163511"/>
    <n v="298.37268275415835"/>
  </r>
  <r>
    <s v="PROJETADO"/>
    <x v="3"/>
    <x v="3"/>
    <x v="6"/>
    <x v="0"/>
    <x v="1"/>
    <x v="0"/>
    <x v="0"/>
    <x v="11"/>
    <n v="0"/>
    <n v="0"/>
    <n v="1.3380000000000001"/>
    <n v="1.3380000000000001"/>
    <n v="1.3380000000000001"/>
    <n v="1.3380000000000001"/>
    <n v="0"/>
    <x v="1"/>
    <n v="0"/>
    <n v="0"/>
    <n v="31"/>
    <n v="83"/>
    <n v="0"/>
    <n v="275.05"/>
    <n v="211.71"/>
    <m/>
    <n v="336.3279460510845"/>
    <n v="222.99901551132911"/>
    <n v="0"/>
    <n v="368.01690000000002"/>
    <n v="283.26798000000002"/>
    <n v="0"/>
    <n v="450.0067918163511"/>
    <n v="298.37268275415835"/>
  </r>
  <r>
    <s v="Regular"/>
    <x v="3"/>
    <x v="3"/>
    <x v="6"/>
    <x v="0"/>
    <x v="1"/>
    <x v="0"/>
    <x v="3"/>
    <x v="0"/>
    <n v="0"/>
    <n v="0"/>
    <n v="8.7999999999999995E-2"/>
    <n v="8.7999999999999995E-2"/>
    <n v="8.7999999999999995E-2"/>
    <n v="8.7999999999999995E-2"/>
    <n v="0"/>
    <x v="1"/>
    <n v="0"/>
    <n v="0"/>
    <n v="81"/>
    <n v="55"/>
    <n v="0"/>
    <n v="636.30999999999995"/>
    <n v="211.71"/>
    <m/>
    <n v="715.54335368474085"/>
    <n v="222.99901551132911"/>
    <n v="0"/>
    <n v="55.995279999999994"/>
    <n v="18.630479999999999"/>
    <n v="0"/>
    <n v="62.967815124257193"/>
    <n v="19.623913364996959"/>
  </r>
  <r>
    <s v="Regular"/>
    <x v="3"/>
    <x v="3"/>
    <x v="6"/>
    <x v="0"/>
    <x v="1"/>
    <x v="0"/>
    <x v="3"/>
    <x v="1"/>
    <n v="0"/>
    <n v="0"/>
    <n v="0.10100000000000001"/>
    <n v="0.10100000000000001"/>
    <n v="0.10100000000000001"/>
    <n v="0.10100000000000001"/>
    <n v="0"/>
    <x v="1"/>
    <n v="0"/>
    <n v="0"/>
    <n v="81"/>
    <n v="55"/>
    <n v="0"/>
    <n v="636.30999999999995"/>
    <n v="211.71"/>
    <m/>
    <n v="715.54335368474085"/>
    <n v="222.99901551132911"/>
    <n v="0"/>
    <n v="64.267309999999995"/>
    <n v="21.382710000000003"/>
    <n v="0"/>
    <n v="72.269878722158836"/>
    <n v="22.522900566644243"/>
  </r>
  <r>
    <s v="Regular"/>
    <x v="3"/>
    <x v="3"/>
    <x v="6"/>
    <x v="0"/>
    <x v="1"/>
    <x v="0"/>
    <x v="3"/>
    <x v="2"/>
    <n v="0"/>
    <n v="0"/>
    <n v="9.0999999999999998E-2"/>
    <n v="9.0999999999999998E-2"/>
    <n v="9.0999999999999998E-2"/>
    <n v="9.0999999999999998E-2"/>
    <n v="0"/>
    <x v="1"/>
    <n v="0"/>
    <n v="0"/>
    <n v="81"/>
    <n v="55"/>
    <n v="0"/>
    <n v="636.30999999999995"/>
    <n v="211.71"/>
    <m/>
    <n v="715.54335368474085"/>
    <n v="222.99901551132911"/>
    <n v="0"/>
    <n v="57.904209999999992"/>
    <n v="19.265609999999999"/>
    <n v="0"/>
    <n v="65.114445185311411"/>
    <n v="20.292910411530947"/>
  </r>
  <r>
    <s v="Regular"/>
    <x v="3"/>
    <x v="3"/>
    <x v="6"/>
    <x v="0"/>
    <x v="1"/>
    <x v="0"/>
    <x v="3"/>
    <x v="3"/>
    <n v="0"/>
    <n v="0"/>
    <n v="9.8000000000000004E-2"/>
    <n v="9.8000000000000004E-2"/>
    <n v="9.8000000000000004E-2"/>
    <n v="9.8000000000000004E-2"/>
    <n v="0"/>
    <x v="1"/>
    <n v="0"/>
    <n v="0"/>
    <n v="81"/>
    <n v="55"/>
    <n v="0"/>
    <n v="636.30999999999995"/>
    <n v="211.71"/>
    <m/>
    <n v="715.54335368474085"/>
    <n v="222.99901551132911"/>
    <n v="0"/>
    <n v="62.358379999999997"/>
    <n v="20.747580000000003"/>
    <n v="0"/>
    <n v="70.123248661104611"/>
    <n v="21.853903520110254"/>
  </r>
  <r>
    <s v="Regular"/>
    <x v="3"/>
    <x v="3"/>
    <x v="6"/>
    <x v="0"/>
    <x v="1"/>
    <x v="0"/>
    <x v="3"/>
    <x v="4"/>
    <n v="0"/>
    <n v="0"/>
    <n v="0.107"/>
    <n v="0.107"/>
    <n v="0.107"/>
    <n v="0.107"/>
    <n v="0"/>
    <x v="1"/>
    <n v="0"/>
    <n v="0"/>
    <n v="81"/>
    <n v="55"/>
    <n v="0"/>
    <n v="636.30999999999995"/>
    <n v="211.71"/>
    <m/>
    <n v="715.54335368474085"/>
    <n v="222.99901551132911"/>
    <n v="0"/>
    <n v="68.085169999999991"/>
    <n v="22.65297"/>
    <n v="0"/>
    <n v="76.563138844267272"/>
    <n v="23.860894659712212"/>
  </r>
  <r>
    <s v="Regular"/>
    <x v="3"/>
    <x v="3"/>
    <x v="6"/>
    <x v="0"/>
    <x v="1"/>
    <x v="0"/>
    <x v="3"/>
    <x v="5"/>
    <n v="0"/>
    <n v="0"/>
    <n v="0.161"/>
    <n v="0.161"/>
    <n v="0.161"/>
    <n v="0.161"/>
    <n v="0"/>
    <x v="1"/>
    <n v="0"/>
    <n v="0"/>
    <n v="81"/>
    <n v="55"/>
    <n v="0"/>
    <n v="636.30999999999995"/>
    <n v="211.71"/>
    <m/>
    <n v="715.54335368474085"/>
    <n v="222.99901551132911"/>
    <n v="0"/>
    <n v="102.44591"/>
    <n v="34.08531"/>
    <n v="0"/>
    <n v="115.20247994324328"/>
    <n v="35.90284149732399"/>
  </r>
  <r>
    <s v="Regular"/>
    <x v="3"/>
    <x v="3"/>
    <x v="6"/>
    <x v="0"/>
    <x v="1"/>
    <x v="0"/>
    <x v="3"/>
    <x v="6"/>
    <n v="0"/>
    <n v="0"/>
    <n v="0.22700000000000001"/>
    <n v="0.22700000000000001"/>
    <n v="0.22700000000000001"/>
    <n v="0.22700000000000001"/>
    <n v="0"/>
    <x v="1"/>
    <n v="0"/>
    <n v="0"/>
    <n v="81"/>
    <n v="55"/>
    <n v="0"/>
    <n v="636.30999999999995"/>
    <n v="211.71"/>
    <m/>
    <n v="715.54335368474085"/>
    <n v="222.99901551132911"/>
    <n v="0"/>
    <n v="144.44236999999998"/>
    <n v="48.058170000000004"/>
    <n v="0"/>
    <n v="162.42834128643617"/>
    <n v="50.620776521071711"/>
  </r>
  <r>
    <s v="Regular"/>
    <x v="3"/>
    <x v="3"/>
    <x v="6"/>
    <x v="0"/>
    <x v="1"/>
    <x v="0"/>
    <x v="3"/>
    <x v="7"/>
    <n v="0"/>
    <n v="0"/>
    <n v="0.17899999999999999"/>
    <n v="0.17899999999999999"/>
    <n v="0.17899999999999999"/>
    <n v="0.17899999999999999"/>
    <n v="0"/>
    <x v="1"/>
    <n v="0"/>
    <n v="0"/>
    <n v="81"/>
    <n v="55"/>
    <n v="0"/>
    <n v="636.30999999999995"/>
    <n v="211.71"/>
    <m/>
    <n v="715.54335368474085"/>
    <n v="222.99901551132911"/>
    <n v="0"/>
    <n v="113.89948999999999"/>
    <n v="37.896090000000001"/>
    <n v="0"/>
    <n v="128.0822603095686"/>
    <n v="39.916823776527906"/>
  </r>
  <r>
    <s v="Regular"/>
    <x v="3"/>
    <x v="3"/>
    <x v="6"/>
    <x v="0"/>
    <x v="1"/>
    <x v="0"/>
    <x v="3"/>
    <x v="8"/>
    <n v="0"/>
    <n v="0"/>
    <n v="0.19"/>
    <n v="0.19"/>
    <n v="0.19"/>
    <n v="0.19"/>
    <n v="0"/>
    <x v="1"/>
    <n v="0"/>
    <n v="0"/>
    <n v="81"/>
    <n v="55"/>
    <n v="0"/>
    <n v="636.30999999999995"/>
    <n v="211.71"/>
    <m/>
    <n v="715.54335368474085"/>
    <n v="222.99901551132911"/>
    <n v="0"/>
    <n v="120.8989"/>
    <n v="40.224900000000005"/>
    <n v="0"/>
    <n v="135.95323720010077"/>
    <n v="42.369812947152532"/>
  </r>
  <r>
    <s v="Regular"/>
    <x v="3"/>
    <x v="3"/>
    <x v="6"/>
    <x v="0"/>
    <x v="1"/>
    <x v="0"/>
    <x v="3"/>
    <x v="9"/>
    <n v="0"/>
    <n v="0"/>
    <n v="0.11600000000000001"/>
    <n v="0.11600000000000001"/>
    <n v="0.11600000000000001"/>
    <n v="0.11600000000000001"/>
    <n v="0"/>
    <x v="1"/>
    <n v="0"/>
    <n v="0"/>
    <n v="81"/>
    <n v="55"/>
    <n v="0"/>
    <n v="636.30999999999995"/>
    <n v="211.71"/>
    <m/>
    <n v="715.54335368474085"/>
    <n v="222.99901551132911"/>
    <n v="0"/>
    <n v="73.811959999999999"/>
    <n v="24.55836"/>
    <n v="0"/>
    <n v="83.003029027429946"/>
    <n v="25.867885799314177"/>
  </r>
  <r>
    <s v="Regular"/>
    <x v="3"/>
    <x v="3"/>
    <x v="6"/>
    <x v="0"/>
    <x v="1"/>
    <x v="0"/>
    <x v="3"/>
    <x v="10"/>
    <n v="0"/>
    <n v="0"/>
    <n v="8.7999999999999995E-2"/>
    <n v="8.7999999999999995E-2"/>
    <n v="8.7999999999999995E-2"/>
    <n v="8.7999999999999995E-2"/>
    <n v="0"/>
    <x v="1"/>
    <n v="0"/>
    <n v="0"/>
    <n v="81"/>
    <n v="55"/>
    <n v="0"/>
    <n v="636.30999999999995"/>
    <n v="211.71"/>
    <m/>
    <n v="715.54335368474085"/>
    <n v="222.99901551132911"/>
    <n v="0"/>
    <n v="55.995279999999994"/>
    <n v="18.630479999999999"/>
    <n v="0"/>
    <n v="62.967815124257193"/>
    <n v="19.623913364996959"/>
  </r>
  <r>
    <s v="PROJETADO"/>
    <x v="3"/>
    <x v="3"/>
    <x v="6"/>
    <x v="0"/>
    <x v="1"/>
    <x v="0"/>
    <x v="3"/>
    <x v="11"/>
    <n v="0"/>
    <n v="0"/>
    <n v="8.7999999999999995E-2"/>
    <n v="8.7999999999999995E-2"/>
    <n v="8.7999999999999995E-2"/>
    <n v="8.7999999999999995E-2"/>
    <n v="0"/>
    <x v="1"/>
    <n v="0"/>
    <n v="0"/>
    <n v="81"/>
    <n v="55"/>
    <n v="0"/>
    <n v="636.30999999999995"/>
    <n v="211.71"/>
    <m/>
    <n v="715.54335368474085"/>
    <n v="222.99901551132911"/>
    <n v="0"/>
    <n v="55.995279999999994"/>
    <n v="18.630479999999999"/>
    <n v="0"/>
    <n v="62.967815124257193"/>
    <n v="19.623913364996959"/>
  </r>
  <r>
    <s v="Regular"/>
    <x v="3"/>
    <x v="3"/>
    <x v="6"/>
    <x v="0"/>
    <x v="1"/>
    <x v="0"/>
    <x v="2"/>
    <x v="0"/>
    <n v="0"/>
    <n v="0"/>
    <n v="7.0999999999999994E-2"/>
    <n v="7.0999999999999994E-2"/>
    <n v="7.0999999999999994E-2"/>
    <n v="7.0999999999999994E-2"/>
    <n v="0"/>
    <x v="1"/>
    <n v="0"/>
    <n v="0"/>
    <n v="42"/>
    <n v="60"/>
    <n v="0"/>
    <n v="997.57"/>
    <n v="359.33"/>
    <m/>
    <n v="1094.7588645432709"/>
    <n v="362.73600214515886"/>
    <n v="0"/>
    <n v="70.827469999999991"/>
    <n v="25.512429999999995"/>
    <n v="0"/>
    <n v="77.727879382572226"/>
    <n v="25.754256152306276"/>
  </r>
  <r>
    <s v="Regular"/>
    <x v="3"/>
    <x v="3"/>
    <x v="6"/>
    <x v="0"/>
    <x v="1"/>
    <x v="0"/>
    <x v="2"/>
    <x v="1"/>
    <n v="0"/>
    <n v="0"/>
    <n v="8.5999999999999993E-2"/>
    <n v="8.5999999999999993E-2"/>
    <n v="8.5999999999999993E-2"/>
    <n v="8.5999999999999993E-2"/>
    <n v="0"/>
    <x v="1"/>
    <n v="0"/>
    <n v="0"/>
    <n v="42"/>
    <n v="60"/>
    <n v="0"/>
    <n v="997.57"/>
    <n v="359.33"/>
    <m/>
    <n v="1094.7588645432709"/>
    <n v="362.73600214515886"/>
    <n v="0"/>
    <n v="85.791020000000003"/>
    <n v="30.902379999999997"/>
    <n v="0"/>
    <n v="94.149262350721287"/>
    <n v="31.195296184483659"/>
  </r>
  <r>
    <s v="Regular"/>
    <x v="3"/>
    <x v="3"/>
    <x v="6"/>
    <x v="0"/>
    <x v="1"/>
    <x v="0"/>
    <x v="2"/>
    <x v="2"/>
    <n v="0"/>
    <n v="0"/>
    <n v="8.7999999999999995E-2"/>
    <n v="8.7999999999999995E-2"/>
    <n v="8.7999999999999995E-2"/>
    <n v="8.7999999999999995E-2"/>
    <n v="0"/>
    <x v="1"/>
    <n v="0"/>
    <n v="0"/>
    <n v="42"/>
    <n v="60"/>
    <n v="0"/>
    <n v="997.57"/>
    <n v="359.33"/>
    <m/>
    <n v="1094.7588645432709"/>
    <n v="362.73600214515886"/>
    <n v="0"/>
    <n v="87.786159999999995"/>
    <n v="31.621039999999997"/>
    <n v="0"/>
    <n v="96.338780079807833"/>
    <n v="31.920768188773977"/>
  </r>
  <r>
    <s v="Regular"/>
    <x v="3"/>
    <x v="3"/>
    <x v="6"/>
    <x v="0"/>
    <x v="1"/>
    <x v="0"/>
    <x v="2"/>
    <x v="3"/>
    <n v="0"/>
    <n v="0"/>
    <n v="6.4000000000000001E-2"/>
    <n v="6.4000000000000001E-2"/>
    <n v="6.4000000000000001E-2"/>
    <n v="6.4000000000000001E-2"/>
    <n v="0"/>
    <x v="1"/>
    <n v="0"/>
    <n v="0"/>
    <n v="42"/>
    <n v="60"/>
    <n v="0"/>
    <n v="997.57"/>
    <n v="359.33"/>
    <m/>
    <n v="1094.7588645432709"/>
    <n v="362.73600214515886"/>
    <n v="0"/>
    <n v="63.844480000000004"/>
    <n v="22.997119999999999"/>
    <n v="0"/>
    <n v="70.064567330769336"/>
    <n v="23.215104137290169"/>
  </r>
  <r>
    <s v="Regular"/>
    <x v="3"/>
    <x v="3"/>
    <x v="6"/>
    <x v="0"/>
    <x v="1"/>
    <x v="0"/>
    <x v="2"/>
    <x v="4"/>
    <n v="0"/>
    <n v="0"/>
    <n v="7.1999999999999995E-2"/>
    <n v="7.1999999999999995E-2"/>
    <n v="7.1999999999999995E-2"/>
    <n v="7.1999999999999995E-2"/>
    <n v="0"/>
    <x v="1"/>
    <n v="0"/>
    <n v="0"/>
    <n v="42"/>
    <n v="60"/>
    <n v="0"/>
    <n v="997.57"/>
    <n v="359.33"/>
    <m/>
    <n v="1094.7588645432709"/>
    <n v="362.73600214515886"/>
    <n v="0"/>
    <n v="71.825040000000001"/>
    <n v="25.871759999999998"/>
    <n v="0"/>
    <n v="78.822638247115492"/>
    <n v="26.116992154451435"/>
  </r>
  <r>
    <s v="Regular"/>
    <x v="3"/>
    <x v="3"/>
    <x v="6"/>
    <x v="0"/>
    <x v="1"/>
    <x v="0"/>
    <x v="2"/>
    <x v="5"/>
    <n v="0"/>
    <n v="0"/>
    <n v="0.13500000000000001"/>
    <n v="0.13500000000000001"/>
    <n v="0.13500000000000001"/>
    <n v="0.13500000000000001"/>
    <n v="0"/>
    <x v="1"/>
    <n v="0"/>
    <n v="0"/>
    <n v="42"/>
    <n v="60"/>
    <n v="0"/>
    <n v="997.57"/>
    <n v="359.33"/>
    <m/>
    <n v="1094.7588645432709"/>
    <n v="362.73600214515886"/>
    <n v="0"/>
    <n v="134.67195000000001"/>
    <n v="48.509550000000004"/>
    <n v="0"/>
    <n v="147.79244671334158"/>
    <n v="48.969360289596452"/>
  </r>
  <r>
    <s v="Regular"/>
    <x v="3"/>
    <x v="3"/>
    <x v="6"/>
    <x v="0"/>
    <x v="1"/>
    <x v="0"/>
    <x v="2"/>
    <x v="6"/>
    <n v="0"/>
    <n v="0"/>
    <n v="0.107"/>
    <n v="0.107"/>
    <n v="0.107"/>
    <n v="0.107"/>
    <n v="0"/>
    <x v="1"/>
    <n v="0"/>
    <n v="0"/>
    <n v="42"/>
    <n v="60"/>
    <n v="0"/>
    <n v="997.57"/>
    <n v="359.33"/>
    <m/>
    <n v="1094.7588645432709"/>
    <n v="362.73600214515886"/>
    <n v="0"/>
    <n v="106.73999000000001"/>
    <n v="38.448309999999999"/>
    <n v="0"/>
    <n v="117.13919850612999"/>
    <n v="38.812752229531995"/>
  </r>
  <r>
    <s v="Regular"/>
    <x v="3"/>
    <x v="3"/>
    <x v="6"/>
    <x v="0"/>
    <x v="1"/>
    <x v="0"/>
    <x v="2"/>
    <x v="7"/>
    <n v="0"/>
    <n v="0"/>
    <n v="0.122"/>
    <n v="0.122"/>
    <n v="0.122"/>
    <n v="0.122"/>
    <n v="0"/>
    <x v="1"/>
    <n v="0"/>
    <n v="0"/>
    <n v="42"/>
    <n v="60"/>
    <n v="0"/>
    <n v="997.57"/>
    <n v="359.33"/>
    <m/>
    <n v="1094.7588645432709"/>
    <n v="362.73600214515886"/>
    <n v="0"/>
    <n v="121.70354"/>
    <n v="43.838259999999998"/>
    <n v="0"/>
    <n v="133.56058147427905"/>
    <n v="44.253792261709378"/>
  </r>
  <r>
    <s v="Regular"/>
    <x v="3"/>
    <x v="3"/>
    <x v="6"/>
    <x v="0"/>
    <x v="1"/>
    <x v="0"/>
    <x v="2"/>
    <x v="8"/>
    <n v="0"/>
    <n v="0"/>
    <n v="0.14899999999999999"/>
    <n v="0.14899999999999999"/>
    <n v="0.14899999999999999"/>
    <n v="0.14899999999999999"/>
    <n v="0"/>
    <x v="1"/>
    <n v="0"/>
    <n v="0"/>
    <n v="42"/>
    <n v="60"/>
    <n v="0"/>
    <n v="997.57"/>
    <n v="359.33"/>
    <m/>
    <n v="1094.7588645432709"/>
    <n v="362.73600214515886"/>
    <n v="0"/>
    <n v="148.63793000000001"/>
    <n v="53.540169999999996"/>
    <n v="0"/>
    <n v="163.11907081694736"/>
    <n v="54.047664319628666"/>
  </r>
  <r>
    <s v="Regular"/>
    <x v="3"/>
    <x v="3"/>
    <x v="6"/>
    <x v="0"/>
    <x v="1"/>
    <x v="0"/>
    <x v="2"/>
    <x v="9"/>
    <n v="0"/>
    <n v="0"/>
    <n v="9.1999999999999998E-2"/>
    <n v="9.1999999999999998E-2"/>
    <n v="9.1999999999999998E-2"/>
    <n v="9.1999999999999998E-2"/>
    <n v="0"/>
    <x v="1"/>
    <n v="0"/>
    <n v="0"/>
    <n v="42"/>
    <n v="60"/>
    <n v="0"/>
    <n v="997.57"/>
    <n v="359.33"/>
    <m/>
    <n v="1094.7588645432709"/>
    <n v="362.73600214515886"/>
    <n v="0"/>
    <n v="91.776440000000008"/>
    <n v="33.05836"/>
    <n v="0"/>
    <n v="100.71781553798093"/>
    <n v="33.371712197354611"/>
  </r>
  <r>
    <s v="Regular"/>
    <x v="3"/>
    <x v="3"/>
    <x v="6"/>
    <x v="0"/>
    <x v="1"/>
    <x v="0"/>
    <x v="2"/>
    <x v="10"/>
    <n v="0"/>
    <n v="0"/>
    <n v="7.6999999999999999E-2"/>
    <n v="7.6999999999999999E-2"/>
    <n v="7.6999999999999999E-2"/>
    <n v="7.6999999999999999E-2"/>
    <n v="0"/>
    <x v="1"/>
    <n v="0"/>
    <n v="0"/>
    <n v="42"/>
    <n v="60"/>
    <n v="0"/>
    <n v="997.57"/>
    <n v="359.33"/>
    <m/>
    <n v="1094.7588645432709"/>
    <n v="362.73600214515886"/>
    <n v="0"/>
    <n v="76.812889999999996"/>
    <n v="27.668409999999998"/>
    <n v="0"/>
    <n v="84.29643256983185"/>
    <n v="27.930672165177231"/>
  </r>
  <r>
    <s v="PROJETADO"/>
    <x v="3"/>
    <x v="3"/>
    <x v="6"/>
    <x v="0"/>
    <x v="1"/>
    <x v="0"/>
    <x v="2"/>
    <x v="11"/>
    <n v="0"/>
    <n v="0"/>
    <n v="7.6999999999999999E-2"/>
    <n v="7.6999999999999999E-2"/>
    <n v="7.6999999999999999E-2"/>
    <n v="7.6999999999999999E-2"/>
    <n v="0"/>
    <x v="1"/>
    <n v="0"/>
    <n v="0"/>
    <n v="42"/>
    <n v="60"/>
    <n v="0"/>
    <n v="997.57"/>
    <n v="359.33"/>
    <m/>
    <n v="1094.7588645432709"/>
    <n v="362.73600214515886"/>
    <n v="0"/>
    <n v="76.812889999999996"/>
    <n v="27.668409999999998"/>
    <n v="0"/>
    <n v="84.29643256983185"/>
    <n v="27.930672165177231"/>
  </r>
  <r>
    <s v="Regular"/>
    <x v="3"/>
    <x v="2"/>
    <x v="1"/>
    <x v="0"/>
    <x v="1"/>
    <x v="0"/>
    <x v="1"/>
    <x v="0"/>
    <n v="0"/>
    <n v="0"/>
    <n v="1481.481"/>
    <n v="1481.481"/>
    <n v="1481.481"/>
    <n v="1481.481"/>
    <n v="2811"/>
    <x v="1"/>
    <n v="0"/>
    <n v="0"/>
    <n v="33"/>
    <n v="85"/>
    <n v="0"/>
    <n v="338.51"/>
    <n v="224.01"/>
    <m/>
    <n v="417.58832886049538"/>
    <n v="234.64376439748159"/>
    <n v="0"/>
    <n v="501496.13331"/>
    <n v="331866.55880999996"/>
    <n v="0"/>
    <n v="618649.17502857558"/>
    <n v="347620.27872334543"/>
  </r>
  <r>
    <s v="Refaturamento - Regular"/>
    <x v="3"/>
    <x v="2"/>
    <x v="1"/>
    <x v="0"/>
    <x v="1"/>
    <x v="0"/>
    <x v="1"/>
    <x v="0"/>
    <n v="0"/>
    <n v="0"/>
    <n v="-3.5790000000000002"/>
    <n v="-3.5790000000000002"/>
    <n v="-3.5790000000000002"/>
    <n v="-3.5790000000000002"/>
    <n v="0"/>
    <x v="1"/>
    <n v="0"/>
    <n v="0"/>
    <n v="33"/>
    <n v="85"/>
    <n v="0"/>
    <n v="338.51"/>
    <n v="224.01"/>
    <m/>
    <n v="417.58832886049538"/>
    <n v="234.64376439748159"/>
    <n v="0"/>
    <n v="-1211.52729"/>
    <n v="-801.73179000000005"/>
    <n v="0"/>
    <n v="-1494.548628991713"/>
    <n v="-839.79003277858669"/>
  </r>
  <r>
    <s v="Sistema de Compensação"/>
    <x v="3"/>
    <x v="2"/>
    <x v="1"/>
    <x v="0"/>
    <x v="1"/>
    <x v="0"/>
    <x v="1"/>
    <x v="0"/>
    <n v="0"/>
    <n v="0"/>
    <n v="33.616999999999997"/>
    <n v="33.616999999999997"/>
    <n v="33.616999999999997"/>
    <n v="33.616999999999997"/>
    <n v="31"/>
    <x v="1"/>
    <n v="0"/>
    <n v="0"/>
    <n v="33"/>
    <n v="85"/>
    <n v="0"/>
    <n v="338.51"/>
    <n v="224.01"/>
    <m/>
    <n v="417.58832886049538"/>
    <n v="234.64376439748159"/>
    <n v="0"/>
    <n v="11379.690669999998"/>
    <n v="7530.5441699999992"/>
    <n v="0"/>
    <n v="14038.066851303272"/>
    <n v="7888.0194277501378"/>
  </r>
  <r>
    <s v="Regular"/>
    <x v="3"/>
    <x v="2"/>
    <x v="1"/>
    <x v="0"/>
    <x v="1"/>
    <x v="0"/>
    <x v="1"/>
    <x v="1"/>
    <n v="0"/>
    <n v="0"/>
    <n v="1661.9949999999999"/>
    <n v="1661.9949999999999"/>
    <n v="1661.9949999999999"/>
    <n v="1661.9949999999999"/>
    <n v="2838"/>
    <x v="1"/>
    <n v="0"/>
    <n v="0"/>
    <n v="33"/>
    <n v="85"/>
    <n v="0"/>
    <n v="338.51"/>
    <n v="224.01"/>
    <m/>
    <n v="417.58832886049538"/>
    <n v="234.64376439748159"/>
    <n v="0"/>
    <n v="562601.92744999996"/>
    <n v="372303.49994999997"/>
    <n v="0"/>
    <n v="694029.71462449897"/>
    <n v="389976.76320979238"/>
  </r>
  <r>
    <s v="Refaturamento - Regular"/>
    <x v="3"/>
    <x v="2"/>
    <x v="1"/>
    <x v="0"/>
    <x v="1"/>
    <x v="0"/>
    <x v="1"/>
    <x v="1"/>
    <n v="0"/>
    <n v="0"/>
    <n v="-0.36899999999999999"/>
    <n v="-0.36899999999999999"/>
    <n v="-0.36899999999999999"/>
    <n v="-0.36899999999999999"/>
    <n v="0"/>
    <x v="1"/>
    <n v="0"/>
    <n v="0"/>
    <n v="33"/>
    <n v="85"/>
    <n v="0"/>
    <n v="338.51"/>
    <n v="224.01"/>
    <m/>
    <n v="417.58832886049538"/>
    <n v="234.64376439748159"/>
    <n v="0"/>
    <n v="-124.91019"/>
    <n v="-82.659689999999998"/>
    <n v="0"/>
    <n v="-154.09009334952279"/>
    <n v="-86.583549062670699"/>
  </r>
  <r>
    <s v="Sistema de Compensação"/>
    <x v="3"/>
    <x v="2"/>
    <x v="1"/>
    <x v="0"/>
    <x v="1"/>
    <x v="0"/>
    <x v="1"/>
    <x v="1"/>
    <n v="0"/>
    <n v="0"/>
    <n v="36.232999999999997"/>
    <n v="36.232999999999997"/>
    <n v="36.232999999999997"/>
    <n v="36.232999999999997"/>
    <n v="33"/>
    <x v="1"/>
    <n v="0"/>
    <n v="0"/>
    <n v="33"/>
    <n v="85"/>
    <n v="0"/>
    <n v="338.51"/>
    <n v="224.01"/>
    <m/>
    <n v="417.58832886049538"/>
    <n v="234.64376439748159"/>
    <n v="0"/>
    <n v="12265.232829999999"/>
    <n v="8116.554329999999"/>
    <n v="0"/>
    <n v="15130.477919602328"/>
    <n v="8501.8475154139505"/>
  </r>
  <r>
    <s v="Regular"/>
    <x v="3"/>
    <x v="2"/>
    <x v="1"/>
    <x v="0"/>
    <x v="1"/>
    <x v="0"/>
    <x v="1"/>
    <x v="2"/>
    <n v="0"/>
    <n v="0"/>
    <n v="1580.373"/>
    <n v="1580.373"/>
    <n v="1580.373"/>
    <n v="1580.373"/>
    <n v="2861"/>
    <x v="1"/>
    <n v="0"/>
    <n v="0"/>
    <n v="33"/>
    <n v="85"/>
    <n v="0"/>
    <n v="338.51"/>
    <n v="224.01"/>
    <m/>
    <n v="417.58832886049538"/>
    <n v="234.64376439748159"/>
    <n v="0"/>
    <n v="534972.06423000002"/>
    <n v="354019.35573000001"/>
    <n v="0"/>
    <n v="659945.32004624768"/>
    <n v="370824.66987214121"/>
  </r>
  <r>
    <s v="Refaturamento - Regular"/>
    <x v="3"/>
    <x v="2"/>
    <x v="1"/>
    <x v="0"/>
    <x v="1"/>
    <x v="0"/>
    <x v="1"/>
    <x v="2"/>
    <n v="0"/>
    <n v="0"/>
    <n v="-1.498"/>
    <n v="-1.498"/>
    <n v="-1.498"/>
    <n v="-1.498"/>
    <n v="0"/>
    <x v="1"/>
    <n v="0"/>
    <n v="0"/>
    <n v="33"/>
    <n v="85"/>
    <n v="0"/>
    <n v="338.51"/>
    <n v="224.01"/>
    <m/>
    <n v="417.58832886049538"/>
    <n v="234.64376439748159"/>
    <n v="0"/>
    <n v="-507.08797999999996"/>
    <n v="-335.56698"/>
    <n v="0"/>
    <n v="-625.54731663302209"/>
    <n v="-351.49635906742742"/>
  </r>
  <r>
    <s v="Sistema de Compensação"/>
    <x v="3"/>
    <x v="2"/>
    <x v="1"/>
    <x v="0"/>
    <x v="1"/>
    <x v="0"/>
    <x v="1"/>
    <x v="2"/>
    <n v="0"/>
    <n v="0"/>
    <n v="32.225000000000001"/>
    <n v="32.225000000000001"/>
    <n v="32.225000000000001"/>
    <n v="32.225000000000001"/>
    <n v="36"/>
    <x v="1"/>
    <n v="0"/>
    <n v="0"/>
    <n v="33"/>
    <n v="85"/>
    <n v="0"/>
    <n v="338.51"/>
    <n v="224.01"/>
    <m/>
    <n v="417.58832886049538"/>
    <n v="234.64376439748159"/>
    <n v="0"/>
    <n v="10908.48475"/>
    <n v="7218.7222499999998"/>
    <n v="0"/>
    <n v="13456.783897529464"/>
    <n v="7561.3953077088445"/>
  </r>
  <r>
    <s v="Regular"/>
    <x v="3"/>
    <x v="2"/>
    <x v="1"/>
    <x v="0"/>
    <x v="1"/>
    <x v="0"/>
    <x v="1"/>
    <x v="3"/>
    <n v="0"/>
    <n v="0"/>
    <n v="1949.5609999999999"/>
    <n v="1949.5609999999999"/>
    <n v="1949.5609999999999"/>
    <n v="1949.5609999999999"/>
    <n v="2897"/>
    <x v="1"/>
    <n v="0"/>
    <n v="0"/>
    <n v="33"/>
    <n v="85"/>
    <n v="0"/>
    <n v="338.51"/>
    <n v="224.01"/>
    <m/>
    <n v="417.58832886049538"/>
    <n v="234.64376439748159"/>
    <n v="0"/>
    <n v="659945.89410999999"/>
    <n v="436721.15960999997"/>
    <n v="0"/>
    <n v="814113.92000159621"/>
    <n v="457452.33196251857"/>
  </r>
  <r>
    <s v="Refaturamento - Regular"/>
    <x v="3"/>
    <x v="2"/>
    <x v="1"/>
    <x v="0"/>
    <x v="1"/>
    <x v="0"/>
    <x v="1"/>
    <x v="3"/>
    <n v="0"/>
    <n v="0"/>
    <n v="-0.27500000000000002"/>
    <n v="-0.27500000000000002"/>
    <n v="-0.27500000000000002"/>
    <n v="-0.27500000000000002"/>
    <n v="0"/>
    <x v="1"/>
    <n v="0"/>
    <n v="0"/>
    <n v="33"/>
    <n v="85"/>
    <n v="0"/>
    <n v="338.51"/>
    <n v="224.01"/>
    <m/>
    <n v="417.58832886049538"/>
    <n v="234.64376439748159"/>
    <n v="0"/>
    <n v="-93.090250000000012"/>
    <n v="-61.60275"/>
    <n v="0"/>
    <n v="-114.83679043663624"/>
    <n v="-64.527035209307442"/>
  </r>
  <r>
    <s v="Sistema de Compensação"/>
    <x v="3"/>
    <x v="2"/>
    <x v="1"/>
    <x v="0"/>
    <x v="1"/>
    <x v="0"/>
    <x v="1"/>
    <x v="3"/>
    <n v="0"/>
    <n v="0"/>
    <n v="21.347999999999999"/>
    <n v="21.347999999999999"/>
    <n v="21.347999999999999"/>
    <n v="21.347999999999999"/>
    <n v="36"/>
    <x v="1"/>
    <n v="0"/>
    <n v="0"/>
    <n v="33"/>
    <n v="85"/>
    <n v="0"/>
    <n v="338.51"/>
    <n v="224.01"/>
    <m/>
    <n v="417.58832886049538"/>
    <n v="234.64376439748159"/>
    <n v="0"/>
    <n v="7226.5114799999992"/>
    <n v="4782.1654799999997"/>
    <n v="0"/>
    <n v="8914.6756445138544"/>
    <n v="5009.1750823574366"/>
  </r>
  <r>
    <s v="Regular"/>
    <x v="3"/>
    <x v="2"/>
    <x v="1"/>
    <x v="0"/>
    <x v="1"/>
    <x v="0"/>
    <x v="1"/>
    <x v="4"/>
    <n v="0"/>
    <n v="0"/>
    <n v="1955.549"/>
    <n v="1955.549"/>
    <n v="1955.549"/>
    <n v="1955.549"/>
    <n v="2918"/>
    <x v="1"/>
    <n v="0"/>
    <n v="0"/>
    <n v="33"/>
    <n v="85"/>
    <n v="0"/>
    <n v="338.51"/>
    <n v="224.01"/>
    <m/>
    <n v="417.58832886049538"/>
    <n v="234.64376439748159"/>
    <n v="0"/>
    <n v="661972.89199000003"/>
    <n v="438062.53148999996"/>
    <n v="0"/>
    <n v="816614.43891481287"/>
    <n v="458857.37882373075"/>
  </r>
  <r>
    <s v="Refaturamento - Regular"/>
    <x v="3"/>
    <x v="2"/>
    <x v="1"/>
    <x v="0"/>
    <x v="1"/>
    <x v="0"/>
    <x v="1"/>
    <x v="4"/>
    <n v="0"/>
    <n v="0"/>
    <n v="-0.54100000000000004"/>
    <n v="-0.54100000000000004"/>
    <n v="-0.54100000000000004"/>
    <n v="-0.54100000000000004"/>
    <n v="0"/>
    <x v="1"/>
    <n v="0"/>
    <n v="0"/>
    <n v="33"/>
    <n v="85"/>
    <n v="0"/>
    <n v="338.51"/>
    <n v="224.01"/>
    <m/>
    <n v="417.58832886049538"/>
    <n v="234.64376439748159"/>
    <n v="0"/>
    <n v="-183.13391000000001"/>
    <n v="-121.18941000000001"/>
    <n v="0"/>
    <n v="-225.91528591352801"/>
    <n v="-126.94227653903755"/>
  </r>
  <r>
    <s v="Sistema de Compensação"/>
    <x v="3"/>
    <x v="2"/>
    <x v="1"/>
    <x v="0"/>
    <x v="1"/>
    <x v="0"/>
    <x v="1"/>
    <x v="4"/>
    <n v="0"/>
    <n v="0"/>
    <n v="22.797000000000001"/>
    <n v="22.797000000000001"/>
    <n v="22.797000000000001"/>
    <n v="22.797000000000001"/>
    <n v="35"/>
    <x v="1"/>
    <n v="0"/>
    <n v="0"/>
    <n v="33"/>
    <n v="85"/>
    <n v="0"/>
    <n v="338.51"/>
    <n v="224.01"/>
    <m/>
    <n v="417.58832886049538"/>
    <n v="234.64376439748159"/>
    <n v="0"/>
    <n v="7717.0124699999997"/>
    <n v="5106.7559700000002"/>
    <n v="0"/>
    <n v="9519.7611330327127"/>
    <n v="5349.1738969693879"/>
  </r>
  <r>
    <s v="Regular"/>
    <x v="3"/>
    <x v="2"/>
    <x v="1"/>
    <x v="0"/>
    <x v="1"/>
    <x v="0"/>
    <x v="1"/>
    <x v="5"/>
    <n v="0"/>
    <n v="0"/>
    <n v="2394.1460000000002"/>
    <n v="2394.1460000000002"/>
    <n v="2394.1460000000002"/>
    <n v="2394.1460000000002"/>
    <n v="2952"/>
    <x v="1"/>
    <n v="0"/>
    <n v="0"/>
    <n v="33"/>
    <n v="85"/>
    <n v="0"/>
    <n v="338.51"/>
    <n v="224.01"/>
    <m/>
    <n v="417.58832886049538"/>
    <n v="234.64376439748159"/>
    <n v="0"/>
    <n v="810442.36246000009"/>
    <n v="536312.64546000003"/>
    <n v="0"/>
    <n v="999767.42718803964"/>
    <n v="561771.42995717295"/>
  </r>
  <r>
    <s v="Refaturamento - Regular"/>
    <x v="3"/>
    <x v="2"/>
    <x v="1"/>
    <x v="0"/>
    <x v="1"/>
    <x v="0"/>
    <x v="1"/>
    <x v="5"/>
    <n v="0"/>
    <n v="0"/>
    <n v="8.0440000000000005"/>
    <n v="8.0440000000000005"/>
    <n v="8.0440000000000005"/>
    <n v="8.0440000000000005"/>
    <n v="0"/>
    <x v="1"/>
    <n v="0"/>
    <n v="0"/>
    <n v="33"/>
    <n v="85"/>
    <n v="0"/>
    <n v="338.51"/>
    <n v="224.01"/>
    <m/>
    <n v="417.58832886049538"/>
    <n v="234.64376439748159"/>
    <n v="0"/>
    <n v="2722.97444"/>
    <n v="1801.9364399999999"/>
    <n v="0"/>
    <n v="3359.0805173538251"/>
    <n v="1887.474440813342"/>
  </r>
  <r>
    <s v="Sistema de Compensação"/>
    <x v="3"/>
    <x v="2"/>
    <x v="1"/>
    <x v="0"/>
    <x v="1"/>
    <x v="0"/>
    <x v="1"/>
    <x v="5"/>
    <n v="0"/>
    <n v="0"/>
    <n v="25.462"/>
    <n v="25.462"/>
    <n v="25.462"/>
    <n v="25.462"/>
    <n v="37"/>
    <x v="1"/>
    <n v="0"/>
    <n v="0"/>
    <n v="33"/>
    <n v="85"/>
    <n v="0"/>
    <n v="338.51"/>
    <n v="224.01"/>
    <m/>
    <n v="417.58832886049538"/>
    <n v="234.64376439748159"/>
    <n v="0"/>
    <n v="8619.1416200000003"/>
    <n v="5703.74262"/>
    <n v="0"/>
    <n v="10632.634029445933"/>
    <n v="5974.4995290886764"/>
  </r>
  <r>
    <s v="Regular"/>
    <x v="3"/>
    <x v="2"/>
    <x v="1"/>
    <x v="0"/>
    <x v="1"/>
    <x v="0"/>
    <x v="1"/>
    <x v="6"/>
    <n v="0"/>
    <n v="0"/>
    <n v="2488.9639999999999"/>
    <n v="2488.9639999999999"/>
    <n v="2488.9639999999999"/>
    <n v="2488.9639999999999"/>
    <n v="2959"/>
    <x v="1"/>
    <n v="0"/>
    <n v="0"/>
    <n v="33"/>
    <n v="85"/>
    <n v="0"/>
    <n v="338.51"/>
    <n v="224.01"/>
    <m/>
    <n v="417.58832886049538"/>
    <n v="234.64376439748159"/>
    <n v="0"/>
    <n v="842539.20363999996"/>
    <n v="557552.82563999994"/>
    <n v="0"/>
    <n v="1039362.317353934"/>
    <n v="584019.88240981335"/>
  </r>
  <r>
    <s v="Refaturamento - Regular"/>
    <x v="3"/>
    <x v="2"/>
    <x v="1"/>
    <x v="0"/>
    <x v="1"/>
    <x v="0"/>
    <x v="1"/>
    <x v="6"/>
    <n v="0"/>
    <n v="0"/>
    <n v="1.1240000000000001"/>
    <n v="1.1240000000000001"/>
    <n v="1.1240000000000001"/>
    <n v="1.1240000000000001"/>
    <n v="0"/>
    <x v="1"/>
    <n v="0"/>
    <n v="0"/>
    <n v="33"/>
    <n v="85"/>
    <n v="0"/>
    <n v="338.51"/>
    <n v="224.01"/>
    <m/>
    <n v="417.58832886049538"/>
    <n v="234.64376439748159"/>
    <n v="0"/>
    <n v="380.48524000000003"/>
    <n v="251.78724000000003"/>
    <n v="0"/>
    <n v="469.36928163919686"/>
    <n v="263.73959118276935"/>
  </r>
  <r>
    <s v="Sistema de Compensação"/>
    <x v="3"/>
    <x v="2"/>
    <x v="1"/>
    <x v="0"/>
    <x v="1"/>
    <x v="0"/>
    <x v="1"/>
    <x v="6"/>
    <n v="0"/>
    <n v="0"/>
    <n v="33.875999999999998"/>
    <n v="33.875999999999998"/>
    <n v="33.875999999999998"/>
    <n v="33.875999999999998"/>
    <n v="40"/>
    <x v="1"/>
    <n v="0"/>
    <n v="0"/>
    <n v="33"/>
    <n v="85"/>
    <n v="0"/>
    <n v="338.51"/>
    <n v="224.01"/>
    <m/>
    <n v="417.58832886049538"/>
    <n v="234.64376439748159"/>
    <n v="0"/>
    <n v="11467.364759999999"/>
    <n v="7588.5627599999989"/>
    <n v="0"/>
    <n v="14146.22222847814"/>
    <n v="7948.7921627290862"/>
  </r>
  <r>
    <s v="Regular"/>
    <x v="3"/>
    <x v="2"/>
    <x v="1"/>
    <x v="0"/>
    <x v="1"/>
    <x v="0"/>
    <x v="1"/>
    <x v="7"/>
    <n v="0"/>
    <n v="0"/>
    <n v="2283.8829999999998"/>
    <n v="2283.8829999999998"/>
    <n v="2283.8829999999998"/>
    <n v="2283.8829999999998"/>
    <n v="2949"/>
    <x v="1"/>
    <n v="0"/>
    <n v="0"/>
    <n v="33"/>
    <n v="85"/>
    <n v="0"/>
    <n v="338.51"/>
    <n v="224.01"/>
    <m/>
    <n v="417.58832886049538"/>
    <n v="234.64376439748159"/>
    <n v="0"/>
    <n v="773117.23432999989"/>
    <n v="511612.63082999992"/>
    <n v="0"/>
    <n v="953722.88528289471"/>
    <n v="535898.90456341335"/>
  </r>
  <r>
    <s v="Refaturamento - Regular"/>
    <x v="3"/>
    <x v="2"/>
    <x v="1"/>
    <x v="0"/>
    <x v="1"/>
    <x v="0"/>
    <x v="1"/>
    <x v="7"/>
    <n v="0"/>
    <n v="0"/>
    <n v="1.954"/>
    <n v="1.954"/>
    <n v="1.954"/>
    <n v="1.954"/>
    <n v="0"/>
    <x v="1"/>
    <n v="0"/>
    <n v="0"/>
    <n v="33"/>
    <n v="85"/>
    <n v="0"/>
    <n v="338.51"/>
    <n v="224.01"/>
    <m/>
    <n v="417.58832886049538"/>
    <n v="234.64376439748159"/>
    <n v="0"/>
    <n v="661.44853999999998"/>
    <n v="437.71553999999998"/>
    <n v="0"/>
    <n v="815.96759459340797"/>
    <n v="458.49391563267903"/>
  </r>
  <r>
    <s v="Sistema de Compensação"/>
    <x v="3"/>
    <x v="2"/>
    <x v="1"/>
    <x v="0"/>
    <x v="1"/>
    <x v="0"/>
    <x v="1"/>
    <x v="7"/>
    <n v="0"/>
    <n v="0"/>
    <n v="48.832000000000001"/>
    <n v="48.832000000000001"/>
    <n v="48.832000000000001"/>
    <n v="48.832000000000001"/>
    <n v="44"/>
    <x v="1"/>
    <n v="0"/>
    <n v="0"/>
    <n v="33"/>
    <n v="85"/>
    <n v="0"/>
    <n v="338.51"/>
    <n v="224.01"/>
    <m/>
    <n v="417.58832886049538"/>
    <n v="234.64376439748159"/>
    <n v="0"/>
    <n v="16530.120319999998"/>
    <n v="10938.856319999999"/>
    <n v="0"/>
    <n v="20391.673274915709"/>
    <n v="11458.124303057821"/>
  </r>
  <r>
    <s v="Regular"/>
    <x v="3"/>
    <x v="2"/>
    <x v="1"/>
    <x v="0"/>
    <x v="1"/>
    <x v="0"/>
    <x v="1"/>
    <x v="8"/>
    <n v="0"/>
    <n v="0"/>
    <n v="2069.9580000000001"/>
    <n v="2069.9580000000001"/>
    <n v="2069.9580000000001"/>
    <n v="2069.9580000000001"/>
    <n v="2966"/>
    <x v="1"/>
    <n v="0"/>
    <n v="0"/>
    <n v="33"/>
    <n v="85"/>
    <n v="0"/>
    <n v="338.51"/>
    <n v="224.01"/>
    <m/>
    <n v="417.58832886049538"/>
    <n v="234.64376439748159"/>
    <n v="0"/>
    <n v="700701.48257999995"/>
    <n v="463691.29158000002"/>
    <n v="0"/>
    <n v="864390.3020314133"/>
    <n v="485702.73726468219"/>
  </r>
  <r>
    <s v="Refaturamento - Regular"/>
    <x v="3"/>
    <x v="2"/>
    <x v="1"/>
    <x v="0"/>
    <x v="1"/>
    <x v="0"/>
    <x v="1"/>
    <x v="8"/>
    <n v="0"/>
    <n v="0"/>
    <n v="0.53100000000000003"/>
    <n v="0.53100000000000003"/>
    <n v="0.53100000000000003"/>
    <n v="0.53100000000000003"/>
    <n v="0"/>
    <x v="1"/>
    <n v="0"/>
    <n v="0"/>
    <n v="33"/>
    <n v="85"/>
    <n v="0"/>
    <n v="338.51"/>
    <n v="224.01"/>
    <m/>
    <n v="417.58832886049538"/>
    <n v="234.64376439748159"/>
    <n v="0"/>
    <n v="179.74880999999999"/>
    <n v="118.94931"/>
    <n v="0"/>
    <n v="221.73940262492306"/>
    <n v="124.59583889506273"/>
  </r>
  <r>
    <s v="Sistema de Compensação"/>
    <x v="3"/>
    <x v="2"/>
    <x v="1"/>
    <x v="0"/>
    <x v="1"/>
    <x v="0"/>
    <x v="1"/>
    <x v="8"/>
    <n v="0"/>
    <n v="0"/>
    <n v="52.225000000000001"/>
    <n v="52.225000000000001"/>
    <n v="52.225000000000001"/>
    <n v="52.225000000000001"/>
    <n v="47"/>
    <x v="1"/>
    <n v="0"/>
    <n v="0"/>
    <n v="33"/>
    <n v="85"/>
    <n v="0"/>
    <n v="338.51"/>
    <n v="224.01"/>
    <m/>
    <n v="417.58832886049538"/>
    <n v="234.64376439748159"/>
    <n v="0"/>
    <n v="17678.68475"/>
    <n v="11698.92225"/>
    <n v="0"/>
    <n v="21808.550474739372"/>
    <n v="12254.270595658476"/>
  </r>
  <r>
    <s v="Regular"/>
    <x v="3"/>
    <x v="2"/>
    <x v="1"/>
    <x v="0"/>
    <x v="1"/>
    <x v="0"/>
    <x v="1"/>
    <x v="9"/>
    <n v="0"/>
    <n v="0"/>
    <n v="1746.81"/>
    <n v="1746.81"/>
    <n v="1746.81"/>
    <n v="1746.81"/>
    <n v="2962"/>
    <x v="1"/>
    <n v="0"/>
    <n v="0"/>
    <n v="33"/>
    <n v="85"/>
    <n v="0"/>
    <n v="338.51"/>
    <n v="224.01"/>
    <m/>
    <n v="417.58832886049538"/>
    <n v="234.64376439748159"/>
    <n v="0"/>
    <n v="591312.6531"/>
    <n v="391302.9081"/>
    <n v="0"/>
    <n v="729447.46873680188"/>
    <n v="409878.07408716483"/>
  </r>
  <r>
    <s v="Refaturamento - Regular"/>
    <x v="3"/>
    <x v="2"/>
    <x v="1"/>
    <x v="0"/>
    <x v="1"/>
    <x v="0"/>
    <x v="1"/>
    <x v="9"/>
    <n v="0"/>
    <n v="0"/>
    <n v="-1.7529999999999999"/>
    <n v="-1.7529999999999999"/>
    <n v="-1.7529999999999999"/>
    <n v="-1.7529999999999999"/>
    <n v="0"/>
    <x v="1"/>
    <n v="0"/>
    <n v="0"/>
    <n v="33"/>
    <n v="85"/>
    <n v="0"/>
    <n v="338.51"/>
    <n v="224.01"/>
    <m/>
    <n v="417.58832886049538"/>
    <n v="234.64376439748159"/>
    <n v="0"/>
    <n v="-593.40802999999994"/>
    <n v="-392.68952999999993"/>
    <n v="0"/>
    <n v="-732.03234049244838"/>
    <n v="-411.33051898878523"/>
  </r>
  <r>
    <s v="Sistema de Compensação"/>
    <x v="3"/>
    <x v="2"/>
    <x v="1"/>
    <x v="0"/>
    <x v="1"/>
    <x v="0"/>
    <x v="1"/>
    <x v="9"/>
    <n v="0"/>
    <n v="0"/>
    <n v="62.741"/>
    <n v="62.741"/>
    <n v="62.741"/>
    <n v="62.741"/>
    <n v="52"/>
    <x v="1"/>
    <n v="0"/>
    <n v="0"/>
    <n v="33"/>
    <n v="85"/>
    <n v="0"/>
    <n v="338.51"/>
    <n v="224.01"/>
    <m/>
    <n v="417.58832886049538"/>
    <n v="234.64376439748159"/>
    <n v="0"/>
    <n v="21238.455910000001"/>
    <n v="14054.61141"/>
    <n v="0"/>
    <n v="26199.909341036342"/>
    <n v="14721.784422062392"/>
  </r>
  <r>
    <s v="Regular"/>
    <x v="3"/>
    <x v="2"/>
    <x v="1"/>
    <x v="0"/>
    <x v="1"/>
    <x v="0"/>
    <x v="1"/>
    <x v="10"/>
    <n v="0"/>
    <n v="0"/>
    <n v="1601.3679999999999"/>
    <n v="1601.3679999999999"/>
    <n v="1601.3679999999999"/>
    <n v="1601.3679999999999"/>
    <n v="2964"/>
    <x v="1"/>
    <n v="0"/>
    <n v="0"/>
    <n v="33"/>
    <n v="85"/>
    <n v="0"/>
    <n v="338.51"/>
    <n v="224.01"/>
    <m/>
    <n v="417.58832886049538"/>
    <n v="234.64376439748159"/>
    <n v="0"/>
    <n v="542079.08167999994"/>
    <n v="358722.44567999995"/>
    <n v="0"/>
    <n v="668712.58701067371"/>
    <n v="375751.01570566627"/>
  </r>
  <r>
    <s v="Sistema de Compensação"/>
    <x v="3"/>
    <x v="2"/>
    <x v="1"/>
    <x v="0"/>
    <x v="1"/>
    <x v="0"/>
    <x v="1"/>
    <x v="10"/>
    <n v="0"/>
    <n v="0"/>
    <n v="77.203999999999994"/>
    <n v="77.203999999999994"/>
    <n v="77.203999999999994"/>
    <n v="77.203999999999994"/>
    <n v="57"/>
    <x v="1"/>
    <n v="0"/>
    <n v="0"/>
    <n v="33"/>
    <n v="85"/>
    <n v="0"/>
    <n v="338.51"/>
    <n v="224.01"/>
    <m/>
    <n v="417.58832886049538"/>
    <n v="234.64376439748159"/>
    <n v="0"/>
    <n v="26134.326039999996"/>
    <n v="17294.468039999996"/>
    <n v="0"/>
    <n v="32239.489341345681"/>
    <n v="18115.437186543168"/>
  </r>
  <r>
    <s v="PROJETADO"/>
    <x v="3"/>
    <x v="2"/>
    <x v="1"/>
    <x v="0"/>
    <x v="1"/>
    <x v="0"/>
    <x v="1"/>
    <x v="11"/>
    <n v="0"/>
    <n v="0"/>
    <n v="1601.3679999999999"/>
    <n v="1601.3679999999999"/>
    <n v="1601.3679999999999"/>
    <n v="1601.3679999999999"/>
    <n v="2964"/>
    <x v="1"/>
    <n v="0"/>
    <n v="0"/>
    <n v="33"/>
    <n v="85"/>
    <n v="0"/>
    <n v="338.51"/>
    <n v="224.01"/>
    <m/>
    <n v="417.58832886049538"/>
    <n v="234.64376439748159"/>
    <n v="0"/>
    <n v="542079.08167999994"/>
    <n v="358722.44567999995"/>
    <n v="0"/>
    <n v="668712.58701067371"/>
    <n v="375751.01570566627"/>
  </r>
  <r>
    <s v="PROJETADO"/>
    <x v="3"/>
    <x v="2"/>
    <x v="1"/>
    <x v="0"/>
    <x v="1"/>
    <x v="0"/>
    <x v="1"/>
    <x v="11"/>
    <n v="0"/>
    <n v="0"/>
    <n v="77.203999999999994"/>
    <n v="77.203999999999994"/>
    <n v="77.203999999999994"/>
    <n v="77.203999999999994"/>
    <n v="57"/>
    <x v="1"/>
    <n v="0"/>
    <n v="0"/>
    <n v="33"/>
    <n v="85"/>
    <n v="0"/>
    <n v="338.51"/>
    <n v="224.01"/>
    <m/>
    <n v="417.58832886049538"/>
    <n v="234.64376439748159"/>
    <n v="0"/>
    <n v="26134.326039999996"/>
    <n v="17294.468039999996"/>
    <n v="0"/>
    <n v="32239.489341345681"/>
    <n v="18115.437186543168"/>
  </r>
  <r>
    <s v="Regular"/>
    <x v="3"/>
    <x v="2"/>
    <x v="6"/>
    <x v="0"/>
    <x v="1"/>
    <x v="0"/>
    <x v="1"/>
    <x v="0"/>
    <n v="0"/>
    <n v="0"/>
    <n v="5.5549999999999997"/>
    <n v="5.5549999999999997"/>
    <n v="5.5549999999999997"/>
    <n v="5.5549999999999997"/>
    <n v="4"/>
    <x v="1"/>
    <n v="0"/>
    <n v="0"/>
    <n v="33"/>
    <n v="85"/>
    <n v="0"/>
    <n v="338.51"/>
    <n v="224.01"/>
    <m/>
    <n v="417.58832886049538"/>
    <n v="234.64376439748159"/>
    <n v="0"/>
    <n v="1880.4230499999999"/>
    <n v="1244.37555"/>
    <n v="0"/>
    <n v="2319.7031668200516"/>
    <n v="1303.4461112280101"/>
  </r>
  <r>
    <s v="Regular"/>
    <x v="3"/>
    <x v="2"/>
    <x v="6"/>
    <x v="0"/>
    <x v="1"/>
    <x v="0"/>
    <x v="1"/>
    <x v="1"/>
    <n v="0"/>
    <n v="0"/>
    <n v="5.6970000000000001"/>
    <n v="5.6970000000000001"/>
    <n v="5.6970000000000001"/>
    <n v="5.6970000000000001"/>
    <n v="4"/>
    <x v="1"/>
    <n v="0"/>
    <n v="0"/>
    <n v="33"/>
    <n v="85"/>
    <n v="0"/>
    <n v="338.51"/>
    <n v="224.01"/>
    <m/>
    <n v="417.58832886049538"/>
    <n v="234.64376439748159"/>
    <n v="0"/>
    <n v="1928.4914699999999"/>
    <n v="1276.18497"/>
    <n v="0"/>
    <n v="2379.0007095182423"/>
    <n v="1336.7655257724525"/>
  </r>
  <r>
    <s v="Regular"/>
    <x v="3"/>
    <x v="2"/>
    <x v="6"/>
    <x v="0"/>
    <x v="1"/>
    <x v="0"/>
    <x v="1"/>
    <x v="2"/>
    <n v="0"/>
    <n v="0"/>
    <n v="5.7779999999999996"/>
    <n v="5.7779999999999996"/>
    <n v="5.7779999999999996"/>
    <n v="5.7779999999999996"/>
    <n v="4"/>
    <x v="1"/>
    <n v="0"/>
    <n v="0"/>
    <n v="33"/>
    <n v="85"/>
    <n v="0"/>
    <n v="338.51"/>
    <n v="224.01"/>
    <m/>
    <n v="417.58832886049538"/>
    <n v="234.64376439748159"/>
    <n v="0"/>
    <n v="1955.9107799999997"/>
    <n v="1294.3297799999998"/>
    <n v="0"/>
    <n v="2412.8253641559422"/>
    <n v="1355.7716706886486"/>
  </r>
  <r>
    <s v="Regular"/>
    <x v="3"/>
    <x v="2"/>
    <x v="6"/>
    <x v="0"/>
    <x v="1"/>
    <x v="0"/>
    <x v="1"/>
    <x v="3"/>
    <n v="0"/>
    <n v="0"/>
    <n v="6.2530000000000001"/>
    <n v="6.2530000000000001"/>
    <n v="6.2530000000000001"/>
    <n v="6.2530000000000001"/>
    <n v="4"/>
    <x v="1"/>
    <n v="0"/>
    <n v="0"/>
    <n v="33"/>
    <n v="85"/>
    <n v="0"/>
    <n v="338.51"/>
    <n v="224.01"/>
    <m/>
    <n v="417.58832886049538"/>
    <n v="234.64376439748159"/>
    <n v="0"/>
    <n v="2116.7030300000001"/>
    <n v="1400.7345299999999"/>
    <n v="0"/>
    <n v="2611.1798203646777"/>
    <n v="1467.2274587774525"/>
  </r>
  <r>
    <s v="Regular"/>
    <x v="3"/>
    <x v="2"/>
    <x v="6"/>
    <x v="0"/>
    <x v="1"/>
    <x v="0"/>
    <x v="1"/>
    <x v="4"/>
    <n v="0"/>
    <n v="0"/>
    <n v="7.17"/>
    <n v="7.17"/>
    <n v="7.17"/>
    <n v="7.17"/>
    <n v="4"/>
    <x v="1"/>
    <n v="0"/>
    <n v="0"/>
    <n v="33"/>
    <n v="85"/>
    <n v="0"/>
    <n v="338.51"/>
    <n v="224.01"/>
    <m/>
    <n v="417.58832886049538"/>
    <n v="234.64376439748159"/>
    <n v="0"/>
    <n v="2427.1167"/>
    <n v="1606.1516999999999"/>
    <n v="0"/>
    <n v="2994.108317929752"/>
    <n v="1682.395790729943"/>
  </r>
  <r>
    <s v="Regular"/>
    <x v="3"/>
    <x v="2"/>
    <x v="6"/>
    <x v="0"/>
    <x v="1"/>
    <x v="0"/>
    <x v="1"/>
    <x v="5"/>
    <n v="0"/>
    <n v="0"/>
    <n v="10.105"/>
    <n v="10.105"/>
    <n v="10.105"/>
    <n v="10.105"/>
    <n v="4"/>
    <x v="1"/>
    <n v="0"/>
    <n v="0"/>
    <n v="33"/>
    <n v="85"/>
    <n v="0"/>
    <n v="338.51"/>
    <n v="224.01"/>
    <m/>
    <n v="417.58832886049538"/>
    <n v="234.64376439748159"/>
    <n v="0"/>
    <n v="3420.6435500000002"/>
    <n v="2263.6210500000002"/>
    <n v="0"/>
    <n v="4219.7300631353064"/>
    <n v="2371.0752392365516"/>
  </r>
  <r>
    <s v="Regular"/>
    <x v="3"/>
    <x v="2"/>
    <x v="6"/>
    <x v="0"/>
    <x v="1"/>
    <x v="0"/>
    <x v="1"/>
    <x v="6"/>
    <n v="0"/>
    <n v="0"/>
    <n v="11.499000000000001"/>
    <n v="11.499000000000001"/>
    <n v="11.499000000000001"/>
    <n v="11.499000000000001"/>
    <n v="4"/>
    <x v="1"/>
    <n v="0"/>
    <n v="0"/>
    <n v="33"/>
    <n v="85"/>
    <n v="0"/>
    <n v="338.51"/>
    <n v="224.01"/>
    <m/>
    <n v="417.58832886049538"/>
    <n v="234.64376439748159"/>
    <n v="0"/>
    <n v="3892.5264900000002"/>
    <n v="2575.8909899999999"/>
    <n v="0"/>
    <n v="4801.8481935668369"/>
    <n v="2698.1686468066409"/>
  </r>
  <r>
    <s v="Regular"/>
    <x v="3"/>
    <x v="2"/>
    <x v="6"/>
    <x v="0"/>
    <x v="1"/>
    <x v="0"/>
    <x v="1"/>
    <x v="7"/>
    <n v="0"/>
    <n v="0"/>
    <n v="11.22"/>
    <n v="11.22"/>
    <n v="11.22"/>
    <n v="11.22"/>
    <n v="4"/>
    <x v="1"/>
    <n v="0"/>
    <n v="0"/>
    <n v="33"/>
    <n v="85"/>
    <n v="0"/>
    <n v="338.51"/>
    <n v="224.01"/>
    <m/>
    <n v="417.58832886049538"/>
    <n v="234.64376439748159"/>
    <n v="0"/>
    <n v="3798.0822000000003"/>
    <n v="2513.3922000000002"/>
    <n v="0"/>
    <n v="4685.3410498147587"/>
    <n v="2632.7030365397436"/>
  </r>
  <r>
    <s v="Regular"/>
    <x v="3"/>
    <x v="2"/>
    <x v="6"/>
    <x v="0"/>
    <x v="1"/>
    <x v="0"/>
    <x v="1"/>
    <x v="8"/>
    <n v="0"/>
    <n v="0"/>
    <n v="9.36"/>
    <n v="9.36"/>
    <n v="9.36"/>
    <n v="9.36"/>
    <n v="4"/>
    <x v="1"/>
    <n v="0"/>
    <n v="0"/>
    <n v="33"/>
    <n v="85"/>
    <n v="0"/>
    <n v="338.51"/>
    <n v="224.01"/>
    <m/>
    <n v="417.58832886049538"/>
    <n v="234.64376439748159"/>
    <n v="0"/>
    <n v="3168.4535999999998"/>
    <n v="2096.7335999999996"/>
    <n v="0"/>
    <n v="3908.6267581342363"/>
    <n v="2196.2656347604275"/>
  </r>
  <r>
    <s v="Regular"/>
    <x v="3"/>
    <x v="2"/>
    <x v="6"/>
    <x v="0"/>
    <x v="1"/>
    <x v="0"/>
    <x v="1"/>
    <x v="9"/>
    <n v="0"/>
    <n v="0"/>
    <n v="6.306"/>
    <n v="6.306"/>
    <n v="6.306"/>
    <n v="6.306"/>
    <n v="4"/>
    <x v="1"/>
    <n v="0"/>
    <n v="0"/>
    <n v="33"/>
    <n v="85"/>
    <n v="0"/>
    <n v="338.51"/>
    <n v="224.01"/>
    <m/>
    <n v="417.58832886049538"/>
    <n v="234.64376439748159"/>
    <n v="0"/>
    <n v="2134.6440600000001"/>
    <n v="1412.60706"/>
    <n v="0"/>
    <n v="2633.3120017942838"/>
    <n v="1479.6635782905189"/>
  </r>
  <r>
    <s v="Regular"/>
    <x v="3"/>
    <x v="2"/>
    <x v="6"/>
    <x v="0"/>
    <x v="1"/>
    <x v="0"/>
    <x v="1"/>
    <x v="10"/>
    <n v="0"/>
    <n v="0"/>
    <n v="5.3730000000000002"/>
    <n v="5.3730000000000002"/>
    <n v="5.3730000000000002"/>
    <n v="5.3730000000000002"/>
    <n v="4"/>
    <x v="1"/>
    <n v="0"/>
    <n v="0"/>
    <n v="33"/>
    <n v="85"/>
    <n v="0"/>
    <n v="338.51"/>
    <n v="224.01"/>
    <m/>
    <n v="417.58832886049538"/>
    <n v="234.64376439748159"/>
    <n v="0"/>
    <n v="1818.81423"/>
    <n v="1203.60573"/>
    <n v="0"/>
    <n v="2243.7020909674416"/>
    <n v="1260.7409461076686"/>
  </r>
  <r>
    <s v="PROJETADO"/>
    <x v="3"/>
    <x v="2"/>
    <x v="6"/>
    <x v="0"/>
    <x v="1"/>
    <x v="0"/>
    <x v="1"/>
    <x v="11"/>
    <n v="0"/>
    <n v="0"/>
    <n v="5.3730000000000002"/>
    <n v="5.3730000000000002"/>
    <n v="5.3730000000000002"/>
    <n v="5.3730000000000002"/>
    <n v="4"/>
    <x v="1"/>
    <n v="0"/>
    <n v="0"/>
    <n v="33"/>
    <n v="85"/>
    <n v="0"/>
    <n v="338.51"/>
    <n v="224.01"/>
    <m/>
    <n v="417.58832886049538"/>
    <n v="234.64376439748159"/>
    <n v="0"/>
    <n v="1818.81423"/>
    <n v="1203.60573"/>
    <n v="0"/>
    <n v="2243.7020909674416"/>
    <n v="1260.7409461076686"/>
  </r>
  <r>
    <s v="Regular"/>
    <x v="3"/>
    <x v="2"/>
    <x v="0"/>
    <x v="0"/>
    <x v="1"/>
    <x v="0"/>
    <x v="1"/>
    <x v="0"/>
    <n v="0"/>
    <n v="0"/>
    <n v="302.32299999999998"/>
    <n v="302.32299999999998"/>
    <n v="302.32299999999998"/>
    <n v="302.32299999999998"/>
    <n v="125"/>
    <x v="1"/>
    <n v="0"/>
    <n v="0"/>
    <n v="33"/>
    <n v="85"/>
    <n v="0"/>
    <n v="338.51"/>
    <n v="224.01"/>
    <m/>
    <n v="417.58832886049538"/>
    <n v="234.64376439748159"/>
    <n v="0"/>
    <n v="102339.35872999999"/>
    <n v="67723.375229999991"/>
    <n v="0"/>
    <n v="126246.55634609153"/>
    <n v="70938.206783939822"/>
  </r>
  <r>
    <s v="Sistema de Compensação"/>
    <x v="3"/>
    <x v="2"/>
    <x v="0"/>
    <x v="0"/>
    <x v="1"/>
    <x v="0"/>
    <x v="1"/>
    <x v="0"/>
    <n v="0"/>
    <n v="0"/>
    <n v="4.3929999999999998"/>
    <n v="4.3929999999999998"/>
    <n v="4.3929999999999998"/>
    <n v="4.3929999999999998"/>
    <n v="3"/>
    <x v="1"/>
    <n v="0"/>
    <n v="0"/>
    <n v="33"/>
    <n v="85"/>
    <n v="0"/>
    <n v="338.51"/>
    <n v="224.01"/>
    <m/>
    <n v="417.58832886049538"/>
    <n v="234.64376439748159"/>
    <n v="0"/>
    <n v="1487.0744299999999"/>
    <n v="984.07592999999986"/>
    <n v="0"/>
    <n v="1834.4655286841562"/>
    <n v="1030.7900569981366"/>
  </r>
  <r>
    <s v="Regular"/>
    <x v="3"/>
    <x v="2"/>
    <x v="0"/>
    <x v="0"/>
    <x v="1"/>
    <x v="0"/>
    <x v="1"/>
    <x v="1"/>
    <n v="0"/>
    <n v="0"/>
    <n v="328.53199999999998"/>
    <n v="328.53199999999998"/>
    <n v="328.53199999999998"/>
    <n v="328.53199999999998"/>
    <n v="125"/>
    <x v="1"/>
    <n v="0"/>
    <n v="0"/>
    <n v="33"/>
    <n v="85"/>
    <n v="0"/>
    <n v="338.51"/>
    <n v="224.01"/>
    <m/>
    <n v="417.58832886049538"/>
    <n v="234.64376439748159"/>
    <n v="0"/>
    <n v="111211.36731999999"/>
    <n v="73594.453319999986"/>
    <n v="0"/>
    <n v="137191.12885719625"/>
    <n v="77087.985205033416"/>
  </r>
  <r>
    <s v="Sistema de Compensação"/>
    <x v="3"/>
    <x v="2"/>
    <x v="0"/>
    <x v="0"/>
    <x v="1"/>
    <x v="0"/>
    <x v="1"/>
    <x v="1"/>
    <n v="0"/>
    <n v="0"/>
    <n v="3.1440000000000001"/>
    <n v="3.1440000000000001"/>
    <n v="3.1440000000000001"/>
    <n v="3.1440000000000001"/>
    <n v="3"/>
    <x v="1"/>
    <n v="0"/>
    <n v="0"/>
    <n v="33"/>
    <n v="85"/>
    <n v="0"/>
    <n v="338.51"/>
    <n v="224.01"/>
    <m/>
    <n v="417.58832886049538"/>
    <n v="234.64376439748159"/>
    <n v="0"/>
    <n v="1064.2754400000001"/>
    <n v="704.28743999999995"/>
    <n v="0"/>
    <n v="1312.8977059373976"/>
    <n v="737.7199952656822"/>
  </r>
  <r>
    <s v="Regular"/>
    <x v="3"/>
    <x v="2"/>
    <x v="0"/>
    <x v="0"/>
    <x v="1"/>
    <x v="0"/>
    <x v="1"/>
    <x v="2"/>
    <n v="0"/>
    <n v="0"/>
    <n v="301.72000000000003"/>
    <n v="301.72000000000003"/>
    <n v="301.72000000000003"/>
    <n v="301.72000000000003"/>
    <n v="125"/>
    <x v="1"/>
    <n v="0"/>
    <n v="0"/>
    <n v="33"/>
    <n v="85"/>
    <n v="0"/>
    <n v="338.51"/>
    <n v="224.01"/>
    <m/>
    <n v="417.58832886049538"/>
    <n v="234.64376439748159"/>
    <n v="0"/>
    <n v="102135.2372"/>
    <n v="67588.297200000001"/>
    <n v="0"/>
    <n v="125994.75058378867"/>
    <n v="70796.716594008147"/>
  </r>
  <r>
    <s v="Sistema de Compensação"/>
    <x v="3"/>
    <x v="2"/>
    <x v="0"/>
    <x v="0"/>
    <x v="1"/>
    <x v="0"/>
    <x v="1"/>
    <x v="2"/>
    <n v="0"/>
    <n v="0"/>
    <n v="1.8009999999999999"/>
    <n v="1.8009999999999999"/>
    <n v="1.8009999999999999"/>
    <n v="1.8009999999999999"/>
    <n v="3"/>
    <x v="1"/>
    <n v="0"/>
    <n v="0"/>
    <n v="33"/>
    <n v="85"/>
    <n v="0"/>
    <n v="338.51"/>
    <n v="224.01"/>
    <m/>
    <n v="417.58832886049538"/>
    <n v="234.64376439748159"/>
    <n v="0"/>
    <n v="609.65650999999991"/>
    <n v="403.44200999999998"/>
    <n v="0"/>
    <n v="752.0765802777521"/>
    <n v="422.59341967986433"/>
  </r>
  <r>
    <s v="Regular"/>
    <x v="3"/>
    <x v="2"/>
    <x v="0"/>
    <x v="0"/>
    <x v="1"/>
    <x v="0"/>
    <x v="1"/>
    <x v="3"/>
    <n v="0"/>
    <n v="0"/>
    <n v="306.78500000000003"/>
    <n v="306.78500000000003"/>
    <n v="306.78500000000003"/>
    <n v="306.78500000000003"/>
    <n v="126"/>
    <x v="1"/>
    <n v="0"/>
    <n v="0"/>
    <n v="33"/>
    <n v="85"/>
    <n v="0"/>
    <n v="338.51"/>
    <n v="224.01"/>
    <m/>
    <n v="417.58832886049538"/>
    <n v="234.64376439748159"/>
    <n v="0"/>
    <n v="103849.79035000001"/>
    <n v="68722.907850000003"/>
    <n v="0"/>
    <n v="128109.83546946709"/>
    <n v="71985.187260681399"/>
  </r>
  <r>
    <s v="Sistema de Compensação"/>
    <x v="3"/>
    <x v="2"/>
    <x v="0"/>
    <x v="0"/>
    <x v="1"/>
    <x v="0"/>
    <x v="1"/>
    <x v="3"/>
    <n v="0"/>
    <n v="0"/>
    <n v="0.3"/>
    <n v="0.3"/>
    <n v="0.3"/>
    <n v="0.3"/>
    <n v="3"/>
    <x v="1"/>
    <n v="0"/>
    <n v="0"/>
    <n v="33"/>
    <n v="85"/>
    <n v="0"/>
    <n v="338.51"/>
    <n v="224.01"/>
    <m/>
    <n v="417.58832886049538"/>
    <n v="234.64376439748159"/>
    <n v="0"/>
    <n v="101.553"/>
    <n v="67.202999999999989"/>
    <n v="0"/>
    <n v="125.27649865814861"/>
    <n v="70.39312931924448"/>
  </r>
  <r>
    <s v="Regular"/>
    <x v="3"/>
    <x v="2"/>
    <x v="0"/>
    <x v="0"/>
    <x v="1"/>
    <x v="0"/>
    <x v="1"/>
    <x v="4"/>
    <n v="0"/>
    <n v="0"/>
    <n v="287.49400000000003"/>
    <n v="287.49400000000003"/>
    <n v="287.49400000000003"/>
    <n v="287.49400000000003"/>
    <n v="126"/>
    <x v="1"/>
    <n v="0"/>
    <n v="0"/>
    <n v="33"/>
    <n v="85"/>
    <n v="0"/>
    <n v="338.51"/>
    <n v="224.01"/>
    <m/>
    <n v="417.58832886049538"/>
    <n v="234.64376439748159"/>
    <n v="0"/>
    <n v="97319.593940000006"/>
    <n v="64401.530940000004"/>
    <n v="0"/>
    <n v="120054.13901741926"/>
    <n v="67458.674401689583"/>
  </r>
  <r>
    <s v="Sistema de Compensação"/>
    <x v="3"/>
    <x v="2"/>
    <x v="0"/>
    <x v="0"/>
    <x v="1"/>
    <x v="0"/>
    <x v="1"/>
    <x v="4"/>
    <n v="0"/>
    <n v="0"/>
    <n v="3.3220000000000001"/>
    <n v="3.3220000000000001"/>
    <n v="3.3220000000000001"/>
    <n v="3.3220000000000001"/>
    <n v="3"/>
    <x v="1"/>
    <n v="0"/>
    <n v="0"/>
    <n v="33"/>
    <n v="85"/>
    <n v="0"/>
    <n v="338.51"/>
    <n v="224.01"/>
    <m/>
    <n v="417.58832886049538"/>
    <n v="234.64376439748159"/>
    <n v="0"/>
    <n v="1124.5302200000001"/>
    <n v="744.16121999999996"/>
    <n v="0"/>
    <n v="1387.2284284745656"/>
    <n v="779.48658532843388"/>
  </r>
  <r>
    <s v="Regular"/>
    <x v="3"/>
    <x v="2"/>
    <x v="0"/>
    <x v="0"/>
    <x v="1"/>
    <x v="0"/>
    <x v="1"/>
    <x v="5"/>
    <n v="0"/>
    <n v="0"/>
    <n v="255.00800000000001"/>
    <n v="255.00800000000001"/>
    <n v="255.00800000000001"/>
    <n v="255.00800000000001"/>
    <n v="125"/>
    <x v="1"/>
    <n v="0"/>
    <n v="0"/>
    <n v="33"/>
    <n v="85"/>
    <n v="0"/>
    <n v="338.51"/>
    <n v="224.01"/>
    <m/>
    <n v="417.58832886049538"/>
    <n v="234.64376439748159"/>
    <n v="0"/>
    <n v="86322.75808"/>
    <n v="57124.342080000002"/>
    <n v="0"/>
    <n v="106488.36456605721"/>
    <n v="59836.037071472987"/>
  </r>
  <r>
    <s v="Sistema de Compensação"/>
    <x v="3"/>
    <x v="2"/>
    <x v="0"/>
    <x v="0"/>
    <x v="1"/>
    <x v="0"/>
    <x v="1"/>
    <x v="5"/>
    <n v="0"/>
    <n v="0"/>
    <n v="10.545"/>
    <n v="10.545"/>
    <n v="10.545"/>
    <n v="10.545"/>
    <n v="5"/>
    <x v="1"/>
    <n v="0"/>
    <n v="0"/>
    <n v="33"/>
    <n v="85"/>
    <n v="0"/>
    <n v="338.51"/>
    <n v="224.01"/>
    <m/>
    <n v="417.58832886049538"/>
    <n v="234.64376439748159"/>
    <n v="0"/>
    <n v="3569.5879500000001"/>
    <n v="2362.1854499999999"/>
    <n v="0"/>
    <n v="4403.4689278339238"/>
    <n v="2474.3184955714432"/>
  </r>
  <r>
    <s v="Regular"/>
    <x v="3"/>
    <x v="2"/>
    <x v="0"/>
    <x v="0"/>
    <x v="1"/>
    <x v="0"/>
    <x v="1"/>
    <x v="6"/>
    <n v="0"/>
    <n v="0"/>
    <n v="307.94400000000002"/>
    <n v="307.94400000000002"/>
    <n v="307.94400000000002"/>
    <n v="307.94400000000002"/>
    <n v="127"/>
    <x v="1"/>
    <n v="0"/>
    <n v="0"/>
    <n v="33"/>
    <n v="85"/>
    <n v="0"/>
    <n v="338.51"/>
    <n v="224.01"/>
    <m/>
    <n v="417.58832886049538"/>
    <n v="234.64376439748159"/>
    <n v="0"/>
    <n v="104242.12344"/>
    <n v="68982.535440000007"/>
    <n v="0"/>
    <n v="128593.8203426164"/>
    <n v="72257.13938361808"/>
  </r>
  <r>
    <s v="Sistema de Compensação"/>
    <x v="3"/>
    <x v="2"/>
    <x v="0"/>
    <x v="0"/>
    <x v="1"/>
    <x v="0"/>
    <x v="1"/>
    <x v="6"/>
    <n v="0"/>
    <n v="0"/>
    <n v="7.2309999999999999"/>
    <n v="7.2309999999999999"/>
    <n v="7.2309999999999999"/>
    <n v="7.2309999999999999"/>
    <n v="5"/>
    <x v="1"/>
    <n v="0"/>
    <n v="0"/>
    <n v="33"/>
    <n v="85"/>
    <n v="0"/>
    <n v="338.51"/>
    <n v="224.01"/>
    <m/>
    <n v="417.58832886049538"/>
    <n v="234.64376439748159"/>
    <n v="0"/>
    <n v="2447.7658099999999"/>
    <n v="1619.8163099999999"/>
    <n v="0"/>
    <n v="3019.5812059902419"/>
    <n v="1696.7090603581894"/>
  </r>
  <r>
    <s v="Regular"/>
    <x v="3"/>
    <x v="2"/>
    <x v="0"/>
    <x v="0"/>
    <x v="1"/>
    <x v="0"/>
    <x v="1"/>
    <x v="7"/>
    <n v="0"/>
    <n v="0"/>
    <n v="295.77800000000002"/>
    <n v="295.77800000000002"/>
    <n v="295.77800000000002"/>
    <n v="295.77800000000002"/>
    <n v="127"/>
    <x v="1"/>
    <n v="0"/>
    <n v="0"/>
    <n v="33"/>
    <n v="85"/>
    <n v="0"/>
    <n v="338.51"/>
    <n v="224.01"/>
    <m/>
    <n v="417.58832886049538"/>
    <n v="234.64376439748159"/>
    <n v="0"/>
    <n v="100123.81078"/>
    <n v="66257.229780000009"/>
    <n v="0"/>
    <n v="123513.44073369961"/>
    <n v="69402.463345958313"/>
  </r>
  <r>
    <s v="Sistema de Compensação"/>
    <x v="3"/>
    <x v="2"/>
    <x v="0"/>
    <x v="0"/>
    <x v="1"/>
    <x v="0"/>
    <x v="1"/>
    <x v="7"/>
    <n v="0"/>
    <n v="0"/>
    <n v="9.0220000000000002"/>
    <n v="9.0220000000000002"/>
    <n v="9.0220000000000002"/>
    <n v="9.0220000000000002"/>
    <n v="5"/>
    <x v="1"/>
    <n v="0"/>
    <n v="0"/>
    <n v="33"/>
    <n v="85"/>
    <n v="0"/>
    <n v="338.51"/>
    <n v="224.01"/>
    <m/>
    <n v="417.58832886049538"/>
    <n v="234.64376439748159"/>
    <n v="0"/>
    <n v="3054.0372200000002"/>
    <n v="2021.0182199999999"/>
    <n v="0"/>
    <n v="3767.4819029793894"/>
    <n v="2116.9560423940788"/>
  </r>
  <r>
    <s v="Regular"/>
    <x v="3"/>
    <x v="2"/>
    <x v="0"/>
    <x v="0"/>
    <x v="1"/>
    <x v="0"/>
    <x v="1"/>
    <x v="8"/>
    <n v="0"/>
    <n v="0"/>
    <n v="281.45699999999999"/>
    <n v="281.45699999999999"/>
    <n v="281.45699999999999"/>
    <n v="281.45699999999999"/>
    <n v="126"/>
    <x v="1"/>
    <n v="0"/>
    <n v="0"/>
    <n v="33"/>
    <n v="85"/>
    <n v="0"/>
    <n v="338.51"/>
    <n v="224.01"/>
    <m/>
    <n v="417.58832886049538"/>
    <n v="234.64376439748159"/>
    <n v="0"/>
    <n v="95276.00907"/>
    <n v="63049.182569999997"/>
    <n v="0"/>
    <n v="117533.15827608845"/>
    <n v="66042.129996021977"/>
  </r>
  <r>
    <s v="Sistema de Compensação"/>
    <x v="3"/>
    <x v="2"/>
    <x v="0"/>
    <x v="0"/>
    <x v="1"/>
    <x v="0"/>
    <x v="1"/>
    <x v="8"/>
    <n v="0"/>
    <n v="0"/>
    <n v="12.887"/>
    <n v="12.887"/>
    <n v="12.887"/>
    <n v="12.887"/>
    <n v="7"/>
    <x v="1"/>
    <n v="0"/>
    <n v="0"/>
    <n v="33"/>
    <n v="85"/>
    <n v="0"/>
    <n v="338.51"/>
    <n v="224.01"/>
    <m/>
    <n v="417.58832886049538"/>
    <n v="234.64376439748159"/>
    <n v="0"/>
    <n v="4362.3783700000004"/>
    <n v="2886.8168700000001"/>
    <n v="0"/>
    <n v="5381.4607940252045"/>
    <n v="3023.8541917903453"/>
  </r>
  <r>
    <s v="Regular"/>
    <x v="3"/>
    <x v="2"/>
    <x v="0"/>
    <x v="0"/>
    <x v="1"/>
    <x v="0"/>
    <x v="1"/>
    <x v="9"/>
    <n v="0"/>
    <n v="0"/>
    <n v="273.47300000000001"/>
    <n v="273.47300000000001"/>
    <n v="273.47300000000001"/>
    <n v="273.47300000000001"/>
    <n v="125"/>
    <x v="1"/>
    <n v="0"/>
    <n v="0"/>
    <n v="33"/>
    <n v="85"/>
    <n v="0"/>
    <n v="338.51"/>
    <n v="224.01"/>
    <m/>
    <n v="417.58832886049538"/>
    <n v="234.64376439748159"/>
    <n v="0"/>
    <n v="92573.345230000006"/>
    <n v="61260.686730000001"/>
    <n v="0"/>
    <n v="114199.13305846626"/>
    <n v="64168.734181072483"/>
  </r>
  <r>
    <s v="Sistema de Compensação"/>
    <x v="3"/>
    <x v="2"/>
    <x v="0"/>
    <x v="0"/>
    <x v="1"/>
    <x v="0"/>
    <x v="1"/>
    <x v="9"/>
    <n v="0"/>
    <n v="0"/>
    <n v="11.215999999999999"/>
    <n v="11.215999999999999"/>
    <n v="11.215999999999999"/>
    <n v="11.215999999999999"/>
    <n v="7"/>
    <x v="1"/>
    <n v="0"/>
    <n v="0"/>
    <n v="33"/>
    <n v="85"/>
    <n v="0"/>
    <n v="338.51"/>
    <n v="224.01"/>
    <m/>
    <n v="417.58832886049538"/>
    <n v="234.64376439748159"/>
    <n v="0"/>
    <n v="3796.7281599999997"/>
    <n v="2512.4961599999997"/>
    <n v="0"/>
    <n v="4683.6706964993155"/>
    <n v="2631.7644614821534"/>
  </r>
  <r>
    <s v="Regular"/>
    <x v="3"/>
    <x v="2"/>
    <x v="0"/>
    <x v="0"/>
    <x v="1"/>
    <x v="0"/>
    <x v="1"/>
    <x v="10"/>
    <n v="0"/>
    <n v="0"/>
    <n v="248.10400000000001"/>
    <n v="248.10400000000001"/>
    <n v="248.10400000000001"/>
    <n v="248.10400000000001"/>
    <n v="126"/>
    <x v="1"/>
    <n v="0"/>
    <n v="0"/>
    <n v="33"/>
    <n v="85"/>
    <n v="0"/>
    <n v="338.51"/>
    <n v="224.01"/>
    <m/>
    <n v="417.58832886049538"/>
    <n v="234.64376439748159"/>
    <n v="0"/>
    <n v="83985.685039999997"/>
    <n v="55577.777040000001"/>
    <n v="0"/>
    <n v="103605.33474360436"/>
    <n v="58216.056522072773"/>
  </r>
  <r>
    <s v="Sistema de Compensação"/>
    <x v="3"/>
    <x v="2"/>
    <x v="0"/>
    <x v="0"/>
    <x v="1"/>
    <x v="0"/>
    <x v="1"/>
    <x v="10"/>
    <n v="0"/>
    <n v="0"/>
    <n v="12.808999999999999"/>
    <n v="12.808999999999999"/>
    <n v="12.808999999999999"/>
    <n v="12.808999999999999"/>
    <n v="7"/>
    <x v="1"/>
    <n v="0"/>
    <n v="0"/>
    <n v="33"/>
    <n v="85"/>
    <n v="0"/>
    <n v="338.51"/>
    <n v="224.01"/>
    <m/>
    <n v="417.58832886049538"/>
    <n v="234.64376439748159"/>
    <n v="0"/>
    <n v="4335.9745899999998"/>
    <n v="2869.3440899999996"/>
    <n v="0"/>
    <n v="5348.8889043740846"/>
    <n v="3005.5519781673415"/>
  </r>
  <r>
    <s v="PROJETADO"/>
    <x v="3"/>
    <x v="2"/>
    <x v="0"/>
    <x v="0"/>
    <x v="1"/>
    <x v="0"/>
    <x v="1"/>
    <x v="11"/>
    <n v="0"/>
    <n v="0"/>
    <n v="248.10400000000001"/>
    <n v="248.10400000000001"/>
    <n v="248.10400000000001"/>
    <n v="248.10400000000001"/>
    <n v="126"/>
    <x v="1"/>
    <n v="0"/>
    <n v="0"/>
    <n v="33"/>
    <n v="85"/>
    <n v="0"/>
    <n v="338.51"/>
    <n v="224.01"/>
    <m/>
    <n v="417.58832886049538"/>
    <n v="234.64376439748159"/>
    <n v="0"/>
    <n v="83985.685039999997"/>
    <n v="55577.777040000001"/>
    <n v="0"/>
    <n v="103605.33474360436"/>
    <n v="58216.056522072773"/>
  </r>
  <r>
    <s v="PROJETADO"/>
    <x v="3"/>
    <x v="2"/>
    <x v="0"/>
    <x v="0"/>
    <x v="1"/>
    <x v="0"/>
    <x v="1"/>
    <x v="11"/>
    <n v="0"/>
    <n v="0"/>
    <n v="12.808999999999999"/>
    <n v="12.808999999999999"/>
    <n v="12.808999999999999"/>
    <n v="12.808999999999999"/>
    <n v="7"/>
    <x v="1"/>
    <n v="0"/>
    <n v="0"/>
    <n v="33"/>
    <n v="85"/>
    <n v="0"/>
    <n v="338.51"/>
    <n v="224.01"/>
    <m/>
    <n v="417.58832886049538"/>
    <n v="234.64376439748159"/>
    <n v="0"/>
    <n v="4335.9745899999998"/>
    <n v="2869.3440899999996"/>
    <n v="0"/>
    <n v="5348.8889043740846"/>
    <n v="3005.5519781673415"/>
  </r>
  <r>
    <s v="Regular"/>
    <x v="3"/>
    <x v="2"/>
    <x v="2"/>
    <x v="0"/>
    <x v="1"/>
    <x v="0"/>
    <x v="1"/>
    <x v="0"/>
    <n v="0"/>
    <n v="0"/>
    <n v="93.507999999999996"/>
    <n v="93.507999999999996"/>
    <n v="93.507999999999996"/>
    <n v="93.507999999999996"/>
    <n v="208"/>
    <x v="1"/>
    <n v="0"/>
    <n v="0"/>
    <n v="33"/>
    <n v="85"/>
    <n v="0"/>
    <n v="338.51"/>
    <n v="224.01"/>
    <m/>
    <n v="417.58832886049538"/>
    <n v="234.64376439748159"/>
    <n v="0"/>
    <n v="31653.393079999998"/>
    <n v="20946.727079999997"/>
    <n v="0"/>
    <n v="39047.849455087198"/>
    <n v="21941.069121279706"/>
  </r>
  <r>
    <s v="Refaturamento - Regular"/>
    <x v="3"/>
    <x v="2"/>
    <x v="2"/>
    <x v="0"/>
    <x v="1"/>
    <x v="0"/>
    <x v="1"/>
    <x v="0"/>
    <n v="0"/>
    <n v="0"/>
    <n v="-2.6"/>
    <n v="-2.6"/>
    <n v="-2.6"/>
    <n v="-2.6"/>
    <n v="0"/>
    <x v="1"/>
    <n v="0"/>
    <n v="0"/>
    <n v="33"/>
    <n v="85"/>
    <n v="0"/>
    <n v="338.51"/>
    <n v="224.01"/>
    <m/>
    <n v="417.58832886049538"/>
    <n v="234.64376439748159"/>
    <n v="0"/>
    <n v="-880.12599999999998"/>
    <n v="-582.42600000000004"/>
    <n v="0"/>
    <n v="-1085.729655037288"/>
    <n v="-610.07378743345214"/>
  </r>
  <r>
    <s v="Regular"/>
    <x v="3"/>
    <x v="2"/>
    <x v="2"/>
    <x v="0"/>
    <x v="1"/>
    <x v="0"/>
    <x v="1"/>
    <x v="1"/>
    <n v="0"/>
    <n v="0"/>
    <n v="108.642"/>
    <n v="108.642"/>
    <n v="108.642"/>
    <n v="108.642"/>
    <n v="203"/>
    <x v="1"/>
    <n v="0"/>
    <n v="0"/>
    <n v="33"/>
    <n v="85"/>
    <n v="0"/>
    <n v="338.51"/>
    <n v="224.01"/>
    <m/>
    <n v="417.58832886049538"/>
    <n v="234.64376439748159"/>
    <n v="0"/>
    <n v="36776.403419999995"/>
    <n v="24336.894419999997"/>
    <n v="0"/>
    <n v="45367.631224061937"/>
    <n v="25492.167851671195"/>
  </r>
  <r>
    <s v="Regular"/>
    <x v="3"/>
    <x v="2"/>
    <x v="2"/>
    <x v="0"/>
    <x v="1"/>
    <x v="0"/>
    <x v="1"/>
    <x v="2"/>
    <n v="0"/>
    <n v="0"/>
    <n v="101.212"/>
    <n v="101.212"/>
    <n v="101.212"/>
    <n v="101.212"/>
    <n v="201"/>
    <x v="1"/>
    <n v="0"/>
    <n v="0"/>
    <n v="33"/>
    <n v="85"/>
    <n v="0"/>
    <n v="338.51"/>
    <n v="224.01"/>
    <m/>
    <n v="417.58832886049538"/>
    <n v="234.64376439748159"/>
    <n v="0"/>
    <n v="34261.274120000002"/>
    <n v="22672.500120000001"/>
    <n v="0"/>
    <n v="42264.949940628459"/>
    <n v="23748.764682197907"/>
  </r>
  <r>
    <s v="Regular"/>
    <x v="3"/>
    <x v="2"/>
    <x v="2"/>
    <x v="0"/>
    <x v="1"/>
    <x v="0"/>
    <x v="1"/>
    <x v="3"/>
    <n v="0"/>
    <n v="0"/>
    <n v="121.371"/>
    <n v="121.371"/>
    <n v="121.371"/>
    <n v="121.371"/>
    <n v="197"/>
    <x v="1"/>
    <n v="0"/>
    <n v="0"/>
    <n v="33"/>
    <n v="85"/>
    <n v="0"/>
    <n v="338.51"/>
    <n v="224.01"/>
    <m/>
    <n v="417.58832886049538"/>
    <n v="234.64376439748159"/>
    <n v="0"/>
    <n v="41085.297209999997"/>
    <n v="27188.317709999999"/>
    <n v="0"/>
    <n v="50683.11306212718"/>
    <n v="28478.948328686736"/>
  </r>
  <r>
    <s v="Regular"/>
    <x v="3"/>
    <x v="2"/>
    <x v="2"/>
    <x v="0"/>
    <x v="1"/>
    <x v="0"/>
    <x v="1"/>
    <x v="4"/>
    <n v="0"/>
    <n v="0"/>
    <n v="142.059"/>
    <n v="142.059"/>
    <n v="142.059"/>
    <n v="142.059"/>
    <n v="195"/>
    <x v="1"/>
    <n v="0"/>
    <n v="0"/>
    <n v="33"/>
    <n v="85"/>
    <n v="0"/>
    <n v="338.51"/>
    <n v="224.01"/>
    <m/>
    <n v="417.58832886049538"/>
    <n v="234.64376439748159"/>
    <n v="0"/>
    <n v="48088.392090000001"/>
    <n v="31822.636589999998"/>
    <n v="0"/>
    <n v="59322.180409593115"/>
    <n v="33333.258526541838"/>
  </r>
  <r>
    <s v="Regular"/>
    <x v="3"/>
    <x v="2"/>
    <x v="2"/>
    <x v="0"/>
    <x v="1"/>
    <x v="0"/>
    <x v="1"/>
    <x v="5"/>
    <n v="0"/>
    <n v="0"/>
    <n v="133.93899999999999"/>
    <n v="133.93899999999999"/>
    <n v="133.93899999999999"/>
    <n v="133.93899999999999"/>
    <n v="205"/>
    <x v="1"/>
    <n v="0"/>
    <n v="0"/>
    <n v="33"/>
    <n v="85"/>
    <n v="0"/>
    <n v="338.51"/>
    <n v="224.01"/>
    <m/>
    <n v="417.58832886049538"/>
    <n v="234.64376439748159"/>
    <n v="0"/>
    <n v="45339.690889999998"/>
    <n v="30003.675389999997"/>
    <n v="0"/>
    <n v="55931.363179245891"/>
    <n v="31427.951159634285"/>
  </r>
  <r>
    <s v="Regular"/>
    <x v="3"/>
    <x v="2"/>
    <x v="2"/>
    <x v="0"/>
    <x v="1"/>
    <x v="0"/>
    <x v="1"/>
    <x v="6"/>
    <n v="0"/>
    <n v="0"/>
    <n v="158.751"/>
    <n v="158.751"/>
    <n v="158.751"/>
    <n v="158.751"/>
    <n v="207"/>
    <x v="1"/>
    <n v="0"/>
    <n v="0"/>
    <n v="33"/>
    <n v="85"/>
    <n v="0"/>
    <n v="338.51"/>
    <n v="224.01"/>
    <m/>
    <n v="417.58832886049538"/>
    <n v="234.64376439748159"/>
    <n v="0"/>
    <n v="53738.801010000003"/>
    <n v="35561.81151"/>
    <n v="0"/>
    <n v="66292.564794932507"/>
    <n v="37249.932241864604"/>
  </r>
  <r>
    <s v="Regular"/>
    <x v="3"/>
    <x v="2"/>
    <x v="2"/>
    <x v="0"/>
    <x v="1"/>
    <x v="0"/>
    <x v="1"/>
    <x v="7"/>
    <n v="0"/>
    <n v="0"/>
    <n v="227.23599999999999"/>
    <n v="227.23599999999999"/>
    <n v="227.23599999999999"/>
    <n v="227.23599999999999"/>
    <n v="209"/>
    <x v="1"/>
    <n v="0"/>
    <n v="0"/>
    <n v="33"/>
    <n v="85"/>
    <n v="0"/>
    <n v="338.51"/>
    <n v="224.01"/>
    <m/>
    <n v="417.58832886049538"/>
    <n v="234.64376439748159"/>
    <n v="0"/>
    <n v="76921.658360000001"/>
    <n v="50903.136359999997"/>
    <n v="0"/>
    <n v="94891.10149694352"/>
    <n v="53319.510446626125"/>
  </r>
  <r>
    <s v="Regular"/>
    <x v="3"/>
    <x v="2"/>
    <x v="2"/>
    <x v="0"/>
    <x v="1"/>
    <x v="0"/>
    <x v="1"/>
    <x v="8"/>
    <n v="0"/>
    <n v="0"/>
    <n v="181.58"/>
    <n v="181.58"/>
    <n v="181.58"/>
    <n v="181.58"/>
    <n v="207"/>
    <x v="1"/>
    <n v="0"/>
    <n v="0"/>
    <n v="33"/>
    <n v="85"/>
    <n v="0"/>
    <n v="338.51"/>
    <n v="224.01"/>
    <m/>
    <n v="417.58832886049538"/>
    <n v="234.64376439748159"/>
    <n v="0"/>
    <n v="61466.645800000006"/>
    <n v="40675.735800000002"/>
    <n v="0"/>
    <n v="75825.688754488758"/>
    <n v="42606.61473929471"/>
  </r>
  <r>
    <s v="Regular"/>
    <x v="3"/>
    <x v="2"/>
    <x v="2"/>
    <x v="0"/>
    <x v="1"/>
    <x v="0"/>
    <x v="1"/>
    <x v="9"/>
    <n v="0"/>
    <n v="0"/>
    <n v="130.04900000000001"/>
    <n v="130.04900000000001"/>
    <n v="130.04900000000001"/>
    <n v="130.04900000000001"/>
    <n v="201"/>
    <x v="1"/>
    <n v="0"/>
    <n v="0"/>
    <n v="33"/>
    <n v="85"/>
    <n v="0"/>
    <n v="338.51"/>
    <n v="224.01"/>
    <m/>
    <n v="417.58832886049538"/>
    <n v="234.64376439748159"/>
    <n v="0"/>
    <n v="44022.886989999999"/>
    <n v="29132.27649"/>
    <n v="0"/>
    <n v="54306.944579978568"/>
    <n v="30515.186916128085"/>
  </r>
  <r>
    <s v="Regular"/>
    <x v="3"/>
    <x v="2"/>
    <x v="2"/>
    <x v="0"/>
    <x v="1"/>
    <x v="0"/>
    <x v="1"/>
    <x v="10"/>
    <n v="0"/>
    <n v="0"/>
    <n v="114.00700000000001"/>
    <n v="114.00700000000001"/>
    <n v="114.00700000000001"/>
    <n v="114.00700000000001"/>
    <n v="200"/>
    <x v="1"/>
    <n v="0"/>
    <n v="0"/>
    <n v="33"/>
    <n v="85"/>
    <n v="0"/>
    <n v="338.51"/>
    <n v="224.01"/>
    <m/>
    <n v="417.58832886049538"/>
    <n v="234.64376439748159"/>
    <n v="0"/>
    <n v="38592.509570000002"/>
    <n v="25538.708070000001"/>
    <n v="0"/>
    <n v="47607.992608398497"/>
    <n v="26751.031647663684"/>
  </r>
  <r>
    <s v="PROJETADO"/>
    <x v="3"/>
    <x v="2"/>
    <x v="2"/>
    <x v="0"/>
    <x v="1"/>
    <x v="0"/>
    <x v="1"/>
    <x v="11"/>
    <n v="0"/>
    <n v="0"/>
    <n v="114.00700000000001"/>
    <n v="114.00700000000001"/>
    <n v="114.00700000000001"/>
    <n v="114.00700000000001"/>
    <n v="200"/>
    <x v="1"/>
    <n v="0"/>
    <n v="0"/>
    <n v="33"/>
    <n v="85"/>
    <n v="0"/>
    <n v="338.51"/>
    <n v="224.01"/>
    <m/>
    <n v="417.58832886049538"/>
    <n v="234.64376439748159"/>
    <n v="0"/>
    <n v="38592.509570000002"/>
    <n v="25538.708070000001"/>
    <n v="0"/>
    <n v="47607.992608398497"/>
    <n v="26751.031647663684"/>
  </r>
  <r>
    <s v="Regular"/>
    <x v="3"/>
    <x v="2"/>
    <x v="3"/>
    <x v="1"/>
    <x v="1"/>
    <x v="0"/>
    <x v="1"/>
    <x v="0"/>
    <n v="0"/>
    <n v="0"/>
    <n v="46.851999999999997"/>
    <n v="46.851999999999997"/>
    <n v="46.851999999999997"/>
    <n v="46.851999999999997"/>
    <n v="32"/>
    <x v="1"/>
    <n v="0"/>
    <n v="0"/>
    <n v="33"/>
    <n v="85"/>
    <n v="0"/>
    <n v="318.19939999999997"/>
    <n v="210.56939999999997"/>
    <m/>
    <n v="405.06067899468053"/>
    <n v="227.60445146555713"/>
    <n v="0"/>
    <n v="14908.278288799998"/>
    <n v="9865.5975287999972"/>
    <n v="0"/>
    <n v="18390.957480745612"/>
    <n v="10663.723760064282"/>
  </r>
  <r>
    <s v="Regular"/>
    <x v="3"/>
    <x v="2"/>
    <x v="3"/>
    <x v="1"/>
    <x v="1"/>
    <x v="0"/>
    <x v="1"/>
    <x v="1"/>
    <n v="0"/>
    <n v="0"/>
    <n v="49.296999999999997"/>
    <n v="49.296999999999997"/>
    <n v="49.296999999999997"/>
    <n v="49.296999999999997"/>
    <n v="32"/>
    <x v="1"/>
    <n v="0"/>
    <n v="0"/>
    <n v="33"/>
    <n v="85"/>
    <n v="0"/>
    <n v="318.19939999999997"/>
    <n v="210.56939999999997"/>
    <m/>
    <n v="405.06067899468053"/>
    <n v="227.60445146555713"/>
    <n v="0"/>
    <n v="15686.275821799998"/>
    <n v="10380.439711799998"/>
    <n v="0"/>
    <n v="19350.700736965686"/>
    <n v="11220.216643897569"/>
  </r>
  <r>
    <s v="Regular"/>
    <x v="3"/>
    <x v="2"/>
    <x v="3"/>
    <x v="1"/>
    <x v="1"/>
    <x v="0"/>
    <x v="1"/>
    <x v="2"/>
    <n v="0"/>
    <n v="0"/>
    <n v="45.563000000000002"/>
    <n v="45.563000000000002"/>
    <n v="45.563000000000002"/>
    <n v="45.563000000000002"/>
    <n v="32"/>
    <x v="1"/>
    <n v="0"/>
    <n v="0"/>
    <n v="33"/>
    <n v="85"/>
    <n v="0"/>
    <n v="318.19939999999997"/>
    <n v="210.56939999999997"/>
    <m/>
    <n v="405.06067899468053"/>
    <n v="227.60445146555713"/>
    <n v="0"/>
    <n v="14498.1192622"/>
    <n v="9594.1735721999994"/>
    <n v="0"/>
    <n v="17884.982406198505"/>
    <n v="10370.341622125181"/>
  </r>
  <r>
    <s v="Regular"/>
    <x v="3"/>
    <x v="2"/>
    <x v="3"/>
    <x v="1"/>
    <x v="1"/>
    <x v="0"/>
    <x v="1"/>
    <x v="3"/>
    <n v="0"/>
    <n v="0"/>
    <n v="47.423999999999999"/>
    <n v="47.423999999999999"/>
    <n v="47.423999999999999"/>
    <n v="47.423999999999999"/>
    <n v="34"/>
    <x v="1"/>
    <n v="0"/>
    <n v="0"/>
    <n v="33"/>
    <n v="85"/>
    <n v="0"/>
    <n v="318.19939999999997"/>
    <n v="210.56939999999997"/>
    <m/>
    <n v="405.06067899468053"/>
    <n v="227.60445146555713"/>
    <n v="0"/>
    <n v="15090.288345599998"/>
    <n v="9986.0432255999986"/>
    <n v="0"/>
    <n v="18615.486373407326"/>
    <n v="10793.913506302581"/>
  </r>
  <r>
    <s v="Regular"/>
    <x v="3"/>
    <x v="2"/>
    <x v="3"/>
    <x v="1"/>
    <x v="1"/>
    <x v="0"/>
    <x v="1"/>
    <x v="4"/>
    <n v="0"/>
    <n v="0"/>
    <n v="44.262999999999998"/>
    <n v="44.262999999999998"/>
    <n v="44.262999999999998"/>
    <n v="44.262999999999998"/>
    <n v="33"/>
    <x v="1"/>
    <n v="0"/>
    <n v="0"/>
    <n v="33"/>
    <n v="85"/>
    <n v="0"/>
    <n v="318.19939999999997"/>
    <n v="210.56939999999997"/>
    <m/>
    <n v="405.06067899468053"/>
    <n v="227.60445146555713"/>
    <n v="0"/>
    <n v="14084.460042199998"/>
    <n v="9320.4333521999979"/>
    <n v="0"/>
    <n v="17374.68946833098"/>
    <n v="10074.455835219955"/>
  </r>
  <r>
    <s v="Refaturamento - Regular"/>
    <x v="3"/>
    <x v="2"/>
    <x v="3"/>
    <x v="1"/>
    <x v="1"/>
    <x v="0"/>
    <x v="1"/>
    <x v="4"/>
    <n v="0"/>
    <n v="0"/>
    <n v="-0.307"/>
    <n v="-0.307"/>
    <n v="-0.307"/>
    <n v="-0.307"/>
    <n v="0"/>
    <x v="1"/>
    <n v="0"/>
    <n v="0"/>
    <n v="33"/>
    <n v="85"/>
    <n v="0"/>
    <n v="318.19939999999997"/>
    <n v="210.56939999999997"/>
    <m/>
    <n v="405.06067899468053"/>
    <n v="227.60445146555713"/>
    <n v="0"/>
    <n v="-97.68721579999999"/>
    <n v="-64.644805799999986"/>
    <n v="0"/>
    <n v="-120.50763994256175"/>
    <n v="-69.874566599926041"/>
  </r>
  <r>
    <s v="Regular"/>
    <x v="3"/>
    <x v="2"/>
    <x v="3"/>
    <x v="1"/>
    <x v="1"/>
    <x v="0"/>
    <x v="1"/>
    <x v="5"/>
    <n v="0"/>
    <n v="0"/>
    <n v="60.606000000000002"/>
    <n v="60.606000000000002"/>
    <n v="60.606000000000002"/>
    <n v="60.606000000000002"/>
    <n v="33"/>
    <x v="1"/>
    <n v="0"/>
    <n v="0"/>
    <n v="33"/>
    <n v="85"/>
    <n v="0"/>
    <n v="318.19939999999997"/>
    <n v="210.56939999999997"/>
    <m/>
    <n v="405.06067899468053"/>
    <n v="227.60445146555713"/>
    <n v="0"/>
    <n v="19284.7928364"/>
    <n v="12761.769056399999"/>
    <n v="0"/>
    <n v="23789.856763384032"/>
    <n v="13794.195385521556"/>
  </r>
  <r>
    <s v="Regular"/>
    <x v="3"/>
    <x v="2"/>
    <x v="3"/>
    <x v="1"/>
    <x v="1"/>
    <x v="0"/>
    <x v="1"/>
    <x v="6"/>
    <n v="0"/>
    <n v="0"/>
    <n v="47.884999999999998"/>
    <n v="47.884999999999998"/>
    <n v="47.884999999999998"/>
    <n v="47.884999999999998"/>
    <n v="33"/>
    <x v="1"/>
    <n v="0"/>
    <n v="0"/>
    <n v="33"/>
    <n v="85"/>
    <n v="0"/>
    <n v="318.19939999999997"/>
    <n v="210.56939999999997"/>
    <m/>
    <n v="405.06067899468053"/>
    <n v="227.60445146555713"/>
    <n v="0"/>
    <n v="15236.978268999997"/>
    <n v="10083.115718999998"/>
    <n v="0"/>
    <n v="18796.444099835731"/>
    <n v="10898.839158428204"/>
  </r>
  <r>
    <s v="Regular"/>
    <x v="3"/>
    <x v="2"/>
    <x v="3"/>
    <x v="1"/>
    <x v="1"/>
    <x v="0"/>
    <x v="1"/>
    <x v="7"/>
    <n v="0"/>
    <n v="0"/>
    <n v="66.007000000000005"/>
    <n v="66.007000000000005"/>
    <n v="66.007000000000005"/>
    <n v="66.007000000000005"/>
    <n v="33"/>
    <x v="1"/>
    <n v="0"/>
    <n v="0"/>
    <n v="33"/>
    <n v="85"/>
    <n v="0"/>
    <n v="318.19939999999997"/>
    <n v="210.56939999999997"/>
    <m/>
    <n v="405.06067899468053"/>
    <n v="227.60445146555713"/>
    <n v="0"/>
    <n v="21003.387795800001"/>
    <n v="13899.0543858"/>
    <n v="0"/>
    <n v="25909.927653709034"/>
    <n v="15023.487027887031"/>
  </r>
  <r>
    <s v="Regular"/>
    <x v="3"/>
    <x v="2"/>
    <x v="3"/>
    <x v="1"/>
    <x v="1"/>
    <x v="0"/>
    <x v="1"/>
    <x v="8"/>
    <n v="0"/>
    <n v="0"/>
    <n v="49.927"/>
    <n v="49.927"/>
    <n v="49.927"/>
    <n v="49.927"/>
    <n v="37"/>
    <x v="1"/>
    <n v="0"/>
    <n v="0"/>
    <n v="33"/>
    <n v="85"/>
    <n v="0"/>
    <n v="318.19939999999997"/>
    <n v="210.56939999999997"/>
    <m/>
    <n v="405.06067899468053"/>
    <n v="227.60445146555713"/>
    <n v="0"/>
    <n v="15886.741443799998"/>
    <n v="10513.098433799998"/>
    <n v="0"/>
    <n v="19597.996545316873"/>
    <n v="11363.60744832087"/>
  </r>
  <r>
    <s v="Regular"/>
    <x v="3"/>
    <x v="2"/>
    <x v="3"/>
    <x v="1"/>
    <x v="1"/>
    <x v="0"/>
    <x v="1"/>
    <x v="9"/>
    <n v="0"/>
    <n v="0"/>
    <n v="50.348999999999997"/>
    <n v="50.348999999999997"/>
    <n v="50.348999999999997"/>
    <n v="50.348999999999997"/>
    <n v="37"/>
    <x v="1"/>
    <n v="0"/>
    <n v="0"/>
    <n v="33"/>
    <n v="85"/>
    <n v="0"/>
    <n v="318.19939999999997"/>
    <n v="210.56939999999997"/>
    <m/>
    <n v="405.06067899468053"/>
    <n v="227.60445146555713"/>
    <n v="0"/>
    <n v="16021.021590599998"/>
    <n v="10601.958720599998"/>
    <n v="0"/>
    <n v="19763.645483609256"/>
    <n v="11459.656526839335"/>
  </r>
  <r>
    <s v="Regular"/>
    <x v="3"/>
    <x v="2"/>
    <x v="3"/>
    <x v="1"/>
    <x v="1"/>
    <x v="0"/>
    <x v="1"/>
    <x v="10"/>
    <n v="0"/>
    <n v="0"/>
    <n v="45.19"/>
    <n v="45.19"/>
    <n v="45.19"/>
    <n v="45.19"/>
    <n v="37"/>
    <x v="1"/>
    <n v="0"/>
    <n v="0"/>
    <n v="33"/>
    <n v="85"/>
    <n v="0"/>
    <n v="318.19939999999997"/>
    <n v="210.56939999999997"/>
    <m/>
    <n v="405.06067899468053"/>
    <n v="227.60445146555713"/>
    <n v="0"/>
    <n v="14379.430885999998"/>
    <n v="9515.6311859999987"/>
    <n v="0"/>
    <n v="17738.56758633344"/>
    <n v="10285.445161728527"/>
  </r>
  <r>
    <s v="PROJETADO"/>
    <x v="3"/>
    <x v="2"/>
    <x v="3"/>
    <x v="1"/>
    <x v="1"/>
    <x v="0"/>
    <x v="1"/>
    <x v="11"/>
    <n v="0"/>
    <n v="0"/>
    <n v="45.19"/>
    <n v="45.19"/>
    <n v="45.19"/>
    <n v="45.19"/>
    <n v="37"/>
    <x v="1"/>
    <n v="0"/>
    <n v="0"/>
    <n v="33"/>
    <n v="85"/>
    <n v="0"/>
    <n v="318.19939999999997"/>
    <n v="210.56939999999997"/>
    <m/>
    <n v="405.06067899468053"/>
    <n v="227.60445146555713"/>
    <n v="0"/>
    <n v="14379.430885999998"/>
    <n v="9515.6311859999987"/>
    <n v="0"/>
    <n v="17738.56758633344"/>
    <n v="10285.445161728527"/>
  </r>
  <r>
    <s v="Regular"/>
    <x v="4"/>
    <x v="2"/>
    <x v="7"/>
    <x v="8"/>
    <x v="1"/>
    <x v="0"/>
    <x v="1"/>
    <x v="0"/>
    <n v="0"/>
    <n v="0"/>
    <n v="1112.021"/>
    <n v="1112.021"/>
    <n v="1112.021"/>
    <n v="1112.021"/>
    <n v="4"/>
    <x v="1"/>
    <n v="0"/>
    <n v="0"/>
    <n v="68"/>
    <n v="48"/>
    <n v="0"/>
    <n v="186.18"/>
    <n v="123.2"/>
    <m/>
    <n v="229.6735808732725"/>
    <n v="129.05407041861488"/>
    <n v="0"/>
    <n v="207036.06977999999"/>
    <n v="137000.9872"/>
    <n v="0"/>
    <n v="255401.84507627736"/>
    <n v="143510.83644097854"/>
  </r>
  <r>
    <s v="Regular"/>
    <x v="4"/>
    <x v="2"/>
    <x v="7"/>
    <x v="8"/>
    <x v="1"/>
    <x v="0"/>
    <x v="1"/>
    <x v="1"/>
    <n v="0"/>
    <n v="0"/>
    <n v="1013.975"/>
    <n v="1013.975"/>
    <n v="1013.975"/>
    <n v="1013.975"/>
    <n v="4"/>
    <x v="1"/>
    <n v="0"/>
    <n v="0"/>
    <n v="68"/>
    <n v="48"/>
    <n v="0"/>
    <n v="186.18"/>
    <n v="123.2"/>
    <m/>
    <n v="229.6735808732725"/>
    <n v="129.05407041861488"/>
    <n v="0"/>
    <n v="188781.86550000001"/>
    <n v="124921.72"/>
    <n v="0"/>
    <n v="232883.2691659765"/>
    <n v="130857.60105271504"/>
  </r>
  <r>
    <s v="Regular"/>
    <x v="4"/>
    <x v="2"/>
    <x v="7"/>
    <x v="8"/>
    <x v="1"/>
    <x v="0"/>
    <x v="1"/>
    <x v="2"/>
    <n v="0"/>
    <n v="0"/>
    <n v="964.84100000000001"/>
    <n v="964.84100000000001"/>
    <n v="964.84100000000001"/>
    <n v="964.84100000000001"/>
    <n v="4"/>
    <x v="1"/>
    <n v="0"/>
    <n v="0"/>
    <n v="68"/>
    <n v="48"/>
    <n v="0"/>
    <n v="186.18"/>
    <n v="123.2"/>
    <m/>
    <n v="229.6735808732725"/>
    <n v="129.05407041861488"/>
    <n v="0"/>
    <n v="179634.09738000002"/>
    <n v="118868.4112"/>
    <n v="0"/>
    <n v="221598.48744334912"/>
    <n v="124516.6583567668"/>
  </r>
  <r>
    <s v="Regular"/>
    <x v="4"/>
    <x v="2"/>
    <x v="7"/>
    <x v="8"/>
    <x v="1"/>
    <x v="0"/>
    <x v="1"/>
    <x v="3"/>
    <n v="0"/>
    <n v="0"/>
    <n v="890.44100000000003"/>
    <n v="890.44100000000003"/>
    <n v="890.44100000000003"/>
    <n v="890.44100000000003"/>
    <n v="4"/>
    <x v="1"/>
    <n v="0"/>
    <n v="0"/>
    <n v="68"/>
    <n v="48"/>
    <n v="0"/>
    <n v="186.18"/>
    <n v="123.2"/>
    <m/>
    <n v="229.6735808732725"/>
    <n v="129.05407041861488"/>
    <n v="0"/>
    <n v="165782.30538000001"/>
    <n v="109702.3312"/>
    <n v="0"/>
    <n v="204510.77302637763"/>
    <n v="114915.03551762186"/>
  </r>
  <r>
    <s v="Regular"/>
    <x v="4"/>
    <x v="2"/>
    <x v="7"/>
    <x v="8"/>
    <x v="1"/>
    <x v="0"/>
    <x v="1"/>
    <x v="4"/>
    <n v="0"/>
    <n v="0"/>
    <n v="910.04499999999996"/>
    <n v="910.04499999999996"/>
    <n v="910.04499999999996"/>
    <n v="910.04499999999996"/>
    <n v="4"/>
    <x v="1"/>
    <n v="0"/>
    <n v="0"/>
    <n v="68"/>
    <n v="48"/>
    <n v="0"/>
    <n v="186.18"/>
    <n v="123.2"/>
    <m/>
    <n v="229.6735808732725"/>
    <n v="129.05407041861488"/>
    <n v="0"/>
    <n v="169432.17809999999"/>
    <n v="112117.54399999999"/>
    <n v="0"/>
    <n v="209013.29390581726"/>
    <n v="117445.01151410838"/>
  </r>
  <r>
    <s v="Regular"/>
    <x v="4"/>
    <x v="2"/>
    <x v="7"/>
    <x v="8"/>
    <x v="1"/>
    <x v="0"/>
    <x v="1"/>
    <x v="5"/>
    <n v="0"/>
    <n v="0"/>
    <n v="908.553"/>
    <n v="908.553"/>
    <n v="908.553"/>
    <n v="908.553"/>
    <n v="4"/>
    <x v="1"/>
    <n v="0"/>
    <n v="0"/>
    <n v="68"/>
    <n v="48"/>
    <n v="0"/>
    <n v="186.18"/>
    <n v="123.2"/>
    <m/>
    <n v="229.6735808732725"/>
    <n v="129.05407041861488"/>
    <n v="0"/>
    <n v="169154.39754000001"/>
    <n v="111933.72960000001"/>
    <n v="0"/>
    <n v="208670.62092315435"/>
    <n v="117252.4628410438"/>
  </r>
  <r>
    <s v="Regular"/>
    <x v="4"/>
    <x v="2"/>
    <x v="7"/>
    <x v="8"/>
    <x v="1"/>
    <x v="0"/>
    <x v="1"/>
    <x v="6"/>
    <n v="0"/>
    <n v="0"/>
    <n v="863.87"/>
    <n v="863.87"/>
    <n v="863.87"/>
    <n v="863.87"/>
    <n v="4"/>
    <x v="1"/>
    <n v="0"/>
    <n v="0"/>
    <n v="68"/>
    <n v="48"/>
    <n v="0"/>
    <n v="186.18"/>
    <n v="123.2"/>
    <m/>
    <n v="229.6735808732725"/>
    <n v="129.05407041861488"/>
    <n v="0"/>
    <n v="160835.31660000002"/>
    <n v="106428.784"/>
    <n v="0"/>
    <n v="198408.11630899392"/>
    <n v="111485.93981252884"/>
  </r>
  <r>
    <s v="Regular"/>
    <x v="4"/>
    <x v="2"/>
    <x v="7"/>
    <x v="8"/>
    <x v="1"/>
    <x v="0"/>
    <x v="1"/>
    <x v="7"/>
    <n v="0"/>
    <n v="0"/>
    <n v="943.53700000000003"/>
    <n v="943.53700000000003"/>
    <n v="943.53700000000003"/>
    <n v="943.53700000000003"/>
    <n v="4"/>
    <x v="1"/>
    <n v="0"/>
    <n v="0"/>
    <n v="68"/>
    <n v="48"/>
    <n v="0"/>
    <n v="186.18"/>
    <n v="123.2"/>
    <m/>
    <n v="229.6735808732725"/>
    <n v="129.05407041861488"/>
    <n v="0"/>
    <n v="175667.71866000001"/>
    <n v="116243.75840000001"/>
    <n v="0"/>
    <n v="216705.52147642491"/>
    <n v="121767.29044056864"/>
  </r>
  <r>
    <s v="Regular"/>
    <x v="4"/>
    <x v="2"/>
    <x v="7"/>
    <x v="8"/>
    <x v="1"/>
    <x v="0"/>
    <x v="1"/>
    <x v="8"/>
    <n v="0"/>
    <n v="0"/>
    <n v="984.68299999999999"/>
    <n v="984.68299999999999"/>
    <n v="984.68299999999999"/>
    <n v="984.68299999999999"/>
    <n v="4"/>
    <x v="1"/>
    <n v="0"/>
    <n v="0"/>
    <n v="68"/>
    <n v="48"/>
    <n v="0"/>
    <n v="186.18"/>
    <n v="123.2"/>
    <m/>
    <n v="229.6735808732725"/>
    <n v="129.05407041861488"/>
    <n v="0"/>
    <n v="183328.28094"/>
    <n v="121312.94560000001"/>
    <n v="0"/>
    <n v="226155.67063503657"/>
    <n v="127077.34922201296"/>
  </r>
  <r>
    <s v="Regular"/>
    <x v="4"/>
    <x v="2"/>
    <x v="7"/>
    <x v="8"/>
    <x v="1"/>
    <x v="0"/>
    <x v="1"/>
    <x v="9"/>
    <n v="0"/>
    <n v="0"/>
    <n v="1076.22"/>
    <n v="1076.22"/>
    <n v="1076.22"/>
    <n v="1076.22"/>
    <n v="4"/>
    <x v="1"/>
    <n v="0"/>
    <n v="0"/>
    <n v="68"/>
    <n v="48"/>
    <n v="0"/>
    <n v="186.18"/>
    <n v="123.2"/>
    <m/>
    <n v="229.6735808732725"/>
    <n v="129.05407041861488"/>
    <n v="0"/>
    <n v="200370.63960000002"/>
    <n v="132590.304"/>
    <n v="0"/>
    <n v="247179.30120743334"/>
    <n v="138890.57166592171"/>
  </r>
  <r>
    <s v="Regular"/>
    <x v="4"/>
    <x v="2"/>
    <x v="7"/>
    <x v="8"/>
    <x v="1"/>
    <x v="0"/>
    <x v="1"/>
    <x v="10"/>
    <n v="0"/>
    <n v="0"/>
    <n v="1068.528"/>
    <n v="1068.528"/>
    <n v="1068.528"/>
    <n v="1068.528"/>
    <n v="4"/>
    <x v="1"/>
    <n v="0"/>
    <n v="0"/>
    <n v="68"/>
    <n v="48"/>
    <n v="0"/>
    <n v="186.18"/>
    <n v="123.2"/>
    <m/>
    <n v="229.6735808732725"/>
    <n v="129.05407041861488"/>
    <n v="0"/>
    <n v="198938.54304000002"/>
    <n v="131642.6496"/>
    <n v="0"/>
    <n v="245412.65202335612"/>
    <n v="137897.88775626174"/>
  </r>
  <r>
    <s v="PROJETADO"/>
    <x v="4"/>
    <x v="2"/>
    <x v="7"/>
    <x v="8"/>
    <x v="1"/>
    <x v="0"/>
    <x v="1"/>
    <x v="11"/>
    <n v="0"/>
    <n v="0"/>
    <n v="1068.528"/>
    <n v="1068.528"/>
    <n v="1068.528"/>
    <n v="1068.528"/>
    <n v="4"/>
    <x v="1"/>
    <n v="0"/>
    <n v="0"/>
    <n v="68"/>
    <n v="48"/>
    <n v="0"/>
    <n v="186.18"/>
    <n v="123.2"/>
    <m/>
    <n v="229.6735808732725"/>
    <n v="129.05407041861488"/>
    <n v="0"/>
    <n v="198938.54304000002"/>
    <n v="131642.6496"/>
    <n v="0"/>
    <n v="245412.65202335612"/>
    <n v="137897.8877562617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67E128-C130-42D4-9CBF-84677F7E1A29}" name="Efeito Resumo" cacheId="29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5" indent="0" outline="1" outlineData="1" multipleFieldFilters="0">
  <location ref="A1:J580" firstHeaderRow="0" firstDataRow="1" firstDataCol="1"/>
  <pivotFields count="36"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axis="axisRow" showAll="0">
      <items count="5">
        <item x="0"/>
        <item x="3"/>
        <item x="2"/>
        <item x="1"/>
        <item t="default"/>
      </items>
    </pivotField>
    <pivotField axis="axisRow" showAll="0">
      <items count="9">
        <item x="1"/>
        <item x="6"/>
        <item x="7"/>
        <item x="0"/>
        <item x="2"/>
        <item x="4"/>
        <item x="5"/>
        <item x="3"/>
        <item t="default"/>
      </items>
    </pivotField>
    <pivotField axis="axisRow" showAll="0">
      <items count="10">
        <item x="7"/>
        <item x="1"/>
        <item x="8"/>
        <item x="0"/>
        <item x="2"/>
        <item x="3"/>
        <item x="4"/>
        <item x="5"/>
        <item x="6"/>
        <item t="default"/>
      </items>
    </pivotField>
    <pivotField axis="axisRow" showAll="0">
      <items count="5">
        <item x="0"/>
        <item x="2"/>
        <item x="3"/>
        <item x="1"/>
        <item t="default"/>
      </items>
    </pivotField>
    <pivotField axis="axisRow" showAll="0">
      <items count="2">
        <item x="0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axis="axisRow" numFmtId="1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axis="axisRow" showAll="0">
      <items count="3">
        <item x="1"/>
        <item x="0"/>
        <item t="default"/>
      </items>
    </pivotField>
    <pivotField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showAll="0"/>
    <pivotField showAll="0"/>
    <pivotField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9">
    <field x="16"/>
    <field x="1"/>
    <field x="2"/>
    <field x="3"/>
    <field x="4"/>
    <field x="5"/>
    <field x="6"/>
    <field x="7"/>
    <field x="8"/>
  </rowFields>
  <rowItems count="579">
    <i>
      <x/>
    </i>
    <i r="1">
      <x/>
    </i>
    <i r="2">
      <x/>
    </i>
    <i r="3">
      <x v="3"/>
    </i>
    <i r="4">
      <x v="3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3"/>
    </i>
    <i r="3">
      <x/>
    </i>
    <i r="4">
      <x v="3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3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4"/>
    </i>
    <i r="4">
      <x v="3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7"/>
    </i>
    <i r="4">
      <x v="1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1"/>
    </i>
    <i r="2">
      <x v="2"/>
    </i>
    <i r="3">
      <x v="5"/>
    </i>
    <i r="4">
      <x v="4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5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6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7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8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2"/>
    </i>
    <i r="2">
      <x v="2"/>
    </i>
    <i r="3">
      <x v="6"/>
    </i>
    <i r="4">
      <x/>
    </i>
    <i r="5">
      <x v="1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2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3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3"/>
    </i>
    <i r="2">
      <x v="1"/>
    </i>
    <i r="3">
      <x v="1"/>
    </i>
    <i r="4">
      <x v="3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2"/>
    </i>
    <i r="3">
      <x/>
    </i>
    <i r="4">
      <x v="3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1"/>
    </i>
    <i r="4">
      <x v="3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3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4"/>
    </i>
    <i r="4">
      <x v="3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7"/>
    </i>
    <i r="4">
      <x v="1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4"/>
    </i>
    <i r="2">
      <x v="2"/>
    </i>
    <i r="3">
      <x v="2"/>
    </i>
    <i r="4">
      <x v="2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1"/>
    </i>
    <i r="1">
      <x/>
    </i>
    <i r="2">
      <x/>
    </i>
    <i r="3">
      <x v="3"/>
    </i>
    <i r="4">
      <x v="3"/>
    </i>
    <i r="5">
      <x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3"/>
    </i>
    <i r="3">
      <x v="3"/>
    </i>
    <i r="4">
      <x v="3"/>
    </i>
    <i r="5">
      <x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oma de RA0 ou RV - TUSD (kW)" fld="27" baseField="0" baseItem="0" numFmtId="40"/>
    <dataField name="Soma de RA1 ou RRD - TUSD (kW)" fld="30" baseField="0" baseItem="0" numFmtId="40"/>
    <dataField name="Soma de RA0 ou RV - TUSD (MWh)" fld="28" baseField="0" baseItem="0" numFmtId="40"/>
    <dataField name="Soma de RA1 ou RRD - TUSD (MWh)" fld="31" baseField="0" baseItem="0" numFmtId="40"/>
    <dataField name="Soma de RA0 ou RV - TE (MWh)" fld="29" baseField="0" baseItem="0" numFmtId="40"/>
    <dataField name="Soma de RA1 ou RRD - TE (MWh)" fld="32" baseField="0" baseItem="0" numFmtId="40"/>
    <dataField name="Soma de Variação TUSD" fld="33" baseField="0" baseItem="0" numFmtId="167"/>
    <dataField name="Soma de Variação TE" fld="34" baseField="0" baseItem="0" numFmtId="167"/>
    <dataField name="Soma de Variação" fld="35" baseField="0" baseItem="0" numFmtId="167"/>
  </dataFields>
  <formats count="284">
    <format dxfId="740">
      <pivotArea outline="0" collapsedLevelsAreSubtotals="1" fieldPosition="0">
        <references count="1">
          <reference field="4294967294" count="6" selected="0">
            <x v="0"/>
            <x v="1"/>
            <x v="2"/>
            <x v="3"/>
            <x v="4"/>
            <x v="5"/>
          </reference>
        </references>
      </pivotArea>
    </format>
    <format dxfId="739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738">
      <pivotArea outline="0" collapsedLevelsAreSubtotals="1" fieldPosition="0">
        <references count="1">
          <reference field="4294967294" count="3" selected="0">
            <x v="6"/>
            <x v="7"/>
            <x v="8"/>
          </reference>
        </references>
      </pivotArea>
    </format>
    <format dxfId="737">
      <pivotArea dataOnly="0" labelOnly="1" outline="0" fieldPosition="0">
        <references count="1">
          <reference field="4294967294" count="3">
            <x v="6"/>
            <x v="7"/>
            <x v="8"/>
          </reference>
        </references>
      </pivotArea>
    </format>
    <format dxfId="736">
      <pivotArea type="all" dataOnly="0" outline="0" fieldPosition="0"/>
    </format>
    <format dxfId="735">
      <pivotArea outline="0" collapsedLevelsAreSubtotals="1" fieldPosition="0"/>
    </format>
    <format dxfId="734">
      <pivotArea field="16" type="button" dataOnly="0" labelOnly="1" outline="0" axis="axisRow" fieldPosition="0"/>
    </format>
    <format dxfId="733">
      <pivotArea dataOnly="0" labelOnly="1" fieldPosition="0">
        <references count="1">
          <reference field="16" count="0"/>
        </references>
      </pivotArea>
    </format>
    <format dxfId="732">
      <pivotArea dataOnly="0" labelOnly="1" fieldPosition="0">
        <references count="2">
          <reference field="1" count="0"/>
          <reference field="16" count="1" selected="0">
            <x v="0"/>
          </reference>
        </references>
      </pivotArea>
    </format>
    <format dxfId="731">
      <pivotArea dataOnly="0" labelOnly="1" fieldPosition="0">
        <references count="2">
          <reference field="1" count="1">
            <x v="0"/>
          </reference>
          <reference field="16" count="1" selected="0">
            <x v="1"/>
          </reference>
        </references>
      </pivotArea>
    </format>
    <format dxfId="730">
      <pivotArea dataOnly="0" labelOnly="1" fieldPosition="0">
        <references count="3">
          <reference field="1" count="1" selected="0">
            <x v="0"/>
          </reference>
          <reference field="2" count="2">
            <x v="0"/>
            <x v="3"/>
          </reference>
          <reference field="16" count="1" selected="0">
            <x v="0"/>
          </reference>
        </references>
      </pivotArea>
    </format>
    <format dxfId="729">
      <pivotArea dataOnly="0" labelOnly="1" fieldPosition="0">
        <references count="3">
          <reference field="1" count="1" selected="0">
            <x v="1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728">
      <pivotArea dataOnly="0" labelOnly="1" fieldPosition="0">
        <references count="3">
          <reference field="1" count="1" selected="0">
            <x v="2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727">
      <pivotArea dataOnly="0" labelOnly="1" fieldPosition="0">
        <references count="3">
          <reference field="1" count="1" selected="0">
            <x v="3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726">
      <pivotArea dataOnly="0" labelOnly="1" fieldPosition="0">
        <references count="3">
          <reference field="1" count="1" selected="0">
            <x v="4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725">
      <pivotArea dataOnly="0" labelOnly="1" fieldPosition="0">
        <references count="3">
          <reference field="1" count="1" selected="0">
            <x v="0"/>
          </reference>
          <reference field="2" count="2">
            <x v="0"/>
            <x v="3"/>
          </reference>
          <reference field="16" count="1" selected="0">
            <x v="1"/>
          </reference>
        </references>
      </pivotArea>
    </format>
    <format dxfId="724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3"/>
          </reference>
          <reference field="16" count="1" selected="0">
            <x v="0"/>
          </reference>
        </references>
      </pivotArea>
    </format>
    <format dxfId="723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4">
            <x v="0"/>
            <x v="3"/>
            <x v="4"/>
            <x v="7"/>
          </reference>
          <reference field="16" count="1" selected="0">
            <x v="0"/>
          </reference>
        </references>
      </pivotArea>
    </format>
    <format dxfId="722">
      <pivotArea dataOnly="0" labelOnly="1" fieldPosition="0">
        <references count="4">
          <reference field="1" count="1" selected="0">
            <x v="1"/>
          </reference>
          <reference field="2" count="1" selected="0">
            <x v="2"/>
          </reference>
          <reference field="3" count="1">
            <x v="5"/>
          </reference>
          <reference field="16" count="1" selected="0">
            <x v="0"/>
          </reference>
        </references>
      </pivotArea>
    </format>
    <format dxfId="721">
      <pivotArea dataOnly="0" labelOnly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720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1"/>
          </reference>
          <reference field="16" count="1" selected="0">
            <x v="0"/>
          </reference>
        </references>
      </pivotArea>
    </format>
    <format dxfId="719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5">
            <x v="0"/>
            <x v="1"/>
            <x v="3"/>
            <x v="4"/>
            <x v="7"/>
          </reference>
          <reference field="16" count="1" selected="0">
            <x v="0"/>
          </reference>
        </references>
      </pivotArea>
    </format>
    <format dxfId="718">
      <pivotArea dataOnly="0" labelOnly="1" fieldPosition="0">
        <references count="4">
          <reference field="1" count="1" selected="0">
            <x v="4"/>
          </reference>
          <reference field="2" count="1" selected="0">
            <x v="2"/>
          </reference>
          <reference field="3" count="1">
            <x v="2"/>
          </reference>
          <reference field="16" count="1" selected="0">
            <x v="0"/>
          </reference>
        </references>
      </pivotArea>
    </format>
    <format dxfId="717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3"/>
          </reference>
          <reference field="16" count="1" selected="0">
            <x v="1"/>
          </reference>
        </references>
      </pivotArea>
    </format>
    <format dxfId="716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3"/>
          </reference>
          <reference field="16" count="1" selected="0">
            <x v="1"/>
          </reference>
        </references>
      </pivotArea>
    </format>
    <format dxfId="715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14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13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12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11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710">
      <pivotArea dataOnly="0" labelOnly="1" fieldPosition="0">
        <references count="5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5">
            <x v="4"/>
            <x v="5"/>
            <x v="6"/>
            <x v="7"/>
            <x v="8"/>
          </reference>
          <reference field="16" count="1" selected="0">
            <x v="0"/>
          </reference>
        </references>
      </pivotArea>
    </format>
    <format dxfId="709">
      <pivotArea dataOnly="0" labelOnly="1" fieldPosition="0">
        <references count="5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2">
            <x v="0"/>
            <x v="3"/>
          </reference>
          <reference field="16" count="1" selected="0">
            <x v="0"/>
          </reference>
        </references>
      </pivotArea>
    </format>
    <format dxfId="708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1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07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06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05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04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4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03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702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701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1"/>
          </reference>
        </references>
      </pivotArea>
    </format>
    <format dxfId="700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1"/>
          </reference>
        </references>
      </pivotArea>
    </format>
    <format dxfId="699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98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97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96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95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94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93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92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91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7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90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8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89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2">
            <x v="1"/>
            <x v="2"/>
          </reference>
          <reference field="16" count="1" selected="0">
            <x v="0"/>
          </reference>
        </references>
      </pivotArea>
    </format>
    <format dxfId="688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87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86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85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84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83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82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81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80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0"/>
          </reference>
          <reference field="16" count="1" selected="0">
            <x v="1"/>
          </reference>
        </references>
      </pivotArea>
    </format>
    <format dxfId="679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0"/>
          </reference>
          <reference field="16" count="1" selected="0">
            <x v="1"/>
          </reference>
        </references>
      </pivotArea>
    </format>
    <format dxfId="678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77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76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75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74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73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72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71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70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7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69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8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68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667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2"/>
          </reference>
          <reference field="6" count="0"/>
          <reference field="16" count="1" selected="0">
            <x v="0"/>
          </reference>
        </references>
      </pivotArea>
    </format>
    <format dxfId="666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65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64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63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62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61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60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59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658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0"/>
          <reference field="16" count="1" selected="0">
            <x v="1"/>
          </reference>
        </references>
      </pivotArea>
    </format>
    <format dxfId="657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0"/>
          <reference field="16" count="1" selected="0">
            <x v="1"/>
          </reference>
        </references>
      </pivotArea>
    </format>
    <format dxfId="656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655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654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653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652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651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650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649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648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7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647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8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646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645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644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643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642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641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640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639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638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637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636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1"/>
          </reference>
        </references>
      </pivotArea>
    </format>
    <format dxfId="635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1"/>
          </reference>
        </references>
      </pivotArea>
    </format>
    <format dxfId="634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33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32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31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30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29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28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27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26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25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24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23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22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21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20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19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18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17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7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16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8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15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14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13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12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11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610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09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08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07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06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05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04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03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1"/>
          </reference>
        </references>
      </pivotArea>
    </format>
    <format dxfId="602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601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1"/>
          </reference>
        </references>
      </pivotArea>
    </format>
    <format dxfId="600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1"/>
          </reference>
        </references>
      </pivotArea>
    </format>
    <format dxfId="599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598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1"/>
          </reference>
        </references>
      </pivotArea>
    </format>
    <format dxfId="597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596">
      <pivotArea type="all" dataOnly="0" outline="0" fieldPosition="0"/>
    </format>
    <format dxfId="595">
      <pivotArea outline="0" collapsedLevelsAreSubtotals="1" fieldPosition="0"/>
    </format>
    <format dxfId="594">
      <pivotArea field="16" type="button" dataOnly="0" labelOnly="1" outline="0" axis="axisRow" fieldPosition="0"/>
    </format>
    <format dxfId="593">
      <pivotArea dataOnly="0" labelOnly="1" fieldPosition="0">
        <references count="1">
          <reference field="16" count="0"/>
        </references>
      </pivotArea>
    </format>
    <format dxfId="592">
      <pivotArea dataOnly="0" labelOnly="1" fieldPosition="0">
        <references count="2">
          <reference field="1" count="0"/>
          <reference field="16" count="1" selected="0">
            <x v="0"/>
          </reference>
        </references>
      </pivotArea>
    </format>
    <format dxfId="591">
      <pivotArea dataOnly="0" labelOnly="1" fieldPosition="0">
        <references count="2">
          <reference field="1" count="1">
            <x v="0"/>
          </reference>
          <reference field="16" count="1" selected="0">
            <x v="1"/>
          </reference>
        </references>
      </pivotArea>
    </format>
    <format dxfId="590">
      <pivotArea dataOnly="0" labelOnly="1" fieldPosition="0">
        <references count="3">
          <reference field="1" count="1" selected="0">
            <x v="0"/>
          </reference>
          <reference field="2" count="2">
            <x v="0"/>
            <x v="3"/>
          </reference>
          <reference field="16" count="1" selected="0">
            <x v="0"/>
          </reference>
        </references>
      </pivotArea>
    </format>
    <format dxfId="589">
      <pivotArea dataOnly="0" labelOnly="1" fieldPosition="0">
        <references count="3">
          <reference field="1" count="1" selected="0">
            <x v="1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588">
      <pivotArea dataOnly="0" labelOnly="1" fieldPosition="0">
        <references count="3">
          <reference field="1" count="1" selected="0">
            <x v="2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587">
      <pivotArea dataOnly="0" labelOnly="1" fieldPosition="0">
        <references count="3">
          <reference field="1" count="1" selected="0">
            <x v="3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586">
      <pivotArea dataOnly="0" labelOnly="1" fieldPosition="0">
        <references count="3">
          <reference field="1" count="1" selected="0">
            <x v="4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585">
      <pivotArea dataOnly="0" labelOnly="1" fieldPosition="0">
        <references count="3">
          <reference field="1" count="1" selected="0">
            <x v="0"/>
          </reference>
          <reference field="2" count="2">
            <x v="0"/>
            <x v="3"/>
          </reference>
          <reference field="16" count="1" selected="0">
            <x v="1"/>
          </reference>
        </references>
      </pivotArea>
    </format>
    <format dxfId="584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3"/>
          </reference>
          <reference field="16" count="1" selected="0">
            <x v="0"/>
          </reference>
        </references>
      </pivotArea>
    </format>
    <format dxfId="583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4">
            <x v="0"/>
            <x v="3"/>
            <x v="4"/>
            <x v="7"/>
          </reference>
          <reference field="16" count="1" selected="0">
            <x v="0"/>
          </reference>
        </references>
      </pivotArea>
    </format>
    <format dxfId="582">
      <pivotArea dataOnly="0" labelOnly="1" fieldPosition="0">
        <references count="4">
          <reference field="1" count="1" selected="0">
            <x v="1"/>
          </reference>
          <reference field="2" count="1" selected="0">
            <x v="2"/>
          </reference>
          <reference field="3" count="1">
            <x v="5"/>
          </reference>
          <reference field="16" count="1" selected="0">
            <x v="0"/>
          </reference>
        </references>
      </pivotArea>
    </format>
    <format dxfId="581">
      <pivotArea dataOnly="0" labelOnly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580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1"/>
          </reference>
          <reference field="16" count="1" selected="0">
            <x v="0"/>
          </reference>
        </references>
      </pivotArea>
    </format>
    <format dxfId="579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5">
            <x v="0"/>
            <x v="1"/>
            <x v="3"/>
            <x v="4"/>
            <x v="7"/>
          </reference>
          <reference field="16" count="1" selected="0">
            <x v="0"/>
          </reference>
        </references>
      </pivotArea>
    </format>
    <format dxfId="578">
      <pivotArea dataOnly="0" labelOnly="1" fieldPosition="0">
        <references count="4">
          <reference field="1" count="1" selected="0">
            <x v="4"/>
          </reference>
          <reference field="2" count="1" selected="0">
            <x v="2"/>
          </reference>
          <reference field="3" count="1">
            <x v="2"/>
          </reference>
          <reference field="16" count="1" selected="0">
            <x v="0"/>
          </reference>
        </references>
      </pivotArea>
    </format>
    <format dxfId="577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3"/>
          </reference>
          <reference field="16" count="1" selected="0">
            <x v="1"/>
          </reference>
        </references>
      </pivotArea>
    </format>
    <format dxfId="576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3"/>
          </reference>
          <reference field="16" count="1" selected="0">
            <x v="1"/>
          </reference>
        </references>
      </pivotArea>
    </format>
    <format dxfId="575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574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573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572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571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570">
      <pivotArea dataOnly="0" labelOnly="1" fieldPosition="0">
        <references count="5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5">
            <x v="4"/>
            <x v="5"/>
            <x v="6"/>
            <x v="7"/>
            <x v="8"/>
          </reference>
          <reference field="16" count="1" selected="0">
            <x v="0"/>
          </reference>
        </references>
      </pivotArea>
    </format>
    <format dxfId="569">
      <pivotArea dataOnly="0" labelOnly="1" fieldPosition="0">
        <references count="5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2">
            <x v="0"/>
            <x v="3"/>
          </reference>
          <reference field="16" count="1" selected="0">
            <x v="0"/>
          </reference>
        </references>
      </pivotArea>
    </format>
    <format dxfId="568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1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567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566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565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564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4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563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562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561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1"/>
          </reference>
        </references>
      </pivotArea>
    </format>
    <format dxfId="560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1"/>
          </reference>
        </references>
      </pivotArea>
    </format>
    <format dxfId="559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58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57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56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55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54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53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52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51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7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50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8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49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2">
            <x v="1"/>
            <x v="2"/>
          </reference>
          <reference field="16" count="1" selected="0">
            <x v="0"/>
          </reference>
        </references>
      </pivotArea>
    </format>
    <format dxfId="548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47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46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45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44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43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42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41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40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0"/>
          </reference>
          <reference field="16" count="1" selected="0">
            <x v="1"/>
          </reference>
        </references>
      </pivotArea>
    </format>
    <format dxfId="539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0"/>
          </reference>
          <reference field="16" count="1" selected="0">
            <x v="1"/>
          </reference>
        </references>
      </pivotArea>
    </format>
    <format dxfId="538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537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536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535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534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533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532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531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530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7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529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8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528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1"/>
          </reference>
          <reference field="6" count="0"/>
          <reference field="16" count="1" selected="0">
            <x v="0"/>
          </reference>
        </references>
      </pivotArea>
    </format>
    <format dxfId="527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2"/>
          </reference>
          <reference field="6" count="0"/>
          <reference field="16" count="1" selected="0">
            <x v="0"/>
          </reference>
        </references>
      </pivotArea>
    </format>
    <format dxfId="526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525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524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523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522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521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520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519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/>
          <reference field="16" count="1" selected="0">
            <x v="0"/>
          </reference>
        </references>
      </pivotArea>
    </format>
    <format dxfId="518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0"/>
          <reference field="16" count="1" selected="0">
            <x v="1"/>
          </reference>
        </references>
      </pivotArea>
    </format>
    <format dxfId="517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0"/>
          <reference field="16" count="1" selected="0">
            <x v="1"/>
          </reference>
        </references>
      </pivotArea>
    </format>
    <format dxfId="516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515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514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513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512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511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510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509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508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7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507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8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506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505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504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503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502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501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500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499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498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497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16" count="1" selected="0">
            <x v="0"/>
          </reference>
        </references>
      </pivotArea>
    </format>
    <format dxfId="496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1"/>
          </reference>
        </references>
      </pivotArea>
    </format>
    <format dxfId="495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0" selected="0"/>
          <reference field="7" count="3">
            <x v="0"/>
            <x v="2"/>
            <x v="3"/>
          </reference>
          <reference field="16" count="1" selected="0">
            <x v="1"/>
          </reference>
        </references>
      </pivotArea>
    </format>
    <format dxfId="494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93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92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91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90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89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88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87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86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85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84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83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82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81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80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79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78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77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7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76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8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75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74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73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72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71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70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69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68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67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66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65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64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63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1"/>
          </reference>
        </references>
      </pivotArea>
    </format>
    <format dxfId="462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461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1"/>
          </reference>
        </references>
      </pivotArea>
    </format>
    <format dxfId="460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0" selected="0"/>
          <reference field="7" count="1" selected="0">
            <x v="0"/>
          </reference>
          <reference field="8" count="0"/>
          <reference field="16" count="1" selected="0">
            <x v="1"/>
          </reference>
        </references>
      </pivotArea>
    </format>
    <format dxfId="459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0" selected="0"/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458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0" selected="0"/>
          <reference field="7" count="1" selected="0">
            <x v="3"/>
          </reference>
          <reference field="8" count="0"/>
          <reference field="16" count="1" selected="0">
            <x v="1"/>
          </reference>
        </references>
      </pivotArea>
    </format>
    <format dxfId="457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3BCD0C-9591-42CC-8795-AD94683FEBC3}" name="Subsidio Resumo" cacheId="30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5" indent="0" outline="1" outlineData="1" multipleFieldFilters="0">
  <location ref="A1:G289" firstHeaderRow="0" firstDataRow="1" firstDataCol="1"/>
  <pivotFields count="34">
    <pivotField showAll="0"/>
    <pivotField axis="axisRow" showAll="0">
      <items count="5">
        <item x="0"/>
        <item x="1"/>
        <item x="2"/>
        <item x="3"/>
        <item t="default"/>
      </items>
    </pivotField>
    <pivotField axis="axisRow" showAll="0">
      <items count="4">
        <item x="0"/>
        <item x="2"/>
        <item x="1"/>
        <item t="default"/>
      </items>
    </pivotField>
    <pivotField axis="axisRow" showAll="0">
      <items count="5">
        <item x="0"/>
        <item x="2"/>
        <item x="3"/>
        <item x="1"/>
        <item t="default"/>
      </items>
    </pivotField>
    <pivotField axis="axisRow" showAll="0">
      <items count="9">
        <item x="7"/>
        <item x="1"/>
        <item x="0"/>
        <item x="2"/>
        <item x="3"/>
        <item x="4"/>
        <item x="5"/>
        <item x="6"/>
        <item t="default"/>
      </items>
    </pivotField>
    <pivotField axis="axisRow" showAll="0">
      <items count="5">
        <item x="0"/>
        <item x="2"/>
        <item x="3"/>
        <item x="1"/>
        <item t="default"/>
      </items>
    </pivotField>
    <pivotField axis="axisRow" showAll="0">
      <items count="2">
        <item x="0"/>
        <item t="default"/>
      </items>
    </pivotField>
    <pivotField axis="axisRow" showAll="0">
      <items count="4">
        <item x="0"/>
        <item x="1"/>
        <item x="2"/>
        <item t="default"/>
      </items>
    </pivotField>
    <pivotField axis="axisRow" numFmtId="1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showAll="0"/>
    <pivotField showAll="0"/>
    <pivotField showAll="0"/>
    <pivotField showAll="0"/>
    <pivotField showAll="0"/>
    <pivotField numFmtId="40" showAll="0"/>
    <pivotField numFmtId="40" showAll="0"/>
    <pivotField numFmtId="40" showAll="0"/>
    <pivotField showAll="0"/>
    <pivotField showAll="0"/>
    <pivotField showAll="0"/>
    <pivotField dataField="1" numFmtId="40" showAll="0"/>
    <pivotField dataField="1" numFmtId="40" showAll="0"/>
    <pivotField dataField="1" numFmtId="40" showAll="0"/>
    <pivotField dataField="1" numFmtId="40" showAll="0"/>
    <pivotField axis="axisRow" showAll="0">
      <items count="7">
        <item x="1"/>
        <item x="3"/>
        <item x="0"/>
        <item x="5"/>
        <item x="4"/>
        <item x="2"/>
        <item t="default"/>
      </items>
    </pivotField>
    <pivotField dataField="1" dragToRow="0" dragToCol="0" dragToPage="0" showAll="0" defaultSubtotal="0"/>
    <pivotField dataField="1" dragToRow="0" dragToCol="0" dragToPage="0" showAll="0" defaultSubtotal="0"/>
  </pivotFields>
  <rowFields count="9">
    <field x="31"/>
    <field x="1"/>
    <field x="2"/>
    <field x="3"/>
    <field x="4"/>
    <field x="5"/>
    <field x="6"/>
    <field x="7"/>
    <field x="8"/>
  </rowFields>
  <rowItems count="288">
    <i>
      <x/>
    </i>
    <i r="1">
      <x/>
    </i>
    <i r="2">
      <x v="2"/>
    </i>
    <i r="3">
      <x v="3"/>
    </i>
    <i r="4">
      <x v="1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3"/>
    </i>
    <i r="2">
      <x v="1"/>
    </i>
    <i r="3">
      <x v="3"/>
    </i>
    <i r="4">
      <x v="1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1"/>
    </i>
    <i r="1">
      <x v="1"/>
    </i>
    <i r="2">
      <x v="1"/>
    </i>
    <i r="3">
      <x v="1"/>
    </i>
    <i r="4">
      <x v="4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5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6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7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2"/>
    </i>
    <i r="1">
      <x/>
    </i>
    <i r="2">
      <x/>
    </i>
    <i r="3">
      <x/>
    </i>
    <i r="4">
      <x v="2"/>
    </i>
    <i r="5">
      <x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2"/>
    </i>
    <i r="3">
      <x/>
    </i>
    <i r="4">
      <x v="2"/>
    </i>
    <i r="5">
      <x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3"/>
    </i>
    <i r="1">
      <x v="2"/>
    </i>
    <i r="2">
      <x v="1"/>
    </i>
    <i r="3">
      <x v="2"/>
    </i>
    <i r="4">
      <x/>
    </i>
    <i r="5">
      <x v="2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4"/>
    </i>
    <i r="1">
      <x v="2"/>
    </i>
    <i r="2">
      <x v="1"/>
    </i>
    <i r="3">
      <x v="2"/>
    </i>
    <i r="4">
      <x/>
    </i>
    <i r="5">
      <x v="1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2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5"/>
    </i>
    <i r="1">
      <x v="1"/>
    </i>
    <i r="2">
      <x v="1"/>
    </i>
    <i r="3">
      <x v="1"/>
    </i>
    <i r="4">
      <x v="3"/>
    </i>
    <i r="5">
      <x v="3"/>
    </i>
    <i r="6">
      <x/>
    </i>
    <i r="7">
      <x v="1"/>
    </i>
    <i r="8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oma de SUBSIDIO kW - TV" fld="27" baseField="0" baseItem="0"/>
    <dataField name="Soma de SUBSIDIO MWh - TV" fld="28" baseField="0" baseItem="0"/>
    <dataField name="Soma de SUBSIDIO kW - TN" fld="29" baseField="0" baseItem="0"/>
    <dataField name="Soma de SUBSIDIO MWh - TN" fld="30" baseField="0" baseItem="0"/>
    <dataField name="Soma de TOTAL TV" fld="32" baseField="0" baseItem="0" numFmtId="40"/>
    <dataField name="Soma de TOTAL TN" fld="33" baseField="0" baseItem="0" numFmtId="40"/>
  </dataFields>
  <formats count="178">
    <format dxfId="456">
      <pivotArea outline="0" collapsedLevelsAreSubtotals="1" fieldPosition="0"/>
    </format>
    <format dxfId="455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454">
      <pivotArea type="all" dataOnly="0" outline="0" fieldPosition="0"/>
    </format>
    <format dxfId="453">
      <pivotArea outline="0" collapsedLevelsAreSubtotals="1" fieldPosition="0"/>
    </format>
    <format dxfId="452">
      <pivotArea field="31" type="button" dataOnly="0" labelOnly="1" outline="0" axis="axisRow" fieldPosition="0"/>
    </format>
    <format dxfId="451">
      <pivotArea dataOnly="0" labelOnly="1" fieldPosition="0">
        <references count="1">
          <reference field="31" count="0"/>
        </references>
      </pivotArea>
    </format>
    <format dxfId="450">
      <pivotArea dataOnly="0" labelOnly="1" fieldPosition="0">
        <references count="2">
          <reference field="1" count="2">
            <x v="0"/>
            <x v="3"/>
          </reference>
          <reference field="31" count="1" selected="0">
            <x v="0"/>
          </reference>
        </references>
      </pivotArea>
    </format>
    <format dxfId="449">
      <pivotArea dataOnly="0" labelOnly="1" fieldPosition="0">
        <references count="2">
          <reference field="1" count="1">
            <x v="1"/>
          </reference>
          <reference field="31" count="1" selected="0">
            <x v="1"/>
          </reference>
        </references>
      </pivotArea>
    </format>
    <format dxfId="448">
      <pivotArea dataOnly="0" labelOnly="1" fieldPosition="0">
        <references count="2">
          <reference field="1" count="1">
            <x v="0"/>
          </reference>
          <reference field="31" count="1" selected="0">
            <x v="2"/>
          </reference>
        </references>
      </pivotArea>
    </format>
    <format dxfId="447">
      <pivotArea dataOnly="0" labelOnly="1" fieldPosition="0">
        <references count="2">
          <reference field="1" count="1">
            <x v="2"/>
          </reference>
          <reference field="31" count="1" selected="0">
            <x v="3"/>
          </reference>
        </references>
      </pivotArea>
    </format>
    <format dxfId="446">
      <pivotArea dataOnly="0" labelOnly="1" fieldPosition="0">
        <references count="2">
          <reference field="1" count="1">
            <x v="2"/>
          </reference>
          <reference field="31" count="1" selected="0">
            <x v="4"/>
          </reference>
        </references>
      </pivotArea>
    </format>
    <format dxfId="445">
      <pivotArea dataOnly="0" labelOnly="1" fieldPosition="0">
        <references count="2">
          <reference field="1" count="1">
            <x v="1"/>
          </reference>
          <reference field="31" count="1" selected="0">
            <x v="5"/>
          </reference>
        </references>
      </pivotArea>
    </format>
    <format dxfId="444">
      <pivotArea dataOnly="0" labelOnly="1" fieldPosition="0">
        <references count="3">
          <reference field="1" count="1" selected="0">
            <x v="0"/>
          </reference>
          <reference field="2" count="1">
            <x v="2"/>
          </reference>
          <reference field="31" count="1" selected="0">
            <x v="0"/>
          </reference>
        </references>
      </pivotArea>
    </format>
    <format dxfId="443">
      <pivotArea dataOnly="0" labelOnly="1" fieldPosition="0">
        <references count="3">
          <reference field="1" count="1" selected="0">
            <x v="3"/>
          </reference>
          <reference field="2" count="1">
            <x v="1"/>
          </reference>
          <reference field="31" count="1" selected="0">
            <x v="0"/>
          </reference>
        </references>
      </pivotArea>
    </format>
    <format dxfId="442">
      <pivotArea dataOnly="0" labelOnly="1" fieldPosition="0">
        <references count="3">
          <reference field="1" count="1" selected="0">
            <x v="1"/>
          </reference>
          <reference field="2" count="1">
            <x v="1"/>
          </reference>
          <reference field="31" count="1" selected="0">
            <x v="1"/>
          </reference>
        </references>
      </pivotArea>
    </format>
    <format dxfId="441">
      <pivotArea dataOnly="0" labelOnly="1" fieldPosition="0">
        <references count="3">
          <reference field="1" count="1" selected="0">
            <x v="0"/>
          </reference>
          <reference field="2" count="2">
            <x v="0"/>
            <x v="2"/>
          </reference>
          <reference field="31" count="1" selected="0">
            <x v="2"/>
          </reference>
        </references>
      </pivotArea>
    </format>
    <format dxfId="440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31" count="1" selected="0">
            <x v="3"/>
          </reference>
        </references>
      </pivotArea>
    </format>
    <format dxfId="439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31" count="1" selected="0">
            <x v="4"/>
          </reference>
        </references>
      </pivotArea>
    </format>
    <format dxfId="438">
      <pivotArea dataOnly="0" labelOnly="1" fieldPosition="0">
        <references count="3">
          <reference field="1" count="1" selected="0">
            <x v="1"/>
          </reference>
          <reference field="2" count="1">
            <x v="1"/>
          </reference>
          <reference field="31" count="1" selected="0">
            <x v="5"/>
          </reference>
        </references>
      </pivotArea>
    </format>
    <format dxfId="437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1">
            <x v="3"/>
          </reference>
          <reference field="31" count="1" selected="0">
            <x v="0"/>
          </reference>
        </references>
      </pivotArea>
    </format>
    <format dxfId="436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0"/>
          </reference>
        </references>
      </pivotArea>
    </format>
    <format dxfId="435">
      <pivotArea dataOnly="0" labelOnly="1" fieldPosition="0">
        <references count="4">
          <reference field="1" count="1" selected="0">
            <x v="1"/>
          </reference>
          <reference field="2" count="1" selected="0">
            <x v="1"/>
          </reference>
          <reference field="3" count="1">
            <x v="1"/>
          </reference>
          <reference field="31" count="1" selected="0">
            <x v="1"/>
          </reference>
        </references>
      </pivotArea>
    </format>
    <format dxfId="434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433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432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3"/>
          </reference>
        </references>
      </pivotArea>
    </format>
    <format dxfId="431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4"/>
          </reference>
        </references>
      </pivotArea>
    </format>
    <format dxfId="430">
      <pivotArea dataOnly="0" labelOnly="1" fieldPosition="0">
        <references count="4">
          <reference field="1" count="1" selected="0">
            <x v="1"/>
          </reference>
          <reference field="2" count="1" selected="0">
            <x v="1"/>
          </reference>
          <reference field="3" count="1">
            <x v="1"/>
          </reference>
          <reference field="31" count="1" selected="0">
            <x v="5"/>
          </reference>
        </references>
      </pivotArea>
    </format>
    <format dxfId="429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428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427">
      <pivotArea dataOnly="0" labelOnly="1" fieldPosition="0">
        <references count="5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4">
            <x v="4"/>
            <x v="5"/>
            <x v="6"/>
            <x v="7"/>
          </reference>
          <reference field="31" count="1" selected="0">
            <x v="1"/>
          </reference>
        </references>
      </pivotArea>
    </format>
    <format dxfId="426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2"/>
          </reference>
          <reference field="31" count="1" selected="0">
            <x v="2"/>
          </reference>
        </references>
      </pivotArea>
    </format>
    <format dxfId="425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>
            <x v="2"/>
          </reference>
          <reference field="31" count="1" selected="0">
            <x v="2"/>
          </reference>
        </references>
      </pivotArea>
    </format>
    <format dxfId="424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>
            <x v="0"/>
          </reference>
          <reference field="31" count="1" selected="0">
            <x v="3"/>
          </reference>
        </references>
      </pivotArea>
    </format>
    <format dxfId="423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2">
            <x v="0"/>
            <x v="2"/>
          </reference>
          <reference field="31" count="1" selected="0">
            <x v="4"/>
          </reference>
        </references>
      </pivotArea>
    </format>
    <format dxfId="422">
      <pivotArea dataOnly="0" labelOnly="1" fieldPosition="0">
        <references count="5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>
            <x v="3"/>
          </reference>
          <reference field="31" count="1" selected="0">
            <x v="5"/>
          </reference>
        </references>
      </pivotArea>
    </format>
    <format dxfId="421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420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419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418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5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417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6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416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7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415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414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413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3"/>
          </reference>
        </references>
      </pivotArea>
    </format>
    <format dxfId="412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>
            <x v="1"/>
          </reference>
          <reference field="31" count="1" selected="0">
            <x v="4"/>
          </reference>
        </references>
      </pivotArea>
    </format>
    <format dxfId="411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>
            <x v="3"/>
          </reference>
          <reference field="31" count="1" selected="0">
            <x v="4"/>
          </reference>
        </references>
      </pivotArea>
    </format>
    <format dxfId="410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409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/>
          <reference field="31" count="1" selected="0">
            <x v="0"/>
          </reference>
        </references>
      </pivotArea>
    </format>
    <format dxfId="408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/>
          <reference field="31" count="1" selected="0">
            <x v="0"/>
          </reference>
        </references>
      </pivotArea>
    </format>
    <format dxfId="407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0"/>
          <reference field="31" count="1" selected="0">
            <x v="1"/>
          </reference>
        </references>
      </pivotArea>
    </format>
    <format dxfId="406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3"/>
          </reference>
          <reference field="6" count="0"/>
          <reference field="31" count="1" selected="0">
            <x v="1"/>
          </reference>
        </references>
      </pivotArea>
    </format>
    <format dxfId="405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6"/>
          </reference>
          <reference field="5" count="1" selected="0">
            <x v="3"/>
          </reference>
          <reference field="6" count="0"/>
          <reference field="31" count="1" selected="0">
            <x v="1"/>
          </reference>
        </references>
      </pivotArea>
    </format>
    <format dxfId="404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7"/>
          </reference>
          <reference field="5" count="1" selected="0">
            <x v="3"/>
          </reference>
          <reference field="6" count="0"/>
          <reference field="31" count="1" selected="0">
            <x v="1"/>
          </reference>
        </references>
      </pivotArea>
    </format>
    <format dxfId="403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0"/>
          <reference field="31" count="1" selected="0">
            <x v="2"/>
          </reference>
        </references>
      </pivotArea>
    </format>
    <format dxfId="402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0"/>
          <reference field="31" count="1" selected="0">
            <x v="2"/>
          </reference>
        </references>
      </pivotArea>
    </format>
    <format dxfId="401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/>
          <reference field="31" count="1" selected="0">
            <x v="3"/>
          </reference>
        </references>
      </pivotArea>
    </format>
    <format dxfId="400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1"/>
          </reference>
          <reference field="6" count="0"/>
          <reference field="31" count="1" selected="0">
            <x v="4"/>
          </reference>
        </references>
      </pivotArea>
    </format>
    <format dxfId="399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/>
          <reference field="31" count="1" selected="0">
            <x v="4"/>
          </reference>
        </references>
      </pivotArea>
    </format>
    <format dxfId="398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0"/>
          <reference field="31" count="1" selected="0">
            <x v="5"/>
          </reference>
        </references>
      </pivotArea>
    </format>
    <format dxfId="397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0"/>
          <reference field="31" count="1" selected="0">
            <x v="0"/>
          </reference>
        </references>
      </pivotArea>
    </format>
    <format dxfId="396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31" count="1" selected="0">
            <x v="0"/>
          </reference>
        </references>
      </pivotArea>
    </format>
    <format dxfId="395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31" count="1" selected="0">
            <x v="1"/>
          </reference>
        </references>
      </pivotArea>
    </format>
    <format dxfId="394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31" count="1" selected="0">
            <x v="1"/>
          </reference>
        </references>
      </pivotArea>
    </format>
    <format dxfId="393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6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31" count="1" selected="0">
            <x v="1"/>
          </reference>
        </references>
      </pivotArea>
    </format>
    <format dxfId="392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7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31" count="1" selected="0">
            <x v="1"/>
          </reference>
        </references>
      </pivotArea>
    </format>
    <format dxfId="391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0"/>
          <reference field="31" count="1" selected="0">
            <x v="2"/>
          </reference>
        </references>
      </pivotArea>
    </format>
    <format dxfId="390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0"/>
          <reference field="31" count="1" selected="0">
            <x v="2"/>
          </reference>
        </references>
      </pivotArea>
    </format>
    <format dxfId="389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>
            <x v="1"/>
          </reference>
          <reference field="31" count="1" selected="0">
            <x v="3"/>
          </reference>
        </references>
      </pivotArea>
    </format>
    <format dxfId="388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>
            <x v="1"/>
          </reference>
          <reference field="31" count="1" selected="0">
            <x v="4"/>
          </reference>
        </references>
      </pivotArea>
    </format>
    <format dxfId="387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31" count="1" selected="0">
            <x v="4"/>
          </reference>
        </references>
      </pivotArea>
    </format>
    <format dxfId="386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31" count="1" selected="0">
            <x v="5"/>
          </reference>
        </references>
      </pivotArea>
    </format>
    <format dxfId="385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384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0"/>
          </reference>
        </references>
      </pivotArea>
    </format>
    <format dxfId="383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382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0"/>
          </reference>
        </references>
      </pivotArea>
    </format>
    <format dxfId="381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380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379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6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378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7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377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376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2"/>
          </reference>
        </references>
      </pivotArea>
    </format>
    <format dxfId="375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374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373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2"/>
          </reference>
        </references>
      </pivotArea>
    </format>
    <format dxfId="372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371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370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4"/>
          </reference>
        </references>
      </pivotArea>
    </format>
    <format dxfId="369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4"/>
          </reference>
        </references>
      </pivotArea>
    </format>
    <format dxfId="368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1">
            <x v="0"/>
          </reference>
          <reference field="31" count="1" selected="0">
            <x v="5"/>
          </reference>
        </references>
      </pivotArea>
    </format>
    <format dxfId="367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366">
      <pivotArea type="all" dataOnly="0" outline="0" fieldPosition="0"/>
    </format>
    <format dxfId="365">
      <pivotArea outline="0" collapsedLevelsAreSubtotals="1" fieldPosition="0"/>
    </format>
    <format dxfId="364">
      <pivotArea field="31" type="button" dataOnly="0" labelOnly="1" outline="0" axis="axisRow" fieldPosition="0"/>
    </format>
    <format dxfId="363">
      <pivotArea dataOnly="0" labelOnly="1" fieldPosition="0">
        <references count="1">
          <reference field="31" count="0"/>
        </references>
      </pivotArea>
    </format>
    <format dxfId="362">
      <pivotArea dataOnly="0" labelOnly="1" fieldPosition="0">
        <references count="2">
          <reference field="1" count="2">
            <x v="0"/>
            <x v="3"/>
          </reference>
          <reference field="31" count="1" selected="0">
            <x v="0"/>
          </reference>
        </references>
      </pivotArea>
    </format>
    <format dxfId="361">
      <pivotArea dataOnly="0" labelOnly="1" fieldPosition="0">
        <references count="2">
          <reference field="1" count="1">
            <x v="1"/>
          </reference>
          <reference field="31" count="1" selected="0">
            <x v="1"/>
          </reference>
        </references>
      </pivotArea>
    </format>
    <format dxfId="360">
      <pivotArea dataOnly="0" labelOnly="1" fieldPosition="0">
        <references count="2">
          <reference field="1" count="1">
            <x v="0"/>
          </reference>
          <reference field="31" count="1" selected="0">
            <x v="2"/>
          </reference>
        </references>
      </pivotArea>
    </format>
    <format dxfId="359">
      <pivotArea dataOnly="0" labelOnly="1" fieldPosition="0">
        <references count="2">
          <reference field="1" count="1">
            <x v="2"/>
          </reference>
          <reference field="31" count="1" selected="0">
            <x v="3"/>
          </reference>
        </references>
      </pivotArea>
    </format>
    <format dxfId="358">
      <pivotArea dataOnly="0" labelOnly="1" fieldPosition="0">
        <references count="2">
          <reference field="1" count="1">
            <x v="2"/>
          </reference>
          <reference field="31" count="1" selected="0">
            <x v="4"/>
          </reference>
        </references>
      </pivotArea>
    </format>
    <format dxfId="357">
      <pivotArea dataOnly="0" labelOnly="1" fieldPosition="0">
        <references count="2">
          <reference field="1" count="1">
            <x v="1"/>
          </reference>
          <reference field="31" count="1" selected="0">
            <x v="5"/>
          </reference>
        </references>
      </pivotArea>
    </format>
    <format dxfId="356">
      <pivotArea dataOnly="0" labelOnly="1" fieldPosition="0">
        <references count="3">
          <reference field="1" count="1" selected="0">
            <x v="0"/>
          </reference>
          <reference field="2" count="1">
            <x v="2"/>
          </reference>
          <reference field="31" count="1" selected="0">
            <x v="0"/>
          </reference>
        </references>
      </pivotArea>
    </format>
    <format dxfId="355">
      <pivotArea dataOnly="0" labelOnly="1" fieldPosition="0">
        <references count="3">
          <reference field="1" count="1" selected="0">
            <x v="3"/>
          </reference>
          <reference field="2" count="1">
            <x v="1"/>
          </reference>
          <reference field="31" count="1" selected="0">
            <x v="0"/>
          </reference>
        </references>
      </pivotArea>
    </format>
    <format dxfId="354">
      <pivotArea dataOnly="0" labelOnly="1" fieldPosition="0">
        <references count="3">
          <reference field="1" count="1" selected="0">
            <x v="1"/>
          </reference>
          <reference field="2" count="1">
            <x v="1"/>
          </reference>
          <reference field="31" count="1" selected="0">
            <x v="1"/>
          </reference>
        </references>
      </pivotArea>
    </format>
    <format dxfId="353">
      <pivotArea dataOnly="0" labelOnly="1" fieldPosition="0">
        <references count="3">
          <reference field="1" count="1" selected="0">
            <x v="0"/>
          </reference>
          <reference field="2" count="2">
            <x v="0"/>
            <x v="2"/>
          </reference>
          <reference field="31" count="1" selected="0">
            <x v="2"/>
          </reference>
        </references>
      </pivotArea>
    </format>
    <format dxfId="352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31" count="1" selected="0">
            <x v="3"/>
          </reference>
        </references>
      </pivotArea>
    </format>
    <format dxfId="351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31" count="1" selected="0">
            <x v="4"/>
          </reference>
        </references>
      </pivotArea>
    </format>
    <format dxfId="350">
      <pivotArea dataOnly="0" labelOnly="1" fieldPosition="0">
        <references count="3">
          <reference field="1" count="1" selected="0">
            <x v="1"/>
          </reference>
          <reference field="2" count="1">
            <x v="1"/>
          </reference>
          <reference field="31" count="1" selected="0">
            <x v="5"/>
          </reference>
        </references>
      </pivotArea>
    </format>
    <format dxfId="349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1">
            <x v="3"/>
          </reference>
          <reference field="31" count="1" selected="0">
            <x v="0"/>
          </reference>
        </references>
      </pivotArea>
    </format>
    <format dxfId="348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0"/>
          </reference>
        </references>
      </pivotArea>
    </format>
    <format dxfId="347">
      <pivotArea dataOnly="0" labelOnly="1" fieldPosition="0">
        <references count="4">
          <reference field="1" count="1" selected="0">
            <x v="1"/>
          </reference>
          <reference field="2" count="1" selected="0">
            <x v="1"/>
          </reference>
          <reference field="3" count="1">
            <x v="1"/>
          </reference>
          <reference field="31" count="1" selected="0">
            <x v="1"/>
          </reference>
        </references>
      </pivotArea>
    </format>
    <format dxfId="346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345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344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3"/>
          </reference>
        </references>
      </pivotArea>
    </format>
    <format dxfId="343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4"/>
          </reference>
        </references>
      </pivotArea>
    </format>
    <format dxfId="342">
      <pivotArea dataOnly="0" labelOnly="1" fieldPosition="0">
        <references count="4">
          <reference field="1" count="1" selected="0">
            <x v="1"/>
          </reference>
          <reference field="2" count="1" selected="0">
            <x v="1"/>
          </reference>
          <reference field="3" count="1">
            <x v="1"/>
          </reference>
          <reference field="31" count="1" selected="0">
            <x v="5"/>
          </reference>
        </references>
      </pivotArea>
    </format>
    <format dxfId="341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340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339">
      <pivotArea dataOnly="0" labelOnly="1" fieldPosition="0">
        <references count="5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4">
            <x v="4"/>
            <x v="5"/>
            <x v="6"/>
            <x v="7"/>
          </reference>
          <reference field="31" count="1" selected="0">
            <x v="1"/>
          </reference>
        </references>
      </pivotArea>
    </format>
    <format dxfId="338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2"/>
          </reference>
          <reference field="31" count="1" selected="0">
            <x v="2"/>
          </reference>
        </references>
      </pivotArea>
    </format>
    <format dxfId="337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>
            <x v="2"/>
          </reference>
          <reference field="31" count="1" selected="0">
            <x v="2"/>
          </reference>
        </references>
      </pivotArea>
    </format>
    <format dxfId="336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>
            <x v="0"/>
          </reference>
          <reference field="31" count="1" selected="0">
            <x v="3"/>
          </reference>
        </references>
      </pivotArea>
    </format>
    <format dxfId="335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2">
            <x v="0"/>
            <x v="2"/>
          </reference>
          <reference field="31" count="1" selected="0">
            <x v="4"/>
          </reference>
        </references>
      </pivotArea>
    </format>
    <format dxfId="334">
      <pivotArea dataOnly="0" labelOnly="1" fieldPosition="0">
        <references count="5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>
            <x v="3"/>
          </reference>
          <reference field="31" count="1" selected="0">
            <x v="5"/>
          </reference>
        </references>
      </pivotArea>
    </format>
    <format dxfId="333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332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331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330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5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329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6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328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7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327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326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325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3"/>
          </reference>
        </references>
      </pivotArea>
    </format>
    <format dxfId="324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>
            <x v="1"/>
          </reference>
          <reference field="31" count="1" selected="0">
            <x v="4"/>
          </reference>
        </references>
      </pivotArea>
    </format>
    <format dxfId="323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>
            <x v="3"/>
          </reference>
          <reference field="31" count="1" selected="0">
            <x v="4"/>
          </reference>
        </references>
      </pivotArea>
    </format>
    <format dxfId="322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321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/>
          <reference field="31" count="1" selected="0">
            <x v="0"/>
          </reference>
        </references>
      </pivotArea>
    </format>
    <format dxfId="320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/>
          <reference field="31" count="1" selected="0">
            <x v="0"/>
          </reference>
        </references>
      </pivotArea>
    </format>
    <format dxfId="319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0"/>
          <reference field="31" count="1" selected="0">
            <x v="1"/>
          </reference>
        </references>
      </pivotArea>
    </format>
    <format dxfId="318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3"/>
          </reference>
          <reference field="6" count="0"/>
          <reference field="31" count="1" selected="0">
            <x v="1"/>
          </reference>
        </references>
      </pivotArea>
    </format>
    <format dxfId="317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6"/>
          </reference>
          <reference field="5" count="1" selected="0">
            <x v="3"/>
          </reference>
          <reference field="6" count="0"/>
          <reference field="31" count="1" selected="0">
            <x v="1"/>
          </reference>
        </references>
      </pivotArea>
    </format>
    <format dxfId="316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7"/>
          </reference>
          <reference field="5" count="1" selected="0">
            <x v="3"/>
          </reference>
          <reference field="6" count="0"/>
          <reference field="31" count="1" selected="0">
            <x v="1"/>
          </reference>
        </references>
      </pivotArea>
    </format>
    <format dxfId="315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0"/>
          <reference field="31" count="1" selected="0">
            <x v="2"/>
          </reference>
        </references>
      </pivotArea>
    </format>
    <format dxfId="314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0"/>
          <reference field="31" count="1" selected="0">
            <x v="2"/>
          </reference>
        </references>
      </pivotArea>
    </format>
    <format dxfId="313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/>
          <reference field="31" count="1" selected="0">
            <x v="3"/>
          </reference>
        </references>
      </pivotArea>
    </format>
    <format dxfId="312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1"/>
          </reference>
          <reference field="6" count="0"/>
          <reference field="31" count="1" selected="0">
            <x v="4"/>
          </reference>
        </references>
      </pivotArea>
    </format>
    <format dxfId="311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/>
          <reference field="31" count="1" selected="0">
            <x v="4"/>
          </reference>
        </references>
      </pivotArea>
    </format>
    <format dxfId="310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0"/>
          <reference field="31" count="1" selected="0">
            <x v="5"/>
          </reference>
        </references>
      </pivotArea>
    </format>
    <format dxfId="309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0"/>
          <reference field="31" count="1" selected="0">
            <x v="0"/>
          </reference>
        </references>
      </pivotArea>
    </format>
    <format dxfId="308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31" count="1" selected="0">
            <x v="0"/>
          </reference>
        </references>
      </pivotArea>
    </format>
    <format dxfId="307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31" count="1" selected="0">
            <x v="1"/>
          </reference>
        </references>
      </pivotArea>
    </format>
    <format dxfId="306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31" count="1" selected="0">
            <x v="1"/>
          </reference>
        </references>
      </pivotArea>
    </format>
    <format dxfId="305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6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31" count="1" selected="0">
            <x v="1"/>
          </reference>
        </references>
      </pivotArea>
    </format>
    <format dxfId="304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7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31" count="1" selected="0">
            <x v="1"/>
          </reference>
        </references>
      </pivotArea>
    </format>
    <format dxfId="303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0"/>
          <reference field="31" count="1" selected="0">
            <x v="2"/>
          </reference>
        </references>
      </pivotArea>
    </format>
    <format dxfId="302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0"/>
          <reference field="31" count="1" selected="0">
            <x v="2"/>
          </reference>
        </references>
      </pivotArea>
    </format>
    <format dxfId="301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>
            <x v="1"/>
          </reference>
          <reference field="31" count="1" selected="0">
            <x v="3"/>
          </reference>
        </references>
      </pivotArea>
    </format>
    <format dxfId="300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>
            <x v="1"/>
          </reference>
          <reference field="31" count="1" selected="0">
            <x v="4"/>
          </reference>
        </references>
      </pivotArea>
    </format>
    <format dxfId="299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31" count="1" selected="0">
            <x v="4"/>
          </reference>
        </references>
      </pivotArea>
    </format>
    <format dxfId="298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>
            <x v="1"/>
          </reference>
          <reference field="31" count="1" selected="0">
            <x v="5"/>
          </reference>
        </references>
      </pivotArea>
    </format>
    <format dxfId="297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296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0"/>
          </reference>
        </references>
      </pivotArea>
    </format>
    <format dxfId="295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294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0"/>
          </reference>
        </references>
      </pivotArea>
    </format>
    <format dxfId="293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292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291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6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290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7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289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288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2"/>
          </reference>
        </references>
      </pivotArea>
    </format>
    <format dxfId="287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286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285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2"/>
          </reference>
        </references>
      </pivotArea>
    </format>
    <format dxfId="284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283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282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4"/>
          </reference>
        </references>
      </pivotArea>
    </format>
    <format dxfId="281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4"/>
          </reference>
        </references>
      </pivotArea>
    </format>
    <format dxfId="280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1">
            <x v="0"/>
          </reference>
          <reference field="31" count="1" selected="0">
            <x v="5"/>
          </reference>
        </references>
      </pivotArea>
    </format>
    <format dxfId="279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2B728E-C00B-495A-B16F-4EC4AB764A2D}" name="Efeito Resumo" cacheId="31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5" indent="0" outline="1" outlineData="1" multipleFieldFilters="0">
  <location ref="A1:J584" firstHeaderRow="0" firstDataRow="1" firstDataCol="1"/>
  <pivotFields count="36"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axis="axisRow" showAll="0">
      <items count="5">
        <item x="0"/>
        <item x="3"/>
        <item x="2"/>
        <item x="1"/>
        <item t="default"/>
      </items>
    </pivotField>
    <pivotField axis="axisRow" showAll="0">
      <items count="9">
        <item x="1"/>
        <item x="6"/>
        <item x="7"/>
        <item x="0"/>
        <item x="2"/>
        <item x="4"/>
        <item x="5"/>
        <item x="3"/>
        <item t="default"/>
      </items>
    </pivotField>
    <pivotField axis="axisRow" showAll="0">
      <items count="10">
        <item x="7"/>
        <item x="1"/>
        <item x="8"/>
        <item x="0"/>
        <item x="2"/>
        <item x="3"/>
        <item x="4"/>
        <item x="5"/>
        <item x="6"/>
        <item t="default"/>
      </items>
    </pivotField>
    <pivotField axis="axisRow" showAll="0">
      <items count="5">
        <item x="0"/>
        <item x="2"/>
        <item x="3"/>
        <item x="1"/>
        <item t="default"/>
      </items>
    </pivotField>
    <pivotField axis="axisRow" showAll="0">
      <items count="2">
        <item x="0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axis="axisRow" numFmtId="1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axis="axisRow" showAll="0">
      <items count="3">
        <item x="1"/>
        <item x="0"/>
        <item t="default"/>
      </items>
    </pivotField>
    <pivotField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showAll="0"/>
    <pivotField showAll="0"/>
    <pivotField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9">
    <field x="1"/>
    <field x="2"/>
    <field x="16"/>
    <field x="3"/>
    <field x="4"/>
    <field x="5"/>
    <field x="6"/>
    <field x="7"/>
    <field x="8"/>
  </rowFields>
  <rowItems count="583">
    <i>
      <x/>
    </i>
    <i r="1">
      <x/>
    </i>
    <i r="2">
      <x/>
    </i>
    <i r="3">
      <x v="3"/>
    </i>
    <i r="4">
      <x v="3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1"/>
    </i>
    <i r="3">
      <x v="3"/>
    </i>
    <i r="4">
      <x v="3"/>
    </i>
    <i r="5">
      <x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3"/>
    </i>
    <i r="2">
      <x/>
    </i>
    <i r="3">
      <x/>
    </i>
    <i r="4">
      <x v="3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3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4"/>
    </i>
    <i r="4">
      <x v="3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7"/>
    </i>
    <i r="4">
      <x v="1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1"/>
    </i>
    <i r="3">
      <x v="3"/>
    </i>
    <i r="4">
      <x v="3"/>
    </i>
    <i r="5">
      <x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1"/>
    </i>
    <i r="1">
      <x v="2"/>
    </i>
    <i r="2">
      <x/>
    </i>
    <i r="3">
      <x v="5"/>
    </i>
    <i r="4">
      <x v="4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5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6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7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8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2"/>
    </i>
    <i r="1">
      <x v="2"/>
    </i>
    <i r="2">
      <x/>
    </i>
    <i r="3">
      <x v="6"/>
    </i>
    <i r="4">
      <x/>
    </i>
    <i r="5">
      <x v="1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2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3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3"/>
    </i>
    <i r="1">
      <x v="1"/>
    </i>
    <i r="2">
      <x/>
    </i>
    <i r="3">
      <x v="1"/>
    </i>
    <i r="4">
      <x v="3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2"/>
    </i>
    <i r="2">
      <x/>
    </i>
    <i r="3">
      <x/>
    </i>
    <i r="4">
      <x v="3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1"/>
    </i>
    <i r="4">
      <x v="3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3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4"/>
    </i>
    <i r="4">
      <x v="3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7"/>
    </i>
    <i r="4">
      <x v="1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4"/>
    </i>
    <i r="1">
      <x v="2"/>
    </i>
    <i r="2">
      <x/>
    </i>
    <i r="3">
      <x v="2"/>
    </i>
    <i r="4">
      <x v="2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oma de RA0 ou RV - TUSD (kW)" fld="27" baseField="0" baseItem="0" numFmtId="40"/>
    <dataField name="Soma de RA1 ou RRD - TUSD (kW)" fld="30" baseField="0" baseItem="0" numFmtId="40"/>
    <dataField name="Soma de RA0 ou RV - TUSD (MWh)" fld="28" baseField="0" baseItem="0" numFmtId="40"/>
    <dataField name="Soma de RA1 ou RRD - TUSD (MWh)" fld="31" baseField="0" baseItem="0" numFmtId="40"/>
    <dataField name="Soma de RA0 ou RV - TE (MWh)" fld="29" baseField="0" baseItem="0" numFmtId="40"/>
    <dataField name="Soma de RA1 ou RRD - TE (MWh)" fld="32" baseField="0" baseItem="0" numFmtId="40"/>
    <dataField name="Soma de Variação TUSD" fld="33" baseField="0" baseItem="0" numFmtId="167"/>
    <dataField name="Soma de Variação TE" fld="34" baseField="0" baseItem="0" numFmtId="167"/>
    <dataField name="Soma de Variação" fld="35" baseField="0" baseItem="0" numFmtId="167"/>
  </dataFields>
  <formats count="4">
    <format dxfId="188">
      <pivotArea outline="0" collapsedLevelsAreSubtotals="1" fieldPosition="0">
        <references count="1">
          <reference field="4294967294" count="6" selected="0">
            <x v="0"/>
            <x v="1"/>
            <x v="2"/>
            <x v="3"/>
            <x v="4"/>
            <x v="5"/>
          </reference>
        </references>
      </pivotArea>
    </format>
    <format dxfId="187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186">
      <pivotArea outline="0" collapsedLevelsAreSubtotals="1" fieldPosition="0">
        <references count="1">
          <reference field="4294967294" count="3" selected="0">
            <x v="6"/>
            <x v="7"/>
            <x v="8"/>
          </reference>
        </references>
      </pivotArea>
    </format>
    <format dxfId="185">
      <pivotArea dataOnly="0" labelOnly="1" outline="0" fieldPosition="0">
        <references count="1">
          <reference field="4294967294" count="3">
            <x v="6"/>
            <x v="7"/>
            <x v="8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86CD1C60-8BB6-46D2-8290-D09E10FCAE67}" autoFormatId="0" applyNumberFormats="0" applyBorderFormats="0" applyFontFormats="1" applyPatternFormats="1" applyAlignmentFormats="0" applyWidthHeightFormats="0">
  <queryTableRefresh nextId="46">
    <queryTableFields count="45">
      <queryTableField id="1" name="SUBGRUPO" tableColumnId="46"/>
      <queryTableField id="2" name="MODALIDADE" tableColumnId="47"/>
      <queryTableField id="3" name="CLASSE" tableColumnId="48"/>
      <queryTableField id="4" name="SUBCLASSE" tableColumnId="49"/>
      <queryTableField id="5" name="DETALHE" tableColumnId="50"/>
      <queryTableField id="6" name="POSTO" tableColumnId="51"/>
      <queryTableField id="7" name="UNIDADE" tableColumnId="52"/>
      <queryTableField id="8" name="ACESSANTE" tableColumnId="53"/>
      <queryTableField id="9" name="Total TUSD" tableColumnId="54"/>
      <queryTableField id="10" name="Total TE" tableColumnId="55"/>
      <queryTableField id="11" name="TUSD_CDE_COVID" tableColumnId="56"/>
      <queryTableField id="12" name="TUSD_TFSEE" tableColumnId="57"/>
      <queryTableField id="13" name="TUSD_PeD" tableColumnId="58"/>
      <queryTableField id="14" name="TUSD_ONS" tableColumnId="59"/>
      <queryTableField id="15" name="TUSD_CCC" tableColumnId="60"/>
      <queryTableField id="16" name="TUSD_CDE" tableColumnId="61"/>
      <queryTableField id="17" name="TUSD_PROINFA" tableColumnId="62"/>
      <queryTableField id="18" name="Liminar1" tableColumnId="63"/>
      <queryTableField id="19" name="TUSD_RB" tableColumnId="64"/>
      <queryTableField id="20" name="TUSD_FR" tableColumnId="65"/>
      <queryTableField id="21" name="TUSD_CCT" tableColumnId="66"/>
      <queryTableField id="22" name="TUSD_CCD" tableColumnId="67"/>
      <queryTableField id="23" name="TUSD_CUSD" tableColumnId="68"/>
      <queryTableField id="24" name="TUSDG_T" tableColumnId="69"/>
      <queryTableField id="25" name="TUSDG_ONS" tableColumnId="70"/>
      <queryTableField id="26" name="TUSD_FioB" tableColumnId="71"/>
      <queryTableField id="27" name="TUSD Subsidio" tableColumnId="72"/>
      <queryTableField id="28" name="TUSD BENEFICIO_L14299" tableColumnId="73"/>
      <queryTableField id="29" name="TUSD Outros" tableColumnId="74"/>
      <queryTableField id="30" name="TUSD_PT" tableColumnId="75"/>
      <queryTableField id="31" name="TUSD_Per_RB_D" tableColumnId="76"/>
      <queryTableField id="32" name="TUSD_PNT" tableColumnId="77"/>
      <queryTableField id="33" name="TUSD_RI" tableColumnId="78"/>
      <queryTableField id="34" name="TE_CDE_COVID" tableColumnId="79"/>
      <queryTableField id="35" name="TE_CDE_ELET" tableColumnId="80"/>
      <queryTableField id="36" name="TE_PeD" tableColumnId="81"/>
      <queryTableField id="37" name="TE_ESSERR" tableColumnId="82"/>
      <queryTableField id="38" name="TE_CFURH" tableColumnId="83"/>
      <queryTableField id="39" name="TE_ENERGIA" tableColumnId="84"/>
      <queryTableField id="40" name="TE_TRANSPORTE_ITAIPU" tableColumnId="85"/>
      <queryTableField id="41" name="TE_TUST_ITAIPU" tableColumnId="86"/>
      <queryTableField id="42" name="TE_TUST_CI" tableColumnId="87"/>
      <queryTableField id="43" name="TE Subsidio" tableColumnId="88"/>
      <queryTableField id="44" name="TE BENEFICIO_L14299" tableColumnId="89"/>
      <queryTableField id="45" name="TE_Per_RB" tableColumnId="9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3E732A5E-63EC-45EB-8477-BDC11F4CA6AA}" autoFormatId="0" applyNumberFormats="0" applyBorderFormats="0" applyFontFormats="1" applyPatternFormats="1" applyAlignmentFormats="0" applyWidthHeightFormats="0">
  <queryTableRefresh nextId="46">
    <queryTableFields count="45">
      <queryTableField id="1" name="SUBGRUPO" tableColumnId="46"/>
      <queryTableField id="2" name="MODALIDADE" tableColumnId="47"/>
      <queryTableField id="3" name="CLASSE" tableColumnId="48"/>
      <queryTableField id="4" name="SUBCLASSE" tableColumnId="49"/>
      <queryTableField id="5" name="DETALHE" tableColumnId="50"/>
      <queryTableField id="6" name="POSTO" tableColumnId="51"/>
      <queryTableField id="7" name="UNIDADE" tableColumnId="52"/>
      <queryTableField id="8" name="ACESSANTE" tableColumnId="53"/>
      <queryTableField id="9" name="Total TUSD" tableColumnId="54"/>
      <queryTableField id="10" name="Total TE" tableColumnId="55"/>
      <queryTableField id="11" name="TUSD_CDE_COVID" tableColumnId="56"/>
      <queryTableField id="12" name="TUSD_TFSEE" tableColumnId="57"/>
      <queryTableField id="13" name="TUSD_PeD" tableColumnId="58"/>
      <queryTableField id="14" name="TUSD_ONS" tableColumnId="59"/>
      <queryTableField id="15" name="TUSD_CCC" tableColumnId="60"/>
      <queryTableField id="16" name="TUSD_CDE" tableColumnId="61"/>
      <queryTableField id="17" name="TUSD_PROINFA" tableColumnId="62"/>
      <queryTableField id="18" name="Liminar1" tableColumnId="63"/>
      <queryTableField id="19" name="TUSD_RB" tableColumnId="64"/>
      <queryTableField id="20" name="TUSD_FR" tableColumnId="65"/>
      <queryTableField id="21" name="TUSD_CCT" tableColumnId="66"/>
      <queryTableField id="22" name="TUSD_CCD" tableColumnId="67"/>
      <queryTableField id="23" name="TUSD_CUSD" tableColumnId="68"/>
      <queryTableField id="24" name="TUSDG_T" tableColumnId="69"/>
      <queryTableField id="25" name="TUSDG_ONS" tableColumnId="70"/>
      <queryTableField id="26" name="TUSD_FioB" tableColumnId="71"/>
      <queryTableField id="27" name="TUSD Subsidio" tableColumnId="72"/>
      <queryTableField id="28" name="TUSD BENEFICIO_L14299" tableColumnId="73"/>
      <queryTableField id="29" name="TUSD Outros" tableColumnId="74"/>
      <queryTableField id="30" name="TUSD_PT" tableColumnId="75"/>
      <queryTableField id="31" name="TUSD_Per_RB_D" tableColumnId="76"/>
      <queryTableField id="32" name="TUSD_PNT" tableColumnId="77"/>
      <queryTableField id="33" name="TUSD_RI" tableColumnId="78"/>
      <queryTableField id="34" name="TE_CDE_COVID" tableColumnId="79"/>
      <queryTableField id="35" name="TE_CDE_ELET" tableColumnId="80"/>
      <queryTableField id="36" name="TE_PeD" tableColumnId="81"/>
      <queryTableField id="37" name="TE_ESSERR" tableColumnId="82"/>
      <queryTableField id="38" name="TE_CFURH" tableColumnId="83"/>
      <queryTableField id="39" name="TE_ENERGIA" tableColumnId="84"/>
      <queryTableField id="40" name="TE_TRANSPORTE_ITAIPU" tableColumnId="85"/>
      <queryTableField id="41" name="TE_TUST_ITAIPU" tableColumnId="86"/>
      <queryTableField id="42" name="TE_TUST_CI" tableColumnId="87"/>
      <queryTableField id="43" name="TE Subsidio" tableColumnId="88"/>
      <queryTableField id="44" name="TE BENEFICIO_L14299" tableColumnId="89"/>
      <queryTableField id="45" name="TE_Per_RB" tableColumnId="90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" xr16:uid="{E7D076D8-28BF-408D-AC5E-010BFAB5AC96}" autoFormatId="0" applyNumberFormats="0" applyBorderFormats="0" applyFontFormats="1" applyPatternFormats="1" applyAlignmentFormats="0" applyWidthHeightFormats="0">
  <queryTableRefresh nextId="46">
    <queryTableFields count="45">
      <queryTableField id="1" name="SUBGRUPO" tableColumnId="46"/>
      <queryTableField id="2" name="MODALIDADE" tableColumnId="47"/>
      <queryTableField id="3" name="CLASSE" tableColumnId="48"/>
      <queryTableField id="4" name="SUBCLASSE" tableColumnId="49"/>
      <queryTableField id="5" name="DETALHE" tableColumnId="50"/>
      <queryTableField id="6" name="POSTO" tableColumnId="51"/>
      <queryTableField id="7" name="UNIDADE" tableColumnId="52"/>
      <queryTableField id="8" name="ACESSANTE" tableColumnId="53"/>
      <queryTableField id="9" name="Total TUSD" tableColumnId="54"/>
      <queryTableField id="10" name="Total TE" tableColumnId="55"/>
      <queryTableField id="11" name="TUSD_CDE_COVID" tableColumnId="56"/>
      <queryTableField id="12" name="TUSD_TFSEE" tableColumnId="57"/>
      <queryTableField id="13" name="TUSD_PeD" tableColumnId="58"/>
      <queryTableField id="14" name="TUSD_ONS" tableColumnId="59"/>
      <queryTableField id="15" name="TUSD_CCC" tableColumnId="60"/>
      <queryTableField id="16" name="TUSD_CDE" tableColumnId="61"/>
      <queryTableField id="17" name="TUSD_PROINFA" tableColumnId="62"/>
      <queryTableField id="18" name="Liminar1" tableColumnId="63"/>
      <queryTableField id="19" name="TUSD_RB" tableColumnId="64"/>
      <queryTableField id="20" name="TUSD_FR" tableColumnId="65"/>
      <queryTableField id="21" name="TUSD_CCT" tableColumnId="66"/>
      <queryTableField id="22" name="TUSD_CCD" tableColumnId="67"/>
      <queryTableField id="23" name="TUSD_CUSD" tableColumnId="68"/>
      <queryTableField id="24" name="TUSDG_T" tableColumnId="69"/>
      <queryTableField id="25" name="TUSDG_ONS" tableColumnId="70"/>
      <queryTableField id="26" name="TUSD_FioB" tableColumnId="71"/>
      <queryTableField id="27" name="TUSD Subsidio" tableColumnId="72"/>
      <queryTableField id="28" name="TUSD BENEFICIO_L14299" tableColumnId="73"/>
      <queryTableField id="29" name="TUSD Outros" tableColumnId="74"/>
      <queryTableField id="30" name="TUSD_PT" tableColumnId="75"/>
      <queryTableField id="31" name="TUSD_Per_RB_D" tableColumnId="76"/>
      <queryTableField id="32" name="TUSD_PNT" tableColumnId="77"/>
      <queryTableField id="33" name="TUSD_RI" tableColumnId="78"/>
      <queryTableField id="34" name="TE_CDE_COVID" tableColumnId="79"/>
      <queryTableField id="35" name="TE_CDE_ELET" tableColumnId="80"/>
      <queryTableField id="36" name="TE_PeD" tableColumnId="81"/>
      <queryTableField id="37" name="TE_ESSERR" tableColumnId="82"/>
      <queryTableField id="38" name="TE_CFURH" tableColumnId="83"/>
      <queryTableField id="39" name="TE_ENERGIA" tableColumnId="84"/>
      <queryTableField id="40" name="TE_TRANSPORTE_ITAIPU" tableColumnId="85"/>
      <queryTableField id="41" name="TE_TUST_ITAIPU" tableColumnId="86"/>
      <queryTableField id="42" name="TE_TUST_CI" tableColumnId="87"/>
      <queryTableField id="43" name="TE Subsidio" tableColumnId="88"/>
      <queryTableField id="44" name="TE BENEFICIO_L14299" tableColumnId="89"/>
      <queryTableField id="45" name="TE_Per_RB" tableColumnId="90"/>
    </queryTableFields>
  </queryTableRefresh>
</queryTable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8B16BBC-F9ED-47C1-B58F-8A252A9280C5}" name="Efeito" displayName="Efeito" ref="A1:AG641" totalsRowShown="0" headerRowDxfId="809" dataDxfId="808">
  <autoFilter ref="A1:AG641" xr:uid="{D8B16BBC-F9ED-47C1-B58F-8A252A9280C5}"/>
  <tableColumns count="33">
    <tableColumn id="1" xr3:uid="{CDFE2AD1-3036-49F4-B910-94D64CA1F582}" name="TipoMercado" dataDxfId="807"/>
    <tableColumn id="2" xr3:uid="{47B8B91B-E290-4573-940E-0D6C1B0032D2}" name="Subgrupo" dataDxfId="806"/>
    <tableColumn id="3" xr3:uid="{4ED20D22-E99A-400B-BCB2-E81B47775A15}" name="Modalidade" dataDxfId="805"/>
    <tableColumn id="4" xr3:uid="{42F87BB2-7A6F-40FA-ACF8-38479EABDBBA}" name="Classe" dataDxfId="804"/>
    <tableColumn id="5" xr3:uid="{F8FD7FFB-3420-4C7F-BFF5-07C8660D5076}" name="Subclasse" dataDxfId="803"/>
    <tableColumn id="6" xr3:uid="{C1692407-6D14-4118-AE53-D82B09FD6181}" name="Detalhe" dataDxfId="802"/>
    <tableColumn id="7" xr3:uid="{F94457C6-D5B6-4858-B5BC-F7AB22EF5EDB}" name="Agente" dataDxfId="801"/>
    <tableColumn id="8" xr3:uid="{FCBCF4AE-679D-4160-AA36-37DB96F4072A}" name="Posto" dataDxfId="800"/>
    <tableColumn id="9" xr3:uid="{3DCB62B5-FF35-4057-B5EE-B1637AC963A8}" name="AnoMes" dataDxfId="799"/>
    <tableColumn id="10" xr3:uid="{8F492A2E-3215-4970-9C85-22D4E25ACC40}" name="D" dataDxfId="798"/>
    <tableColumn id="11" xr3:uid="{6B1F3AAB-C16A-43E3-95D6-F2AD01DD75CE}" name="Daj" dataDxfId="797"/>
    <tableColumn id="12" xr3:uid="{3007162C-D815-43FA-A4A6-7444BC356BE5}" name="TUSD_E" dataDxfId="796"/>
    <tableColumn id="13" xr3:uid="{D51814BA-2B6C-4D58-98D0-895DBDC0117E}" name="TUSD_Eaj" dataDxfId="795"/>
    <tableColumn id="14" xr3:uid="{C2C315ED-D28F-4FA6-A725-67EAB45ED48A}" name="TE_E" dataDxfId="794"/>
    <tableColumn id="15" xr3:uid="{7DEBF0A6-BC74-40C3-886E-441600AFEB05}" name="TE_Eaj" dataDxfId="793"/>
    <tableColumn id="16" xr3:uid="{107036BD-E316-4599-9ADA-D123AFB7D2C6}" name="UC" dataDxfId="792"/>
    <tableColumn id="17" xr3:uid="{158A0223-2B64-47D6-B839-75D6331D0A78}" name="OPÇÃO" dataDxfId="791"/>
    <tableColumn id="18" xr3:uid="{91D09DE7-A53B-4FB7-A0EF-862ACE51B4AB}" name="CóD. AUX." dataDxfId="790"/>
    <tableColumn id="19" xr3:uid="{1EDC2838-D8C9-47EA-93A8-258DC895611B}" name="CóD. AUX. TUSD R$/kW" dataDxfId="789"/>
    <tableColumn id="20" xr3:uid="{51881441-4B28-44DE-AC3F-0897B265A047}" name="CóD. AUX. TUSD R$/MWh" dataDxfId="788"/>
    <tableColumn id="21" xr3:uid="{F698EBC3-5525-450B-ACA3-6C43C785B7B4}" name="CóD. AUX. TE R$/MWh" dataDxfId="787"/>
    <tableColumn id="22" xr3:uid="{87AEC981-BA87-47A0-A329-67B82BCF93B6}" name="TUSD (R$/kW)" dataDxfId="786"/>
    <tableColumn id="23" xr3:uid="{5B0CDD90-FFFC-4969-BFF4-B76D0411B934}" name="TUSD (R$/MWh)" dataDxfId="785"/>
    <tableColumn id="24" xr3:uid="{C2695331-95AE-40AF-8BA8-5FC02A05E862}" name="TE (R$/MWh)" dataDxfId="784"/>
    <tableColumn id="25" xr3:uid="{69005557-B807-4881-AA06-A0B1C227FD3B}" name="TUSD (R$/kW) NOVA" dataDxfId="783"/>
    <tableColumn id="26" xr3:uid="{E37E3BAB-10BA-4289-ABB3-254D05EA6F02}" name="TUSD (R$/MWh) NOVA" dataDxfId="782">
      <calculatedColumnFormula>('TUSD BE'!$AM$50+'TUSD BF'!$AM$50+'TUSD CVA'!$AM$50)*1</calculatedColumnFormula>
    </tableColumn>
    <tableColumn id="27" xr3:uid="{4A4D86CF-1F70-4591-B0E8-92C2F61FA9AD}" name="TE (R$/MWh) NOVA" dataDxfId="781">
      <calculatedColumnFormula>('TE BE'!$AB$41+'TE BF'!$AB$41+'TE CVA'!$AB$41)*1</calculatedColumnFormula>
    </tableColumn>
    <tableColumn id="28" xr3:uid="{B10D2007-82A4-449E-83EA-AA8EF3AC3421}" name="RA0 ou RV - TUSD (kW)" dataDxfId="780"/>
    <tableColumn id="29" xr3:uid="{44B0D3CD-7CFD-4489-9FA8-5C1D9B001F02}" name="RA0 ou RV - TUSD (MWh)" dataDxfId="779"/>
    <tableColumn id="30" xr3:uid="{E36ED2D1-1CC6-4C4A-847D-E9736239A912}" name="RA0 ou RV - TE (MWh)" dataDxfId="778"/>
    <tableColumn id="31" xr3:uid="{797B9B45-8B47-4B4E-AB42-591515F19B1F}" name="RA1 ou RRD - TUSD (kW)" dataDxfId="777"/>
    <tableColumn id="32" xr3:uid="{8919A0AC-CE11-4B98-8159-A29275179C1B}" name="RA1 ou RRD - TUSD (MWh)" dataDxfId="776"/>
    <tableColumn id="33" xr3:uid="{A5C20170-9863-4AE6-937A-296088CA345C}" name="RA1 ou RRD - TE (MWh)" dataDxfId="77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5F4CA9F-D957-4A2B-B1F8-DD21F705DAC5}" name="Subsidio" displayName="Subsidio" ref="A1:AF257" totalsRowShown="0" headerRowDxfId="774" dataDxfId="773">
  <autoFilter ref="A1:AF257" xr:uid="{05F4CA9F-D957-4A2B-B1F8-DD21F705DAC5}"/>
  <tableColumns count="32">
    <tableColumn id="1" xr3:uid="{4FE8EB14-B830-47E9-B7DA-AE35FE589183}" name="TipoMercado" dataDxfId="772"/>
    <tableColumn id="2" xr3:uid="{EEC2FC4F-320E-4EC1-A161-6A54994034F7}" name="Subgrupo" dataDxfId="771"/>
    <tableColumn id="3" xr3:uid="{951ACE04-EA2C-4680-AF19-9AE8CDCC1836}" name="Modalidade" dataDxfId="770"/>
    <tableColumn id="4" xr3:uid="{5E22583F-D42D-402D-84B7-0B45B0EB22C0}" name="Classe" dataDxfId="769"/>
    <tableColumn id="5" xr3:uid="{6AD986DE-BA85-4E19-A952-BE7DE72A1D2B}" name="Subclasse" dataDxfId="768"/>
    <tableColumn id="6" xr3:uid="{A1414DE7-1F64-4B43-9B47-598374700ECF}" name="Detalhe" dataDxfId="767"/>
    <tableColumn id="7" xr3:uid="{21B42B60-207A-43F3-AF7D-20661E8D4207}" name="Agente" dataDxfId="766"/>
    <tableColumn id="8" xr3:uid="{B69B6E12-1EBC-470E-85FA-E9E1E6C485C1}" name="Posto" dataDxfId="765"/>
    <tableColumn id="9" xr3:uid="{C100A17D-03A7-47BE-88FA-80508E25C9DD}" name="AnoMes" dataDxfId="764"/>
    <tableColumn id="10" xr3:uid="{1BEEE76C-C53D-40A4-B7B3-09EE3BF5C2CD}" name="D" dataDxfId="763"/>
    <tableColumn id="11" xr3:uid="{D3AE9C87-4E64-4F7C-B2A6-42CA8BF8A247}" name="Daj" dataDxfId="762"/>
    <tableColumn id="12" xr3:uid="{B0C89188-509F-4772-8288-13BFEF7BD482}" name="TUSD_E" dataDxfId="761"/>
    <tableColumn id="13" xr3:uid="{8173B6E9-0593-41FA-B888-35644AD39DC6}" name="TUSD_Eaj" dataDxfId="760"/>
    <tableColumn id="14" xr3:uid="{274AFEED-E927-4328-991B-6ABA3CA7148D}" name="TE_E" dataDxfId="759"/>
    <tableColumn id="15" xr3:uid="{3AFCC28E-E636-4DEA-9A77-AFBBBF9FBF84}" name="TE_Eaj" dataDxfId="758"/>
    <tableColumn id="16" xr3:uid="{F4909D03-DA75-4D84-91C7-B4BF3BD72D25}" name="UC" dataDxfId="757"/>
    <tableColumn id="17" xr3:uid="{C971369E-646A-43B3-8913-FE91242BED19}" name="OPÇÃO" dataDxfId="756"/>
    <tableColumn id="18" xr3:uid="{0C0C456D-41E1-4477-8FDB-C4D9DC387563}" name="CóD. AUX." dataDxfId="755"/>
    <tableColumn id="19" xr3:uid="{8764341F-B87F-4CFF-8A05-75B879AC9FB0}" name="CóD. AUX. TUSD R$/kW" dataDxfId="754"/>
    <tableColumn id="20" xr3:uid="{DB3FAD18-29B3-49AE-85C1-4F051E478956}" name="CóD. AUX. TUSD R$/MWh" dataDxfId="753"/>
    <tableColumn id="21" xr3:uid="{00758B68-391E-447F-89F6-45EB524E7F35}" name="CóD. AUX. TE R$/MWh" dataDxfId="752"/>
    <tableColumn id="22" xr3:uid="{CFA38CF5-D5E2-4C4D-A38C-224A722C7E66}" name="TUSD (R$/kW)" dataDxfId="751"/>
    <tableColumn id="23" xr3:uid="{50A7713E-C0DA-4259-A70B-953A639C4D41}" name="TUSD (R$/MWh)" dataDxfId="750"/>
    <tableColumn id="24" xr3:uid="{FAD0AC01-81A1-4D5E-BC99-B496A2F04960}" name="TE (R$/MWh)" dataDxfId="749"/>
    <tableColumn id="25" xr3:uid="{7CC3A7A9-CB9A-419A-8B2E-B969F1BC6639}" name="TUSD (R$/kW) NOVA" dataDxfId="748"/>
    <tableColumn id="26" xr3:uid="{F01781F0-C029-41F8-B999-8E49A33FDA34}" name="TUSD (R$/MWh) NOVA" dataDxfId="747">
      <calculatedColumnFormula>('TUSD BE'!$AM$48+'TUSD BF'!$AM$48+'TUSD CVA'!$AM$48)*1</calculatedColumnFormula>
    </tableColumn>
    <tableColumn id="27" xr3:uid="{64EA6699-3305-4A34-97C3-4309A964048F}" name="TE (R$/MWh) NOVA" dataDxfId="746">
      <calculatedColumnFormula>('TE BE'!$AB$39+'TE BF'!$AB$39+'TE CVA'!$AB$39)*1</calculatedColumnFormula>
    </tableColumn>
    <tableColumn id="28" xr3:uid="{A4F9A1CA-737C-4B4D-9573-70B31D1DBB3D}" name="SUBSIDIO kW - TV" dataDxfId="745">
      <calculatedColumnFormula>(J2-K2)*V2</calculatedColumnFormula>
    </tableColumn>
    <tableColumn id="29" xr3:uid="{EBC716E8-72BC-43A7-AFB4-E99C17BA1DBD}" name="SUBSIDIO MWh - TV" dataDxfId="744">
      <calculatedColumnFormula>(L2-M2)*W2+(N2-O2)*X2</calculatedColumnFormula>
    </tableColumn>
    <tableColumn id="30" xr3:uid="{18DB020C-18BC-4B6B-BC15-E96675788A5C}" name="SUBSIDIO kW - TN" dataDxfId="743">
      <calculatedColumnFormula>(J2-K2)*Y2</calculatedColumnFormula>
    </tableColumn>
    <tableColumn id="31" xr3:uid="{7FE017DE-69E2-4CD6-BCE5-53D8866B7CFA}" name="SUBSIDIO MWh - TN" dataDxfId="742">
      <calculatedColumnFormula>(L2-M2)*Z2+(N2-O2)*AA2</calculatedColumnFormula>
    </tableColumn>
    <tableColumn id="32" xr3:uid="{C093FBF2-C5F4-4FE3-9638-20A2BFB2303F}" name="TIPO" dataDxfId="74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A805C9E-B53F-4183-BFBA-3A135DA54B83}" name="Efeito4" displayName="Efeito4" ref="A1:AG641" totalsRowShown="0" headerRowDxfId="184" dataDxfId="183">
  <autoFilter ref="A1:AG641" xr:uid="{D8B16BBC-F9ED-47C1-B58F-8A252A9280C5}"/>
  <tableColumns count="33">
    <tableColumn id="1" xr3:uid="{D715D31B-36D5-4BCE-BAEC-80B6FE9E82C0}" name="TipoMercado" dataDxfId="182"/>
    <tableColumn id="2" xr3:uid="{A62A8A17-FD2A-4A2F-8351-34B37BA92053}" name="Subgrupo" dataDxfId="181"/>
    <tableColumn id="3" xr3:uid="{27A47A60-75FE-4366-9DF8-D9CDE65471C5}" name="Modalidade" dataDxfId="180"/>
    <tableColumn id="4" xr3:uid="{BCB8C68A-CC96-409F-B6F4-4E092C1C81F8}" name="Classe" dataDxfId="179"/>
    <tableColumn id="5" xr3:uid="{0479D8D8-FEBC-4265-B4B4-9A40FBD3E004}" name="Subclasse" dataDxfId="178"/>
    <tableColumn id="6" xr3:uid="{C3920107-B7CA-46CC-ADC7-FC314DE9A6D8}" name="Detalhe" dataDxfId="177"/>
    <tableColumn id="7" xr3:uid="{9FD4DDAB-722C-42E3-910B-2E71170EF8CC}" name="Agente" dataDxfId="176"/>
    <tableColumn id="8" xr3:uid="{861E0231-54FC-4C92-8D5B-548426E67780}" name="Posto" dataDxfId="175"/>
    <tableColumn id="9" xr3:uid="{49D58310-2987-41C9-86B3-A0A56B5A0AE3}" name="AnoMes" dataDxfId="174"/>
    <tableColumn id="10" xr3:uid="{0D04E519-BF96-4D5A-9B36-C4C55EF1D957}" name="D" dataDxfId="173"/>
    <tableColumn id="11" xr3:uid="{DD145388-FC2F-4474-8091-19468814D3DB}" name="Daj" dataDxfId="172"/>
    <tableColumn id="12" xr3:uid="{90D6F5C2-B219-4207-A1F0-7ED5A5AB01DD}" name="TUSD_E" dataDxfId="171"/>
    <tableColumn id="13" xr3:uid="{DB6C2877-2B44-4C38-A43F-12F72EDCB429}" name="TUSD_Eaj" dataDxfId="170"/>
    <tableColumn id="14" xr3:uid="{B0674139-0782-40F1-AB6D-7CC459B80E5E}" name="TE_E" dataDxfId="169"/>
    <tableColumn id="15" xr3:uid="{A6F85E7B-0262-462B-A49F-097301215934}" name="TE_Eaj" dataDxfId="168"/>
    <tableColumn id="16" xr3:uid="{0065DB38-3609-431F-BD3C-248CC4570BDC}" name="UC" dataDxfId="167"/>
    <tableColumn id="17" xr3:uid="{06E8FC15-D871-450B-A8DB-FF2D12C56FD1}" name="OPÇÃO" dataDxfId="166"/>
    <tableColumn id="18" xr3:uid="{151AC0C2-120C-4DA8-9E42-3A1F928ED0A3}" name="CóD. AUX." dataDxfId="165"/>
    <tableColumn id="19" xr3:uid="{106A3BA6-49D2-43CF-90DB-27C706B5A845}" name="CóD. AUX. TUSD R$/kW" dataDxfId="164"/>
    <tableColumn id="20" xr3:uid="{C9476770-C3C4-4A0A-BAE9-815573FB0B36}" name="CóD. AUX. TUSD R$/MWh" dataDxfId="163"/>
    <tableColumn id="21" xr3:uid="{55CFA2D9-8CF7-4E4C-8729-5FAAEFE90570}" name="CóD. AUX. TE R$/MWh" dataDxfId="162"/>
    <tableColumn id="22" xr3:uid="{5FDBBEB4-5E5B-498C-825E-D0DE159ED793}" name="TUSD (R$/kW)" dataDxfId="161"/>
    <tableColumn id="23" xr3:uid="{8C6EE3A1-AE8F-4D97-99A6-6BA4CAEC1702}" name="TUSD (R$/MWh)" dataDxfId="160"/>
    <tableColumn id="24" xr3:uid="{4092778B-342A-461C-BD22-0CF093E8E9A1}" name="TE (R$/MWh)" dataDxfId="159"/>
    <tableColumn id="25" xr3:uid="{427BC783-8146-43A6-87F9-9208FAA070F2}" name="TUSD (R$/kW) NOVA" dataDxfId="158"/>
    <tableColumn id="26" xr3:uid="{7F7E7ADC-5FCC-4264-94F6-57B1CD2D0BCE}" name="TUSD (R$/MWh) NOVA" dataDxfId="157">
      <calculatedColumnFormula>('TUSD BE'!$AM$50+'TUSD BF'!$AM$50+'TUSD CVA'!$AM$50)*1</calculatedColumnFormula>
    </tableColumn>
    <tableColumn id="27" xr3:uid="{AFE4CCCE-0CF5-4BFC-BEDD-62D634D5AE02}" name="TE (R$/MWh) NOVA" dataDxfId="156">
      <calculatedColumnFormula>('TE BE'!$AB$41+'TE BF'!$AB$41+'TE CVA'!$AB$41)*1</calculatedColumnFormula>
    </tableColumn>
    <tableColumn id="28" xr3:uid="{20BD486C-8C2F-41AD-869B-020FC6C4B9FB}" name="RA0 ou RV - TUSD (kW)" dataDxfId="155"/>
    <tableColumn id="29" xr3:uid="{01D54EA1-681B-4C17-945D-715495D43878}" name="RA0 ou RV - TUSD (MWh)" dataDxfId="154"/>
    <tableColumn id="30" xr3:uid="{058FC839-CE0A-4BDA-8EEB-F93488D38B5F}" name="RA0 ou RV - TE (MWh)" dataDxfId="153"/>
    <tableColumn id="31" xr3:uid="{88726B3E-C23A-4792-A661-B6C1F7E5BAC4}" name="RA1 ou RRD - TUSD (kW)" dataDxfId="152"/>
    <tableColumn id="32" xr3:uid="{BC2C3232-93E1-4A82-A608-6EA7CC482AF5}" name="RA1 ou RRD - TUSD (MWh)" dataDxfId="151"/>
    <tableColumn id="33" xr3:uid="{491161E0-9460-4170-A1EA-3DD3BA81A0DE}" name="RA1 ou RRD - TE (MWh)" dataDxfId="15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6EC6642-390E-4FF2-A0B6-5BF9082D33B5}" name="TabelaFin" displayName="TabelaFin" ref="B3:AT50" tableType="queryTable" totalsRowShown="0" headerRowDxfId="101" dataDxfId="100" headerRowBorderDxfId="148" tableBorderDxfId="149" totalsRowBorderDxfId="147">
  <autoFilter ref="B3:AT50" xr:uid="{56EC6642-390E-4FF2-A0B6-5BF9082D33B5}"/>
  <sortState xmlns:xlrd2="http://schemas.microsoft.com/office/spreadsheetml/2017/richdata2" ref="B4:AT50">
    <sortCondition ref="B4:B50"/>
    <sortCondition ref="C4:C50"/>
    <sortCondition ref="D4:D50"/>
    <sortCondition ref="E4:E50"/>
    <sortCondition ref="F4:F50"/>
    <sortCondition descending="1" ref="G4:G50"/>
    <sortCondition descending="1" ref="H4:H50"/>
    <sortCondition ref="I4:I50"/>
  </sortState>
  <tableColumns count="45">
    <tableColumn id="46" xr3:uid="{8EBBA683-133D-4873-9AE8-1988C2150A99}" uniqueName="46" name="SUBGRUPO" queryTableFieldId="1" dataDxfId="146"/>
    <tableColumn id="47" xr3:uid="{30ED10E0-2993-460A-974D-8C0BB8BB233A}" uniqueName="47" name="MODALIDADE" queryTableFieldId="2" dataDxfId="145"/>
    <tableColumn id="48" xr3:uid="{70485258-4A3E-4998-9A6D-5B3F8BA0D80F}" uniqueName="48" name="CLASSE" queryTableFieldId="3" dataDxfId="144"/>
    <tableColumn id="49" xr3:uid="{ED80BEBC-70EC-4C06-90BA-EEC19A51C02A}" uniqueName="49" name="SUBCLASSE" queryTableFieldId="4" dataDxfId="143"/>
    <tableColumn id="50" xr3:uid="{59D1BD22-745F-4C49-A330-71C6EFE3C560}" uniqueName="50" name="DETALHE" queryTableFieldId="5" dataDxfId="142"/>
    <tableColumn id="51" xr3:uid="{D44DBFEB-694D-4D8C-A9F7-81AA8C0D26B4}" uniqueName="51" name="POSTO" queryTableFieldId="6" dataDxfId="141"/>
    <tableColumn id="52" xr3:uid="{51DA8494-139B-4B4A-A7B1-A604377C991E}" uniqueName="52" name="UNIDADE" queryTableFieldId="7" dataDxfId="140"/>
    <tableColumn id="53" xr3:uid="{974E4E34-CD28-4D85-A537-7FD6A40A3F15}" uniqueName="53" name="ACESSANTE" queryTableFieldId="8" dataDxfId="139"/>
    <tableColumn id="54" xr3:uid="{738164CE-AD6F-48B7-8B4D-5717A6FE2109}" uniqueName="54" name="Total TUSD" queryTableFieldId="9" dataDxfId="138"/>
    <tableColumn id="55" xr3:uid="{A8484782-FE44-40E4-B192-8C2F7D69E0A1}" uniqueName="55" name="Total TE" queryTableFieldId="10" dataDxfId="137"/>
    <tableColumn id="56" xr3:uid="{CB1ED59F-D55F-479B-BD7D-358D5FE50915}" uniqueName="56" name="TUSD_CDE_COVID" queryTableFieldId="11" dataDxfId="136"/>
    <tableColumn id="57" xr3:uid="{5CB581A0-3415-4988-9532-7597123A9AD5}" uniqueName="57" name="TUSD_TFSEE" queryTableFieldId="12" dataDxfId="135"/>
    <tableColumn id="58" xr3:uid="{6405E6D4-43E6-40C0-93E6-47B72F3F33E1}" uniqueName="58" name="TUSD_PeD" queryTableFieldId="13" dataDxfId="134"/>
    <tableColumn id="59" xr3:uid="{9EF071BB-556D-4CB8-8EFB-7A2EC9ED8A2D}" uniqueName="59" name="TUSD_ONS" queryTableFieldId="14" dataDxfId="133"/>
    <tableColumn id="60" xr3:uid="{B2752F77-A8F8-4399-86E7-470BF7C8D5D2}" uniqueName="60" name="TUSD_CCC" queryTableFieldId="15" dataDxfId="132"/>
    <tableColumn id="61" xr3:uid="{347B6864-CF93-4D37-974C-5CAC08AAC543}" uniqueName="61" name="TUSD_CDE" queryTableFieldId="16" dataDxfId="131"/>
    <tableColumn id="62" xr3:uid="{B5FF2CA2-4BA7-4EF8-B078-566152BC6847}" uniqueName="62" name="TUSD_PROINFA" queryTableFieldId="17" dataDxfId="130"/>
    <tableColumn id="63" xr3:uid="{E0707FA8-325D-4C64-8AF1-EADC43FCC0E7}" uniqueName="63" name="Liminar1" queryTableFieldId="18" dataDxfId="129"/>
    <tableColumn id="64" xr3:uid="{FFC9C7F2-EB6E-4E62-AC44-6866D5CC3995}" uniqueName="64" name="TUSD_RB" queryTableFieldId="19" dataDxfId="128"/>
    <tableColumn id="65" xr3:uid="{9C4A2B1E-6A61-4885-8996-B74E55C27F9D}" uniqueName="65" name="TUSD_FR" queryTableFieldId="20" dataDxfId="127"/>
    <tableColumn id="66" xr3:uid="{9AE80C50-6C09-4D90-A63B-5FCC029FF211}" uniqueName="66" name="TUSD_CCT" queryTableFieldId="21" dataDxfId="126"/>
    <tableColumn id="67" xr3:uid="{014EFDE8-A2D7-42F2-9FFD-717505A764AF}" uniqueName="67" name="TUSD_CCD" queryTableFieldId="22" dataDxfId="125"/>
    <tableColumn id="68" xr3:uid="{3A75D9BC-AD45-44A7-AA36-C53E58D99C4A}" uniqueName="68" name="TUSD_CUSD" queryTableFieldId="23" dataDxfId="124"/>
    <tableColumn id="69" xr3:uid="{2158A28D-B622-46F6-B4FA-D32AFBA603CC}" uniqueName="69" name="TUSDG_T" queryTableFieldId="24" dataDxfId="123"/>
    <tableColumn id="70" xr3:uid="{46EB428B-9893-4B8A-82FF-3664236486A5}" uniqueName="70" name="TUSDG_ONS" queryTableFieldId="25" dataDxfId="122"/>
    <tableColumn id="71" xr3:uid="{2B8D2CEA-94BD-4AA4-88F1-BFD2BD48454A}" uniqueName="71" name="TUSD_FioB" queryTableFieldId="26" dataDxfId="121"/>
    <tableColumn id="72" xr3:uid="{317FBAF4-CDCB-4A8C-B9D9-A0C4E5E1F81E}" uniqueName="72" name="TUSD Subsidio" queryTableFieldId="27" dataDxfId="120"/>
    <tableColumn id="73" xr3:uid="{F0DD479D-C907-4ACD-80D5-3E372C314582}" uniqueName="73" name="TUSD BENEFICIO_L14299" queryTableFieldId="28" dataDxfId="119"/>
    <tableColumn id="74" xr3:uid="{B376D2E2-29D3-4DFA-B326-CE43F39A6C25}" uniqueName="74" name="TUSD Outros" queryTableFieldId="29" dataDxfId="118"/>
    <tableColumn id="75" xr3:uid="{844A06C5-01F7-4FC9-9A20-BFDAB61C0AB0}" uniqueName="75" name="TUSD_PT" queryTableFieldId="30" dataDxfId="117"/>
    <tableColumn id="76" xr3:uid="{B88EDD73-2BED-47E3-83D0-38160A8D33CC}" uniqueName="76" name="TUSD_Per_RB_D" queryTableFieldId="31" dataDxfId="116"/>
    <tableColumn id="77" xr3:uid="{A38D553D-FBF8-425B-BD46-E3C118475084}" uniqueName="77" name="TUSD_PNT" queryTableFieldId="32" dataDxfId="115"/>
    <tableColumn id="78" xr3:uid="{E0D87819-83D7-4D34-98B5-69AFB2823EB7}" uniqueName="78" name="TUSD_RI" queryTableFieldId="33" dataDxfId="114"/>
    <tableColumn id="79" xr3:uid="{5603AB32-B016-42D6-BAFC-43375CFA6C1C}" uniqueName="79" name="TE_CDE_COVID" queryTableFieldId="34" dataDxfId="113"/>
    <tableColumn id="80" xr3:uid="{82F1F285-C2CD-49F8-B9E7-C841E2EF747C}" uniqueName="80" name="TE_CDE_ELET" queryTableFieldId="35" dataDxfId="112"/>
    <tableColumn id="81" xr3:uid="{84E9C9B4-AF59-4F0C-99A8-1D79461087FD}" uniqueName="81" name="TE_PeD" queryTableFieldId="36" dataDxfId="111"/>
    <tableColumn id="82" xr3:uid="{B34B15E2-5624-4742-A772-2AA8041F8669}" uniqueName="82" name="TE_ESSERR" queryTableFieldId="37" dataDxfId="110"/>
    <tableColumn id="83" xr3:uid="{F72BC0DB-B85C-4649-866D-1515044A7A28}" uniqueName="83" name="TE_CFURH" queryTableFieldId="38" dataDxfId="109"/>
    <tableColumn id="84" xr3:uid="{E6536096-B287-41AA-9612-E9AA682FC61C}" uniqueName="84" name="TE_ENERGIA" queryTableFieldId="39" dataDxfId="108"/>
    <tableColumn id="85" xr3:uid="{DA3C5802-1594-420D-A0BB-77EE8A46C7D8}" uniqueName="85" name="TE_TRANSPORTE_ITAIPU" queryTableFieldId="40" dataDxfId="107"/>
    <tableColumn id="86" xr3:uid="{734DFF0E-E7D5-4CF0-988C-546DA03907E0}" uniqueName="86" name="TE_TUST_ITAIPU" queryTableFieldId="41" dataDxfId="106"/>
    <tableColumn id="87" xr3:uid="{9270AD1E-BF7A-468E-9E1F-BB444B8B41CA}" uniqueName="87" name="TE_TUST_CI" queryTableFieldId="42" dataDxfId="105"/>
    <tableColumn id="88" xr3:uid="{74F4F44A-977A-4F59-945D-B8C115135DDE}" uniqueName="88" name="TE Subsidio" queryTableFieldId="43" dataDxfId="104"/>
    <tableColumn id="89" xr3:uid="{174A816F-9CAA-4756-BF9A-9B87DC228388}" uniqueName="89" name="TE BENEFICIO_L14299" queryTableFieldId="44" dataDxfId="103"/>
    <tableColumn id="90" xr3:uid="{92D02873-EBED-4DBC-B7EF-42191247D123}" uniqueName="90" name="TE_Per_RB" queryTableFieldId="45" dataDxfId="10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3615224-7F22-4548-A07A-B37F21A88A10}" name="TabelaEc" displayName="TabelaEc" ref="B3:AT50" tableType="queryTable" totalsRowShown="0" headerRowDxfId="51" dataDxfId="50" headerRowBorderDxfId="98" tableBorderDxfId="99" totalsRowBorderDxfId="97">
  <autoFilter ref="B3:AT50" xr:uid="{23615224-7F22-4548-A07A-B37F21A88A10}"/>
  <sortState xmlns:xlrd2="http://schemas.microsoft.com/office/spreadsheetml/2017/richdata2" ref="B4:AT50">
    <sortCondition ref="B4:B50"/>
    <sortCondition ref="C4:C50"/>
    <sortCondition ref="D4:D50"/>
    <sortCondition ref="E4:E50"/>
    <sortCondition ref="F4:F50"/>
    <sortCondition descending="1" ref="G4:G50"/>
    <sortCondition descending="1" ref="H4:H50"/>
    <sortCondition ref="I4:I50"/>
  </sortState>
  <tableColumns count="45">
    <tableColumn id="46" xr3:uid="{CC4820F5-4E81-4476-9D40-BAF9A955EED3}" uniqueName="46" name="SUBGRUPO" queryTableFieldId="1" dataDxfId="96"/>
    <tableColumn id="47" xr3:uid="{170DEA29-6EBF-4038-9568-7393E875E373}" uniqueName="47" name="MODALIDADE" queryTableFieldId="2" dataDxfId="95"/>
    <tableColumn id="48" xr3:uid="{C2CCEE43-FBA1-4264-850B-AFBC97F6E0D9}" uniqueName="48" name="CLASSE" queryTableFieldId="3" dataDxfId="94"/>
    <tableColumn id="49" xr3:uid="{D4358E0C-BA05-41F8-BF07-CA1A795BAE09}" uniqueName="49" name="SUBCLASSE" queryTableFieldId="4" dataDxfId="93"/>
    <tableColumn id="50" xr3:uid="{C1983204-B56E-4653-AA12-C586D9F74223}" uniqueName="50" name="DETALHE" queryTableFieldId="5" dataDxfId="92"/>
    <tableColumn id="51" xr3:uid="{629A366A-B0BC-436A-9AC1-CBCAB72DF9EF}" uniqueName="51" name="POSTO" queryTableFieldId="6" dataDxfId="91"/>
    <tableColumn id="52" xr3:uid="{50D02CC4-2174-4157-BFCE-9AC8EDC32969}" uniqueName="52" name="UNIDADE" queryTableFieldId="7" dataDxfId="90"/>
    <tableColumn id="53" xr3:uid="{409F61C0-8B37-4E6F-A367-66E8C656296B}" uniqueName="53" name="ACESSANTE" queryTableFieldId="8" dataDxfId="89"/>
    <tableColumn id="54" xr3:uid="{9FB37B0C-97A9-4FC5-B04A-97F36DD48E57}" uniqueName="54" name="Total TUSD" queryTableFieldId="9" dataDxfId="88"/>
    <tableColumn id="55" xr3:uid="{86A323ED-06EA-448F-B2DD-18A9E932491A}" uniqueName="55" name="Total TE" queryTableFieldId="10" dataDxfId="87"/>
    <tableColumn id="56" xr3:uid="{58CABF71-7B19-4C09-8FCF-79FA62A890F0}" uniqueName="56" name="TUSD_CDE_COVID" queryTableFieldId="11" dataDxfId="86"/>
    <tableColumn id="57" xr3:uid="{3C8381F6-2C21-40F6-9FED-8A51603577C1}" uniqueName="57" name="TUSD_TFSEE" queryTableFieldId="12" dataDxfId="85"/>
    <tableColumn id="58" xr3:uid="{D8B37B93-C9C8-4ACB-8318-DA15D927915B}" uniqueName="58" name="TUSD_PeD" queryTableFieldId="13" dataDxfId="84"/>
    <tableColumn id="59" xr3:uid="{8D152A9B-3B0E-451B-AEE7-54019D0BB18E}" uniqueName="59" name="TUSD_ONS" queryTableFieldId="14" dataDxfId="83"/>
    <tableColumn id="60" xr3:uid="{68E5C583-86A5-4043-8CDF-104CD69F7AF4}" uniqueName="60" name="TUSD_CCC" queryTableFieldId="15" dataDxfId="82"/>
    <tableColumn id="61" xr3:uid="{EAC49E07-7206-4DB9-AD15-9F7283D31019}" uniqueName="61" name="TUSD_CDE" queryTableFieldId="16" dataDxfId="81"/>
    <tableColumn id="62" xr3:uid="{91888346-E92C-401C-A2CC-2767D6D05D9A}" uniqueName="62" name="TUSD_PROINFA" queryTableFieldId="17" dataDxfId="80"/>
    <tableColumn id="63" xr3:uid="{F1D99A95-828E-46F3-A8A2-FA78FC70008B}" uniqueName="63" name="Liminar1" queryTableFieldId="18" dataDxfId="79"/>
    <tableColumn id="64" xr3:uid="{84825F86-5308-4280-831B-1E6BE9824B75}" uniqueName="64" name="TUSD_RB" queryTableFieldId="19" dataDxfId="78"/>
    <tableColumn id="65" xr3:uid="{6513FFDF-67F1-42D0-A53C-AC61971D945F}" uniqueName="65" name="TUSD_FR" queryTableFieldId="20" dataDxfId="77"/>
    <tableColumn id="66" xr3:uid="{E3BF3942-913A-446D-9C46-DBC6CE637617}" uniqueName="66" name="TUSD_CCT" queryTableFieldId="21" dataDxfId="76"/>
    <tableColumn id="67" xr3:uid="{84455039-7338-426A-A463-CEC9BB98BF0B}" uniqueName="67" name="TUSD_CCD" queryTableFieldId="22" dataDxfId="75"/>
    <tableColumn id="68" xr3:uid="{127EEF99-0B56-4EC7-B290-C93D60187DF4}" uniqueName="68" name="TUSD_CUSD" queryTableFieldId="23" dataDxfId="74"/>
    <tableColumn id="69" xr3:uid="{F486CDA3-7B56-41C2-8D7D-6C0384DDF27A}" uniqueName="69" name="TUSDG_T" queryTableFieldId="24" dataDxfId="73"/>
    <tableColumn id="70" xr3:uid="{1A2234B3-6C0F-469D-8BF7-C8E52D6F179B}" uniqueName="70" name="TUSDG_ONS" queryTableFieldId="25" dataDxfId="72"/>
    <tableColumn id="71" xr3:uid="{803064FD-2589-4C48-8C76-687146BC5844}" uniqueName="71" name="TUSD_FioB" queryTableFieldId="26" dataDxfId="71"/>
    <tableColumn id="72" xr3:uid="{5408C6B7-58B2-4867-AA40-128EEDF0DF60}" uniqueName="72" name="TUSD Subsidio" queryTableFieldId="27" dataDxfId="70"/>
    <tableColumn id="73" xr3:uid="{D05D2B3A-3C10-4581-9D93-10ADA3736604}" uniqueName="73" name="TUSD BENEFICIO_L14299" queryTableFieldId="28" dataDxfId="69"/>
    <tableColumn id="74" xr3:uid="{C4CFFECE-B6C9-47F3-A057-2F6FDCA7E8F7}" uniqueName="74" name="TUSD Outros" queryTableFieldId="29" dataDxfId="68"/>
    <tableColumn id="75" xr3:uid="{A917ECBA-B358-4343-A83A-54D6C1547E1A}" uniqueName="75" name="TUSD_PT" queryTableFieldId="30" dataDxfId="67"/>
    <tableColumn id="76" xr3:uid="{3F3F39A9-FF98-4844-8878-C02694A71938}" uniqueName="76" name="TUSD_Per_RB_D" queryTableFieldId="31" dataDxfId="66"/>
    <tableColumn id="77" xr3:uid="{ECCB7F5F-17E6-4009-AF8B-6A18C2A053BB}" uniqueName="77" name="TUSD_PNT" queryTableFieldId="32" dataDxfId="65"/>
    <tableColumn id="78" xr3:uid="{B46A64D8-E8FA-41BC-8FD9-B478E6CF64A6}" uniqueName="78" name="TUSD_RI" queryTableFieldId="33" dataDxfId="64"/>
    <tableColumn id="79" xr3:uid="{DBD2B6C0-1269-48D9-B7D7-7E6148BB26FD}" uniqueName="79" name="TE_CDE_COVID" queryTableFieldId="34" dataDxfId="63"/>
    <tableColumn id="80" xr3:uid="{FD8F091E-AD60-4513-8B49-9CA7DF602596}" uniqueName="80" name="TE_CDE_ELET" queryTableFieldId="35" dataDxfId="62"/>
    <tableColumn id="81" xr3:uid="{55D87D85-1417-4062-8B96-189AB02EE214}" uniqueName="81" name="TE_PeD" queryTableFieldId="36" dataDxfId="61"/>
    <tableColumn id="82" xr3:uid="{C2FB9523-BE9C-4B46-827F-B6BB145F51D1}" uniqueName="82" name="TE_ESSERR" queryTableFieldId="37" dataDxfId="60"/>
    <tableColumn id="83" xr3:uid="{20650AC6-15BC-489C-926D-E239A6F087A2}" uniqueName="83" name="TE_CFURH" queryTableFieldId="38" dataDxfId="59"/>
    <tableColumn id="84" xr3:uid="{FDA313AE-4B82-4021-90D5-5798D9A91EC5}" uniqueName="84" name="TE_ENERGIA" queryTableFieldId="39" dataDxfId="58"/>
    <tableColumn id="85" xr3:uid="{BAC3558C-5EB1-4028-8F98-5B4515A32BD4}" uniqueName="85" name="TE_TRANSPORTE_ITAIPU" queryTableFieldId="40" dataDxfId="57"/>
    <tableColumn id="86" xr3:uid="{A8B58A9F-7354-4BE0-8495-962B7D4957F7}" uniqueName="86" name="TE_TUST_ITAIPU" queryTableFieldId="41" dataDxfId="56"/>
    <tableColumn id="87" xr3:uid="{7B0CFBEB-7BD6-4416-A06F-84BFDD5C9FF8}" uniqueName="87" name="TE_TUST_CI" queryTableFieldId="42" dataDxfId="55"/>
    <tableColumn id="88" xr3:uid="{3A7E3736-3606-4281-BA1E-AFAAA82687D2}" uniqueName="88" name="TE Subsidio" queryTableFieldId="43" dataDxfId="54"/>
    <tableColumn id="89" xr3:uid="{DE46FDDA-7F7F-47D2-9ED6-5BCF862FC319}" uniqueName="89" name="TE BENEFICIO_L14299" queryTableFieldId="44" dataDxfId="53"/>
    <tableColumn id="90" xr3:uid="{119D7CA4-1835-40B5-AD7F-517FBD0E07E9}" uniqueName="90" name="TE_Per_RB" queryTableFieldId="45" dataDxfId="52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E248496-BCBA-45F1-B0CE-548191B31628}" name="TabelaCVA" displayName="TabelaCVA" ref="B3:AT50" tableType="queryTable" totalsRowShown="0" headerRowDxfId="1" dataDxfId="0" headerRowBorderDxfId="48" tableBorderDxfId="49" totalsRowBorderDxfId="47">
  <autoFilter ref="B3:AT50" xr:uid="{0E248496-BCBA-45F1-B0CE-548191B31628}"/>
  <sortState xmlns:xlrd2="http://schemas.microsoft.com/office/spreadsheetml/2017/richdata2" ref="B4:AT50">
    <sortCondition ref="B4:B50"/>
    <sortCondition ref="C4:C50"/>
    <sortCondition ref="D4:D50"/>
    <sortCondition ref="E4:E50"/>
    <sortCondition ref="F4:F50"/>
    <sortCondition descending="1" ref="G4:G50"/>
    <sortCondition descending="1" ref="H4:H50"/>
    <sortCondition ref="I4:I50"/>
  </sortState>
  <tableColumns count="45">
    <tableColumn id="46" xr3:uid="{8818FDE5-23A0-498F-857E-25F1BC75666D}" uniqueName="46" name="SUBGRUPO" queryTableFieldId="1" dataDxfId="46"/>
    <tableColumn id="47" xr3:uid="{F3E34698-9D87-4B63-8B4A-DADDB9E9B7EA}" uniqueName="47" name="MODALIDADE" queryTableFieldId="2" dataDxfId="45"/>
    <tableColumn id="48" xr3:uid="{B94A2757-9A33-4EE5-93D3-F2085DE5B09A}" uniqueName="48" name="CLASSE" queryTableFieldId="3" dataDxfId="44"/>
    <tableColumn id="49" xr3:uid="{CE9DD693-9FA7-4FB4-8661-C9DA5C348808}" uniqueName="49" name="SUBCLASSE" queryTableFieldId="4" dataDxfId="43"/>
    <tableColumn id="50" xr3:uid="{4379BC8E-908D-4BDC-A3F7-3E4C13A46E00}" uniqueName="50" name="DETALHE" queryTableFieldId="5" dataDxfId="42"/>
    <tableColumn id="51" xr3:uid="{270E5BD6-F647-4B12-AB01-F9D6D7D1D928}" uniqueName="51" name="POSTO" queryTableFieldId="6" dataDxfId="41"/>
    <tableColumn id="52" xr3:uid="{9DCED404-D97F-4B20-AB99-F5AFF38AE76E}" uniqueName="52" name="UNIDADE" queryTableFieldId="7" dataDxfId="40"/>
    <tableColumn id="53" xr3:uid="{C654C5F9-8D22-44C9-B3F2-9D2E6798EF29}" uniqueName="53" name="ACESSANTE" queryTableFieldId="8" dataDxfId="39"/>
    <tableColumn id="54" xr3:uid="{71754DF8-234A-43D8-AAB3-D1AC8C6F0486}" uniqueName="54" name="Total TUSD" queryTableFieldId="9" dataDxfId="38"/>
    <tableColumn id="55" xr3:uid="{BAAE50D8-BD0B-4BA0-AAF4-F0732EF98B8F}" uniqueName="55" name="Total TE" queryTableFieldId="10" dataDxfId="37"/>
    <tableColumn id="56" xr3:uid="{2F4DA3C2-90AC-42BD-9A96-2D2D5C6C4892}" uniqueName="56" name="TUSD_CDE_COVID" queryTableFieldId="11" dataDxfId="36"/>
    <tableColumn id="57" xr3:uid="{8495142D-98C9-434C-A81C-B977C03D3BD5}" uniqueName="57" name="TUSD_TFSEE" queryTableFieldId="12" dataDxfId="35"/>
    <tableColumn id="58" xr3:uid="{8377EF24-892D-4354-A87B-07555551CFE3}" uniqueName="58" name="TUSD_PeD" queryTableFieldId="13" dataDxfId="34"/>
    <tableColumn id="59" xr3:uid="{5A01848A-2A89-4998-8D22-2102DEB6CAE6}" uniqueName="59" name="TUSD_ONS" queryTableFieldId="14" dataDxfId="33"/>
    <tableColumn id="60" xr3:uid="{AF6AD6B1-E5F3-465F-9380-9B4B1A98C5BC}" uniqueName="60" name="TUSD_CCC" queryTableFieldId="15" dataDxfId="32"/>
    <tableColumn id="61" xr3:uid="{36DC68F0-02C5-42CD-9DAB-1A50CF282B86}" uniqueName="61" name="TUSD_CDE" queryTableFieldId="16" dataDxfId="31"/>
    <tableColumn id="62" xr3:uid="{3D769655-311C-40B7-A71B-C99F8F0C5DF8}" uniqueName="62" name="TUSD_PROINFA" queryTableFieldId="17" dataDxfId="30"/>
    <tableColumn id="63" xr3:uid="{75723396-DE14-4CBF-B890-074DA30C45B6}" uniqueName="63" name="Liminar1" queryTableFieldId="18" dataDxfId="29"/>
    <tableColumn id="64" xr3:uid="{AFE967C0-9267-49F6-A080-6CBCCAC576CC}" uniqueName="64" name="TUSD_RB" queryTableFieldId="19" dataDxfId="28"/>
    <tableColumn id="65" xr3:uid="{239ED70A-3915-4667-9CAE-00805027E08C}" uniqueName="65" name="TUSD_FR" queryTableFieldId="20" dataDxfId="27"/>
    <tableColumn id="66" xr3:uid="{31CB2D8A-8D3E-4747-B035-679EE3FC8967}" uniqueName="66" name="TUSD_CCT" queryTableFieldId="21" dataDxfId="26"/>
    <tableColumn id="67" xr3:uid="{D1804D4D-922A-4C96-BDA6-7179DFA09D04}" uniqueName="67" name="TUSD_CCD" queryTableFieldId="22" dataDxfId="25"/>
    <tableColumn id="68" xr3:uid="{E62AF358-9AD5-489C-B67A-C347CC0F2A0C}" uniqueName="68" name="TUSD_CUSD" queryTableFieldId="23" dataDxfId="24"/>
    <tableColumn id="69" xr3:uid="{3259989C-E137-4846-B25F-DEE63CD6F99D}" uniqueName="69" name="TUSDG_T" queryTableFieldId="24" dataDxfId="23"/>
    <tableColumn id="70" xr3:uid="{C44752B4-5670-4AE7-ADF8-9DA660CA2880}" uniqueName="70" name="TUSDG_ONS" queryTableFieldId="25" dataDxfId="22"/>
    <tableColumn id="71" xr3:uid="{AE7C4F3F-0480-40CA-86F3-DC44306A5A44}" uniqueName="71" name="TUSD_FioB" queryTableFieldId="26" dataDxfId="21"/>
    <tableColumn id="72" xr3:uid="{99D82324-207F-4891-A47C-CE84654371B9}" uniqueName="72" name="TUSD Subsidio" queryTableFieldId="27" dataDxfId="20"/>
    <tableColumn id="73" xr3:uid="{1315C72E-EDBF-4745-A754-DEEC41F37889}" uniqueName="73" name="TUSD BENEFICIO_L14299" queryTableFieldId="28" dataDxfId="19"/>
    <tableColumn id="74" xr3:uid="{D8DFA8C4-1630-4AD2-8D8A-E7173F5CD49D}" uniqueName="74" name="TUSD Outros" queryTableFieldId="29" dataDxfId="18"/>
    <tableColumn id="75" xr3:uid="{02564EA7-E7A3-4EE2-897D-13563CDA62C8}" uniqueName="75" name="TUSD_PT" queryTableFieldId="30" dataDxfId="17"/>
    <tableColumn id="76" xr3:uid="{9C2BFC0F-800B-49C0-99DA-4A91B582F21D}" uniqueName="76" name="TUSD_Per_RB_D" queryTableFieldId="31" dataDxfId="16"/>
    <tableColumn id="77" xr3:uid="{FF7F642E-E5DA-4537-AE74-3DF9AAFAC220}" uniqueName="77" name="TUSD_PNT" queryTableFieldId="32" dataDxfId="15"/>
    <tableColumn id="78" xr3:uid="{F25209F1-02D8-471F-B7EF-CFCF754E1978}" uniqueName="78" name="TUSD_RI" queryTableFieldId="33" dataDxfId="14"/>
    <tableColumn id="79" xr3:uid="{82D6CF12-FD3D-4FB6-A0FF-950283E2FFA3}" uniqueName="79" name="TE_CDE_COVID" queryTableFieldId="34" dataDxfId="13"/>
    <tableColumn id="80" xr3:uid="{8808B904-B92C-489B-B748-C6038884B631}" uniqueName="80" name="TE_CDE_ELET" queryTableFieldId="35" dataDxfId="12"/>
    <tableColumn id="81" xr3:uid="{533C5287-9406-4343-8D4E-45366FF3DD34}" uniqueName="81" name="TE_PeD" queryTableFieldId="36" dataDxfId="11"/>
    <tableColumn id="82" xr3:uid="{CBB98D1C-8BBC-46B5-AB59-5E10DA8EDCE4}" uniqueName="82" name="TE_ESSERR" queryTableFieldId="37" dataDxfId="10"/>
    <tableColumn id="83" xr3:uid="{CEEF431C-E177-4F27-B958-D27D889C9345}" uniqueName="83" name="TE_CFURH" queryTableFieldId="38" dataDxfId="9"/>
    <tableColumn id="84" xr3:uid="{C0BC5A1D-312C-4836-BBA1-7D58DE7EFF8D}" uniqueName="84" name="TE_ENERGIA" queryTableFieldId="39" dataDxfId="8"/>
    <tableColumn id="85" xr3:uid="{8B5E4448-5FA3-40F3-98B5-5513C7594567}" uniqueName="85" name="TE_TRANSPORTE_ITAIPU" queryTableFieldId="40" dataDxfId="7"/>
    <tableColumn id="86" xr3:uid="{04BA06AB-2D08-456E-AA55-39572469421B}" uniqueName="86" name="TE_TUST_ITAIPU" queryTableFieldId="41" dataDxfId="6"/>
    <tableColumn id="87" xr3:uid="{01BABB44-B9FC-4217-BC2E-AE3062642149}" uniqueName="87" name="TE_TUST_CI" queryTableFieldId="42" dataDxfId="5"/>
    <tableColumn id="88" xr3:uid="{B2E847A6-F6DD-4E19-A614-D5908286D023}" uniqueName="88" name="TE Subsidio" queryTableFieldId="43" dataDxfId="4"/>
    <tableColumn id="89" xr3:uid="{597422C7-4F49-41F3-9F71-994CE6C359EC}" uniqueName="89" name="TE BENEFICIO_L14299" queryTableFieldId="44" dataDxfId="3"/>
    <tableColumn id="90" xr3:uid="{EDF2D8F3-BDE5-4DF9-8695-D01B7904A96D}" uniqueName="90" name="TE_Per_RB" queryTableFieldId="45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4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5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8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B3648-A373-4879-8089-B98CAF9958C9}">
  <sheetPr codeName="Planilha1" filterMode="1"/>
  <dimension ref="A1:AX261"/>
  <sheetViews>
    <sheetView showGridLines="0" workbookViewId="0">
      <selection activeCell="D99" sqref="D99"/>
    </sheetView>
  </sheetViews>
  <sheetFormatPr defaultColWidth="9.140625" defaultRowHeight="11.25" x14ac:dyDescent="0.25"/>
  <cols>
    <col min="1" max="1" width="4.7109375" style="8" bestFit="1" customWidth="1"/>
    <col min="2" max="2" width="8.85546875" style="8" bestFit="1" customWidth="1"/>
    <col min="3" max="3" width="8.7109375" style="8" bestFit="1" customWidth="1"/>
    <col min="4" max="4" width="27.140625" style="8" bestFit="1" customWidth="1"/>
    <col min="5" max="5" width="13.5703125" style="8" bestFit="1" customWidth="1"/>
    <col min="6" max="6" width="25.140625" style="8" bestFit="1" customWidth="1"/>
    <col min="7" max="7" width="10.28515625" style="8" bestFit="1" customWidth="1"/>
    <col min="8" max="8" width="21.7109375" style="8" bestFit="1" customWidth="1"/>
    <col min="9" max="9" width="10.28515625" style="8" bestFit="1" customWidth="1"/>
    <col min="10" max="10" width="6.85546875" style="8" bestFit="1" customWidth="1"/>
    <col min="11" max="11" width="4.5703125" style="8" bestFit="1" customWidth="1"/>
    <col min="12" max="12" width="4.42578125" style="8" bestFit="1" customWidth="1"/>
    <col min="13" max="13" width="6.7109375" style="8" bestFit="1" customWidth="1"/>
    <col min="14" max="14" width="6.28515625" style="8" bestFit="1" customWidth="1"/>
    <col min="15" max="15" width="11.140625" style="8" bestFit="1" customWidth="1"/>
    <col min="16" max="16" width="10.42578125" style="8" bestFit="1" customWidth="1"/>
    <col min="17" max="16384" width="9.140625" style="8"/>
  </cols>
  <sheetData>
    <row r="1" spans="1:50" ht="11.25" customHeight="1" x14ac:dyDescent="0.25">
      <c r="A1" s="69" t="s">
        <v>602</v>
      </c>
      <c r="B1" s="69" t="s">
        <v>593</v>
      </c>
      <c r="C1" s="69" t="s">
        <v>1</v>
      </c>
      <c r="D1" s="69" t="s">
        <v>2</v>
      </c>
      <c r="E1" s="69" t="s">
        <v>3</v>
      </c>
      <c r="F1" s="69" t="s">
        <v>4</v>
      </c>
      <c r="G1" s="69" t="s">
        <v>5</v>
      </c>
      <c r="H1" s="69" t="s">
        <v>6</v>
      </c>
      <c r="I1" s="69" t="s">
        <v>7</v>
      </c>
      <c r="J1" s="69" t="s">
        <v>594</v>
      </c>
      <c r="K1" s="69" t="s">
        <v>595</v>
      </c>
      <c r="L1" s="69" t="s">
        <v>596</v>
      </c>
      <c r="M1" s="69" t="s">
        <v>597</v>
      </c>
      <c r="N1" s="69" t="s">
        <v>598</v>
      </c>
      <c r="O1" s="69" t="s">
        <v>480</v>
      </c>
      <c r="P1" s="69" t="s">
        <v>466</v>
      </c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</row>
    <row r="2" spans="1:50" ht="11.25" hidden="1" customHeight="1" x14ac:dyDescent="0.25">
      <c r="A2" s="70">
        <v>1</v>
      </c>
      <c r="B2" s="70" t="s">
        <v>460</v>
      </c>
      <c r="C2" s="70" t="s">
        <v>35</v>
      </c>
      <c r="D2" s="70" t="s">
        <v>1165</v>
      </c>
      <c r="E2" s="70" t="s">
        <v>25</v>
      </c>
      <c r="F2" s="70" t="s">
        <v>25</v>
      </c>
      <c r="G2" s="70" t="s">
        <v>25</v>
      </c>
      <c r="H2" s="70" t="s">
        <v>1166</v>
      </c>
      <c r="I2" s="70" t="s">
        <v>38</v>
      </c>
      <c r="J2" s="70" t="s">
        <v>599</v>
      </c>
      <c r="K2" s="70" t="s">
        <v>600</v>
      </c>
      <c r="L2" s="70" t="s">
        <v>79</v>
      </c>
      <c r="M2" s="70">
        <v>2021</v>
      </c>
      <c r="N2" s="70">
        <v>0</v>
      </c>
      <c r="O2" s="70">
        <v>11.83</v>
      </c>
      <c r="P2" s="70">
        <v>0</v>
      </c>
    </row>
    <row r="3" spans="1:50" ht="11.25" hidden="1" customHeight="1" x14ac:dyDescent="0.25">
      <c r="A3" s="70">
        <v>2</v>
      </c>
      <c r="B3" s="70" t="s">
        <v>460</v>
      </c>
      <c r="C3" s="70" t="s">
        <v>587</v>
      </c>
      <c r="D3" s="70" t="s">
        <v>36</v>
      </c>
      <c r="E3" s="70" t="s">
        <v>25</v>
      </c>
      <c r="F3" s="70" t="s">
        <v>25</v>
      </c>
      <c r="G3" s="70" t="s">
        <v>25</v>
      </c>
      <c r="H3" s="70" t="s">
        <v>25</v>
      </c>
      <c r="I3" s="70" t="s">
        <v>37</v>
      </c>
      <c r="J3" s="70" t="s">
        <v>599</v>
      </c>
      <c r="K3" s="70" t="s">
        <v>600</v>
      </c>
      <c r="L3" s="70" t="s">
        <v>79</v>
      </c>
      <c r="M3" s="70">
        <v>2021</v>
      </c>
      <c r="N3" s="70">
        <v>0</v>
      </c>
      <c r="O3" s="70">
        <v>14.04</v>
      </c>
      <c r="P3" s="70">
        <v>0</v>
      </c>
    </row>
    <row r="4" spans="1:50" ht="11.25" hidden="1" customHeight="1" x14ac:dyDescent="0.25">
      <c r="A4" s="70">
        <v>3</v>
      </c>
      <c r="B4" s="70" t="s">
        <v>460</v>
      </c>
      <c r="C4" s="70" t="s">
        <v>587</v>
      </c>
      <c r="D4" s="70" t="s">
        <v>36</v>
      </c>
      <c r="E4" s="70" t="s">
        <v>25</v>
      </c>
      <c r="F4" s="70" t="s">
        <v>25</v>
      </c>
      <c r="G4" s="70" t="s">
        <v>25</v>
      </c>
      <c r="H4" s="70" t="s">
        <v>25</v>
      </c>
      <c r="I4" s="70" t="s">
        <v>38</v>
      </c>
      <c r="J4" s="70" t="s">
        <v>599</v>
      </c>
      <c r="K4" s="70" t="s">
        <v>600</v>
      </c>
      <c r="L4" s="70" t="s">
        <v>79</v>
      </c>
      <c r="M4" s="70">
        <v>2021</v>
      </c>
      <c r="N4" s="70">
        <v>0</v>
      </c>
      <c r="O4" s="70">
        <v>8.6</v>
      </c>
      <c r="P4" s="70">
        <v>0</v>
      </c>
    </row>
    <row r="5" spans="1:50" ht="11.25" hidden="1" customHeight="1" x14ac:dyDescent="0.25">
      <c r="A5" s="70">
        <v>4</v>
      </c>
      <c r="B5" s="70" t="s">
        <v>460</v>
      </c>
      <c r="C5" s="70" t="s">
        <v>35</v>
      </c>
      <c r="D5" s="70" t="s">
        <v>1165</v>
      </c>
      <c r="E5" s="70" t="s">
        <v>25</v>
      </c>
      <c r="F5" s="70" t="s">
        <v>25</v>
      </c>
      <c r="G5" s="70" t="s">
        <v>25</v>
      </c>
      <c r="H5" s="70" t="s">
        <v>1166</v>
      </c>
      <c r="I5" s="70" t="s">
        <v>25</v>
      </c>
      <c r="J5" s="70" t="s">
        <v>601</v>
      </c>
      <c r="K5" s="70" t="s">
        <v>600</v>
      </c>
      <c r="L5" s="70" t="s">
        <v>74</v>
      </c>
      <c r="M5" s="70">
        <v>2021</v>
      </c>
      <c r="N5" s="70">
        <v>0</v>
      </c>
      <c r="O5" s="70">
        <v>14.37</v>
      </c>
      <c r="P5" s="70">
        <v>0</v>
      </c>
    </row>
    <row r="6" spans="1:50" ht="11.25" hidden="1" customHeight="1" x14ac:dyDescent="0.25">
      <c r="A6" s="70">
        <v>5</v>
      </c>
      <c r="B6" s="70" t="s">
        <v>460</v>
      </c>
      <c r="C6" s="70" t="s">
        <v>588</v>
      </c>
      <c r="D6" s="70" t="s">
        <v>1165</v>
      </c>
      <c r="E6" s="70" t="s">
        <v>25</v>
      </c>
      <c r="F6" s="70" t="s">
        <v>25</v>
      </c>
      <c r="G6" s="70" t="s">
        <v>25</v>
      </c>
      <c r="H6" s="70" t="s">
        <v>1167</v>
      </c>
      <c r="I6" s="70" t="s">
        <v>38</v>
      </c>
      <c r="J6" s="70" t="s">
        <v>599</v>
      </c>
      <c r="K6" s="70" t="s">
        <v>600</v>
      </c>
      <c r="L6" s="70" t="s">
        <v>79</v>
      </c>
      <c r="M6" s="70">
        <v>2021</v>
      </c>
      <c r="N6" s="70">
        <v>0</v>
      </c>
      <c r="O6" s="70">
        <v>11.26</v>
      </c>
      <c r="P6" s="70">
        <v>0</v>
      </c>
    </row>
    <row r="7" spans="1:50" ht="11.25" hidden="1" customHeight="1" x14ac:dyDescent="0.25">
      <c r="A7" s="70">
        <v>6</v>
      </c>
      <c r="B7" s="70" t="s">
        <v>460</v>
      </c>
      <c r="C7" s="70" t="s">
        <v>588</v>
      </c>
      <c r="D7" s="70" t="s">
        <v>1165</v>
      </c>
      <c r="E7" s="70" t="s">
        <v>25</v>
      </c>
      <c r="F7" s="70" t="s">
        <v>25</v>
      </c>
      <c r="G7" s="70" t="s">
        <v>25</v>
      </c>
      <c r="H7" s="70" t="s">
        <v>1167</v>
      </c>
      <c r="I7" s="70" t="s">
        <v>25</v>
      </c>
      <c r="J7" s="70" t="s">
        <v>601</v>
      </c>
      <c r="K7" s="70" t="s">
        <v>600</v>
      </c>
      <c r="L7" s="70" t="s">
        <v>74</v>
      </c>
      <c r="M7" s="70">
        <v>2021</v>
      </c>
      <c r="N7" s="70">
        <v>0</v>
      </c>
      <c r="O7" s="70">
        <v>7.49</v>
      </c>
      <c r="P7" s="70">
        <v>0</v>
      </c>
    </row>
    <row r="8" spans="1:50" ht="11.25" hidden="1" customHeight="1" x14ac:dyDescent="0.25">
      <c r="A8" s="70">
        <v>7</v>
      </c>
      <c r="B8" s="70" t="s">
        <v>460</v>
      </c>
      <c r="C8" s="70" t="s">
        <v>588</v>
      </c>
      <c r="D8" s="70" t="s">
        <v>1165</v>
      </c>
      <c r="E8" s="70" t="s">
        <v>25</v>
      </c>
      <c r="F8" s="70" t="s">
        <v>25</v>
      </c>
      <c r="G8" s="70" t="s">
        <v>25</v>
      </c>
      <c r="H8" s="70" t="s">
        <v>1167</v>
      </c>
      <c r="I8" s="70" t="s">
        <v>37</v>
      </c>
      <c r="J8" s="70" t="s">
        <v>599</v>
      </c>
      <c r="K8" s="70" t="s">
        <v>600</v>
      </c>
      <c r="L8" s="70" t="s">
        <v>79</v>
      </c>
      <c r="M8" s="70">
        <v>2021</v>
      </c>
      <c r="N8" s="70">
        <v>0</v>
      </c>
      <c r="O8" s="70">
        <v>21.11</v>
      </c>
      <c r="P8" s="70">
        <v>0</v>
      </c>
    </row>
    <row r="9" spans="1:50" ht="11.25" hidden="1" customHeight="1" x14ac:dyDescent="0.25">
      <c r="A9" s="70">
        <v>8</v>
      </c>
      <c r="B9" s="70" t="s">
        <v>460</v>
      </c>
      <c r="C9" s="70" t="s">
        <v>587</v>
      </c>
      <c r="D9" s="70" t="s">
        <v>36</v>
      </c>
      <c r="E9" s="70" t="s">
        <v>25</v>
      </c>
      <c r="F9" s="70" t="s">
        <v>25</v>
      </c>
      <c r="G9" s="70" t="s">
        <v>25</v>
      </c>
      <c r="H9" s="70" t="s">
        <v>25</v>
      </c>
      <c r="I9" s="70" t="s">
        <v>25</v>
      </c>
      <c r="J9" s="70" t="s">
        <v>601</v>
      </c>
      <c r="K9" s="70" t="s">
        <v>600</v>
      </c>
      <c r="L9" s="70" t="s">
        <v>74</v>
      </c>
      <c r="M9" s="70">
        <v>2021</v>
      </c>
      <c r="N9" s="70">
        <v>0</v>
      </c>
      <c r="O9" s="70">
        <v>59.49</v>
      </c>
      <c r="P9" s="70">
        <v>43.122237566423898</v>
      </c>
    </row>
    <row r="10" spans="1:50" ht="11.25" hidden="1" customHeight="1" x14ac:dyDescent="0.25">
      <c r="A10" s="70">
        <v>9</v>
      </c>
      <c r="B10" s="70" t="s">
        <v>460</v>
      </c>
      <c r="C10" s="70" t="s">
        <v>35</v>
      </c>
      <c r="D10" s="70" t="s">
        <v>1165</v>
      </c>
      <c r="E10" s="70" t="s">
        <v>25</v>
      </c>
      <c r="F10" s="70" t="s">
        <v>25</v>
      </c>
      <c r="G10" s="70" t="s">
        <v>25</v>
      </c>
      <c r="H10" s="70" t="s">
        <v>1168</v>
      </c>
      <c r="I10" s="70" t="s">
        <v>37</v>
      </c>
      <c r="J10" s="70" t="s">
        <v>599</v>
      </c>
      <c r="K10" s="70" t="s">
        <v>600</v>
      </c>
      <c r="L10" s="70" t="s">
        <v>79</v>
      </c>
      <c r="M10" s="70">
        <v>2021</v>
      </c>
      <c r="N10" s="70">
        <v>0</v>
      </c>
      <c r="O10" s="70">
        <v>21.22</v>
      </c>
      <c r="P10" s="70">
        <v>0</v>
      </c>
    </row>
    <row r="11" spans="1:50" ht="11.25" hidden="1" customHeight="1" x14ac:dyDescent="0.25">
      <c r="A11" s="70">
        <v>10</v>
      </c>
      <c r="B11" s="70" t="s">
        <v>460</v>
      </c>
      <c r="C11" s="70" t="s">
        <v>587</v>
      </c>
      <c r="D11" s="70" t="s">
        <v>36</v>
      </c>
      <c r="E11" s="70" t="s">
        <v>25</v>
      </c>
      <c r="F11" s="70" t="s">
        <v>25</v>
      </c>
      <c r="G11" s="70" t="s">
        <v>82</v>
      </c>
      <c r="H11" s="70" t="s">
        <v>25</v>
      </c>
      <c r="I11" s="70" t="s">
        <v>25</v>
      </c>
      <c r="J11" s="70" t="s">
        <v>601</v>
      </c>
      <c r="K11" s="70" t="s">
        <v>600</v>
      </c>
      <c r="L11" s="70" t="s">
        <v>74</v>
      </c>
      <c r="M11" s="70">
        <v>2021</v>
      </c>
      <c r="N11" s="70">
        <v>0</v>
      </c>
      <c r="O11" s="70">
        <v>8.8699999999999992</v>
      </c>
      <c r="P11" s="70">
        <v>0</v>
      </c>
    </row>
    <row r="12" spans="1:50" ht="11.25" hidden="1" customHeight="1" x14ac:dyDescent="0.25">
      <c r="A12" s="70">
        <v>11</v>
      </c>
      <c r="B12" s="70" t="s">
        <v>460</v>
      </c>
      <c r="C12" s="70" t="s">
        <v>35</v>
      </c>
      <c r="D12" s="70" t="s">
        <v>1165</v>
      </c>
      <c r="E12" s="70" t="s">
        <v>25</v>
      </c>
      <c r="F12" s="70" t="s">
        <v>25</v>
      </c>
      <c r="G12" s="70" t="s">
        <v>25</v>
      </c>
      <c r="H12" s="70" t="s">
        <v>1168</v>
      </c>
      <c r="I12" s="70" t="s">
        <v>38</v>
      </c>
      <c r="J12" s="70" t="s">
        <v>599</v>
      </c>
      <c r="K12" s="70" t="s">
        <v>600</v>
      </c>
      <c r="L12" s="70" t="s">
        <v>79</v>
      </c>
      <c r="M12" s="70">
        <v>2021</v>
      </c>
      <c r="N12" s="70">
        <v>0</v>
      </c>
      <c r="O12" s="70">
        <v>11.83</v>
      </c>
      <c r="P12" s="70">
        <v>0</v>
      </c>
    </row>
    <row r="13" spans="1:50" ht="11.25" hidden="1" customHeight="1" x14ac:dyDescent="0.25">
      <c r="A13" s="70">
        <v>12</v>
      </c>
      <c r="B13" s="70" t="s">
        <v>460</v>
      </c>
      <c r="C13" s="70" t="s">
        <v>587</v>
      </c>
      <c r="D13" s="70" t="s">
        <v>1165</v>
      </c>
      <c r="E13" s="70" t="s">
        <v>25</v>
      </c>
      <c r="F13" s="70" t="s">
        <v>25</v>
      </c>
      <c r="G13" s="70" t="s">
        <v>25</v>
      </c>
      <c r="H13" s="70" t="s">
        <v>1169</v>
      </c>
      <c r="I13" s="70" t="s">
        <v>37</v>
      </c>
      <c r="J13" s="70" t="s">
        <v>599</v>
      </c>
      <c r="K13" s="70" t="s">
        <v>600</v>
      </c>
      <c r="L13" s="70" t="s">
        <v>79</v>
      </c>
      <c r="M13" s="70">
        <v>2021</v>
      </c>
      <c r="N13" s="70">
        <v>0</v>
      </c>
      <c r="O13" s="70">
        <v>15.29</v>
      </c>
      <c r="P13" s="70">
        <v>0</v>
      </c>
    </row>
    <row r="14" spans="1:50" ht="11.25" hidden="1" customHeight="1" x14ac:dyDescent="0.25">
      <c r="A14" s="70">
        <v>13</v>
      </c>
      <c r="B14" s="70" t="s">
        <v>460</v>
      </c>
      <c r="C14" s="70" t="s">
        <v>35</v>
      </c>
      <c r="D14" s="70" t="s">
        <v>1165</v>
      </c>
      <c r="E14" s="70" t="s">
        <v>25</v>
      </c>
      <c r="F14" s="70" t="s">
        <v>25</v>
      </c>
      <c r="G14" s="70" t="s">
        <v>25</v>
      </c>
      <c r="H14" s="70" t="s">
        <v>1168</v>
      </c>
      <c r="I14" s="70" t="s">
        <v>25</v>
      </c>
      <c r="J14" s="70" t="s">
        <v>601</v>
      </c>
      <c r="K14" s="70" t="s">
        <v>600</v>
      </c>
      <c r="L14" s="70" t="s">
        <v>74</v>
      </c>
      <c r="M14" s="70">
        <v>2021</v>
      </c>
      <c r="N14" s="70">
        <v>0</v>
      </c>
      <c r="O14" s="70">
        <v>14.37</v>
      </c>
      <c r="P14" s="70">
        <v>0</v>
      </c>
    </row>
    <row r="15" spans="1:50" ht="11.25" hidden="1" customHeight="1" x14ac:dyDescent="0.25">
      <c r="A15" s="70">
        <v>14</v>
      </c>
      <c r="B15" s="70" t="s">
        <v>460</v>
      </c>
      <c r="C15" s="70" t="s">
        <v>587</v>
      </c>
      <c r="D15" s="70" t="s">
        <v>1165</v>
      </c>
      <c r="E15" s="70" t="s">
        <v>25</v>
      </c>
      <c r="F15" s="70" t="s">
        <v>25</v>
      </c>
      <c r="G15" s="70" t="s">
        <v>25</v>
      </c>
      <c r="H15" s="70" t="s">
        <v>1169</v>
      </c>
      <c r="I15" s="70" t="s">
        <v>38</v>
      </c>
      <c r="J15" s="70" t="s">
        <v>599</v>
      </c>
      <c r="K15" s="70" t="s">
        <v>600</v>
      </c>
      <c r="L15" s="70" t="s">
        <v>79</v>
      </c>
      <c r="M15" s="70">
        <v>2021</v>
      </c>
      <c r="N15" s="70">
        <v>0</v>
      </c>
      <c r="O15" s="70">
        <v>9.33</v>
      </c>
      <c r="P15" s="70">
        <v>0</v>
      </c>
    </row>
    <row r="16" spans="1:50" ht="11.25" hidden="1" customHeight="1" x14ac:dyDescent="0.25">
      <c r="A16" s="70">
        <v>15</v>
      </c>
      <c r="B16" s="70" t="s">
        <v>460</v>
      </c>
      <c r="C16" s="70" t="s">
        <v>35</v>
      </c>
      <c r="D16" s="70" t="s">
        <v>1165</v>
      </c>
      <c r="E16" s="70" t="s">
        <v>25</v>
      </c>
      <c r="F16" s="70" t="s">
        <v>25</v>
      </c>
      <c r="G16" s="70" t="s">
        <v>25</v>
      </c>
      <c r="H16" s="70" t="s">
        <v>1170</v>
      </c>
      <c r="I16" s="70" t="s">
        <v>37</v>
      </c>
      <c r="J16" s="70" t="s">
        <v>599</v>
      </c>
      <c r="K16" s="70" t="s">
        <v>600</v>
      </c>
      <c r="L16" s="70" t="s">
        <v>79</v>
      </c>
      <c r="M16" s="70">
        <v>2021</v>
      </c>
      <c r="N16" s="70">
        <v>0</v>
      </c>
      <c r="O16" s="70">
        <v>21.22</v>
      </c>
      <c r="P16" s="70">
        <v>0</v>
      </c>
    </row>
    <row r="17" spans="1:16" ht="11.25" hidden="1" customHeight="1" x14ac:dyDescent="0.25">
      <c r="A17" s="70">
        <v>16</v>
      </c>
      <c r="B17" s="70" t="s">
        <v>460</v>
      </c>
      <c r="C17" s="70" t="s">
        <v>587</v>
      </c>
      <c r="D17" s="70" t="s">
        <v>1165</v>
      </c>
      <c r="E17" s="70" t="s">
        <v>25</v>
      </c>
      <c r="F17" s="70" t="s">
        <v>25</v>
      </c>
      <c r="G17" s="70" t="s">
        <v>25</v>
      </c>
      <c r="H17" s="70" t="s">
        <v>1169</v>
      </c>
      <c r="I17" s="70" t="s">
        <v>25</v>
      </c>
      <c r="J17" s="70" t="s">
        <v>601</v>
      </c>
      <c r="K17" s="70" t="s">
        <v>600</v>
      </c>
      <c r="L17" s="70" t="s">
        <v>74</v>
      </c>
      <c r="M17" s="70">
        <v>2021</v>
      </c>
      <c r="N17" s="70">
        <v>0</v>
      </c>
      <c r="O17" s="70">
        <v>4.17</v>
      </c>
      <c r="P17" s="70">
        <v>0</v>
      </c>
    </row>
    <row r="18" spans="1:16" ht="11.25" hidden="1" customHeight="1" x14ac:dyDescent="0.25">
      <c r="A18" s="70">
        <v>17</v>
      </c>
      <c r="B18" s="70" t="s">
        <v>460</v>
      </c>
      <c r="C18" s="70" t="s">
        <v>35</v>
      </c>
      <c r="D18" s="70" t="s">
        <v>1165</v>
      </c>
      <c r="E18" s="70" t="s">
        <v>25</v>
      </c>
      <c r="F18" s="70" t="s">
        <v>25</v>
      </c>
      <c r="G18" s="70" t="s">
        <v>25</v>
      </c>
      <c r="H18" s="70" t="s">
        <v>1170</v>
      </c>
      <c r="I18" s="70" t="s">
        <v>38</v>
      </c>
      <c r="J18" s="70" t="s">
        <v>599</v>
      </c>
      <c r="K18" s="70" t="s">
        <v>600</v>
      </c>
      <c r="L18" s="70" t="s">
        <v>79</v>
      </c>
      <c r="M18" s="70">
        <v>2021</v>
      </c>
      <c r="N18" s="70">
        <v>0</v>
      </c>
      <c r="O18" s="70">
        <v>11.83</v>
      </c>
      <c r="P18" s="70">
        <v>0</v>
      </c>
    </row>
    <row r="19" spans="1:16" ht="11.25" hidden="1" customHeight="1" x14ac:dyDescent="0.25">
      <c r="A19" s="70">
        <v>18</v>
      </c>
      <c r="B19" s="70" t="s">
        <v>460</v>
      </c>
      <c r="C19" s="70" t="s">
        <v>587</v>
      </c>
      <c r="D19" s="70" t="s">
        <v>1165</v>
      </c>
      <c r="E19" s="70" t="s">
        <v>25</v>
      </c>
      <c r="F19" s="70" t="s">
        <v>25</v>
      </c>
      <c r="G19" s="70" t="s">
        <v>25</v>
      </c>
      <c r="H19" s="70" t="s">
        <v>1171</v>
      </c>
      <c r="I19" s="70" t="s">
        <v>37</v>
      </c>
      <c r="J19" s="70" t="s">
        <v>599</v>
      </c>
      <c r="K19" s="70" t="s">
        <v>600</v>
      </c>
      <c r="L19" s="70" t="s">
        <v>79</v>
      </c>
      <c r="M19" s="70">
        <v>2021</v>
      </c>
      <c r="N19" s="70">
        <v>0</v>
      </c>
      <c r="O19" s="70">
        <v>15.29</v>
      </c>
      <c r="P19" s="70">
        <v>0</v>
      </c>
    </row>
    <row r="20" spans="1:16" ht="11.25" hidden="1" customHeight="1" x14ac:dyDescent="0.25">
      <c r="A20" s="70">
        <v>19</v>
      </c>
      <c r="B20" s="70" t="s">
        <v>460</v>
      </c>
      <c r="C20" s="70" t="s">
        <v>35</v>
      </c>
      <c r="D20" s="70" t="s">
        <v>1165</v>
      </c>
      <c r="E20" s="70" t="s">
        <v>25</v>
      </c>
      <c r="F20" s="70" t="s">
        <v>25</v>
      </c>
      <c r="G20" s="70" t="s">
        <v>25</v>
      </c>
      <c r="H20" s="70" t="s">
        <v>1170</v>
      </c>
      <c r="I20" s="70" t="s">
        <v>25</v>
      </c>
      <c r="J20" s="70" t="s">
        <v>601</v>
      </c>
      <c r="K20" s="70" t="s">
        <v>600</v>
      </c>
      <c r="L20" s="70" t="s">
        <v>74</v>
      </c>
      <c r="M20" s="70">
        <v>2021</v>
      </c>
      <c r="N20" s="70">
        <v>0</v>
      </c>
      <c r="O20" s="70">
        <v>14.37</v>
      </c>
      <c r="P20" s="70">
        <v>0</v>
      </c>
    </row>
    <row r="21" spans="1:16" ht="11.25" hidden="1" customHeight="1" x14ac:dyDescent="0.25">
      <c r="A21" s="70">
        <v>20</v>
      </c>
      <c r="B21" s="70" t="s">
        <v>460</v>
      </c>
      <c r="C21" s="70" t="s">
        <v>35</v>
      </c>
      <c r="D21" s="70" t="s">
        <v>1165</v>
      </c>
      <c r="E21" s="70" t="s">
        <v>25</v>
      </c>
      <c r="F21" s="70" t="s">
        <v>25</v>
      </c>
      <c r="G21" s="70" t="s">
        <v>25</v>
      </c>
      <c r="H21" s="70" t="s">
        <v>1172</v>
      </c>
      <c r="I21" s="70" t="s">
        <v>37</v>
      </c>
      <c r="J21" s="70" t="s">
        <v>599</v>
      </c>
      <c r="K21" s="70" t="s">
        <v>600</v>
      </c>
      <c r="L21" s="70" t="s">
        <v>79</v>
      </c>
      <c r="M21" s="70">
        <v>2021</v>
      </c>
      <c r="N21" s="70">
        <v>0</v>
      </c>
      <c r="O21" s="70">
        <v>21.22</v>
      </c>
      <c r="P21" s="70">
        <v>0</v>
      </c>
    </row>
    <row r="22" spans="1:16" ht="11.25" hidden="1" customHeight="1" x14ac:dyDescent="0.25">
      <c r="A22" s="70">
        <v>21</v>
      </c>
      <c r="B22" s="70" t="s">
        <v>460</v>
      </c>
      <c r="C22" s="70" t="s">
        <v>587</v>
      </c>
      <c r="D22" s="70" t="s">
        <v>1165</v>
      </c>
      <c r="E22" s="70" t="s">
        <v>25</v>
      </c>
      <c r="F22" s="70" t="s">
        <v>25</v>
      </c>
      <c r="G22" s="70" t="s">
        <v>25</v>
      </c>
      <c r="H22" s="70" t="s">
        <v>1171</v>
      </c>
      <c r="I22" s="70" t="s">
        <v>38</v>
      </c>
      <c r="J22" s="70" t="s">
        <v>599</v>
      </c>
      <c r="K22" s="70" t="s">
        <v>600</v>
      </c>
      <c r="L22" s="70" t="s">
        <v>79</v>
      </c>
      <c r="M22" s="70">
        <v>2021</v>
      </c>
      <c r="N22" s="70">
        <v>0</v>
      </c>
      <c r="O22" s="70">
        <v>9.33</v>
      </c>
      <c r="P22" s="70">
        <v>0</v>
      </c>
    </row>
    <row r="23" spans="1:16" ht="11.25" hidden="1" customHeight="1" x14ac:dyDescent="0.25">
      <c r="A23" s="70">
        <v>22</v>
      </c>
      <c r="B23" s="70" t="s">
        <v>460</v>
      </c>
      <c r="C23" s="70" t="s">
        <v>35</v>
      </c>
      <c r="D23" s="70" t="s">
        <v>1165</v>
      </c>
      <c r="E23" s="70" t="s">
        <v>25</v>
      </c>
      <c r="F23" s="70" t="s">
        <v>25</v>
      </c>
      <c r="G23" s="70" t="s">
        <v>25</v>
      </c>
      <c r="H23" s="70" t="s">
        <v>1172</v>
      </c>
      <c r="I23" s="70" t="s">
        <v>38</v>
      </c>
      <c r="J23" s="70" t="s">
        <v>599</v>
      </c>
      <c r="K23" s="70" t="s">
        <v>600</v>
      </c>
      <c r="L23" s="70" t="s">
        <v>79</v>
      </c>
      <c r="M23" s="70">
        <v>2021</v>
      </c>
      <c r="N23" s="70">
        <v>0</v>
      </c>
      <c r="O23" s="70">
        <v>11.83</v>
      </c>
      <c r="P23" s="70">
        <v>0</v>
      </c>
    </row>
    <row r="24" spans="1:16" ht="11.25" hidden="1" customHeight="1" x14ac:dyDescent="0.25">
      <c r="A24" s="70">
        <v>23</v>
      </c>
      <c r="B24" s="70" t="s">
        <v>460</v>
      </c>
      <c r="C24" s="70" t="s">
        <v>587</v>
      </c>
      <c r="D24" s="70" t="s">
        <v>1165</v>
      </c>
      <c r="E24" s="70" t="s">
        <v>25</v>
      </c>
      <c r="F24" s="70" t="s">
        <v>25</v>
      </c>
      <c r="G24" s="70" t="s">
        <v>25</v>
      </c>
      <c r="H24" s="70" t="s">
        <v>1171</v>
      </c>
      <c r="I24" s="70" t="s">
        <v>25</v>
      </c>
      <c r="J24" s="70" t="s">
        <v>601</v>
      </c>
      <c r="K24" s="70" t="s">
        <v>600</v>
      </c>
      <c r="L24" s="70" t="s">
        <v>74</v>
      </c>
      <c r="M24" s="70">
        <v>2021</v>
      </c>
      <c r="N24" s="70">
        <v>0</v>
      </c>
      <c r="O24" s="70">
        <v>4.17</v>
      </c>
      <c r="P24" s="70">
        <v>0</v>
      </c>
    </row>
    <row r="25" spans="1:16" ht="11.25" hidden="1" customHeight="1" x14ac:dyDescent="0.25">
      <c r="A25" s="70">
        <v>24</v>
      </c>
      <c r="B25" s="70" t="s">
        <v>460</v>
      </c>
      <c r="C25" s="70" t="s">
        <v>35</v>
      </c>
      <c r="D25" s="70" t="s">
        <v>1165</v>
      </c>
      <c r="E25" s="70" t="s">
        <v>25</v>
      </c>
      <c r="F25" s="70" t="s">
        <v>25</v>
      </c>
      <c r="G25" s="70" t="s">
        <v>25</v>
      </c>
      <c r="H25" s="70" t="s">
        <v>1172</v>
      </c>
      <c r="I25" s="70" t="s">
        <v>25</v>
      </c>
      <c r="J25" s="70" t="s">
        <v>601</v>
      </c>
      <c r="K25" s="70" t="s">
        <v>600</v>
      </c>
      <c r="L25" s="70" t="s">
        <v>74</v>
      </c>
      <c r="M25" s="70">
        <v>2021</v>
      </c>
      <c r="N25" s="70">
        <v>0</v>
      </c>
      <c r="O25" s="70">
        <v>14.37</v>
      </c>
      <c r="P25" s="70">
        <v>0</v>
      </c>
    </row>
    <row r="26" spans="1:16" ht="11.25" hidden="1" customHeight="1" x14ac:dyDescent="0.25">
      <c r="A26" s="70">
        <v>25</v>
      </c>
      <c r="B26" s="70" t="s">
        <v>460</v>
      </c>
      <c r="C26" s="70" t="s">
        <v>587</v>
      </c>
      <c r="D26" s="70" t="s">
        <v>1165</v>
      </c>
      <c r="E26" s="70" t="s">
        <v>25</v>
      </c>
      <c r="F26" s="70" t="s">
        <v>25</v>
      </c>
      <c r="G26" s="70" t="s">
        <v>25</v>
      </c>
      <c r="H26" s="70" t="s">
        <v>1173</v>
      </c>
      <c r="I26" s="70" t="s">
        <v>37</v>
      </c>
      <c r="J26" s="70" t="s">
        <v>599</v>
      </c>
      <c r="K26" s="70" t="s">
        <v>600</v>
      </c>
      <c r="L26" s="70" t="s">
        <v>79</v>
      </c>
      <c r="M26" s="70">
        <v>2021</v>
      </c>
      <c r="N26" s="70">
        <v>0</v>
      </c>
      <c r="O26" s="70">
        <v>15.29</v>
      </c>
      <c r="P26" s="70">
        <v>0</v>
      </c>
    </row>
    <row r="27" spans="1:16" ht="11.25" hidden="1" customHeight="1" x14ac:dyDescent="0.25">
      <c r="A27" s="70">
        <v>26</v>
      </c>
      <c r="B27" s="70" t="s">
        <v>460</v>
      </c>
      <c r="C27" s="70" t="s">
        <v>35</v>
      </c>
      <c r="D27" s="70" t="s">
        <v>1165</v>
      </c>
      <c r="E27" s="70" t="s">
        <v>25</v>
      </c>
      <c r="F27" s="70" t="s">
        <v>25</v>
      </c>
      <c r="G27" s="70" t="s">
        <v>25</v>
      </c>
      <c r="H27" s="70" t="s">
        <v>1174</v>
      </c>
      <c r="I27" s="70" t="s">
        <v>37</v>
      </c>
      <c r="J27" s="70" t="s">
        <v>599</v>
      </c>
      <c r="K27" s="70" t="s">
        <v>600</v>
      </c>
      <c r="L27" s="70" t="s">
        <v>79</v>
      </c>
      <c r="M27" s="70">
        <v>2021</v>
      </c>
      <c r="N27" s="70">
        <v>0</v>
      </c>
      <c r="O27" s="70">
        <v>21.22</v>
      </c>
      <c r="P27" s="70">
        <v>0</v>
      </c>
    </row>
    <row r="28" spans="1:16" ht="11.25" hidden="1" customHeight="1" x14ac:dyDescent="0.25">
      <c r="A28" s="70">
        <v>27</v>
      </c>
      <c r="B28" s="70" t="s">
        <v>460</v>
      </c>
      <c r="C28" s="70" t="s">
        <v>587</v>
      </c>
      <c r="D28" s="70" t="s">
        <v>1165</v>
      </c>
      <c r="E28" s="70" t="s">
        <v>25</v>
      </c>
      <c r="F28" s="70" t="s">
        <v>25</v>
      </c>
      <c r="G28" s="70" t="s">
        <v>25</v>
      </c>
      <c r="H28" s="70" t="s">
        <v>1173</v>
      </c>
      <c r="I28" s="70" t="s">
        <v>38</v>
      </c>
      <c r="J28" s="70" t="s">
        <v>599</v>
      </c>
      <c r="K28" s="70" t="s">
        <v>600</v>
      </c>
      <c r="L28" s="70" t="s">
        <v>79</v>
      </c>
      <c r="M28" s="70">
        <v>2021</v>
      </c>
      <c r="N28" s="70">
        <v>0</v>
      </c>
      <c r="O28" s="70">
        <v>9.33</v>
      </c>
      <c r="P28" s="70">
        <v>0</v>
      </c>
    </row>
    <row r="29" spans="1:16" ht="11.25" hidden="1" customHeight="1" x14ac:dyDescent="0.25">
      <c r="A29" s="70">
        <v>28</v>
      </c>
      <c r="B29" s="70" t="s">
        <v>460</v>
      </c>
      <c r="C29" s="70" t="s">
        <v>35</v>
      </c>
      <c r="D29" s="70" t="s">
        <v>1165</v>
      </c>
      <c r="E29" s="70" t="s">
        <v>25</v>
      </c>
      <c r="F29" s="70" t="s">
        <v>25</v>
      </c>
      <c r="G29" s="70" t="s">
        <v>25</v>
      </c>
      <c r="H29" s="70" t="s">
        <v>1174</v>
      </c>
      <c r="I29" s="70" t="s">
        <v>38</v>
      </c>
      <c r="J29" s="70" t="s">
        <v>599</v>
      </c>
      <c r="K29" s="70" t="s">
        <v>600</v>
      </c>
      <c r="L29" s="70" t="s">
        <v>79</v>
      </c>
      <c r="M29" s="70">
        <v>2021</v>
      </c>
      <c r="N29" s="70">
        <v>0</v>
      </c>
      <c r="O29" s="70">
        <v>11.83</v>
      </c>
      <c r="P29" s="70">
        <v>0</v>
      </c>
    </row>
    <row r="30" spans="1:16" ht="11.25" hidden="1" customHeight="1" x14ac:dyDescent="0.25">
      <c r="A30" s="70">
        <v>29</v>
      </c>
      <c r="B30" s="70" t="s">
        <v>460</v>
      </c>
      <c r="C30" s="70" t="s">
        <v>587</v>
      </c>
      <c r="D30" s="70" t="s">
        <v>1165</v>
      </c>
      <c r="E30" s="70" t="s">
        <v>25</v>
      </c>
      <c r="F30" s="70" t="s">
        <v>25</v>
      </c>
      <c r="G30" s="70" t="s">
        <v>25</v>
      </c>
      <c r="H30" s="70" t="s">
        <v>1173</v>
      </c>
      <c r="I30" s="70" t="s">
        <v>25</v>
      </c>
      <c r="J30" s="70" t="s">
        <v>601</v>
      </c>
      <c r="K30" s="70" t="s">
        <v>600</v>
      </c>
      <c r="L30" s="70" t="s">
        <v>74</v>
      </c>
      <c r="M30" s="70">
        <v>2021</v>
      </c>
      <c r="N30" s="70">
        <v>0</v>
      </c>
      <c r="O30" s="70">
        <v>4.17</v>
      </c>
      <c r="P30" s="70">
        <v>0</v>
      </c>
    </row>
    <row r="31" spans="1:16" ht="11.25" hidden="1" customHeight="1" x14ac:dyDescent="0.25">
      <c r="A31" s="70">
        <v>30</v>
      </c>
      <c r="B31" s="70" t="s">
        <v>460</v>
      </c>
      <c r="C31" s="70" t="s">
        <v>35</v>
      </c>
      <c r="D31" s="70" t="s">
        <v>1165</v>
      </c>
      <c r="E31" s="70" t="s">
        <v>25</v>
      </c>
      <c r="F31" s="70" t="s">
        <v>25</v>
      </c>
      <c r="G31" s="70" t="s">
        <v>25</v>
      </c>
      <c r="H31" s="70" t="s">
        <v>1174</v>
      </c>
      <c r="I31" s="70" t="s">
        <v>25</v>
      </c>
      <c r="J31" s="70" t="s">
        <v>601</v>
      </c>
      <c r="K31" s="70" t="s">
        <v>600</v>
      </c>
      <c r="L31" s="70" t="s">
        <v>74</v>
      </c>
      <c r="M31" s="70">
        <v>2021</v>
      </c>
      <c r="N31" s="70">
        <v>0</v>
      </c>
      <c r="O31" s="70">
        <v>14.37</v>
      </c>
      <c r="P31" s="70">
        <v>0</v>
      </c>
    </row>
    <row r="32" spans="1:16" ht="11.25" hidden="1" customHeight="1" x14ac:dyDescent="0.25">
      <c r="A32" s="70">
        <v>31</v>
      </c>
      <c r="B32" s="70" t="s">
        <v>460</v>
      </c>
      <c r="C32" s="70" t="s">
        <v>587</v>
      </c>
      <c r="D32" s="70" t="s">
        <v>83</v>
      </c>
      <c r="E32" s="70" t="s">
        <v>25</v>
      </c>
      <c r="F32" s="70" t="s">
        <v>25</v>
      </c>
      <c r="G32" s="70" t="s">
        <v>25</v>
      </c>
      <c r="H32" s="70" t="s">
        <v>1175</v>
      </c>
      <c r="I32" s="70" t="s">
        <v>25</v>
      </c>
      <c r="J32" s="70" t="s">
        <v>599</v>
      </c>
      <c r="K32" s="70" t="s">
        <v>600</v>
      </c>
      <c r="L32" s="70" t="s">
        <v>79</v>
      </c>
      <c r="M32" s="70">
        <v>2021</v>
      </c>
      <c r="N32" s="70">
        <v>0</v>
      </c>
      <c r="O32" s="70">
        <v>3.66</v>
      </c>
      <c r="P32" s="70">
        <v>0</v>
      </c>
    </row>
    <row r="33" spans="1:16" ht="11.25" hidden="1" customHeight="1" x14ac:dyDescent="0.25">
      <c r="A33" s="70">
        <v>32</v>
      </c>
      <c r="B33" s="70" t="s">
        <v>460</v>
      </c>
      <c r="C33" s="70" t="s">
        <v>35</v>
      </c>
      <c r="D33" s="70" t="s">
        <v>1165</v>
      </c>
      <c r="E33" s="70" t="s">
        <v>25</v>
      </c>
      <c r="F33" s="70" t="s">
        <v>25</v>
      </c>
      <c r="G33" s="70" t="s">
        <v>25</v>
      </c>
      <c r="H33" s="70" t="s">
        <v>1176</v>
      </c>
      <c r="I33" s="70" t="s">
        <v>37</v>
      </c>
      <c r="J33" s="70" t="s">
        <v>599</v>
      </c>
      <c r="K33" s="70" t="s">
        <v>600</v>
      </c>
      <c r="L33" s="70" t="s">
        <v>79</v>
      </c>
      <c r="M33" s="70">
        <v>2021</v>
      </c>
      <c r="N33" s="70">
        <v>0</v>
      </c>
      <c r="O33" s="70">
        <v>21.22</v>
      </c>
      <c r="P33" s="70">
        <v>0</v>
      </c>
    </row>
    <row r="34" spans="1:16" ht="11.25" hidden="1" customHeight="1" x14ac:dyDescent="0.25">
      <c r="A34" s="70">
        <v>33</v>
      </c>
      <c r="B34" s="70" t="s">
        <v>460</v>
      </c>
      <c r="C34" s="70" t="s">
        <v>587</v>
      </c>
      <c r="D34" s="70" t="s">
        <v>83</v>
      </c>
      <c r="E34" s="70" t="s">
        <v>25</v>
      </c>
      <c r="F34" s="70" t="s">
        <v>25</v>
      </c>
      <c r="G34" s="70" t="s">
        <v>25</v>
      </c>
      <c r="H34" s="70" t="s">
        <v>1177</v>
      </c>
      <c r="I34" s="70" t="s">
        <v>25</v>
      </c>
      <c r="J34" s="70" t="s">
        <v>599</v>
      </c>
      <c r="K34" s="70" t="s">
        <v>600</v>
      </c>
      <c r="L34" s="70" t="s">
        <v>79</v>
      </c>
      <c r="M34" s="70">
        <v>2021</v>
      </c>
      <c r="N34" s="70">
        <v>0</v>
      </c>
      <c r="O34" s="70">
        <v>3.81</v>
      </c>
      <c r="P34" s="70">
        <v>0</v>
      </c>
    </row>
    <row r="35" spans="1:16" ht="11.25" hidden="1" customHeight="1" x14ac:dyDescent="0.25">
      <c r="A35" s="70">
        <v>34</v>
      </c>
      <c r="B35" s="70" t="s">
        <v>460</v>
      </c>
      <c r="C35" s="70" t="s">
        <v>35</v>
      </c>
      <c r="D35" s="70" t="s">
        <v>1165</v>
      </c>
      <c r="E35" s="70" t="s">
        <v>25</v>
      </c>
      <c r="F35" s="70" t="s">
        <v>25</v>
      </c>
      <c r="G35" s="70" t="s">
        <v>25</v>
      </c>
      <c r="H35" s="70" t="s">
        <v>1176</v>
      </c>
      <c r="I35" s="70" t="s">
        <v>38</v>
      </c>
      <c r="J35" s="70" t="s">
        <v>599</v>
      </c>
      <c r="K35" s="70" t="s">
        <v>600</v>
      </c>
      <c r="L35" s="70" t="s">
        <v>79</v>
      </c>
      <c r="M35" s="70">
        <v>2021</v>
      </c>
      <c r="N35" s="70">
        <v>0</v>
      </c>
      <c r="O35" s="70">
        <v>11.83</v>
      </c>
      <c r="P35" s="70">
        <v>0</v>
      </c>
    </row>
    <row r="36" spans="1:16" ht="11.25" hidden="1" customHeight="1" x14ac:dyDescent="0.25">
      <c r="A36" s="70">
        <v>35</v>
      </c>
      <c r="B36" s="70" t="s">
        <v>460</v>
      </c>
      <c r="C36" s="70" t="s">
        <v>587</v>
      </c>
      <c r="D36" s="70" t="s">
        <v>83</v>
      </c>
      <c r="E36" s="70" t="s">
        <v>25</v>
      </c>
      <c r="F36" s="70" t="s">
        <v>25</v>
      </c>
      <c r="G36" s="70" t="s">
        <v>25</v>
      </c>
      <c r="H36" s="70" t="s">
        <v>1178</v>
      </c>
      <c r="I36" s="70" t="s">
        <v>25</v>
      </c>
      <c r="J36" s="70" t="s">
        <v>599</v>
      </c>
      <c r="K36" s="70" t="s">
        <v>600</v>
      </c>
      <c r="L36" s="70" t="s">
        <v>79</v>
      </c>
      <c r="M36" s="70">
        <v>2021</v>
      </c>
      <c r="N36" s="70">
        <v>0</v>
      </c>
      <c r="O36" s="70">
        <v>3.58</v>
      </c>
      <c r="P36" s="70">
        <v>0</v>
      </c>
    </row>
    <row r="37" spans="1:16" ht="11.25" hidden="1" customHeight="1" x14ac:dyDescent="0.25">
      <c r="A37" s="70">
        <v>36</v>
      </c>
      <c r="B37" s="70" t="s">
        <v>460</v>
      </c>
      <c r="C37" s="70" t="s">
        <v>35</v>
      </c>
      <c r="D37" s="70" t="s">
        <v>1165</v>
      </c>
      <c r="E37" s="70" t="s">
        <v>25</v>
      </c>
      <c r="F37" s="70" t="s">
        <v>25</v>
      </c>
      <c r="G37" s="70" t="s">
        <v>25</v>
      </c>
      <c r="H37" s="70" t="s">
        <v>1176</v>
      </c>
      <c r="I37" s="70" t="s">
        <v>25</v>
      </c>
      <c r="J37" s="70" t="s">
        <v>601</v>
      </c>
      <c r="K37" s="70" t="s">
        <v>600</v>
      </c>
      <c r="L37" s="70" t="s">
        <v>74</v>
      </c>
      <c r="M37" s="70">
        <v>2021</v>
      </c>
      <c r="N37" s="70">
        <v>0</v>
      </c>
      <c r="O37" s="70">
        <v>14.37</v>
      </c>
      <c r="P37" s="70">
        <v>0</v>
      </c>
    </row>
    <row r="38" spans="1:16" ht="11.25" hidden="1" customHeight="1" x14ac:dyDescent="0.25">
      <c r="A38" s="70">
        <v>37</v>
      </c>
      <c r="B38" s="70" t="s">
        <v>460</v>
      </c>
      <c r="C38" s="70" t="s">
        <v>587</v>
      </c>
      <c r="D38" s="70" t="s">
        <v>83</v>
      </c>
      <c r="E38" s="70" t="s">
        <v>25</v>
      </c>
      <c r="F38" s="70" t="s">
        <v>25</v>
      </c>
      <c r="G38" s="70" t="s">
        <v>25</v>
      </c>
      <c r="H38" s="70" t="s">
        <v>1179</v>
      </c>
      <c r="I38" s="70" t="s">
        <v>25</v>
      </c>
      <c r="J38" s="70" t="s">
        <v>599</v>
      </c>
      <c r="K38" s="70" t="s">
        <v>600</v>
      </c>
      <c r="L38" s="70" t="s">
        <v>79</v>
      </c>
      <c r="M38" s="70">
        <v>2021</v>
      </c>
      <c r="N38" s="70">
        <v>0</v>
      </c>
      <c r="O38" s="70">
        <v>2.92</v>
      </c>
      <c r="P38" s="70">
        <v>0</v>
      </c>
    </row>
    <row r="39" spans="1:16" ht="11.25" hidden="1" customHeight="1" x14ac:dyDescent="0.25">
      <c r="A39" s="70">
        <v>38</v>
      </c>
      <c r="B39" s="70" t="s">
        <v>460</v>
      </c>
      <c r="C39" s="70" t="s">
        <v>35</v>
      </c>
      <c r="D39" s="70" t="s">
        <v>1165</v>
      </c>
      <c r="E39" s="70" t="s">
        <v>25</v>
      </c>
      <c r="F39" s="70" t="s">
        <v>25</v>
      </c>
      <c r="G39" s="70" t="s">
        <v>25</v>
      </c>
      <c r="H39" s="70" t="s">
        <v>1180</v>
      </c>
      <c r="I39" s="70" t="s">
        <v>37</v>
      </c>
      <c r="J39" s="70" t="s">
        <v>599</v>
      </c>
      <c r="K39" s="70" t="s">
        <v>600</v>
      </c>
      <c r="L39" s="70" t="s">
        <v>79</v>
      </c>
      <c r="M39" s="70">
        <v>2021</v>
      </c>
      <c r="N39" s="70">
        <v>0</v>
      </c>
      <c r="O39" s="70">
        <v>21.22</v>
      </c>
      <c r="P39" s="70">
        <v>0</v>
      </c>
    </row>
    <row r="40" spans="1:16" ht="11.25" hidden="1" customHeight="1" x14ac:dyDescent="0.25">
      <c r="A40" s="70">
        <v>39</v>
      </c>
      <c r="B40" s="70" t="s">
        <v>460</v>
      </c>
      <c r="C40" s="70" t="s">
        <v>587</v>
      </c>
      <c r="D40" s="70" t="s">
        <v>83</v>
      </c>
      <c r="E40" s="70" t="s">
        <v>25</v>
      </c>
      <c r="F40" s="70" t="s">
        <v>25</v>
      </c>
      <c r="G40" s="70" t="s">
        <v>25</v>
      </c>
      <c r="H40" s="70" t="s">
        <v>1181</v>
      </c>
      <c r="I40" s="70" t="s">
        <v>25</v>
      </c>
      <c r="J40" s="70" t="s">
        <v>599</v>
      </c>
      <c r="K40" s="70" t="s">
        <v>600</v>
      </c>
      <c r="L40" s="70" t="s">
        <v>79</v>
      </c>
      <c r="M40" s="70">
        <v>2021</v>
      </c>
      <c r="N40" s="70">
        <v>0</v>
      </c>
      <c r="O40" s="70">
        <v>4.18</v>
      </c>
      <c r="P40" s="70">
        <v>0</v>
      </c>
    </row>
    <row r="41" spans="1:16" ht="11.25" hidden="1" customHeight="1" x14ac:dyDescent="0.25">
      <c r="A41" s="70">
        <v>40</v>
      </c>
      <c r="B41" s="70" t="s">
        <v>460</v>
      </c>
      <c r="C41" s="70" t="s">
        <v>35</v>
      </c>
      <c r="D41" s="70" t="s">
        <v>1165</v>
      </c>
      <c r="E41" s="70" t="s">
        <v>25</v>
      </c>
      <c r="F41" s="70" t="s">
        <v>25</v>
      </c>
      <c r="G41" s="70" t="s">
        <v>25</v>
      </c>
      <c r="H41" s="70" t="s">
        <v>1180</v>
      </c>
      <c r="I41" s="70" t="s">
        <v>38</v>
      </c>
      <c r="J41" s="70" t="s">
        <v>599</v>
      </c>
      <c r="K41" s="70" t="s">
        <v>600</v>
      </c>
      <c r="L41" s="70" t="s">
        <v>79</v>
      </c>
      <c r="M41" s="70">
        <v>2021</v>
      </c>
      <c r="N41" s="70">
        <v>0</v>
      </c>
      <c r="O41" s="70">
        <v>11.83</v>
      </c>
      <c r="P41" s="70">
        <v>0</v>
      </c>
    </row>
    <row r="42" spans="1:16" ht="11.25" hidden="1" customHeight="1" x14ac:dyDescent="0.25">
      <c r="A42" s="70">
        <v>41</v>
      </c>
      <c r="B42" s="70" t="s">
        <v>460</v>
      </c>
      <c r="C42" s="70" t="s">
        <v>587</v>
      </c>
      <c r="D42" s="70" t="s">
        <v>83</v>
      </c>
      <c r="E42" s="70" t="s">
        <v>25</v>
      </c>
      <c r="F42" s="70" t="s">
        <v>25</v>
      </c>
      <c r="G42" s="70" t="s">
        <v>25</v>
      </c>
      <c r="H42" s="70" t="s">
        <v>1182</v>
      </c>
      <c r="I42" s="70" t="s">
        <v>25</v>
      </c>
      <c r="J42" s="70" t="s">
        <v>599</v>
      </c>
      <c r="K42" s="70" t="s">
        <v>600</v>
      </c>
      <c r="L42" s="70" t="s">
        <v>79</v>
      </c>
      <c r="M42" s="70">
        <v>2021</v>
      </c>
      <c r="N42" s="70">
        <v>0</v>
      </c>
      <c r="O42" s="70">
        <v>3.77</v>
      </c>
      <c r="P42" s="70">
        <v>0</v>
      </c>
    </row>
    <row r="43" spans="1:16" ht="11.25" hidden="1" customHeight="1" x14ac:dyDescent="0.25">
      <c r="A43" s="70">
        <v>42</v>
      </c>
      <c r="B43" s="70" t="s">
        <v>460</v>
      </c>
      <c r="C43" s="70" t="s">
        <v>35</v>
      </c>
      <c r="D43" s="70" t="s">
        <v>1165</v>
      </c>
      <c r="E43" s="70" t="s">
        <v>25</v>
      </c>
      <c r="F43" s="70" t="s">
        <v>25</v>
      </c>
      <c r="G43" s="70" t="s">
        <v>25</v>
      </c>
      <c r="H43" s="70" t="s">
        <v>1180</v>
      </c>
      <c r="I43" s="70" t="s">
        <v>25</v>
      </c>
      <c r="J43" s="70" t="s">
        <v>601</v>
      </c>
      <c r="K43" s="70" t="s">
        <v>600</v>
      </c>
      <c r="L43" s="70" t="s">
        <v>74</v>
      </c>
      <c r="M43" s="70">
        <v>2021</v>
      </c>
      <c r="N43" s="70">
        <v>0</v>
      </c>
      <c r="O43" s="70">
        <v>14.37</v>
      </c>
      <c r="P43" s="70">
        <v>0</v>
      </c>
    </row>
    <row r="44" spans="1:16" ht="11.25" hidden="1" customHeight="1" x14ac:dyDescent="0.25">
      <c r="A44" s="70">
        <v>43</v>
      </c>
      <c r="B44" s="70" t="s">
        <v>460</v>
      </c>
      <c r="C44" s="70" t="s">
        <v>587</v>
      </c>
      <c r="D44" s="70" t="s">
        <v>83</v>
      </c>
      <c r="E44" s="70" t="s">
        <v>25</v>
      </c>
      <c r="F44" s="70" t="s">
        <v>25</v>
      </c>
      <c r="G44" s="70" t="s">
        <v>25</v>
      </c>
      <c r="H44" s="70" t="s">
        <v>1183</v>
      </c>
      <c r="I44" s="70" t="s">
        <v>25</v>
      </c>
      <c r="J44" s="70" t="s">
        <v>599</v>
      </c>
      <c r="K44" s="70" t="s">
        <v>600</v>
      </c>
      <c r="L44" s="70" t="s">
        <v>79</v>
      </c>
      <c r="M44" s="70">
        <v>2021</v>
      </c>
      <c r="N44" s="70">
        <v>0</v>
      </c>
      <c r="O44" s="70">
        <v>3.61</v>
      </c>
      <c r="P44" s="70">
        <v>0</v>
      </c>
    </row>
    <row r="45" spans="1:16" ht="11.25" hidden="1" customHeight="1" x14ac:dyDescent="0.25">
      <c r="A45" s="70">
        <v>44</v>
      </c>
      <c r="B45" s="70" t="s">
        <v>460</v>
      </c>
      <c r="C45" s="70" t="s">
        <v>35</v>
      </c>
      <c r="D45" s="70" t="s">
        <v>1165</v>
      </c>
      <c r="E45" s="70" t="s">
        <v>25</v>
      </c>
      <c r="F45" s="70" t="s">
        <v>25</v>
      </c>
      <c r="G45" s="70" t="s">
        <v>25</v>
      </c>
      <c r="H45" s="70" t="s">
        <v>1184</v>
      </c>
      <c r="I45" s="70" t="s">
        <v>37</v>
      </c>
      <c r="J45" s="70" t="s">
        <v>599</v>
      </c>
      <c r="K45" s="70" t="s">
        <v>600</v>
      </c>
      <c r="L45" s="70" t="s">
        <v>79</v>
      </c>
      <c r="M45" s="70">
        <v>2021</v>
      </c>
      <c r="N45" s="70">
        <v>0</v>
      </c>
      <c r="O45" s="70">
        <v>21.22</v>
      </c>
      <c r="P45" s="70">
        <v>0</v>
      </c>
    </row>
    <row r="46" spans="1:16" ht="11.25" hidden="1" customHeight="1" x14ac:dyDescent="0.25">
      <c r="A46" s="70">
        <v>45</v>
      </c>
      <c r="B46" s="70" t="s">
        <v>460</v>
      </c>
      <c r="C46" s="70" t="s">
        <v>35</v>
      </c>
      <c r="D46" s="70" t="s">
        <v>1165</v>
      </c>
      <c r="E46" s="70" t="s">
        <v>25</v>
      </c>
      <c r="F46" s="70" t="s">
        <v>25</v>
      </c>
      <c r="G46" s="70" t="s">
        <v>25</v>
      </c>
      <c r="H46" s="70" t="s">
        <v>1184</v>
      </c>
      <c r="I46" s="70" t="s">
        <v>38</v>
      </c>
      <c r="J46" s="70" t="s">
        <v>599</v>
      </c>
      <c r="K46" s="70" t="s">
        <v>600</v>
      </c>
      <c r="L46" s="70" t="s">
        <v>79</v>
      </c>
      <c r="M46" s="70">
        <v>2021</v>
      </c>
      <c r="N46" s="70">
        <v>0</v>
      </c>
      <c r="O46" s="70">
        <v>11.83</v>
      </c>
      <c r="P46" s="70">
        <v>0</v>
      </c>
    </row>
    <row r="47" spans="1:16" ht="11.25" hidden="1" customHeight="1" x14ac:dyDescent="0.25">
      <c r="A47" s="70">
        <v>46</v>
      </c>
      <c r="B47" s="70" t="s">
        <v>460</v>
      </c>
      <c r="C47" s="70" t="s">
        <v>587</v>
      </c>
      <c r="D47" s="70" t="s">
        <v>83</v>
      </c>
      <c r="E47" s="70" t="s">
        <v>25</v>
      </c>
      <c r="F47" s="70" t="s">
        <v>25</v>
      </c>
      <c r="G47" s="70" t="s">
        <v>25</v>
      </c>
      <c r="H47" s="70" t="s">
        <v>1185</v>
      </c>
      <c r="I47" s="70" t="s">
        <v>25</v>
      </c>
      <c r="J47" s="70" t="s">
        <v>599</v>
      </c>
      <c r="K47" s="70" t="s">
        <v>600</v>
      </c>
      <c r="L47" s="70" t="s">
        <v>79</v>
      </c>
      <c r="M47" s="70">
        <v>2021</v>
      </c>
      <c r="N47" s="70">
        <v>0</v>
      </c>
      <c r="O47" s="70">
        <v>3.55</v>
      </c>
      <c r="P47" s="70">
        <v>0</v>
      </c>
    </row>
    <row r="48" spans="1:16" ht="11.25" hidden="1" customHeight="1" x14ac:dyDescent="0.25">
      <c r="A48" s="70">
        <v>47</v>
      </c>
      <c r="B48" s="70" t="s">
        <v>460</v>
      </c>
      <c r="C48" s="70" t="s">
        <v>587</v>
      </c>
      <c r="D48" s="70" t="s">
        <v>83</v>
      </c>
      <c r="E48" s="70" t="s">
        <v>25</v>
      </c>
      <c r="F48" s="70" t="s">
        <v>25</v>
      </c>
      <c r="G48" s="70" t="s">
        <v>25</v>
      </c>
      <c r="H48" s="70" t="s">
        <v>1186</v>
      </c>
      <c r="I48" s="70" t="s">
        <v>25</v>
      </c>
      <c r="J48" s="70" t="s">
        <v>599</v>
      </c>
      <c r="K48" s="70" t="s">
        <v>600</v>
      </c>
      <c r="L48" s="70" t="s">
        <v>79</v>
      </c>
      <c r="M48" s="70">
        <v>2021</v>
      </c>
      <c r="N48" s="70">
        <v>0</v>
      </c>
      <c r="O48" s="70">
        <v>2.39</v>
      </c>
      <c r="P48" s="70">
        <v>0</v>
      </c>
    </row>
    <row r="49" spans="1:16" ht="11.25" hidden="1" customHeight="1" x14ac:dyDescent="0.25">
      <c r="A49" s="70">
        <v>48</v>
      </c>
      <c r="B49" s="70" t="s">
        <v>460</v>
      </c>
      <c r="C49" s="70" t="s">
        <v>35</v>
      </c>
      <c r="D49" s="70" t="s">
        <v>1165</v>
      </c>
      <c r="E49" s="70" t="s">
        <v>25</v>
      </c>
      <c r="F49" s="70" t="s">
        <v>25</v>
      </c>
      <c r="G49" s="70" t="s">
        <v>25</v>
      </c>
      <c r="H49" s="70" t="s">
        <v>1184</v>
      </c>
      <c r="I49" s="70" t="s">
        <v>25</v>
      </c>
      <c r="J49" s="70" t="s">
        <v>601</v>
      </c>
      <c r="K49" s="70" t="s">
        <v>600</v>
      </c>
      <c r="L49" s="70" t="s">
        <v>74</v>
      </c>
      <c r="M49" s="70">
        <v>2021</v>
      </c>
      <c r="N49" s="70">
        <v>0</v>
      </c>
      <c r="O49" s="70">
        <v>14.37</v>
      </c>
      <c r="P49" s="70">
        <v>0</v>
      </c>
    </row>
    <row r="50" spans="1:16" ht="11.25" hidden="1" customHeight="1" x14ac:dyDescent="0.25">
      <c r="A50" s="70">
        <v>49</v>
      </c>
      <c r="B50" s="70" t="s">
        <v>460</v>
      </c>
      <c r="C50" s="70" t="s">
        <v>35</v>
      </c>
      <c r="D50" s="70" t="s">
        <v>1165</v>
      </c>
      <c r="E50" s="70" t="s">
        <v>25</v>
      </c>
      <c r="F50" s="70" t="s">
        <v>25</v>
      </c>
      <c r="G50" s="70" t="s">
        <v>25</v>
      </c>
      <c r="H50" s="70" t="s">
        <v>1187</v>
      </c>
      <c r="I50" s="70" t="s">
        <v>37</v>
      </c>
      <c r="J50" s="70" t="s">
        <v>599</v>
      </c>
      <c r="K50" s="70" t="s">
        <v>600</v>
      </c>
      <c r="L50" s="70" t="s">
        <v>79</v>
      </c>
      <c r="M50" s="70">
        <v>2021</v>
      </c>
      <c r="N50" s="70">
        <v>0</v>
      </c>
      <c r="O50" s="70">
        <v>21.22</v>
      </c>
      <c r="P50" s="70">
        <v>0</v>
      </c>
    </row>
    <row r="51" spans="1:16" ht="11.25" hidden="1" customHeight="1" x14ac:dyDescent="0.25">
      <c r="A51" s="70">
        <v>50</v>
      </c>
      <c r="B51" s="70" t="s">
        <v>460</v>
      </c>
      <c r="C51" s="70" t="s">
        <v>587</v>
      </c>
      <c r="D51" s="70" t="s">
        <v>83</v>
      </c>
      <c r="E51" s="70" t="s">
        <v>25</v>
      </c>
      <c r="F51" s="70" t="s">
        <v>25</v>
      </c>
      <c r="G51" s="70" t="s">
        <v>25</v>
      </c>
      <c r="H51" s="70" t="s">
        <v>1188</v>
      </c>
      <c r="I51" s="70" t="s">
        <v>25</v>
      </c>
      <c r="J51" s="70" t="s">
        <v>599</v>
      </c>
      <c r="K51" s="70" t="s">
        <v>600</v>
      </c>
      <c r="L51" s="70" t="s">
        <v>79</v>
      </c>
      <c r="M51" s="70">
        <v>2021</v>
      </c>
      <c r="N51" s="70">
        <v>0</v>
      </c>
      <c r="O51" s="70">
        <v>3.99</v>
      </c>
      <c r="P51" s="70">
        <v>0</v>
      </c>
    </row>
    <row r="52" spans="1:16" ht="11.25" hidden="1" customHeight="1" x14ac:dyDescent="0.25">
      <c r="A52" s="70">
        <v>51</v>
      </c>
      <c r="B52" s="70" t="s">
        <v>460</v>
      </c>
      <c r="C52" s="70" t="s">
        <v>587</v>
      </c>
      <c r="D52" s="70" t="s">
        <v>83</v>
      </c>
      <c r="E52" s="70" t="s">
        <v>25</v>
      </c>
      <c r="F52" s="70" t="s">
        <v>25</v>
      </c>
      <c r="G52" s="70" t="s">
        <v>25</v>
      </c>
      <c r="H52" s="70" t="s">
        <v>1189</v>
      </c>
      <c r="I52" s="70" t="s">
        <v>25</v>
      </c>
      <c r="J52" s="70" t="s">
        <v>599</v>
      </c>
      <c r="K52" s="70" t="s">
        <v>600</v>
      </c>
      <c r="L52" s="70" t="s">
        <v>79</v>
      </c>
      <c r="M52" s="70">
        <v>2021</v>
      </c>
      <c r="N52" s="70">
        <v>0</v>
      </c>
      <c r="O52" s="70">
        <v>4.0199999999999996</v>
      </c>
      <c r="P52" s="70">
        <v>0</v>
      </c>
    </row>
    <row r="53" spans="1:16" ht="11.25" hidden="1" customHeight="1" x14ac:dyDescent="0.25">
      <c r="A53" s="70">
        <v>52</v>
      </c>
      <c r="B53" s="70" t="s">
        <v>460</v>
      </c>
      <c r="C53" s="70" t="s">
        <v>35</v>
      </c>
      <c r="D53" s="70" t="s">
        <v>1165</v>
      </c>
      <c r="E53" s="70" t="s">
        <v>25</v>
      </c>
      <c r="F53" s="70" t="s">
        <v>25</v>
      </c>
      <c r="G53" s="70" t="s">
        <v>25</v>
      </c>
      <c r="H53" s="70" t="s">
        <v>1187</v>
      </c>
      <c r="I53" s="70" t="s">
        <v>38</v>
      </c>
      <c r="J53" s="70" t="s">
        <v>599</v>
      </c>
      <c r="K53" s="70" t="s">
        <v>600</v>
      </c>
      <c r="L53" s="70" t="s">
        <v>79</v>
      </c>
      <c r="M53" s="70">
        <v>2021</v>
      </c>
      <c r="N53" s="70">
        <v>0</v>
      </c>
      <c r="O53" s="70">
        <v>11.83</v>
      </c>
      <c r="P53" s="70">
        <v>0</v>
      </c>
    </row>
    <row r="54" spans="1:16" ht="11.25" hidden="1" customHeight="1" x14ac:dyDescent="0.25">
      <c r="A54" s="70">
        <v>53</v>
      </c>
      <c r="B54" s="70" t="s">
        <v>460</v>
      </c>
      <c r="C54" s="70" t="s">
        <v>35</v>
      </c>
      <c r="D54" s="70" t="s">
        <v>1165</v>
      </c>
      <c r="E54" s="70" t="s">
        <v>25</v>
      </c>
      <c r="F54" s="70" t="s">
        <v>25</v>
      </c>
      <c r="G54" s="70" t="s">
        <v>25</v>
      </c>
      <c r="H54" s="70" t="s">
        <v>1187</v>
      </c>
      <c r="I54" s="70" t="s">
        <v>25</v>
      </c>
      <c r="J54" s="70" t="s">
        <v>601</v>
      </c>
      <c r="K54" s="70" t="s">
        <v>600</v>
      </c>
      <c r="L54" s="70" t="s">
        <v>74</v>
      </c>
      <c r="M54" s="70">
        <v>2021</v>
      </c>
      <c r="N54" s="70">
        <v>0</v>
      </c>
      <c r="O54" s="70">
        <v>14.37</v>
      </c>
      <c r="P54" s="70">
        <v>0</v>
      </c>
    </row>
    <row r="55" spans="1:16" ht="11.25" hidden="1" customHeight="1" x14ac:dyDescent="0.25">
      <c r="A55" s="70">
        <v>54</v>
      </c>
      <c r="B55" s="70" t="s">
        <v>460</v>
      </c>
      <c r="C55" s="70" t="s">
        <v>587</v>
      </c>
      <c r="D55" s="70" t="s">
        <v>83</v>
      </c>
      <c r="E55" s="70" t="s">
        <v>25</v>
      </c>
      <c r="F55" s="70" t="s">
        <v>25</v>
      </c>
      <c r="G55" s="70" t="s">
        <v>25</v>
      </c>
      <c r="H55" s="70" t="s">
        <v>1190</v>
      </c>
      <c r="I55" s="70" t="s">
        <v>25</v>
      </c>
      <c r="J55" s="70" t="s">
        <v>599</v>
      </c>
      <c r="K55" s="70" t="s">
        <v>600</v>
      </c>
      <c r="L55" s="70" t="s">
        <v>79</v>
      </c>
      <c r="M55" s="70">
        <v>2021</v>
      </c>
      <c r="N55" s="70">
        <v>0</v>
      </c>
      <c r="O55" s="70">
        <v>4.58</v>
      </c>
      <c r="P55" s="70">
        <v>0</v>
      </c>
    </row>
    <row r="56" spans="1:16" ht="11.25" hidden="1" customHeight="1" x14ac:dyDescent="0.25">
      <c r="A56" s="70">
        <v>55</v>
      </c>
      <c r="B56" s="70" t="s">
        <v>460</v>
      </c>
      <c r="C56" s="70" t="s">
        <v>587</v>
      </c>
      <c r="D56" s="70" t="s">
        <v>83</v>
      </c>
      <c r="E56" s="70" t="s">
        <v>25</v>
      </c>
      <c r="F56" s="70" t="s">
        <v>25</v>
      </c>
      <c r="G56" s="70" t="s">
        <v>25</v>
      </c>
      <c r="H56" s="70" t="s">
        <v>1191</v>
      </c>
      <c r="I56" s="70" t="s">
        <v>25</v>
      </c>
      <c r="J56" s="70" t="s">
        <v>599</v>
      </c>
      <c r="K56" s="70" t="s">
        <v>600</v>
      </c>
      <c r="L56" s="70" t="s">
        <v>79</v>
      </c>
      <c r="M56" s="70">
        <v>2021</v>
      </c>
      <c r="N56" s="70">
        <v>0</v>
      </c>
      <c r="O56" s="70">
        <v>4.0199999999999996</v>
      </c>
      <c r="P56" s="70">
        <v>0</v>
      </c>
    </row>
    <row r="57" spans="1:16" ht="11.25" hidden="1" customHeight="1" x14ac:dyDescent="0.25">
      <c r="A57" s="70">
        <v>56</v>
      </c>
      <c r="B57" s="70" t="s">
        <v>460</v>
      </c>
      <c r="C57" s="70" t="s">
        <v>35</v>
      </c>
      <c r="D57" s="70" t="s">
        <v>1165</v>
      </c>
      <c r="E57" s="70" t="s">
        <v>25</v>
      </c>
      <c r="F57" s="70" t="s">
        <v>25</v>
      </c>
      <c r="G57" s="70" t="s">
        <v>25</v>
      </c>
      <c r="H57" s="70" t="s">
        <v>1192</v>
      </c>
      <c r="I57" s="70" t="s">
        <v>37</v>
      </c>
      <c r="J57" s="70" t="s">
        <v>599</v>
      </c>
      <c r="K57" s="70" t="s">
        <v>600</v>
      </c>
      <c r="L57" s="70" t="s">
        <v>79</v>
      </c>
      <c r="M57" s="70">
        <v>2021</v>
      </c>
      <c r="N57" s="70">
        <v>0</v>
      </c>
      <c r="O57" s="70">
        <v>21.22</v>
      </c>
      <c r="P57" s="70">
        <v>0</v>
      </c>
    </row>
    <row r="58" spans="1:16" ht="11.25" hidden="1" customHeight="1" x14ac:dyDescent="0.25">
      <c r="A58" s="70">
        <v>57</v>
      </c>
      <c r="B58" s="70" t="s">
        <v>460</v>
      </c>
      <c r="C58" s="70" t="s">
        <v>35</v>
      </c>
      <c r="D58" s="70" t="s">
        <v>1165</v>
      </c>
      <c r="E58" s="70" t="s">
        <v>25</v>
      </c>
      <c r="F58" s="70" t="s">
        <v>25</v>
      </c>
      <c r="G58" s="70" t="s">
        <v>25</v>
      </c>
      <c r="H58" s="70" t="s">
        <v>1192</v>
      </c>
      <c r="I58" s="70" t="s">
        <v>38</v>
      </c>
      <c r="J58" s="70" t="s">
        <v>599</v>
      </c>
      <c r="K58" s="70" t="s">
        <v>600</v>
      </c>
      <c r="L58" s="70" t="s">
        <v>79</v>
      </c>
      <c r="M58" s="70">
        <v>2021</v>
      </c>
      <c r="N58" s="70">
        <v>0</v>
      </c>
      <c r="O58" s="70">
        <v>11.83</v>
      </c>
      <c r="P58" s="70">
        <v>0</v>
      </c>
    </row>
    <row r="59" spans="1:16" ht="11.25" hidden="1" customHeight="1" x14ac:dyDescent="0.25">
      <c r="A59" s="70">
        <v>58</v>
      </c>
      <c r="B59" s="70" t="s">
        <v>460</v>
      </c>
      <c r="C59" s="70" t="s">
        <v>587</v>
      </c>
      <c r="D59" s="70" t="s">
        <v>83</v>
      </c>
      <c r="E59" s="70" t="s">
        <v>25</v>
      </c>
      <c r="F59" s="70" t="s">
        <v>25</v>
      </c>
      <c r="G59" s="70" t="s">
        <v>25</v>
      </c>
      <c r="H59" s="70" t="s">
        <v>1193</v>
      </c>
      <c r="I59" s="70" t="s">
        <v>25</v>
      </c>
      <c r="J59" s="70" t="s">
        <v>599</v>
      </c>
      <c r="K59" s="70" t="s">
        <v>600</v>
      </c>
      <c r="L59" s="70" t="s">
        <v>79</v>
      </c>
      <c r="M59" s="70">
        <v>2021</v>
      </c>
      <c r="N59" s="70">
        <v>0</v>
      </c>
      <c r="O59" s="70">
        <v>4.58</v>
      </c>
      <c r="P59" s="70">
        <v>0</v>
      </c>
    </row>
    <row r="60" spans="1:16" ht="11.25" hidden="1" customHeight="1" x14ac:dyDescent="0.25">
      <c r="A60" s="70">
        <v>59</v>
      </c>
      <c r="B60" s="70" t="s">
        <v>460</v>
      </c>
      <c r="C60" s="70" t="s">
        <v>587</v>
      </c>
      <c r="D60" s="70" t="s">
        <v>83</v>
      </c>
      <c r="E60" s="70" t="s">
        <v>25</v>
      </c>
      <c r="F60" s="70" t="s">
        <v>25</v>
      </c>
      <c r="G60" s="70" t="s">
        <v>25</v>
      </c>
      <c r="H60" s="70" t="s">
        <v>1194</v>
      </c>
      <c r="I60" s="70" t="s">
        <v>25</v>
      </c>
      <c r="J60" s="70" t="s">
        <v>599</v>
      </c>
      <c r="K60" s="70" t="s">
        <v>600</v>
      </c>
      <c r="L60" s="70" t="s">
        <v>79</v>
      </c>
      <c r="M60" s="70">
        <v>2021</v>
      </c>
      <c r="N60" s="70">
        <v>0</v>
      </c>
      <c r="O60" s="70">
        <v>4.0199999999999996</v>
      </c>
      <c r="P60" s="70">
        <v>0</v>
      </c>
    </row>
    <row r="61" spans="1:16" ht="11.25" hidden="1" customHeight="1" x14ac:dyDescent="0.25">
      <c r="A61" s="70">
        <v>60</v>
      </c>
      <c r="B61" s="70" t="s">
        <v>460</v>
      </c>
      <c r="C61" s="70" t="s">
        <v>35</v>
      </c>
      <c r="D61" s="70" t="s">
        <v>1165</v>
      </c>
      <c r="E61" s="70" t="s">
        <v>25</v>
      </c>
      <c r="F61" s="70" t="s">
        <v>25</v>
      </c>
      <c r="G61" s="70" t="s">
        <v>25</v>
      </c>
      <c r="H61" s="70" t="s">
        <v>1192</v>
      </c>
      <c r="I61" s="70" t="s">
        <v>25</v>
      </c>
      <c r="J61" s="70" t="s">
        <v>601</v>
      </c>
      <c r="K61" s="70" t="s">
        <v>600</v>
      </c>
      <c r="L61" s="70" t="s">
        <v>74</v>
      </c>
      <c r="M61" s="70">
        <v>2021</v>
      </c>
      <c r="N61" s="70">
        <v>0</v>
      </c>
      <c r="O61" s="70">
        <v>14.37</v>
      </c>
      <c r="P61" s="70">
        <v>0</v>
      </c>
    </row>
    <row r="62" spans="1:16" ht="11.25" hidden="1" customHeight="1" x14ac:dyDescent="0.25">
      <c r="A62" s="70">
        <v>61</v>
      </c>
      <c r="B62" s="70" t="s">
        <v>460</v>
      </c>
      <c r="C62" s="70" t="s">
        <v>35</v>
      </c>
      <c r="D62" s="70" t="s">
        <v>1165</v>
      </c>
      <c r="E62" s="70" t="s">
        <v>25</v>
      </c>
      <c r="F62" s="70" t="s">
        <v>25</v>
      </c>
      <c r="G62" s="70" t="s">
        <v>25</v>
      </c>
      <c r="H62" s="70" t="s">
        <v>1195</v>
      </c>
      <c r="I62" s="70" t="s">
        <v>37</v>
      </c>
      <c r="J62" s="70" t="s">
        <v>599</v>
      </c>
      <c r="K62" s="70" t="s">
        <v>600</v>
      </c>
      <c r="L62" s="70" t="s">
        <v>79</v>
      </c>
      <c r="M62" s="70">
        <v>2021</v>
      </c>
      <c r="N62" s="70">
        <v>0</v>
      </c>
      <c r="O62" s="70">
        <v>21.22</v>
      </c>
      <c r="P62" s="70">
        <v>0</v>
      </c>
    </row>
    <row r="63" spans="1:16" ht="11.25" hidden="1" customHeight="1" x14ac:dyDescent="0.25">
      <c r="A63" s="70">
        <v>62</v>
      </c>
      <c r="B63" s="70" t="s">
        <v>460</v>
      </c>
      <c r="C63" s="70" t="s">
        <v>587</v>
      </c>
      <c r="D63" s="70" t="s">
        <v>83</v>
      </c>
      <c r="E63" s="70" t="s">
        <v>25</v>
      </c>
      <c r="F63" s="70" t="s">
        <v>25</v>
      </c>
      <c r="G63" s="70" t="s">
        <v>25</v>
      </c>
      <c r="H63" s="70" t="s">
        <v>1196</v>
      </c>
      <c r="I63" s="70" t="s">
        <v>25</v>
      </c>
      <c r="J63" s="70" t="s">
        <v>599</v>
      </c>
      <c r="K63" s="70" t="s">
        <v>600</v>
      </c>
      <c r="L63" s="70" t="s">
        <v>79</v>
      </c>
      <c r="M63" s="70">
        <v>2021</v>
      </c>
      <c r="N63" s="70">
        <v>0</v>
      </c>
      <c r="O63" s="70">
        <v>4.58</v>
      </c>
      <c r="P63" s="70">
        <v>0</v>
      </c>
    </row>
    <row r="64" spans="1:16" ht="11.25" hidden="1" customHeight="1" x14ac:dyDescent="0.25">
      <c r="A64" s="70">
        <v>63</v>
      </c>
      <c r="B64" s="70" t="s">
        <v>460</v>
      </c>
      <c r="C64" s="70" t="s">
        <v>587</v>
      </c>
      <c r="D64" s="70" t="s">
        <v>83</v>
      </c>
      <c r="E64" s="70" t="s">
        <v>25</v>
      </c>
      <c r="F64" s="70" t="s">
        <v>25</v>
      </c>
      <c r="G64" s="70" t="s">
        <v>25</v>
      </c>
      <c r="H64" s="70" t="s">
        <v>1197</v>
      </c>
      <c r="I64" s="70" t="s">
        <v>25</v>
      </c>
      <c r="J64" s="70" t="s">
        <v>599</v>
      </c>
      <c r="K64" s="70" t="s">
        <v>600</v>
      </c>
      <c r="L64" s="70" t="s">
        <v>79</v>
      </c>
      <c r="M64" s="70">
        <v>2021</v>
      </c>
      <c r="N64" s="70">
        <v>0</v>
      </c>
      <c r="O64" s="70">
        <v>4.0199999999999996</v>
      </c>
      <c r="P64" s="70">
        <v>0</v>
      </c>
    </row>
    <row r="65" spans="1:16" ht="11.25" hidden="1" customHeight="1" x14ac:dyDescent="0.25">
      <c r="A65" s="70">
        <v>64</v>
      </c>
      <c r="B65" s="70" t="s">
        <v>460</v>
      </c>
      <c r="C65" s="70" t="s">
        <v>35</v>
      </c>
      <c r="D65" s="70" t="s">
        <v>1165</v>
      </c>
      <c r="E65" s="70" t="s">
        <v>25</v>
      </c>
      <c r="F65" s="70" t="s">
        <v>25</v>
      </c>
      <c r="G65" s="70" t="s">
        <v>25</v>
      </c>
      <c r="H65" s="70" t="s">
        <v>1195</v>
      </c>
      <c r="I65" s="70" t="s">
        <v>38</v>
      </c>
      <c r="J65" s="70" t="s">
        <v>599</v>
      </c>
      <c r="K65" s="70" t="s">
        <v>600</v>
      </c>
      <c r="L65" s="70" t="s">
        <v>79</v>
      </c>
      <c r="M65" s="70">
        <v>2021</v>
      </c>
      <c r="N65" s="70">
        <v>0</v>
      </c>
      <c r="O65" s="70">
        <v>11.83</v>
      </c>
      <c r="P65" s="70">
        <v>0</v>
      </c>
    </row>
    <row r="66" spans="1:16" ht="11.25" hidden="1" customHeight="1" x14ac:dyDescent="0.25">
      <c r="A66" s="70">
        <v>65</v>
      </c>
      <c r="B66" s="70" t="s">
        <v>460</v>
      </c>
      <c r="C66" s="70" t="s">
        <v>35</v>
      </c>
      <c r="D66" s="70" t="s">
        <v>1165</v>
      </c>
      <c r="E66" s="70" t="s">
        <v>25</v>
      </c>
      <c r="F66" s="70" t="s">
        <v>25</v>
      </c>
      <c r="G66" s="70" t="s">
        <v>25</v>
      </c>
      <c r="H66" s="70" t="s">
        <v>1195</v>
      </c>
      <c r="I66" s="70" t="s">
        <v>25</v>
      </c>
      <c r="J66" s="70" t="s">
        <v>601</v>
      </c>
      <c r="K66" s="70" t="s">
        <v>600</v>
      </c>
      <c r="L66" s="70" t="s">
        <v>74</v>
      </c>
      <c r="M66" s="70">
        <v>2021</v>
      </c>
      <c r="N66" s="70">
        <v>0</v>
      </c>
      <c r="O66" s="70">
        <v>14.37</v>
      </c>
      <c r="P66" s="70">
        <v>0</v>
      </c>
    </row>
    <row r="67" spans="1:16" ht="11.25" hidden="1" customHeight="1" x14ac:dyDescent="0.25">
      <c r="A67" s="70">
        <v>66</v>
      </c>
      <c r="B67" s="70" t="s">
        <v>460</v>
      </c>
      <c r="C67" s="70" t="s">
        <v>587</v>
      </c>
      <c r="D67" s="70" t="s">
        <v>83</v>
      </c>
      <c r="E67" s="70" t="s">
        <v>25</v>
      </c>
      <c r="F67" s="70" t="s">
        <v>25</v>
      </c>
      <c r="G67" s="70" t="s">
        <v>25</v>
      </c>
      <c r="H67" s="70" t="s">
        <v>1198</v>
      </c>
      <c r="I67" s="70" t="s">
        <v>25</v>
      </c>
      <c r="J67" s="70" t="s">
        <v>599</v>
      </c>
      <c r="K67" s="70" t="s">
        <v>600</v>
      </c>
      <c r="L67" s="70" t="s">
        <v>79</v>
      </c>
      <c r="M67" s="70">
        <v>2021</v>
      </c>
      <c r="N67" s="70">
        <v>0</v>
      </c>
      <c r="O67" s="70">
        <v>4.58</v>
      </c>
      <c r="P67" s="70">
        <v>0</v>
      </c>
    </row>
    <row r="68" spans="1:16" ht="11.25" hidden="1" customHeight="1" x14ac:dyDescent="0.25">
      <c r="A68" s="70">
        <v>67</v>
      </c>
      <c r="B68" s="70" t="s">
        <v>460</v>
      </c>
      <c r="C68" s="70" t="s">
        <v>587</v>
      </c>
      <c r="D68" s="70" t="s">
        <v>83</v>
      </c>
      <c r="E68" s="70" t="s">
        <v>25</v>
      </c>
      <c r="F68" s="70" t="s">
        <v>25</v>
      </c>
      <c r="G68" s="70" t="s">
        <v>25</v>
      </c>
      <c r="H68" s="70" t="s">
        <v>1199</v>
      </c>
      <c r="I68" s="70" t="s">
        <v>25</v>
      </c>
      <c r="J68" s="70" t="s">
        <v>599</v>
      </c>
      <c r="K68" s="70" t="s">
        <v>600</v>
      </c>
      <c r="L68" s="70" t="s">
        <v>79</v>
      </c>
      <c r="M68" s="70">
        <v>2021</v>
      </c>
      <c r="N68" s="70">
        <v>0</v>
      </c>
      <c r="O68" s="70">
        <v>4.58</v>
      </c>
      <c r="P68" s="70">
        <v>0</v>
      </c>
    </row>
    <row r="69" spans="1:16" ht="11.25" hidden="1" customHeight="1" x14ac:dyDescent="0.25">
      <c r="A69" s="70">
        <v>68</v>
      </c>
      <c r="B69" s="70" t="s">
        <v>460</v>
      </c>
      <c r="C69" s="70" t="s">
        <v>35</v>
      </c>
      <c r="D69" s="70" t="s">
        <v>1165</v>
      </c>
      <c r="E69" s="70" t="s">
        <v>25</v>
      </c>
      <c r="F69" s="70" t="s">
        <v>25</v>
      </c>
      <c r="G69" s="70" t="s">
        <v>25</v>
      </c>
      <c r="H69" s="70" t="s">
        <v>1200</v>
      </c>
      <c r="I69" s="70" t="s">
        <v>37</v>
      </c>
      <c r="J69" s="70" t="s">
        <v>599</v>
      </c>
      <c r="K69" s="70" t="s">
        <v>600</v>
      </c>
      <c r="L69" s="70" t="s">
        <v>79</v>
      </c>
      <c r="M69" s="70">
        <v>2021</v>
      </c>
      <c r="N69" s="70">
        <v>0</v>
      </c>
      <c r="O69" s="70">
        <v>21.22</v>
      </c>
      <c r="P69" s="70">
        <v>0</v>
      </c>
    </row>
    <row r="70" spans="1:16" ht="11.25" hidden="1" customHeight="1" x14ac:dyDescent="0.25">
      <c r="A70" s="70">
        <v>69</v>
      </c>
      <c r="B70" s="70" t="s">
        <v>460</v>
      </c>
      <c r="C70" s="70" t="s">
        <v>35</v>
      </c>
      <c r="D70" s="70" t="s">
        <v>1165</v>
      </c>
      <c r="E70" s="70" t="s">
        <v>25</v>
      </c>
      <c r="F70" s="70" t="s">
        <v>25</v>
      </c>
      <c r="G70" s="70" t="s">
        <v>25</v>
      </c>
      <c r="H70" s="70" t="s">
        <v>1200</v>
      </c>
      <c r="I70" s="70" t="s">
        <v>38</v>
      </c>
      <c r="J70" s="70" t="s">
        <v>599</v>
      </c>
      <c r="K70" s="70" t="s">
        <v>600</v>
      </c>
      <c r="L70" s="70" t="s">
        <v>79</v>
      </c>
      <c r="M70" s="70">
        <v>2021</v>
      </c>
      <c r="N70" s="70">
        <v>0</v>
      </c>
      <c r="O70" s="70">
        <v>11.83</v>
      </c>
      <c r="P70" s="70">
        <v>0</v>
      </c>
    </row>
    <row r="71" spans="1:16" ht="11.25" hidden="1" customHeight="1" x14ac:dyDescent="0.25">
      <c r="A71" s="70">
        <v>70</v>
      </c>
      <c r="B71" s="70" t="s">
        <v>460</v>
      </c>
      <c r="C71" s="70" t="s">
        <v>587</v>
      </c>
      <c r="D71" s="70" t="s">
        <v>83</v>
      </c>
      <c r="E71" s="70" t="s">
        <v>25</v>
      </c>
      <c r="F71" s="70" t="s">
        <v>25</v>
      </c>
      <c r="G71" s="70" t="s">
        <v>25</v>
      </c>
      <c r="H71" s="70" t="s">
        <v>1201</v>
      </c>
      <c r="I71" s="70" t="s">
        <v>25</v>
      </c>
      <c r="J71" s="70" t="s">
        <v>599</v>
      </c>
      <c r="K71" s="70" t="s">
        <v>600</v>
      </c>
      <c r="L71" s="70" t="s">
        <v>79</v>
      </c>
      <c r="M71" s="70">
        <v>2021</v>
      </c>
      <c r="N71" s="70">
        <v>0</v>
      </c>
      <c r="O71" s="70">
        <v>4.58</v>
      </c>
      <c r="P71" s="70">
        <v>0</v>
      </c>
    </row>
    <row r="72" spans="1:16" ht="11.25" hidden="1" customHeight="1" x14ac:dyDescent="0.25">
      <c r="A72" s="70">
        <v>71</v>
      </c>
      <c r="B72" s="70" t="s">
        <v>460</v>
      </c>
      <c r="C72" s="70" t="s">
        <v>35</v>
      </c>
      <c r="D72" s="70" t="s">
        <v>1165</v>
      </c>
      <c r="E72" s="70" t="s">
        <v>25</v>
      </c>
      <c r="F72" s="70" t="s">
        <v>25</v>
      </c>
      <c r="G72" s="70" t="s">
        <v>25</v>
      </c>
      <c r="H72" s="70" t="s">
        <v>1200</v>
      </c>
      <c r="I72" s="70" t="s">
        <v>25</v>
      </c>
      <c r="J72" s="70" t="s">
        <v>601</v>
      </c>
      <c r="K72" s="70" t="s">
        <v>600</v>
      </c>
      <c r="L72" s="70" t="s">
        <v>74</v>
      </c>
      <c r="M72" s="70">
        <v>2021</v>
      </c>
      <c r="N72" s="70">
        <v>0</v>
      </c>
      <c r="O72" s="70">
        <v>14.37</v>
      </c>
      <c r="P72" s="70">
        <v>0</v>
      </c>
    </row>
    <row r="73" spans="1:16" ht="11.25" hidden="1" customHeight="1" x14ac:dyDescent="0.25">
      <c r="A73" s="70">
        <v>72</v>
      </c>
      <c r="B73" s="70" t="s">
        <v>460</v>
      </c>
      <c r="C73" s="70" t="s">
        <v>587</v>
      </c>
      <c r="D73" s="70" t="s">
        <v>83</v>
      </c>
      <c r="E73" s="70" t="s">
        <v>25</v>
      </c>
      <c r="F73" s="70" t="s">
        <v>25</v>
      </c>
      <c r="G73" s="70" t="s">
        <v>25</v>
      </c>
      <c r="H73" s="70" t="s">
        <v>1202</v>
      </c>
      <c r="I73" s="70" t="s">
        <v>25</v>
      </c>
      <c r="J73" s="70" t="s">
        <v>599</v>
      </c>
      <c r="K73" s="70" t="s">
        <v>600</v>
      </c>
      <c r="L73" s="70" t="s">
        <v>79</v>
      </c>
      <c r="M73" s="70">
        <v>2021</v>
      </c>
      <c r="N73" s="70">
        <v>0</v>
      </c>
      <c r="O73" s="70">
        <v>2.39</v>
      </c>
      <c r="P73" s="70">
        <v>0</v>
      </c>
    </row>
    <row r="74" spans="1:16" ht="11.25" hidden="1" customHeight="1" x14ac:dyDescent="0.25">
      <c r="A74" s="70">
        <v>73</v>
      </c>
      <c r="B74" s="70" t="s">
        <v>460</v>
      </c>
      <c r="C74" s="70" t="s">
        <v>35</v>
      </c>
      <c r="D74" s="70" t="s">
        <v>83</v>
      </c>
      <c r="E74" s="70" t="s">
        <v>25</v>
      </c>
      <c r="F74" s="70" t="s">
        <v>25</v>
      </c>
      <c r="G74" s="70" t="s">
        <v>25</v>
      </c>
      <c r="H74" s="70" t="s">
        <v>25</v>
      </c>
      <c r="I74" s="70" t="s">
        <v>25</v>
      </c>
      <c r="J74" s="70" t="s">
        <v>599</v>
      </c>
      <c r="K74" s="70" t="s">
        <v>600</v>
      </c>
      <c r="L74" s="70" t="s">
        <v>79</v>
      </c>
      <c r="M74" s="70">
        <v>2021</v>
      </c>
      <c r="N74" s="70">
        <v>0</v>
      </c>
      <c r="O74" s="70">
        <v>3.09</v>
      </c>
      <c r="P74" s="70">
        <v>0</v>
      </c>
    </row>
    <row r="75" spans="1:16" ht="11.25" hidden="1" customHeight="1" x14ac:dyDescent="0.25">
      <c r="A75" s="70">
        <v>74</v>
      </c>
      <c r="B75" s="70" t="s">
        <v>460</v>
      </c>
      <c r="C75" s="70" t="s">
        <v>587</v>
      </c>
      <c r="D75" s="70" t="s">
        <v>83</v>
      </c>
      <c r="E75" s="70" t="s">
        <v>25</v>
      </c>
      <c r="F75" s="70" t="s">
        <v>25</v>
      </c>
      <c r="G75" s="70" t="s">
        <v>25</v>
      </c>
      <c r="H75" s="70" t="s">
        <v>1203</v>
      </c>
      <c r="I75" s="70" t="s">
        <v>25</v>
      </c>
      <c r="J75" s="70" t="s">
        <v>599</v>
      </c>
      <c r="K75" s="70" t="s">
        <v>600</v>
      </c>
      <c r="L75" s="70" t="s">
        <v>79</v>
      </c>
      <c r="M75" s="70">
        <v>2021</v>
      </c>
      <c r="N75" s="70">
        <v>0</v>
      </c>
      <c r="O75" s="70">
        <v>2.39</v>
      </c>
      <c r="P75" s="70">
        <v>0</v>
      </c>
    </row>
    <row r="76" spans="1:16" ht="11.25" hidden="1" customHeight="1" x14ac:dyDescent="0.25">
      <c r="A76" s="70">
        <v>75</v>
      </c>
      <c r="B76" s="70" t="s">
        <v>460</v>
      </c>
      <c r="C76" s="70" t="s">
        <v>35</v>
      </c>
      <c r="D76" s="70" t="s">
        <v>39</v>
      </c>
      <c r="E76" s="70" t="s">
        <v>25</v>
      </c>
      <c r="F76" s="70" t="s">
        <v>25</v>
      </c>
      <c r="G76" s="70" t="s">
        <v>25</v>
      </c>
      <c r="H76" s="70" t="s">
        <v>25</v>
      </c>
      <c r="I76" s="70" t="s">
        <v>25</v>
      </c>
      <c r="J76" s="70" t="s">
        <v>599</v>
      </c>
      <c r="K76" s="70" t="s">
        <v>600</v>
      </c>
      <c r="L76" s="70" t="s">
        <v>79</v>
      </c>
      <c r="M76" s="70">
        <v>2021</v>
      </c>
      <c r="N76" s="70">
        <v>0</v>
      </c>
      <c r="O76" s="70">
        <v>13.29</v>
      </c>
      <c r="P76" s="70">
        <v>0</v>
      </c>
    </row>
    <row r="77" spans="1:16" ht="11.25" hidden="1" customHeight="1" x14ac:dyDescent="0.25">
      <c r="A77" s="70">
        <v>76</v>
      </c>
      <c r="B77" s="70" t="s">
        <v>460</v>
      </c>
      <c r="C77" s="70" t="s">
        <v>587</v>
      </c>
      <c r="D77" s="70" t="s">
        <v>83</v>
      </c>
      <c r="E77" s="70" t="s">
        <v>25</v>
      </c>
      <c r="F77" s="70" t="s">
        <v>25</v>
      </c>
      <c r="G77" s="70" t="s">
        <v>25</v>
      </c>
      <c r="H77" s="70" t="s">
        <v>1204</v>
      </c>
      <c r="I77" s="70" t="s">
        <v>25</v>
      </c>
      <c r="J77" s="70" t="s">
        <v>599</v>
      </c>
      <c r="K77" s="70" t="s">
        <v>600</v>
      </c>
      <c r="L77" s="70" t="s">
        <v>79</v>
      </c>
      <c r="M77" s="70">
        <v>2021</v>
      </c>
      <c r="N77" s="70">
        <v>0</v>
      </c>
      <c r="O77" s="70">
        <v>4.21</v>
      </c>
      <c r="P77" s="70">
        <v>0</v>
      </c>
    </row>
    <row r="78" spans="1:16" ht="11.25" hidden="1" customHeight="1" x14ac:dyDescent="0.25">
      <c r="A78" s="70">
        <v>77</v>
      </c>
      <c r="B78" s="70" t="s">
        <v>460</v>
      </c>
      <c r="C78" s="70" t="s">
        <v>35</v>
      </c>
      <c r="D78" s="70" t="s">
        <v>39</v>
      </c>
      <c r="E78" s="70" t="s">
        <v>25</v>
      </c>
      <c r="F78" s="70" t="s">
        <v>25</v>
      </c>
      <c r="G78" s="70" t="s">
        <v>25</v>
      </c>
      <c r="H78" s="70" t="s">
        <v>25</v>
      </c>
      <c r="I78" s="70" t="s">
        <v>37</v>
      </c>
      <c r="J78" s="70" t="s">
        <v>601</v>
      </c>
      <c r="K78" s="70" t="s">
        <v>600</v>
      </c>
      <c r="L78" s="70" t="s">
        <v>74</v>
      </c>
      <c r="M78" s="70">
        <v>2021</v>
      </c>
      <c r="N78" s="70">
        <v>0</v>
      </c>
      <c r="O78" s="70">
        <v>772.33</v>
      </c>
      <c r="P78" s="70">
        <v>55.994547287744503</v>
      </c>
    </row>
    <row r="79" spans="1:16" ht="11.25" hidden="1" customHeight="1" x14ac:dyDescent="0.25">
      <c r="A79" s="70">
        <v>78</v>
      </c>
      <c r="B79" s="70" t="s">
        <v>460</v>
      </c>
      <c r="C79" s="70" t="s">
        <v>587</v>
      </c>
      <c r="D79" s="70" t="s">
        <v>83</v>
      </c>
      <c r="E79" s="70" t="s">
        <v>25</v>
      </c>
      <c r="F79" s="70" t="s">
        <v>25</v>
      </c>
      <c r="G79" s="70" t="s">
        <v>25</v>
      </c>
      <c r="H79" s="70" t="s">
        <v>1205</v>
      </c>
      <c r="I79" s="70" t="s">
        <v>25</v>
      </c>
      <c r="J79" s="70" t="s">
        <v>599</v>
      </c>
      <c r="K79" s="70" t="s">
        <v>600</v>
      </c>
      <c r="L79" s="70" t="s">
        <v>79</v>
      </c>
      <c r="M79" s="70">
        <v>2021</v>
      </c>
      <c r="N79" s="70">
        <v>0</v>
      </c>
      <c r="O79" s="70">
        <v>3.99</v>
      </c>
      <c r="P79" s="70">
        <v>0</v>
      </c>
    </row>
    <row r="80" spans="1:16" ht="11.25" hidden="1" customHeight="1" x14ac:dyDescent="0.25">
      <c r="A80" s="70">
        <v>79</v>
      </c>
      <c r="B80" s="70" t="s">
        <v>460</v>
      </c>
      <c r="C80" s="70" t="s">
        <v>35</v>
      </c>
      <c r="D80" s="70" t="s">
        <v>39</v>
      </c>
      <c r="E80" s="70" t="s">
        <v>25</v>
      </c>
      <c r="F80" s="70" t="s">
        <v>25</v>
      </c>
      <c r="G80" s="70" t="s">
        <v>25</v>
      </c>
      <c r="H80" s="70" t="s">
        <v>25</v>
      </c>
      <c r="I80" s="70" t="s">
        <v>38</v>
      </c>
      <c r="J80" s="70" t="s">
        <v>601</v>
      </c>
      <c r="K80" s="70" t="s">
        <v>600</v>
      </c>
      <c r="L80" s="70" t="s">
        <v>74</v>
      </c>
      <c r="M80" s="70">
        <v>2021</v>
      </c>
      <c r="N80" s="70">
        <v>0</v>
      </c>
      <c r="O80" s="70">
        <v>85.99</v>
      </c>
      <c r="P80" s="70">
        <v>55.994547287744503</v>
      </c>
    </row>
    <row r="81" spans="1:16" ht="11.25" hidden="1" customHeight="1" x14ac:dyDescent="0.25">
      <c r="A81" s="70">
        <v>80</v>
      </c>
      <c r="B81" s="70" t="s">
        <v>460</v>
      </c>
      <c r="C81" s="70" t="s">
        <v>587</v>
      </c>
      <c r="D81" s="70" t="s">
        <v>83</v>
      </c>
      <c r="E81" s="70" t="s">
        <v>25</v>
      </c>
      <c r="F81" s="70" t="s">
        <v>25</v>
      </c>
      <c r="G81" s="70" t="s">
        <v>25</v>
      </c>
      <c r="H81" s="70" t="s">
        <v>1206</v>
      </c>
      <c r="I81" s="70" t="s">
        <v>25</v>
      </c>
      <c r="J81" s="70" t="s">
        <v>599</v>
      </c>
      <c r="K81" s="70" t="s">
        <v>600</v>
      </c>
      <c r="L81" s="70" t="s">
        <v>79</v>
      </c>
      <c r="M81" s="70">
        <v>2021</v>
      </c>
      <c r="N81" s="70">
        <v>0</v>
      </c>
      <c r="O81" s="70">
        <v>3.42</v>
      </c>
      <c r="P81" s="70">
        <v>0</v>
      </c>
    </row>
    <row r="82" spans="1:16" ht="11.25" hidden="1" customHeight="1" x14ac:dyDescent="0.25">
      <c r="A82" s="70">
        <v>81</v>
      </c>
      <c r="B82" s="70" t="s">
        <v>460</v>
      </c>
      <c r="C82" s="70" t="s">
        <v>35</v>
      </c>
      <c r="D82" s="70" t="s">
        <v>39</v>
      </c>
      <c r="E82" s="70" t="s">
        <v>25</v>
      </c>
      <c r="F82" s="70" t="s">
        <v>25</v>
      </c>
      <c r="G82" s="70" t="s">
        <v>82</v>
      </c>
      <c r="H82" s="70" t="s">
        <v>25</v>
      </c>
      <c r="I82" s="70" t="s">
        <v>37</v>
      </c>
      <c r="J82" s="70" t="s">
        <v>601</v>
      </c>
      <c r="K82" s="70" t="s">
        <v>600</v>
      </c>
      <c r="L82" s="70" t="s">
        <v>74</v>
      </c>
      <c r="M82" s="70">
        <v>2021</v>
      </c>
      <c r="N82" s="70">
        <v>0</v>
      </c>
      <c r="O82" s="70">
        <v>708.97</v>
      </c>
      <c r="P82" s="70">
        <v>0</v>
      </c>
    </row>
    <row r="83" spans="1:16" ht="11.25" hidden="1" customHeight="1" x14ac:dyDescent="0.25">
      <c r="A83" s="70">
        <v>82</v>
      </c>
      <c r="B83" s="70" t="s">
        <v>460</v>
      </c>
      <c r="C83" s="70" t="s">
        <v>587</v>
      </c>
      <c r="D83" s="70" t="s">
        <v>83</v>
      </c>
      <c r="E83" s="70" t="s">
        <v>25</v>
      </c>
      <c r="F83" s="70" t="s">
        <v>25</v>
      </c>
      <c r="G83" s="70" t="s">
        <v>25</v>
      </c>
      <c r="H83" s="70" t="s">
        <v>1207</v>
      </c>
      <c r="I83" s="70" t="s">
        <v>25</v>
      </c>
      <c r="J83" s="70" t="s">
        <v>599</v>
      </c>
      <c r="K83" s="70" t="s">
        <v>600</v>
      </c>
      <c r="L83" s="70" t="s">
        <v>79</v>
      </c>
      <c r="M83" s="70">
        <v>2021</v>
      </c>
      <c r="N83" s="70">
        <v>0</v>
      </c>
      <c r="O83" s="70">
        <v>2.92</v>
      </c>
      <c r="P83" s="70">
        <v>0</v>
      </c>
    </row>
    <row r="84" spans="1:16" ht="11.25" hidden="1" customHeight="1" x14ac:dyDescent="0.25">
      <c r="A84" s="70">
        <v>83</v>
      </c>
      <c r="B84" s="70" t="s">
        <v>460</v>
      </c>
      <c r="C84" s="70" t="s">
        <v>35</v>
      </c>
      <c r="D84" s="70" t="s">
        <v>39</v>
      </c>
      <c r="E84" s="70" t="s">
        <v>25</v>
      </c>
      <c r="F84" s="70" t="s">
        <v>25</v>
      </c>
      <c r="G84" s="70" t="s">
        <v>82</v>
      </c>
      <c r="H84" s="70" t="s">
        <v>25</v>
      </c>
      <c r="I84" s="70" t="s">
        <v>38</v>
      </c>
      <c r="J84" s="70" t="s">
        <v>601</v>
      </c>
      <c r="K84" s="70" t="s">
        <v>600</v>
      </c>
      <c r="L84" s="70" t="s">
        <v>74</v>
      </c>
      <c r="M84" s="70">
        <v>2021</v>
      </c>
      <c r="N84" s="70">
        <v>0</v>
      </c>
      <c r="O84" s="70">
        <v>22.63</v>
      </c>
      <c r="P84" s="70">
        <v>0</v>
      </c>
    </row>
    <row r="85" spans="1:16" ht="11.25" hidden="1" customHeight="1" x14ac:dyDescent="0.25">
      <c r="A85" s="70">
        <v>84</v>
      </c>
      <c r="B85" s="70" t="s">
        <v>460</v>
      </c>
      <c r="C85" s="70" t="s">
        <v>587</v>
      </c>
      <c r="D85" s="70" t="s">
        <v>83</v>
      </c>
      <c r="E85" s="70" t="s">
        <v>25</v>
      </c>
      <c r="F85" s="70" t="s">
        <v>25</v>
      </c>
      <c r="G85" s="70" t="s">
        <v>25</v>
      </c>
      <c r="H85" s="70" t="s">
        <v>1208</v>
      </c>
      <c r="I85" s="70" t="s">
        <v>25</v>
      </c>
      <c r="J85" s="70" t="s">
        <v>599</v>
      </c>
      <c r="K85" s="70" t="s">
        <v>600</v>
      </c>
      <c r="L85" s="70" t="s">
        <v>79</v>
      </c>
      <c r="M85" s="70">
        <v>2021</v>
      </c>
      <c r="N85" s="70">
        <v>0</v>
      </c>
      <c r="O85" s="70">
        <v>2.92</v>
      </c>
      <c r="P85" s="70">
        <v>0</v>
      </c>
    </row>
    <row r="86" spans="1:16" ht="11.25" hidden="1" customHeight="1" x14ac:dyDescent="0.25">
      <c r="A86" s="70">
        <v>85</v>
      </c>
      <c r="B86" s="70" t="s">
        <v>460</v>
      </c>
      <c r="C86" s="70" t="s">
        <v>35</v>
      </c>
      <c r="D86" s="70" t="s">
        <v>23</v>
      </c>
      <c r="E86" s="70" t="s">
        <v>25</v>
      </c>
      <c r="F86" s="70" t="s">
        <v>25</v>
      </c>
      <c r="G86" s="70" t="s">
        <v>25</v>
      </c>
      <c r="H86" s="70" t="s">
        <v>25</v>
      </c>
      <c r="I86" s="70" t="s">
        <v>25</v>
      </c>
      <c r="J86" s="70" t="s">
        <v>599</v>
      </c>
      <c r="K86" s="70" t="s">
        <v>600</v>
      </c>
      <c r="L86" s="70" t="s">
        <v>79</v>
      </c>
      <c r="M86" s="70">
        <v>2021</v>
      </c>
      <c r="N86" s="70">
        <v>0</v>
      </c>
      <c r="O86" s="70">
        <v>33.64</v>
      </c>
      <c r="P86" s="70">
        <v>0</v>
      </c>
    </row>
    <row r="87" spans="1:16" ht="11.25" hidden="1" customHeight="1" x14ac:dyDescent="0.25">
      <c r="A87" s="70">
        <v>86</v>
      </c>
      <c r="B87" s="70" t="s">
        <v>460</v>
      </c>
      <c r="C87" s="70" t="s">
        <v>587</v>
      </c>
      <c r="D87" s="70" t="s">
        <v>83</v>
      </c>
      <c r="E87" s="70" t="s">
        <v>25</v>
      </c>
      <c r="F87" s="70" t="s">
        <v>25</v>
      </c>
      <c r="G87" s="70" t="s">
        <v>25</v>
      </c>
      <c r="H87" s="70" t="s">
        <v>1209</v>
      </c>
      <c r="I87" s="70" t="s">
        <v>25</v>
      </c>
      <c r="J87" s="70" t="s">
        <v>599</v>
      </c>
      <c r="K87" s="70" t="s">
        <v>600</v>
      </c>
      <c r="L87" s="70" t="s">
        <v>79</v>
      </c>
      <c r="M87" s="70">
        <v>2021</v>
      </c>
      <c r="N87" s="70">
        <v>0</v>
      </c>
      <c r="O87" s="70">
        <v>3.01</v>
      </c>
      <c r="P87" s="70">
        <v>0</v>
      </c>
    </row>
    <row r="88" spans="1:16" ht="11.25" hidden="1" customHeight="1" x14ac:dyDescent="0.25">
      <c r="A88" s="70">
        <v>87</v>
      </c>
      <c r="B88" s="70" t="s">
        <v>460</v>
      </c>
      <c r="C88" s="70" t="s">
        <v>35</v>
      </c>
      <c r="D88" s="70" t="s">
        <v>23</v>
      </c>
      <c r="E88" s="70" t="s">
        <v>25</v>
      </c>
      <c r="F88" s="70" t="s">
        <v>25</v>
      </c>
      <c r="G88" s="70" t="s">
        <v>25</v>
      </c>
      <c r="H88" s="70" t="s">
        <v>25</v>
      </c>
      <c r="I88" s="70" t="s">
        <v>25</v>
      </c>
      <c r="J88" s="70" t="s">
        <v>601</v>
      </c>
      <c r="K88" s="70" t="s">
        <v>600</v>
      </c>
      <c r="L88" s="70" t="s">
        <v>74</v>
      </c>
      <c r="M88" s="70">
        <v>2021</v>
      </c>
      <c r="N88" s="70">
        <v>0</v>
      </c>
      <c r="O88" s="70">
        <v>85.99</v>
      </c>
      <c r="P88" s="70">
        <v>55.994547287744503</v>
      </c>
    </row>
    <row r="89" spans="1:16" ht="11.25" hidden="1" customHeight="1" x14ac:dyDescent="0.25">
      <c r="A89" s="70">
        <v>88</v>
      </c>
      <c r="B89" s="70" t="s">
        <v>460</v>
      </c>
      <c r="C89" s="70" t="s">
        <v>587</v>
      </c>
      <c r="D89" s="70" t="s">
        <v>83</v>
      </c>
      <c r="E89" s="70" t="s">
        <v>25</v>
      </c>
      <c r="F89" s="70" t="s">
        <v>25</v>
      </c>
      <c r="G89" s="70" t="s">
        <v>25</v>
      </c>
      <c r="H89" s="70" t="s">
        <v>1210</v>
      </c>
      <c r="I89" s="70" t="s">
        <v>25</v>
      </c>
      <c r="J89" s="70" t="s">
        <v>599</v>
      </c>
      <c r="K89" s="70" t="s">
        <v>600</v>
      </c>
      <c r="L89" s="70" t="s">
        <v>79</v>
      </c>
      <c r="M89" s="70">
        <v>2021</v>
      </c>
      <c r="N89" s="70">
        <v>0</v>
      </c>
      <c r="O89" s="70">
        <v>4.34</v>
      </c>
      <c r="P89" s="70">
        <v>0</v>
      </c>
    </row>
    <row r="90" spans="1:16" ht="11.25" hidden="1" customHeight="1" x14ac:dyDescent="0.25">
      <c r="A90" s="70">
        <v>89</v>
      </c>
      <c r="B90" s="70" t="s">
        <v>460</v>
      </c>
      <c r="C90" s="70" t="s">
        <v>84</v>
      </c>
      <c r="D90" s="70" t="s">
        <v>83</v>
      </c>
      <c r="E90" s="70" t="s">
        <v>25</v>
      </c>
      <c r="F90" s="70" t="s">
        <v>25</v>
      </c>
      <c r="G90" s="70" t="s">
        <v>85</v>
      </c>
      <c r="H90" s="70" t="s">
        <v>25</v>
      </c>
      <c r="I90" s="70" t="s">
        <v>25</v>
      </c>
      <c r="J90" s="70" t="s">
        <v>599</v>
      </c>
      <c r="K90" s="70" t="s">
        <v>600</v>
      </c>
      <c r="L90" s="70" t="s">
        <v>79</v>
      </c>
      <c r="M90" s="70">
        <v>2021</v>
      </c>
      <c r="N90" s="70">
        <v>0</v>
      </c>
      <c r="O90" s="70">
        <v>1.78</v>
      </c>
      <c r="P90" s="70">
        <v>0</v>
      </c>
    </row>
    <row r="91" spans="1:16" ht="11.25" hidden="1" customHeight="1" x14ac:dyDescent="0.25">
      <c r="A91" s="70">
        <v>90</v>
      </c>
      <c r="B91" s="70" t="s">
        <v>460</v>
      </c>
      <c r="C91" s="70" t="s">
        <v>587</v>
      </c>
      <c r="D91" s="70" t="s">
        <v>83</v>
      </c>
      <c r="E91" s="70" t="s">
        <v>25</v>
      </c>
      <c r="F91" s="70" t="s">
        <v>25</v>
      </c>
      <c r="G91" s="70" t="s">
        <v>25</v>
      </c>
      <c r="H91" s="70" t="s">
        <v>1211</v>
      </c>
      <c r="I91" s="70" t="s">
        <v>25</v>
      </c>
      <c r="J91" s="70" t="s">
        <v>599</v>
      </c>
      <c r="K91" s="70" t="s">
        <v>600</v>
      </c>
      <c r="L91" s="70" t="s">
        <v>79</v>
      </c>
      <c r="M91" s="70">
        <v>2021</v>
      </c>
      <c r="N91" s="70">
        <v>0</v>
      </c>
      <c r="O91" s="70">
        <v>2.7</v>
      </c>
      <c r="P91" s="70">
        <v>0</v>
      </c>
    </row>
    <row r="92" spans="1:16" ht="11.25" hidden="1" customHeight="1" x14ac:dyDescent="0.25">
      <c r="A92" s="70">
        <v>91</v>
      </c>
      <c r="B92" s="70" t="s">
        <v>460</v>
      </c>
      <c r="C92" s="70" t="s">
        <v>84</v>
      </c>
      <c r="D92" s="70" t="s">
        <v>83</v>
      </c>
      <c r="E92" s="70" t="s">
        <v>25</v>
      </c>
      <c r="F92" s="70" t="s">
        <v>25</v>
      </c>
      <c r="G92" s="70" t="s">
        <v>86</v>
      </c>
      <c r="H92" s="70" t="s">
        <v>25</v>
      </c>
      <c r="I92" s="70" t="s">
        <v>25</v>
      </c>
      <c r="J92" s="70" t="s">
        <v>599</v>
      </c>
      <c r="K92" s="70" t="s">
        <v>600</v>
      </c>
      <c r="L92" s="70" t="s">
        <v>79</v>
      </c>
      <c r="M92" s="70">
        <v>2021</v>
      </c>
      <c r="N92" s="70">
        <v>0</v>
      </c>
      <c r="O92" s="70">
        <v>5.24</v>
      </c>
      <c r="P92" s="70">
        <v>0</v>
      </c>
    </row>
    <row r="93" spans="1:16" ht="11.25" customHeight="1" x14ac:dyDescent="0.25">
      <c r="A93" s="70">
        <v>92</v>
      </c>
      <c r="B93" s="70" t="s">
        <v>460</v>
      </c>
      <c r="C93" s="70" t="s">
        <v>22</v>
      </c>
      <c r="D93" s="70" t="s">
        <v>50</v>
      </c>
      <c r="E93" s="70" t="s">
        <v>24</v>
      </c>
      <c r="F93" s="70" t="s">
        <v>24</v>
      </c>
      <c r="G93" s="70" t="s">
        <v>25</v>
      </c>
      <c r="H93" s="70" t="s">
        <v>25</v>
      </c>
      <c r="I93" s="70" t="s">
        <v>37</v>
      </c>
      <c r="J93" s="70" t="s">
        <v>601</v>
      </c>
      <c r="K93" s="70" t="s">
        <v>600</v>
      </c>
      <c r="L93" s="70" t="s">
        <v>74</v>
      </c>
      <c r="M93" s="70">
        <v>2021</v>
      </c>
      <c r="N93" s="70">
        <v>0</v>
      </c>
      <c r="O93" s="70">
        <v>473.22</v>
      </c>
      <c r="P93" s="70">
        <v>64.361548606602895</v>
      </c>
    </row>
    <row r="94" spans="1:16" ht="11.25" hidden="1" customHeight="1" x14ac:dyDescent="0.25">
      <c r="A94" s="70">
        <v>93</v>
      </c>
      <c r="B94" s="70" t="s">
        <v>460</v>
      </c>
      <c r="C94" s="70" t="s">
        <v>587</v>
      </c>
      <c r="D94" s="70" t="s">
        <v>83</v>
      </c>
      <c r="E94" s="70" t="s">
        <v>25</v>
      </c>
      <c r="F94" s="70" t="s">
        <v>25</v>
      </c>
      <c r="G94" s="70" t="s">
        <v>25</v>
      </c>
      <c r="H94" s="70" t="s">
        <v>1212</v>
      </c>
      <c r="I94" s="70" t="s">
        <v>25</v>
      </c>
      <c r="J94" s="70" t="s">
        <v>599</v>
      </c>
      <c r="K94" s="70" t="s">
        <v>600</v>
      </c>
      <c r="L94" s="70" t="s">
        <v>79</v>
      </c>
      <c r="M94" s="70">
        <v>2021</v>
      </c>
      <c r="N94" s="70">
        <v>0</v>
      </c>
      <c r="O94" s="70">
        <v>3.88</v>
      </c>
      <c r="P94" s="70">
        <v>0</v>
      </c>
    </row>
    <row r="95" spans="1:16" ht="11.25" customHeight="1" x14ac:dyDescent="0.25">
      <c r="A95" s="70">
        <v>94</v>
      </c>
      <c r="B95" s="70" t="s">
        <v>460</v>
      </c>
      <c r="C95" s="70" t="s">
        <v>22</v>
      </c>
      <c r="D95" s="70" t="s">
        <v>50</v>
      </c>
      <c r="E95" s="70" t="s">
        <v>24</v>
      </c>
      <c r="F95" s="70" t="s">
        <v>24</v>
      </c>
      <c r="G95" s="70" t="s">
        <v>25</v>
      </c>
      <c r="H95" s="70" t="s">
        <v>25</v>
      </c>
      <c r="I95" s="70" t="s">
        <v>51</v>
      </c>
      <c r="J95" s="70" t="s">
        <v>601</v>
      </c>
      <c r="K95" s="70" t="s">
        <v>600</v>
      </c>
      <c r="L95" s="70" t="s">
        <v>74</v>
      </c>
      <c r="M95" s="70">
        <v>2021</v>
      </c>
      <c r="N95" s="70">
        <v>0</v>
      </c>
      <c r="O95" s="70">
        <v>328.14</v>
      </c>
      <c r="P95" s="70">
        <v>64.361548606602895</v>
      </c>
    </row>
    <row r="96" spans="1:16" ht="11.25" hidden="1" customHeight="1" x14ac:dyDescent="0.25">
      <c r="A96" s="70">
        <v>95</v>
      </c>
      <c r="B96" s="70" t="s">
        <v>460</v>
      </c>
      <c r="C96" s="70" t="s">
        <v>587</v>
      </c>
      <c r="D96" s="70" t="s">
        <v>83</v>
      </c>
      <c r="E96" s="70" t="s">
        <v>25</v>
      </c>
      <c r="F96" s="70" t="s">
        <v>25</v>
      </c>
      <c r="G96" s="70" t="s">
        <v>25</v>
      </c>
      <c r="H96" s="70" t="s">
        <v>1213</v>
      </c>
      <c r="I96" s="70" t="s">
        <v>25</v>
      </c>
      <c r="J96" s="70" t="s">
        <v>599</v>
      </c>
      <c r="K96" s="70" t="s">
        <v>600</v>
      </c>
      <c r="L96" s="70" t="s">
        <v>79</v>
      </c>
      <c r="M96" s="70">
        <v>2021</v>
      </c>
      <c r="N96" s="70">
        <v>0</v>
      </c>
      <c r="O96" s="70">
        <v>3.42</v>
      </c>
      <c r="P96" s="70">
        <v>0</v>
      </c>
    </row>
    <row r="97" spans="1:16" ht="11.25" customHeight="1" x14ac:dyDescent="0.25">
      <c r="A97" s="70">
        <v>96</v>
      </c>
      <c r="B97" s="70" t="s">
        <v>460</v>
      </c>
      <c r="C97" s="70" t="s">
        <v>22</v>
      </c>
      <c r="D97" s="70" t="s">
        <v>50</v>
      </c>
      <c r="E97" s="70" t="s">
        <v>24</v>
      </c>
      <c r="F97" s="70" t="s">
        <v>24</v>
      </c>
      <c r="G97" s="70" t="s">
        <v>25</v>
      </c>
      <c r="H97" s="70" t="s">
        <v>25</v>
      </c>
      <c r="I97" s="70" t="s">
        <v>38</v>
      </c>
      <c r="J97" s="70" t="s">
        <v>601</v>
      </c>
      <c r="K97" s="70" t="s">
        <v>600</v>
      </c>
      <c r="L97" s="70" t="s">
        <v>74</v>
      </c>
      <c r="M97" s="70">
        <v>2021</v>
      </c>
      <c r="N97" s="70">
        <v>0</v>
      </c>
      <c r="O97" s="70">
        <v>183.06</v>
      </c>
      <c r="P97" s="70">
        <v>64.361548606602895</v>
      </c>
    </row>
    <row r="98" spans="1:16" ht="11.25" hidden="1" customHeight="1" x14ac:dyDescent="0.25">
      <c r="A98" s="70">
        <v>97</v>
      </c>
      <c r="B98" s="70" t="s">
        <v>460</v>
      </c>
      <c r="C98" s="70" t="s">
        <v>587</v>
      </c>
      <c r="D98" s="70" t="s">
        <v>83</v>
      </c>
      <c r="E98" s="70" t="s">
        <v>25</v>
      </c>
      <c r="F98" s="70" t="s">
        <v>25</v>
      </c>
      <c r="G98" s="70" t="s">
        <v>25</v>
      </c>
      <c r="H98" s="70" t="s">
        <v>1214</v>
      </c>
      <c r="I98" s="70" t="s">
        <v>25</v>
      </c>
      <c r="J98" s="70" t="s">
        <v>599</v>
      </c>
      <c r="K98" s="70" t="s">
        <v>600</v>
      </c>
      <c r="L98" s="70" t="s">
        <v>79</v>
      </c>
      <c r="M98" s="70">
        <v>2021</v>
      </c>
      <c r="N98" s="70">
        <v>0</v>
      </c>
      <c r="O98" s="70">
        <v>3.88</v>
      </c>
      <c r="P98" s="70">
        <v>0</v>
      </c>
    </row>
    <row r="99" spans="1:16" ht="11.25" customHeight="1" x14ac:dyDescent="0.25">
      <c r="A99" s="70">
        <v>98</v>
      </c>
      <c r="B99" s="70" t="s">
        <v>460</v>
      </c>
      <c r="C99" s="70" t="s">
        <v>22</v>
      </c>
      <c r="D99" s="70" t="s">
        <v>23</v>
      </c>
      <c r="E99" s="70" t="s">
        <v>24</v>
      </c>
      <c r="F99" s="70" t="s">
        <v>24</v>
      </c>
      <c r="G99" s="70" t="s">
        <v>25</v>
      </c>
      <c r="H99" s="70" t="s">
        <v>25</v>
      </c>
      <c r="I99" s="70" t="s">
        <v>25</v>
      </c>
      <c r="J99" s="70" t="s">
        <v>601</v>
      </c>
      <c r="K99" s="70" t="s">
        <v>600</v>
      </c>
      <c r="L99" s="70" t="s">
        <v>74</v>
      </c>
      <c r="M99" s="70">
        <v>2021</v>
      </c>
      <c r="N99" s="70">
        <v>0</v>
      </c>
      <c r="O99" s="70">
        <v>244.85</v>
      </c>
      <c r="P99" s="70">
        <v>64.361548606602895</v>
      </c>
    </row>
    <row r="100" spans="1:16" ht="11.25" hidden="1" customHeight="1" x14ac:dyDescent="0.25">
      <c r="A100" s="70">
        <v>99</v>
      </c>
      <c r="B100" s="70" t="s">
        <v>460</v>
      </c>
      <c r="C100" s="70" t="s">
        <v>587</v>
      </c>
      <c r="D100" s="70" t="s">
        <v>83</v>
      </c>
      <c r="E100" s="70" t="s">
        <v>25</v>
      </c>
      <c r="F100" s="70" t="s">
        <v>25</v>
      </c>
      <c r="G100" s="70" t="s">
        <v>25</v>
      </c>
      <c r="H100" s="70" t="s">
        <v>1215</v>
      </c>
      <c r="I100" s="70" t="s">
        <v>25</v>
      </c>
      <c r="J100" s="70" t="s">
        <v>599</v>
      </c>
      <c r="K100" s="70" t="s">
        <v>600</v>
      </c>
      <c r="L100" s="70" t="s">
        <v>79</v>
      </c>
      <c r="M100" s="70">
        <v>2021</v>
      </c>
      <c r="N100" s="70">
        <v>0</v>
      </c>
      <c r="O100" s="70">
        <v>3.88</v>
      </c>
      <c r="P100" s="70">
        <v>0</v>
      </c>
    </row>
    <row r="101" spans="1:16" ht="11.25" customHeight="1" x14ac:dyDescent="0.25">
      <c r="A101" s="70">
        <v>100</v>
      </c>
      <c r="B101" s="70" t="s">
        <v>460</v>
      </c>
      <c r="C101" s="70" t="s">
        <v>22</v>
      </c>
      <c r="D101" s="70" t="s">
        <v>23</v>
      </c>
      <c r="E101" s="70" t="s">
        <v>24</v>
      </c>
      <c r="F101" s="70" t="s">
        <v>29</v>
      </c>
      <c r="G101" s="70" t="s">
        <v>25</v>
      </c>
      <c r="H101" s="70" t="s">
        <v>25</v>
      </c>
      <c r="I101" s="70" t="s">
        <v>25</v>
      </c>
      <c r="J101" s="70" t="s">
        <v>601</v>
      </c>
      <c r="K101" s="70" t="s">
        <v>600</v>
      </c>
      <c r="L101" s="70" t="s">
        <v>74</v>
      </c>
      <c r="M101" s="70">
        <v>2021</v>
      </c>
      <c r="N101" s="70">
        <v>0</v>
      </c>
      <c r="O101" s="70">
        <v>60.62</v>
      </c>
      <c r="P101" s="70">
        <v>0</v>
      </c>
    </row>
    <row r="102" spans="1:16" ht="11.25" hidden="1" customHeight="1" x14ac:dyDescent="0.25">
      <c r="A102" s="70">
        <v>101</v>
      </c>
      <c r="B102" s="70" t="s">
        <v>460</v>
      </c>
      <c r="C102" s="70" t="s">
        <v>587</v>
      </c>
      <c r="D102" s="70" t="s">
        <v>83</v>
      </c>
      <c r="E102" s="70" t="s">
        <v>25</v>
      </c>
      <c r="F102" s="70" t="s">
        <v>25</v>
      </c>
      <c r="G102" s="70" t="s">
        <v>25</v>
      </c>
      <c r="H102" s="70" t="s">
        <v>1216</v>
      </c>
      <c r="I102" s="70" t="s">
        <v>25</v>
      </c>
      <c r="J102" s="70" t="s">
        <v>599</v>
      </c>
      <c r="K102" s="70" t="s">
        <v>600</v>
      </c>
      <c r="L102" s="70" t="s">
        <v>79</v>
      </c>
      <c r="M102" s="70">
        <v>2021</v>
      </c>
      <c r="N102" s="70">
        <v>0</v>
      </c>
      <c r="O102" s="70">
        <v>1.22</v>
      </c>
      <c r="P102" s="70">
        <v>0</v>
      </c>
    </row>
    <row r="103" spans="1:16" ht="11.25" customHeight="1" x14ac:dyDescent="0.25">
      <c r="A103" s="70">
        <v>102</v>
      </c>
      <c r="B103" s="70" t="s">
        <v>460</v>
      </c>
      <c r="C103" s="70" t="s">
        <v>22</v>
      </c>
      <c r="D103" s="70" t="s">
        <v>23</v>
      </c>
      <c r="E103" s="70" t="s">
        <v>24</v>
      </c>
      <c r="F103" s="70" t="s">
        <v>30</v>
      </c>
      <c r="G103" s="70" t="s">
        <v>25</v>
      </c>
      <c r="H103" s="70" t="s">
        <v>25</v>
      </c>
      <c r="I103" s="70" t="s">
        <v>25</v>
      </c>
      <c r="J103" s="70" t="s">
        <v>601</v>
      </c>
      <c r="K103" s="70" t="s">
        <v>600</v>
      </c>
      <c r="L103" s="70" t="s">
        <v>74</v>
      </c>
      <c r="M103" s="70">
        <v>2021</v>
      </c>
      <c r="N103" s="70">
        <v>0</v>
      </c>
      <c r="O103" s="70">
        <v>103.93</v>
      </c>
      <c r="P103" s="70">
        <v>0</v>
      </c>
    </row>
    <row r="104" spans="1:16" ht="11.25" hidden="1" customHeight="1" x14ac:dyDescent="0.25">
      <c r="A104" s="70">
        <v>103</v>
      </c>
      <c r="B104" s="70" t="s">
        <v>460</v>
      </c>
      <c r="C104" s="70" t="s">
        <v>588</v>
      </c>
      <c r="D104" s="70" t="s">
        <v>36</v>
      </c>
      <c r="E104" s="70" t="s">
        <v>25</v>
      </c>
      <c r="F104" s="70" t="s">
        <v>25</v>
      </c>
      <c r="G104" s="70" t="s">
        <v>25</v>
      </c>
      <c r="H104" s="70" t="s">
        <v>25</v>
      </c>
      <c r="I104" s="70" t="s">
        <v>37</v>
      </c>
      <c r="J104" s="70" t="s">
        <v>599</v>
      </c>
      <c r="K104" s="70" t="s">
        <v>600</v>
      </c>
      <c r="L104" s="70" t="s">
        <v>79</v>
      </c>
      <c r="M104" s="70">
        <v>2021</v>
      </c>
      <c r="N104" s="70">
        <v>0</v>
      </c>
      <c r="O104" s="70">
        <v>19.350000000000001</v>
      </c>
      <c r="P104" s="70">
        <v>0</v>
      </c>
    </row>
    <row r="105" spans="1:16" ht="11.25" customHeight="1" x14ac:dyDescent="0.25">
      <c r="A105" s="70">
        <v>104</v>
      </c>
      <c r="B105" s="70" t="s">
        <v>460</v>
      </c>
      <c r="C105" s="70" t="s">
        <v>22</v>
      </c>
      <c r="D105" s="70" t="s">
        <v>23</v>
      </c>
      <c r="E105" s="70" t="s">
        <v>24</v>
      </c>
      <c r="F105" s="70" t="s">
        <v>31</v>
      </c>
      <c r="G105" s="70" t="s">
        <v>25</v>
      </c>
      <c r="H105" s="70" t="s">
        <v>25</v>
      </c>
      <c r="I105" s="70" t="s">
        <v>25</v>
      </c>
      <c r="J105" s="70" t="s">
        <v>601</v>
      </c>
      <c r="K105" s="70" t="s">
        <v>600</v>
      </c>
      <c r="L105" s="70" t="s">
        <v>74</v>
      </c>
      <c r="M105" s="70">
        <v>2021</v>
      </c>
      <c r="N105" s="70">
        <v>0</v>
      </c>
      <c r="O105" s="70">
        <v>155.88999999999999</v>
      </c>
      <c r="P105" s="70">
        <v>0</v>
      </c>
    </row>
    <row r="106" spans="1:16" ht="11.25" hidden="1" customHeight="1" x14ac:dyDescent="0.25">
      <c r="A106" s="70">
        <v>105</v>
      </c>
      <c r="B106" s="70" t="s">
        <v>460</v>
      </c>
      <c r="C106" s="70" t="s">
        <v>588</v>
      </c>
      <c r="D106" s="70" t="s">
        <v>36</v>
      </c>
      <c r="E106" s="70" t="s">
        <v>25</v>
      </c>
      <c r="F106" s="70" t="s">
        <v>25</v>
      </c>
      <c r="G106" s="70" t="s">
        <v>25</v>
      </c>
      <c r="H106" s="70" t="s">
        <v>25</v>
      </c>
      <c r="I106" s="70" t="s">
        <v>38</v>
      </c>
      <c r="J106" s="70" t="s">
        <v>599</v>
      </c>
      <c r="K106" s="70" t="s">
        <v>600</v>
      </c>
      <c r="L106" s="70" t="s">
        <v>79</v>
      </c>
      <c r="M106" s="70">
        <v>2021</v>
      </c>
      <c r="N106" s="70">
        <v>0</v>
      </c>
      <c r="O106" s="70">
        <v>10.35</v>
      </c>
      <c r="P106" s="70">
        <v>0</v>
      </c>
    </row>
    <row r="107" spans="1:16" ht="11.25" customHeight="1" x14ac:dyDescent="0.25">
      <c r="A107" s="70">
        <v>106</v>
      </c>
      <c r="B107" s="70" t="s">
        <v>460</v>
      </c>
      <c r="C107" s="70" t="s">
        <v>22</v>
      </c>
      <c r="D107" s="70" t="s">
        <v>23</v>
      </c>
      <c r="E107" s="70" t="s">
        <v>24</v>
      </c>
      <c r="F107" s="70" t="s">
        <v>32</v>
      </c>
      <c r="G107" s="70" t="s">
        <v>25</v>
      </c>
      <c r="H107" s="70" t="s">
        <v>25</v>
      </c>
      <c r="I107" s="70" t="s">
        <v>25</v>
      </c>
      <c r="J107" s="70" t="s">
        <v>601</v>
      </c>
      <c r="K107" s="70" t="s">
        <v>600</v>
      </c>
      <c r="L107" s="70" t="s">
        <v>74</v>
      </c>
      <c r="M107" s="70">
        <v>2021</v>
      </c>
      <c r="N107" s="70">
        <v>0</v>
      </c>
      <c r="O107" s="70">
        <v>173.21</v>
      </c>
      <c r="P107" s="70">
        <v>0</v>
      </c>
    </row>
    <row r="108" spans="1:16" ht="11.25" hidden="1" customHeight="1" x14ac:dyDescent="0.25">
      <c r="A108" s="70">
        <v>107</v>
      </c>
      <c r="B108" s="70" t="s">
        <v>460</v>
      </c>
      <c r="C108" s="70" t="s">
        <v>588</v>
      </c>
      <c r="D108" s="70" t="s">
        <v>36</v>
      </c>
      <c r="E108" s="70" t="s">
        <v>25</v>
      </c>
      <c r="F108" s="70" t="s">
        <v>25</v>
      </c>
      <c r="G108" s="70" t="s">
        <v>25</v>
      </c>
      <c r="H108" s="70" t="s">
        <v>25</v>
      </c>
      <c r="I108" s="70" t="s">
        <v>25</v>
      </c>
      <c r="J108" s="70" t="s">
        <v>601</v>
      </c>
      <c r="K108" s="70" t="s">
        <v>600</v>
      </c>
      <c r="L108" s="70" t="s">
        <v>74</v>
      </c>
      <c r="M108" s="70">
        <v>2021</v>
      </c>
      <c r="N108" s="70">
        <v>0</v>
      </c>
      <c r="O108" s="70">
        <v>63.44</v>
      </c>
      <c r="P108" s="70">
        <v>43.122237566423898</v>
      </c>
    </row>
    <row r="109" spans="1:16" ht="11.25" customHeight="1" x14ac:dyDescent="0.25">
      <c r="A109" s="70">
        <v>108</v>
      </c>
      <c r="B109" s="70" t="s">
        <v>460</v>
      </c>
      <c r="C109" s="70" t="s">
        <v>22</v>
      </c>
      <c r="D109" s="70" t="s">
        <v>89</v>
      </c>
      <c r="E109" s="70" t="s">
        <v>24</v>
      </c>
      <c r="F109" s="70" t="s">
        <v>24</v>
      </c>
      <c r="G109" s="70" t="s">
        <v>25</v>
      </c>
      <c r="H109" s="70" t="s">
        <v>25</v>
      </c>
      <c r="I109" s="70" t="s">
        <v>25</v>
      </c>
      <c r="J109" s="70" t="s">
        <v>601</v>
      </c>
      <c r="K109" s="70" t="s">
        <v>600</v>
      </c>
      <c r="L109" s="70" t="s">
        <v>74</v>
      </c>
      <c r="M109" s="70">
        <v>2021</v>
      </c>
      <c r="N109" s="70">
        <v>0</v>
      </c>
      <c r="O109" s="70">
        <v>244.85</v>
      </c>
      <c r="P109" s="70">
        <v>64.361548606602895</v>
      </c>
    </row>
    <row r="110" spans="1:16" ht="11.25" hidden="1" customHeight="1" x14ac:dyDescent="0.25">
      <c r="A110" s="70">
        <v>109</v>
      </c>
      <c r="B110" s="70" t="s">
        <v>460</v>
      </c>
      <c r="C110" s="70" t="s">
        <v>588</v>
      </c>
      <c r="D110" s="70" t="s">
        <v>36</v>
      </c>
      <c r="E110" s="70" t="s">
        <v>25</v>
      </c>
      <c r="F110" s="70" t="s">
        <v>25</v>
      </c>
      <c r="G110" s="70" t="s">
        <v>82</v>
      </c>
      <c r="H110" s="70" t="s">
        <v>25</v>
      </c>
      <c r="I110" s="70" t="s">
        <v>25</v>
      </c>
      <c r="J110" s="70" t="s">
        <v>601</v>
      </c>
      <c r="K110" s="70" t="s">
        <v>600</v>
      </c>
      <c r="L110" s="70" t="s">
        <v>74</v>
      </c>
      <c r="M110" s="70">
        <v>2021</v>
      </c>
      <c r="N110" s="70">
        <v>0</v>
      </c>
      <c r="O110" s="70">
        <v>12.82</v>
      </c>
      <c r="P110" s="70">
        <v>0</v>
      </c>
    </row>
    <row r="111" spans="1:16" ht="11.25" customHeight="1" x14ac:dyDescent="0.25">
      <c r="A111" s="70">
        <v>110</v>
      </c>
      <c r="B111" s="70" t="s">
        <v>460</v>
      </c>
      <c r="C111" s="70" t="s">
        <v>22</v>
      </c>
      <c r="D111" s="70" t="s">
        <v>89</v>
      </c>
      <c r="E111" s="70" t="s">
        <v>24</v>
      </c>
      <c r="F111" s="70" t="s">
        <v>29</v>
      </c>
      <c r="G111" s="70" t="s">
        <v>25</v>
      </c>
      <c r="H111" s="70" t="s">
        <v>25</v>
      </c>
      <c r="I111" s="70" t="s">
        <v>25</v>
      </c>
      <c r="J111" s="70" t="s">
        <v>601</v>
      </c>
      <c r="K111" s="70" t="s">
        <v>600</v>
      </c>
      <c r="L111" s="70" t="s">
        <v>74</v>
      </c>
      <c r="M111" s="70">
        <v>2021</v>
      </c>
      <c r="N111" s="70">
        <v>0</v>
      </c>
      <c r="O111" s="70">
        <v>60.62</v>
      </c>
      <c r="P111" s="70">
        <v>0</v>
      </c>
    </row>
    <row r="112" spans="1:16" ht="11.25" hidden="1" customHeight="1" x14ac:dyDescent="0.25">
      <c r="A112" s="70">
        <v>111</v>
      </c>
      <c r="B112" s="70" t="s">
        <v>460</v>
      </c>
      <c r="C112" s="70" t="s">
        <v>588</v>
      </c>
      <c r="D112" s="70" t="s">
        <v>1165</v>
      </c>
      <c r="E112" s="70" t="s">
        <v>25</v>
      </c>
      <c r="F112" s="70" t="s">
        <v>25</v>
      </c>
      <c r="G112" s="70" t="s">
        <v>25</v>
      </c>
      <c r="H112" s="70" t="s">
        <v>1217</v>
      </c>
      <c r="I112" s="70" t="s">
        <v>37</v>
      </c>
      <c r="J112" s="70" t="s">
        <v>599</v>
      </c>
      <c r="K112" s="70" t="s">
        <v>600</v>
      </c>
      <c r="L112" s="70" t="s">
        <v>79</v>
      </c>
      <c r="M112" s="70">
        <v>2021</v>
      </c>
      <c r="N112" s="70">
        <v>0</v>
      </c>
      <c r="O112" s="70">
        <v>21.11</v>
      </c>
      <c r="P112" s="70">
        <v>0</v>
      </c>
    </row>
    <row r="113" spans="1:16" ht="11.25" customHeight="1" x14ac:dyDescent="0.25">
      <c r="A113" s="70">
        <v>112</v>
      </c>
      <c r="B113" s="70" t="s">
        <v>460</v>
      </c>
      <c r="C113" s="70" t="s">
        <v>22</v>
      </c>
      <c r="D113" s="70" t="s">
        <v>89</v>
      </c>
      <c r="E113" s="70" t="s">
        <v>24</v>
      </c>
      <c r="F113" s="70" t="s">
        <v>30</v>
      </c>
      <c r="G113" s="70" t="s">
        <v>25</v>
      </c>
      <c r="H113" s="70" t="s">
        <v>25</v>
      </c>
      <c r="I113" s="70" t="s">
        <v>25</v>
      </c>
      <c r="J113" s="70" t="s">
        <v>601</v>
      </c>
      <c r="K113" s="70" t="s">
        <v>600</v>
      </c>
      <c r="L113" s="70" t="s">
        <v>74</v>
      </c>
      <c r="M113" s="70">
        <v>2021</v>
      </c>
      <c r="N113" s="70">
        <v>0</v>
      </c>
      <c r="O113" s="70">
        <v>103.93</v>
      </c>
      <c r="P113" s="70">
        <v>0</v>
      </c>
    </row>
    <row r="114" spans="1:16" ht="11.25" hidden="1" customHeight="1" x14ac:dyDescent="0.25">
      <c r="A114" s="70">
        <v>113</v>
      </c>
      <c r="B114" s="70" t="s">
        <v>460</v>
      </c>
      <c r="C114" s="70" t="s">
        <v>588</v>
      </c>
      <c r="D114" s="70" t="s">
        <v>1165</v>
      </c>
      <c r="E114" s="70" t="s">
        <v>25</v>
      </c>
      <c r="F114" s="70" t="s">
        <v>25</v>
      </c>
      <c r="G114" s="70" t="s">
        <v>25</v>
      </c>
      <c r="H114" s="70" t="s">
        <v>1217</v>
      </c>
      <c r="I114" s="70" t="s">
        <v>38</v>
      </c>
      <c r="J114" s="70" t="s">
        <v>599</v>
      </c>
      <c r="K114" s="70" t="s">
        <v>600</v>
      </c>
      <c r="L114" s="70" t="s">
        <v>79</v>
      </c>
      <c r="M114" s="70">
        <v>2021</v>
      </c>
      <c r="N114" s="70">
        <v>0</v>
      </c>
      <c r="O114" s="70">
        <v>11.26</v>
      </c>
      <c r="P114" s="70">
        <v>0</v>
      </c>
    </row>
    <row r="115" spans="1:16" ht="11.25" customHeight="1" x14ac:dyDescent="0.25">
      <c r="A115" s="70">
        <v>114</v>
      </c>
      <c r="B115" s="70" t="s">
        <v>460</v>
      </c>
      <c r="C115" s="70" t="s">
        <v>22</v>
      </c>
      <c r="D115" s="70" t="s">
        <v>89</v>
      </c>
      <c r="E115" s="70" t="s">
        <v>24</v>
      </c>
      <c r="F115" s="70" t="s">
        <v>31</v>
      </c>
      <c r="G115" s="70" t="s">
        <v>25</v>
      </c>
      <c r="H115" s="70" t="s">
        <v>25</v>
      </c>
      <c r="I115" s="70" t="s">
        <v>25</v>
      </c>
      <c r="J115" s="70" t="s">
        <v>601</v>
      </c>
      <c r="K115" s="70" t="s">
        <v>600</v>
      </c>
      <c r="L115" s="70" t="s">
        <v>74</v>
      </c>
      <c r="M115" s="70">
        <v>2021</v>
      </c>
      <c r="N115" s="70">
        <v>0</v>
      </c>
      <c r="O115" s="70">
        <v>155.88999999999999</v>
      </c>
      <c r="P115" s="70">
        <v>0</v>
      </c>
    </row>
    <row r="116" spans="1:16" ht="11.25" hidden="1" customHeight="1" x14ac:dyDescent="0.25">
      <c r="A116" s="70">
        <v>115</v>
      </c>
      <c r="B116" s="70" t="s">
        <v>460</v>
      </c>
      <c r="C116" s="70" t="s">
        <v>588</v>
      </c>
      <c r="D116" s="70" t="s">
        <v>1165</v>
      </c>
      <c r="E116" s="70" t="s">
        <v>25</v>
      </c>
      <c r="F116" s="70" t="s">
        <v>25</v>
      </c>
      <c r="G116" s="70" t="s">
        <v>25</v>
      </c>
      <c r="H116" s="70" t="s">
        <v>1217</v>
      </c>
      <c r="I116" s="70" t="s">
        <v>25</v>
      </c>
      <c r="J116" s="70" t="s">
        <v>601</v>
      </c>
      <c r="K116" s="70" t="s">
        <v>600</v>
      </c>
      <c r="L116" s="70" t="s">
        <v>74</v>
      </c>
      <c r="M116" s="70">
        <v>2021</v>
      </c>
      <c r="N116" s="70">
        <v>0</v>
      </c>
      <c r="O116" s="70">
        <v>7.49</v>
      </c>
      <c r="P116" s="70">
        <v>0</v>
      </c>
    </row>
    <row r="117" spans="1:16" ht="11.25" customHeight="1" x14ac:dyDescent="0.25">
      <c r="A117" s="70">
        <v>116</v>
      </c>
      <c r="B117" s="70" t="s">
        <v>460</v>
      </c>
      <c r="C117" s="70" t="s">
        <v>22</v>
      </c>
      <c r="D117" s="70" t="s">
        <v>89</v>
      </c>
      <c r="E117" s="70" t="s">
        <v>24</v>
      </c>
      <c r="F117" s="70" t="s">
        <v>32</v>
      </c>
      <c r="G117" s="70" t="s">
        <v>25</v>
      </c>
      <c r="H117" s="70" t="s">
        <v>25</v>
      </c>
      <c r="I117" s="70" t="s">
        <v>25</v>
      </c>
      <c r="J117" s="70" t="s">
        <v>601</v>
      </c>
      <c r="K117" s="70" t="s">
        <v>600</v>
      </c>
      <c r="L117" s="70" t="s">
        <v>74</v>
      </c>
      <c r="M117" s="70">
        <v>2021</v>
      </c>
      <c r="N117" s="70">
        <v>0</v>
      </c>
      <c r="O117" s="70">
        <v>173.21</v>
      </c>
      <c r="P117" s="70">
        <v>0</v>
      </c>
    </row>
    <row r="118" spans="1:16" ht="11.25" hidden="1" customHeight="1" x14ac:dyDescent="0.25">
      <c r="A118" s="70">
        <v>117</v>
      </c>
      <c r="B118" s="70" t="s">
        <v>460</v>
      </c>
      <c r="C118" s="70" t="s">
        <v>588</v>
      </c>
      <c r="D118" s="70" t="s">
        <v>1165</v>
      </c>
      <c r="E118" s="70" t="s">
        <v>25</v>
      </c>
      <c r="F118" s="70" t="s">
        <v>25</v>
      </c>
      <c r="G118" s="70" t="s">
        <v>25</v>
      </c>
      <c r="H118" s="70" t="s">
        <v>1168</v>
      </c>
      <c r="I118" s="70" t="s">
        <v>37</v>
      </c>
      <c r="J118" s="70" t="s">
        <v>599</v>
      </c>
      <c r="K118" s="70" t="s">
        <v>600</v>
      </c>
      <c r="L118" s="70" t="s">
        <v>79</v>
      </c>
      <c r="M118" s="70">
        <v>2021</v>
      </c>
      <c r="N118" s="70">
        <v>0</v>
      </c>
      <c r="O118" s="70">
        <v>21.11</v>
      </c>
      <c r="P118" s="70">
        <v>0</v>
      </c>
    </row>
    <row r="119" spans="1:16" ht="11.25" customHeight="1" x14ac:dyDescent="0.25">
      <c r="A119" s="70">
        <v>118</v>
      </c>
      <c r="B119" s="70" t="s">
        <v>460</v>
      </c>
      <c r="C119" s="70" t="s">
        <v>41</v>
      </c>
      <c r="D119" s="70" t="s">
        <v>50</v>
      </c>
      <c r="E119" s="70" t="s">
        <v>42</v>
      </c>
      <c r="F119" s="70" t="s">
        <v>25</v>
      </c>
      <c r="G119" s="70" t="s">
        <v>25</v>
      </c>
      <c r="H119" s="70" t="s">
        <v>25</v>
      </c>
      <c r="I119" s="70" t="s">
        <v>37</v>
      </c>
      <c r="J119" s="70" t="s">
        <v>601</v>
      </c>
      <c r="K119" s="70" t="s">
        <v>600</v>
      </c>
      <c r="L119" s="70" t="s">
        <v>74</v>
      </c>
      <c r="M119" s="70">
        <v>2021</v>
      </c>
      <c r="N119" s="70">
        <v>0</v>
      </c>
      <c r="O119" s="70">
        <v>445.98</v>
      </c>
      <c r="P119" s="70">
        <v>56.6381627738105</v>
      </c>
    </row>
    <row r="120" spans="1:16" ht="11.25" customHeight="1" x14ac:dyDescent="0.25">
      <c r="A120" s="70">
        <v>119</v>
      </c>
      <c r="B120" s="70" t="s">
        <v>460</v>
      </c>
      <c r="C120" s="70" t="s">
        <v>41</v>
      </c>
      <c r="D120" s="70" t="s">
        <v>50</v>
      </c>
      <c r="E120" s="70" t="s">
        <v>42</v>
      </c>
      <c r="F120" s="70" t="s">
        <v>25</v>
      </c>
      <c r="G120" s="70" t="s">
        <v>25</v>
      </c>
      <c r="H120" s="70" t="s">
        <v>25</v>
      </c>
      <c r="I120" s="70" t="s">
        <v>51</v>
      </c>
      <c r="J120" s="70" t="s">
        <v>601</v>
      </c>
      <c r="K120" s="70" t="s">
        <v>600</v>
      </c>
      <c r="L120" s="70" t="s">
        <v>74</v>
      </c>
      <c r="M120" s="70">
        <v>2021</v>
      </c>
      <c r="N120" s="70">
        <v>0</v>
      </c>
      <c r="O120" s="70">
        <v>306.49</v>
      </c>
      <c r="P120" s="70">
        <v>56.6381627738105</v>
      </c>
    </row>
    <row r="121" spans="1:16" ht="11.25" hidden="1" customHeight="1" x14ac:dyDescent="0.25">
      <c r="A121" s="70">
        <v>120</v>
      </c>
      <c r="B121" s="70" t="s">
        <v>460</v>
      </c>
      <c r="C121" s="70" t="s">
        <v>588</v>
      </c>
      <c r="D121" s="70" t="s">
        <v>1165</v>
      </c>
      <c r="E121" s="70" t="s">
        <v>25</v>
      </c>
      <c r="F121" s="70" t="s">
        <v>25</v>
      </c>
      <c r="G121" s="70" t="s">
        <v>25</v>
      </c>
      <c r="H121" s="70" t="s">
        <v>1168</v>
      </c>
      <c r="I121" s="70" t="s">
        <v>38</v>
      </c>
      <c r="J121" s="70" t="s">
        <v>599</v>
      </c>
      <c r="K121" s="70" t="s">
        <v>600</v>
      </c>
      <c r="L121" s="70" t="s">
        <v>79</v>
      </c>
      <c r="M121" s="70">
        <v>2021</v>
      </c>
      <c r="N121" s="70">
        <v>0</v>
      </c>
      <c r="O121" s="70">
        <v>11.26</v>
      </c>
      <c r="P121" s="70">
        <v>0</v>
      </c>
    </row>
    <row r="122" spans="1:16" ht="11.25" hidden="1" customHeight="1" x14ac:dyDescent="0.25">
      <c r="A122" s="70">
        <v>121</v>
      </c>
      <c r="B122" s="70" t="s">
        <v>460</v>
      </c>
      <c r="C122" s="70" t="s">
        <v>588</v>
      </c>
      <c r="D122" s="70" t="s">
        <v>1165</v>
      </c>
      <c r="E122" s="70" t="s">
        <v>25</v>
      </c>
      <c r="F122" s="70" t="s">
        <v>25</v>
      </c>
      <c r="G122" s="70" t="s">
        <v>25</v>
      </c>
      <c r="H122" s="70" t="s">
        <v>1168</v>
      </c>
      <c r="I122" s="70" t="s">
        <v>25</v>
      </c>
      <c r="J122" s="70" t="s">
        <v>601</v>
      </c>
      <c r="K122" s="70" t="s">
        <v>600</v>
      </c>
      <c r="L122" s="70" t="s">
        <v>74</v>
      </c>
      <c r="M122" s="70">
        <v>2021</v>
      </c>
      <c r="N122" s="70">
        <v>0</v>
      </c>
      <c r="O122" s="70">
        <v>7.49</v>
      </c>
      <c r="P122" s="70">
        <v>0</v>
      </c>
    </row>
    <row r="123" spans="1:16" ht="11.25" customHeight="1" x14ac:dyDescent="0.25">
      <c r="A123" s="70">
        <v>122</v>
      </c>
      <c r="B123" s="70" t="s">
        <v>460</v>
      </c>
      <c r="C123" s="70" t="s">
        <v>41</v>
      </c>
      <c r="D123" s="70" t="s">
        <v>50</v>
      </c>
      <c r="E123" s="70" t="s">
        <v>42</v>
      </c>
      <c r="F123" s="70" t="s">
        <v>25</v>
      </c>
      <c r="G123" s="70" t="s">
        <v>25</v>
      </c>
      <c r="H123" s="70" t="s">
        <v>25</v>
      </c>
      <c r="I123" s="70" t="s">
        <v>38</v>
      </c>
      <c r="J123" s="70" t="s">
        <v>601</v>
      </c>
      <c r="K123" s="70" t="s">
        <v>600</v>
      </c>
      <c r="L123" s="70" t="s">
        <v>74</v>
      </c>
      <c r="M123" s="70">
        <v>2021</v>
      </c>
      <c r="N123" s="70">
        <v>0</v>
      </c>
      <c r="O123" s="70">
        <v>167</v>
      </c>
      <c r="P123" s="70">
        <v>56.6381627738105</v>
      </c>
    </row>
    <row r="124" spans="1:16" ht="11.25" customHeight="1" x14ac:dyDescent="0.25">
      <c r="A124" s="70">
        <v>123</v>
      </c>
      <c r="B124" s="70" t="s">
        <v>460</v>
      </c>
      <c r="C124" s="70" t="s">
        <v>41</v>
      </c>
      <c r="D124" s="70" t="s">
        <v>23</v>
      </c>
      <c r="E124" s="70" t="s">
        <v>42</v>
      </c>
      <c r="F124" s="70" t="s">
        <v>25</v>
      </c>
      <c r="G124" s="70" t="s">
        <v>25</v>
      </c>
      <c r="H124" s="70" t="s">
        <v>25</v>
      </c>
      <c r="I124" s="70" t="s">
        <v>25</v>
      </c>
      <c r="J124" s="70" t="s">
        <v>601</v>
      </c>
      <c r="K124" s="70" t="s">
        <v>600</v>
      </c>
      <c r="L124" s="70" t="s">
        <v>74</v>
      </c>
      <c r="M124" s="70">
        <v>2021</v>
      </c>
      <c r="N124" s="70">
        <v>0</v>
      </c>
      <c r="O124" s="70">
        <v>215.47</v>
      </c>
      <c r="P124" s="70">
        <v>56.6381627738105</v>
      </c>
    </row>
    <row r="125" spans="1:16" ht="11.25" hidden="1" customHeight="1" x14ac:dyDescent="0.25">
      <c r="A125" s="70">
        <v>124</v>
      </c>
      <c r="B125" s="70" t="s">
        <v>460</v>
      </c>
      <c r="C125" s="70" t="s">
        <v>588</v>
      </c>
      <c r="D125" s="70" t="s">
        <v>1165</v>
      </c>
      <c r="E125" s="70" t="s">
        <v>25</v>
      </c>
      <c r="F125" s="70" t="s">
        <v>25</v>
      </c>
      <c r="G125" s="70" t="s">
        <v>25</v>
      </c>
      <c r="H125" s="70" t="s">
        <v>1218</v>
      </c>
      <c r="I125" s="70" t="s">
        <v>37</v>
      </c>
      <c r="J125" s="70" t="s">
        <v>599</v>
      </c>
      <c r="K125" s="70" t="s">
        <v>600</v>
      </c>
      <c r="L125" s="70" t="s">
        <v>79</v>
      </c>
      <c r="M125" s="70">
        <v>2021</v>
      </c>
      <c r="N125" s="70">
        <v>0</v>
      </c>
      <c r="O125" s="70">
        <v>21.11</v>
      </c>
      <c r="P125" s="70">
        <v>0</v>
      </c>
    </row>
    <row r="126" spans="1:16" ht="11.25" hidden="1" customHeight="1" x14ac:dyDescent="0.25">
      <c r="A126" s="70">
        <v>125</v>
      </c>
      <c r="B126" s="70" t="s">
        <v>460</v>
      </c>
      <c r="C126" s="70" t="s">
        <v>588</v>
      </c>
      <c r="D126" s="70" t="s">
        <v>1165</v>
      </c>
      <c r="E126" s="70" t="s">
        <v>25</v>
      </c>
      <c r="F126" s="70" t="s">
        <v>25</v>
      </c>
      <c r="G126" s="70" t="s">
        <v>25</v>
      </c>
      <c r="H126" s="70" t="s">
        <v>1218</v>
      </c>
      <c r="I126" s="70" t="s">
        <v>38</v>
      </c>
      <c r="J126" s="70" t="s">
        <v>599</v>
      </c>
      <c r="K126" s="70" t="s">
        <v>600</v>
      </c>
      <c r="L126" s="70" t="s">
        <v>79</v>
      </c>
      <c r="M126" s="70">
        <v>2021</v>
      </c>
      <c r="N126" s="70">
        <v>0</v>
      </c>
      <c r="O126" s="70">
        <v>11.26</v>
      </c>
      <c r="P126" s="70">
        <v>0</v>
      </c>
    </row>
    <row r="127" spans="1:16" ht="11.25" customHeight="1" x14ac:dyDescent="0.25">
      <c r="A127" s="70">
        <v>126</v>
      </c>
      <c r="B127" s="70" t="s">
        <v>460</v>
      </c>
      <c r="C127" s="70" t="s">
        <v>41</v>
      </c>
      <c r="D127" s="70" t="s">
        <v>50</v>
      </c>
      <c r="E127" s="70" t="s">
        <v>42</v>
      </c>
      <c r="F127" s="70" t="s">
        <v>90</v>
      </c>
      <c r="G127" s="70" t="s">
        <v>25</v>
      </c>
      <c r="H127" s="70" t="s">
        <v>25</v>
      </c>
      <c r="I127" s="70" t="s">
        <v>37</v>
      </c>
      <c r="J127" s="70" t="s">
        <v>601</v>
      </c>
      <c r="K127" s="70" t="s">
        <v>600</v>
      </c>
      <c r="L127" s="70" t="s">
        <v>74</v>
      </c>
      <c r="M127" s="70">
        <v>2021</v>
      </c>
      <c r="N127" s="70">
        <v>0</v>
      </c>
      <c r="O127" s="70">
        <v>445.98</v>
      </c>
      <c r="P127" s="70">
        <v>56.6381627738105</v>
      </c>
    </row>
    <row r="128" spans="1:16" ht="11.25" customHeight="1" x14ac:dyDescent="0.25">
      <c r="A128" s="70">
        <v>127</v>
      </c>
      <c r="B128" s="70" t="s">
        <v>460</v>
      </c>
      <c r="C128" s="70" t="s">
        <v>41</v>
      </c>
      <c r="D128" s="70" t="s">
        <v>50</v>
      </c>
      <c r="E128" s="70" t="s">
        <v>42</v>
      </c>
      <c r="F128" s="70" t="s">
        <v>90</v>
      </c>
      <c r="G128" s="70" t="s">
        <v>25</v>
      </c>
      <c r="H128" s="70" t="s">
        <v>25</v>
      </c>
      <c r="I128" s="70" t="s">
        <v>51</v>
      </c>
      <c r="J128" s="70" t="s">
        <v>601</v>
      </c>
      <c r="K128" s="70" t="s">
        <v>600</v>
      </c>
      <c r="L128" s="70" t="s">
        <v>74</v>
      </c>
      <c r="M128" s="70">
        <v>2021</v>
      </c>
      <c r="N128" s="70">
        <v>0</v>
      </c>
      <c r="O128" s="70">
        <v>306.49</v>
      </c>
      <c r="P128" s="70">
        <v>56.6381627738105</v>
      </c>
    </row>
    <row r="129" spans="1:16" ht="11.25" hidden="1" customHeight="1" x14ac:dyDescent="0.25">
      <c r="A129" s="70">
        <v>128</v>
      </c>
      <c r="B129" s="70" t="s">
        <v>460</v>
      </c>
      <c r="C129" s="70" t="s">
        <v>588</v>
      </c>
      <c r="D129" s="70" t="s">
        <v>1165</v>
      </c>
      <c r="E129" s="70" t="s">
        <v>25</v>
      </c>
      <c r="F129" s="70" t="s">
        <v>25</v>
      </c>
      <c r="G129" s="70" t="s">
        <v>25</v>
      </c>
      <c r="H129" s="70" t="s">
        <v>1218</v>
      </c>
      <c r="I129" s="70" t="s">
        <v>25</v>
      </c>
      <c r="J129" s="70" t="s">
        <v>601</v>
      </c>
      <c r="K129" s="70" t="s">
        <v>600</v>
      </c>
      <c r="L129" s="70" t="s">
        <v>74</v>
      </c>
      <c r="M129" s="70">
        <v>2021</v>
      </c>
      <c r="N129" s="70">
        <v>0</v>
      </c>
      <c r="O129" s="70">
        <v>7.49</v>
      </c>
      <c r="P129" s="70">
        <v>0</v>
      </c>
    </row>
    <row r="130" spans="1:16" ht="11.25" hidden="1" customHeight="1" x14ac:dyDescent="0.25">
      <c r="A130" s="70">
        <v>129</v>
      </c>
      <c r="B130" s="70" t="s">
        <v>460</v>
      </c>
      <c r="C130" s="70" t="s">
        <v>588</v>
      </c>
      <c r="D130" s="70" t="s">
        <v>1165</v>
      </c>
      <c r="E130" s="70" t="s">
        <v>25</v>
      </c>
      <c r="F130" s="70" t="s">
        <v>25</v>
      </c>
      <c r="G130" s="70" t="s">
        <v>25</v>
      </c>
      <c r="H130" s="70" t="s">
        <v>1172</v>
      </c>
      <c r="I130" s="70" t="s">
        <v>37</v>
      </c>
      <c r="J130" s="70" t="s">
        <v>599</v>
      </c>
      <c r="K130" s="70" t="s">
        <v>600</v>
      </c>
      <c r="L130" s="70" t="s">
        <v>79</v>
      </c>
      <c r="M130" s="70">
        <v>2021</v>
      </c>
      <c r="N130" s="70">
        <v>0</v>
      </c>
      <c r="O130" s="70">
        <v>21.11</v>
      </c>
      <c r="P130" s="70">
        <v>0</v>
      </c>
    </row>
    <row r="131" spans="1:16" ht="11.25" customHeight="1" x14ac:dyDescent="0.25">
      <c r="A131" s="70">
        <v>130</v>
      </c>
      <c r="B131" s="70" t="s">
        <v>460</v>
      </c>
      <c r="C131" s="70" t="s">
        <v>41</v>
      </c>
      <c r="D131" s="70" t="s">
        <v>50</v>
      </c>
      <c r="E131" s="70" t="s">
        <v>42</v>
      </c>
      <c r="F131" s="70" t="s">
        <v>90</v>
      </c>
      <c r="G131" s="70" t="s">
        <v>25</v>
      </c>
      <c r="H131" s="70" t="s">
        <v>25</v>
      </c>
      <c r="I131" s="70" t="s">
        <v>38</v>
      </c>
      <c r="J131" s="70" t="s">
        <v>601</v>
      </c>
      <c r="K131" s="70" t="s">
        <v>600</v>
      </c>
      <c r="L131" s="70" t="s">
        <v>74</v>
      </c>
      <c r="M131" s="70">
        <v>2021</v>
      </c>
      <c r="N131" s="70">
        <v>0</v>
      </c>
      <c r="O131" s="70">
        <v>167</v>
      </c>
      <c r="P131" s="70">
        <v>56.6381627738105</v>
      </c>
    </row>
    <row r="132" spans="1:16" ht="11.25" customHeight="1" x14ac:dyDescent="0.25">
      <c r="A132" s="70">
        <v>131</v>
      </c>
      <c r="B132" s="70" t="s">
        <v>460</v>
      </c>
      <c r="C132" s="70" t="s">
        <v>41</v>
      </c>
      <c r="D132" s="70" t="s">
        <v>23</v>
      </c>
      <c r="E132" s="70" t="s">
        <v>42</v>
      </c>
      <c r="F132" s="70" t="s">
        <v>90</v>
      </c>
      <c r="G132" s="70" t="s">
        <v>25</v>
      </c>
      <c r="H132" s="70" t="s">
        <v>25</v>
      </c>
      <c r="I132" s="70" t="s">
        <v>25</v>
      </c>
      <c r="J132" s="70" t="s">
        <v>601</v>
      </c>
      <c r="K132" s="70" t="s">
        <v>600</v>
      </c>
      <c r="L132" s="70" t="s">
        <v>74</v>
      </c>
      <c r="M132" s="70">
        <v>2021</v>
      </c>
      <c r="N132" s="70">
        <v>0</v>
      </c>
      <c r="O132" s="70">
        <v>215.47</v>
      </c>
      <c r="P132" s="70">
        <v>56.6381627738105</v>
      </c>
    </row>
    <row r="133" spans="1:16" ht="11.25" hidden="1" customHeight="1" x14ac:dyDescent="0.25">
      <c r="A133" s="70">
        <v>132</v>
      </c>
      <c r="B133" s="70" t="s">
        <v>460</v>
      </c>
      <c r="C133" s="70" t="s">
        <v>588</v>
      </c>
      <c r="D133" s="70" t="s">
        <v>1165</v>
      </c>
      <c r="E133" s="70" t="s">
        <v>25</v>
      </c>
      <c r="F133" s="70" t="s">
        <v>25</v>
      </c>
      <c r="G133" s="70" t="s">
        <v>25</v>
      </c>
      <c r="H133" s="70" t="s">
        <v>1172</v>
      </c>
      <c r="I133" s="70" t="s">
        <v>38</v>
      </c>
      <c r="J133" s="70" t="s">
        <v>599</v>
      </c>
      <c r="K133" s="70" t="s">
        <v>600</v>
      </c>
      <c r="L133" s="70" t="s">
        <v>79</v>
      </c>
      <c r="M133" s="70">
        <v>2021</v>
      </c>
      <c r="N133" s="70">
        <v>0</v>
      </c>
      <c r="O133" s="70">
        <v>11.26</v>
      </c>
      <c r="P133" s="70">
        <v>0</v>
      </c>
    </row>
    <row r="134" spans="1:16" ht="11.25" hidden="1" customHeight="1" x14ac:dyDescent="0.25">
      <c r="A134" s="70">
        <v>133</v>
      </c>
      <c r="B134" s="70" t="s">
        <v>460</v>
      </c>
      <c r="C134" s="70" t="s">
        <v>588</v>
      </c>
      <c r="D134" s="70" t="s">
        <v>1165</v>
      </c>
      <c r="E134" s="70" t="s">
        <v>25</v>
      </c>
      <c r="F134" s="70" t="s">
        <v>25</v>
      </c>
      <c r="G134" s="70" t="s">
        <v>25</v>
      </c>
      <c r="H134" s="70" t="s">
        <v>1172</v>
      </c>
      <c r="I134" s="70" t="s">
        <v>25</v>
      </c>
      <c r="J134" s="70" t="s">
        <v>601</v>
      </c>
      <c r="K134" s="70" t="s">
        <v>600</v>
      </c>
      <c r="L134" s="70" t="s">
        <v>74</v>
      </c>
      <c r="M134" s="70">
        <v>2021</v>
      </c>
      <c r="N134" s="70">
        <v>0</v>
      </c>
      <c r="O134" s="70">
        <v>7.49</v>
      </c>
      <c r="P134" s="70">
        <v>0</v>
      </c>
    </row>
    <row r="135" spans="1:16" ht="11.25" customHeight="1" x14ac:dyDescent="0.25">
      <c r="A135" s="70">
        <v>134</v>
      </c>
      <c r="B135" s="70" t="s">
        <v>460</v>
      </c>
      <c r="C135" s="70" t="s">
        <v>41</v>
      </c>
      <c r="D135" s="70" t="s">
        <v>50</v>
      </c>
      <c r="E135" s="70" t="s">
        <v>42</v>
      </c>
      <c r="F135" s="70" t="s">
        <v>91</v>
      </c>
      <c r="G135" s="70" t="s">
        <v>25</v>
      </c>
      <c r="H135" s="70" t="s">
        <v>25</v>
      </c>
      <c r="I135" s="70" t="s">
        <v>37</v>
      </c>
      <c r="J135" s="70" t="s">
        <v>601</v>
      </c>
      <c r="K135" s="70" t="s">
        <v>600</v>
      </c>
      <c r="L135" s="70" t="s">
        <v>74</v>
      </c>
      <c r="M135" s="70">
        <v>2021</v>
      </c>
      <c r="N135" s="70">
        <v>0</v>
      </c>
      <c r="O135" s="70">
        <v>425.71</v>
      </c>
      <c r="P135" s="70">
        <v>54.063700829546399</v>
      </c>
    </row>
    <row r="136" spans="1:16" ht="11.25" customHeight="1" x14ac:dyDescent="0.25">
      <c r="A136" s="70">
        <v>135</v>
      </c>
      <c r="B136" s="70" t="s">
        <v>460</v>
      </c>
      <c r="C136" s="70" t="s">
        <v>41</v>
      </c>
      <c r="D136" s="70" t="s">
        <v>50</v>
      </c>
      <c r="E136" s="70" t="s">
        <v>42</v>
      </c>
      <c r="F136" s="70" t="s">
        <v>91</v>
      </c>
      <c r="G136" s="70" t="s">
        <v>25</v>
      </c>
      <c r="H136" s="70" t="s">
        <v>25</v>
      </c>
      <c r="I136" s="70" t="s">
        <v>51</v>
      </c>
      <c r="J136" s="70" t="s">
        <v>601</v>
      </c>
      <c r="K136" s="70" t="s">
        <v>600</v>
      </c>
      <c r="L136" s="70" t="s">
        <v>74</v>
      </c>
      <c r="M136" s="70">
        <v>2021</v>
      </c>
      <c r="N136" s="70">
        <v>0</v>
      </c>
      <c r="O136" s="70">
        <v>292.56</v>
      </c>
      <c r="P136" s="70">
        <v>54.063700829546399</v>
      </c>
    </row>
    <row r="137" spans="1:16" ht="11.25" hidden="1" customHeight="1" x14ac:dyDescent="0.25">
      <c r="A137" s="70">
        <v>136</v>
      </c>
      <c r="B137" s="70" t="s">
        <v>460</v>
      </c>
      <c r="C137" s="70" t="s">
        <v>588</v>
      </c>
      <c r="D137" s="70" t="s">
        <v>1165</v>
      </c>
      <c r="E137" s="70" t="s">
        <v>25</v>
      </c>
      <c r="F137" s="70" t="s">
        <v>25</v>
      </c>
      <c r="G137" s="70" t="s">
        <v>25</v>
      </c>
      <c r="H137" s="70" t="s">
        <v>1176</v>
      </c>
      <c r="I137" s="70" t="s">
        <v>37</v>
      </c>
      <c r="J137" s="70" t="s">
        <v>599</v>
      </c>
      <c r="K137" s="70" t="s">
        <v>600</v>
      </c>
      <c r="L137" s="70" t="s">
        <v>79</v>
      </c>
      <c r="M137" s="70">
        <v>2021</v>
      </c>
      <c r="N137" s="70">
        <v>0</v>
      </c>
      <c r="O137" s="70">
        <v>21.11</v>
      </c>
      <c r="P137" s="70">
        <v>0</v>
      </c>
    </row>
    <row r="138" spans="1:16" ht="11.25" hidden="1" customHeight="1" x14ac:dyDescent="0.25">
      <c r="A138" s="70">
        <v>137</v>
      </c>
      <c r="B138" s="70" t="s">
        <v>460</v>
      </c>
      <c r="C138" s="70" t="s">
        <v>588</v>
      </c>
      <c r="D138" s="70" t="s">
        <v>1165</v>
      </c>
      <c r="E138" s="70" t="s">
        <v>25</v>
      </c>
      <c r="F138" s="70" t="s">
        <v>25</v>
      </c>
      <c r="G138" s="70" t="s">
        <v>25</v>
      </c>
      <c r="H138" s="70" t="s">
        <v>1176</v>
      </c>
      <c r="I138" s="70" t="s">
        <v>38</v>
      </c>
      <c r="J138" s="70" t="s">
        <v>599</v>
      </c>
      <c r="K138" s="70" t="s">
        <v>600</v>
      </c>
      <c r="L138" s="70" t="s">
        <v>79</v>
      </c>
      <c r="M138" s="70">
        <v>2021</v>
      </c>
      <c r="N138" s="70">
        <v>0</v>
      </c>
      <c r="O138" s="70">
        <v>11.26</v>
      </c>
      <c r="P138" s="70">
        <v>0</v>
      </c>
    </row>
    <row r="139" spans="1:16" ht="11.25" customHeight="1" x14ac:dyDescent="0.25">
      <c r="A139" s="70">
        <v>138</v>
      </c>
      <c r="B139" s="70" t="s">
        <v>460</v>
      </c>
      <c r="C139" s="70" t="s">
        <v>41</v>
      </c>
      <c r="D139" s="70" t="s">
        <v>50</v>
      </c>
      <c r="E139" s="70" t="s">
        <v>42</v>
      </c>
      <c r="F139" s="70" t="s">
        <v>91</v>
      </c>
      <c r="G139" s="70" t="s">
        <v>25</v>
      </c>
      <c r="H139" s="70" t="s">
        <v>25</v>
      </c>
      <c r="I139" s="70" t="s">
        <v>38</v>
      </c>
      <c r="J139" s="70" t="s">
        <v>601</v>
      </c>
      <c r="K139" s="70" t="s">
        <v>600</v>
      </c>
      <c r="L139" s="70" t="s">
        <v>74</v>
      </c>
      <c r="M139" s="70">
        <v>2021</v>
      </c>
      <c r="N139" s="70">
        <v>0</v>
      </c>
      <c r="O139" s="70">
        <v>159.41</v>
      </c>
      <c r="P139" s="70">
        <v>54.063700829546399</v>
      </c>
    </row>
    <row r="140" spans="1:16" ht="11.25" customHeight="1" x14ac:dyDescent="0.25">
      <c r="A140" s="70">
        <v>139</v>
      </c>
      <c r="B140" s="70" t="s">
        <v>460</v>
      </c>
      <c r="C140" s="70" t="s">
        <v>41</v>
      </c>
      <c r="D140" s="70" t="s">
        <v>23</v>
      </c>
      <c r="E140" s="70" t="s">
        <v>42</v>
      </c>
      <c r="F140" s="70" t="s">
        <v>91</v>
      </c>
      <c r="G140" s="70" t="s">
        <v>25</v>
      </c>
      <c r="H140" s="70" t="s">
        <v>25</v>
      </c>
      <c r="I140" s="70" t="s">
        <v>25</v>
      </c>
      <c r="J140" s="70" t="s">
        <v>601</v>
      </c>
      <c r="K140" s="70" t="s">
        <v>600</v>
      </c>
      <c r="L140" s="70" t="s">
        <v>74</v>
      </c>
      <c r="M140" s="70">
        <v>2021</v>
      </c>
      <c r="N140" s="70">
        <v>0</v>
      </c>
      <c r="O140" s="70">
        <v>205.68</v>
      </c>
      <c r="P140" s="70">
        <v>54.063700829546399</v>
      </c>
    </row>
    <row r="141" spans="1:16" ht="11.25" hidden="1" customHeight="1" x14ac:dyDescent="0.25">
      <c r="A141" s="70">
        <v>140</v>
      </c>
      <c r="B141" s="70" t="s">
        <v>460</v>
      </c>
      <c r="C141" s="70" t="s">
        <v>588</v>
      </c>
      <c r="D141" s="70" t="s">
        <v>1165</v>
      </c>
      <c r="E141" s="70" t="s">
        <v>25</v>
      </c>
      <c r="F141" s="70" t="s">
        <v>25</v>
      </c>
      <c r="G141" s="70" t="s">
        <v>25</v>
      </c>
      <c r="H141" s="70" t="s">
        <v>1176</v>
      </c>
      <c r="I141" s="70" t="s">
        <v>25</v>
      </c>
      <c r="J141" s="70" t="s">
        <v>601</v>
      </c>
      <c r="K141" s="70" t="s">
        <v>600</v>
      </c>
      <c r="L141" s="70" t="s">
        <v>74</v>
      </c>
      <c r="M141" s="70">
        <v>2021</v>
      </c>
      <c r="N141" s="70">
        <v>0</v>
      </c>
      <c r="O141" s="70">
        <v>7.49</v>
      </c>
      <c r="P141" s="70">
        <v>0</v>
      </c>
    </row>
    <row r="142" spans="1:16" ht="11.25" hidden="1" customHeight="1" x14ac:dyDescent="0.25">
      <c r="A142" s="70">
        <v>141</v>
      </c>
      <c r="B142" s="70" t="s">
        <v>460</v>
      </c>
      <c r="C142" s="70" t="s">
        <v>588</v>
      </c>
      <c r="D142" s="70" t="s">
        <v>1165</v>
      </c>
      <c r="E142" s="70" t="s">
        <v>25</v>
      </c>
      <c r="F142" s="70" t="s">
        <v>25</v>
      </c>
      <c r="G142" s="70" t="s">
        <v>25</v>
      </c>
      <c r="H142" s="70" t="s">
        <v>1219</v>
      </c>
      <c r="I142" s="70" t="s">
        <v>37</v>
      </c>
      <c r="J142" s="70" t="s">
        <v>599</v>
      </c>
      <c r="K142" s="70" t="s">
        <v>600</v>
      </c>
      <c r="L142" s="70" t="s">
        <v>79</v>
      </c>
      <c r="M142" s="70">
        <v>2021</v>
      </c>
      <c r="N142" s="70">
        <v>0</v>
      </c>
      <c r="O142" s="70">
        <v>13.08</v>
      </c>
      <c r="P142" s="70">
        <v>0</v>
      </c>
    </row>
    <row r="143" spans="1:16" ht="11.25" customHeight="1" x14ac:dyDescent="0.25">
      <c r="A143" s="70">
        <v>142</v>
      </c>
      <c r="B143" s="70" t="s">
        <v>460</v>
      </c>
      <c r="C143" s="70" t="s">
        <v>41</v>
      </c>
      <c r="D143" s="70" t="s">
        <v>89</v>
      </c>
      <c r="E143" s="70" t="s">
        <v>42</v>
      </c>
      <c r="F143" s="70" t="s">
        <v>25</v>
      </c>
      <c r="G143" s="70" t="s">
        <v>25</v>
      </c>
      <c r="H143" s="70" t="s">
        <v>25</v>
      </c>
      <c r="I143" s="70" t="s">
        <v>25</v>
      </c>
      <c r="J143" s="70" t="s">
        <v>601</v>
      </c>
      <c r="K143" s="70" t="s">
        <v>600</v>
      </c>
      <c r="L143" s="70" t="s">
        <v>74</v>
      </c>
      <c r="M143" s="70">
        <v>2021</v>
      </c>
      <c r="N143" s="70">
        <v>0</v>
      </c>
      <c r="O143" s="70">
        <v>215.47</v>
      </c>
      <c r="P143" s="70">
        <v>56.6381627738105</v>
      </c>
    </row>
    <row r="144" spans="1:16" ht="11.25" customHeight="1" x14ac:dyDescent="0.25">
      <c r="A144" s="70">
        <v>143</v>
      </c>
      <c r="B144" s="70" t="s">
        <v>460</v>
      </c>
      <c r="C144" s="70" t="s">
        <v>41</v>
      </c>
      <c r="D144" s="70" t="s">
        <v>89</v>
      </c>
      <c r="E144" s="70" t="s">
        <v>42</v>
      </c>
      <c r="F144" s="70" t="s">
        <v>90</v>
      </c>
      <c r="G144" s="70" t="s">
        <v>25</v>
      </c>
      <c r="H144" s="70" t="s">
        <v>25</v>
      </c>
      <c r="I144" s="70" t="s">
        <v>25</v>
      </c>
      <c r="J144" s="70" t="s">
        <v>601</v>
      </c>
      <c r="K144" s="70" t="s">
        <v>600</v>
      </c>
      <c r="L144" s="70" t="s">
        <v>74</v>
      </c>
      <c r="M144" s="70">
        <v>2021</v>
      </c>
      <c r="N144" s="70">
        <v>0</v>
      </c>
      <c r="O144" s="70">
        <v>215.47</v>
      </c>
      <c r="P144" s="70">
        <v>56.6381627738105</v>
      </c>
    </row>
    <row r="145" spans="1:16" ht="11.25" hidden="1" customHeight="1" x14ac:dyDescent="0.25">
      <c r="A145" s="70">
        <v>144</v>
      </c>
      <c r="B145" s="70" t="s">
        <v>460</v>
      </c>
      <c r="C145" s="70" t="s">
        <v>588</v>
      </c>
      <c r="D145" s="70" t="s">
        <v>1165</v>
      </c>
      <c r="E145" s="70" t="s">
        <v>25</v>
      </c>
      <c r="F145" s="70" t="s">
        <v>25</v>
      </c>
      <c r="G145" s="70" t="s">
        <v>25</v>
      </c>
      <c r="H145" s="70" t="s">
        <v>1219</v>
      </c>
      <c r="I145" s="70" t="s">
        <v>38</v>
      </c>
      <c r="J145" s="70" t="s">
        <v>599</v>
      </c>
      <c r="K145" s="70" t="s">
        <v>600</v>
      </c>
      <c r="L145" s="70" t="s">
        <v>79</v>
      </c>
      <c r="M145" s="70">
        <v>2021</v>
      </c>
      <c r="N145" s="70">
        <v>0</v>
      </c>
      <c r="O145" s="70">
        <v>9.26</v>
      </c>
      <c r="P145" s="70">
        <v>0</v>
      </c>
    </row>
    <row r="146" spans="1:16" ht="11.25" customHeight="1" x14ac:dyDescent="0.25">
      <c r="A146" s="70">
        <v>145</v>
      </c>
      <c r="B146" s="70" t="s">
        <v>460</v>
      </c>
      <c r="C146" s="70" t="s">
        <v>41</v>
      </c>
      <c r="D146" s="70" t="s">
        <v>89</v>
      </c>
      <c r="E146" s="70" t="s">
        <v>42</v>
      </c>
      <c r="F146" s="70" t="s">
        <v>91</v>
      </c>
      <c r="G146" s="70" t="s">
        <v>25</v>
      </c>
      <c r="H146" s="70" t="s">
        <v>25</v>
      </c>
      <c r="I146" s="70" t="s">
        <v>25</v>
      </c>
      <c r="J146" s="70" t="s">
        <v>601</v>
      </c>
      <c r="K146" s="70" t="s">
        <v>600</v>
      </c>
      <c r="L146" s="70" t="s">
        <v>74</v>
      </c>
      <c r="M146" s="70">
        <v>2021</v>
      </c>
      <c r="N146" s="70">
        <v>0</v>
      </c>
      <c r="O146" s="70">
        <v>205.68</v>
      </c>
      <c r="P146" s="70">
        <v>54.063700829546399</v>
      </c>
    </row>
    <row r="147" spans="1:16" ht="11.25" hidden="1" customHeight="1" x14ac:dyDescent="0.25">
      <c r="A147" s="70">
        <v>146</v>
      </c>
      <c r="B147" s="70" t="s">
        <v>460</v>
      </c>
      <c r="C147" s="70" t="s">
        <v>588</v>
      </c>
      <c r="D147" s="70" t="s">
        <v>1165</v>
      </c>
      <c r="E147" s="70" t="s">
        <v>25</v>
      </c>
      <c r="F147" s="70" t="s">
        <v>25</v>
      </c>
      <c r="G147" s="70" t="s">
        <v>25</v>
      </c>
      <c r="H147" s="70" t="s">
        <v>1219</v>
      </c>
      <c r="I147" s="70" t="s">
        <v>25</v>
      </c>
      <c r="J147" s="70" t="s">
        <v>601</v>
      </c>
      <c r="K147" s="70" t="s">
        <v>600</v>
      </c>
      <c r="L147" s="70" t="s">
        <v>74</v>
      </c>
      <c r="M147" s="70">
        <v>2021</v>
      </c>
      <c r="N147" s="70">
        <v>0</v>
      </c>
      <c r="O147" s="70">
        <v>7.49</v>
      </c>
      <c r="P147" s="70">
        <v>0</v>
      </c>
    </row>
    <row r="148" spans="1:16" ht="11.25" customHeight="1" x14ac:dyDescent="0.25">
      <c r="A148" s="70">
        <v>147</v>
      </c>
      <c r="B148" s="70" t="s">
        <v>460</v>
      </c>
      <c r="C148" s="70" t="s">
        <v>33</v>
      </c>
      <c r="D148" s="70" t="s">
        <v>50</v>
      </c>
      <c r="E148" s="70" t="s">
        <v>25</v>
      </c>
      <c r="F148" s="70" t="s">
        <v>25</v>
      </c>
      <c r="G148" s="70" t="s">
        <v>25</v>
      </c>
      <c r="H148" s="70" t="s">
        <v>25</v>
      </c>
      <c r="I148" s="70" t="s">
        <v>37</v>
      </c>
      <c r="J148" s="70" t="s">
        <v>601</v>
      </c>
      <c r="K148" s="70" t="s">
        <v>600</v>
      </c>
      <c r="L148" s="70" t="s">
        <v>74</v>
      </c>
      <c r="M148" s="70">
        <v>2021</v>
      </c>
      <c r="N148" s="70">
        <v>0</v>
      </c>
      <c r="O148" s="70">
        <v>567.25</v>
      </c>
      <c r="P148" s="70">
        <v>64.361548606602895</v>
      </c>
    </row>
    <row r="149" spans="1:16" ht="11.25" hidden="1" customHeight="1" x14ac:dyDescent="0.25">
      <c r="A149" s="70">
        <v>148</v>
      </c>
      <c r="B149" s="70" t="s">
        <v>460</v>
      </c>
      <c r="C149" s="70" t="s">
        <v>588</v>
      </c>
      <c r="D149" s="70" t="s">
        <v>1165</v>
      </c>
      <c r="E149" s="70" t="s">
        <v>25</v>
      </c>
      <c r="F149" s="70" t="s">
        <v>25</v>
      </c>
      <c r="G149" s="70" t="s">
        <v>25</v>
      </c>
      <c r="H149" s="70" t="s">
        <v>1170</v>
      </c>
      <c r="I149" s="70" t="s">
        <v>37</v>
      </c>
      <c r="J149" s="70" t="s">
        <v>599</v>
      </c>
      <c r="K149" s="70" t="s">
        <v>600</v>
      </c>
      <c r="L149" s="70" t="s">
        <v>79</v>
      </c>
      <c r="M149" s="70">
        <v>2021</v>
      </c>
      <c r="N149" s="70">
        <v>0</v>
      </c>
      <c r="O149" s="70">
        <v>13.08</v>
      </c>
      <c r="P149" s="70">
        <v>0</v>
      </c>
    </row>
    <row r="150" spans="1:16" ht="11.25" customHeight="1" x14ac:dyDescent="0.25">
      <c r="A150" s="70">
        <v>149</v>
      </c>
      <c r="B150" s="70" t="s">
        <v>460</v>
      </c>
      <c r="C150" s="70" t="s">
        <v>33</v>
      </c>
      <c r="D150" s="70" t="s">
        <v>50</v>
      </c>
      <c r="E150" s="70" t="s">
        <v>25</v>
      </c>
      <c r="F150" s="70" t="s">
        <v>25</v>
      </c>
      <c r="G150" s="70" t="s">
        <v>25</v>
      </c>
      <c r="H150" s="70" t="s">
        <v>25</v>
      </c>
      <c r="I150" s="70" t="s">
        <v>51</v>
      </c>
      <c r="J150" s="70" t="s">
        <v>601</v>
      </c>
      <c r="K150" s="70" t="s">
        <v>600</v>
      </c>
      <c r="L150" s="70" t="s">
        <v>74</v>
      </c>
      <c r="M150" s="70">
        <v>2021</v>
      </c>
      <c r="N150" s="70">
        <v>0</v>
      </c>
      <c r="O150" s="70">
        <v>384.56</v>
      </c>
      <c r="P150" s="70">
        <v>64.361548606602895</v>
      </c>
    </row>
    <row r="151" spans="1:16" ht="11.25" hidden="1" customHeight="1" x14ac:dyDescent="0.25">
      <c r="A151" s="70">
        <v>150</v>
      </c>
      <c r="B151" s="70" t="s">
        <v>460</v>
      </c>
      <c r="C151" s="70" t="s">
        <v>588</v>
      </c>
      <c r="D151" s="70" t="s">
        <v>1165</v>
      </c>
      <c r="E151" s="70" t="s">
        <v>25</v>
      </c>
      <c r="F151" s="70" t="s">
        <v>25</v>
      </c>
      <c r="G151" s="70" t="s">
        <v>25</v>
      </c>
      <c r="H151" s="70" t="s">
        <v>1170</v>
      </c>
      <c r="I151" s="70" t="s">
        <v>38</v>
      </c>
      <c r="J151" s="70" t="s">
        <v>599</v>
      </c>
      <c r="K151" s="70" t="s">
        <v>600</v>
      </c>
      <c r="L151" s="70" t="s">
        <v>79</v>
      </c>
      <c r="M151" s="70">
        <v>2021</v>
      </c>
      <c r="N151" s="70">
        <v>0</v>
      </c>
      <c r="O151" s="70">
        <v>9.26</v>
      </c>
      <c r="P151" s="70">
        <v>0</v>
      </c>
    </row>
    <row r="152" spans="1:16" ht="11.25" customHeight="1" x14ac:dyDescent="0.25">
      <c r="A152" s="70">
        <v>151</v>
      </c>
      <c r="B152" s="70" t="s">
        <v>460</v>
      </c>
      <c r="C152" s="70" t="s">
        <v>33</v>
      </c>
      <c r="D152" s="70" t="s">
        <v>50</v>
      </c>
      <c r="E152" s="70" t="s">
        <v>25</v>
      </c>
      <c r="F152" s="70" t="s">
        <v>25</v>
      </c>
      <c r="G152" s="70" t="s">
        <v>25</v>
      </c>
      <c r="H152" s="70" t="s">
        <v>25</v>
      </c>
      <c r="I152" s="70" t="s">
        <v>38</v>
      </c>
      <c r="J152" s="70" t="s">
        <v>601</v>
      </c>
      <c r="K152" s="70" t="s">
        <v>600</v>
      </c>
      <c r="L152" s="70" t="s">
        <v>74</v>
      </c>
      <c r="M152" s="70">
        <v>2021</v>
      </c>
      <c r="N152" s="70">
        <v>0</v>
      </c>
      <c r="O152" s="70">
        <v>201.87</v>
      </c>
      <c r="P152" s="70">
        <v>64.361548606602895</v>
      </c>
    </row>
    <row r="153" spans="1:16" ht="11.25" hidden="1" customHeight="1" x14ac:dyDescent="0.25">
      <c r="A153" s="70">
        <v>152</v>
      </c>
      <c r="B153" s="70" t="s">
        <v>460</v>
      </c>
      <c r="C153" s="70" t="s">
        <v>588</v>
      </c>
      <c r="D153" s="70" t="s">
        <v>1165</v>
      </c>
      <c r="E153" s="70" t="s">
        <v>25</v>
      </c>
      <c r="F153" s="70" t="s">
        <v>25</v>
      </c>
      <c r="G153" s="70" t="s">
        <v>25</v>
      </c>
      <c r="H153" s="70" t="s">
        <v>1170</v>
      </c>
      <c r="I153" s="70" t="s">
        <v>25</v>
      </c>
      <c r="J153" s="70" t="s">
        <v>601</v>
      </c>
      <c r="K153" s="70" t="s">
        <v>600</v>
      </c>
      <c r="L153" s="70" t="s">
        <v>74</v>
      </c>
      <c r="M153" s="70">
        <v>2021</v>
      </c>
      <c r="N153" s="70">
        <v>0</v>
      </c>
      <c r="O153" s="70">
        <v>7.49</v>
      </c>
      <c r="P153" s="70">
        <v>0</v>
      </c>
    </row>
    <row r="154" spans="1:16" ht="11.25" customHeight="1" x14ac:dyDescent="0.25">
      <c r="A154" s="70">
        <v>153</v>
      </c>
      <c r="B154" s="70" t="s">
        <v>460</v>
      </c>
      <c r="C154" s="70" t="s">
        <v>33</v>
      </c>
      <c r="D154" s="70" t="s">
        <v>23</v>
      </c>
      <c r="E154" s="70" t="s">
        <v>25</v>
      </c>
      <c r="F154" s="70" t="s">
        <v>25</v>
      </c>
      <c r="G154" s="70" t="s">
        <v>25</v>
      </c>
      <c r="H154" s="70" t="s">
        <v>25</v>
      </c>
      <c r="I154" s="70" t="s">
        <v>25</v>
      </c>
      <c r="J154" s="70" t="s">
        <v>601</v>
      </c>
      <c r="K154" s="70" t="s">
        <v>600</v>
      </c>
      <c r="L154" s="70" t="s">
        <v>74</v>
      </c>
      <c r="M154" s="70">
        <v>2021</v>
      </c>
      <c r="N154" s="70">
        <v>0</v>
      </c>
      <c r="O154" s="70">
        <v>244.85</v>
      </c>
      <c r="P154" s="70">
        <v>64.361548606602895</v>
      </c>
    </row>
    <row r="155" spans="1:16" ht="11.25" hidden="1" customHeight="1" x14ac:dyDescent="0.25">
      <c r="A155" s="70">
        <v>154</v>
      </c>
      <c r="B155" s="70" t="s">
        <v>460</v>
      </c>
      <c r="C155" s="70" t="s">
        <v>588</v>
      </c>
      <c r="D155" s="70" t="s">
        <v>1165</v>
      </c>
      <c r="E155" s="70" t="s">
        <v>25</v>
      </c>
      <c r="F155" s="70" t="s">
        <v>25</v>
      </c>
      <c r="G155" s="70" t="s">
        <v>25</v>
      </c>
      <c r="H155" s="70" t="s">
        <v>1220</v>
      </c>
      <c r="I155" s="70" t="s">
        <v>37</v>
      </c>
      <c r="J155" s="70" t="s">
        <v>599</v>
      </c>
      <c r="K155" s="70" t="s">
        <v>600</v>
      </c>
      <c r="L155" s="70" t="s">
        <v>79</v>
      </c>
      <c r="M155" s="70">
        <v>2021</v>
      </c>
      <c r="N155" s="70">
        <v>0</v>
      </c>
      <c r="O155" s="70">
        <v>21.11</v>
      </c>
      <c r="P155" s="70">
        <v>0</v>
      </c>
    </row>
    <row r="156" spans="1:16" ht="11.25" customHeight="1" x14ac:dyDescent="0.25">
      <c r="A156" s="70">
        <v>155</v>
      </c>
      <c r="B156" s="70" t="s">
        <v>460</v>
      </c>
      <c r="C156" s="70" t="s">
        <v>33</v>
      </c>
      <c r="D156" s="70" t="s">
        <v>89</v>
      </c>
      <c r="E156" s="70" t="s">
        <v>25</v>
      </c>
      <c r="F156" s="70" t="s">
        <v>25</v>
      </c>
      <c r="G156" s="70" t="s">
        <v>25</v>
      </c>
      <c r="H156" s="70" t="s">
        <v>25</v>
      </c>
      <c r="I156" s="70" t="s">
        <v>25</v>
      </c>
      <c r="J156" s="70" t="s">
        <v>601</v>
      </c>
      <c r="K156" s="70" t="s">
        <v>600</v>
      </c>
      <c r="L156" s="70" t="s">
        <v>74</v>
      </c>
      <c r="M156" s="70">
        <v>2021</v>
      </c>
      <c r="N156" s="70">
        <v>0</v>
      </c>
      <c r="O156" s="70">
        <v>244.85</v>
      </c>
      <c r="P156" s="70">
        <v>64.361548606602895</v>
      </c>
    </row>
    <row r="157" spans="1:16" ht="11.25" hidden="1" customHeight="1" x14ac:dyDescent="0.25">
      <c r="A157" s="70">
        <v>156</v>
      </c>
      <c r="B157" s="70" t="s">
        <v>460</v>
      </c>
      <c r="C157" s="70" t="s">
        <v>588</v>
      </c>
      <c r="D157" s="70" t="s">
        <v>1165</v>
      </c>
      <c r="E157" s="70" t="s">
        <v>25</v>
      </c>
      <c r="F157" s="70" t="s">
        <v>25</v>
      </c>
      <c r="G157" s="70" t="s">
        <v>25</v>
      </c>
      <c r="H157" s="70" t="s">
        <v>1220</v>
      </c>
      <c r="I157" s="70" t="s">
        <v>38</v>
      </c>
      <c r="J157" s="70" t="s">
        <v>599</v>
      </c>
      <c r="K157" s="70" t="s">
        <v>600</v>
      </c>
      <c r="L157" s="70" t="s">
        <v>79</v>
      </c>
      <c r="M157" s="70">
        <v>2021</v>
      </c>
      <c r="N157" s="70">
        <v>0</v>
      </c>
      <c r="O157" s="70">
        <v>11.26</v>
      </c>
      <c r="P157" s="70">
        <v>0</v>
      </c>
    </row>
    <row r="158" spans="1:16" ht="11.25" customHeight="1" x14ac:dyDescent="0.25">
      <c r="A158" s="70">
        <v>157</v>
      </c>
      <c r="B158" s="70" t="s">
        <v>460</v>
      </c>
      <c r="C158" s="70" t="s">
        <v>44</v>
      </c>
      <c r="D158" s="70" t="s">
        <v>23</v>
      </c>
      <c r="E158" s="70" t="s">
        <v>45</v>
      </c>
      <c r="F158" s="70" t="s">
        <v>46</v>
      </c>
      <c r="G158" s="70" t="s">
        <v>25</v>
      </c>
      <c r="H158" s="70" t="s">
        <v>25</v>
      </c>
      <c r="I158" s="70" t="s">
        <v>25</v>
      </c>
      <c r="J158" s="70" t="s">
        <v>601</v>
      </c>
      <c r="K158" s="70" t="s">
        <v>600</v>
      </c>
      <c r="L158" s="70" t="s">
        <v>74</v>
      </c>
      <c r="M158" s="70">
        <v>2021</v>
      </c>
      <c r="N158" s="70">
        <v>0</v>
      </c>
      <c r="O158" s="70">
        <v>134.66999999999999</v>
      </c>
      <c r="P158" s="70">
        <v>35.398851733631602</v>
      </c>
    </row>
    <row r="159" spans="1:16" ht="11.25" hidden="1" customHeight="1" x14ac:dyDescent="0.25">
      <c r="A159" s="70">
        <v>158</v>
      </c>
      <c r="B159" s="70" t="s">
        <v>460</v>
      </c>
      <c r="C159" s="70" t="s">
        <v>588</v>
      </c>
      <c r="D159" s="70" t="s">
        <v>1165</v>
      </c>
      <c r="E159" s="70" t="s">
        <v>25</v>
      </c>
      <c r="F159" s="70" t="s">
        <v>25</v>
      </c>
      <c r="G159" s="70" t="s">
        <v>25</v>
      </c>
      <c r="H159" s="70" t="s">
        <v>1220</v>
      </c>
      <c r="I159" s="70" t="s">
        <v>25</v>
      </c>
      <c r="J159" s="70" t="s">
        <v>601</v>
      </c>
      <c r="K159" s="70" t="s">
        <v>600</v>
      </c>
      <c r="L159" s="70" t="s">
        <v>74</v>
      </c>
      <c r="M159" s="70">
        <v>2021</v>
      </c>
      <c r="N159" s="70">
        <v>0</v>
      </c>
      <c r="O159" s="70">
        <v>7.49</v>
      </c>
      <c r="P159" s="70">
        <v>0</v>
      </c>
    </row>
    <row r="160" spans="1:16" ht="11.25" customHeight="1" x14ac:dyDescent="0.25">
      <c r="A160" s="70">
        <v>159</v>
      </c>
      <c r="B160" s="70" t="s">
        <v>460</v>
      </c>
      <c r="C160" s="70" t="s">
        <v>44</v>
      </c>
      <c r="D160" s="70" t="s">
        <v>23</v>
      </c>
      <c r="E160" s="70" t="s">
        <v>45</v>
      </c>
      <c r="F160" s="70" t="s">
        <v>92</v>
      </c>
      <c r="G160" s="70" t="s">
        <v>25</v>
      </c>
      <c r="H160" s="70" t="s">
        <v>25</v>
      </c>
      <c r="I160" s="70" t="s">
        <v>25</v>
      </c>
      <c r="J160" s="70" t="s">
        <v>601</v>
      </c>
      <c r="K160" s="70" t="s">
        <v>600</v>
      </c>
      <c r="L160" s="70" t="s">
        <v>74</v>
      </c>
      <c r="M160" s="70">
        <v>2021</v>
      </c>
      <c r="N160" s="70">
        <v>0</v>
      </c>
      <c r="O160" s="70">
        <v>146.91</v>
      </c>
      <c r="P160" s="70">
        <v>38.6169291639617</v>
      </c>
    </row>
    <row r="161" spans="1:16" ht="11.25" hidden="1" customHeight="1" x14ac:dyDescent="0.25">
      <c r="A161" s="70">
        <v>160</v>
      </c>
      <c r="B161" s="70" t="s">
        <v>460</v>
      </c>
      <c r="C161" s="70" t="s">
        <v>588</v>
      </c>
      <c r="D161" s="70" t="s">
        <v>83</v>
      </c>
      <c r="E161" s="70" t="s">
        <v>25</v>
      </c>
      <c r="F161" s="70" t="s">
        <v>25</v>
      </c>
      <c r="G161" s="70" t="s">
        <v>25</v>
      </c>
      <c r="H161" s="70" t="s">
        <v>25</v>
      </c>
      <c r="I161" s="70" t="s">
        <v>25</v>
      </c>
      <c r="J161" s="70" t="s">
        <v>599</v>
      </c>
      <c r="K161" s="70" t="s">
        <v>600</v>
      </c>
      <c r="L161" s="70" t="s">
        <v>79</v>
      </c>
      <c r="M161" s="70">
        <v>2021</v>
      </c>
      <c r="N161" s="70">
        <v>0</v>
      </c>
      <c r="O161" s="70">
        <v>5.54</v>
      </c>
      <c r="P161" s="70">
        <v>0</v>
      </c>
    </row>
    <row r="162" spans="1:16" ht="11.25" hidden="1" customHeight="1" x14ac:dyDescent="0.25">
      <c r="A162" s="70">
        <v>161</v>
      </c>
      <c r="B162" s="70" t="s">
        <v>488</v>
      </c>
      <c r="C162" s="70" t="s">
        <v>587</v>
      </c>
      <c r="D162" s="70" t="s">
        <v>73</v>
      </c>
      <c r="E162" s="70" t="s">
        <v>25</v>
      </c>
      <c r="F162" s="70" t="s">
        <v>25</v>
      </c>
      <c r="G162" s="70" t="s">
        <v>25</v>
      </c>
      <c r="H162" s="70" t="s">
        <v>25</v>
      </c>
      <c r="I162" s="70" t="s">
        <v>37</v>
      </c>
      <c r="J162" s="70" t="s">
        <v>601</v>
      </c>
      <c r="K162" s="70" t="s">
        <v>600</v>
      </c>
      <c r="L162" s="70" t="s">
        <v>74</v>
      </c>
      <c r="M162" s="70">
        <v>2021</v>
      </c>
      <c r="N162" s="70">
        <v>0</v>
      </c>
      <c r="O162" s="70">
        <v>451.4</v>
      </c>
      <c r="P162" s="70"/>
    </row>
    <row r="163" spans="1:16" ht="11.25" hidden="1" customHeight="1" x14ac:dyDescent="0.25">
      <c r="A163" s="70">
        <v>162</v>
      </c>
      <c r="B163" s="70" t="s">
        <v>460</v>
      </c>
      <c r="C163" s="70" t="s">
        <v>589</v>
      </c>
      <c r="D163" s="70" t="s">
        <v>36</v>
      </c>
      <c r="E163" s="70" t="s">
        <v>25</v>
      </c>
      <c r="F163" s="70" t="s">
        <v>25</v>
      </c>
      <c r="G163" s="70" t="s">
        <v>25</v>
      </c>
      <c r="H163" s="70" t="s">
        <v>25</v>
      </c>
      <c r="I163" s="70" t="s">
        <v>37</v>
      </c>
      <c r="J163" s="70" t="s">
        <v>599</v>
      </c>
      <c r="K163" s="70" t="s">
        <v>600</v>
      </c>
      <c r="L163" s="70" t="s">
        <v>79</v>
      </c>
      <c r="M163" s="70">
        <v>2021</v>
      </c>
      <c r="N163" s="70">
        <v>0</v>
      </c>
      <c r="O163" s="70">
        <v>28.27</v>
      </c>
      <c r="P163" s="70">
        <v>0</v>
      </c>
    </row>
    <row r="164" spans="1:16" ht="11.25" hidden="1" customHeight="1" x14ac:dyDescent="0.25">
      <c r="A164" s="70">
        <v>163</v>
      </c>
      <c r="B164" s="70" t="s">
        <v>488</v>
      </c>
      <c r="C164" s="70" t="s">
        <v>587</v>
      </c>
      <c r="D164" s="70" t="s">
        <v>73</v>
      </c>
      <c r="E164" s="70" t="s">
        <v>25</v>
      </c>
      <c r="F164" s="70" t="s">
        <v>25</v>
      </c>
      <c r="G164" s="70" t="s">
        <v>25</v>
      </c>
      <c r="H164" s="70" t="s">
        <v>25</v>
      </c>
      <c r="I164" s="70" t="s">
        <v>38</v>
      </c>
      <c r="J164" s="70" t="s">
        <v>601</v>
      </c>
      <c r="K164" s="70" t="s">
        <v>600</v>
      </c>
      <c r="L164" s="70" t="s">
        <v>74</v>
      </c>
      <c r="M164" s="70">
        <v>2021</v>
      </c>
      <c r="N164" s="70">
        <v>0</v>
      </c>
      <c r="O164" s="70">
        <v>272.48</v>
      </c>
      <c r="P164" s="70"/>
    </row>
    <row r="165" spans="1:16" ht="11.25" hidden="1" customHeight="1" x14ac:dyDescent="0.25">
      <c r="A165" s="70">
        <v>164</v>
      </c>
      <c r="B165" s="70" t="s">
        <v>460</v>
      </c>
      <c r="C165" s="70" t="s">
        <v>589</v>
      </c>
      <c r="D165" s="70" t="s">
        <v>36</v>
      </c>
      <c r="E165" s="70" t="s">
        <v>25</v>
      </c>
      <c r="F165" s="70" t="s">
        <v>25</v>
      </c>
      <c r="G165" s="70" t="s">
        <v>25</v>
      </c>
      <c r="H165" s="70" t="s">
        <v>25</v>
      </c>
      <c r="I165" s="70" t="s">
        <v>38</v>
      </c>
      <c r="J165" s="70" t="s">
        <v>599</v>
      </c>
      <c r="K165" s="70" t="s">
        <v>600</v>
      </c>
      <c r="L165" s="70" t="s">
        <v>79</v>
      </c>
      <c r="M165" s="70">
        <v>2021</v>
      </c>
      <c r="N165" s="70">
        <v>0</v>
      </c>
      <c r="O165" s="70">
        <v>13.29</v>
      </c>
      <c r="P165" s="70">
        <v>0</v>
      </c>
    </row>
    <row r="166" spans="1:16" ht="11.25" hidden="1" customHeight="1" x14ac:dyDescent="0.25">
      <c r="A166" s="70">
        <v>165</v>
      </c>
      <c r="B166" s="70" t="s">
        <v>488</v>
      </c>
      <c r="C166" s="70" t="s">
        <v>587</v>
      </c>
      <c r="D166" s="70" t="s">
        <v>1221</v>
      </c>
      <c r="E166" s="70" t="s">
        <v>25</v>
      </c>
      <c r="F166" s="70" t="s">
        <v>25</v>
      </c>
      <c r="G166" s="70" t="s">
        <v>1222</v>
      </c>
      <c r="H166" s="70" t="s">
        <v>25</v>
      </c>
      <c r="I166" s="70" t="s">
        <v>25</v>
      </c>
      <c r="J166" s="70" t="s">
        <v>601</v>
      </c>
      <c r="K166" s="70" t="s">
        <v>600</v>
      </c>
      <c r="L166" s="70" t="s">
        <v>74</v>
      </c>
      <c r="M166" s="70">
        <v>2021</v>
      </c>
      <c r="N166" s="70">
        <v>0</v>
      </c>
      <c r="O166" s="70">
        <v>313.3</v>
      </c>
      <c r="P166" s="70"/>
    </row>
    <row r="167" spans="1:16" ht="11.25" hidden="1" customHeight="1" x14ac:dyDescent="0.25">
      <c r="A167" s="70">
        <v>166</v>
      </c>
      <c r="B167" s="70" t="s">
        <v>460</v>
      </c>
      <c r="C167" s="70" t="s">
        <v>589</v>
      </c>
      <c r="D167" s="70" t="s">
        <v>36</v>
      </c>
      <c r="E167" s="70" t="s">
        <v>25</v>
      </c>
      <c r="F167" s="70" t="s">
        <v>25</v>
      </c>
      <c r="G167" s="70" t="s">
        <v>25</v>
      </c>
      <c r="H167" s="70" t="s">
        <v>25</v>
      </c>
      <c r="I167" s="70" t="s">
        <v>25</v>
      </c>
      <c r="J167" s="70" t="s">
        <v>601</v>
      </c>
      <c r="K167" s="70" t="s">
        <v>600</v>
      </c>
      <c r="L167" s="70" t="s">
        <v>74</v>
      </c>
      <c r="M167" s="70">
        <v>2021</v>
      </c>
      <c r="N167" s="70">
        <v>0</v>
      </c>
      <c r="O167" s="70">
        <v>85.99</v>
      </c>
      <c r="P167" s="70">
        <v>55.994547287744503</v>
      </c>
    </row>
    <row r="168" spans="1:16" ht="11.25" hidden="1" customHeight="1" x14ac:dyDescent="0.25">
      <c r="A168" s="70">
        <v>167</v>
      </c>
      <c r="B168" s="70" t="s">
        <v>488</v>
      </c>
      <c r="C168" s="70" t="s">
        <v>587</v>
      </c>
      <c r="D168" s="70" t="s">
        <v>1223</v>
      </c>
      <c r="E168" s="70" t="s">
        <v>25</v>
      </c>
      <c r="F168" s="70" t="s">
        <v>25</v>
      </c>
      <c r="G168" s="70" t="s">
        <v>1222</v>
      </c>
      <c r="H168" s="70" t="s">
        <v>25</v>
      </c>
      <c r="I168" s="70" t="s">
        <v>25</v>
      </c>
      <c r="J168" s="70" t="s">
        <v>601</v>
      </c>
      <c r="K168" s="70" t="s">
        <v>600</v>
      </c>
      <c r="L168" s="70" t="s">
        <v>74</v>
      </c>
      <c r="M168" s="70">
        <v>2021</v>
      </c>
      <c r="N168" s="70">
        <v>0</v>
      </c>
      <c r="O168" s="70">
        <v>313.3</v>
      </c>
      <c r="P168" s="70"/>
    </row>
    <row r="169" spans="1:16" ht="11.25" hidden="1" customHeight="1" x14ac:dyDescent="0.25">
      <c r="A169" s="70">
        <v>168</v>
      </c>
      <c r="B169" s="70" t="s">
        <v>460</v>
      </c>
      <c r="C169" s="70" t="s">
        <v>589</v>
      </c>
      <c r="D169" s="70" t="s">
        <v>36</v>
      </c>
      <c r="E169" s="70" t="s">
        <v>25</v>
      </c>
      <c r="F169" s="70" t="s">
        <v>25</v>
      </c>
      <c r="G169" s="70" t="s">
        <v>82</v>
      </c>
      <c r="H169" s="70" t="s">
        <v>25</v>
      </c>
      <c r="I169" s="70" t="s">
        <v>25</v>
      </c>
      <c r="J169" s="70" t="s">
        <v>601</v>
      </c>
      <c r="K169" s="70" t="s">
        <v>600</v>
      </c>
      <c r="L169" s="70" t="s">
        <v>74</v>
      </c>
      <c r="M169" s="70">
        <v>2021</v>
      </c>
      <c r="N169" s="70">
        <v>0</v>
      </c>
      <c r="O169" s="70">
        <v>22.63</v>
      </c>
      <c r="P169" s="70">
        <v>0</v>
      </c>
    </row>
    <row r="170" spans="1:16" ht="11.25" hidden="1" customHeight="1" x14ac:dyDescent="0.25">
      <c r="A170" s="70">
        <v>169</v>
      </c>
      <c r="B170" s="70" t="s">
        <v>488</v>
      </c>
      <c r="C170" s="70" t="s">
        <v>587</v>
      </c>
      <c r="D170" s="70" t="s">
        <v>1221</v>
      </c>
      <c r="E170" s="70" t="s">
        <v>25</v>
      </c>
      <c r="F170" s="70" t="s">
        <v>25</v>
      </c>
      <c r="G170" s="70" t="s">
        <v>25</v>
      </c>
      <c r="H170" s="70" t="s">
        <v>25</v>
      </c>
      <c r="I170" s="70" t="s">
        <v>25</v>
      </c>
      <c r="J170" s="70" t="s">
        <v>601</v>
      </c>
      <c r="K170" s="70" t="s">
        <v>600</v>
      </c>
      <c r="L170" s="70" t="s">
        <v>74</v>
      </c>
      <c r="M170" s="70">
        <v>2021</v>
      </c>
      <c r="N170" s="70">
        <v>0</v>
      </c>
      <c r="O170" s="70">
        <v>307.52999999999997</v>
      </c>
      <c r="P170" s="70"/>
    </row>
    <row r="171" spans="1:16" ht="11.25" hidden="1" customHeight="1" x14ac:dyDescent="0.25">
      <c r="A171" s="70">
        <v>170</v>
      </c>
      <c r="B171" s="70" t="s">
        <v>460</v>
      </c>
      <c r="C171" s="70" t="s">
        <v>589</v>
      </c>
      <c r="D171" s="70" t="s">
        <v>1165</v>
      </c>
      <c r="E171" s="70" t="s">
        <v>25</v>
      </c>
      <c r="F171" s="70" t="s">
        <v>25</v>
      </c>
      <c r="G171" s="70" t="s">
        <v>25</v>
      </c>
      <c r="H171" s="70" t="s">
        <v>1170</v>
      </c>
      <c r="I171" s="70" t="s">
        <v>37</v>
      </c>
      <c r="J171" s="70" t="s">
        <v>599</v>
      </c>
      <c r="K171" s="70" t="s">
        <v>600</v>
      </c>
      <c r="L171" s="70" t="s">
        <v>79</v>
      </c>
      <c r="M171" s="70">
        <v>2021</v>
      </c>
      <c r="N171" s="70">
        <v>0</v>
      </c>
      <c r="O171" s="70">
        <v>21.22</v>
      </c>
      <c r="P171" s="70">
        <v>0</v>
      </c>
    </row>
    <row r="172" spans="1:16" ht="11.25" hidden="1" customHeight="1" x14ac:dyDescent="0.25">
      <c r="A172" s="70">
        <v>171</v>
      </c>
      <c r="B172" s="70" t="s">
        <v>488</v>
      </c>
      <c r="C172" s="70" t="s">
        <v>588</v>
      </c>
      <c r="D172" s="70" t="s">
        <v>73</v>
      </c>
      <c r="E172" s="70" t="s">
        <v>25</v>
      </c>
      <c r="F172" s="70" t="s">
        <v>25</v>
      </c>
      <c r="G172" s="70" t="s">
        <v>25</v>
      </c>
      <c r="H172" s="70" t="s">
        <v>25</v>
      </c>
      <c r="I172" s="70" t="s">
        <v>37</v>
      </c>
      <c r="J172" s="70" t="s">
        <v>601</v>
      </c>
      <c r="K172" s="70" t="s">
        <v>600</v>
      </c>
      <c r="L172" s="70" t="s">
        <v>74</v>
      </c>
      <c r="M172" s="70">
        <v>2021</v>
      </c>
      <c r="N172" s="70">
        <v>0</v>
      </c>
      <c r="O172" s="70">
        <v>451.4</v>
      </c>
      <c r="P172" s="70"/>
    </row>
    <row r="173" spans="1:16" ht="11.25" hidden="1" customHeight="1" x14ac:dyDescent="0.25">
      <c r="A173" s="70">
        <v>172</v>
      </c>
      <c r="B173" s="70" t="s">
        <v>488</v>
      </c>
      <c r="C173" s="70" t="s">
        <v>588</v>
      </c>
      <c r="D173" s="70" t="s">
        <v>73</v>
      </c>
      <c r="E173" s="70" t="s">
        <v>25</v>
      </c>
      <c r="F173" s="70" t="s">
        <v>25</v>
      </c>
      <c r="G173" s="70" t="s">
        <v>25</v>
      </c>
      <c r="H173" s="70" t="s">
        <v>25</v>
      </c>
      <c r="I173" s="70" t="s">
        <v>38</v>
      </c>
      <c r="J173" s="70" t="s">
        <v>601</v>
      </c>
      <c r="K173" s="70" t="s">
        <v>600</v>
      </c>
      <c r="L173" s="70" t="s">
        <v>74</v>
      </c>
      <c r="M173" s="70">
        <v>2021</v>
      </c>
      <c r="N173" s="70">
        <v>0</v>
      </c>
      <c r="O173" s="70">
        <v>272.48</v>
      </c>
      <c r="P173" s="70"/>
    </row>
    <row r="174" spans="1:16" ht="11.25" hidden="1" customHeight="1" x14ac:dyDescent="0.25">
      <c r="A174" s="70">
        <v>173</v>
      </c>
      <c r="B174" s="70" t="s">
        <v>460</v>
      </c>
      <c r="C174" s="70" t="s">
        <v>589</v>
      </c>
      <c r="D174" s="70" t="s">
        <v>1165</v>
      </c>
      <c r="E174" s="70" t="s">
        <v>25</v>
      </c>
      <c r="F174" s="70" t="s">
        <v>25</v>
      </c>
      <c r="G174" s="70" t="s">
        <v>25</v>
      </c>
      <c r="H174" s="70" t="s">
        <v>1170</v>
      </c>
      <c r="I174" s="70" t="s">
        <v>38</v>
      </c>
      <c r="J174" s="70" t="s">
        <v>599</v>
      </c>
      <c r="K174" s="70" t="s">
        <v>600</v>
      </c>
      <c r="L174" s="70" t="s">
        <v>79</v>
      </c>
      <c r="M174" s="70">
        <v>2021</v>
      </c>
      <c r="N174" s="70">
        <v>0</v>
      </c>
      <c r="O174" s="70">
        <v>11.83</v>
      </c>
      <c r="P174" s="70">
        <v>0</v>
      </c>
    </row>
    <row r="175" spans="1:16" ht="11.25" hidden="1" customHeight="1" x14ac:dyDescent="0.25">
      <c r="A175" s="70">
        <v>174</v>
      </c>
      <c r="B175" s="70" t="s">
        <v>488</v>
      </c>
      <c r="C175" s="70" t="s">
        <v>588</v>
      </c>
      <c r="D175" s="70" t="s">
        <v>1221</v>
      </c>
      <c r="E175" s="70" t="s">
        <v>25</v>
      </c>
      <c r="F175" s="70" t="s">
        <v>25</v>
      </c>
      <c r="G175" s="70" t="s">
        <v>1222</v>
      </c>
      <c r="H175" s="70" t="s">
        <v>25</v>
      </c>
      <c r="I175" s="70" t="s">
        <v>25</v>
      </c>
      <c r="J175" s="70" t="s">
        <v>601</v>
      </c>
      <c r="K175" s="70" t="s">
        <v>600</v>
      </c>
      <c r="L175" s="70" t="s">
        <v>74</v>
      </c>
      <c r="M175" s="70">
        <v>2021</v>
      </c>
      <c r="N175" s="70">
        <v>0</v>
      </c>
      <c r="O175" s="70">
        <v>313.3</v>
      </c>
      <c r="P175" s="70"/>
    </row>
    <row r="176" spans="1:16" ht="11.25" hidden="1" customHeight="1" x14ac:dyDescent="0.25">
      <c r="A176" s="70">
        <v>175</v>
      </c>
      <c r="B176" s="70" t="s">
        <v>460</v>
      </c>
      <c r="C176" s="70" t="s">
        <v>589</v>
      </c>
      <c r="D176" s="70" t="s">
        <v>1165</v>
      </c>
      <c r="E176" s="70" t="s">
        <v>25</v>
      </c>
      <c r="F176" s="70" t="s">
        <v>25</v>
      </c>
      <c r="G176" s="70" t="s">
        <v>25</v>
      </c>
      <c r="H176" s="70" t="s">
        <v>1170</v>
      </c>
      <c r="I176" s="70" t="s">
        <v>25</v>
      </c>
      <c r="J176" s="70" t="s">
        <v>601</v>
      </c>
      <c r="K176" s="70" t="s">
        <v>600</v>
      </c>
      <c r="L176" s="70" t="s">
        <v>74</v>
      </c>
      <c r="M176" s="70">
        <v>2021</v>
      </c>
      <c r="N176" s="70">
        <v>0</v>
      </c>
      <c r="O176" s="70">
        <v>14.37</v>
      </c>
      <c r="P176" s="70">
        <v>0</v>
      </c>
    </row>
    <row r="177" spans="1:16" ht="11.25" hidden="1" customHeight="1" x14ac:dyDescent="0.25">
      <c r="A177" s="70">
        <v>176</v>
      </c>
      <c r="B177" s="70" t="s">
        <v>488</v>
      </c>
      <c r="C177" s="70" t="s">
        <v>588</v>
      </c>
      <c r="D177" s="70" t="s">
        <v>1223</v>
      </c>
      <c r="E177" s="70" t="s">
        <v>25</v>
      </c>
      <c r="F177" s="70" t="s">
        <v>25</v>
      </c>
      <c r="G177" s="70" t="s">
        <v>1222</v>
      </c>
      <c r="H177" s="70" t="s">
        <v>25</v>
      </c>
      <c r="I177" s="70" t="s">
        <v>25</v>
      </c>
      <c r="J177" s="70" t="s">
        <v>601</v>
      </c>
      <c r="K177" s="70" t="s">
        <v>600</v>
      </c>
      <c r="L177" s="70" t="s">
        <v>74</v>
      </c>
      <c r="M177" s="70">
        <v>2021</v>
      </c>
      <c r="N177" s="70">
        <v>0</v>
      </c>
      <c r="O177" s="70">
        <v>313.3</v>
      </c>
      <c r="P177" s="70"/>
    </row>
    <row r="178" spans="1:16" ht="11.25" hidden="1" customHeight="1" x14ac:dyDescent="0.25">
      <c r="A178" s="70">
        <v>177</v>
      </c>
      <c r="B178" s="70" t="s">
        <v>460</v>
      </c>
      <c r="C178" s="70" t="s">
        <v>589</v>
      </c>
      <c r="D178" s="70" t="s">
        <v>1165</v>
      </c>
      <c r="E178" s="70" t="s">
        <v>25</v>
      </c>
      <c r="F178" s="70" t="s">
        <v>25</v>
      </c>
      <c r="G178" s="70" t="s">
        <v>25</v>
      </c>
      <c r="H178" s="70" t="s">
        <v>1224</v>
      </c>
      <c r="I178" s="70" t="s">
        <v>37</v>
      </c>
      <c r="J178" s="70" t="s">
        <v>599</v>
      </c>
      <c r="K178" s="70" t="s">
        <v>600</v>
      </c>
      <c r="L178" s="70" t="s">
        <v>79</v>
      </c>
      <c r="M178" s="70">
        <v>2021</v>
      </c>
      <c r="N178" s="70">
        <v>0</v>
      </c>
      <c r="O178" s="70">
        <v>21.22</v>
      </c>
      <c r="P178" s="70">
        <v>0</v>
      </c>
    </row>
    <row r="179" spans="1:16" ht="11.25" hidden="1" customHeight="1" x14ac:dyDescent="0.25">
      <c r="A179" s="70">
        <v>178</v>
      </c>
      <c r="B179" s="70" t="s">
        <v>488</v>
      </c>
      <c r="C179" s="70" t="s">
        <v>589</v>
      </c>
      <c r="D179" s="70" t="s">
        <v>73</v>
      </c>
      <c r="E179" s="70" t="s">
        <v>25</v>
      </c>
      <c r="F179" s="70" t="s">
        <v>25</v>
      </c>
      <c r="G179" s="70" t="s">
        <v>25</v>
      </c>
      <c r="H179" s="70" t="s">
        <v>25</v>
      </c>
      <c r="I179" s="70" t="s">
        <v>37</v>
      </c>
      <c r="J179" s="70" t="s">
        <v>601</v>
      </c>
      <c r="K179" s="70" t="s">
        <v>600</v>
      </c>
      <c r="L179" s="70" t="s">
        <v>74</v>
      </c>
      <c r="M179" s="70">
        <v>2021</v>
      </c>
      <c r="N179" s="70">
        <v>0</v>
      </c>
      <c r="O179" s="70">
        <v>451.4</v>
      </c>
      <c r="P179" s="70"/>
    </row>
    <row r="180" spans="1:16" ht="11.25" hidden="1" customHeight="1" x14ac:dyDescent="0.25">
      <c r="A180" s="70">
        <v>179</v>
      </c>
      <c r="B180" s="70" t="s">
        <v>460</v>
      </c>
      <c r="C180" s="70" t="s">
        <v>589</v>
      </c>
      <c r="D180" s="70" t="s">
        <v>1165</v>
      </c>
      <c r="E180" s="70" t="s">
        <v>25</v>
      </c>
      <c r="F180" s="70" t="s">
        <v>25</v>
      </c>
      <c r="G180" s="70" t="s">
        <v>25</v>
      </c>
      <c r="H180" s="70" t="s">
        <v>1224</v>
      </c>
      <c r="I180" s="70" t="s">
        <v>38</v>
      </c>
      <c r="J180" s="70" t="s">
        <v>599</v>
      </c>
      <c r="K180" s="70" t="s">
        <v>600</v>
      </c>
      <c r="L180" s="70" t="s">
        <v>79</v>
      </c>
      <c r="M180" s="70">
        <v>2021</v>
      </c>
      <c r="N180" s="70">
        <v>0</v>
      </c>
      <c r="O180" s="70">
        <v>11.83</v>
      </c>
      <c r="P180" s="70">
        <v>0</v>
      </c>
    </row>
    <row r="181" spans="1:16" ht="11.25" hidden="1" customHeight="1" x14ac:dyDescent="0.25">
      <c r="A181" s="70">
        <v>180</v>
      </c>
      <c r="B181" s="70" t="s">
        <v>488</v>
      </c>
      <c r="C181" s="70" t="s">
        <v>589</v>
      </c>
      <c r="D181" s="70" t="s">
        <v>73</v>
      </c>
      <c r="E181" s="70" t="s">
        <v>25</v>
      </c>
      <c r="F181" s="70" t="s">
        <v>25</v>
      </c>
      <c r="G181" s="70" t="s">
        <v>25</v>
      </c>
      <c r="H181" s="70" t="s">
        <v>25</v>
      </c>
      <c r="I181" s="70" t="s">
        <v>38</v>
      </c>
      <c r="J181" s="70" t="s">
        <v>601</v>
      </c>
      <c r="K181" s="70" t="s">
        <v>600</v>
      </c>
      <c r="L181" s="70" t="s">
        <v>74</v>
      </c>
      <c r="M181" s="70">
        <v>2021</v>
      </c>
      <c r="N181" s="70">
        <v>0</v>
      </c>
      <c r="O181" s="70">
        <v>272.48</v>
      </c>
      <c r="P181" s="70"/>
    </row>
    <row r="182" spans="1:16" ht="11.25" hidden="1" customHeight="1" x14ac:dyDescent="0.25">
      <c r="A182" s="70">
        <v>181</v>
      </c>
      <c r="B182" s="70" t="s">
        <v>460</v>
      </c>
      <c r="C182" s="70" t="s">
        <v>589</v>
      </c>
      <c r="D182" s="70" t="s">
        <v>1165</v>
      </c>
      <c r="E182" s="70" t="s">
        <v>25</v>
      </c>
      <c r="F182" s="70" t="s">
        <v>25</v>
      </c>
      <c r="G182" s="70" t="s">
        <v>25</v>
      </c>
      <c r="H182" s="70" t="s">
        <v>1224</v>
      </c>
      <c r="I182" s="70" t="s">
        <v>25</v>
      </c>
      <c r="J182" s="70" t="s">
        <v>601</v>
      </c>
      <c r="K182" s="70" t="s">
        <v>600</v>
      </c>
      <c r="L182" s="70" t="s">
        <v>74</v>
      </c>
      <c r="M182" s="70">
        <v>2021</v>
      </c>
      <c r="N182" s="70">
        <v>0</v>
      </c>
      <c r="O182" s="70">
        <v>14.37</v>
      </c>
      <c r="P182" s="70">
        <v>0</v>
      </c>
    </row>
    <row r="183" spans="1:16" ht="11.25" hidden="1" customHeight="1" x14ac:dyDescent="0.25">
      <c r="A183" s="70">
        <v>182</v>
      </c>
      <c r="B183" s="70" t="s">
        <v>488</v>
      </c>
      <c r="C183" s="70" t="s">
        <v>589</v>
      </c>
      <c r="D183" s="70" t="s">
        <v>1221</v>
      </c>
      <c r="E183" s="70" t="s">
        <v>25</v>
      </c>
      <c r="F183" s="70" t="s">
        <v>25</v>
      </c>
      <c r="G183" s="70" t="s">
        <v>1222</v>
      </c>
      <c r="H183" s="70" t="s">
        <v>25</v>
      </c>
      <c r="I183" s="70" t="s">
        <v>25</v>
      </c>
      <c r="J183" s="70" t="s">
        <v>601</v>
      </c>
      <c r="K183" s="70" t="s">
        <v>600</v>
      </c>
      <c r="L183" s="70" t="s">
        <v>74</v>
      </c>
      <c r="M183" s="70">
        <v>2021</v>
      </c>
      <c r="N183" s="70">
        <v>0</v>
      </c>
      <c r="O183" s="70">
        <v>313.3</v>
      </c>
      <c r="P183" s="70"/>
    </row>
    <row r="184" spans="1:16" ht="11.25" hidden="1" customHeight="1" x14ac:dyDescent="0.25">
      <c r="A184" s="70">
        <v>183</v>
      </c>
      <c r="B184" s="70" t="s">
        <v>460</v>
      </c>
      <c r="C184" s="70" t="s">
        <v>589</v>
      </c>
      <c r="D184" s="70" t="s">
        <v>83</v>
      </c>
      <c r="E184" s="70" t="s">
        <v>25</v>
      </c>
      <c r="F184" s="70" t="s">
        <v>25</v>
      </c>
      <c r="G184" s="70" t="s">
        <v>25</v>
      </c>
      <c r="H184" s="70" t="s">
        <v>25</v>
      </c>
      <c r="I184" s="70" t="s">
        <v>25</v>
      </c>
      <c r="J184" s="70" t="s">
        <v>599</v>
      </c>
      <c r="K184" s="70" t="s">
        <v>600</v>
      </c>
      <c r="L184" s="70" t="s">
        <v>79</v>
      </c>
      <c r="M184" s="70">
        <v>2021</v>
      </c>
      <c r="N184" s="70">
        <v>0</v>
      </c>
      <c r="O184" s="70">
        <v>3.09</v>
      </c>
      <c r="P184" s="70">
        <v>0</v>
      </c>
    </row>
    <row r="185" spans="1:16" ht="11.25" hidden="1" customHeight="1" x14ac:dyDescent="0.25">
      <c r="A185" s="70">
        <v>184</v>
      </c>
      <c r="B185" s="70" t="s">
        <v>488</v>
      </c>
      <c r="C185" s="70" t="s">
        <v>589</v>
      </c>
      <c r="D185" s="70" t="s">
        <v>77</v>
      </c>
      <c r="E185" s="70" t="s">
        <v>25</v>
      </c>
      <c r="F185" s="70" t="s">
        <v>25</v>
      </c>
      <c r="G185" s="70" t="s">
        <v>25</v>
      </c>
      <c r="H185" s="70" t="s">
        <v>25</v>
      </c>
      <c r="I185" s="70" t="s">
        <v>25</v>
      </c>
      <c r="J185" s="70" t="s">
        <v>601</v>
      </c>
      <c r="K185" s="70" t="s">
        <v>600</v>
      </c>
      <c r="L185" s="70" t="s">
        <v>74</v>
      </c>
      <c r="M185" s="70">
        <v>2021</v>
      </c>
      <c r="N185" s="70">
        <v>0</v>
      </c>
      <c r="O185" s="70">
        <v>287.39</v>
      </c>
      <c r="P185" s="70"/>
    </row>
    <row r="186" spans="1:16" ht="11.25" hidden="1" customHeight="1" x14ac:dyDescent="0.25">
      <c r="A186" s="70">
        <v>185</v>
      </c>
      <c r="B186" s="70" t="s">
        <v>488</v>
      </c>
      <c r="C186" s="70" t="s">
        <v>589</v>
      </c>
      <c r="D186" s="70" t="s">
        <v>1223</v>
      </c>
      <c r="E186" s="70" t="s">
        <v>25</v>
      </c>
      <c r="F186" s="70" t="s">
        <v>25</v>
      </c>
      <c r="G186" s="70" t="s">
        <v>1222</v>
      </c>
      <c r="H186" s="70" t="s">
        <v>25</v>
      </c>
      <c r="I186" s="70" t="s">
        <v>25</v>
      </c>
      <c r="J186" s="70" t="s">
        <v>601</v>
      </c>
      <c r="K186" s="70" t="s">
        <v>600</v>
      </c>
      <c r="L186" s="70" t="s">
        <v>74</v>
      </c>
      <c r="M186" s="70">
        <v>2021</v>
      </c>
      <c r="N186" s="70">
        <v>0</v>
      </c>
      <c r="O186" s="70">
        <v>313.3</v>
      </c>
      <c r="P186" s="70"/>
    </row>
    <row r="187" spans="1:16" ht="11.25" hidden="1" customHeight="1" x14ac:dyDescent="0.25">
      <c r="A187" s="70">
        <v>186</v>
      </c>
      <c r="B187" s="70" t="s">
        <v>460</v>
      </c>
      <c r="C187" s="70" t="s">
        <v>589</v>
      </c>
      <c r="D187" s="70" t="s">
        <v>39</v>
      </c>
      <c r="E187" s="70" t="s">
        <v>25</v>
      </c>
      <c r="F187" s="70" t="s">
        <v>25</v>
      </c>
      <c r="G187" s="70" t="s">
        <v>25</v>
      </c>
      <c r="H187" s="70" t="s">
        <v>25</v>
      </c>
      <c r="I187" s="70" t="s">
        <v>25</v>
      </c>
      <c r="J187" s="70" t="s">
        <v>599</v>
      </c>
      <c r="K187" s="70" t="s">
        <v>600</v>
      </c>
      <c r="L187" s="70" t="s">
        <v>79</v>
      </c>
      <c r="M187" s="70">
        <v>2021</v>
      </c>
      <c r="N187" s="70">
        <v>0</v>
      </c>
      <c r="O187" s="70">
        <v>13.29</v>
      </c>
      <c r="P187" s="70">
        <v>0</v>
      </c>
    </row>
    <row r="188" spans="1:16" ht="11.25" hidden="1" customHeight="1" x14ac:dyDescent="0.25">
      <c r="A188" s="70">
        <v>187</v>
      </c>
      <c r="B188" s="70" t="s">
        <v>460</v>
      </c>
      <c r="C188" s="70" t="s">
        <v>589</v>
      </c>
      <c r="D188" s="70" t="s">
        <v>39</v>
      </c>
      <c r="E188" s="70" t="s">
        <v>25</v>
      </c>
      <c r="F188" s="70" t="s">
        <v>25</v>
      </c>
      <c r="G188" s="70" t="s">
        <v>25</v>
      </c>
      <c r="H188" s="70" t="s">
        <v>25</v>
      </c>
      <c r="I188" s="70" t="s">
        <v>37</v>
      </c>
      <c r="J188" s="70" t="s">
        <v>601</v>
      </c>
      <c r="K188" s="70" t="s">
        <v>600</v>
      </c>
      <c r="L188" s="70" t="s">
        <v>74</v>
      </c>
      <c r="M188" s="70">
        <v>2021</v>
      </c>
      <c r="N188" s="70">
        <v>0</v>
      </c>
      <c r="O188" s="70">
        <v>772.33</v>
      </c>
      <c r="P188" s="70">
        <v>55.994547287744503</v>
      </c>
    </row>
    <row r="189" spans="1:16" ht="11.25" hidden="1" customHeight="1" x14ac:dyDescent="0.25">
      <c r="A189" s="70">
        <v>188</v>
      </c>
      <c r="B189" s="70" t="s">
        <v>488</v>
      </c>
      <c r="C189" s="70" t="s">
        <v>589</v>
      </c>
      <c r="D189" s="70" t="s">
        <v>1221</v>
      </c>
      <c r="E189" s="70" t="s">
        <v>25</v>
      </c>
      <c r="F189" s="70" t="s">
        <v>25</v>
      </c>
      <c r="G189" s="70" t="s">
        <v>25</v>
      </c>
      <c r="H189" s="70" t="s">
        <v>25</v>
      </c>
      <c r="I189" s="70" t="s">
        <v>25</v>
      </c>
      <c r="J189" s="70" t="s">
        <v>601</v>
      </c>
      <c r="K189" s="70" t="s">
        <v>600</v>
      </c>
      <c r="L189" s="70" t="s">
        <v>74</v>
      </c>
      <c r="M189" s="70">
        <v>2021</v>
      </c>
      <c r="N189" s="70">
        <v>0</v>
      </c>
      <c r="O189" s="70">
        <v>307.52999999999997</v>
      </c>
      <c r="P189" s="70"/>
    </row>
    <row r="190" spans="1:16" ht="11.25" hidden="1" customHeight="1" x14ac:dyDescent="0.25">
      <c r="A190" s="70">
        <v>189</v>
      </c>
      <c r="B190" s="70" t="s">
        <v>488</v>
      </c>
      <c r="C190" s="70" t="s">
        <v>35</v>
      </c>
      <c r="D190" s="70" t="s">
        <v>73</v>
      </c>
      <c r="E190" s="70" t="s">
        <v>25</v>
      </c>
      <c r="F190" s="70" t="s">
        <v>25</v>
      </c>
      <c r="G190" s="70" t="s">
        <v>25</v>
      </c>
      <c r="H190" s="70" t="s">
        <v>25</v>
      </c>
      <c r="I190" s="70" t="s">
        <v>37</v>
      </c>
      <c r="J190" s="70" t="s">
        <v>601</v>
      </c>
      <c r="K190" s="70" t="s">
        <v>600</v>
      </c>
      <c r="L190" s="70" t="s">
        <v>74</v>
      </c>
      <c r="M190" s="70">
        <v>2021</v>
      </c>
      <c r="N190" s="70">
        <v>0</v>
      </c>
      <c r="O190" s="70">
        <v>451.4</v>
      </c>
      <c r="P190" s="70"/>
    </row>
    <row r="191" spans="1:16" ht="11.25" hidden="1" customHeight="1" x14ac:dyDescent="0.25">
      <c r="A191" s="70">
        <v>190</v>
      </c>
      <c r="B191" s="70" t="s">
        <v>460</v>
      </c>
      <c r="C191" s="70" t="s">
        <v>589</v>
      </c>
      <c r="D191" s="70" t="s">
        <v>39</v>
      </c>
      <c r="E191" s="70" t="s">
        <v>25</v>
      </c>
      <c r="F191" s="70" t="s">
        <v>25</v>
      </c>
      <c r="G191" s="70" t="s">
        <v>25</v>
      </c>
      <c r="H191" s="70" t="s">
        <v>25</v>
      </c>
      <c r="I191" s="70" t="s">
        <v>38</v>
      </c>
      <c r="J191" s="70" t="s">
        <v>601</v>
      </c>
      <c r="K191" s="70" t="s">
        <v>600</v>
      </c>
      <c r="L191" s="70" t="s">
        <v>74</v>
      </c>
      <c r="M191" s="70">
        <v>2021</v>
      </c>
      <c r="N191" s="70">
        <v>0</v>
      </c>
      <c r="O191" s="70">
        <v>85.99</v>
      </c>
      <c r="P191" s="70">
        <v>55.994547287744503</v>
      </c>
    </row>
    <row r="192" spans="1:16" ht="11.25" hidden="1" customHeight="1" x14ac:dyDescent="0.25">
      <c r="A192" s="70">
        <v>191</v>
      </c>
      <c r="B192" s="70" t="s">
        <v>460</v>
      </c>
      <c r="C192" s="70" t="s">
        <v>589</v>
      </c>
      <c r="D192" s="70" t="s">
        <v>39</v>
      </c>
      <c r="E192" s="70" t="s">
        <v>25</v>
      </c>
      <c r="F192" s="70" t="s">
        <v>25</v>
      </c>
      <c r="G192" s="70" t="s">
        <v>82</v>
      </c>
      <c r="H192" s="70" t="s">
        <v>25</v>
      </c>
      <c r="I192" s="70" t="s">
        <v>37</v>
      </c>
      <c r="J192" s="70" t="s">
        <v>601</v>
      </c>
      <c r="K192" s="70" t="s">
        <v>600</v>
      </c>
      <c r="L192" s="70" t="s">
        <v>74</v>
      </c>
      <c r="M192" s="70">
        <v>2021</v>
      </c>
      <c r="N192" s="70">
        <v>0</v>
      </c>
      <c r="O192" s="70">
        <v>708.97</v>
      </c>
      <c r="P192" s="70">
        <v>0</v>
      </c>
    </row>
    <row r="193" spans="1:16" ht="11.25" hidden="1" customHeight="1" x14ac:dyDescent="0.25">
      <c r="A193" s="70">
        <v>192</v>
      </c>
      <c r="B193" s="70" t="s">
        <v>488</v>
      </c>
      <c r="C193" s="70" t="s">
        <v>35</v>
      </c>
      <c r="D193" s="70" t="s">
        <v>73</v>
      </c>
      <c r="E193" s="70" t="s">
        <v>25</v>
      </c>
      <c r="F193" s="70" t="s">
        <v>25</v>
      </c>
      <c r="G193" s="70" t="s">
        <v>25</v>
      </c>
      <c r="H193" s="70" t="s">
        <v>25</v>
      </c>
      <c r="I193" s="70" t="s">
        <v>38</v>
      </c>
      <c r="J193" s="70" t="s">
        <v>601</v>
      </c>
      <c r="K193" s="70" t="s">
        <v>600</v>
      </c>
      <c r="L193" s="70" t="s">
        <v>74</v>
      </c>
      <c r="M193" s="70">
        <v>2021</v>
      </c>
      <c r="N193" s="70">
        <v>0</v>
      </c>
      <c r="O193" s="70">
        <v>272.48</v>
      </c>
      <c r="P193" s="70"/>
    </row>
    <row r="194" spans="1:16" ht="11.25" hidden="1" customHeight="1" x14ac:dyDescent="0.25">
      <c r="A194" s="70">
        <v>193</v>
      </c>
      <c r="B194" s="70" t="s">
        <v>488</v>
      </c>
      <c r="C194" s="70" t="s">
        <v>35</v>
      </c>
      <c r="D194" s="70" t="s">
        <v>1221</v>
      </c>
      <c r="E194" s="70" t="s">
        <v>25</v>
      </c>
      <c r="F194" s="70" t="s">
        <v>25</v>
      </c>
      <c r="G194" s="70" t="s">
        <v>1222</v>
      </c>
      <c r="H194" s="70" t="s">
        <v>25</v>
      </c>
      <c r="I194" s="70" t="s">
        <v>25</v>
      </c>
      <c r="J194" s="70" t="s">
        <v>601</v>
      </c>
      <c r="K194" s="70" t="s">
        <v>600</v>
      </c>
      <c r="L194" s="70" t="s">
        <v>74</v>
      </c>
      <c r="M194" s="70">
        <v>2021</v>
      </c>
      <c r="N194" s="70">
        <v>0</v>
      </c>
      <c r="O194" s="70">
        <v>313.3</v>
      </c>
      <c r="P194" s="70"/>
    </row>
    <row r="195" spans="1:16" ht="11.25" hidden="1" customHeight="1" x14ac:dyDescent="0.25">
      <c r="A195" s="70">
        <v>194</v>
      </c>
      <c r="B195" s="70" t="s">
        <v>460</v>
      </c>
      <c r="C195" s="70" t="s">
        <v>589</v>
      </c>
      <c r="D195" s="70" t="s">
        <v>39</v>
      </c>
      <c r="E195" s="70" t="s">
        <v>25</v>
      </c>
      <c r="F195" s="70" t="s">
        <v>25</v>
      </c>
      <c r="G195" s="70" t="s">
        <v>82</v>
      </c>
      <c r="H195" s="70" t="s">
        <v>25</v>
      </c>
      <c r="I195" s="70" t="s">
        <v>38</v>
      </c>
      <c r="J195" s="70" t="s">
        <v>601</v>
      </c>
      <c r="K195" s="70" t="s">
        <v>600</v>
      </c>
      <c r="L195" s="70" t="s">
        <v>74</v>
      </c>
      <c r="M195" s="70">
        <v>2021</v>
      </c>
      <c r="N195" s="70">
        <v>0</v>
      </c>
      <c r="O195" s="70">
        <v>22.63</v>
      </c>
      <c r="P195" s="70">
        <v>0</v>
      </c>
    </row>
    <row r="196" spans="1:16" ht="11.25" hidden="1" customHeight="1" x14ac:dyDescent="0.25">
      <c r="A196" s="70">
        <v>195</v>
      </c>
      <c r="B196" s="70" t="s">
        <v>460</v>
      </c>
      <c r="C196" s="70" t="s">
        <v>589</v>
      </c>
      <c r="D196" s="70" t="s">
        <v>23</v>
      </c>
      <c r="E196" s="70" t="s">
        <v>25</v>
      </c>
      <c r="F196" s="70" t="s">
        <v>25</v>
      </c>
      <c r="G196" s="70" t="s">
        <v>25</v>
      </c>
      <c r="H196" s="70" t="s">
        <v>25</v>
      </c>
      <c r="I196" s="70" t="s">
        <v>25</v>
      </c>
      <c r="J196" s="70" t="s">
        <v>599</v>
      </c>
      <c r="K196" s="70" t="s">
        <v>600</v>
      </c>
      <c r="L196" s="70" t="s">
        <v>79</v>
      </c>
      <c r="M196" s="70">
        <v>2021</v>
      </c>
      <c r="N196" s="70">
        <v>0</v>
      </c>
      <c r="O196" s="70">
        <v>33.64</v>
      </c>
      <c r="P196" s="70">
        <v>0</v>
      </c>
    </row>
    <row r="197" spans="1:16" ht="11.25" hidden="1" customHeight="1" x14ac:dyDescent="0.25">
      <c r="A197" s="70">
        <v>196</v>
      </c>
      <c r="B197" s="70" t="s">
        <v>488</v>
      </c>
      <c r="C197" s="70" t="s">
        <v>35</v>
      </c>
      <c r="D197" s="70" t="s">
        <v>77</v>
      </c>
      <c r="E197" s="70" t="s">
        <v>25</v>
      </c>
      <c r="F197" s="70" t="s">
        <v>25</v>
      </c>
      <c r="G197" s="70" t="s">
        <v>25</v>
      </c>
      <c r="H197" s="70" t="s">
        <v>25</v>
      </c>
      <c r="I197" s="70" t="s">
        <v>25</v>
      </c>
      <c r="J197" s="70" t="s">
        <v>601</v>
      </c>
      <c r="K197" s="70" t="s">
        <v>600</v>
      </c>
      <c r="L197" s="70" t="s">
        <v>74</v>
      </c>
      <c r="M197" s="70">
        <v>2021</v>
      </c>
      <c r="N197" s="70">
        <v>0</v>
      </c>
      <c r="O197" s="70">
        <v>287.39</v>
      </c>
      <c r="P197" s="70"/>
    </row>
    <row r="198" spans="1:16" ht="11.25" hidden="1" customHeight="1" x14ac:dyDescent="0.25">
      <c r="A198" s="70">
        <v>197</v>
      </c>
      <c r="B198" s="70" t="s">
        <v>488</v>
      </c>
      <c r="C198" s="70" t="s">
        <v>35</v>
      </c>
      <c r="D198" s="70" t="s">
        <v>1223</v>
      </c>
      <c r="E198" s="70" t="s">
        <v>25</v>
      </c>
      <c r="F198" s="70" t="s">
        <v>25</v>
      </c>
      <c r="G198" s="70" t="s">
        <v>1222</v>
      </c>
      <c r="H198" s="70" t="s">
        <v>25</v>
      </c>
      <c r="I198" s="70" t="s">
        <v>25</v>
      </c>
      <c r="J198" s="70" t="s">
        <v>601</v>
      </c>
      <c r="K198" s="70" t="s">
        <v>600</v>
      </c>
      <c r="L198" s="70" t="s">
        <v>74</v>
      </c>
      <c r="M198" s="70">
        <v>2021</v>
      </c>
      <c r="N198" s="70">
        <v>0</v>
      </c>
      <c r="O198" s="70">
        <v>313.3</v>
      </c>
      <c r="P198" s="70"/>
    </row>
    <row r="199" spans="1:16" ht="11.25" hidden="1" customHeight="1" x14ac:dyDescent="0.25">
      <c r="A199" s="70">
        <v>198</v>
      </c>
      <c r="B199" s="70" t="s">
        <v>460</v>
      </c>
      <c r="C199" s="70" t="s">
        <v>589</v>
      </c>
      <c r="D199" s="70" t="s">
        <v>23</v>
      </c>
      <c r="E199" s="70" t="s">
        <v>25</v>
      </c>
      <c r="F199" s="70" t="s">
        <v>25</v>
      </c>
      <c r="G199" s="70" t="s">
        <v>25</v>
      </c>
      <c r="H199" s="70" t="s">
        <v>25</v>
      </c>
      <c r="I199" s="70" t="s">
        <v>25</v>
      </c>
      <c r="J199" s="70" t="s">
        <v>601</v>
      </c>
      <c r="K199" s="70" t="s">
        <v>600</v>
      </c>
      <c r="L199" s="70" t="s">
        <v>74</v>
      </c>
      <c r="M199" s="70">
        <v>2021</v>
      </c>
      <c r="N199" s="70">
        <v>0</v>
      </c>
      <c r="O199" s="70">
        <v>85.99</v>
      </c>
      <c r="P199" s="70">
        <v>55.994547287744503</v>
      </c>
    </row>
    <row r="200" spans="1:16" ht="11.25" hidden="1" customHeight="1" x14ac:dyDescent="0.25">
      <c r="A200" s="70">
        <v>199</v>
      </c>
      <c r="B200" s="70" t="s">
        <v>460</v>
      </c>
      <c r="C200" s="70" t="s">
        <v>35</v>
      </c>
      <c r="D200" s="70" t="s">
        <v>36</v>
      </c>
      <c r="E200" s="70" t="s">
        <v>25</v>
      </c>
      <c r="F200" s="70" t="s">
        <v>25</v>
      </c>
      <c r="G200" s="70" t="s">
        <v>25</v>
      </c>
      <c r="H200" s="70" t="s">
        <v>25</v>
      </c>
      <c r="I200" s="70" t="s">
        <v>37</v>
      </c>
      <c r="J200" s="70" t="s">
        <v>599</v>
      </c>
      <c r="K200" s="70" t="s">
        <v>600</v>
      </c>
      <c r="L200" s="70" t="s">
        <v>79</v>
      </c>
      <c r="M200" s="70">
        <v>2021</v>
      </c>
      <c r="N200" s="70">
        <v>0</v>
      </c>
      <c r="O200" s="70">
        <v>28.27</v>
      </c>
      <c r="P200" s="70">
        <v>0</v>
      </c>
    </row>
    <row r="201" spans="1:16" ht="11.25" hidden="1" customHeight="1" x14ac:dyDescent="0.25">
      <c r="A201" s="70">
        <v>200</v>
      </c>
      <c r="B201" s="70" t="s">
        <v>488</v>
      </c>
      <c r="C201" s="70" t="s">
        <v>35</v>
      </c>
      <c r="D201" s="70" t="s">
        <v>1221</v>
      </c>
      <c r="E201" s="70" t="s">
        <v>25</v>
      </c>
      <c r="F201" s="70" t="s">
        <v>25</v>
      </c>
      <c r="G201" s="70" t="s">
        <v>25</v>
      </c>
      <c r="H201" s="70" t="s">
        <v>25</v>
      </c>
      <c r="I201" s="70" t="s">
        <v>25</v>
      </c>
      <c r="J201" s="70" t="s">
        <v>601</v>
      </c>
      <c r="K201" s="70" t="s">
        <v>600</v>
      </c>
      <c r="L201" s="70" t="s">
        <v>74</v>
      </c>
      <c r="M201" s="70">
        <v>2021</v>
      </c>
      <c r="N201" s="70">
        <v>0</v>
      </c>
      <c r="O201" s="70">
        <v>307.52999999999997</v>
      </c>
      <c r="P201" s="70"/>
    </row>
    <row r="202" spans="1:16" ht="11.25" customHeight="1" x14ac:dyDescent="0.25">
      <c r="A202" s="70">
        <v>201</v>
      </c>
      <c r="B202" s="70" t="s">
        <v>488</v>
      </c>
      <c r="C202" s="70" t="s">
        <v>22</v>
      </c>
      <c r="D202" s="70" t="s">
        <v>73</v>
      </c>
      <c r="E202" s="70" t="s">
        <v>24</v>
      </c>
      <c r="F202" s="70" t="s">
        <v>24</v>
      </c>
      <c r="G202" s="70" t="s">
        <v>25</v>
      </c>
      <c r="H202" s="70" t="s">
        <v>25</v>
      </c>
      <c r="I202" s="70" t="s">
        <v>37</v>
      </c>
      <c r="J202" s="70" t="s">
        <v>601</v>
      </c>
      <c r="K202" s="70" t="s">
        <v>600</v>
      </c>
      <c r="L202" s="70" t="s">
        <v>74</v>
      </c>
      <c r="M202" s="70">
        <v>2021</v>
      </c>
      <c r="N202" s="70">
        <v>0</v>
      </c>
      <c r="O202" s="70">
        <v>451.4</v>
      </c>
      <c r="P202" s="70"/>
    </row>
    <row r="203" spans="1:16" ht="11.25" hidden="1" customHeight="1" x14ac:dyDescent="0.25">
      <c r="A203" s="70">
        <v>202</v>
      </c>
      <c r="B203" s="70" t="s">
        <v>460</v>
      </c>
      <c r="C203" s="70" t="s">
        <v>35</v>
      </c>
      <c r="D203" s="70" t="s">
        <v>36</v>
      </c>
      <c r="E203" s="70" t="s">
        <v>25</v>
      </c>
      <c r="F203" s="70" t="s">
        <v>25</v>
      </c>
      <c r="G203" s="70" t="s">
        <v>25</v>
      </c>
      <c r="H203" s="70" t="s">
        <v>25</v>
      </c>
      <c r="I203" s="70" t="s">
        <v>38</v>
      </c>
      <c r="J203" s="70" t="s">
        <v>599</v>
      </c>
      <c r="K203" s="70" t="s">
        <v>600</v>
      </c>
      <c r="L203" s="70" t="s">
        <v>79</v>
      </c>
      <c r="M203" s="70">
        <v>2021</v>
      </c>
      <c r="N203" s="70">
        <v>0</v>
      </c>
      <c r="O203" s="70">
        <v>13.29</v>
      </c>
      <c r="P203" s="70">
        <v>0</v>
      </c>
    </row>
    <row r="204" spans="1:16" ht="11.25" customHeight="1" x14ac:dyDescent="0.25">
      <c r="A204" s="70">
        <v>203</v>
      </c>
      <c r="B204" s="70" t="s">
        <v>488</v>
      </c>
      <c r="C204" s="70" t="s">
        <v>22</v>
      </c>
      <c r="D204" s="70" t="s">
        <v>73</v>
      </c>
      <c r="E204" s="70" t="s">
        <v>24</v>
      </c>
      <c r="F204" s="70" t="s">
        <v>24</v>
      </c>
      <c r="G204" s="70" t="s">
        <v>25</v>
      </c>
      <c r="H204" s="70" t="s">
        <v>25</v>
      </c>
      <c r="I204" s="70" t="s">
        <v>51</v>
      </c>
      <c r="J204" s="70" t="s">
        <v>601</v>
      </c>
      <c r="K204" s="70" t="s">
        <v>600</v>
      </c>
      <c r="L204" s="70" t="s">
        <v>74</v>
      </c>
      <c r="M204" s="70">
        <v>2021</v>
      </c>
      <c r="N204" s="70">
        <v>0</v>
      </c>
      <c r="O204" s="70">
        <v>272.48</v>
      </c>
      <c r="P204" s="70"/>
    </row>
    <row r="205" spans="1:16" ht="11.25" hidden="1" customHeight="1" x14ac:dyDescent="0.25">
      <c r="A205" s="70">
        <v>204</v>
      </c>
      <c r="B205" s="70" t="s">
        <v>460</v>
      </c>
      <c r="C205" s="70" t="s">
        <v>35</v>
      </c>
      <c r="D205" s="70" t="s">
        <v>36</v>
      </c>
      <c r="E205" s="70" t="s">
        <v>25</v>
      </c>
      <c r="F205" s="70" t="s">
        <v>25</v>
      </c>
      <c r="G205" s="70" t="s">
        <v>25</v>
      </c>
      <c r="H205" s="70" t="s">
        <v>25</v>
      </c>
      <c r="I205" s="70" t="s">
        <v>25</v>
      </c>
      <c r="J205" s="70" t="s">
        <v>601</v>
      </c>
      <c r="K205" s="70" t="s">
        <v>600</v>
      </c>
      <c r="L205" s="70" t="s">
        <v>74</v>
      </c>
      <c r="M205" s="70">
        <v>2021</v>
      </c>
      <c r="N205" s="70">
        <v>0</v>
      </c>
      <c r="O205" s="70">
        <v>85.99</v>
      </c>
      <c r="P205" s="70">
        <v>55.994547287744503</v>
      </c>
    </row>
    <row r="206" spans="1:16" ht="11.25" customHeight="1" x14ac:dyDescent="0.25">
      <c r="A206" s="70">
        <v>205</v>
      </c>
      <c r="B206" s="70" t="s">
        <v>488</v>
      </c>
      <c r="C206" s="70" t="s">
        <v>22</v>
      </c>
      <c r="D206" s="70" t="s">
        <v>73</v>
      </c>
      <c r="E206" s="70" t="s">
        <v>24</v>
      </c>
      <c r="F206" s="70" t="s">
        <v>24</v>
      </c>
      <c r="G206" s="70" t="s">
        <v>25</v>
      </c>
      <c r="H206" s="70" t="s">
        <v>25</v>
      </c>
      <c r="I206" s="70" t="s">
        <v>38</v>
      </c>
      <c r="J206" s="70" t="s">
        <v>601</v>
      </c>
      <c r="K206" s="70" t="s">
        <v>600</v>
      </c>
      <c r="L206" s="70" t="s">
        <v>74</v>
      </c>
      <c r="M206" s="70">
        <v>2021</v>
      </c>
      <c r="N206" s="70">
        <v>0</v>
      </c>
      <c r="O206" s="70">
        <v>272.48</v>
      </c>
      <c r="P206" s="70"/>
    </row>
    <row r="207" spans="1:16" ht="11.25" hidden="1" customHeight="1" x14ac:dyDescent="0.25">
      <c r="A207" s="70">
        <v>206</v>
      </c>
      <c r="B207" s="70" t="s">
        <v>460</v>
      </c>
      <c r="C207" s="70" t="s">
        <v>35</v>
      </c>
      <c r="D207" s="70" t="s">
        <v>36</v>
      </c>
      <c r="E207" s="70" t="s">
        <v>25</v>
      </c>
      <c r="F207" s="70" t="s">
        <v>25</v>
      </c>
      <c r="G207" s="70" t="s">
        <v>82</v>
      </c>
      <c r="H207" s="70" t="s">
        <v>25</v>
      </c>
      <c r="I207" s="70" t="s">
        <v>25</v>
      </c>
      <c r="J207" s="70" t="s">
        <v>601</v>
      </c>
      <c r="K207" s="70" t="s">
        <v>600</v>
      </c>
      <c r="L207" s="70" t="s">
        <v>74</v>
      </c>
      <c r="M207" s="70">
        <v>2021</v>
      </c>
      <c r="N207" s="70">
        <v>0</v>
      </c>
      <c r="O207" s="70">
        <v>22.63</v>
      </c>
      <c r="P207" s="70">
        <v>0</v>
      </c>
    </row>
    <row r="208" spans="1:16" ht="11.25" customHeight="1" x14ac:dyDescent="0.25">
      <c r="A208" s="70">
        <v>207</v>
      </c>
      <c r="B208" s="70" t="s">
        <v>488</v>
      </c>
      <c r="C208" s="70" t="s">
        <v>22</v>
      </c>
      <c r="D208" s="70" t="s">
        <v>77</v>
      </c>
      <c r="E208" s="70" t="s">
        <v>24</v>
      </c>
      <c r="F208" s="70" t="s">
        <v>24</v>
      </c>
      <c r="G208" s="70" t="s">
        <v>25</v>
      </c>
      <c r="H208" s="70" t="s">
        <v>25</v>
      </c>
      <c r="I208" s="70" t="s">
        <v>25</v>
      </c>
      <c r="J208" s="70" t="s">
        <v>601</v>
      </c>
      <c r="K208" s="70" t="s">
        <v>600</v>
      </c>
      <c r="L208" s="70" t="s">
        <v>74</v>
      </c>
      <c r="M208" s="70">
        <v>2021</v>
      </c>
      <c r="N208" s="70">
        <v>0</v>
      </c>
      <c r="O208" s="70">
        <v>287.39</v>
      </c>
      <c r="P208" s="70"/>
    </row>
    <row r="209" spans="1:16" ht="11.25" hidden="1" customHeight="1" x14ac:dyDescent="0.25">
      <c r="A209" s="70">
        <v>208</v>
      </c>
      <c r="B209" s="70" t="s">
        <v>460</v>
      </c>
      <c r="C209" s="70" t="s">
        <v>35</v>
      </c>
      <c r="D209" s="70" t="s">
        <v>1165</v>
      </c>
      <c r="E209" s="70" t="s">
        <v>25</v>
      </c>
      <c r="F209" s="70" t="s">
        <v>25</v>
      </c>
      <c r="G209" s="70" t="s">
        <v>25</v>
      </c>
      <c r="H209" s="70" t="s">
        <v>1167</v>
      </c>
      <c r="I209" s="70" t="s">
        <v>37</v>
      </c>
      <c r="J209" s="70" t="s">
        <v>599</v>
      </c>
      <c r="K209" s="70" t="s">
        <v>600</v>
      </c>
      <c r="L209" s="70" t="s">
        <v>79</v>
      </c>
      <c r="M209" s="70">
        <v>2021</v>
      </c>
      <c r="N209" s="70">
        <v>0</v>
      </c>
      <c r="O209" s="70">
        <v>21.22</v>
      </c>
      <c r="P209" s="70">
        <v>0</v>
      </c>
    </row>
    <row r="210" spans="1:16" ht="11.25" customHeight="1" x14ac:dyDescent="0.25">
      <c r="A210" s="70">
        <v>209</v>
      </c>
      <c r="B210" s="70" t="s">
        <v>488</v>
      </c>
      <c r="C210" s="70" t="s">
        <v>22</v>
      </c>
      <c r="D210" s="70" t="s">
        <v>77</v>
      </c>
      <c r="E210" s="70" t="s">
        <v>24</v>
      </c>
      <c r="F210" s="70" t="s">
        <v>29</v>
      </c>
      <c r="G210" s="70" t="s">
        <v>25</v>
      </c>
      <c r="H210" s="70" t="s">
        <v>25</v>
      </c>
      <c r="I210" s="70" t="s">
        <v>25</v>
      </c>
      <c r="J210" s="70" t="s">
        <v>601</v>
      </c>
      <c r="K210" s="70" t="s">
        <v>600</v>
      </c>
      <c r="L210" s="70" t="s">
        <v>74</v>
      </c>
      <c r="M210" s="70">
        <v>2021</v>
      </c>
      <c r="N210" s="70">
        <v>0</v>
      </c>
      <c r="O210" s="70">
        <v>100.59</v>
      </c>
      <c r="P210" s="70"/>
    </row>
    <row r="211" spans="1:16" ht="11.25" hidden="1" customHeight="1" x14ac:dyDescent="0.25">
      <c r="A211" s="70">
        <v>210</v>
      </c>
      <c r="B211" s="70" t="s">
        <v>460</v>
      </c>
      <c r="C211" s="70" t="s">
        <v>35</v>
      </c>
      <c r="D211" s="70" t="s">
        <v>1165</v>
      </c>
      <c r="E211" s="70" t="s">
        <v>25</v>
      </c>
      <c r="F211" s="70" t="s">
        <v>25</v>
      </c>
      <c r="G211" s="70" t="s">
        <v>25</v>
      </c>
      <c r="H211" s="70" t="s">
        <v>1167</v>
      </c>
      <c r="I211" s="70" t="s">
        <v>38</v>
      </c>
      <c r="J211" s="70" t="s">
        <v>599</v>
      </c>
      <c r="K211" s="70" t="s">
        <v>600</v>
      </c>
      <c r="L211" s="70" t="s">
        <v>79</v>
      </c>
      <c r="M211" s="70">
        <v>2021</v>
      </c>
      <c r="N211" s="70">
        <v>0</v>
      </c>
      <c r="O211" s="70">
        <v>11.83</v>
      </c>
      <c r="P211" s="70">
        <v>0</v>
      </c>
    </row>
    <row r="212" spans="1:16" ht="11.25" customHeight="1" x14ac:dyDescent="0.25">
      <c r="A212" s="70">
        <v>211</v>
      </c>
      <c r="B212" s="70" t="s">
        <v>488</v>
      </c>
      <c r="C212" s="70" t="s">
        <v>22</v>
      </c>
      <c r="D212" s="70" t="s">
        <v>77</v>
      </c>
      <c r="E212" s="70" t="s">
        <v>24</v>
      </c>
      <c r="F212" s="70" t="s">
        <v>30</v>
      </c>
      <c r="G212" s="70" t="s">
        <v>25</v>
      </c>
      <c r="H212" s="70" t="s">
        <v>25</v>
      </c>
      <c r="I212" s="70" t="s">
        <v>25</v>
      </c>
      <c r="J212" s="70" t="s">
        <v>601</v>
      </c>
      <c r="K212" s="70" t="s">
        <v>600</v>
      </c>
      <c r="L212" s="70" t="s">
        <v>74</v>
      </c>
      <c r="M212" s="70">
        <v>2021</v>
      </c>
      <c r="N212" s="70">
        <v>0</v>
      </c>
      <c r="O212" s="70">
        <v>172.43</v>
      </c>
      <c r="P212" s="70"/>
    </row>
    <row r="213" spans="1:16" ht="11.25" hidden="1" customHeight="1" x14ac:dyDescent="0.25">
      <c r="A213" s="70">
        <v>212</v>
      </c>
      <c r="B213" s="70" t="s">
        <v>460</v>
      </c>
      <c r="C213" s="70" t="s">
        <v>35</v>
      </c>
      <c r="D213" s="70" t="s">
        <v>1165</v>
      </c>
      <c r="E213" s="70" t="s">
        <v>25</v>
      </c>
      <c r="F213" s="70" t="s">
        <v>25</v>
      </c>
      <c r="G213" s="70" t="s">
        <v>25</v>
      </c>
      <c r="H213" s="70" t="s">
        <v>1167</v>
      </c>
      <c r="I213" s="70" t="s">
        <v>25</v>
      </c>
      <c r="J213" s="70" t="s">
        <v>601</v>
      </c>
      <c r="K213" s="70" t="s">
        <v>600</v>
      </c>
      <c r="L213" s="70" t="s">
        <v>74</v>
      </c>
      <c r="M213" s="70">
        <v>2021</v>
      </c>
      <c r="N213" s="70">
        <v>0</v>
      </c>
      <c r="O213" s="70">
        <v>14.37</v>
      </c>
      <c r="P213" s="70">
        <v>0</v>
      </c>
    </row>
    <row r="214" spans="1:16" ht="11.25" customHeight="1" x14ac:dyDescent="0.25">
      <c r="A214" s="70">
        <v>213</v>
      </c>
      <c r="B214" s="70" t="s">
        <v>488</v>
      </c>
      <c r="C214" s="70" t="s">
        <v>22</v>
      </c>
      <c r="D214" s="70" t="s">
        <v>77</v>
      </c>
      <c r="E214" s="70" t="s">
        <v>24</v>
      </c>
      <c r="F214" s="70" t="s">
        <v>31</v>
      </c>
      <c r="G214" s="70" t="s">
        <v>25</v>
      </c>
      <c r="H214" s="70" t="s">
        <v>25</v>
      </c>
      <c r="I214" s="70" t="s">
        <v>25</v>
      </c>
      <c r="J214" s="70" t="s">
        <v>601</v>
      </c>
      <c r="K214" s="70" t="s">
        <v>600</v>
      </c>
      <c r="L214" s="70" t="s">
        <v>74</v>
      </c>
      <c r="M214" s="70">
        <v>2021</v>
      </c>
      <c r="N214" s="70">
        <v>0</v>
      </c>
      <c r="O214" s="70">
        <v>258.64999999999998</v>
      </c>
      <c r="P214" s="70"/>
    </row>
    <row r="215" spans="1:16" ht="11.25" hidden="1" customHeight="1" x14ac:dyDescent="0.25">
      <c r="A215" s="70">
        <v>214</v>
      </c>
      <c r="B215" s="70" t="s">
        <v>460</v>
      </c>
      <c r="C215" s="70" t="s">
        <v>35</v>
      </c>
      <c r="D215" s="70" t="s">
        <v>1165</v>
      </c>
      <c r="E215" s="70" t="s">
        <v>25</v>
      </c>
      <c r="F215" s="70" t="s">
        <v>25</v>
      </c>
      <c r="G215" s="70" t="s">
        <v>25</v>
      </c>
      <c r="H215" s="70" t="s">
        <v>1225</v>
      </c>
      <c r="I215" s="70" t="s">
        <v>37</v>
      </c>
      <c r="J215" s="70" t="s">
        <v>599</v>
      </c>
      <c r="K215" s="70" t="s">
        <v>600</v>
      </c>
      <c r="L215" s="70" t="s">
        <v>79</v>
      </c>
      <c r="M215" s="70">
        <v>2021</v>
      </c>
      <c r="N215" s="70">
        <v>0</v>
      </c>
      <c r="O215" s="70">
        <v>21.22</v>
      </c>
      <c r="P215" s="70">
        <v>0</v>
      </c>
    </row>
    <row r="216" spans="1:16" ht="11.25" customHeight="1" x14ac:dyDescent="0.25">
      <c r="A216" s="70">
        <v>215</v>
      </c>
      <c r="B216" s="70" t="s">
        <v>488</v>
      </c>
      <c r="C216" s="70" t="s">
        <v>22</v>
      </c>
      <c r="D216" s="70" t="s">
        <v>77</v>
      </c>
      <c r="E216" s="70" t="s">
        <v>24</v>
      </c>
      <c r="F216" s="70" t="s">
        <v>32</v>
      </c>
      <c r="G216" s="70" t="s">
        <v>25</v>
      </c>
      <c r="H216" s="70" t="s">
        <v>25</v>
      </c>
      <c r="I216" s="70" t="s">
        <v>25</v>
      </c>
      <c r="J216" s="70" t="s">
        <v>601</v>
      </c>
      <c r="K216" s="70" t="s">
        <v>600</v>
      </c>
      <c r="L216" s="70" t="s">
        <v>74</v>
      </c>
      <c r="M216" s="70">
        <v>2021</v>
      </c>
      <c r="N216" s="70">
        <v>0</v>
      </c>
      <c r="O216" s="70">
        <v>287.39</v>
      </c>
      <c r="P216" s="70"/>
    </row>
    <row r="217" spans="1:16" ht="11.25" hidden="1" customHeight="1" x14ac:dyDescent="0.25">
      <c r="A217" s="70">
        <v>216</v>
      </c>
      <c r="B217" s="70" t="s">
        <v>460</v>
      </c>
      <c r="C217" s="70" t="s">
        <v>35</v>
      </c>
      <c r="D217" s="70" t="s">
        <v>1165</v>
      </c>
      <c r="E217" s="70" t="s">
        <v>25</v>
      </c>
      <c r="F217" s="70" t="s">
        <v>25</v>
      </c>
      <c r="G217" s="70" t="s">
        <v>25</v>
      </c>
      <c r="H217" s="70" t="s">
        <v>1225</v>
      </c>
      <c r="I217" s="70" t="s">
        <v>38</v>
      </c>
      <c r="J217" s="70" t="s">
        <v>599</v>
      </c>
      <c r="K217" s="70" t="s">
        <v>600</v>
      </c>
      <c r="L217" s="70" t="s">
        <v>79</v>
      </c>
      <c r="M217" s="70">
        <v>2021</v>
      </c>
      <c r="N217" s="70">
        <v>0</v>
      </c>
      <c r="O217" s="70">
        <v>11.83</v>
      </c>
      <c r="P217" s="70">
        <v>0</v>
      </c>
    </row>
    <row r="218" spans="1:16" ht="11.25" customHeight="1" x14ac:dyDescent="0.25">
      <c r="A218" s="70">
        <v>217</v>
      </c>
      <c r="B218" s="70" t="s">
        <v>488</v>
      </c>
      <c r="C218" s="70" t="s">
        <v>22</v>
      </c>
      <c r="D218" s="70" t="s">
        <v>88</v>
      </c>
      <c r="E218" s="70" t="s">
        <v>24</v>
      </c>
      <c r="F218" s="70" t="s">
        <v>24</v>
      </c>
      <c r="G218" s="70" t="s">
        <v>25</v>
      </c>
      <c r="H218" s="70" t="s">
        <v>25</v>
      </c>
      <c r="I218" s="70" t="s">
        <v>25</v>
      </c>
      <c r="J218" s="70" t="s">
        <v>601</v>
      </c>
      <c r="K218" s="70" t="s">
        <v>600</v>
      </c>
      <c r="L218" s="70" t="s">
        <v>74</v>
      </c>
      <c r="M218" s="70">
        <v>2021</v>
      </c>
      <c r="N218" s="70">
        <v>0</v>
      </c>
      <c r="O218" s="70">
        <v>287.39</v>
      </c>
      <c r="P218" s="70"/>
    </row>
    <row r="219" spans="1:16" ht="11.25" hidden="1" customHeight="1" x14ac:dyDescent="0.25">
      <c r="A219" s="70">
        <v>218</v>
      </c>
      <c r="B219" s="70" t="s">
        <v>460</v>
      </c>
      <c r="C219" s="70" t="s">
        <v>35</v>
      </c>
      <c r="D219" s="70" t="s">
        <v>1165</v>
      </c>
      <c r="E219" s="70" t="s">
        <v>25</v>
      </c>
      <c r="F219" s="70" t="s">
        <v>25</v>
      </c>
      <c r="G219" s="70" t="s">
        <v>25</v>
      </c>
      <c r="H219" s="70" t="s">
        <v>1225</v>
      </c>
      <c r="I219" s="70" t="s">
        <v>25</v>
      </c>
      <c r="J219" s="70" t="s">
        <v>601</v>
      </c>
      <c r="K219" s="70" t="s">
        <v>600</v>
      </c>
      <c r="L219" s="70" t="s">
        <v>74</v>
      </c>
      <c r="M219" s="70">
        <v>2021</v>
      </c>
      <c r="N219" s="70">
        <v>0</v>
      </c>
      <c r="O219" s="70">
        <v>14.37</v>
      </c>
      <c r="P219" s="70">
        <v>0</v>
      </c>
    </row>
    <row r="220" spans="1:16" ht="11.25" customHeight="1" x14ac:dyDescent="0.25">
      <c r="A220" s="70">
        <v>219</v>
      </c>
      <c r="B220" s="70" t="s">
        <v>488</v>
      </c>
      <c r="C220" s="70" t="s">
        <v>22</v>
      </c>
      <c r="D220" s="70" t="s">
        <v>88</v>
      </c>
      <c r="E220" s="70" t="s">
        <v>24</v>
      </c>
      <c r="F220" s="70" t="s">
        <v>29</v>
      </c>
      <c r="G220" s="70" t="s">
        <v>25</v>
      </c>
      <c r="H220" s="70" t="s">
        <v>25</v>
      </c>
      <c r="I220" s="70" t="s">
        <v>25</v>
      </c>
      <c r="J220" s="70" t="s">
        <v>601</v>
      </c>
      <c r="K220" s="70" t="s">
        <v>600</v>
      </c>
      <c r="L220" s="70" t="s">
        <v>74</v>
      </c>
      <c r="M220" s="70">
        <v>2021</v>
      </c>
      <c r="N220" s="70">
        <v>0</v>
      </c>
      <c r="O220" s="70">
        <v>100.59</v>
      </c>
      <c r="P220" s="70"/>
    </row>
    <row r="221" spans="1:16" ht="11.25" hidden="1" customHeight="1" x14ac:dyDescent="0.25">
      <c r="A221" s="70">
        <v>220</v>
      </c>
      <c r="B221" s="70" t="s">
        <v>460</v>
      </c>
      <c r="C221" s="70" t="s">
        <v>35</v>
      </c>
      <c r="D221" s="70" t="s">
        <v>1165</v>
      </c>
      <c r="E221" s="70" t="s">
        <v>25</v>
      </c>
      <c r="F221" s="70" t="s">
        <v>25</v>
      </c>
      <c r="G221" s="70" t="s">
        <v>25</v>
      </c>
      <c r="H221" s="70" t="s">
        <v>1224</v>
      </c>
      <c r="I221" s="70" t="s">
        <v>37</v>
      </c>
      <c r="J221" s="70" t="s">
        <v>599</v>
      </c>
      <c r="K221" s="70" t="s">
        <v>600</v>
      </c>
      <c r="L221" s="70" t="s">
        <v>79</v>
      </c>
      <c r="M221" s="70">
        <v>2021</v>
      </c>
      <c r="N221" s="70">
        <v>0</v>
      </c>
      <c r="O221" s="70">
        <v>21.22</v>
      </c>
      <c r="P221" s="70">
        <v>0</v>
      </c>
    </row>
    <row r="222" spans="1:16" ht="11.25" customHeight="1" x14ac:dyDescent="0.25">
      <c r="A222" s="70">
        <v>221</v>
      </c>
      <c r="B222" s="70" t="s">
        <v>488</v>
      </c>
      <c r="C222" s="70" t="s">
        <v>22</v>
      </c>
      <c r="D222" s="70" t="s">
        <v>88</v>
      </c>
      <c r="E222" s="70" t="s">
        <v>24</v>
      </c>
      <c r="F222" s="70" t="s">
        <v>30</v>
      </c>
      <c r="G222" s="70" t="s">
        <v>25</v>
      </c>
      <c r="H222" s="70" t="s">
        <v>25</v>
      </c>
      <c r="I222" s="70" t="s">
        <v>25</v>
      </c>
      <c r="J222" s="70" t="s">
        <v>601</v>
      </c>
      <c r="K222" s="70" t="s">
        <v>600</v>
      </c>
      <c r="L222" s="70" t="s">
        <v>74</v>
      </c>
      <c r="M222" s="70">
        <v>2021</v>
      </c>
      <c r="N222" s="70">
        <v>0</v>
      </c>
      <c r="O222" s="70">
        <v>172.43</v>
      </c>
      <c r="P222" s="70"/>
    </row>
    <row r="223" spans="1:16" ht="11.25" hidden="1" customHeight="1" x14ac:dyDescent="0.25">
      <c r="A223" s="70">
        <v>222</v>
      </c>
      <c r="B223" s="70" t="s">
        <v>460</v>
      </c>
      <c r="C223" s="70" t="s">
        <v>35</v>
      </c>
      <c r="D223" s="70" t="s">
        <v>1165</v>
      </c>
      <c r="E223" s="70" t="s">
        <v>25</v>
      </c>
      <c r="F223" s="70" t="s">
        <v>25</v>
      </c>
      <c r="G223" s="70" t="s">
        <v>25</v>
      </c>
      <c r="H223" s="70" t="s">
        <v>1224</v>
      </c>
      <c r="I223" s="70" t="s">
        <v>38</v>
      </c>
      <c r="J223" s="70" t="s">
        <v>599</v>
      </c>
      <c r="K223" s="70" t="s">
        <v>600</v>
      </c>
      <c r="L223" s="70" t="s">
        <v>79</v>
      </c>
      <c r="M223" s="70">
        <v>2021</v>
      </c>
      <c r="N223" s="70">
        <v>0</v>
      </c>
      <c r="O223" s="70">
        <v>11.83</v>
      </c>
      <c r="P223" s="70">
        <v>0</v>
      </c>
    </row>
    <row r="224" spans="1:16" ht="11.25" customHeight="1" x14ac:dyDescent="0.25">
      <c r="A224" s="70">
        <v>223</v>
      </c>
      <c r="B224" s="70" t="s">
        <v>488</v>
      </c>
      <c r="C224" s="70" t="s">
        <v>22</v>
      </c>
      <c r="D224" s="70" t="s">
        <v>88</v>
      </c>
      <c r="E224" s="70" t="s">
        <v>24</v>
      </c>
      <c r="F224" s="70" t="s">
        <v>31</v>
      </c>
      <c r="G224" s="70" t="s">
        <v>25</v>
      </c>
      <c r="H224" s="70" t="s">
        <v>25</v>
      </c>
      <c r="I224" s="70" t="s">
        <v>25</v>
      </c>
      <c r="J224" s="70" t="s">
        <v>601</v>
      </c>
      <c r="K224" s="70" t="s">
        <v>600</v>
      </c>
      <c r="L224" s="70" t="s">
        <v>74</v>
      </c>
      <c r="M224" s="70">
        <v>2021</v>
      </c>
      <c r="N224" s="70">
        <v>0</v>
      </c>
      <c r="O224" s="70">
        <v>258.64999999999998</v>
      </c>
      <c r="P224" s="70"/>
    </row>
    <row r="225" spans="1:16" ht="11.25" customHeight="1" x14ac:dyDescent="0.25">
      <c r="A225" s="70">
        <v>224</v>
      </c>
      <c r="B225" s="70" t="s">
        <v>488</v>
      </c>
      <c r="C225" s="70" t="s">
        <v>22</v>
      </c>
      <c r="D225" s="70" t="s">
        <v>88</v>
      </c>
      <c r="E225" s="70" t="s">
        <v>24</v>
      </c>
      <c r="F225" s="70" t="s">
        <v>32</v>
      </c>
      <c r="G225" s="70" t="s">
        <v>25</v>
      </c>
      <c r="H225" s="70" t="s">
        <v>25</v>
      </c>
      <c r="I225" s="70" t="s">
        <v>25</v>
      </c>
      <c r="J225" s="70" t="s">
        <v>601</v>
      </c>
      <c r="K225" s="70" t="s">
        <v>600</v>
      </c>
      <c r="L225" s="70" t="s">
        <v>74</v>
      </c>
      <c r="M225" s="70">
        <v>2021</v>
      </c>
      <c r="N225" s="70">
        <v>0</v>
      </c>
      <c r="O225" s="70">
        <v>287.39</v>
      </c>
      <c r="P225" s="70"/>
    </row>
    <row r="226" spans="1:16" ht="11.25" hidden="1" customHeight="1" x14ac:dyDescent="0.25">
      <c r="A226" s="70">
        <v>225</v>
      </c>
      <c r="B226" s="70" t="s">
        <v>460</v>
      </c>
      <c r="C226" s="70" t="s">
        <v>35</v>
      </c>
      <c r="D226" s="70" t="s">
        <v>1165</v>
      </c>
      <c r="E226" s="70" t="s">
        <v>25</v>
      </c>
      <c r="F226" s="70" t="s">
        <v>25</v>
      </c>
      <c r="G226" s="70" t="s">
        <v>25</v>
      </c>
      <c r="H226" s="70" t="s">
        <v>1224</v>
      </c>
      <c r="I226" s="70" t="s">
        <v>25</v>
      </c>
      <c r="J226" s="70" t="s">
        <v>601</v>
      </c>
      <c r="K226" s="70" t="s">
        <v>600</v>
      </c>
      <c r="L226" s="70" t="s">
        <v>74</v>
      </c>
      <c r="M226" s="70">
        <v>2021</v>
      </c>
      <c r="N226" s="70">
        <v>0</v>
      </c>
      <c r="O226" s="70">
        <v>14.37</v>
      </c>
      <c r="P226" s="70">
        <v>0</v>
      </c>
    </row>
    <row r="227" spans="1:16" ht="11.25" customHeight="1" x14ac:dyDescent="0.25">
      <c r="A227" s="70">
        <v>226</v>
      </c>
      <c r="B227" s="70" t="s">
        <v>488</v>
      </c>
      <c r="C227" s="70" t="s">
        <v>41</v>
      </c>
      <c r="D227" s="70" t="s">
        <v>73</v>
      </c>
      <c r="E227" s="70" t="s">
        <v>42</v>
      </c>
      <c r="F227" s="70" t="s">
        <v>25</v>
      </c>
      <c r="G227" s="70" t="s">
        <v>25</v>
      </c>
      <c r="H227" s="70" t="s">
        <v>25</v>
      </c>
      <c r="I227" s="70" t="s">
        <v>37</v>
      </c>
      <c r="J227" s="70" t="s">
        <v>601</v>
      </c>
      <c r="K227" s="70" t="s">
        <v>600</v>
      </c>
      <c r="L227" s="70" t="s">
        <v>74</v>
      </c>
      <c r="M227" s="70">
        <v>2021</v>
      </c>
      <c r="N227" s="70">
        <v>0</v>
      </c>
      <c r="O227" s="70">
        <v>397.24</v>
      </c>
      <c r="P227" s="70"/>
    </row>
    <row r="228" spans="1:16" ht="11.25" hidden="1" customHeight="1" x14ac:dyDescent="0.25">
      <c r="A228" s="70">
        <v>227</v>
      </c>
      <c r="B228" s="70" t="s">
        <v>460</v>
      </c>
      <c r="C228" s="70" t="s">
        <v>35</v>
      </c>
      <c r="D228" s="70" t="s">
        <v>1165</v>
      </c>
      <c r="E228" s="70" t="s">
        <v>25</v>
      </c>
      <c r="F228" s="70" t="s">
        <v>25</v>
      </c>
      <c r="G228" s="70" t="s">
        <v>25</v>
      </c>
      <c r="H228" s="70" t="s">
        <v>1217</v>
      </c>
      <c r="I228" s="70" t="s">
        <v>37</v>
      </c>
      <c r="J228" s="70" t="s">
        <v>599</v>
      </c>
      <c r="K228" s="70" t="s">
        <v>600</v>
      </c>
      <c r="L228" s="70" t="s">
        <v>79</v>
      </c>
      <c r="M228" s="70">
        <v>2021</v>
      </c>
      <c r="N228" s="70">
        <v>0</v>
      </c>
      <c r="O228" s="70">
        <v>21.22</v>
      </c>
      <c r="P228" s="70">
        <v>0</v>
      </c>
    </row>
    <row r="229" spans="1:16" ht="11.25" customHeight="1" x14ac:dyDescent="0.25">
      <c r="A229" s="70">
        <v>228</v>
      </c>
      <c r="B229" s="70" t="s">
        <v>488</v>
      </c>
      <c r="C229" s="70" t="s">
        <v>41</v>
      </c>
      <c r="D229" s="70" t="s">
        <v>73</v>
      </c>
      <c r="E229" s="70" t="s">
        <v>42</v>
      </c>
      <c r="F229" s="70" t="s">
        <v>25</v>
      </c>
      <c r="G229" s="70" t="s">
        <v>25</v>
      </c>
      <c r="H229" s="70" t="s">
        <v>25</v>
      </c>
      <c r="I229" s="70" t="s">
        <v>51</v>
      </c>
      <c r="J229" s="70" t="s">
        <v>601</v>
      </c>
      <c r="K229" s="70" t="s">
        <v>600</v>
      </c>
      <c r="L229" s="70" t="s">
        <v>74</v>
      </c>
      <c r="M229" s="70">
        <v>2021</v>
      </c>
      <c r="N229" s="70">
        <v>0</v>
      </c>
      <c r="O229" s="70">
        <v>239.78</v>
      </c>
      <c r="P229" s="70"/>
    </row>
    <row r="230" spans="1:16" ht="11.25" hidden="1" customHeight="1" x14ac:dyDescent="0.25">
      <c r="A230" s="70">
        <v>229</v>
      </c>
      <c r="B230" s="70" t="s">
        <v>460</v>
      </c>
      <c r="C230" s="70" t="s">
        <v>35</v>
      </c>
      <c r="D230" s="70" t="s">
        <v>1165</v>
      </c>
      <c r="E230" s="70" t="s">
        <v>25</v>
      </c>
      <c r="F230" s="70" t="s">
        <v>25</v>
      </c>
      <c r="G230" s="70" t="s">
        <v>25</v>
      </c>
      <c r="H230" s="70" t="s">
        <v>1217</v>
      </c>
      <c r="I230" s="70" t="s">
        <v>38</v>
      </c>
      <c r="J230" s="70" t="s">
        <v>599</v>
      </c>
      <c r="K230" s="70" t="s">
        <v>600</v>
      </c>
      <c r="L230" s="70" t="s">
        <v>79</v>
      </c>
      <c r="M230" s="70">
        <v>2021</v>
      </c>
      <c r="N230" s="70">
        <v>0</v>
      </c>
      <c r="O230" s="70">
        <v>11.83</v>
      </c>
      <c r="P230" s="70">
        <v>0</v>
      </c>
    </row>
    <row r="231" spans="1:16" ht="11.25" customHeight="1" x14ac:dyDescent="0.25">
      <c r="A231" s="70">
        <v>230</v>
      </c>
      <c r="B231" s="70" t="s">
        <v>488</v>
      </c>
      <c r="C231" s="70" t="s">
        <v>41</v>
      </c>
      <c r="D231" s="70" t="s">
        <v>73</v>
      </c>
      <c r="E231" s="70" t="s">
        <v>42</v>
      </c>
      <c r="F231" s="70" t="s">
        <v>25</v>
      </c>
      <c r="G231" s="70" t="s">
        <v>25</v>
      </c>
      <c r="H231" s="70" t="s">
        <v>25</v>
      </c>
      <c r="I231" s="70" t="s">
        <v>38</v>
      </c>
      <c r="J231" s="70" t="s">
        <v>601</v>
      </c>
      <c r="K231" s="70" t="s">
        <v>600</v>
      </c>
      <c r="L231" s="70" t="s">
        <v>74</v>
      </c>
      <c r="M231" s="70">
        <v>2021</v>
      </c>
      <c r="N231" s="70">
        <v>0</v>
      </c>
      <c r="O231" s="70">
        <v>239.78</v>
      </c>
      <c r="P231" s="70"/>
    </row>
    <row r="232" spans="1:16" ht="11.25" hidden="1" customHeight="1" x14ac:dyDescent="0.25">
      <c r="A232" s="70">
        <v>231</v>
      </c>
      <c r="B232" s="70" t="s">
        <v>460</v>
      </c>
      <c r="C232" s="70" t="s">
        <v>35</v>
      </c>
      <c r="D232" s="70" t="s">
        <v>1165</v>
      </c>
      <c r="E232" s="70" t="s">
        <v>25</v>
      </c>
      <c r="F232" s="70" t="s">
        <v>25</v>
      </c>
      <c r="G232" s="70" t="s">
        <v>25</v>
      </c>
      <c r="H232" s="70" t="s">
        <v>1217</v>
      </c>
      <c r="I232" s="70" t="s">
        <v>25</v>
      </c>
      <c r="J232" s="70" t="s">
        <v>601</v>
      </c>
      <c r="K232" s="70" t="s">
        <v>600</v>
      </c>
      <c r="L232" s="70" t="s">
        <v>74</v>
      </c>
      <c r="M232" s="70">
        <v>2021</v>
      </c>
      <c r="N232" s="70">
        <v>0</v>
      </c>
      <c r="O232" s="70">
        <v>14.37</v>
      </c>
      <c r="P232" s="70">
        <v>0</v>
      </c>
    </row>
    <row r="233" spans="1:16" ht="11.25" customHeight="1" x14ac:dyDescent="0.25">
      <c r="A233" s="70">
        <v>232</v>
      </c>
      <c r="B233" s="70" t="s">
        <v>488</v>
      </c>
      <c r="C233" s="70" t="s">
        <v>41</v>
      </c>
      <c r="D233" s="70" t="s">
        <v>77</v>
      </c>
      <c r="E233" s="70" t="s">
        <v>42</v>
      </c>
      <c r="F233" s="70" t="s">
        <v>25</v>
      </c>
      <c r="G233" s="70" t="s">
        <v>25</v>
      </c>
      <c r="H233" s="70" t="s">
        <v>25</v>
      </c>
      <c r="I233" s="70" t="s">
        <v>25</v>
      </c>
      <c r="J233" s="70" t="s">
        <v>601</v>
      </c>
      <c r="K233" s="70" t="s">
        <v>600</v>
      </c>
      <c r="L233" s="70" t="s">
        <v>74</v>
      </c>
      <c r="M233" s="70">
        <v>2021</v>
      </c>
      <c r="N233" s="70">
        <v>0</v>
      </c>
      <c r="O233" s="70">
        <v>252.9</v>
      </c>
      <c r="P233" s="70"/>
    </row>
    <row r="234" spans="1:16" ht="11.25" hidden="1" customHeight="1" x14ac:dyDescent="0.25">
      <c r="A234" s="70">
        <v>233</v>
      </c>
      <c r="B234" s="70" t="s">
        <v>460</v>
      </c>
      <c r="C234" s="70" t="s">
        <v>35</v>
      </c>
      <c r="D234" s="70" t="s">
        <v>1165</v>
      </c>
      <c r="E234" s="70" t="s">
        <v>25</v>
      </c>
      <c r="F234" s="70" t="s">
        <v>25</v>
      </c>
      <c r="G234" s="70" t="s">
        <v>25</v>
      </c>
      <c r="H234" s="70" t="s">
        <v>1226</v>
      </c>
      <c r="I234" s="70" t="s">
        <v>37</v>
      </c>
      <c r="J234" s="70" t="s">
        <v>599</v>
      </c>
      <c r="K234" s="70" t="s">
        <v>600</v>
      </c>
      <c r="L234" s="70" t="s">
        <v>79</v>
      </c>
      <c r="M234" s="70">
        <v>2021</v>
      </c>
      <c r="N234" s="70">
        <v>0</v>
      </c>
      <c r="O234" s="70">
        <v>21.22</v>
      </c>
      <c r="P234" s="70">
        <v>0</v>
      </c>
    </row>
    <row r="235" spans="1:16" ht="11.25" customHeight="1" x14ac:dyDescent="0.25">
      <c r="A235" s="70">
        <v>234</v>
      </c>
      <c r="B235" s="70" t="s">
        <v>488</v>
      </c>
      <c r="C235" s="70" t="s">
        <v>41</v>
      </c>
      <c r="D235" s="70" t="s">
        <v>73</v>
      </c>
      <c r="E235" s="70" t="s">
        <v>42</v>
      </c>
      <c r="F235" s="70" t="s">
        <v>90</v>
      </c>
      <c r="G235" s="70" t="s">
        <v>25</v>
      </c>
      <c r="H235" s="70" t="s">
        <v>25</v>
      </c>
      <c r="I235" s="70" t="s">
        <v>37</v>
      </c>
      <c r="J235" s="70" t="s">
        <v>601</v>
      </c>
      <c r="K235" s="70" t="s">
        <v>600</v>
      </c>
      <c r="L235" s="70" t="s">
        <v>74</v>
      </c>
      <c r="M235" s="70">
        <v>2021</v>
      </c>
      <c r="N235" s="70">
        <v>0</v>
      </c>
      <c r="O235" s="70">
        <v>397.24</v>
      </c>
      <c r="P235" s="70"/>
    </row>
    <row r="236" spans="1:16" ht="11.25" hidden="1" customHeight="1" x14ac:dyDescent="0.25">
      <c r="A236" s="70">
        <v>235</v>
      </c>
      <c r="B236" s="70" t="s">
        <v>460</v>
      </c>
      <c r="C236" s="70" t="s">
        <v>35</v>
      </c>
      <c r="D236" s="70" t="s">
        <v>1165</v>
      </c>
      <c r="E236" s="70" t="s">
        <v>25</v>
      </c>
      <c r="F236" s="70" t="s">
        <v>25</v>
      </c>
      <c r="G236" s="70" t="s">
        <v>25</v>
      </c>
      <c r="H236" s="70" t="s">
        <v>1226</v>
      </c>
      <c r="I236" s="70" t="s">
        <v>38</v>
      </c>
      <c r="J236" s="70" t="s">
        <v>599</v>
      </c>
      <c r="K236" s="70" t="s">
        <v>600</v>
      </c>
      <c r="L236" s="70" t="s">
        <v>79</v>
      </c>
      <c r="M236" s="70">
        <v>2021</v>
      </c>
      <c r="N236" s="70">
        <v>0</v>
      </c>
      <c r="O236" s="70">
        <v>11.83</v>
      </c>
      <c r="P236" s="70">
        <v>0</v>
      </c>
    </row>
    <row r="237" spans="1:16" ht="11.25" customHeight="1" x14ac:dyDescent="0.25">
      <c r="A237" s="70">
        <v>236</v>
      </c>
      <c r="B237" s="70" t="s">
        <v>488</v>
      </c>
      <c r="C237" s="70" t="s">
        <v>41</v>
      </c>
      <c r="D237" s="70" t="s">
        <v>73</v>
      </c>
      <c r="E237" s="70" t="s">
        <v>42</v>
      </c>
      <c r="F237" s="70" t="s">
        <v>90</v>
      </c>
      <c r="G237" s="70" t="s">
        <v>25</v>
      </c>
      <c r="H237" s="70" t="s">
        <v>25</v>
      </c>
      <c r="I237" s="70" t="s">
        <v>51</v>
      </c>
      <c r="J237" s="70" t="s">
        <v>601</v>
      </c>
      <c r="K237" s="70" t="s">
        <v>600</v>
      </c>
      <c r="L237" s="70" t="s">
        <v>74</v>
      </c>
      <c r="M237" s="70">
        <v>2021</v>
      </c>
      <c r="N237" s="70">
        <v>0</v>
      </c>
      <c r="O237" s="70">
        <v>239.78</v>
      </c>
      <c r="P237" s="70"/>
    </row>
    <row r="238" spans="1:16" ht="11.25" hidden="1" customHeight="1" x14ac:dyDescent="0.25">
      <c r="A238" s="70">
        <v>237</v>
      </c>
      <c r="B238" s="70" t="s">
        <v>460</v>
      </c>
      <c r="C238" s="70" t="s">
        <v>35</v>
      </c>
      <c r="D238" s="70" t="s">
        <v>1165</v>
      </c>
      <c r="E238" s="70" t="s">
        <v>25</v>
      </c>
      <c r="F238" s="70" t="s">
        <v>25</v>
      </c>
      <c r="G238" s="70" t="s">
        <v>25</v>
      </c>
      <c r="H238" s="70" t="s">
        <v>1226</v>
      </c>
      <c r="I238" s="70" t="s">
        <v>25</v>
      </c>
      <c r="J238" s="70" t="s">
        <v>601</v>
      </c>
      <c r="K238" s="70" t="s">
        <v>600</v>
      </c>
      <c r="L238" s="70" t="s">
        <v>74</v>
      </c>
      <c r="M238" s="70">
        <v>2021</v>
      </c>
      <c r="N238" s="70">
        <v>0</v>
      </c>
      <c r="O238" s="70">
        <v>14.37</v>
      </c>
      <c r="P238" s="70">
        <v>0</v>
      </c>
    </row>
    <row r="239" spans="1:16" ht="11.25" customHeight="1" x14ac:dyDescent="0.25">
      <c r="A239" s="70">
        <v>238</v>
      </c>
      <c r="B239" s="70" t="s">
        <v>488</v>
      </c>
      <c r="C239" s="70" t="s">
        <v>41</v>
      </c>
      <c r="D239" s="70" t="s">
        <v>73</v>
      </c>
      <c r="E239" s="70" t="s">
        <v>42</v>
      </c>
      <c r="F239" s="70" t="s">
        <v>90</v>
      </c>
      <c r="G239" s="70" t="s">
        <v>25</v>
      </c>
      <c r="H239" s="70" t="s">
        <v>25</v>
      </c>
      <c r="I239" s="70" t="s">
        <v>38</v>
      </c>
      <c r="J239" s="70" t="s">
        <v>601</v>
      </c>
      <c r="K239" s="70" t="s">
        <v>600</v>
      </c>
      <c r="L239" s="70" t="s">
        <v>74</v>
      </c>
      <c r="M239" s="70">
        <v>2021</v>
      </c>
      <c r="N239" s="70">
        <v>0</v>
      </c>
      <c r="O239" s="70">
        <v>239.78</v>
      </c>
      <c r="P239" s="70"/>
    </row>
    <row r="240" spans="1:16" ht="11.25" hidden="1" customHeight="1" x14ac:dyDescent="0.25">
      <c r="A240" s="70">
        <v>239</v>
      </c>
      <c r="B240" s="70" t="s">
        <v>460</v>
      </c>
      <c r="C240" s="70" t="s">
        <v>35</v>
      </c>
      <c r="D240" s="70" t="s">
        <v>1165</v>
      </c>
      <c r="E240" s="70" t="s">
        <v>25</v>
      </c>
      <c r="F240" s="70" t="s">
        <v>25</v>
      </c>
      <c r="G240" s="70" t="s">
        <v>25</v>
      </c>
      <c r="H240" s="70" t="s">
        <v>1219</v>
      </c>
      <c r="I240" s="70" t="s">
        <v>37</v>
      </c>
      <c r="J240" s="70" t="s">
        <v>599</v>
      </c>
      <c r="K240" s="70" t="s">
        <v>600</v>
      </c>
      <c r="L240" s="70" t="s">
        <v>79</v>
      </c>
      <c r="M240" s="70">
        <v>2021</v>
      </c>
      <c r="N240" s="70">
        <v>0</v>
      </c>
      <c r="O240" s="70">
        <v>21.22</v>
      </c>
      <c r="P240" s="70">
        <v>0</v>
      </c>
    </row>
    <row r="241" spans="1:16" ht="11.25" customHeight="1" x14ac:dyDescent="0.25">
      <c r="A241" s="70">
        <v>240</v>
      </c>
      <c r="B241" s="70" t="s">
        <v>488</v>
      </c>
      <c r="C241" s="70" t="s">
        <v>41</v>
      </c>
      <c r="D241" s="70" t="s">
        <v>77</v>
      </c>
      <c r="E241" s="70" t="s">
        <v>42</v>
      </c>
      <c r="F241" s="70" t="s">
        <v>90</v>
      </c>
      <c r="G241" s="70" t="s">
        <v>25</v>
      </c>
      <c r="H241" s="70" t="s">
        <v>25</v>
      </c>
      <c r="I241" s="70" t="s">
        <v>25</v>
      </c>
      <c r="J241" s="70" t="s">
        <v>601</v>
      </c>
      <c r="K241" s="70" t="s">
        <v>600</v>
      </c>
      <c r="L241" s="70" t="s">
        <v>74</v>
      </c>
      <c r="M241" s="70">
        <v>2021</v>
      </c>
      <c r="N241" s="70">
        <v>0</v>
      </c>
      <c r="O241" s="70">
        <v>252.9</v>
      </c>
      <c r="P241" s="70"/>
    </row>
    <row r="242" spans="1:16" ht="11.25" hidden="1" customHeight="1" x14ac:dyDescent="0.25">
      <c r="A242" s="70">
        <v>241</v>
      </c>
      <c r="B242" s="70" t="s">
        <v>460</v>
      </c>
      <c r="C242" s="70" t="s">
        <v>35</v>
      </c>
      <c r="D242" s="70" t="s">
        <v>1165</v>
      </c>
      <c r="E242" s="70" t="s">
        <v>25</v>
      </c>
      <c r="F242" s="70" t="s">
        <v>25</v>
      </c>
      <c r="G242" s="70" t="s">
        <v>25</v>
      </c>
      <c r="H242" s="70" t="s">
        <v>1219</v>
      </c>
      <c r="I242" s="70" t="s">
        <v>38</v>
      </c>
      <c r="J242" s="70" t="s">
        <v>599</v>
      </c>
      <c r="K242" s="70" t="s">
        <v>600</v>
      </c>
      <c r="L242" s="70" t="s">
        <v>79</v>
      </c>
      <c r="M242" s="70">
        <v>2021</v>
      </c>
      <c r="N242" s="70">
        <v>0</v>
      </c>
      <c r="O242" s="70">
        <v>11.83</v>
      </c>
      <c r="P242" s="70">
        <v>0</v>
      </c>
    </row>
    <row r="243" spans="1:16" ht="11.25" customHeight="1" x14ac:dyDescent="0.25">
      <c r="A243" s="70">
        <v>242</v>
      </c>
      <c r="B243" s="70" t="s">
        <v>488</v>
      </c>
      <c r="C243" s="70" t="s">
        <v>41</v>
      </c>
      <c r="D243" s="70" t="s">
        <v>73</v>
      </c>
      <c r="E243" s="70" t="s">
        <v>42</v>
      </c>
      <c r="F243" s="70" t="s">
        <v>91</v>
      </c>
      <c r="G243" s="70" t="s">
        <v>25</v>
      </c>
      <c r="H243" s="70" t="s">
        <v>25</v>
      </c>
      <c r="I243" s="70" t="s">
        <v>37</v>
      </c>
      <c r="J243" s="70" t="s">
        <v>601</v>
      </c>
      <c r="K243" s="70" t="s">
        <v>600</v>
      </c>
      <c r="L243" s="70" t="s">
        <v>74</v>
      </c>
      <c r="M243" s="70">
        <v>2021</v>
      </c>
      <c r="N243" s="70">
        <v>0</v>
      </c>
      <c r="O243" s="70">
        <v>379.18</v>
      </c>
      <c r="P243" s="70"/>
    </row>
    <row r="244" spans="1:16" ht="11.25" customHeight="1" x14ac:dyDescent="0.25">
      <c r="A244" s="70">
        <v>243</v>
      </c>
      <c r="B244" s="70" t="s">
        <v>488</v>
      </c>
      <c r="C244" s="70" t="s">
        <v>41</v>
      </c>
      <c r="D244" s="70" t="s">
        <v>73</v>
      </c>
      <c r="E244" s="70" t="s">
        <v>42</v>
      </c>
      <c r="F244" s="70" t="s">
        <v>91</v>
      </c>
      <c r="G244" s="70" t="s">
        <v>25</v>
      </c>
      <c r="H244" s="70" t="s">
        <v>25</v>
      </c>
      <c r="I244" s="70" t="s">
        <v>51</v>
      </c>
      <c r="J244" s="70" t="s">
        <v>601</v>
      </c>
      <c r="K244" s="70" t="s">
        <v>600</v>
      </c>
      <c r="L244" s="70" t="s">
        <v>74</v>
      </c>
      <c r="M244" s="70">
        <v>2021</v>
      </c>
      <c r="N244" s="70">
        <v>0</v>
      </c>
      <c r="O244" s="70">
        <v>228.88</v>
      </c>
      <c r="P244" s="70"/>
    </row>
    <row r="245" spans="1:16" ht="11.25" hidden="1" customHeight="1" x14ac:dyDescent="0.25">
      <c r="A245" s="70">
        <v>244</v>
      </c>
      <c r="B245" s="70" t="s">
        <v>460</v>
      </c>
      <c r="C245" s="70" t="s">
        <v>35</v>
      </c>
      <c r="D245" s="70" t="s">
        <v>1165</v>
      </c>
      <c r="E245" s="70" t="s">
        <v>25</v>
      </c>
      <c r="F245" s="70" t="s">
        <v>25</v>
      </c>
      <c r="G245" s="70" t="s">
        <v>25</v>
      </c>
      <c r="H245" s="70" t="s">
        <v>1219</v>
      </c>
      <c r="I245" s="70" t="s">
        <v>25</v>
      </c>
      <c r="J245" s="70" t="s">
        <v>601</v>
      </c>
      <c r="K245" s="70" t="s">
        <v>600</v>
      </c>
      <c r="L245" s="70" t="s">
        <v>74</v>
      </c>
      <c r="M245" s="70">
        <v>2021</v>
      </c>
      <c r="N245" s="70">
        <v>0</v>
      </c>
      <c r="O245" s="70">
        <v>14.37</v>
      </c>
      <c r="P245" s="70">
        <v>0</v>
      </c>
    </row>
    <row r="246" spans="1:16" ht="11.25" hidden="1" customHeight="1" x14ac:dyDescent="0.25">
      <c r="A246" s="70">
        <v>245</v>
      </c>
      <c r="B246" s="70" t="s">
        <v>460</v>
      </c>
      <c r="C246" s="70" t="s">
        <v>35</v>
      </c>
      <c r="D246" s="70" t="s">
        <v>1165</v>
      </c>
      <c r="E246" s="70" t="s">
        <v>25</v>
      </c>
      <c r="F246" s="70" t="s">
        <v>25</v>
      </c>
      <c r="G246" s="70" t="s">
        <v>25</v>
      </c>
      <c r="H246" s="70" t="s">
        <v>1227</v>
      </c>
      <c r="I246" s="70" t="s">
        <v>37</v>
      </c>
      <c r="J246" s="70" t="s">
        <v>599</v>
      </c>
      <c r="K246" s="70" t="s">
        <v>600</v>
      </c>
      <c r="L246" s="70" t="s">
        <v>79</v>
      </c>
      <c r="M246" s="70">
        <v>2021</v>
      </c>
      <c r="N246" s="70">
        <v>0</v>
      </c>
      <c r="O246" s="70">
        <v>21.22</v>
      </c>
      <c r="P246" s="70">
        <v>0</v>
      </c>
    </row>
    <row r="247" spans="1:16" ht="11.25" customHeight="1" x14ac:dyDescent="0.25">
      <c r="A247" s="70">
        <v>246</v>
      </c>
      <c r="B247" s="70" t="s">
        <v>488</v>
      </c>
      <c r="C247" s="70" t="s">
        <v>41</v>
      </c>
      <c r="D247" s="70" t="s">
        <v>73</v>
      </c>
      <c r="E247" s="70" t="s">
        <v>42</v>
      </c>
      <c r="F247" s="70" t="s">
        <v>91</v>
      </c>
      <c r="G247" s="70" t="s">
        <v>25</v>
      </c>
      <c r="H247" s="70" t="s">
        <v>25</v>
      </c>
      <c r="I247" s="70" t="s">
        <v>38</v>
      </c>
      <c r="J247" s="70" t="s">
        <v>601</v>
      </c>
      <c r="K247" s="70" t="s">
        <v>600</v>
      </c>
      <c r="L247" s="70" t="s">
        <v>74</v>
      </c>
      <c r="M247" s="70">
        <v>2021</v>
      </c>
      <c r="N247" s="70">
        <v>0</v>
      </c>
      <c r="O247" s="70">
        <v>228.88</v>
      </c>
      <c r="P247" s="70"/>
    </row>
    <row r="248" spans="1:16" ht="11.25" hidden="1" customHeight="1" x14ac:dyDescent="0.25">
      <c r="A248" s="70">
        <v>247</v>
      </c>
      <c r="B248" s="70" t="s">
        <v>460</v>
      </c>
      <c r="C248" s="70" t="s">
        <v>35</v>
      </c>
      <c r="D248" s="70" t="s">
        <v>1165</v>
      </c>
      <c r="E248" s="70" t="s">
        <v>25</v>
      </c>
      <c r="F248" s="70" t="s">
        <v>25</v>
      </c>
      <c r="G248" s="70" t="s">
        <v>25</v>
      </c>
      <c r="H248" s="70" t="s">
        <v>1227</v>
      </c>
      <c r="I248" s="70" t="s">
        <v>38</v>
      </c>
      <c r="J248" s="70" t="s">
        <v>599</v>
      </c>
      <c r="K248" s="70" t="s">
        <v>600</v>
      </c>
      <c r="L248" s="70" t="s">
        <v>79</v>
      </c>
      <c r="M248" s="70">
        <v>2021</v>
      </c>
      <c r="N248" s="70">
        <v>0</v>
      </c>
      <c r="O248" s="70">
        <v>11.83</v>
      </c>
      <c r="P248" s="70">
        <v>0</v>
      </c>
    </row>
    <row r="249" spans="1:16" ht="11.25" customHeight="1" x14ac:dyDescent="0.25">
      <c r="A249" s="70">
        <v>248</v>
      </c>
      <c r="B249" s="70" t="s">
        <v>488</v>
      </c>
      <c r="C249" s="70" t="s">
        <v>41</v>
      </c>
      <c r="D249" s="70" t="s">
        <v>77</v>
      </c>
      <c r="E249" s="70" t="s">
        <v>42</v>
      </c>
      <c r="F249" s="70" t="s">
        <v>91</v>
      </c>
      <c r="G249" s="70" t="s">
        <v>25</v>
      </c>
      <c r="H249" s="70" t="s">
        <v>25</v>
      </c>
      <c r="I249" s="70" t="s">
        <v>25</v>
      </c>
      <c r="J249" s="70" t="s">
        <v>601</v>
      </c>
      <c r="K249" s="70" t="s">
        <v>600</v>
      </c>
      <c r="L249" s="70" t="s">
        <v>74</v>
      </c>
      <c r="M249" s="70">
        <v>2021</v>
      </c>
      <c r="N249" s="70">
        <v>0</v>
      </c>
      <c r="O249" s="70">
        <v>241.41</v>
      </c>
      <c r="P249" s="70"/>
    </row>
    <row r="250" spans="1:16" ht="11.25" hidden="1" customHeight="1" x14ac:dyDescent="0.25">
      <c r="A250" s="70">
        <v>249</v>
      </c>
      <c r="B250" s="70" t="s">
        <v>460</v>
      </c>
      <c r="C250" s="70" t="s">
        <v>35</v>
      </c>
      <c r="D250" s="70" t="s">
        <v>1165</v>
      </c>
      <c r="E250" s="70" t="s">
        <v>25</v>
      </c>
      <c r="F250" s="70" t="s">
        <v>25</v>
      </c>
      <c r="G250" s="70" t="s">
        <v>25</v>
      </c>
      <c r="H250" s="70" t="s">
        <v>1227</v>
      </c>
      <c r="I250" s="70" t="s">
        <v>25</v>
      </c>
      <c r="J250" s="70" t="s">
        <v>601</v>
      </c>
      <c r="K250" s="70" t="s">
        <v>600</v>
      </c>
      <c r="L250" s="70" t="s">
        <v>74</v>
      </c>
      <c r="M250" s="70">
        <v>2021</v>
      </c>
      <c r="N250" s="70">
        <v>0</v>
      </c>
      <c r="O250" s="70">
        <v>14.37</v>
      </c>
      <c r="P250" s="70">
        <v>0</v>
      </c>
    </row>
    <row r="251" spans="1:16" ht="11.25" customHeight="1" x14ac:dyDescent="0.25">
      <c r="A251" s="70">
        <v>250</v>
      </c>
      <c r="B251" s="70" t="s">
        <v>488</v>
      </c>
      <c r="C251" s="70" t="s">
        <v>41</v>
      </c>
      <c r="D251" s="70" t="s">
        <v>88</v>
      </c>
      <c r="E251" s="70" t="s">
        <v>42</v>
      </c>
      <c r="F251" s="70" t="s">
        <v>25</v>
      </c>
      <c r="G251" s="70" t="s">
        <v>25</v>
      </c>
      <c r="H251" s="70" t="s">
        <v>25</v>
      </c>
      <c r="I251" s="70" t="s">
        <v>25</v>
      </c>
      <c r="J251" s="70" t="s">
        <v>601</v>
      </c>
      <c r="K251" s="70" t="s">
        <v>600</v>
      </c>
      <c r="L251" s="70" t="s">
        <v>74</v>
      </c>
      <c r="M251" s="70">
        <v>2021</v>
      </c>
      <c r="N251" s="70">
        <v>0</v>
      </c>
      <c r="O251" s="70">
        <v>252.9</v>
      </c>
      <c r="P251" s="70"/>
    </row>
    <row r="252" spans="1:16" ht="11.25" hidden="1" customHeight="1" x14ac:dyDescent="0.25">
      <c r="A252" s="70">
        <v>251</v>
      </c>
      <c r="B252" s="70" t="s">
        <v>460</v>
      </c>
      <c r="C252" s="70" t="s">
        <v>35</v>
      </c>
      <c r="D252" s="70" t="s">
        <v>1165</v>
      </c>
      <c r="E252" s="70" t="s">
        <v>25</v>
      </c>
      <c r="F252" s="70" t="s">
        <v>25</v>
      </c>
      <c r="G252" s="70" t="s">
        <v>25</v>
      </c>
      <c r="H252" s="70" t="s">
        <v>1166</v>
      </c>
      <c r="I252" s="70" t="s">
        <v>37</v>
      </c>
      <c r="J252" s="70" t="s">
        <v>599</v>
      </c>
      <c r="K252" s="70" t="s">
        <v>600</v>
      </c>
      <c r="L252" s="70" t="s">
        <v>79</v>
      </c>
      <c r="M252" s="70">
        <v>2021</v>
      </c>
      <c r="N252" s="70">
        <v>0</v>
      </c>
      <c r="O252" s="70">
        <v>21.22</v>
      </c>
      <c r="P252" s="70">
        <v>0</v>
      </c>
    </row>
    <row r="253" spans="1:16" ht="11.25" customHeight="1" x14ac:dyDescent="0.25">
      <c r="A253" s="70">
        <v>252</v>
      </c>
      <c r="B253" s="70" t="s">
        <v>488</v>
      </c>
      <c r="C253" s="70" t="s">
        <v>41</v>
      </c>
      <c r="D253" s="70" t="s">
        <v>88</v>
      </c>
      <c r="E253" s="70" t="s">
        <v>42</v>
      </c>
      <c r="F253" s="70" t="s">
        <v>90</v>
      </c>
      <c r="G253" s="70" t="s">
        <v>25</v>
      </c>
      <c r="H253" s="70" t="s">
        <v>25</v>
      </c>
      <c r="I253" s="70" t="s">
        <v>25</v>
      </c>
      <c r="J253" s="70" t="s">
        <v>601</v>
      </c>
      <c r="K253" s="70" t="s">
        <v>600</v>
      </c>
      <c r="L253" s="70" t="s">
        <v>74</v>
      </c>
      <c r="M253" s="70">
        <v>2021</v>
      </c>
      <c r="N253" s="70">
        <v>0</v>
      </c>
      <c r="O253" s="70">
        <v>252.9</v>
      </c>
      <c r="P253" s="70"/>
    </row>
    <row r="254" spans="1:16" ht="11.25" customHeight="1" x14ac:dyDescent="0.25">
      <c r="A254" s="70">
        <v>253</v>
      </c>
      <c r="B254" s="70" t="s">
        <v>488</v>
      </c>
      <c r="C254" s="70" t="s">
        <v>41</v>
      </c>
      <c r="D254" s="70" t="s">
        <v>88</v>
      </c>
      <c r="E254" s="70" t="s">
        <v>42</v>
      </c>
      <c r="F254" s="70" t="s">
        <v>91</v>
      </c>
      <c r="G254" s="70" t="s">
        <v>25</v>
      </c>
      <c r="H254" s="70" t="s">
        <v>25</v>
      </c>
      <c r="I254" s="70" t="s">
        <v>25</v>
      </c>
      <c r="J254" s="70" t="s">
        <v>601</v>
      </c>
      <c r="K254" s="70" t="s">
        <v>600</v>
      </c>
      <c r="L254" s="70" t="s">
        <v>74</v>
      </c>
      <c r="M254" s="70">
        <v>2021</v>
      </c>
      <c r="N254" s="70">
        <v>0</v>
      </c>
      <c r="O254" s="70">
        <v>241.41</v>
      </c>
      <c r="P254" s="70"/>
    </row>
    <row r="255" spans="1:16" ht="11.25" customHeight="1" x14ac:dyDescent="0.25">
      <c r="A255" s="70">
        <v>254</v>
      </c>
      <c r="B255" s="70" t="s">
        <v>488</v>
      </c>
      <c r="C255" s="70" t="s">
        <v>33</v>
      </c>
      <c r="D255" s="70" t="s">
        <v>73</v>
      </c>
      <c r="E255" s="70" t="s">
        <v>25</v>
      </c>
      <c r="F255" s="70" t="s">
        <v>25</v>
      </c>
      <c r="G255" s="70" t="s">
        <v>25</v>
      </c>
      <c r="H255" s="70" t="s">
        <v>25</v>
      </c>
      <c r="I255" s="70" t="s">
        <v>37</v>
      </c>
      <c r="J255" s="70" t="s">
        <v>601</v>
      </c>
      <c r="K255" s="70" t="s">
        <v>600</v>
      </c>
      <c r="L255" s="70" t="s">
        <v>74</v>
      </c>
      <c r="M255" s="70">
        <v>2021</v>
      </c>
      <c r="N255" s="70">
        <v>0</v>
      </c>
      <c r="O255" s="70">
        <v>451.4</v>
      </c>
      <c r="P255" s="70"/>
    </row>
    <row r="256" spans="1:16" ht="11.25" customHeight="1" x14ac:dyDescent="0.25">
      <c r="A256" s="70">
        <v>255</v>
      </c>
      <c r="B256" s="70" t="s">
        <v>488</v>
      </c>
      <c r="C256" s="70" t="s">
        <v>33</v>
      </c>
      <c r="D256" s="70" t="s">
        <v>73</v>
      </c>
      <c r="E256" s="70" t="s">
        <v>25</v>
      </c>
      <c r="F256" s="70" t="s">
        <v>25</v>
      </c>
      <c r="G256" s="70" t="s">
        <v>25</v>
      </c>
      <c r="H256" s="70" t="s">
        <v>25</v>
      </c>
      <c r="I256" s="70" t="s">
        <v>51</v>
      </c>
      <c r="J256" s="70" t="s">
        <v>601</v>
      </c>
      <c r="K256" s="70" t="s">
        <v>600</v>
      </c>
      <c r="L256" s="70" t="s">
        <v>74</v>
      </c>
      <c r="M256" s="70">
        <v>2021</v>
      </c>
      <c r="N256" s="70">
        <v>0</v>
      </c>
      <c r="O256" s="70">
        <v>272.48</v>
      </c>
      <c r="P256" s="70"/>
    </row>
    <row r="257" spans="1:16" ht="11.25" customHeight="1" x14ac:dyDescent="0.25">
      <c r="A257" s="70">
        <v>256</v>
      </c>
      <c r="B257" s="70" t="s">
        <v>488</v>
      </c>
      <c r="C257" s="70" t="s">
        <v>33</v>
      </c>
      <c r="D257" s="70" t="s">
        <v>73</v>
      </c>
      <c r="E257" s="70" t="s">
        <v>25</v>
      </c>
      <c r="F257" s="70" t="s">
        <v>25</v>
      </c>
      <c r="G257" s="70" t="s">
        <v>25</v>
      </c>
      <c r="H257" s="70" t="s">
        <v>25</v>
      </c>
      <c r="I257" s="70" t="s">
        <v>38</v>
      </c>
      <c r="J257" s="70" t="s">
        <v>601</v>
      </c>
      <c r="K257" s="70" t="s">
        <v>600</v>
      </c>
      <c r="L257" s="70" t="s">
        <v>74</v>
      </c>
      <c r="M257" s="70">
        <v>2021</v>
      </c>
      <c r="N257" s="70">
        <v>0</v>
      </c>
      <c r="O257" s="70">
        <v>272.48</v>
      </c>
      <c r="P257" s="70"/>
    </row>
    <row r="258" spans="1:16" ht="11.25" customHeight="1" x14ac:dyDescent="0.25">
      <c r="A258" s="70">
        <v>257</v>
      </c>
      <c r="B258" s="70" t="s">
        <v>488</v>
      </c>
      <c r="C258" s="70" t="s">
        <v>33</v>
      </c>
      <c r="D258" s="70" t="s">
        <v>77</v>
      </c>
      <c r="E258" s="70" t="s">
        <v>25</v>
      </c>
      <c r="F258" s="70" t="s">
        <v>25</v>
      </c>
      <c r="G258" s="70" t="s">
        <v>25</v>
      </c>
      <c r="H258" s="70" t="s">
        <v>25</v>
      </c>
      <c r="I258" s="70" t="s">
        <v>25</v>
      </c>
      <c r="J258" s="70" t="s">
        <v>601</v>
      </c>
      <c r="K258" s="70" t="s">
        <v>600</v>
      </c>
      <c r="L258" s="70" t="s">
        <v>74</v>
      </c>
      <c r="M258" s="70">
        <v>2021</v>
      </c>
      <c r="N258" s="70">
        <v>0</v>
      </c>
      <c r="O258" s="70">
        <v>287.39</v>
      </c>
      <c r="P258" s="70"/>
    </row>
    <row r="259" spans="1:16" ht="11.25" customHeight="1" x14ac:dyDescent="0.25">
      <c r="A259" s="70">
        <v>258</v>
      </c>
      <c r="B259" s="70" t="s">
        <v>488</v>
      </c>
      <c r="C259" s="70" t="s">
        <v>33</v>
      </c>
      <c r="D259" s="70" t="s">
        <v>88</v>
      </c>
      <c r="E259" s="70" t="s">
        <v>25</v>
      </c>
      <c r="F259" s="70" t="s">
        <v>25</v>
      </c>
      <c r="G259" s="70" t="s">
        <v>25</v>
      </c>
      <c r="H259" s="70" t="s">
        <v>25</v>
      </c>
      <c r="I259" s="70" t="s">
        <v>25</v>
      </c>
      <c r="J259" s="70" t="s">
        <v>601</v>
      </c>
      <c r="K259" s="70" t="s">
        <v>600</v>
      </c>
      <c r="L259" s="70" t="s">
        <v>74</v>
      </c>
      <c r="M259" s="70">
        <v>2021</v>
      </c>
      <c r="N259" s="70">
        <v>0</v>
      </c>
      <c r="O259" s="70">
        <v>287.39</v>
      </c>
      <c r="P259" s="70"/>
    </row>
    <row r="260" spans="1:16" ht="11.25" customHeight="1" x14ac:dyDescent="0.25">
      <c r="A260" s="70">
        <v>259</v>
      </c>
      <c r="B260" s="70" t="s">
        <v>488</v>
      </c>
      <c r="C260" s="70" t="s">
        <v>44</v>
      </c>
      <c r="D260" s="70" t="s">
        <v>77</v>
      </c>
      <c r="E260" s="70" t="s">
        <v>45</v>
      </c>
      <c r="F260" s="70" t="s">
        <v>46</v>
      </c>
      <c r="G260" s="70" t="s">
        <v>25</v>
      </c>
      <c r="H260" s="70" t="s">
        <v>25</v>
      </c>
      <c r="I260" s="70" t="s">
        <v>25</v>
      </c>
      <c r="J260" s="70" t="s">
        <v>601</v>
      </c>
      <c r="K260" s="70" t="s">
        <v>600</v>
      </c>
      <c r="L260" s="70" t="s">
        <v>74</v>
      </c>
      <c r="M260" s="70">
        <v>2021</v>
      </c>
      <c r="N260" s="70">
        <v>0</v>
      </c>
      <c r="O260" s="70">
        <v>158.06</v>
      </c>
      <c r="P260" s="70"/>
    </row>
    <row r="261" spans="1:16" ht="11.25" customHeight="1" x14ac:dyDescent="0.25">
      <c r="A261" s="70">
        <v>260</v>
      </c>
      <c r="B261" s="70" t="s">
        <v>488</v>
      </c>
      <c r="C261" s="70" t="s">
        <v>44</v>
      </c>
      <c r="D261" s="70" t="s">
        <v>77</v>
      </c>
      <c r="E261" s="70" t="s">
        <v>45</v>
      </c>
      <c r="F261" s="70" t="s">
        <v>92</v>
      </c>
      <c r="G261" s="70" t="s">
        <v>25</v>
      </c>
      <c r="H261" s="70" t="s">
        <v>25</v>
      </c>
      <c r="I261" s="70" t="s">
        <v>25</v>
      </c>
      <c r="J261" s="70" t="s">
        <v>601</v>
      </c>
      <c r="K261" s="70" t="s">
        <v>600</v>
      </c>
      <c r="L261" s="70" t="s">
        <v>74</v>
      </c>
      <c r="M261" s="70">
        <v>2021</v>
      </c>
      <c r="N261" s="70">
        <v>0</v>
      </c>
      <c r="O261" s="70">
        <v>172.43</v>
      </c>
      <c r="P261" s="70"/>
    </row>
  </sheetData>
  <autoFilter ref="A1:AX261" xr:uid="{C07B3648-A373-4879-8089-B98CAF9958C9}">
    <filterColumn colId="2">
      <filters>
        <filter val="B"/>
        <filter val="B1"/>
        <filter val="B2"/>
        <filter val="B3"/>
        <filter val="B4"/>
      </filters>
    </filterColumn>
    <filterColumn colId="3">
      <filters>
        <filter val="Branca"/>
        <filter val="Convencional"/>
        <filter val="Convencional pré-pagamento"/>
        <filter val="Energia convencional"/>
        <filter val="Energia convencional pré-pagamento"/>
        <filter val="Energia horária"/>
      </filters>
    </filterColumn>
  </autoFilter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2E2E0-34A9-476D-A875-909EEB009E41}">
  <sheetPr codeName="Planilha2" filterMode="1"/>
  <dimension ref="A1:AX86"/>
  <sheetViews>
    <sheetView showGridLines="0" workbookViewId="0">
      <selection activeCell="L27" sqref="L27"/>
    </sheetView>
  </sheetViews>
  <sheetFormatPr defaultColWidth="9.140625" defaultRowHeight="11.25" x14ac:dyDescent="0.25"/>
  <cols>
    <col min="1" max="1" width="4.7109375" style="8" bestFit="1" customWidth="1"/>
    <col min="2" max="2" width="8.85546875" style="8" bestFit="1" customWidth="1"/>
    <col min="3" max="3" width="8.7109375" style="8" bestFit="1" customWidth="1"/>
    <col min="4" max="4" width="27.140625" style="8" bestFit="1" customWidth="1"/>
    <col min="5" max="5" width="13.5703125" style="8" bestFit="1" customWidth="1"/>
    <col min="6" max="6" width="25.140625" style="8" bestFit="1" customWidth="1"/>
    <col min="7" max="9" width="10.28515625" style="8" bestFit="1" customWidth="1"/>
    <col min="10" max="10" width="6.85546875" style="8" bestFit="1" customWidth="1"/>
    <col min="11" max="11" width="4.5703125" style="8" bestFit="1" customWidth="1"/>
    <col min="12" max="12" width="4.42578125" style="8" bestFit="1" customWidth="1"/>
    <col min="13" max="13" width="6.7109375" style="8" bestFit="1" customWidth="1"/>
    <col min="14" max="14" width="6.28515625" style="8" bestFit="1" customWidth="1"/>
    <col min="15" max="15" width="11.140625" style="8" bestFit="1" customWidth="1"/>
    <col min="16" max="16" width="10.42578125" style="8" bestFit="1" customWidth="1"/>
    <col min="17" max="16384" width="9.140625" style="8"/>
  </cols>
  <sheetData>
    <row r="1" spans="1:50" ht="11.25" customHeight="1" x14ac:dyDescent="0.25">
      <c r="A1" s="69" t="s">
        <v>602</v>
      </c>
      <c r="B1" s="69" t="s">
        <v>593</v>
      </c>
      <c r="C1" s="69" t="s">
        <v>1</v>
      </c>
      <c r="D1" s="69" t="s">
        <v>2</v>
      </c>
      <c r="E1" s="69" t="s">
        <v>3</v>
      </c>
      <c r="F1" s="69" t="s">
        <v>4</v>
      </c>
      <c r="G1" s="69" t="s">
        <v>5</v>
      </c>
      <c r="H1" s="69" t="s">
        <v>6</v>
      </c>
      <c r="I1" s="69" t="s">
        <v>7</v>
      </c>
      <c r="J1" s="69" t="s">
        <v>594</v>
      </c>
      <c r="K1" s="69" t="s">
        <v>595</v>
      </c>
      <c r="L1" s="69" t="s">
        <v>596</v>
      </c>
      <c r="M1" s="69" t="s">
        <v>597</v>
      </c>
      <c r="N1" s="69" t="s">
        <v>598</v>
      </c>
      <c r="O1" s="69" t="s">
        <v>480</v>
      </c>
      <c r="P1" s="69" t="s">
        <v>466</v>
      </c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</row>
    <row r="2" spans="1:50" ht="11.25" hidden="1" customHeight="1" x14ac:dyDescent="0.25">
      <c r="A2" s="70">
        <v>1</v>
      </c>
      <c r="B2" s="70" t="s">
        <v>460</v>
      </c>
      <c r="C2" s="70" t="s">
        <v>35</v>
      </c>
      <c r="D2" s="70" t="s">
        <v>36</v>
      </c>
      <c r="E2" s="70" t="s">
        <v>25</v>
      </c>
      <c r="F2" s="70" t="s">
        <v>25</v>
      </c>
      <c r="G2" s="70" t="s">
        <v>25</v>
      </c>
      <c r="H2" s="70" t="s">
        <v>25</v>
      </c>
      <c r="I2" s="70" t="s">
        <v>38</v>
      </c>
      <c r="J2" s="70" t="s">
        <v>599</v>
      </c>
      <c r="K2" s="70" t="s">
        <v>600</v>
      </c>
      <c r="L2" s="70" t="s">
        <v>79</v>
      </c>
      <c r="M2" s="70">
        <v>2021</v>
      </c>
      <c r="N2" s="70">
        <v>0</v>
      </c>
      <c r="O2" s="70">
        <v>22.9</v>
      </c>
      <c r="P2" s="70">
        <v>0</v>
      </c>
    </row>
    <row r="3" spans="1:50" ht="11.25" customHeight="1" x14ac:dyDescent="0.25">
      <c r="A3" s="70">
        <v>2</v>
      </c>
      <c r="B3" s="70" t="s">
        <v>460</v>
      </c>
      <c r="C3" s="70" t="s">
        <v>22</v>
      </c>
      <c r="D3" s="70" t="s">
        <v>23</v>
      </c>
      <c r="E3" s="70" t="s">
        <v>24</v>
      </c>
      <c r="F3" s="70" t="s">
        <v>24</v>
      </c>
      <c r="G3" s="70" t="s">
        <v>25</v>
      </c>
      <c r="H3" s="70" t="s">
        <v>25</v>
      </c>
      <c r="I3" s="70" t="s">
        <v>25</v>
      </c>
      <c r="J3" s="70" t="s">
        <v>601</v>
      </c>
      <c r="K3" s="70" t="s">
        <v>600</v>
      </c>
      <c r="L3" s="70" t="s">
        <v>74</v>
      </c>
      <c r="M3" s="70">
        <v>2021</v>
      </c>
      <c r="N3" s="70">
        <v>0</v>
      </c>
      <c r="O3" s="98">
        <f>338.51*0+'TAR FIN Celesc'!O99</f>
        <v>244.85</v>
      </c>
      <c r="P3" s="70">
        <v>58.426729069251103</v>
      </c>
    </row>
    <row r="4" spans="1:50" ht="11.25" customHeight="1" x14ac:dyDescent="0.25">
      <c r="A4" s="70">
        <v>3</v>
      </c>
      <c r="B4" s="70" t="s">
        <v>460</v>
      </c>
      <c r="C4" s="70" t="s">
        <v>22</v>
      </c>
      <c r="D4" s="70" t="s">
        <v>50</v>
      </c>
      <c r="E4" s="70" t="s">
        <v>24</v>
      </c>
      <c r="F4" s="70" t="s">
        <v>24</v>
      </c>
      <c r="G4" s="70" t="s">
        <v>25</v>
      </c>
      <c r="H4" s="70" t="s">
        <v>25</v>
      </c>
      <c r="I4" s="70" t="s">
        <v>37</v>
      </c>
      <c r="J4" s="70" t="s">
        <v>601</v>
      </c>
      <c r="K4" s="70" t="s">
        <v>600</v>
      </c>
      <c r="L4" s="70" t="s">
        <v>74</v>
      </c>
      <c r="M4" s="70">
        <v>2021</v>
      </c>
      <c r="N4" s="70">
        <v>0</v>
      </c>
      <c r="O4" s="98">
        <v>473.22</v>
      </c>
      <c r="P4" s="70">
        <v>58.426729069251103</v>
      </c>
    </row>
    <row r="5" spans="1:50" ht="11.25" hidden="1" customHeight="1" x14ac:dyDescent="0.25">
      <c r="A5" s="70">
        <v>4</v>
      </c>
      <c r="B5" s="70" t="s">
        <v>460</v>
      </c>
      <c r="C5" s="70" t="s">
        <v>41</v>
      </c>
      <c r="D5" s="70" t="s">
        <v>50</v>
      </c>
      <c r="E5" s="70" t="s">
        <v>42</v>
      </c>
      <c r="F5" s="70" t="s">
        <v>25</v>
      </c>
      <c r="G5" s="70" t="s">
        <v>25</v>
      </c>
      <c r="H5" s="70" t="s">
        <v>25</v>
      </c>
      <c r="I5" s="70" t="s">
        <v>37</v>
      </c>
      <c r="J5" s="70" t="s">
        <v>601</v>
      </c>
      <c r="K5" s="70" t="s">
        <v>600</v>
      </c>
      <c r="L5" s="70" t="s">
        <v>74</v>
      </c>
      <c r="M5" s="70">
        <v>2021</v>
      </c>
      <c r="N5" s="70">
        <v>0</v>
      </c>
      <c r="O5" s="98">
        <v>445.98</v>
      </c>
      <c r="P5" s="70">
        <v>51.415521580940997</v>
      </c>
    </row>
    <row r="6" spans="1:50" ht="11.25" hidden="1" customHeight="1" x14ac:dyDescent="0.25">
      <c r="A6" s="70">
        <v>5</v>
      </c>
      <c r="B6" s="70" t="s">
        <v>460</v>
      </c>
      <c r="C6" s="70" t="s">
        <v>35</v>
      </c>
      <c r="D6" s="70" t="s">
        <v>39</v>
      </c>
      <c r="E6" s="70" t="s">
        <v>25</v>
      </c>
      <c r="F6" s="70" t="s">
        <v>25</v>
      </c>
      <c r="G6" s="70" t="s">
        <v>25</v>
      </c>
      <c r="H6" s="70" t="s">
        <v>25</v>
      </c>
      <c r="I6" s="70" t="s">
        <v>37</v>
      </c>
      <c r="J6" s="70" t="s">
        <v>601</v>
      </c>
      <c r="K6" s="70" t="s">
        <v>600</v>
      </c>
      <c r="L6" s="70" t="s">
        <v>74</v>
      </c>
      <c r="M6" s="70">
        <v>2021</v>
      </c>
      <c r="N6" s="70">
        <v>0</v>
      </c>
      <c r="O6" s="70">
        <v>1518.97</v>
      </c>
      <c r="P6" s="70">
        <v>50.831254290248502</v>
      </c>
    </row>
    <row r="7" spans="1:50" ht="11.25" customHeight="1" x14ac:dyDescent="0.25">
      <c r="A7" s="70">
        <v>6</v>
      </c>
      <c r="B7" s="70" t="s">
        <v>460</v>
      </c>
      <c r="C7" s="70" t="s">
        <v>22</v>
      </c>
      <c r="D7" s="70" t="s">
        <v>23</v>
      </c>
      <c r="E7" s="70" t="s">
        <v>24</v>
      </c>
      <c r="F7" s="70" t="s">
        <v>32</v>
      </c>
      <c r="G7" s="70" t="s">
        <v>25</v>
      </c>
      <c r="H7" s="70" t="s">
        <v>25</v>
      </c>
      <c r="I7" s="70" t="s">
        <v>25</v>
      </c>
      <c r="J7" s="70" t="s">
        <v>601</v>
      </c>
      <c r="K7" s="70" t="s">
        <v>600</v>
      </c>
      <c r="L7" s="70" t="s">
        <v>74</v>
      </c>
      <c r="M7" s="70">
        <v>2021</v>
      </c>
      <c r="N7" s="70">
        <v>0</v>
      </c>
      <c r="O7" s="98">
        <v>173.21</v>
      </c>
      <c r="P7" s="70">
        <v>0</v>
      </c>
    </row>
    <row r="8" spans="1:50" ht="11.25" hidden="1" customHeight="1" x14ac:dyDescent="0.25">
      <c r="A8" s="70">
        <v>7</v>
      </c>
      <c r="B8" s="70" t="s">
        <v>460</v>
      </c>
      <c r="C8" s="70" t="s">
        <v>35</v>
      </c>
      <c r="D8" s="70" t="s">
        <v>36</v>
      </c>
      <c r="E8" s="70" t="s">
        <v>25</v>
      </c>
      <c r="F8" s="70" t="s">
        <v>25</v>
      </c>
      <c r="G8" s="70" t="s">
        <v>25</v>
      </c>
      <c r="H8" s="70" t="s">
        <v>25</v>
      </c>
      <c r="I8" s="70" t="s">
        <v>37</v>
      </c>
      <c r="J8" s="70" t="s">
        <v>599</v>
      </c>
      <c r="K8" s="70" t="s">
        <v>600</v>
      </c>
      <c r="L8" s="70" t="s">
        <v>79</v>
      </c>
      <c r="M8" s="70">
        <v>2021</v>
      </c>
      <c r="N8" s="70">
        <v>0</v>
      </c>
      <c r="O8" s="70">
        <v>59.47</v>
      </c>
      <c r="P8" s="70">
        <v>0</v>
      </c>
    </row>
    <row r="9" spans="1:50" ht="11.25" customHeight="1" x14ac:dyDescent="0.25">
      <c r="A9" s="70">
        <v>8</v>
      </c>
      <c r="B9" s="70" t="s">
        <v>460</v>
      </c>
      <c r="C9" s="70" t="s">
        <v>22</v>
      </c>
      <c r="D9" s="70" t="s">
        <v>50</v>
      </c>
      <c r="E9" s="70" t="s">
        <v>24</v>
      </c>
      <c r="F9" s="70" t="s">
        <v>24</v>
      </c>
      <c r="G9" s="70" t="s">
        <v>25</v>
      </c>
      <c r="H9" s="70" t="s">
        <v>25</v>
      </c>
      <c r="I9" s="70" t="s">
        <v>51</v>
      </c>
      <c r="J9" s="70" t="s">
        <v>601</v>
      </c>
      <c r="K9" s="70" t="s">
        <v>600</v>
      </c>
      <c r="L9" s="70" t="s">
        <v>74</v>
      </c>
      <c r="M9" s="70">
        <v>2021</v>
      </c>
      <c r="N9" s="70">
        <v>0</v>
      </c>
      <c r="O9" s="98">
        <v>328.14</v>
      </c>
      <c r="P9" s="70">
        <v>58.426729069251103</v>
      </c>
    </row>
    <row r="10" spans="1:50" ht="11.25" hidden="1" customHeight="1" x14ac:dyDescent="0.25">
      <c r="A10" s="70">
        <v>9</v>
      </c>
      <c r="B10" s="70" t="s">
        <v>460</v>
      </c>
      <c r="C10" s="70" t="s">
        <v>35</v>
      </c>
      <c r="D10" s="70" t="s">
        <v>39</v>
      </c>
      <c r="E10" s="70" t="s">
        <v>25</v>
      </c>
      <c r="F10" s="70" t="s">
        <v>25</v>
      </c>
      <c r="G10" s="70" t="s">
        <v>82</v>
      </c>
      <c r="H10" s="70" t="s">
        <v>25</v>
      </c>
      <c r="I10" s="70" t="s">
        <v>37</v>
      </c>
      <c r="J10" s="70" t="s">
        <v>601</v>
      </c>
      <c r="K10" s="70" t="s">
        <v>600</v>
      </c>
      <c r="L10" s="70" t="s">
        <v>74</v>
      </c>
      <c r="M10" s="70">
        <v>2021</v>
      </c>
      <c r="N10" s="70">
        <v>0</v>
      </c>
      <c r="O10" s="70">
        <v>1458.18</v>
      </c>
      <c r="P10" s="70">
        <v>0</v>
      </c>
    </row>
    <row r="11" spans="1:50" ht="11.25" customHeight="1" x14ac:dyDescent="0.25">
      <c r="A11" s="70">
        <v>10</v>
      </c>
      <c r="B11" s="70" t="s">
        <v>460</v>
      </c>
      <c r="C11" s="70" t="s">
        <v>22</v>
      </c>
      <c r="D11" s="70" t="s">
        <v>89</v>
      </c>
      <c r="E11" s="70" t="s">
        <v>24</v>
      </c>
      <c r="F11" s="70" t="s">
        <v>29</v>
      </c>
      <c r="G11" s="70" t="s">
        <v>25</v>
      </c>
      <c r="H11" s="70" t="s">
        <v>25</v>
      </c>
      <c r="I11" s="70" t="s">
        <v>25</v>
      </c>
      <c r="J11" s="70" t="s">
        <v>601</v>
      </c>
      <c r="K11" s="70" t="s">
        <v>600</v>
      </c>
      <c r="L11" s="70" t="s">
        <v>74</v>
      </c>
      <c r="M11" s="70">
        <v>2021</v>
      </c>
      <c r="N11" s="70">
        <v>0</v>
      </c>
      <c r="O11" s="98">
        <v>60.62</v>
      </c>
      <c r="P11" s="70">
        <v>0</v>
      </c>
    </row>
    <row r="12" spans="1:50" ht="11.25" hidden="1" customHeight="1" x14ac:dyDescent="0.25">
      <c r="A12" s="70">
        <v>11</v>
      </c>
      <c r="B12" s="70" t="s">
        <v>460</v>
      </c>
      <c r="C12" s="70" t="s">
        <v>41</v>
      </c>
      <c r="D12" s="70" t="s">
        <v>50</v>
      </c>
      <c r="E12" s="70" t="s">
        <v>42</v>
      </c>
      <c r="F12" s="70" t="s">
        <v>25</v>
      </c>
      <c r="G12" s="70" t="s">
        <v>25</v>
      </c>
      <c r="H12" s="70" t="s">
        <v>25</v>
      </c>
      <c r="I12" s="70" t="s">
        <v>51</v>
      </c>
      <c r="J12" s="70" t="s">
        <v>601</v>
      </c>
      <c r="K12" s="70" t="s">
        <v>600</v>
      </c>
      <c r="L12" s="70" t="s">
        <v>74</v>
      </c>
      <c r="M12" s="70">
        <v>2021</v>
      </c>
      <c r="N12" s="70">
        <v>0</v>
      </c>
      <c r="O12" s="98">
        <v>306.49</v>
      </c>
      <c r="P12" s="70">
        <v>51.415521580940997</v>
      </c>
    </row>
    <row r="13" spans="1:50" ht="11.25" hidden="1" customHeight="1" x14ac:dyDescent="0.25">
      <c r="A13" s="70">
        <v>12</v>
      </c>
      <c r="B13" s="70" t="s">
        <v>460</v>
      </c>
      <c r="C13" s="70" t="s">
        <v>84</v>
      </c>
      <c r="D13" s="70" t="s">
        <v>83</v>
      </c>
      <c r="E13" s="70" t="s">
        <v>25</v>
      </c>
      <c r="F13" s="70" t="s">
        <v>25</v>
      </c>
      <c r="G13" s="70" t="s">
        <v>86</v>
      </c>
      <c r="H13" s="70" t="s">
        <v>25</v>
      </c>
      <c r="I13" s="70" t="s">
        <v>25</v>
      </c>
      <c r="J13" s="70" t="s">
        <v>599</v>
      </c>
      <c r="K13" s="70" t="s">
        <v>600</v>
      </c>
      <c r="L13" s="70" t="s">
        <v>79</v>
      </c>
      <c r="M13" s="70">
        <v>2021</v>
      </c>
      <c r="N13" s="70">
        <v>0</v>
      </c>
      <c r="O13" s="70">
        <v>10.73</v>
      </c>
      <c r="P13" s="70">
        <v>0</v>
      </c>
    </row>
    <row r="14" spans="1:50" ht="11.25" customHeight="1" x14ac:dyDescent="0.25">
      <c r="A14" s="70">
        <v>13</v>
      </c>
      <c r="B14" s="70" t="s">
        <v>460</v>
      </c>
      <c r="C14" s="70" t="s">
        <v>22</v>
      </c>
      <c r="D14" s="70" t="s">
        <v>89</v>
      </c>
      <c r="E14" s="70" t="s">
        <v>24</v>
      </c>
      <c r="F14" s="70" t="s">
        <v>32</v>
      </c>
      <c r="G14" s="70" t="s">
        <v>25</v>
      </c>
      <c r="H14" s="70" t="s">
        <v>25</v>
      </c>
      <c r="I14" s="70" t="s">
        <v>25</v>
      </c>
      <c r="J14" s="70" t="s">
        <v>601</v>
      </c>
      <c r="K14" s="70" t="s">
        <v>600</v>
      </c>
      <c r="L14" s="70" t="s">
        <v>74</v>
      </c>
      <c r="M14" s="70">
        <v>2021</v>
      </c>
      <c r="N14" s="70">
        <v>0</v>
      </c>
      <c r="O14" s="98">
        <v>173.21</v>
      </c>
      <c r="P14" s="70">
        <v>0</v>
      </c>
    </row>
    <row r="15" spans="1:50" ht="11.25" hidden="1" customHeight="1" x14ac:dyDescent="0.25">
      <c r="A15" s="70">
        <v>14</v>
      </c>
      <c r="B15" s="70" t="s">
        <v>460</v>
      </c>
      <c r="C15" s="70" t="s">
        <v>35</v>
      </c>
      <c r="D15" s="70" t="s">
        <v>39</v>
      </c>
      <c r="E15" s="70" t="s">
        <v>25</v>
      </c>
      <c r="F15" s="70" t="s">
        <v>25</v>
      </c>
      <c r="G15" s="70" t="s">
        <v>82</v>
      </c>
      <c r="H15" s="70" t="s">
        <v>25</v>
      </c>
      <c r="I15" s="70" t="s">
        <v>38</v>
      </c>
      <c r="J15" s="70" t="s">
        <v>601</v>
      </c>
      <c r="K15" s="70" t="s">
        <v>600</v>
      </c>
      <c r="L15" s="70" t="s">
        <v>74</v>
      </c>
      <c r="M15" s="70">
        <v>2021</v>
      </c>
      <c r="N15" s="70">
        <v>0</v>
      </c>
      <c r="O15" s="70">
        <v>12.4</v>
      </c>
      <c r="P15" s="70">
        <v>0</v>
      </c>
    </row>
    <row r="16" spans="1:50" ht="11.25" customHeight="1" x14ac:dyDescent="0.25">
      <c r="A16" s="70">
        <v>15</v>
      </c>
      <c r="B16" s="70" t="s">
        <v>460</v>
      </c>
      <c r="C16" s="70" t="s">
        <v>22</v>
      </c>
      <c r="D16" s="70" t="s">
        <v>89</v>
      </c>
      <c r="E16" s="70" t="s">
        <v>24</v>
      </c>
      <c r="F16" s="70" t="s">
        <v>30</v>
      </c>
      <c r="G16" s="70" t="s">
        <v>25</v>
      </c>
      <c r="H16" s="70" t="s">
        <v>25</v>
      </c>
      <c r="I16" s="70" t="s">
        <v>25</v>
      </c>
      <c r="J16" s="70" t="s">
        <v>601</v>
      </c>
      <c r="K16" s="70" t="s">
        <v>600</v>
      </c>
      <c r="L16" s="70" t="s">
        <v>74</v>
      </c>
      <c r="M16" s="70">
        <v>2021</v>
      </c>
      <c r="N16" s="70">
        <v>0</v>
      </c>
      <c r="O16" s="98">
        <v>103.93</v>
      </c>
      <c r="P16" s="70">
        <v>0</v>
      </c>
    </row>
    <row r="17" spans="1:16" ht="11.25" hidden="1" customHeight="1" x14ac:dyDescent="0.25">
      <c r="A17" s="70">
        <v>16</v>
      </c>
      <c r="B17" s="70" t="s">
        <v>460</v>
      </c>
      <c r="C17" s="70" t="s">
        <v>41</v>
      </c>
      <c r="D17" s="70" t="s">
        <v>23</v>
      </c>
      <c r="E17" s="70" t="s">
        <v>42</v>
      </c>
      <c r="F17" s="70" t="s">
        <v>25</v>
      </c>
      <c r="G17" s="70" t="s">
        <v>25</v>
      </c>
      <c r="H17" s="70" t="s">
        <v>25</v>
      </c>
      <c r="I17" s="70" t="s">
        <v>25</v>
      </c>
      <c r="J17" s="70" t="s">
        <v>601</v>
      </c>
      <c r="K17" s="70" t="s">
        <v>600</v>
      </c>
      <c r="L17" s="70" t="s">
        <v>74</v>
      </c>
      <c r="M17" s="70">
        <v>2021</v>
      </c>
      <c r="N17" s="70">
        <v>0</v>
      </c>
      <c r="O17" s="98">
        <v>215.47</v>
      </c>
      <c r="P17" s="70">
        <v>51.415521580940997</v>
      </c>
    </row>
    <row r="18" spans="1:16" ht="11.25" hidden="1" customHeight="1" x14ac:dyDescent="0.25">
      <c r="A18" s="70">
        <v>17</v>
      </c>
      <c r="B18" s="70" t="s">
        <v>460</v>
      </c>
      <c r="C18" s="70" t="s">
        <v>41</v>
      </c>
      <c r="D18" s="70" t="s">
        <v>50</v>
      </c>
      <c r="E18" s="70" t="s">
        <v>42</v>
      </c>
      <c r="F18" s="70" t="s">
        <v>91</v>
      </c>
      <c r="G18" s="70" t="s">
        <v>25</v>
      </c>
      <c r="H18" s="70" t="s">
        <v>25</v>
      </c>
      <c r="I18" s="70" t="s">
        <v>37</v>
      </c>
      <c r="J18" s="70" t="s">
        <v>601</v>
      </c>
      <c r="K18" s="70" t="s">
        <v>600</v>
      </c>
      <c r="L18" s="70" t="s">
        <v>74</v>
      </c>
      <c r="M18" s="70">
        <v>2021</v>
      </c>
      <c r="N18" s="70">
        <v>0</v>
      </c>
      <c r="O18" s="98">
        <v>425.71</v>
      </c>
      <c r="P18" s="70">
        <v>49.078452418170897</v>
      </c>
    </row>
    <row r="19" spans="1:16" ht="11.25" hidden="1" customHeight="1" x14ac:dyDescent="0.25">
      <c r="A19" s="70">
        <v>18</v>
      </c>
      <c r="B19" s="70" t="s">
        <v>460</v>
      </c>
      <c r="C19" s="70" t="s">
        <v>35</v>
      </c>
      <c r="D19" s="70" t="s">
        <v>39</v>
      </c>
      <c r="E19" s="70" t="s">
        <v>25</v>
      </c>
      <c r="F19" s="70" t="s">
        <v>25</v>
      </c>
      <c r="G19" s="70" t="s">
        <v>25</v>
      </c>
      <c r="H19" s="70" t="s">
        <v>25</v>
      </c>
      <c r="I19" s="70" t="s">
        <v>38</v>
      </c>
      <c r="J19" s="70" t="s">
        <v>601</v>
      </c>
      <c r="K19" s="70" t="s">
        <v>600</v>
      </c>
      <c r="L19" s="70" t="s">
        <v>74</v>
      </c>
      <c r="M19" s="70">
        <v>2021</v>
      </c>
      <c r="N19" s="70">
        <v>0</v>
      </c>
      <c r="O19" s="70">
        <v>73.19</v>
      </c>
      <c r="P19" s="70">
        <v>50.831254290248502</v>
      </c>
    </row>
    <row r="20" spans="1:16" ht="11.25" customHeight="1" x14ac:dyDescent="0.25">
      <c r="A20" s="70">
        <v>19</v>
      </c>
      <c r="B20" s="70" t="s">
        <v>460</v>
      </c>
      <c r="C20" s="70" t="s">
        <v>22</v>
      </c>
      <c r="D20" s="70" t="s">
        <v>89</v>
      </c>
      <c r="E20" s="70" t="s">
        <v>24</v>
      </c>
      <c r="F20" s="70" t="s">
        <v>24</v>
      </c>
      <c r="G20" s="70" t="s">
        <v>25</v>
      </c>
      <c r="H20" s="70" t="s">
        <v>25</v>
      </c>
      <c r="I20" s="70" t="s">
        <v>25</v>
      </c>
      <c r="J20" s="70" t="s">
        <v>601</v>
      </c>
      <c r="K20" s="70" t="s">
        <v>600</v>
      </c>
      <c r="L20" s="70" t="s">
        <v>74</v>
      </c>
      <c r="M20" s="70">
        <v>2021</v>
      </c>
      <c r="N20" s="70">
        <v>0</v>
      </c>
      <c r="O20" s="98">
        <v>244.85</v>
      </c>
      <c r="P20" s="70">
        <v>58.426729069251103</v>
      </c>
    </row>
    <row r="21" spans="1:16" ht="11.25" hidden="1" customHeight="1" x14ac:dyDescent="0.25">
      <c r="A21" s="70">
        <v>20</v>
      </c>
      <c r="B21" s="70" t="s">
        <v>460</v>
      </c>
      <c r="C21" s="70" t="s">
        <v>41</v>
      </c>
      <c r="D21" s="70" t="s">
        <v>89</v>
      </c>
      <c r="E21" s="70" t="s">
        <v>42</v>
      </c>
      <c r="F21" s="70" t="s">
        <v>25</v>
      </c>
      <c r="G21" s="70" t="s">
        <v>25</v>
      </c>
      <c r="H21" s="70" t="s">
        <v>25</v>
      </c>
      <c r="I21" s="70" t="s">
        <v>25</v>
      </c>
      <c r="J21" s="70" t="s">
        <v>601</v>
      </c>
      <c r="K21" s="70" t="s">
        <v>600</v>
      </c>
      <c r="L21" s="70" t="s">
        <v>74</v>
      </c>
      <c r="M21" s="70">
        <v>2021</v>
      </c>
      <c r="N21" s="70">
        <v>0</v>
      </c>
      <c r="O21" s="98">
        <v>215.47</v>
      </c>
      <c r="P21" s="70">
        <v>51.415521580940997</v>
      </c>
    </row>
    <row r="22" spans="1:16" ht="11.25" customHeight="1" x14ac:dyDescent="0.25">
      <c r="A22" s="70">
        <v>21</v>
      </c>
      <c r="B22" s="70" t="s">
        <v>488</v>
      </c>
      <c r="C22" s="70" t="s">
        <v>22</v>
      </c>
      <c r="D22" s="70" t="s">
        <v>73</v>
      </c>
      <c r="E22" s="70" t="s">
        <v>24</v>
      </c>
      <c r="F22" s="70" t="s">
        <v>24</v>
      </c>
      <c r="G22" s="70" t="s">
        <v>25</v>
      </c>
      <c r="H22" s="70" t="s">
        <v>25</v>
      </c>
      <c r="I22" s="70" t="s">
        <v>51</v>
      </c>
      <c r="J22" s="70" t="s">
        <v>601</v>
      </c>
      <c r="K22" s="70" t="s">
        <v>600</v>
      </c>
      <c r="L22" s="70" t="s">
        <v>74</v>
      </c>
      <c r="M22" s="70">
        <v>2021</v>
      </c>
      <c r="N22" s="70">
        <v>0</v>
      </c>
      <c r="O22" s="98">
        <v>272.48</v>
      </c>
      <c r="P22" s="70"/>
    </row>
    <row r="23" spans="1:16" ht="11.25" hidden="1" customHeight="1" x14ac:dyDescent="0.25">
      <c r="A23" s="70">
        <v>22</v>
      </c>
      <c r="B23" s="70" t="s">
        <v>460</v>
      </c>
      <c r="C23" s="70" t="s">
        <v>84</v>
      </c>
      <c r="D23" s="70" t="s">
        <v>83</v>
      </c>
      <c r="E23" s="70" t="s">
        <v>25</v>
      </c>
      <c r="F23" s="70" t="s">
        <v>25</v>
      </c>
      <c r="G23" s="70" t="s">
        <v>85</v>
      </c>
      <c r="H23" s="70" t="s">
        <v>25</v>
      </c>
      <c r="I23" s="70" t="s">
        <v>25</v>
      </c>
      <c r="J23" s="70" t="s">
        <v>599</v>
      </c>
      <c r="K23" s="70" t="s">
        <v>600</v>
      </c>
      <c r="L23" s="70" t="s">
        <v>79</v>
      </c>
      <c r="M23" s="70">
        <v>2021</v>
      </c>
      <c r="N23" s="70">
        <v>0</v>
      </c>
      <c r="O23" s="70">
        <v>6.41</v>
      </c>
      <c r="P23" s="70">
        <v>0</v>
      </c>
    </row>
    <row r="24" spans="1:16" ht="11.25" customHeight="1" x14ac:dyDescent="0.25">
      <c r="A24" s="70">
        <v>23</v>
      </c>
      <c r="B24" s="70" t="s">
        <v>460</v>
      </c>
      <c r="C24" s="70" t="s">
        <v>22</v>
      </c>
      <c r="D24" s="70" t="s">
        <v>89</v>
      </c>
      <c r="E24" s="70" t="s">
        <v>24</v>
      </c>
      <c r="F24" s="70" t="s">
        <v>31</v>
      </c>
      <c r="G24" s="70" t="s">
        <v>25</v>
      </c>
      <c r="H24" s="70" t="s">
        <v>25</v>
      </c>
      <c r="I24" s="70" t="s">
        <v>25</v>
      </c>
      <c r="J24" s="70" t="s">
        <v>601</v>
      </c>
      <c r="K24" s="70" t="s">
        <v>600</v>
      </c>
      <c r="L24" s="70" t="s">
        <v>74</v>
      </c>
      <c r="M24" s="70">
        <v>2021</v>
      </c>
      <c r="N24" s="70">
        <v>0</v>
      </c>
      <c r="O24" s="98">
        <v>155.88999999999999</v>
      </c>
      <c r="P24" s="70">
        <v>0</v>
      </c>
    </row>
    <row r="25" spans="1:16" ht="11.25" hidden="1" customHeight="1" x14ac:dyDescent="0.25">
      <c r="A25" s="70">
        <v>24</v>
      </c>
      <c r="B25" s="70" t="s">
        <v>460</v>
      </c>
      <c r="C25" s="70" t="s">
        <v>35</v>
      </c>
      <c r="D25" s="70" t="s">
        <v>39</v>
      </c>
      <c r="E25" s="70" t="s">
        <v>25</v>
      </c>
      <c r="F25" s="70" t="s">
        <v>25</v>
      </c>
      <c r="G25" s="70" t="s">
        <v>25</v>
      </c>
      <c r="H25" s="70" t="s">
        <v>25</v>
      </c>
      <c r="I25" s="70" t="s">
        <v>25</v>
      </c>
      <c r="J25" s="70" t="s">
        <v>599</v>
      </c>
      <c r="K25" s="70" t="s">
        <v>600</v>
      </c>
      <c r="L25" s="70" t="s">
        <v>79</v>
      </c>
      <c r="M25" s="70">
        <v>2021</v>
      </c>
      <c r="N25" s="70">
        <v>0</v>
      </c>
      <c r="O25" s="70">
        <v>22.9</v>
      </c>
      <c r="P25" s="70">
        <v>0</v>
      </c>
    </row>
    <row r="26" spans="1:16" ht="11.25" customHeight="1" x14ac:dyDescent="0.25">
      <c r="A26" s="70">
        <v>25</v>
      </c>
      <c r="B26" s="70" t="s">
        <v>460</v>
      </c>
      <c r="C26" s="70" t="s">
        <v>22</v>
      </c>
      <c r="D26" s="70" t="s">
        <v>50</v>
      </c>
      <c r="E26" s="70" t="s">
        <v>24</v>
      </c>
      <c r="F26" s="70" t="s">
        <v>24</v>
      </c>
      <c r="G26" s="70" t="s">
        <v>25</v>
      </c>
      <c r="H26" s="70" t="s">
        <v>25</v>
      </c>
      <c r="I26" s="70" t="s">
        <v>38</v>
      </c>
      <c r="J26" s="70" t="s">
        <v>601</v>
      </c>
      <c r="K26" s="70" t="s">
        <v>600</v>
      </c>
      <c r="L26" s="70" t="s">
        <v>74</v>
      </c>
      <c r="M26" s="70">
        <v>2021</v>
      </c>
      <c r="N26" s="70">
        <v>0</v>
      </c>
      <c r="O26" s="98">
        <v>183.06</v>
      </c>
      <c r="P26" s="70">
        <v>58.426729069251103</v>
      </c>
    </row>
    <row r="27" spans="1:16" ht="11.25" customHeight="1" x14ac:dyDescent="0.25">
      <c r="A27" s="70">
        <v>26</v>
      </c>
      <c r="B27" s="70" t="s">
        <v>488</v>
      </c>
      <c r="C27" s="70" t="s">
        <v>22</v>
      </c>
      <c r="D27" s="70" t="s">
        <v>73</v>
      </c>
      <c r="E27" s="70" t="s">
        <v>24</v>
      </c>
      <c r="F27" s="70" t="s">
        <v>24</v>
      </c>
      <c r="G27" s="70" t="s">
        <v>25</v>
      </c>
      <c r="H27" s="70" t="s">
        <v>25</v>
      </c>
      <c r="I27" s="70" t="s">
        <v>37</v>
      </c>
      <c r="J27" s="70" t="s">
        <v>601</v>
      </c>
      <c r="K27" s="70" t="s">
        <v>600</v>
      </c>
      <c r="L27" s="70" t="s">
        <v>74</v>
      </c>
      <c r="M27" s="70">
        <v>2021</v>
      </c>
      <c r="N27" s="70">
        <v>0</v>
      </c>
      <c r="O27" s="98">
        <v>451.4</v>
      </c>
      <c r="P27" s="70"/>
    </row>
    <row r="28" spans="1:16" ht="11.25" hidden="1" customHeight="1" x14ac:dyDescent="0.25">
      <c r="A28" s="70">
        <v>27</v>
      </c>
      <c r="B28" s="70" t="s">
        <v>460</v>
      </c>
      <c r="C28" s="70" t="s">
        <v>35</v>
      </c>
      <c r="D28" s="70" t="s">
        <v>36</v>
      </c>
      <c r="E28" s="70" t="s">
        <v>25</v>
      </c>
      <c r="F28" s="70" t="s">
        <v>25</v>
      </c>
      <c r="G28" s="70" t="s">
        <v>25</v>
      </c>
      <c r="H28" s="70" t="s">
        <v>25</v>
      </c>
      <c r="I28" s="70" t="s">
        <v>25</v>
      </c>
      <c r="J28" s="70" t="s">
        <v>601</v>
      </c>
      <c r="K28" s="70" t="s">
        <v>600</v>
      </c>
      <c r="L28" s="70" t="s">
        <v>74</v>
      </c>
      <c r="M28" s="70">
        <v>2021</v>
      </c>
      <c r="N28" s="70">
        <v>0</v>
      </c>
      <c r="O28" s="70">
        <v>73.19</v>
      </c>
      <c r="P28" s="70">
        <v>50.831254290248502</v>
      </c>
    </row>
    <row r="29" spans="1:16" ht="11.25" customHeight="1" x14ac:dyDescent="0.25">
      <c r="A29" s="70">
        <v>28</v>
      </c>
      <c r="B29" s="70" t="s">
        <v>460</v>
      </c>
      <c r="C29" s="70" t="s">
        <v>22</v>
      </c>
      <c r="D29" s="70" t="s">
        <v>23</v>
      </c>
      <c r="E29" s="70" t="s">
        <v>24</v>
      </c>
      <c r="F29" s="70" t="s">
        <v>29</v>
      </c>
      <c r="G29" s="70" t="s">
        <v>25</v>
      </c>
      <c r="H29" s="70" t="s">
        <v>25</v>
      </c>
      <c r="I29" s="70" t="s">
        <v>25</v>
      </c>
      <c r="J29" s="70" t="s">
        <v>601</v>
      </c>
      <c r="K29" s="70" t="s">
        <v>600</v>
      </c>
      <c r="L29" s="70" t="s">
        <v>74</v>
      </c>
      <c r="M29" s="70">
        <v>2021</v>
      </c>
      <c r="N29" s="70">
        <v>0</v>
      </c>
      <c r="O29" s="98">
        <v>60.62</v>
      </c>
      <c r="P29" s="70">
        <v>0</v>
      </c>
    </row>
    <row r="30" spans="1:16" ht="11.25" hidden="1" customHeight="1" x14ac:dyDescent="0.25">
      <c r="A30" s="70">
        <v>29</v>
      </c>
      <c r="B30" s="70" t="s">
        <v>460</v>
      </c>
      <c r="C30" s="70" t="s">
        <v>35</v>
      </c>
      <c r="D30" s="70" t="s">
        <v>83</v>
      </c>
      <c r="E30" s="70" t="s">
        <v>25</v>
      </c>
      <c r="F30" s="70" t="s">
        <v>25</v>
      </c>
      <c r="G30" s="70" t="s">
        <v>25</v>
      </c>
      <c r="H30" s="70" t="s">
        <v>25</v>
      </c>
      <c r="I30" s="70" t="s">
        <v>25</v>
      </c>
      <c r="J30" s="70" t="s">
        <v>599</v>
      </c>
      <c r="K30" s="70" t="s">
        <v>600</v>
      </c>
      <c r="L30" s="70" t="s">
        <v>79</v>
      </c>
      <c r="M30" s="70">
        <v>2021</v>
      </c>
      <c r="N30" s="70">
        <v>0</v>
      </c>
      <c r="O30" s="70">
        <v>10.54</v>
      </c>
      <c r="P30" s="70">
        <v>0</v>
      </c>
    </row>
    <row r="31" spans="1:16" ht="11.25" customHeight="1" x14ac:dyDescent="0.25">
      <c r="A31" s="70">
        <v>30</v>
      </c>
      <c r="B31" s="70" t="s">
        <v>460</v>
      </c>
      <c r="C31" s="70" t="s">
        <v>22</v>
      </c>
      <c r="D31" s="70" t="s">
        <v>23</v>
      </c>
      <c r="E31" s="70" t="s">
        <v>24</v>
      </c>
      <c r="F31" s="70" t="s">
        <v>30</v>
      </c>
      <c r="G31" s="70" t="s">
        <v>25</v>
      </c>
      <c r="H31" s="70" t="s">
        <v>25</v>
      </c>
      <c r="I31" s="70" t="s">
        <v>25</v>
      </c>
      <c r="J31" s="70" t="s">
        <v>601</v>
      </c>
      <c r="K31" s="70" t="s">
        <v>600</v>
      </c>
      <c r="L31" s="70" t="s">
        <v>74</v>
      </c>
      <c r="M31" s="70">
        <v>2021</v>
      </c>
      <c r="N31" s="70">
        <v>0</v>
      </c>
      <c r="O31" s="98">
        <v>103.93</v>
      </c>
      <c r="P31" s="70">
        <v>0</v>
      </c>
    </row>
    <row r="32" spans="1:16" ht="11.25" hidden="1" customHeight="1" x14ac:dyDescent="0.25">
      <c r="A32" s="70">
        <v>31</v>
      </c>
      <c r="B32" s="70" t="s">
        <v>460</v>
      </c>
      <c r="C32" s="70" t="s">
        <v>33</v>
      </c>
      <c r="D32" s="70" t="s">
        <v>50</v>
      </c>
      <c r="E32" s="70" t="s">
        <v>25</v>
      </c>
      <c r="F32" s="70" t="s">
        <v>25</v>
      </c>
      <c r="G32" s="70" t="s">
        <v>25</v>
      </c>
      <c r="H32" s="70" t="s">
        <v>25</v>
      </c>
      <c r="I32" s="70" t="s">
        <v>38</v>
      </c>
      <c r="J32" s="70" t="s">
        <v>601</v>
      </c>
      <c r="K32" s="70" t="s">
        <v>600</v>
      </c>
      <c r="L32" s="70" t="s">
        <v>74</v>
      </c>
      <c r="M32" s="70">
        <v>2021</v>
      </c>
      <c r="N32" s="70">
        <v>0</v>
      </c>
      <c r="O32" s="98">
        <v>201.87</v>
      </c>
      <c r="P32" s="70">
        <v>58.426729069251103</v>
      </c>
    </row>
    <row r="33" spans="1:16" ht="11.25" customHeight="1" x14ac:dyDescent="0.25">
      <c r="A33" s="70">
        <v>32</v>
      </c>
      <c r="B33" s="70" t="s">
        <v>488</v>
      </c>
      <c r="C33" s="70" t="s">
        <v>22</v>
      </c>
      <c r="D33" s="70" t="s">
        <v>77</v>
      </c>
      <c r="E33" s="70" t="s">
        <v>24</v>
      </c>
      <c r="F33" s="70" t="s">
        <v>30</v>
      </c>
      <c r="G33" s="70" t="s">
        <v>25</v>
      </c>
      <c r="H33" s="70" t="s">
        <v>25</v>
      </c>
      <c r="I33" s="70" t="s">
        <v>25</v>
      </c>
      <c r="J33" s="70" t="s">
        <v>601</v>
      </c>
      <c r="K33" s="70" t="s">
        <v>600</v>
      </c>
      <c r="L33" s="70" t="s">
        <v>74</v>
      </c>
      <c r="M33" s="70">
        <v>2021</v>
      </c>
      <c r="N33" s="70">
        <v>0</v>
      </c>
      <c r="O33" s="98">
        <v>172.43</v>
      </c>
      <c r="P33" s="70"/>
    </row>
    <row r="34" spans="1:16" ht="11.25" hidden="1" customHeight="1" x14ac:dyDescent="0.25">
      <c r="A34" s="70">
        <v>33</v>
      </c>
      <c r="B34" s="70" t="s">
        <v>460</v>
      </c>
      <c r="C34" s="70" t="s">
        <v>33</v>
      </c>
      <c r="D34" s="70" t="s">
        <v>23</v>
      </c>
      <c r="E34" s="70" t="s">
        <v>25</v>
      </c>
      <c r="F34" s="70" t="s">
        <v>25</v>
      </c>
      <c r="G34" s="70" t="s">
        <v>25</v>
      </c>
      <c r="H34" s="70" t="s">
        <v>25</v>
      </c>
      <c r="I34" s="70" t="s">
        <v>25</v>
      </c>
      <c r="J34" s="70" t="s">
        <v>601</v>
      </c>
      <c r="K34" s="70" t="s">
        <v>600</v>
      </c>
      <c r="L34" s="70" t="s">
        <v>74</v>
      </c>
      <c r="M34" s="70">
        <v>2021</v>
      </c>
      <c r="N34" s="70">
        <v>0</v>
      </c>
      <c r="O34" s="98">
        <v>244.85</v>
      </c>
      <c r="P34" s="70">
        <v>58.426729069251103</v>
      </c>
    </row>
    <row r="35" spans="1:16" ht="11.25" customHeight="1" x14ac:dyDescent="0.25">
      <c r="A35" s="70">
        <v>34</v>
      </c>
      <c r="B35" s="70" t="s">
        <v>488</v>
      </c>
      <c r="C35" s="70" t="s">
        <v>22</v>
      </c>
      <c r="D35" s="70" t="s">
        <v>77</v>
      </c>
      <c r="E35" s="70" t="s">
        <v>24</v>
      </c>
      <c r="F35" s="70" t="s">
        <v>32</v>
      </c>
      <c r="G35" s="70" t="s">
        <v>25</v>
      </c>
      <c r="H35" s="70" t="s">
        <v>25</v>
      </c>
      <c r="I35" s="70" t="s">
        <v>25</v>
      </c>
      <c r="J35" s="70" t="s">
        <v>601</v>
      </c>
      <c r="K35" s="70" t="s">
        <v>600</v>
      </c>
      <c r="L35" s="70" t="s">
        <v>74</v>
      </c>
      <c r="M35" s="70">
        <v>2021</v>
      </c>
      <c r="N35" s="70">
        <v>0</v>
      </c>
      <c r="O35" s="98">
        <v>287.39</v>
      </c>
      <c r="P35" s="70"/>
    </row>
    <row r="36" spans="1:16" ht="11.25" hidden="1" customHeight="1" x14ac:dyDescent="0.25">
      <c r="A36" s="70">
        <v>35</v>
      </c>
      <c r="B36" s="70" t="s">
        <v>488</v>
      </c>
      <c r="C36" s="70" t="s">
        <v>41</v>
      </c>
      <c r="D36" s="70" t="s">
        <v>73</v>
      </c>
      <c r="E36" s="70" t="s">
        <v>42</v>
      </c>
      <c r="F36" s="70" t="s">
        <v>25</v>
      </c>
      <c r="G36" s="70" t="s">
        <v>25</v>
      </c>
      <c r="H36" s="70" t="s">
        <v>25</v>
      </c>
      <c r="I36" s="70" t="s">
        <v>51</v>
      </c>
      <c r="J36" s="70" t="s">
        <v>601</v>
      </c>
      <c r="K36" s="70" t="s">
        <v>600</v>
      </c>
      <c r="L36" s="70" t="s">
        <v>74</v>
      </c>
      <c r="M36" s="70">
        <v>2021</v>
      </c>
      <c r="N36" s="70">
        <v>0</v>
      </c>
      <c r="O36" s="98">
        <v>239.78</v>
      </c>
      <c r="P36" s="70"/>
    </row>
    <row r="37" spans="1:16" ht="11.25" hidden="1" customHeight="1" x14ac:dyDescent="0.25">
      <c r="A37" s="70">
        <v>36</v>
      </c>
      <c r="B37" s="70" t="s">
        <v>488</v>
      </c>
      <c r="C37" s="70" t="s">
        <v>41</v>
      </c>
      <c r="D37" s="70" t="s">
        <v>88</v>
      </c>
      <c r="E37" s="70" t="s">
        <v>42</v>
      </c>
      <c r="F37" s="70" t="s">
        <v>91</v>
      </c>
      <c r="G37" s="70" t="s">
        <v>25</v>
      </c>
      <c r="H37" s="70" t="s">
        <v>25</v>
      </c>
      <c r="I37" s="70" t="s">
        <v>25</v>
      </c>
      <c r="J37" s="70" t="s">
        <v>601</v>
      </c>
      <c r="K37" s="70" t="s">
        <v>600</v>
      </c>
      <c r="L37" s="70" t="s">
        <v>74</v>
      </c>
      <c r="M37" s="70">
        <v>2021</v>
      </c>
      <c r="N37" s="70">
        <v>0</v>
      </c>
      <c r="O37" s="98">
        <v>241.41</v>
      </c>
      <c r="P37" s="70"/>
    </row>
    <row r="38" spans="1:16" ht="11.25" customHeight="1" x14ac:dyDescent="0.25">
      <c r="A38" s="70">
        <v>37</v>
      </c>
      <c r="B38" s="70" t="s">
        <v>460</v>
      </c>
      <c r="C38" s="70" t="s">
        <v>22</v>
      </c>
      <c r="D38" s="70" t="s">
        <v>23</v>
      </c>
      <c r="E38" s="70" t="s">
        <v>24</v>
      </c>
      <c r="F38" s="70" t="s">
        <v>31</v>
      </c>
      <c r="G38" s="70" t="s">
        <v>25</v>
      </c>
      <c r="H38" s="70" t="s">
        <v>25</v>
      </c>
      <c r="I38" s="70" t="s">
        <v>25</v>
      </c>
      <c r="J38" s="70" t="s">
        <v>601</v>
      </c>
      <c r="K38" s="70" t="s">
        <v>600</v>
      </c>
      <c r="L38" s="70" t="s">
        <v>74</v>
      </c>
      <c r="M38" s="70">
        <v>2021</v>
      </c>
      <c r="N38" s="70">
        <v>0</v>
      </c>
      <c r="O38" s="98">
        <v>155.88999999999999</v>
      </c>
      <c r="P38" s="70">
        <v>0</v>
      </c>
    </row>
    <row r="39" spans="1:16" ht="11.25" hidden="1" customHeight="1" x14ac:dyDescent="0.25">
      <c r="A39" s="70">
        <v>38</v>
      </c>
      <c r="B39" s="70" t="s">
        <v>460</v>
      </c>
      <c r="C39" s="70" t="s">
        <v>33</v>
      </c>
      <c r="D39" s="70" t="s">
        <v>89</v>
      </c>
      <c r="E39" s="70" t="s">
        <v>25</v>
      </c>
      <c r="F39" s="70" t="s">
        <v>25</v>
      </c>
      <c r="G39" s="70" t="s">
        <v>25</v>
      </c>
      <c r="H39" s="70" t="s">
        <v>25</v>
      </c>
      <c r="I39" s="70" t="s">
        <v>25</v>
      </c>
      <c r="J39" s="70" t="s">
        <v>601</v>
      </c>
      <c r="K39" s="70" t="s">
        <v>600</v>
      </c>
      <c r="L39" s="70" t="s">
        <v>74</v>
      </c>
      <c r="M39" s="70">
        <v>2021</v>
      </c>
      <c r="N39" s="70">
        <v>0</v>
      </c>
      <c r="O39" s="98">
        <v>244.85</v>
      </c>
      <c r="P39" s="70">
        <v>58.426729069251103</v>
      </c>
    </row>
    <row r="40" spans="1:16" ht="11.25" hidden="1" customHeight="1" x14ac:dyDescent="0.25">
      <c r="A40" s="70">
        <v>39</v>
      </c>
      <c r="B40" s="70" t="s">
        <v>460</v>
      </c>
      <c r="C40" s="70" t="s">
        <v>35</v>
      </c>
      <c r="D40" s="70" t="s">
        <v>36</v>
      </c>
      <c r="E40" s="70" t="s">
        <v>25</v>
      </c>
      <c r="F40" s="70" t="s">
        <v>25</v>
      </c>
      <c r="G40" s="70" t="s">
        <v>82</v>
      </c>
      <c r="H40" s="70" t="s">
        <v>25</v>
      </c>
      <c r="I40" s="70" t="s">
        <v>25</v>
      </c>
      <c r="J40" s="70" t="s">
        <v>601</v>
      </c>
      <c r="K40" s="70" t="s">
        <v>600</v>
      </c>
      <c r="L40" s="70" t="s">
        <v>74</v>
      </c>
      <c r="M40" s="70">
        <v>2021</v>
      </c>
      <c r="N40" s="70">
        <v>0</v>
      </c>
      <c r="O40" s="70">
        <v>12.4</v>
      </c>
      <c r="P40" s="70">
        <v>0</v>
      </c>
    </row>
    <row r="41" spans="1:16" ht="11.25" hidden="1" customHeight="1" x14ac:dyDescent="0.25">
      <c r="A41" s="70">
        <v>40</v>
      </c>
      <c r="B41" s="70" t="s">
        <v>460</v>
      </c>
      <c r="C41" s="70" t="s">
        <v>41</v>
      </c>
      <c r="D41" s="70" t="s">
        <v>89</v>
      </c>
      <c r="E41" s="70" t="s">
        <v>42</v>
      </c>
      <c r="F41" s="70" t="s">
        <v>91</v>
      </c>
      <c r="G41" s="70" t="s">
        <v>25</v>
      </c>
      <c r="H41" s="70" t="s">
        <v>25</v>
      </c>
      <c r="I41" s="70" t="s">
        <v>25</v>
      </c>
      <c r="J41" s="70" t="s">
        <v>601</v>
      </c>
      <c r="K41" s="70" t="s">
        <v>600</v>
      </c>
      <c r="L41" s="70" t="s">
        <v>74</v>
      </c>
      <c r="M41" s="70">
        <v>2021</v>
      </c>
      <c r="N41" s="70">
        <v>0</v>
      </c>
      <c r="O41" s="98">
        <v>205.68</v>
      </c>
      <c r="P41" s="70">
        <v>49.078452418170897</v>
      </c>
    </row>
    <row r="42" spans="1:16" ht="11.25" customHeight="1" x14ac:dyDescent="0.25">
      <c r="A42" s="70">
        <v>41</v>
      </c>
      <c r="B42" s="70" t="s">
        <v>488</v>
      </c>
      <c r="C42" s="70" t="s">
        <v>22</v>
      </c>
      <c r="D42" s="70" t="s">
        <v>77</v>
      </c>
      <c r="E42" s="70" t="s">
        <v>24</v>
      </c>
      <c r="F42" s="70" t="s">
        <v>24</v>
      </c>
      <c r="G42" s="70" t="s">
        <v>25</v>
      </c>
      <c r="H42" s="70" t="s">
        <v>25</v>
      </c>
      <c r="I42" s="70" t="s">
        <v>25</v>
      </c>
      <c r="J42" s="70" t="s">
        <v>601</v>
      </c>
      <c r="K42" s="70" t="s">
        <v>600</v>
      </c>
      <c r="L42" s="70" t="s">
        <v>74</v>
      </c>
      <c r="M42" s="70">
        <v>2021</v>
      </c>
      <c r="N42" s="70">
        <v>0</v>
      </c>
      <c r="O42" s="98">
        <v>287.39</v>
      </c>
      <c r="P42" s="70"/>
    </row>
    <row r="43" spans="1:16" ht="11.25" hidden="1" customHeight="1" x14ac:dyDescent="0.25">
      <c r="A43" s="70">
        <v>42</v>
      </c>
      <c r="B43" s="70" t="s">
        <v>460</v>
      </c>
      <c r="C43" s="70" t="s">
        <v>33</v>
      </c>
      <c r="D43" s="70" t="s">
        <v>50</v>
      </c>
      <c r="E43" s="70" t="s">
        <v>25</v>
      </c>
      <c r="F43" s="70" t="s">
        <v>25</v>
      </c>
      <c r="G43" s="70" t="s">
        <v>25</v>
      </c>
      <c r="H43" s="70" t="s">
        <v>25</v>
      </c>
      <c r="I43" s="70" t="s">
        <v>37</v>
      </c>
      <c r="J43" s="70" t="s">
        <v>601</v>
      </c>
      <c r="K43" s="70" t="s">
        <v>600</v>
      </c>
      <c r="L43" s="70" t="s">
        <v>74</v>
      </c>
      <c r="M43" s="70">
        <v>2021</v>
      </c>
      <c r="N43" s="70">
        <v>0</v>
      </c>
      <c r="O43" s="98">
        <v>567.25</v>
      </c>
      <c r="P43" s="70">
        <v>58.426729069251103</v>
      </c>
    </row>
    <row r="44" spans="1:16" ht="11.25" hidden="1" customHeight="1" x14ac:dyDescent="0.25">
      <c r="A44" s="70">
        <v>43</v>
      </c>
      <c r="B44" s="70" t="s">
        <v>460</v>
      </c>
      <c r="C44" s="70" t="s">
        <v>41</v>
      </c>
      <c r="D44" s="70" t="s">
        <v>50</v>
      </c>
      <c r="E44" s="70" t="s">
        <v>42</v>
      </c>
      <c r="F44" s="70" t="s">
        <v>90</v>
      </c>
      <c r="G44" s="70" t="s">
        <v>25</v>
      </c>
      <c r="H44" s="70" t="s">
        <v>25</v>
      </c>
      <c r="I44" s="70" t="s">
        <v>38</v>
      </c>
      <c r="J44" s="70" t="s">
        <v>601</v>
      </c>
      <c r="K44" s="70" t="s">
        <v>600</v>
      </c>
      <c r="L44" s="70" t="s">
        <v>74</v>
      </c>
      <c r="M44" s="70">
        <v>2021</v>
      </c>
      <c r="N44" s="70">
        <v>0</v>
      </c>
      <c r="O44" s="98">
        <v>167</v>
      </c>
      <c r="P44" s="70">
        <v>51.415521580940997</v>
      </c>
    </row>
    <row r="45" spans="1:16" ht="11.25" hidden="1" customHeight="1" x14ac:dyDescent="0.25">
      <c r="A45" s="70">
        <v>44</v>
      </c>
      <c r="B45" s="70" t="s">
        <v>460</v>
      </c>
      <c r="C45" s="70" t="s">
        <v>41</v>
      </c>
      <c r="D45" s="70" t="s">
        <v>50</v>
      </c>
      <c r="E45" s="70" t="s">
        <v>42</v>
      </c>
      <c r="F45" s="70" t="s">
        <v>91</v>
      </c>
      <c r="G45" s="70" t="s">
        <v>25</v>
      </c>
      <c r="H45" s="70" t="s">
        <v>25</v>
      </c>
      <c r="I45" s="70" t="s">
        <v>38</v>
      </c>
      <c r="J45" s="70" t="s">
        <v>601</v>
      </c>
      <c r="K45" s="70" t="s">
        <v>600</v>
      </c>
      <c r="L45" s="70" t="s">
        <v>74</v>
      </c>
      <c r="M45" s="70">
        <v>2021</v>
      </c>
      <c r="N45" s="70">
        <v>0</v>
      </c>
      <c r="O45" s="98">
        <v>159.41</v>
      </c>
      <c r="P45" s="70">
        <v>49.078452418170897</v>
      </c>
    </row>
    <row r="46" spans="1:16" ht="11.25" hidden="1" customHeight="1" x14ac:dyDescent="0.25">
      <c r="A46" s="70">
        <v>45</v>
      </c>
      <c r="B46" s="70" t="s">
        <v>460</v>
      </c>
      <c r="C46" s="70" t="s">
        <v>41</v>
      </c>
      <c r="D46" s="70" t="s">
        <v>50</v>
      </c>
      <c r="E46" s="70" t="s">
        <v>42</v>
      </c>
      <c r="F46" s="70" t="s">
        <v>25</v>
      </c>
      <c r="G46" s="70" t="s">
        <v>25</v>
      </c>
      <c r="H46" s="70" t="s">
        <v>25</v>
      </c>
      <c r="I46" s="70" t="s">
        <v>38</v>
      </c>
      <c r="J46" s="70" t="s">
        <v>601</v>
      </c>
      <c r="K46" s="70" t="s">
        <v>600</v>
      </c>
      <c r="L46" s="70" t="s">
        <v>74</v>
      </c>
      <c r="M46" s="70">
        <v>2021</v>
      </c>
      <c r="N46" s="70">
        <v>0</v>
      </c>
      <c r="O46" s="98">
        <v>167</v>
      </c>
      <c r="P46" s="70">
        <v>51.415521580940997</v>
      </c>
    </row>
    <row r="47" spans="1:16" ht="11.25" hidden="1" customHeight="1" x14ac:dyDescent="0.25">
      <c r="A47" s="70">
        <v>46</v>
      </c>
      <c r="B47" s="70" t="s">
        <v>460</v>
      </c>
      <c r="C47" s="70" t="s">
        <v>41</v>
      </c>
      <c r="D47" s="70" t="s">
        <v>23</v>
      </c>
      <c r="E47" s="70" t="s">
        <v>42</v>
      </c>
      <c r="F47" s="70" t="s">
        <v>90</v>
      </c>
      <c r="G47" s="70" t="s">
        <v>25</v>
      </c>
      <c r="H47" s="70" t="s">
        <v>25</v>
      </c>
      <c r="I47" s="70" t="s">
        <v>25</v>
      </c>
      <c r="J47" s="70" t="s">
        <v>601</v>
      </c>
      <c r="K47" s="70" t="s">
        <v>600</v>
      </c>
      <c r="L47" s="70" t="s">
        <v>74</v>
      </c>
      <c r="M47" s="70">
        <v>2021</v>
      </c>
      <c r="N47" s="70">
        <v>0</v>
      </c>
      <c r="O47" s="98">
        <v>215.47</v>
      </c>
      <c r="P47" s="70">
        <v>51.415521580940997</v>
      </c>
    </row>
    <row r="48" spans="1:16" ht="11.25" hidden="1" customHeight="1" x14ac:dyDescent="0.25">
      <c r="A48" s="70">
        <v>47</v>
      </c>
      <c r="B48" s="70" t="s">
        <v>488</v>
      </c>
      <c r="C48" s="70" t="s">
        <v>41</v>
      </c>
      <c r="D48" s="70" t="s">
        <v>77</v>
      </c>
      <c r="E48" s="70" t="s">
        <v>42</v>
      </c>
      <c r="F48" s="70" t="s">
        <v>90</v>
      </c>
      <c r="G48" s="70" t="s">
        <v>25</v>
      </c>
      <c r="H48" s="70" t="s">
        <v>25</v>
      </c>
      <c r="I48" s="70" t="s">
        <v>25</v>
      </c>
      <c r="J48" s="70" t="s">
        <v>601</v>
      </c>
      <c r="K48" s="70" t="s">
        <v>600</v>
      </c>
      <c r="L48" s="70" t="s">
        <v>74</v>
      </c>
      <c r="M48" s="70">
        <v>2021</v>
      </c>
      <c r="N48" s="70">
        <v>0</v>
      </c>
      <c r="O48" s="98">
        <v>252.9</v>
      </c>
      <c r="P48" s="70"/>
    </row>
    <row r="49" spans="1:16" ht="11.25" hidden="1" customHeight="1" x14ac:dyDescent="0.25">
      <c r="A49" s="70">
        <v>48</v>
      </c>
      <c r="B49" s="70" t="s">
        <v>488</v>
      </c>
      <c r="C49" s="70" t="s">
        <v>44</v>
      </c>
      <c r="D49" s="70" t="s">
        <v>77</v>
      </c>
      <c r="E49" s="70" t="s">
        <v>45</v>
      </c>
      <c r="F49" s="70" t="s">
        <v>46</v>
      </c>
      <c r="G49" s="70" t="s">
        <v>25</v>
      </c>
      <c r="H49" s="70" t="s">
        <v>25</v>
      </c>
      <c r="I49" s="70" t="s">
        <v>25</v>
      </c>
      <c r="J49" s="70" t="s">
        <v>601</v>
      </c>
      <c r="K49" s="70" t="s">
        <v>600</v>
      </c>
      <c r="L49" s="70" t="s">
        <v>74</v>
      </c>
      <c r="M49" s="70">
        <v>2021</v>
      </c>
      <c r="N49" s="70">
        <v>0</v>
      </c>
      <c r="O49" s="98">
        <v>158.06</v>
      </c>
      <c r="P49" s="70"/>
    </row>
    <row r="50" spans="1:16" ht="11.25" hidden="1" customHeight="1" x14ac:dyDescent="0.25">
      <c r="A50" s="70">
        <v>49</v>
      </c>
      <c r="B50" s="70" t="s">
        <v>460</v>
      </c>
      <c r="C50" s="70" t="s">
        <v>41</v>
      </c>
      <c r="D50" s="70" t="s">
        <v>23</v>
      </c>
      <c r="E50" s="70" t="s">
        <v>42</v>
      </c>
      <c r="F50" s="70" t="s">
        <v>91</v>
      </c>
      <c r="G50" s="70" t="s">
        <v>25</v>
      </c>
      <c r="H50" s="70" t="s">
        <v>25</v>
      </c>
      <c r="I50" s="70" t="s">
        <v>25</v>
      </c>
      <c r="J50" s="70" t="s">
        <v>601</v>
      </c>
      <c r="K50" s="70" t="s">
        <v>600</v>
      </c>
      <c r="L50" s="70" t="s">
        <v>74</v>
      </c>
      <c r="M50" s="70">
        <v>2021</v>
      </c>
      <c r="N50" s="70">
        <v>0</v>
      </c>
      <c r="O50" s="98">
        <v>205.68</v>
      </c>
      <c r="P50" s="70">
        <v>49.078452418170897</v>
      </c>
    </row>
    <row r="51" spans="1:16" ht="11.25" hidden="1" customHeight="1" x14ac:dyDescent="0.25">
      <c r="A51" s="70">
        <v>50</v>
      </c>
      <c r="B51" s="70" t="s">
        <v>460</v>
      </c>
      <c r="C51" s="70" t="s">
        <v>41</v>
      </c>
      <c r="D51" s="70" t="s">
        <v>89</v>
      </c>
      <c r="E51" s="70" t="s">
        <v>42</v>
      </c>
      <c r="F51" s="70" t="s">
        <v>90</v>
      </c>
      <c r="G51" s="70" t="s">
        <v>25</v>
      </c>
      <c r="H51" s="70" t="s">
        <v>25</v>
      </c>
      <c r="I51" s="70" t="s">
        <v>25</v>
      </c>
      <c r="J51" s="70" t="s">
        <v>601</v>
      </c>
      <c r="K51" s="70" t="s">
        <v>600</v>
      </c>
      <c r="L51" s="70" t="s">
        <v>74</v>
      </c>
      <c r="M51" s="70">
        <v>2021</v>
      </c>
      <c r="N51" s="70">
        <v>0</v>
      </c>
      <c r="O51" s="98">
        <v>215.47</v>
      </c>
      <c r="P51" s="70">
        <v>51.415521580940997</v>
      </c>
    </row>
    <row r="52" spans="1:16" ht="11.25" customHeight="1" x14ac:dyDescent="0.25">
      <c r="A52" s="70">
        <v>51</v>
      </c>
      <c r="B52" s="70" t="s">
        <v>488</v>
      </c>
      <c r="C52" s="70" t="s">
        <v>22</v>
      </c>
      <c r="D52" s="70" t="s">
        <v>73</v>
      </c>
      <c r="E52" s="70" t="s">
        <v>24</v>
      </c>
      <c r="F52" s="70" t="s">
        <v>24</v>
      </c>
      <c r="G52" s="70" t="s">
        <v>25</v>
      </c>
      <c r="H52" s="70" t="s">
        <v>25</v>
      </c>
      <c r="I52" s="70" t="s">
        <v>38</v>
      </c>
      <c r="J52" s="70" t="s">
        <v>601</v>
      </c>
      <c r="K52" s="70" t="s">
        <v>600</v>
      </c>
      <c r="L52" s="70" t="s">
        <v>74</v>
      </c>
      <c r="M52" s="70">
        <v>2021</v>
      </c>
      <c r="N52" s="70">
        <v>0</v>
      </c>
      <c r="O52" s="98">
        <v>272.48</v>
      </c>
      <c r="P52" s="70"/>
    </row>
    <row r="53" spans="1:16" ht="11.25" hidden="1" customHeight="1" x14ac:dyDescent="0.25">
      <c r="A53" s="70">
        <v>52</v>
      </c>
      <c r="B53" s="70" t="s">
        <v>460</v>
      </c>
      <c r="C53" s="70" t="s">
        <v>41</v>
      </c>
      <c r="D53" s="70" t="s">
        <v>50</v>
      </c>
      <c r="E53" s="70" t="s">
        <v>42</v>
      </c>
      <c r="F53" s="70" t="s">
        <v>90</v>
      </c>
      <c r="G53" s="70" t="s">
        <v>25</v>
      </c>
      <c r="H53" s="70" t="s">
        <v>25</v>
      </c>
      <c r="I53" s="70" t="s">
        <v>37</v>
      </c>
      <c r="J53" s="70" t="s">
        <v>601</v>
      </c>
      <c r="K53" s="70" t="s">
        <v>600</v>
      </c>
      <c r="L53" s="70" t="s">
        <v>74</v>
      </c>
      <c r="M53" s="70">
        <v>2021</v>
      </c>
      <c r="N53" s="70">
        <v>0</v>
      </c>
      <c r="O53" s="98">
        <v>445.98</v>
      </c>
      <c r="P53" s="70">
        <v>51.415521580940997</v>
      </c>
    </row>
    <row r="54" spans="1:16" ht="11.25" hidden="1" customHeight="1" x14ac:dyDescent="0.25">
      <c r="A54" s="70">
        <v>53</v>
      </c>
      <c r="B54" s="70" t="s">
        <v>460</v>
      </c>
      <c r="C54" s="70" t="s">
        <v>41</v>
      </c>
      <c r="D54" s="70" t="s">
        <v>50</v>
      </c>
      <c r="E54" s="70" t="s">
        <v>42</v>
      </c>
      <c r="F54" s="70" t="s">
        <v>91</v>
      </c>
      <c r="G54" s="70" t="s">
        <v>25</v>
      </c>
      <c r="H54" s="70" t="s">
        <v>25</v>
      </c>
      <c r="I54" s="70" t="s">
        <v>51</v>
      </c>
      <c r="J54" s="70" t="s">
        <v>601</v>
      </c>
      <c r="K54" s="70" t="s">
        <v>600</v>
      </c>
      <c r="L54" s="70" t="s">
        <v>74</v>
      </c>
      <c r="M54" s="70">
        <v>2021</v>
      </c>
      <c r="N54" s="70">
        <v>0</v>
      </c>
      <c r="O54" s="98">
        <v>292.56</v>
      </c>
      <c r="P54" s="70">
        <v>49.078452418170897</v>
      </c>
    </row>
    <row r="55" spans="1:16" ht="11.25" hidden="1" customHeight="1" x14ac:dyDescent="0.25">
      <c r="A55" s="70">
        <v>54</v>
      </c>
      <c r="B55" s="70" t="s">
        <v>488</v>
      </c>
      <c r="C55" s="70" t="s">
        <v>41</v>
      </c>
      <c r="D55" s="70" t="s">
        <v>77</v>
      </c>
      <c r="E55" s="70" t="s">
        <v>42</v>
      </c>
      <c r="F55" s="70" t="s">
        <v>25</v>
      </c>
      <c r="G55" s="70" t="s">
        <v>25</v>
      </c>
      <c r="H55" s="70" t="s">
        <v>25</v>
      </c>
      <c r="I55" s="70" t="s">
        <v>25</v>
      </c>
      <c r="J55" s="70" t="s">
        <v>601</v>
      </c>
      <c r="K55" s="70" t="s">
        <v>600</v>
      </c>
      <c r="L55" s="70" t="s">
        <v>74</v>
      </c>
      <c r="M55" s="70">
        <v>2021</v>
      </c>
      <c r="N55" s="70">
        <v>0</v>
      </c>
      <c r="O55" s="98">
        <v>252.9</v>
      </c>
      <c r="P55" s="70"/>
    </row>
    <row r="56" spans="1:16" ht="11.25" hidden="1" customHeight="1" x14ac:dyDescent="0.25">
      <c r="A56" s="70">
        <v>55</v>
      </c>
      <c r="B56" s="70" t="s">
        <v>488</v>
      </c>
      <c r="C56" s="70" t="s">
        <v>33</v>
      </c>
      <c r="D56" s="70" t="s">
        <v>73</v>
      </c>
      <c r="E56" s="70" t="s">
        <v>25</v>
      </c>
      <c r="F56" s="70" t="s">
        <v>25</v>
      </c>
      <c r="G56" s="70" t="s">
        <v>25</v>
      </c>
      <c r="H56" s="70" t="s">
        <v>25</v>
      </c>
      <c r="I56" s="70" t="s">
        <v>51</v>
      </c>
      <c r="J56" s="70" t="s">
        <v>601</v>
      </c>
      <c r="K56" s="70" t="s">
        <v>600</v>
      </c>
      <c r="L56" s="70" t="s">
        <v>74</v>
      </c>
      <c r="M56" s="70">
        <v>2021</v>
      </c>
      <c r="N56" s="70">
        <v>0</v>
      </c>
      <c r="O56" s="98">
        <v>272.48</v>
      </c>
      <c r="P56" s="70"/>
    </row>
    <row r="57" spans="1:16" ht="11.25" hidden="1" customHeight="1" x14ac:dyDescent="0.25">
      <c r="A57" s="70">
        <v>56</v>
      </c>
      <c r="B57" s="70" t="s">
        <v>460</v>
      </c>
      <c r="C57" s="70" t="s">
        <v>44</v>
      </c>
      <c r="D57" s="70" t="s">
        <v>23</v>
      </c>
      <c r="E57" s="70" t="s">
        <v>45</v>
      </c>
      <c r="F57" s="70" t="s">
        <v>92</v>
      </c>
      <c r="G57" s="70" t="s">
        <v>25</v>
      </c>
      <c r="H57" s="70" t="s">
        <v>25</v>
      </c>
      <c r="I57" s="70" t="s">
        <v>25</v>
      </c>
      <c r="J57" s="70" t="s">
        <v>601</v>
      </c>
      <c r="K57" s="70" t="s">
        <v>600</v>
      </c>
      <c r="L57" s="70" t="s">
        <v>74</v>
      </c>
      <c r="M57" s="70">
        <v>2021</v>
      </c>
      <c r="N57" s="70">
        <v>0</v>
      </c>
      <c r="O57" s="98">
        <v>146.91</v>
      </c>
      <c r="P57" s="70">
        <v>35.0560374415507</v>
      </c>
    </row>
    <row r="58" spans="1:16" ht="11.25" customHeight="1" x14ac:dyDescent="0.25">
      <c r="A58" s="70">
        <v>57</v>
      </c>
      <c r="B58" s="70" t="s">
        <v>488</v>
      </c>
      <c r="C58" s="70" t="s">
        <v>22</v>
      </c>
      <c r="D58" s="70" t="s">
        <v>88</v>
      </c>
      <c r="E58" s="70" t="s">
        <v>24</v>
      </c>
      <c r="F58" s="70" t="s">
        <v>29</v>
      </c>
      <c r="G58" s="70" t="s">
        <v>25</v>
      </c>
      <c r="H58" s="70" t="s">
        <v>25</v>
      </c>
      <c r="I58" s="70" t="s">
        <v>25</v>
      </c>
      <c r="J58" s="70" t="s">
        <v>601</v>
      </c>
      <c r="K58" s="70" t="s">
        <v>600</v>
      </c>
      <c r="L58" s="70" t="s">
        <v>74</v>
      </c>
      <c r="M58" s="70">
        <v>2021</v>
      </c>
      <c r="N58" s="70">
        <v>0</v>
      </c>
      <c r="O58" s="98">
        <v>100.59</v>
      </c>
      <c r="P58" s="70"/>
    </row>
    <row r="59" spans="1:16" ht="11.25" customHeight="1" x14ac:dyDescent="0.25">
      <c r="A59" s="70">
        <v>58</v>
      </c>
      <c r="B59" s="70" t="s">
        <v>488</v>
      </c>
      <c r="C59" s="70" t="s">
        <v>22</v>
      </c>
      <c r="D59" s="70" t="s">
        <v>77</v>
      </c>
      <c r="E59" s="70" t="s">
        <v>24</v>
      </c>
      <c r="F59" s="70" t="s">
        <v>31</v>
      </c>
      <c r="G59" s="70" t="s">
        <v>25</v>
      </c>
      <c r="H59" s="70" t="s">
        <v>25</v>
      </c>
      <c r="I59" s="70" t="s">
        <v>25</v>
      </c>
      <c r="J59" s="70" t="s">
        <v>601</v>
      </c>
      <c r="K59" s="70" t="s">
        <v>600</v>
      </c>
      <c r="L59" s="70" t="s">
        <v>74</v>
      </c>
      <c r="M59" s="70">
        <v>2021</v>
      </c>
      <c r="N59" s="70">
        <v>0</v>
      </c>
      <c r="O59" s="98">
        <v>258.64999999999998</v>
      </c>
      <c r="P59" s="70"/>
    </row>
    <row r="60" spans="1:16" ht="11.25" hidden="1" customHeight="1" x14ac:dyDescent="0.25">
      <c r="A60" s="70">
        <v>59</v>
      </c>
      <c r="B60" s="70" t="s">
        <v>460</v>
      </c>
      <c r="C60" s="70" t="s">
        <v>41</v>
      </c>
      <c r="D60" s="70" t="s">
        <v>50</v>
      </c>
      <c r="E60" s="70" t="s">
        <v>42</v>
      </c>
      <c r="F60" s="70" t="s">
        <v>90</v>
      </c>
      <c r="G60" s="70" t="s">
        <v>25</v>
      </c>
      <c r="H60" s="70" t="s">
        <v>25</v>
      </c>
      <c r="I60" s="70" t="s">
        <v>51</v>
      </c>
      <c r="J60" s="70" t="s">
        <v>601</v>
      </c>
      <c r="K60" s="70" t="s">
        <v>600</v>
      </c>
      <c r="L60" s="70" t="s">
        <v>74</v>
      </c>
      <c r="M60" s="70">
        <v>2021</v>
      </c>
      <c r="N60" s="70">
        <v>0</v>
      </c>
      <c r="O60" s="98">
        <v>306.49</v>
      </c>
      <c r="P60" s="70">
        <v>51.415521580940997</v>
      </c>
    </row>
    <row r="61" spans="1:16" ht="11.25" hidden="1" customHeight="1" x14ac:dyDescent="0.25">
      <c r="A61" s="70">
        <v>60</v>
      </c>
      <c r="B61" s="70" t="s">
        <v>488</v>
      </c>
      <c r="C61" s="70" t="s">
        <v>33</v>
      </c>
      <c r="D61" s="70" t="s">
        <v>73</v>
      </c>
      <c r="E61" s="70" t="s">
        <v>25</v>
      </c>
      <c r="F61" s="70" t="s">
        <v>25</v>
      </c>
      <c r="G61" s="70" t="s">
        <v>25</v>
      </c>
      <c r="H61" s="70" t="s">
        <v>25</v>
      </c>
      <c r="I61" s="70" t="s">
        <v>37</v>
      </c>
      <c r="J61" s="70" t="s">
        <v>601</v>
      </c>
      <c r="K61" s="70" t="s">
        <v>600</v>
      </c>
      <c r="L61" s="70" t="s">
        <v>74</v>
      </c>
      <c r="M61" s="70">
        <v>2021</v>
      </c>
      <c r="N61" s="70">
        <v>0</v>
      </c>
      <c r="O61" s="98">
        <v>451.4</v>
      </c>
      <c r="P61" s="70"/>
    </row>
    <row r="62" spans="1:16" ht="11.25" hidden="1" customHeight="1" x14ac:dyDescent="0.25">
      <c r="A62" s="70">
        <v>61</v>
      </c>
      <c r="B62" s="70" t="s">
        <v>488</v>
      </c>
      <c r="C62" s="70" t="s">
        <v>35</v>
      </c>
      <c r="D62" s="70" t="s">
        <v>77</v>
      </c>
      <c r="E62" s="70" t="s">
        <v>25</v>
      </c>
      <c r="F62" s="70" t="s">
        <v>25</v>
      </c>
      <c r="G62" s="70" t="s">
        <v>25</v>
      </c>
      <c r="H62" s="70" t="s">
        <v>25</v>
      </c>
      <c r="I62" s="70" t="s">
        <v>25</v>
      </c>
      <c r="J62" s="70" t="s">
        <v>601</v>
      </c>
      <c r="K62" s="70" t="s">
        <v>600</v>
      </c>
      <c r="L62" s="70" t="s">
        <v>74</v>
      </c>
      <c r="M62" s="70">
        <v>2021</v>
      </c>
      <c r="N62" s="70">
        <v>0</v>
      </c>
      <c r="O62" s="70">
        <v>224.01</v>
      </c>
      <c r="P62" s="70"/>
    </row>
    <row r="63" spans="1:16" ht="11.25" customHeight="1" x14ac:dyDescent="0.25">
      <c r="A63" s="70">
        <v>62</v>
      </c>
      <c r="B63" s="70" t="s">
        <v>488</v>
      </c>
      <c r="C63" s="70" t="s">
        <v>22</v>
      </c>
      <c r="D63" s="70" t="s">
        <v>88</v>
      </c>
      <c r="E63" s="70" t="s">
        <v>24</v>
      </c>
      <c r="F63" s="70" t="s">
        <v>32</v>
      </c>
      <c r="G63" s="70" t="s">
        <v>25</v>
      </c>
      <c r="H63" s="70" t="s">
        <v>25</v>
      </c>
      <c r="I63" s="70" t="s">
        <v>25</v>
      </c>
      <c r="J63" s="70" t="s">
        <v>601</v>
      </c>
      <c r="K63" s="70" t="s">
        <v>600</v>
      </c>
      <c r="L63" s="70" t="s">
        <v>74</v>
      </c>
      <c r="M63" s="70">
        <v>2021</v>
      </c>
      <c r="N63" s="70">
        <v>0</v>
      </c>
      <c r="O63" s="98">
        <v>287.39</v>
      </c>
      <c r="P63" s="70"/>
    </row>
    <row r="64" spans="1:16" ht="11.25" hidden="1" customHeight="1" x14ac:dyDescent="0.25">
      <c r="A64" s="70">
        <v>63</v>
      </c>
      <c r="B64" s="70" t="s">
        <v>488</v>
      </c>
      <c r="C64" s="70" t="s">
        <v>41</v>
      </c>
      <c r="D64" s="70" t="s">
        <v>73</v>
      </c>
      <c r="E64" s="70" t="s">
        <v>42</v>
      </c>
      <c r="F64" s="70" t="s">
        <v>25</v>
      </c>
      <c r="G64" s="70" t="s">
        <v>25</v>
      </c>
      <c r="H64" s="70" t="s">
        <v>25</v>
      </c>
      <c r="I64" s="70" t="s">
        <v>37</v>
      </c>
      <c r="J64" s="70" t="s">
        <v>601</v>
      </c>
      <c r="K64" s="70" t="s">
        <v>600</v>
      </c>
      <c r="L64" s="70" t="s">
        <v>74</v>
      </c>
      <c r="M64" s="70">
        <v>2021</v>
      </c>
      <c r="N64" s="70">
        <v>0</v>
      </c>
      <c r="O64" s="98">
        <v>397.24</v>
      </c>
      <c r="P64" s="70"/>
    </row>
    <row r="65" spans="1:16" ht="11.25" customHeight="1" x14ac:dyDescent="0.25">
      <c r="A65" s="70">
        <v>64</v>
      </c>
      <c r="B65" s="70" t="s">
        <v>488</v>
      </c>
      <c r="C65" s="70" t="s">
        <v>22</v>
      </c>
      <c r="D65" s="70" t="s">
        <v>77</v>
      </c>
      <c r="E65" s="70" t="s">
        <v>24</v>
      </c>
      <c r="F65" s="70" t="s">
        <v>29</v>
      </c>
      <c r="G65" s="70" t="s">
        <v>25</v>
      </c>
      <c r="H65" s="70" t="s">
        <v>25</v>
      </c>
      <c r="I65" s="70" t="s">
        <v>25</v>
      </c>
      <c r="J65" s="70" t="s">
        <v>601</v>
      </c>
      <c r="K65" s="70" t="s">
        <v>600</v>
      </c>
      <c r="L65" s="70" t="s">
        <v>74</v>
      </c>
      <c r="M65" s="70">
        <v>2021</v>
      </c>
      <c r="N65" s="70">
        <v>0</v>
      </c>
      <c r="O65" s="98">
        <v>100.59</v>
      </c>
      <c r="P65" s="70"/>
    </row>
    <row r="66" spans="1:16" ht="11.25" hidden="1" customHeight="1" x14ac:dyDescent="0.25">
      <c r="A66" s="70">
        <v>65</v>
      </c>
      <c r="B66" s="70" t="s">
        <v>488</v>
      </c>
      <c r="C66" s="70" t="s">
        <v>41</v>
      </c>
      <c r="D66" s="70" t="s">
        <v>73</v>
      </c>
      <c r="E66" s="70" t="s">
        <v>42</v>
      </c>
      <c r="F66" s="70" t="s">
        <v>91</v>
      </c>
      <c r="G66" s="70" t="s">
        <v>25</v>
      </c>
      <c r="H66" s="70" t="s">
        <v>25</v>
      </c>
      <c r="I66" s="70" t="s">
        <v>38</v>
      </c>
      <c r="J66" s="70" t="s">
        <v>601</v>
      </c>
      <c r="K66" s="70" t="s">
        <v>600</v>
      </c>
      <c r="L66" s="70" t="s">
        <v>74</v>
      </c>
      <c r="M66" s="70">
        <v>2021</v>
      </c>
      <c r="N66" s="70">
        <v>0</v>
      </c>
      <c r="O66" s="98">
        <v>228.88</v>
      </c>
      <c r="P66" s="70"/>
    </row>
    <row r="67" spans="1:16" ht="11.25" hidden="1" customHeight="1" x14ac:dyDescent="0.25">
      <c r="A67" s="70">
        <v>66</v>
      </c>
      <c r="B67" s="70" t="s">
        <v>488</v>
      </c>
      <c r="C67" s="70" t="s">
        <v>41</v>
      </c>
      <c r="D67" s="70" t="s">
        <v>88</v>
      </c>
      <c r="E67" s="70" t="s">
        <v>42</v>
      </c>
      <c r="F67" s="70" t="s">
        <v>90</v>
      </c>
      <c r="G67" s="70" t="s">
        <v>25</v>
      </c>
      <c r="H67" s="70" t="s">
        <v>25</v>
      </c>
      <c r="I67" s="70" t="s">
        <v>25</v>
      </c>
      <c r="J67" s="70" t="s">
        <v>601</v>
      </c>
      <c r="K67" s="70" t="s">
        <v>600</v>
      </c>
      <c r="L67" s="70" t="s">
        <v>74</v>
      </c>
      <c r="M67" s="70">
        <v>2021</v>
      </c>
      <c r="N67" s="70">
        <v>0</v>
      </c>
      <c r="O67" s="98">
        <v>252.9</v>
      </c>
      <c r="P67" s="70"/>
    </row>
    <row r="68" spans="1:16" ht="11.25" hidden="1" customHeight="1" x14ac:dyDescent="0.25">
      <c r="A68" s="70">
        <v>67</v>
      </c>
      <c r="B68" s="70" t="s">
        <v>488</v>
      </c>
      <c r="C68" s="70" t="s">
        <v>41</v>
      </c>
      <c r="D68" s="70" t="s">
        <v>88</v>
      </c>
      <c r="E68" s="70" t="s">
        <v>42</v>
      </c>
      <c r="F68" s="70" t="s">
        <v>25</v>
      </c>
      <c r="G68" s="70" t="s">
        <v>25</v>
      </c>
      <c r="H68" s="70" t="s">
        <v>25</v>
      </c>
      <c r="I68" s="70" t="s">
        <v>25</v>
      </c>
      <c r="J68" s="70" t="s">
        <v>601</v>
      </c>
      <c r="K68" s="70" t="s">
        <v>600</v>
      </c>
      <c r="L68" s="70" t="s">
        <v>74</v>
      </c>
      <c r="M68" s="70">
        <v>2021</v>
      </c>
      <c r="N68" s="70">
        <v>0</v>
      </c>
      <c r="O68" s="98">
        <v>252.9</v>
      </c>
      <c r="P68" s="70"/>
    </row>
    <row r="69" spans="1:16" ht="11.25" hidden="1" customHeight="1" x14ac:dyDescent="0.25">
      <c r="A69" s="70">
        <v>68</v>
      </c>
      <c r="B69" s="70" t="s">
        <v>460</v>
      </c>
      <c r="C69" s="70" t="s">
        <v>44</v>
      </c>
      <c r="D69" s="70" t="s">
        <v>23</v>
      </c>
      <c r="E69" s="70" t="s">
        <v>45</v>
      </c>
      <c r="F69" s="70" t="s">
        <v>46</v>
      </c>
      <c r="G69" s="70" t="s">
        <v>25</v>
      </c>
      <c r="H69" s="70" t="s">
        <v>25</v>
      </c>
      <c r="I69" s="70" t="s">
        <v>25</v>
      </c>
      <c r="J69" s="70" t="s">
        <v>601</v>
      </c>
      <c r="K69" s="70" t="s">
        <v>600</v>
      </c>
      <c r="L69" s="70" t="s">
        <v>74</v>
      </c>
      <c r="M69" s="70">
        <v>2021</v>
      </c>
      <c r="N69" s="70">
        <v>0</v>
      </c>
      <c r="O69" s="98">
        <v>134.66999999999999</v>
      </c>
      <c r="P69" s="70">
        <v>32.134700988088099</v>
      </c>
    </row>
    <row r="70" spans="1:16" ht="11.25" hidden="1" customHeight="1" x14ac:dyDescent="0.25">
      <c r="A70" s="70">
        <v>69</v>
      </c>
      <c r="B70" s="70" t="s">
        <v>488</v>
      </c>
      <c r="C70" s="70" t="s">
        <v>35</v>
      </c>
      <c r="D70" s="70" t="s">
        <v>73</v>
      </c>
      <c r="E70" s="70" t="s">
        <v>25</v>
      </c>
      <c r="F70" s="70" t="s">
        <v>25</v>
      </c>
      <c r="G70" s="70" t="s">
        <v>25</v>
      </c>
      <c r="H70" s="70" t="s">
        <v>25</v>
      </c>
      <c r="I70" s="70" t="s">
        <v>37</v>
      </c>
      <c r="J70" s="70" t="s">
        <v>601</v>
      </c>
      <c r="K70" s="70" t="s">
        <v>600</v>
      </c>
      <c r="L70" s="70" t="s">
        <v>74</v>
      </c>
      <c r="M70" s="70">
        <v>2021</v>
      </c>
      <c r="N70" s="70">
        <v>0</v>
      </c>
      <c r="O70" s="70">
        <v>359.33</v>
      </c>
      <c r="P70" s="70"/>
    </row>
    <row r="71" spans="1:16" ht="11.25" customHeight="1" x14ac:dyDescent="0.25">
      <c r="A71" s="70">
        <v>70</v>
      </c>
      <c r="B71" s="70" t="s">
        <v>488</v>
      </c>
      <c r="C71" s="70" t="s">
        <v>22</v>
      </c>
      <c r="D71" s="70" t="s">
        <v>88</v>
      </c>
      <c r="E71" s="70" t="s">
        <v>24</v>
      </c>
      <c r="F71" s="70" t="s">
        <v>30</v>
      </c>
      <c r="G71" s="70" t="s">
        <v>25</v>
      </c>
      <c r="H71" s="70" t="s">
        <v>25</v>
      </c>
      <c r="I71" s="70" t="s">
        <v>25</v>
      </c>
      <c r="J71" s="70" t="s">
        <v>601</v>
      </c>
      <c r="K71" s="70" t="s">
        <v>600</v>
      </c>
      <c r="L71" s="70" t="s">
        <v>74</v>
      </c>
      <c r="M71" s="70">
        <v>2021</v>
      </c>
      <c r="N71" s="70">
        <v>0</v>
      </c>
      <c r="O71" s="98">
        <v>172.43</v>
      </c>
      <c r="P71" s="70"/>
    </row>
    <row r="72" spans="1:16" ht="11.25" hidden="1" customHeight="1" x14ac:dyDescent="0.25">
      <c r="A72" s="70">
        <v>71</v>
      </c>
      <c r="B72" s="70" t="s">
        <v>488</v>
      </c>
      <c r="C72" s="70" t="s">
        <v>41</v>
      </c>
      <c r="D72" s="70" t="s">
        <v>73</v>
      </c>
      <c r="E72" s="70" t="s">
        <v>42</v>
      </c>
      <c r="F72" s="70" t="s">
        <v>90</v>
      </c>
      <c r="G72" s="70" t="s">
        <v>25</v>
      </c>
      <c r="H72" s="70" t="s">
        <v>25</v>
      </c>
      <c r="I72" s="70" t="s">
        <v>38</v>
      </c>
      <c r="J72" s="70" t="s">
        <v>601</v>
      </c>
      <c r="K72" s="70" t="s">
        <v>600</v>
      </c>
      <c r="L72" s="70" t="s">
        <v>74</v>
      </c>
      <c r="M72" s="70">
        <v>2021</v>
      </c>
      <c r="N72" s="70">
        <v>0</v>
      </c>
      <c r="O72" s="98">
        <v>239.78</v>
      </c>
      <c r="P72" s="70"/>
    </row>
    <row r="73" spans="1:16" ht="11.25" hidden="1" customHeight="1" x14ac:dyDescent="0.25">
      <c r="A73" s="70">
        <v>72</v>
      </c>
      <c r="B73" s="70" t="s">
        <v>488</v>
      </c>
      <c r="C73" s="70" t="s">
        <v>33</v>
      </c>
      <c r="D73" s="70" t="s">
        <v>88</v>
      </c>
      <c r="E73" s="70" t="s">
        <v>25</v>
      </c>
      <c r="F73" s="70" t="s">
        <v>25</v>
      </c>
      <c r="G73" s="70" t="s">
        <v>25</v>
      </c>
      <c r="H73" s="70" t="s">
        <v>25</v>
      </c>
      <c r="I73" s="70" t="s">
        <v>25</v>
      </c>
      <c r="J73" s="70" t="s">
        <v>601</v>
      </c>
      <c r="K73" s="70" t="s">
        <v>600</v>
      </c>
      <c r="L73" s="70" t="s">
        <v>74</v>
      </c>
      <c r="M73" s="70">
        <v>2021</v>
      </c>
      <c r="N73" s="70">
        <v>0</v>
      </c>
      <c r="O73" s="98">
        <v>287.39</v>
      </c>
      <c r="P73" s="70"/>
    </row>
    <row r="74" spans="1:16" ht="11.25" hidden="1" customHeight="1" x14ac:dyDescent="0.25">
      <c r="A74" s="70">
        <v>73</v>
      </c>
      <c r="B74" s="70" t="s">
        <v>488</v>
      </c>
      <c r="C74" s="70" t="s">
        <v>35</v>
      </c>
      <c r="D74" s="70" t="s">
        <v>73</v>
      </c>
      <c r="E74" s="70" t="s">
        <v>25</v>
      </c>
      <c r="F74" s="70" t="s">
        <v>25</v>
      </c>
      <c r="G74" s="70" t="s">
        <v>25</v>
      </c>
      <c r="H74" s="70" t="s">
        <v>25</v>
      </c>
      <c r="I74" s="70" t="s">
        <v>38</v>
      </c>
      <c r="J74" s="70" t="s">
        <v>601</v>
      </c>
      <c r="K74" s="70" t="s">
        <v>600</v>
      </c>
      <c r="L74" s="70" t="s">
        <v>74</v>
      </c>
      <c r="M74" s="70">
        <v>2021</v>
      </c>
      <c r="N74" s="70">
        <v>0</v>
      </c>
      <c r="O74" s="70">
        <v>211.71</v>
      </c>
      <c r="P74" s="70"/>
    </row>
    <row r="75" spans="1:16" ht="11.25" customHeight="1" x14ac:dyDescent="0.25">
      <c r="A75" s="70">
        <v>74</v>
      </c>
      <c r="B75" s="70" t="s">
        <v>488</v>
      </c>
      <c r="C75" s="70" t="s">
        <v>22</v>
      </c>
      <c r="D75" s="70" t="s">
        <v>88</v>
      </c>
      <c r="E75" s="70" t="s">
        <v>24</v>
      </c>
      <c r="F75" s="70" t="s">
        <v>31</v>
      </c>
      <c r="G75" s="70" t="s">
        <v>25</v>
      </c>
      <c r="H75" s="70" t="s">
        <v>25</v>
      </c>
      <c r="I75" s="70" t="s">
        <v>25</v>
      </c>
      <c r="J75" s="70" t="s">
        <v>601</v>
      </c>
      <c r="K75" s="70" t="s">
        <v>600</v>
      </c>
      <c r="L75" s="70" t="s">
        <v>74</v>
      </c>
      <c r="M75" s="70">
        <v>2021</v>
      </c>
      <c r="N75" s="70">
        <v>0</v>
      </c>
      <c r="O75" s="98">
        <v>258.64999999999998</v>
      </c>
      <c r="P75" s="70"/>
    </row>
    <row r="76" spans="1:16" ht="11.25" hidden="1" customHeight="1" x14ac:dyDescent="0.25">
      <c r="A76" s="70">
        <v>75</v>
      </c>
      <c r="B76" s="70" t="s">
        <v>488</v>
      </c>
      <c r="C76" s="70" t="s">
        <v>41</v>
      </c>
      <c r="D76" s="70" t="s">
        <v>77</v>
      </c>
      <c r="E76" s="70" t="s">
        <v>42</v>
      </c>
      <c r="F76" s="70" t="s">
        <v>91</v>
      </c>
      <c r="G76" s="70" t="s">
        <v>25</v>
      </c>
      <c r="H76" s="70" t="s">
        <v>25</v>
      </c>
      <c r="I76" s="70" t="s">
        <v>25</v>
      </c>
      <c r="J76" s="70" t="s">
        <v>601</v>
      </c>
      <c r="K76" s="70" t="s">
        <v>600</v>
      </c>
      <c r="L76" s="70" t="s">
        <v>74</v>
      </c>
      <c r="M76" s="70">
        <v>2021</v>
      </c>
      <c r="N76" s="70">
        <v>0</v>
      </c>
      <c r="O76" s="98">
        <v>241.41</v>
      </c>
      <c r="P76" s="70"/>
    </row>
    <row r="77" spans="1:16" ht="11.25" hidden="1" customHeight="1" x14ac:dyDescent="0.25">
      <c r="A77" s="70">
        <v>76</v>
      </c>
      <c r="B77" s="70" t="s">
        <v>488</v>
      </c>
      <c r="C77" s="70" t="s">
        <v>41</v>
      </c>
      <c r="D77" s="70" t="s">
        <v>73</v>
      </c>
      <c r="E77" s="70" t="s">
        <v>42</v>
      </c>
      <c r="F77" s="70" t="s">
        <v>25</v>
      </c>
      <c r="G77" s="70" t="s">
        <v>25</v>
      </c>
      <c r="H77" s="70" t="s">
        <v>25</v>
      </c>
      <c r="I77" s="70" t="s">
        <v>38</v>
      </c>
      <c r="J77" s="70" t="s">
        <v>601</v>
      </c>
      <c r="K77" s="70" t="s">
        <v>600</v>
      </c>
      <c r="L77" s="70" t="s">
        <v>74</v>
      </c>
      <c r="M77" s="70">
        <v>2021</v>
      </c>
      <c r="N77" s="70">
        <v>0</v>
      </c>
      <c r="O77" s="98">
        <v>239.78</v>
      </c>
      <c r="P77" s="70"/>
    </row>
    <row r="78" spans="1:16" ht="11.25" customHeight="1" x14ac:dyDescent="0.25">
      <c r="A78" s="70">
        <v>77</v>
      </c>
      <c r="B78" s="70" t="s">
        <v>488</v>
      </c>
      <c r="C78" s="70" t="s">
        <v>22</v>
      </c>
      <c r="D78" s="70" t="s">
        <v>88</v>
      </c>
      <c r="E78" s="70" t="s">
        <v>24</v>
      </c>
      <c r="F78" s="70" t="s">
        <v>24</v>
      </c>
      <c r="G78" s="70" t="s">
        <v>25</v>
      </c>
      <c r="H78" s="70" t="s">
        <v>25</v>
      </c>
      <c r="I78" s="70" t="s">
        <v>25</v>
      </c>
      <c r="J78" s="70" t="s">
        <v>601</v>
      </c>
      <c r="K78" s="70" t="s">
        <v>600</v>
      </c>
      <c r="L78" s="70" t="s">
        <v>74</v>
      </c>
      <c r="M78" s="70">
        <v>2021</v>
      </c>
      <c r="N78" s="70">
        <v>0</v>
      </c>
      <c r="O78" s="98">
        <v>287.39</v>
      </c>
      <c r="P78" s="70"/>
    </row>
    <row r="79" spans="1:16" ht="11.25" hidden="1" customHeight="1" x14ac:dyDescent="0.25">
      <c r="A79" s="70">
        <v>78</v>
      </c>
      <c r="B79" s="70" t="s">
        <v>488</v>
      </c>
      <c r="C79" s="70" t="s">
        <v>41</v>
      </c>
      <c r="D79" s="70" t="s">
        <v>73</v>
      </c>
      <c r="E79" s="70" t="s">
        <v>42</v>
      </c>
      <c r="F79" s="70" t="s">
        <v>91</v>
      </c>
      <c r="G79" s="70" t="s">
        <v>25</v>
      </c>
      <c r="H79" s="70" t="s">
        <v>25</v>
      </c>
      <c r="I79" s="70" t="s">
        <v>37</v>
      </c>
      <c r="J79" s="70" t="s">
        <v>601</v>
      </c>
      <c r="K79" s="70" t="s">
        <v>600</v>
      </c>
      <c r="L79" s="70" t="s">
        <v>74</v>
      </c>
      <c r="M79" s="70">
        <v>2021</v>
      </c>
      <c r="N79" s="70">
        <v>0</v>
      </c>
      <c r="O79" s="98">
        <v>379.18</v>
      </c>
      <c r="P79" s="70"/>
    </row>
    <row r="80" spans="1:16" ht="11.25" hidden="1" customHeight="1" x14ac:dyDescent="0.25">
      <c r="A80" s="70">
        <v>79</v>
      </c>
      <c r="B80" s="70" t="s">
        <v>488</v>
      </c>
      <c r="C80" s="70" t="s">
        <v>44</v>
      </c>
      <c r="D80" s="70" t="s">
        <v>77</v>
      </c>
      <c r="E80" s="70" t="s">
        <v>45</v>
      </c>
      <c r="F80" s="70" t="s">
        <v>92</v>
      </c>
      <c r="G80" s="70" t="s">
        <v>25</v>
      </c>
      <c r="H80" s="70" t="s">
        <v>25</v>
      </c>
      <c r="I80" s="70" t="s">
        <v>25</v>
      </c>
      <c r="J80" s="70" t="s">
        <v>601</v>
      </c>
      <c r="K80" s="70" t="s">
        <v>600</v>
      </c>
      <c r="L80" s="70" t="s">
        <v>74</v>
      </c>
      <c r="M80" s="70">
        <v>2021</v>
      </c>
      <c r="N80" s="70">
        <v>0</v>
      </c>
      <c r="O80" s="98">
        <v>172.43</v>
      </c>
      <c r="P80" s="70"/>
    </row>
    <row r="81" spans="1:16" ht="11.25" hidden="1" customHeight="1" x14ac:dyDescent="0.25">
      <c r="A81" s="70">
        <v>80</v>
      </c>
      <c r="B81" s="70" t="s">
        <v>488</v>
      </c>
      <c r="C81" s="70" t="s">
        <v>41</v>
      </c>
      <c r="D81" s="70" t="s">
        <v>73</v>
      </c>
      <c r="E81" s="70" t="s">
        <v>42</v>
      </c>
      <c r="F81" s="70" t="s">
        <v>91</v>
      </c>
      <c r="G81" s="70" t="s">
        <v>25</v>
      </c>
      <c r="H81" s="70" t="s">
        <v>25</v>
      </c>
      <c r="I81" s="70" t="s">
        <v>51</v>
      </c>
      <c r="J81" s="70" t="s">
        <v>601</v>
      </c>
      <c r="K81" s="70" t="s">
        <v>600</v>
      </c>
      <c r="L81" s="70" t="s">
        <v>74</v>
      </c>
      <c r="M81" s="70">
        <v>2021</v>
      </c>
      <c r="N81" s="70">
        <v>0</v>
      </c>
      <c r="O81" s="98">
        <v>228.88</v>
      </c>
      <c r="P81" s="70"/>
    </row>
    <row r="82" spans="1:16" ht="11.25" hidden="1" customHeight="1" x14ac:dyDescent="0.25">
      <c r="A82" s="70">
        <v>81</v>
      </c>
      <c r="B82" s="70" t="s">
        <v>460</v>
      </c>
      <c r="C82" s="70" t="s">
        <v>33</v>
      </c>
      <c r="D82" s="70" t="s">
        <v>50</v>
      </c>
      <c r="E82" s="70" t="s">
        <v>25</v>
      </c>
      <c r="F82" s="70" t="s">
        <v>25</v>
      </c>
      <c r="G82" s="70" t="s">
        <v>25</v>
      </c>
      <c r="H82" s="70" t="s">
        <v>25</v>
      </c>
      <c r="I82" s="70" t="s">
        <v>51</v>
      </c>
      <c r="J82" s="70" t="s">
        <v>601</v>
      </c>
      <c r="K82" s="70" t="s">
        <v>600</v>
      </c>
      <c r="L82" s="70" t="s">
        <v>74</v>
      </c>
      <c r="M82" s="70">
        <v>2021</v>
      </c>
      <c r="N82" s="70">
        <v>0</v>
      </c>
      <c r="O82" s="98">
        <v>384.56</v>
      </c>
      <c r="P82" s="70">
        <v>58.426729069251103</v>
      </c>
    </row>
    <row r="83" spans="1:16" ht="11.25" hidden="1" customHeight="1" x14ac:dyDescent="0.25">
      <c r="A83" s="70">
        <v>82</v>
      </c>
      <c r="B83" s="70" t="s">
        <v>488</v>
      </c>
      <c r="C83" s="70" t="s">
        <v>41</v>
      </c>
      <c r="D83" s="70" t="s">
        <v>73</v>
      </c>
      <c r="E83" s="70" t="s">
        <v>42</v>
      </c>
      <c r="F83" s="70" t="s">
        <v>90</v>
      </c>
      <c r="G83" s="70" t="s">
        <v>25</v>
      </c>
      <c r="H83" s="70" t="s">
        <v>25</v>
      </c>
      <c r="I83" s="70" t="s">
        <v>37</v>
      </c>
      <c r="J83" s="70" t="s">
        <v>601</v>
      </c>
      <c r="K83" s="70" t="s">
        <v>600</v>
      </c>
      <c r="L83" s="70" t="s">
        <v>74</v>
      </c>
      <c r="M83" s="70">
        <v>2021</v>
      </c>
      <c r="N83" s="70">
        <v>0</v>
      </c>
      <c r="O83" s="98">
        <v>397.24</v>
      </c>
      <c r="P83" s="70"/>
    </row>
    <row r="84" spans="1:16" ht="11.25" hidden="1" customHeight="1" x14ac:dyDescent="0.25">
      <c r="A84" s="70">
        <v>83</v>
      </c>
      <c r="B84" s="70" t="s">
        <v>488</v>
      </c>
      <c r="C84" s="70" t="s">
        <v>33</v>
      </c>
      <c r="D84" s="70" t="s">
        <v>73</v>
      </c>
      <c r="E84" s="70" t="s">
        <v>25</v>
      </c>
      <c r="F84" s="70" t="s">
        <v>25</v>
      </c>
      <c r="G84" s="70" t="s">
        <v>25</v>
      </c>
      <c r="H84" s="70" t="s">
        <v>25</v>
      </c>
      <c r="I84" s="70" t="s">
        <v>38</v>
      </c>
      <c r="J84" s="70" t="s">
        <v>601</v>
      </c>
      <c r="K84" s="70" t="s">
        <v>600</v>
      </c>
      <c r="L84" s="70" t="s">
        <v>74</v>
      </c>
      <c r="M84" s="70">
        <v>2021</v>
      </c>
      <c r="N84" s="70">
        <v>0</v>
      </c>
      <c r="O84" s="98">
        <v>272.48</v>
      </c>
      <c r="P84" s="70"/>
    </row>
    <row r="85" spans="1:16" ht="11.25" hidden="1" customHeight="1" x14ac:dyDescent="0.25">
      <c r="A85" s="70">
        <v>84</v>
      </c>
      <c r="B85" s="70" t="s">
        <v>488</v>
      </c>
      <c r="C85" s="70" t="s">
        <v>41</v>
      </c>
      <c r="D85" s="70" t="s">
        <v>73</v>
      </c>
      <c r="E85" s="70" t="s">
        <v>42</v>
      </c>
      <c r="F85" s="70" t="s">
        <v>90</v>
      </c>
      <c r="G85" s="70" t="s">
        <v>25</v>
      </c>
      <c r="H85" s="70" t="s">
        <v>25</v>
      </c>
      <c r="I85" s="70" t="s">
        <v>51</v>
      </c>
      <c r="J85" s="70" t="s">
        <v>601</v>
      </c>
      <c r="K85" s="70" t="s">
        <v>600</v>
      </c>
      <c r="L85" s="70" t="s">
        <v>74</v>
      </c>
      <c r="M85" s="70">
        <v>2021</v>
      </c>
      <c r="N85" s="70">
        <v>0</v>
      </c>
      <c r="O85" s="98">
        <v>239.78</v>
      </c>
      <c r="P85" s="70"/>
    </row>
    <row r="86" spans="1:16" ht="11.25" hidden="1" customHeight="1" x14ac:dyDescent="0.25">
      <c r="A86" s="70">
        <v>85</v>
      </c>
      <c r="B86" s="70" t="s">
        <v>488</v>
      </c>
      <c r="C86" s="70" t="s">
        <v>33</v>
      </c>
      <c r="D86" s="70" t="s">
        <v>77</v>
      </c>
      <c r="E86" s="70" t="s">
        <v>25</v>
      </c>
      <c r="F86" s="70" t="s">
        <v>25</v>
      </c>
      <c r="G86" s="70" t="s">
        <v>25</v>
      </c>
      <c r="H86" s="70" t="s">
        <v>25</v>
      </c>
      <c r="I86" s="70" t="s">
        <v>25</v>
      </c>
      <c r="J86" s="70" t="s">
        <v>601</v>
      </c>
      <c r="K86" s="70" t="s">
        <v>600</v>
      </c>
      <c r="L86" s="70" t="s">
        <v>74</v>
      </c>
      <c r="M86" s="70">
        <v>2021</v>
      </c>
      <c r="N86" s="70">
        <v>0</v>
      </c>
      <c r="O86" s="98">
        <v>287.39</v>
      </c>
      <c r="P86" s="70"/>
    </row>
  </sheetData>
  <autoFilter ref="A1:AX86" xr:uid="{79A2E2E0-34A9-476D-A875-909EEB009E41}">
    <filterColumn colId="2">
      <filters>
        <filter val="B1"/>
      </filters>
    </filterColumn>
  </autoFilter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5537A-2262-49D8-AD28-14EA0DFBBB6E}">
  <sheetPr codeName="Planilha3"/>
  <dimension ref="A1:W641"/>
  <sheetViews>
    <sheetView showGridLines="0" topLeftCell="J613" workbookViewId="0">
      <selection activeCell="T642" sqref="T642"/>
    </sheetView>
  </sheetViews>
  <sheetFormatPr defaultColWidth="9.140625" defaultRowHeight="11.25" customHeight="1" x14ac:dyDescent="0.25"/>
  <cols>
    <col min="1" max="1" width="19.140625" style="4" bestFit="1" customWidth="1"/>
    <col min="2" max="2" width="8.7109375" style="4" bestFit="1" customWidth="1"/>
    <col min="3" max="3" width="10.28515625" style="4" bestFit="1" customWidth="1"/>
    <col min="4" max="4" width="13.5703125" style="4" bestFit="1" customWidth="1"/>
    <col min="5" max="5" width="25.140625" style="4" bestFit="1" customWidth="1"/>
    <col min="6" max="6" width="13.28515625" style="4" bestFit="1" customWidth="1"/>
    <col min="7" max="8" width="10.28515625" style="4" bestFit="1" customWidth="1"/>
    <col min="9" max="9" width="8.7109375" style="5" bestFit="1" customWidth="1"/>
    <col min="10" max="11" width="7.85546875" style="6" bestFit="1" customWidth="1"/>
    <col min="12" max="12" width="7" style="6" bestFit="1" customWidth="1"/>
    <col min="13" max="13" width="8" style="6" bestFit="1" customWidth="1"/>
    <col min="14" max="15" width="7" style="6" bestFit="1" customWidth="1"/>
    <col min="16" max="16" width="7.85546875" style="6" bestFit="1" customWidth="1"/>
    <col min="17" max="17" width="6.5703125" style="4" bestFit="1" customWidth="1"/>
    <col min="18" max="18" width="8.5703125" style="4" bestFit="1" customWidth="1"/>
    <col min="19" max="19" width="78.140625" style="4" bestFit="1" customWidth="1"/>
    <col min="20" max="20" width="83.85546875" style="4" bestFit="1" customWidth="1"/>
    <col min="21" max="21" width="18.42578125" style="4" bestFit="1" customWidth="1"/>
    <col min="22" max="22" width="19.85546875" style="4" bestFit="1" customWidth="1"/>
    <col min="23" max="23" width="17.7109375" style="4" bestFit="1" customWidth="1"/>
    <col min="24" max="16384" width="9.140625" style="4"/>
  </cols>
  <sheetData>
    <row r="1" spans="1:23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93</v>
      </c>
      <c r="T1" s="1" t="s">
        <v>298</v>
      </c>
      <c r="U1" s="1" t="s">
        <v>18</v>
      </c>
      <c r="V1" s="1" t="s">
        <v>19</v>
      </c>
      <c r="W1" s="1" t="s">
        <v>20</v>
      </c>
    </row>
    <row r="2" spans="1:23" ht="11.25" customHeight="1" x14ac:dyDescent="0.25">
      <c r="A2" s="4" t="s">
        <v>21</v>
      </c>
      <c r="B2" s="4" t="s">
        <v>35</v>
      </c>
      <c r="C2" s="4" t="s">
        <v>36</v>
      </c>
      <c r="D2" s="4" t="s">
        <v>34</v>
      </c>
      <c r="E2" s="4" t="s">
        <v>25</v>
      </c>
      <c r="F2" s="4" t="s">
        <v>56</v>
      </c>
      <c r="G2" s="4" t="s">
        <v>25</v>
      </c>
      <c r="H2" s="4" t="s">
        <v>38</v>
      </c>
      <c r="I2" s="5">
        <v>44409</v>
      </c>
      <c r="J2" s="6">
        <v>2514</v>
      </c>
      <c r="K2" s="6">
        <v>1257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4" t="s">
        <v>57</v>
      </c>
      <c r="R2" s="4">
        <v>0</v>
      </c>
      <c r="S2" s="4" t="s">
        <v>94</v>
      </c>
      <c r="U2" s="4">
        <v>1</v>
      </c>
      <c r="V2" s="4">
        <v>0</v>
      </c>
      <c r="W2" s="4">
        <v>0</v>
      </c>
    </row>
    <row r="3" spans="1:23" ht="11.25" customHeight="1" x14ac:dyDescent="0.25">
      <c r="A3" s="4" t="s">
        <v>21</v>
      </c>
      <c r="B3" s="4" t="s">
        <v>35</v>
      </c>
      <c r="C3" s="4" t="s">
        <v>36</v>
      </c>
      <c r="D3" s="4" t="s">
        <v>34</v>
      </c>
      <c r="E3" s="4" t="s">
        <v>25</v>
      </c>
      <c r="F3" s="4" t="s">
        <v>56</v>
      </c>
      <c r="G3" s="4" t="s">
        <v>25</v>
      </c>
      <c r="H3" s="4" t="s">
        <v>38</v>
      </c>
      <c r="I3" s="5">
        <v>44440</v>
      </c>
      <c r="J3" s="6">
        <v>2432</v>
      </c>
      <c r="K3" s="6">
        <v>1216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4" t="s">
        <v>57</v>
      </c>
      <c r="R3" s="4">
        <v>0</v>
      </c>
      <c r="S3" s="4" t="s">
        <v>95</v>
      </c>
      <c r="U3" s="4">
        <v>1</v>
      </c>
      <c r="V3" s="4">
        <v>0</v>
      </c>
      <c r="W3" s="4">
        <v>0</v>
      </c>
    </row>
    <row r="4" spans="1:23" ht="11.25" customHeight="1" x14ac:dyDescent="0.25">
      <c r="A4" s="4" t="s">
        <v>21</v>
      </c>
      <c r="B4" s="4" t="s">
        <v>35</v>
      </c>
      <c r="C4" s="4" t="s">
        <v>36</v>
      </c>
      <c r="D4" s="4" t="s">
        <v>34</v>
      </c>
      <c r="E4" s="4" t="s">
        <v>25</v>
      </c>
      <c r="F4" s="4" t="s">
        <v>56</v>
      </c>
      <c r="G4" s="4" t="s">
        <v>25</v>
      </c>
      <c r="H4" s="4" t="s">
        <v>38</v>
      </c>
      <c r="I4" s="5">
        <v>44470</v>
      </c>
      <c r="J4" s="6">
        <v>2500</v>
      </c>
      <c r="K4" s="6">
        <v>1250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4" t="s">
        <v>57</v>
      </c>
      <c r="R4" s="4">
        <v>0</v>
      </c>
      <c r="S4" s="4" t="s">
        <v>96</v>
      </c>
      <c r="U4" s="4">
        <v>1</v>
      </c>
      <c r="V4" s="4">
        <v>0</v>
      </c>
      <c r="W4" s="4">
        <v>0</v>
      </c>
    </row>
    <row r="5" spans="1:23" ht="11.25" customHeight="1" x14ac:dyDescent="0.25">
      <c r="A5" s="4" t="s">
        <v>21</v>
      </c>
      <c r="B5" s="4" t="s">
        <v>35</v>
      </c>
      <c r="C5" s="4" t="s">
        <v>36</v>
      </c>
      <c r="D5" s="4" t="s">
        <v>34</v>
      </c>
      <c r="E5" s="4" t="s">
        <v>25</v>
      </c>
      <c r="F5" s="4" t="s">
        <v>56</v>
      </c>
      <c r="G5" s="4" t="s">
        <v>25</v>
      </c>
      <c r="H5" s="4" t="s">
        <v>38</v>
      </c>
      <c r="I5" s="5">
        <v>44501</v>
      </c>
      <c r="J5" s="6">
        <v>2623</v>
      </c>
      <c r="K5" s="6">
        <v>1311.5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4" t="s">
        <v>57</v>
      </c>
      <c r="R5" s="4">
        <v>0</v>
      </c>
      <c r="S5" s="4" t="s">
        <v>97</v>
      </c>
      <c r="U5" s="4">
        <v>1</v>
      </c>
      <c r="V5" s="4">
        <v>0</v>
      </c>
      <c r="W5" s="4">
        <v>0</v>
      </c>
    </row>
    <row r="6" spans="1:23" ht="11.25" customHeight="1" x14ac:dyDescent="0.25">
      <c r="A6" s="4" t="s">
        <v>21</v>
      </c>
      <c r="B6" s="4" t="s">
        <v>35</v>
      </c>
      <c r="C6" s="4" t="s">
        <v>36</v>
      </c>
      <c r="D6" s="4" t="s">
        <v>34</v>
      </c>
      <c r="E6" s="4" t="s">
        <v>25</v>
      </c>
      <c r="F6" s="4" t="s">
        <v>56</v>
      </c>
      <c r="G6" s="4" t="s">
        <v>25</v>
      </c>
      <c r="H6" s="4" t="s">
        <v>38</v>
      </c>
      <c r="I6" s="5">
        <v>44531</v>
      </c>
      <c r="J6" s="6">
        <v>2533</v>
      </c>
      <c r="K6" s="6">
        <v>1266.5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4" t="s">
        <v>57</v>
      </c>
      <c r="R6" s="4">
        <v>0</v>
      </c>
      <c r="S6" s="4" t="s">
        <v>98</v>
      </c>
      <c r="U6" s="4">
        <v>1</v>
      </c>
      <c r="V6" s="4">
        <v>0</v>
      </c>
      <c r="W6" s="4">
        <v>0</v>
      </c>
    </row>
    <row r="7" spans="1:23" ht="11.25" customHeight="1" x14ac:dyDescent="0.25">
      <c r="A7" s="4" t="s">
        <v>21</v>
      </c>
      <c r="B7" s="4" t="s">
        <v>35</v>
      </c>
      <c r="C7" s="4" t="s">
        <v>36</v>
      </c>
      <c r="D7" s="4" t="s">
        <v>34</v>
      </c>
      <c r="E7" s="4" t="s">
        <v>25</v>
      </c>
      <c r="F7" s="4" t="s">
        <v>56</v>
      </c>
      <c r="G7" s="4" t="s">
        <v>25</v>
      </c>
      <c r="H7" s="4" t="s">
        <v>38</v>
      </c>
      <c r="I7" s="5">
        <v>44562</v>
      </c>
      <c r="J7" s="6">
        <v>2500</v>
      </c>
      <c r="K7" s="6">
        <v>1250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4" t="s">
        <v>57</v>
      </c>
      <c r="R7" s="4">
        <v>0</v>
      </c>
      <c r="S7" s="4" t="s">
        <v>99</v>
      </c>
      <c r="U7" s="4">
        <v>1</v>
      </c>
      <c r="V7" s="4">
        <v>0</v>
      </c>
      <c r="W7" s="4">
        <v>0</v>
      </c>
    </row>
    <row r="8" spans="1:23" ht="11.25" customHeight="1" x14ac:dyDescent="0.25">
      <c r="A8" s="4" t="s">
        <v>21</v>
      </c>
      <c r="B8" s="4" t="s">
        <v>35</v>
      </c>
      <c r="C8" s="4" t="s">
        <v>36</v>
      </c>
      <c r="D8" s="4" t="s">
        <v>34</v>
      </c>
      <c r="E8" s="4" t="s">
        <v>25</v>
      </c>
      <c r="F8" s="4" t="s">
        <v>56</v>
      </c>
      <c r="G8" s="4" t="s">
        <v>25</v>
      </c>
      <c r="H8" s="4" t="s">
        <v>38</v>
      </c>
      <c r="I8" s="5">
        <v>44593</v>
      </c>
      <c r="J8" s="6">
        <v>2500</v>
      </c>
      <c r="K8" s="6">
        <v>1250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4" t="s">
        <v>57</v>
      </c>
      <c r="R8" s="4">
        <v>0</v>
      </c>
      <c r="S8" s="4" t="s">
        <v>100</v>
      </c>
      <c r="U8" s="4">
        <v>1</v>
      </c>
      <c r="V8" s="4">
        <v>0</v>
      </c>
      <c r="W8" s="4">
        <v>0</v>
      </c>
    </row>
    <row r="9" spans="1:23" ht="11.25" customHeight="1" x14ac:dyDescent="0.25">
      <c r="A9" s="4" t="s">
        <v>21</v>
      </c>
      <c r="B9" s="4" t="s">
        <v>35</v>
      </c>
      <c r="C9" s="4" t="s">
        <v>36</v>
      </c>
      <c r="D9" s="4" t="s">
        <v>34</v>
      </c>
      <c r="E9" s="4" t="s">
        <v>25</v>
      </c>
      <c r="F9" s="4" t="s">
        <v>56</v>
      </c>
      <c r="G9" s="4" t="s">
        <v>25</v>
      </c>
      <c r="H9" s="4" t="s">
        <v>38</v>
      </c>
      <c r="I9" s="5">
        <v>44621</v>
      </c>
      <c r="J9" s="6">
        <v>2061</v>
      </c>
      <c r="K9" s="6">
        <v>1030.5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4" t="s">
        <v>57</v>
      </c>
      <c r="R9" s="4">
        <v>0</v>
      </c>
      <c r="S9" s="4" t="s">
        <v>101</v>
      </c>
      <c r="U9" s="4">
        <v>1</v>
      </c>
      <c r="V9" s="4">
        <v>0</v>
      </c>
      <c r="W9" s="4">
        <v>0</v>
      </c>
    </row>
    <row r="10" spans="1:23" ht="11.25" customHeight="1" x14ac:dyDescent="0.25">
      <c r="A10" s="4" t="s">
        <v>21</v>
      </c>
      <c r="B10" s="4" t="s">
        <v>35</v>
      </c>
      <c r="C10" s="4" t="s">
        <v>36</v>
      </c>
      <c r="D10" s="4" t="s">
        <v>34</v>
      </c>
      <c r="E10" s="4" t="s">
        <v>25</v>
      </c>
      <c r="F10" s="4" t="s">
        <v>56</v>
      </c>
      <c r="G10" s="4" t="s">
        <v>25</v>
      </c>
      <c r="H10" s="4" t="s">
        <v>38</v>
      </c>
      <c r="I10" s="5">
        <v>44652</v>
      </c>
      <c r="J10" s="6">
        <v>2421</v>
      </c>
      <c r="K10" s="6">
        <v>1210.5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4" t="s">
        <v>57</v>
      </c>
      <c r="R10" s="4">
        <v>0</v>
      </c>
      <c r="S10" s="4" t="s">
        <v>102</v>
      </c>
      <c r="U10" s="4">
        <v>1</v>
      </c>
      <c r="V10" s="4">
        <v>0</v>
      </c>
      <c r="W10" s="4">
        <v>0</v>
      </c>
    </row>
    <row r="11" spans="1:23" ht="11.25" customHeight="1" x14ac:dyDescent="0.25">
      <c r="A11" s="4" t="s">
        <v>21</v>
      </c>
      <c r="B11" s="4" t="s">
        <v>35</v>
      </c>
      <c r="C11" s="4" t="s">
        <v>36</v>
      </c>
      <c r="D11" s="4" t="s">
        <v>34</v>
      </c>
      <c r="E11" s="4" t="s">
        <v>25</v>
      </c>
      <c r="F11" s="4" t="s">
        <v>56</v>
      </c>
      <c r="G11" s="4" t="s">
        <v>25</v>
      </c>
      <c r="H11" s="4" t="s">
        <v>38</v>
      </c>
      <c r="I11" s="5">
        <v>44682</v>
      </c>
      <c r="J11" s="6">
        <v>2500</v>
      </c>
      <c r="K11" s="6">
        <v>1250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4" t="s">
        <v>57</v>
      </c>
      <c r="R11" s="4">
        <v>0</v>
      </c>
      <c r="S11" s="4" t="s">
        <v>103</v>
      </c>
      <c r="U11" s="4">
        <v>1</v>
      </c>
      <c r="V11" s="4">
        <v>0</v>
      </c>
      <c r="W11" s="4">
        <v>0</v>
      </c>
    </row>
    <row r="12" spans="1:23" ht="11.25" customHeight="1" x14ac:dyDescent="0.25">
      <c r="A12" s="4" t="s">
        <v>21</v>
      </c>
      <c r="B12" s="4" t="s">
        <v>35</v>
      </c>
      <c r="C12" s="4" t="s">
        <v>36</v>
      </c>
      <c r="D12" s="4" t="s">
        <v>34</v>
      </c>
      <c r="E12" s="4" t="s">
        <v>25</v>
      </c>
      <c r="F12" s="4" t="s">
        <v>56</v>
      </c>
      <c r="G12" s="4" t="s">
        <v>25</v>
      </c>
      <c r="H12" s="4" t="s">
        <v>38</v>
      </c>
      <c r="I12" s="5">
        <v>44713</v>
      </c>
      <c r="J12" s="6">
        <v>2500</v>
      </c>
      <c r="K12" s="6">
        <v>1250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4" t="s">
        <v>57</v>
      </c>
      <c r="R12" s="4">
        <v>0</v>
      </c>
      <c r="S12" s="4" t="s">
        <v>104</v>
      </c>
      <c r="U12" s="4">
        <v>1</v>
      </c>
      <c r="V12" s="4">
        <v>0</v>
      </c>
      <c r="W12" s="4">
        <v>0</v>
      </c>
    </row>
    <row r="13" spans="1:23" ht="11.25" customHeight="1" x14ac:dyDescent="0.25">
      <c r="A13" s="4" t="s">
        <v>55</v>
      </c>
      <c r="B13" s="4" t="s">
        <v>35</v>
      </c>
      <c r="C13" s="4" t="s">
        <v>36</v>
      </c>
      <c r="D13" s="4" t="s">
        <v>34</v>
      </c>
      <c r="E13" s="4" t="s">
        <v>25</v>
      </c>
      <c r="F13" s="4" t="s">
        <v>56</v>
      </c>
      <c r="G13" s="4" t="s">
        <v>25</v>
      </c>
      <c r="H13" s="4" t="s">
        <v>38</v>
      </c>
      <c r="I13" s="5">
        <v>44743</v>
      </c>
      <c r="J13" s="6">
        <v>2500</v>
      </c>
      <c r="K13" s="6">
        <v>1250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4" t="s">
        <v>57</v>
      </c>
      <c r="R13" s="4">
        <v>0</v>
      </c>
      <c r="S13" s="4" t="s">
        <v>105</v>
      </c>
      <c r="U13" s="4">
        <v>1</v>
      </c>
      <c r="V13" s="4">
        <v>0</v>
      </c>
      <c r="W13" s="4">
        <v>0</v>
      </c>
    </row>
    <row r="14" spans="1:23" ht="11.25" customHeight="1" x14ac:dyDescent="0.25">
      <c r="A14" s="4" t="s">
        <v>21</v>
      </c>
      <c r="B14" s="4" t="s">
        <v>35</v>
      </c>
      <c r="C14" s="4" t="s">
        <v>36</v>
      </c>
      <c r="D14" s="4" t="s">
        <v>34</v>
      </c>
      <c r="E14" s="4" t="s">
        <v>25</v>
      </c>
      <c r="F14" s="4" t="s">
        <v>56</v>
      </c>
      <c r="G14" s="4" t="s">
        <v>25</v>
      </c>
      <c r="H14" s="4" t="s">
        <v>25</v>
      </c>
      <c r="I14" s="5">
        <v>44409</v>
      </c>
      <c r="J14" s="6">
        <v>0</v>
      </c>
      <c r="K14" s="6">
        <v>0</v>
      </c>
      <c r="L14" s="6">
        <v>1047.816</v>
      </c>
      <c r="M14" s="6">
        <v>1047.816</v>
      </c>
      <c r="N14" s="6">
        <v>0</v>
      </c>
      <c r="O14" s="6">
        <v>0</v>
      </c>
      <c r="P14" s="6">
        <v>1</v>
      </c>
      <c r="Q14" s="4" t="s">
        <v>57</v>
      </c>
      <c r="R14" s="4">
        <v>0</v>
      </c>
      <c r="S14" s="4" t="s">
        <v>106</v>
      </c>
      <c r="U14" s="4">
        <v>0</v>
      </c>
      <c r="V14" s="4">
        <v>27</v>
      </c>
      <c r="W14" s="4">
        <v>0</v>
      </c>
    </row>
    <row r="15" spans="1:23" ht="11.25" customHeight="1" x14ac:dyDescent="0.25">
      <c r="A15" s="4" t="s">
        <v>21</v>
      </c>
      <c r="B15" s="4" t="s">
        <v>35</v>
      </c>
      <c r="C15" s="4" t="s">
        <v>36</v>
      </c>
      <c r="D15" s="4" t="s">
        <v>34</v>
      </c>
      <c r="E15" s="4" t="s">
        <v>25</v>
      </c>
      <c r="F15" s="4" t="s">
        <v>56</v>
      </c>
      <c r="G15" s="4" t="s">
        <v>25</v>
      </c>
      <c r="H15" s="4" t="s">
        <v>25</v>
      </c>
      <c r="I15" s="5">
        <v>44440</v>
      </c>
      <c r="J15" s="6">
        <v>0</v>
      </c>
      <c r="K15" s="6">
        <v>0</v>
      </c>
      <c r="L15" s="6">
        <v>1103.0350000000001</v>
      </c>
      <c r="M15" s="6">
        <v>1103.0350000000001</v>
      </c>
      <c r="N15" s="6">
        <v>0</v>
      </c>
      <c r="O15" s="6">
        <v>0</v>
      </c>
      <c r="P15" s="6">
        <v>1</v>
      </c>
      <c r="Q15" s="4" t="s">
        <v>57</v>
      </c>
      <c r="R15" s="4">
        <v>0</v>
      </c>
      <c r="S15" s="4" t="s">
        <v>107</v>
      </c>
      <c r="U15" s="4">
        <v>0</v>
      </c>
      <c r="V15" s="4">
        <v>27</v>
      </c>
      <c r="W15" s="4">
        <v>0</v>
      </c>
    </row>
    <row r="16" spans="1:23" ht="11.25" customHeight="1" x14ac:dyDescent="0.25">
      <c r="A16" s="4" t="s">
        <v>21</v>
      </c>
      <c r="B16" s="4" t="s">
        <v>35</v>
      </c>
      <c r="C16" s="4" t="s">
        <v>36</v>
      </c>
      <c r="D16" s="4" t="s">
        <v>34</v>
      </c>
      <c r="E16" s="4" t="s">
        <v>25</v>
      </c>
      <c r="F16" s="4" t="s">
        <v>56</v>
      </c>
      <c r="G16" s="4" t="s">
        <v>25</v>
      </c>
      <c r="H16" s="4" t="s">
        <v>25</v>
      </c>
      <c r="I16" s="5">
        <v>44470</v>
      </c>
      <c r="J16" s="6">
        <v>0</v>
      </c>
      <c r="K16" s="6">
        <v>0</v>
      </c>
      <c r="L16" s="6">
        <v>833.274</v>
      </c>
      <c r="M16" s="6">
        <v>833.274</v>
      </c>
      <c r="N16" s="6">
        <v>0</v>
      </c>
      <c r="O16" s="6">
        <v>0</v>
      </c>
      <c r="P16" s="6">
        <v>1</v>
      </c>
      <c r="Q16" s="4" t="s">
        <v>57</v>
      </c>
      <c r="R16" s="4">
        <v>0</v>
      </c>
      <c r="S16" s="4" t="s">
        <v>108</v>
      </c>
      <c r="U16" s="4">
        <v>0</v>
      </c>
      <c r="V16" s="4">
        <v>27</v>
      </c>
      <c r="W16" s="4">
        <v>0</v>
      </c>
    </row>
    <row r="17" spans="1:23" ht="11.25" customHeight="1" x14ac:dyDescent="0.25">
      <c r="A17" s="4" t="s">
        <v>21</v>
      </c>
      <c r="B17" s="4" t="s">
        <v>35</v>
      </c>
      <c r="C17" s="4" t="s">
        <v>36</v>
      </c>
      <c r="D17" s="4" t="s">
        <v>34</v>
      </c>
      <c r="E17" s="4" t="s">
        <v>25</v>
      </c>
      <c r="F17" s="4" t="s">
        <v>56</v>
      </c>
      <c r="G17" s="4" t="s">
        <v>25</v>
      </c>
      <c r="H17" s="4" t="s">
        <v>25</v>
      </c>
      <c r="I17" s="5">
        <v>44501</v>
      </c>
      <c r="J17" s="6">
        <v>0</v>
      </c>
      <c r="K17" s="6">
        <v>0</v>
      </c>
      <c r="L17" s="6">
        <v>1142.8879999999999</v>
      </c>
      <c r="M17" s="6">
        <v>1142.8879999999999</v>
      </c>
      <c r="N17" s="6">
        <v>0</v>
      </c>
      <c r="O17" s="6">
        <v>0</v>
      </c>
      <c r="P17" s="6">
        <v>1</v>
      </c>
      <c r="Q17" s="4" t="s">
        <v>57</v>
      </c>
      <c r="R17" s="4">
        <v>0</v>
      </c>
      <c r="S17" s="4" t="s">
        <v>109</v>
      </c>
      <c r="U17" s="4">
        <v>0</v>
      </c>
      <c r="V17" s="4">
        <v>27</v>
      </c>
      <c r="W17" s="4">
        <v>0</v>
      </c>
    </row>
    <row r="18" spans="1:23" ht="11.25" customHeight="1" x14ac:dyDescent="0.25">
      <c r="A18" s="4" t="s">
        <v>21</v>
      </c>
      <c r="B18" s="4" t="s">
        <v>35</v>
      </c>
      <c r="C18" s="4" t="s">
        <v>36</v>
      </c>
      <c r="D18" s="4" t="s">
        <v>34</v>
      </c>
      <c r="E18" s="4" t="s">
        <v>25</v>
      </c>
      <c r="F18" s="4" t="s">
        <v>56</v>
      </c>
      <c r="G18" s="4" t="s">
        <v>25</v>
      </c>
      <c r="H18" s="4" t="s">
        <v>25</v>
      </c>
      <c r="I18" s="5">
        <v>44531</v>
      </c>
      <c r="J18" s="6">
        <v>0</v>
      </c>
      <c r="K18" s="6">
        <v>0</v>
      </c>
      <c r="L18" s="6">
        <v>967.81600000000003</v>
      </c>
      <c r="M18" s="6">
        <v>967.81600000000003</v>
      </c>
      <c r="N18" s="6">
        <v>0</v>
      </c>
      <c r="O18" s="6">
        <v>0</v>
      </c>
      <c r="P18" s="6">
        <v>1</v>
      </c>
      <c r="Q18" s="4" t="s">
        <v>57</v>
      </c>
      <c r="R18" s="4">
        <v>0</v>
      </c>
      <c r="S18" s="4" t="s">
        <v>110</v>
      </c>
      <c r="U18" s="4">
        <v>0</v>
      </c>
      <c r="V18" s="4">
        <v>27</v>
      </c>
      <c r="W18" s="4">
        <v>0</v>
      </c>
    </row>
    <row r="19" spans="1:23" ht="11.25" customHeight="1" x14ac:dyDescent="0.25">
      <c r="A19" s="4" t="s">
        <v>21</v>
      </c>
      <c r="B19" s="4" t="s">
        <v>35</v>
      </c>
      <c r="C19" s="4" t="s">
        <v>36</v>
      </c>
      <c r="D19" s="4" t="s">
        <v>34</v>
      </c>
      <c r="E19" s="4" t="s">
        <v>25</v>
      </c>
      <c r="F19" s="4" t="s">
        <v>56</v>
      </c>
      <c r="G19" s="4" t="s">
        <v>25</v>
      </c>
      <c r="H19" s="4" t="s">
        <v>25</v>
      </c>
      <c r="I19" s="5">
        <v>44562</v>
      </c>
      <c r="J19" s="6">
        <v>0</v>
      </c>
      <c r="K19" s="6">
        <v>0</v>
      </c>
      <c r="L19" s="6">
        <v>829.04499999999996</v>
      </c>
      <c r="M19" s="6">
        <v>829.04499999999996</v>
      </c>
      <c r="N19" s="6">
        <v>0</v>
      </c>
      <c r="O19" s="6">
        <v>0</v>
      </c>
      <c r="P19" s="6">
        <v>1</v>
      </c>
      <c r="Q19" s="4" t="s">
        <v>57</v>
      </c>
      <c r="R19" s="4">
        <v>0</v>
      </c>
      <c r="S19" s="4" t="s">
        <v>111</v>
      </c>
      <c r="U19" s="4">
        <v>0</v>
      </c>
      <c r="V19" s="4">
        <v>27</v>
      </c>
      <c r="W19" s="4">
        <v>0</v>
      </c>
    </row>
    <row r="20" spans="1:23" ht="11.25" customHeight="1" x14ac:dyDescent="0.25">
      <c r="A20" s="4" t="s">
        <v>21</v>
      </c>
      <c r="B20" s="4" t="s">
        <v>35</v>
      </c>
      <c r="C20" s="4" t="s">
        <v>36</v>
      </c>
      <c r="D20" s="4" t="s">
        <v>34</v>
      </c>
      <c r="E20" s="4" t="s">
        <v>25</v>
      </c>
      <c r="F20" s="4" t="s">
        <v>56</v>
      </c>
      <c r="G20" s="4" t="s">
        <v>25</v>
      </c>
      <c r="H20" s="4" t="s">
        <v>25</v>
      </c>
      <c r="I20" s="5">
        <v>44593</v>
      </c>
      <c r="J20" s="6">
        <v>0</v>
      </c>
      <c r="K20" s="6">
        <v>0</v>
      </c>
      <c r="L20" s="6">
        <v>770.24199999999996</v>
      </c>
      <c r="M20" s="6">
        <v>770.24199999999996</v>
      </c>
      <c r="N20" s="6">
        <v>0</v>
      </c>
      <c r="O20" s="6">
        <v>0</v>
      </c>
      <c r="P20" s="6">
        <v>1</v>
      </c>
      <c r="Q20" s="4" t="s">
        <v>57</v>
      </c>
      <c r="R20" s="4">
        <v>0</v>
      </c>
      <c r="S20" s="4" t="s">
        <v>112</v>
      </c>
      <c r="U20" s="4">
        <v>0</v>
      </c>
      <c r="V20" s="4">
        <v>27</v>
      </c>
      <c r="W20" s="4">
        <v>0</v>
      </c>
    </row>
    <row r="21" spans="1:23" ht="11.25" customHeight="1" x14ac:dyDescent="0.25">
      <c r="A21" s="4" t="s">
        <v>21</v>
      </c>
      <c r="B21" s="4" t="s">
        <v>35</v>
      </c>
      <c r="C21" s="4" t="s">
        <v>36</v>
      </c>
      <c r="D21" s="4" t="s">
        <v>34</v>
      </c>
      <c r="E21" s="4" t="s">
        <v>25</v>
      </c>
      <c r="F21" s="4" t="s">
        <v>56</v>
      </c>
      <c r="G21" s="4" t="s">
        <v>25</v>
      </c>
      <c r="H21" s="4" t="s">
        <v>25</v>
      </c>
      <c r="I21" s="5">
        <v>44621</v>
      </c>
      <c r="J21" s="6">
        <v>0</v>
      </c>
      <c r="K21" s="6">
        <v>0</v>
      </c>
      <c r="L21" s="6">
        <v>790.34799999999996</v>
      </c>
      <c r="M21" s="6">
        <v>790.34799999999996</v>
      </c>
      <c r="N21" s="6">
        <v>0</v>
      </c>
      <c r="O21" s="6">
        <v>0</v>
      </c>
      <c r="P21" s="6">
        <v>1</v>
      </c>
      <c r="Q21" s="4" t="s">
        <v>57</v>
      </c>
      <c r="R21" s="4">
        <v>0</v>
      </c>
      <c r="S21" s="4" t="s">
        <v>113</v>
      </c>
      <c r="U21" s="4">
        <v>0</v>
      </c>
      <c r="V21" s="4">
        <v>27</v>
      </c>
      <c r="W21" s="4">
        <v>0</v>
      </c>
    </row>
    <row r="22" spans="1:23" ht="11.25" customHeight="1" x14ac:dyDescent="0.25">
      <c r="A22" s="4" t="s">
        <v>21</v>
      </c>
      <c r="B22" s="4" t="s">
        <v>35</v>
      </c>
      <c r="C22" s="4" t="s">
        <v>36</v>
      </c>
      <c r="D22" s="4" t="s">
        <v>34</v>
      </c>
      <c r="E22" s="4" t="s">
        <v>25</v>
      </c>
      <c r="F22" s="4" t="s">
        <v>56</v>
      </c>
      <c r="G22" s="4" t="s">
        <v>25</v>
      </c>
      <c r="H22" s="4" t="s">
        <v>25</v>
      </c>
      <c r="I22" s="5">
        <v>44652</v>
      </c>
      <c r="J22" s="6">
        <v>0</v>
      </c>
      <c r="K22" s="6">
        <v>0</v>
      </c>
      <c r="L22" s="6">
        <v>945.61</v>
      </c>
      <c r="M22" s="6">
        <v>945.61</v>
      </c>
      <c r="N22" s="6">
        <v>0</v>
      </c>
      <c r="O22" s="6">
        <v>0</v>
      </c>
      <c r="P22" s="6">
        <v>1</v>
      </c>
      <c r="Q22" s="4" t="s">
        <v>57</v>
      </c>
      <c r="R22" s="4">
        <v>0</v>
      </c>
      <c r="S22" s="4" t="s">
        <v>114</v>
      </c>
      <c r="U22" s="4">
        <v>0</v>
      </c>
      <c r="V22" s="4">
        <v>27</v>
      </c>
      <c r="W22" s="4">
        <v>0</v>
      </c>
    </row>
    <row r="23" spans="1:23" ht="11.25" customHeight="1" x14ac:dyDescent="0.25">
      <c r="A23" s="4" t="s">
        <v>21</v>
      </c>
      <c r="B23" s="4" t="s">
        <v>35</v>
      </c>
      <c r="C23" s="4" t="s">
        <v>36</v>
      </c>
      <c r="D23" s="4" t="s">
        <v>34</v>
      </c>
      <c r="E23" s="4" t="s">
        <v>25</v>
      </c>
      <c r="F23" s="4" t="s">
        <v>56</v>
      </c>
      <c r="G23" s="4" t="s">
        <v>25</v>
      </c>
      <c r="H23" s="4" t="s">
        <v>25</v>
      </c>
      <c r="I23" s="5">
        <v>44682</v>
      </c>
      <c r="J23" s="6">
        <v>0</v>
      </c>
      <c r="K23" s="6">
        <v>0</v>
      </c>
      <c r="L23" s="6">
        <v>1069.9860000000001</v>
      </c>
      <c r="M23" s="6">
        <v>1069.9860000000001</v>
      </c>
      <c r="N23" s="6">
        <v>0</v>
      </c>
      <c r="O23" s="6">
        <v>0</v>
      </c>
      <c r="P23" s="6">
        <v>1</v>
      </c>
      <c r="Q23" s="4" t="s">
        <v>57</v>
      </c>
      <c r="R23" s="4">
        <v>0</v>
      </c>
      <c r="S23" s="4" t="s">
        <v>115</v>
      </c>
      <c r="U23" s="4">
        <v>0</v>
      </c>
      <c r="V23" s="4">
        <v>27</v>
      </c>
      <c r="W23" s="4">
        <v>0</v>
      </c>
    </row>
    <row r="24" spans="1:23" ht="11.25" customHeight="1" x14ac:dyDescent="0.25">
      <c r="A24" s="4" t="s">
        <v>21</v>
      </c>
      <c r="B24" s="4" t="s">
        <v>35</v>
      </c>
      <c r="C24" s="4" t="s">
        <v>36</v>
      </c>
      <c r="D24" s="4" t="s">
        <v>34</v>
      </c>
      <c r="E24" s="4" t="s">
        <v>25</v>
      </c>
      <c r="F24" s="4" t="s">
        <v>56</v>
      </c>
      <c r="G24" s="4" t="s">
        <v>25</v>
      </c>
      <c r="H24" s="4" t="s">
        <v>25</v>
      </c>
      <c r="I24" s="5">
        <v>44713</v>
      </c>
      <c r="J24" s="6">
        <v>0</v>
      </c>
      <c r="K24" s="6">
        <v>0</v>
      </c>
      <c r="L24" s="6">
        <v>838.41700000000003</v>
      </c>
      <c r="M24" s="6">
        <v>838.41700000000003</v>
      </c>
      <c r="N24" s="6">
        <v>0</v>
      </c>
      <c r="O24" s="6">
        <v>0</v>
      </c>
      <c r="P24" s="6">
        <v>1</v>
      </c>
      <c r="Q24" s="4" t="s">
        <v>57</v>
      </c>
      <c r="R24" s="4">
        <v>0</v>
      </c>
      <c r="S24" s="4" t="s">
        <v>116</v>
      </c>
      <c r="U24" s="4">
        <v>0</v>
      </c>
      <c r="V24" s="4">
        <v>27</v>
      </c>
      <c r="W24" s="4">
        <v>0</v>
      </c>
    </row>
    <row r="25" spans="1:23" ht="11.25" customHeight="1" x14ac:dyDescent="0.25">
      <c r="A25" s="4" t="s">
        <v>55</v>
      </c>
      <c r="B25" s="4" t="s">
        <v>35</v>
      </c>
      <c r="C25" s="4" t="s">
        <v>36</v>
      </c>
      <c r="D25" s="4" t="s">
        <v>34</v>
      </c>
      <c r="E25" s="4" t="s">
        <v>25</v>
      </c>
      <c r="F25" s="4" t="s">
        <v>56</v>
      </c>
      <c r="G25" s="4" t="s">
        <v>25</v>
      </c>
      <c r="H25" s="4" t="s">
        <v>25</v>
      </c>
      <c r="I25" s="5">
        <v>44743</v>
      </c>
      <c r="J25" s="6">
        <v>0</v>
      </c>
      <c r="K25" s="6">
        <v>0</v>
      </c>
      <c r="L25" s="6">
        <v>838.41700000000003</v>
      </c>
      <c r="M25" s="6">
        <v>838.41700000000003</v>
      </c>
      <c r="N25" s="6">
        <v>0</v>
      </c>
      <c r="O25" s="6">
        <v>0</v>
      </c>
      <c r="P25" s="6">
        <v>1</v>
      </c>
      <c r="Q25" s="4" t="s">
        <v>57</v>
      </c>
      <c r="R25" s="4">
        <v>0</v>
      </c>
      <c r="S25" s="4" t="s">
        <v>117</v>
      </c>
      <c r="U25" s="4">
        <v>0</v>
      </c>
      <c r="V25" s="4">
        <v>27</v>
      </c>
      <c r="W25" s="4">
        <v>0</v>
      </c>
    </row>
    <row r="26" spans="1:23" ht="11.25" customHeight="1" x14ac:dyDescent="0.25">
      <c r="A26" s="4" t="s">
        <v>21</v>
      </c>
      <c r="B26" s="4" t="s">
        <v>35</v>
      </c>
      <c r="C26" s="4" t="s">
        <v>36</v>
      </c>
      <c r="D26" s="4" t="s">
        <v>34</v>
      </c>
      <c r="E26" s="4" t="s">
        <v>25</v>
      </c>
      <c r="F26" s="4" t="s">
        <v>56</v>
      </c>
      <c r="G26" s="4" t="s">
        <v>25</v>
      </c>
      <c r="H26" s="4" t="s">
        <v>37</v>
      </c>
      <c r="I26" s="5">
        <v>44409</v>
      </c>
      <c r="J26" s="6">
        <v>121</v>
      </c>
      <c r="K26" s="6">
        <v>60.5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4" t="s">
        <v>57</v>
      </c>
      <c r="R26" s="4">
        <v>0</v>
      </c>
      <c r="S26" s="4" t="s">
        <v>118</v>
      </c>
      <c r="U26" s="4">
        <v>7</v>
      </c>
      <c r="V26" s="4">
        <v>0</v>
      </c>
      <c r="W26" s="4">
        <v>0</v>
      </c>
    </row>
    <row r="27" spans="1:23" ht="11.25" customHeight="1" x14ac:dyDescent="0.25">
      <c r="A27" s="4" t="s">
        <v>21</v>
      </c>
      <c r="B27" s="4" t="s">
        <v>35</v>
      </c>
      <c r="C27" s="4" t="s">
        <v>36</v>
      </c>
      <c r="D27" s="4" t="s">
        <v>34</v>
      </c>
      <c r="E27" s="4" t="s">
        <v>25</v>
      </c>
      <c r="F27" s="4" t="s">
        <v>56</v>
      </c>
      <c r="G27" s="4" t="s">
        <v>25</v>
      </c>
      <c r="H27" s="4" t="s">
        <v>37</v>
      </c>
      <c r="I27" s="5">
        <v>44440</v>
      </c>
      <c r="J27" s="6">
        <v>123</v>
      </c>
      <c r="K27" s="6">
        <v>61.5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4" t="s">
        <v>57</v>
      </c>
      <c r="R27" s="4">
        <v>0</v>
      </c>
      <c r="S27" s="4" t="s">
        <v>119</v>
      </c>
      <c r="U27" s="4">
        <v>7</v>
      </c>
      <c r="V27" s="4">
        <v>0</v>
      </c>
      <c r="W27" s="4">
        <v>0</v>
      </c>
    </row>
    <row r="28" spans="1:23" ht="11.25" customHeight="1" x14ac:dyDescent="0.25">
      <c r="A28" s="4" t="s">
        <v>21</v>
      </c>
      <c r="B28" s="4" t="s">
        <v>35</v>
      </c>
      <c r="C28" s="4" t="s">
        <v>36</v>
      </c>
      <c r="D28" s="4" t="s">
        <v>34</v>
      </c>
      <c r="E28" s="4" t="s">
        <v>25</v>
      </c>
      <c r="F28" s="4" t="s">
        <v>56</v>
      </c>
      <c r="G28" s="4" t="s">
        <v>25</v>
      </c>
      <c r="H28" s="4" t="s">
        <v>37</v>
      </c>
      <c r="I28" s="5">
        <v>44470</v>
      </c>
      <c r="J28" s="6">
        <v>110</v>
      </c>
      <c r="K28" s="6">
        <v>55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4" t="s">
        <v>57</v>
      </c>
      <c r="R28" s="4">
        <v>0</v>
      </c>
      <c r="S28" s="4" t="s">
        <v>120</v>
      </c>
      <c r="U28" s="4">
        <v>7</v>
      </c>
      <c r="V28" s="4">
        <v>0</v>
      </c>
      <c r="W28" s="4">
        <v>0</v>
      </c>
    </row>
    <row r="29" spans="1:23" ht="11.25" customHeight="1" x14ac:dyDescent="0.25">
      <c r="A29" s="4" t="s">
        <v>21</v>
      </c>
      <c r="B29" s="4" t="s">
        <v>35</v>
      </c>
      <c r="C29" s="4" t="s">
        <v>36</v>
      </c>
      <c r="D29" s="4" t="s">
        <v>34</v>
      </c>
      <c r="E29" s="4" t="s">
        <v>25</v>
      </c>
      <c r="F29" s="4" t="s">
        <v>56</v>
      </c>
      <c r="G29" s="4" t="s">
        <v>25</v>
      </c>
      <c r="H29" s="4" t="s">
        <v>37</v>
      </c>
      <c r="I29" s="5">
        <v>44501</v>
      </c>
      <c r="J29" s="6">
        <v>110</v>
      </c>
      <c r="K29" s="6">
        <v>55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4" t="s">
        <v>57</v>
      </c>
      <c r="R29" s="4">
        <v>0</v>
      </c>
      <c r="S29" s="4" t="s">
        <v>121</v>
      </c>
      <c r="U29" s="4">
        <v>7</v>
      </c>
      <c r="V29" s="4">
        <v>0</v>
      </c>
      <c r="W29" s="4">
        <v>0</v>
      </c>
    </row>
    <row r="30" spans="1:23" ht="11.25" customHeight="1" x14ac:dyDescent="0.25">
      <c r="A30" s="4" t="s">
        <v>21</v>
      </c>
      <c r="B30" s="4" t="s">
        <v>35</v>
      </c>
      <c r="C30" s="4" t="s">
        <v>36</v>
      </c>
      <c r="D30" s="4" t="s">
        <v>34</v>
      </c>
      <c r="E30" s="4" t="s">
        <v>25</v>
      </c>
      <c r="F30" s="4" t="s">
        <v>56</v>
      </c>
      <c r="G30" s="4" t="s">
        <v>25</v>
      </c>
      <c r="H30" s="4" t="s">
        <v>37</v>
      </c>
      <c r="I30" s="5">
        <v>44531</v>
      </c>
      <c r="J30" s="6">
        <v>110</v>
      </c>
      <c r="K30" s="6">
        <v>55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4" t="s">
        <v>57</v>
      </c>
      <c r="R30" s="4">
        <v>0</v>
      </c>
      <c r="S30" s="4" t="s">
        <v>122</v>
      </c>
      <c r="U30" s="4">
        <v>7</v>
      </c>
      <c r="V30" s="4">
        <v>0</v>
      </c>
      <c r="W30" s="4">
        <v>0</v>
      </c>
    </row>
    <row r="31" spans="1:23" ht="11.25" customHeight="1" x14ac:dyDescent="0.25">
      <c r="A31" s="4" t="s">
        <v>21</v>
      </c>
      <c r="B31" s="4" t="s">
        <v>35</v>
      </c>
      <c r="C31" s="4" t="s">
        <v>36</v>
      </c>
      <c r="D31" s="4" t="s">
        <v>34</v>
      </c>
      <c r="E31" s="4" t="s">
        <v>25</v>
      </c>
      <c r="F31" s="4" t="s">
        <v>56</v>
      </c>
      <c r="G31" s="4" t="s">
        <v>25</v>
      </c>
      <c r="H31" s="4" t="s">
        <v>37</v>
      </c>
      <c r="I31" s="5">
        <v>44562</v>
      </c>
      <c r="J31" s="6">
        <v>110</v>
      </c>
      <c r="K31" s="6">
        <v>55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4" t="s">
        <v>57</v>
      </c>
      <c r="R31" s="4">
        <v>0</v>
      </c>
      <c r="S31" s="4" t="s">
        <v>123</v>
      </c>
      <c r="U31" s="4">
        <v>7</v>
      </c>
      <c r="V31" s="4">
        <v>0</v>
      </c>
      <c r="W31" s="4">
        <v>0</v>
      </c>
    </row>
    <row r="32" spans="1:23" ht="11.25" customHeight="1" x14ac:dyDescent="0.25">
      <c r="A32" s="4" t="s">
        <v>21</v>
      </c>
      <c r="B32" s="4" t="s">
        <v>35</v>
      </c>
      <c r="C32" s="4" t="s">
        <v>36</v>
      </c>
      <c r="D32" s="4" t="s">
        <v>34</v>
      </c>
      <c r="E32" s="4" t="s">
        <v>25</v>
      </c>
      <c r="F32" s="4" t="s">
        <v>56</v>
      </c>
      <c r="G32" s="4" t="s">
        <v>25</v>
      </c>
      <c r="H32" s="4" t="s">
        <v>37</v>
      </c>
      <c r="I32" s="5">
        <v>44593</v>
      </c>
      <c r="J32" s="6">
        <v>110</v>
      </c>
      <c r="K32" s="6">
        <v>55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4" t="s">
        <v>57</v>
      </c>
      <c r="R32" s="4">
        <v>0</v>
      </c>
      <c r="S32" s="4" t="s">
        <v>124</v>
      </c>
      <c r="U32" s="4">
        <v>7</v>
      </c>
      <c r="V32" s="4">
        <v>0</v>
      </c>
      <c r="W32" s="4">
        <v>0</v>
      </c>
    </row>
    <row r="33" spans="1:23" ht="11.25" customHeight="1" x14ac:dyDescent="0.25">
      <c r="A33" s="4" t="s">
        <v>21</v>
      </c>
      <c r="B33" s="4" t="s">
        <v>35</v>
      </c>
      <c r="C33" s="4" t="s">
        <v>36</v>
      </c>
      <c r="D33" s="4" t="s">
        <v>34</v>
      </c>
      <c r="E33" s="4" t="s">
        <v>25</v>
      </c>
      <c r="F33" s="4" t="s">
        <v>56</v>
      </c>
      <c r="G33" s="4" t="s">
        <v>25</v>
      </c>
      <c r="H33" s="4" t="s">
        <v>37</v>
      </c>
      <c r="I33" s="5">
        <v>44621</v>
      </c>
      <c r="J33" s="6">
        <v>110</v>
      </c>
      <c r="K33" s="6">
        <v>55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4" t="s">
        <v>57</v>
      </c>
      <c r="R33" s="4">
        <v>0</v>
      </c>
      <c r="S33" s="4" t="s">
        <v>125</v>
      </c>
      <c r="U33" s="4">
        <v>7</v>
      </c>
      <c r="V33" s="4">
        <v>0</v>
      </c>
      <c r="W33" s="4">
        <v>0</v>
      </c>
    </row>
    <row r="34" spans="1:23" ht="11.25" customHeight="1" x14ac:dyDescent="0.25">
      <c r="A34" s="4" t="s">
        <v>21</v>
      </c>
      <c r="B34" s="4" t="s">
        <v>35</v>
      </c>
      <c r="C34" s="4" t="s">
        <v>36</v>
      </c>
      <c r="D34" s="4" t="s">
        <v>34</v>
      </c>
      <c r="E34" s="4" t="s">
        <v>25</v>
      </c>
      <c r="F34" s="4" t="s">
        <v>56</v>
      </c>
      <c r="G34" s="4" t="s">
        <v>25</v>
      </c>
      <c r="H34" s="4" t="s">
        <v>37</v>
      </c>
      <c r="I34" s="5">
        <v>44652</v>
      </c>
      <c r="J34" s="6">
        <v>110</v>
      </c>
      <c r="K34" s="6">
        <v>55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4" t="s">
        <v>57</v>
      </c>
      <c r="R34" s="4">
        <v>0</v>
      </c>
      <c r="S34" s="4" t="s">
        <v>126</v>
      </c>
      <c r="U34" s="4">
        <v>7</v>
      </c>
      <c r="V34" s="4">
        <v>0</v>
      </c>
      <c r="W34" s="4">
        <v>0</v>
      </c>
    </row>
    <row r="35" spans="1:23" ht="11.25" customHeight="1" x14ac:dyDescent="0.25">
      <c r="A35" s="4" t="s">
        <v>21</v>
      </c>
      <c r="B35" s="4" t="s">
        <v>35</v>
      </c>
      <c r="C35" s="4" t="s">
        <v>36</v>
      </c>
      <c r="D35" s="4" t="s">
        <v>34</v>
      </c>
      <c r="E35" s="4" t="s">
        <v>25</v>
      </c>
      <c r="F35" s="4" t="s">
        <v>56</v>
      </c>
      <c r="G35" s="4" t="s">
        <v>25</v>
      </c>
      <c r="H35" s="4" t="s">
        <v>37</v>
      </c>
      <c r="I35" s="5">
        <v>44682</v>
      </c>
      <c r="J35" s="6">
        <v>110</v>
      </c>
      <c r="K35" s="6">
        <v>55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4" t="s">
        <v>57</v>
      </c>
      <c r="R35" s="4">
        <v>0</v>
      </c>
      <c r="S35" s="4" t="s">
        <v>127</v>
      </c>
      <c r="U35" s="4">
        <v>7</v>
      </c>
      <c r="V35" s="4">
        <v>0</v>
      </c>
      <c r="W35" s="4">
        <v>0</v>
      </c>
    </row>
    <row r="36" spans="1:23" ht="11.25" customHeight="1" x14ac:dyDescent="0.25">
      <c r="A36" s="4" t="s">
        <v>21</v>
      </c>
      <c r="B36" s="4" t="s">
        <v>35</v>
      </c>
      <c r="C36" s="4" t="s">
        <v>36</v>
      </c>
      <c r="D36" s="4" t="s">
        <v>34</v>
      </c>
      <c r="E36" s="4" t="s">
        <v>25</v>
      </c>
      <c r="F36" s="4" t="s">
        <v>56</v>
      </c>
      <c r="G36" s="4" t="s">
        <v>25</v>
      </c>
      <c r="H36" s="4" t="s">
        <v>37</v>
      </c>
      <c r="I36" s="5">
        <v>44713</v>
      </c>
      <c r="J36" s="6">
        <v>110</v>
      </c>
      <c r="K36" s="6">
        <v>55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4" t="s">
        <v>57</v>
      </c>
      <c r="R36" s="4">
        <v>0</v>
      </c>
      <c r="S36" s="4" t="s">
        <v>128</v>
      </c>
      <c r="U36" s="4">
        <v>7</v>
      </c>
      <c r="V36" s="4">
        <v>0</v>
      </c>
      <c r="W36" s="4">
        <v>0</v>
      </c>
    </row>
    <row r="37" spans="1:23" ht="11.25" customHeight="1" x14ac:dyDescent="0.25">
      <c r="A37" s="4" t="s">
        <v>55</v>
      </c>
      <c r="B37" s="4" t="s">
        <v>35</v>
      </c>
      <c r="C37" s="4" t="s">
        <v>36</v>
      </c>
      <c r="D37" s="4" t="s">
        <v>34</v>
      </c>
      <c r="E37" s="4" t="s">
        <v>25</v>
      </c>
      <c r="F37" s="4" t="s">
        <v>56</v>
      </c>
      <c r="G37" s="4" t="s">
        <v>25</v>
      </c>
      <c r="H37" s="4" t="s">
        <v>37</v>
      </c>
      <c r="I37" s="5">
        <v>44743</v>
      </c>
      <c r="J37" s="6">
        <v>110</v>
      </c>
      <c r="K37" s="6">
        <v>55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4" t="s">
        <v>57</v>
      </c>
      <c r="R37" s="4">
        <v>0</v>
      </c>
      <c r="S37" s="4" t="s">
        <v>129</v>
      </c>
      <c r="U37" s="4">
        <v>7</v>
      </c>
      <c r="V37" s="4">
        <v>0</v>
      </c>
      <c r="W37" s="4">
        <v>0</v>
      </c>
    </row>
    <row r="38" spans="1:23" ht="11.25" customHeight="1" x14ac:dyDescent="0.25">
      <c r="A38" s="4" t="s">
        <v>21</v>
      </c>
      <c r="B38" s="4" t="s">
        <v>35</v>
      </c>
      <c r="C38" s="4" t="s">
        <v>36</v>
      </c>
      <c r="D38" s="4" t="s">
        <v>34</v>
      </c>
      <c r="E38" s="4" t="s">
        <v>25</v>
      </c>
      <c r="F38" s="4" t="s">
        <v>25</v>
      </c>
      <c r="G38" s="4" t="s">
        <v>25</v>
      </c>
      <c r="H38" s="4" t="s">
        <v>38</v>
      </c>
      <c r="I38" s="5">
        <v>44409</v>
      </c>
      <c r="J38" s="6">
        <v>192</v>
      </c>
      <c r="K38" s="6">
        <v>192</v>
      </c>
      <c r="L38" s="6">
        <v>69.471000000000004</v>
      </c>
      <c r="M38" s="6">
        <v>69.471000000000004</v>
      </c>
      <c r="N38" s="6">
        <v>69.471000000000004</v>
      </c>
      <c r="O38" s="6">
        <v>69.471000000000004</v>
      </c>
      <c r="P38" s="6">
        <v>0</v>
      </c>
      <c r="Q38" s="4" t="s">
        <v>26</v>
      </c>
      <c r="R38" s="4">
        <v>0</v>
      </c>
      <c r="S38" s="4" t="s">
        <v>94</v>
      </c>
      <c r="T38" s="4" t="s">
        <v>299</v>
      </c>
      <c r="U38" s="4">
        <v>1</v>
      </c>
      <c r="V38" s="4">
        <v>27</v>
      </c>
      <c r="W38" s="4">
        <v>73</v>
      </c>
    </row>
    <row r="39" spans="1:23" ht="11.25" customHeight="1" x14ac:dyDescent="0.25">
      <c r="A39" s="4" t="s">
        <v>21</v>
      </c>
      <c r="B39" s="4" t="s">
        <v>35</v>
      </c>
      <c r="C39" s="4" t="s">
        <v>36</v>
      </c>
      <c r="D39" s="4" t="s">
        <v>34</v>
      </c>
      <c r="E39" s="4" t="s">
        <v>25</v>
      </c>
      <c r="F39" s="4" t="s">
        <v>25</v>
      </c>
      <c r="G39" s="4" t="s">
        <v>25</v>
      </c>
      <c r="H39" s="4" t="s">
        <v>38</v>
      </c>
      <c r="I39" s="5">
        <v>44440</v>
      </c>
      <c r="J39" s="6">
        <v>186</v>
      </c>
      <c r="K39" s="6">
        <v>186</v>
      </c>
      <c r="L39" s="6">
        <v>65.379000000000005</v>
      </c>
      <c r="M39" s="6">
        <v>65.379000000000005</v>
      </c>
      <c r="N39" s="6">
        <v>65.379000000000005</v>
      </c>
      <c r="O39" s="6">
        <v>65.379000000000005</v>
      </c>
      <c r="P39" s="6">
        <v>0</v>
      </c>
      <c r="Q39" s="4" t="s">
        <v>26</v>
      </c>
      <c r="R39" s="4">
        <v>0</v>
      </c>
      <c r="S39" s="4" t="s">
        <v>95</v>
      </c>
      <c r="T39" s="4" t="s">
        <v>300</v>
      </c>
      <c r="U39" s="4">
        <v>1</v>
      </c>
      <c r="V39" s="4">
        <v>27</v>
      </c>
      <c r="W39" s="4">
        <v>73</v>
      </c>
    </row>
    <row r="40" spans="1:23" ht="11.25" customHeight="1" x14ac:dyDescent="0.25">
      <c r="A40" s="4" t="s">
        <v>21</v>
      </c>
      <c r="B40" s="4" t="s">
        <v>35</v>
      </c>
      <c r="C40" s="4" t="s">
        <v>36</v>
      </c>
      <c r="D40" s="4" t="s">
        <v>34</v>
      </c>
      <c r="E40" s="4" t="s">
        <v>25</v>
      </c>
      <c r="F40" s="4" t="s">
        <v>25</v>
      </c>
      <c r="G40" s="4" t="s">
        <v>25</v>
      </c>
      <c r="H40" s="4" t="s">
        <v>38</v>
      </c>
      <c r="I40" s="5">
        <v>44470</v>
      </c>
      <c r="J40" s="6">
        <v>191</v>
      </c>
      <c r="K40" s="6">
        <v>191</v>
      </c>
      <c r="L40" s="6">
        <v>69.84</v>
      </c>
      <c r="M40" s="6">
        <v>69.84</v>
      </c>
      <c r="N40" s="6">
        <v>69.84</v>
      </c>
      <c r="O40" s="6">
        <v>69.84</v>
      </c>
      <c r="P40" s="6">
        <v>0</v>
      </c>
      <c r="Q40" s="4" t="s">
        <v>26</v>
      </c>
      <c r="R40" s="4">
        <v>0</v>
      </c>
      <c r="S40" s="4" t="s">
        <v>96</v>
      </c>
      <c r="T40" s="4" t="s">
        <v>301</v>
      </c>
      <c r="U40" s="4">
        <v>1</v>
      </c>
      <c r="V40" s="4">
        <v>27</v>
      </c>
      <c r="W40" s="4">
        <v>73</v>
      </c>
    </row>
    <row r="41" spans="1:23" ht="11.25" customHeight="1" x14ac:dyDescent="0.25">
      <c r="A41" s="4" t="s">
        <v>21</v>
      </c>
      <c r="B41" s="4" t="s">
        <v>35</v>
      </c>
      <c r="C41" s="4" t="s">
        <v>36</v>
      </c>
      <c r="D41" s="4" t="s">
        <v>34</v>
      </c>
      <c r="E41" s="4" t="s">
        <v>25</v>
      </c>
      <c r="F41" s="4" t="s">
        <v>25</v>
      </c>
      <c r="G41" s="4" t="s">
        <v>25</v>
      </c>
      <c r="H41" s="4" t="s">
        <v>38</v>
      </c>
      <c r="I41" s="5">
        <v>44501</v>
      </c>
      <c r="J41" s="6">
        <v>186</v>
      </c>
      <c r="K41" s="6">
        <v>186</v>
      </c>
      <c r="L41" s="6">
        <v>68.825000000000003</v>
      </c>
      <c r="M41" s="6">
        <v>68.825000000000003</v>
      </c>
      <c r="N41" s="6">
        <v>68.825000000000003</v>
      </c>
      <c r="O41" s="6">
        <v>68.825000000000003</v>
      </c>
      <c r="P41" s="6">
        <v>0</v>
      </c>
      <c r="Q41" s="4" t="s">
        <v>26</v>
      </c>
      <c r="R41" s="4">
        <v>0</v>
      </c>
      <c r="S41" s="4" t="s">
        <v>97</v>
      </c>
      <c r="T41" s="4" t="s">
        <v>302</v>
      </c>
      <c r="U41" s="4">
        <v>1</v>
      </c>
      <c r="V41" s="4">
        <v>27</v>
      </c>
      <c r="W41" s="4">
        <v>73</v>
      </c>
    </row>
    <row r="42" spans="1:23" ht="11.25" customHeight="1" x14ac:dyDescent="0.25">
      <c r="A42" s="4" t="s">
        <v>21</v>
      </c>
      <c r="B42" s="4" t="s">
        <v>35</v>
      </c>
      <c r="C42" s="4" t="s">
        <v>36</v>
      </c>
      <c r="D42" s="4" t="s">
        <v>34</v>
      </c>
      <c r="E42" s="4" t="s">
        <v>25</v>
      </c>
      <c r="F42" s="4" t="s">
        <v>25</v>
      </c>
      <c r="G42" s="4" t="s">
        <v>25</v>
      </c>
      <c r="H42" s="4" t="s">
        <v>38</v>
      </c>
      <c r="I42" s="5">
        <v>44531</v>
      </c>
      <c r="J42" s="6">
        <v>188</v>
      </c>
      <c r="K42" s="6">
        <v>188</v>
      </c>
      <c r="L42" s="6">
        <v>53.982999999999997</v>
      </c>
      <c r="M42" s="6">
        <v>53.982999999999997</v>
      </c>
      <c r="N42" s="6">
        <v>53.982999999999997</v>
      </c>
      <c r="O42" s="6">
        <v>53.982999999999997</v>
      </c>
      <c r="P42" s="6">
        <v>0</v>
      </c>
      <c r="Q42" s="4" t="s">
        <v>26</v>
      </c>
      <c r="R42" s="4">
        <v>0</v>
      </c>
      <c r="S42" s="4" t="s">
        <v>98</v>
      </c>
      <c r="T42" s="4" t="s">
        <v>303</v>
      </c>
      <c r="U42" s="4">
        <v>1</v>
      </c>
      <c r="V42" s="4">
        <v>27</v>
      </c>
      <c r="W42" s="4">
        <v>73</v>
      </c>
    </row>
    <row r="43" spans="1:23" ht="11.25" customHeight="1" x14ac:dyDescent="0.25">
      <c r="A43" s="4" t="s">
        <v>21</v>
      </c>
      <c r="B43" s="4" t="s">
        <v>35</v>
      </c>
      <c r="C43" s="4" t="s">
        <v>36</v>
      </c>
      <c r="D43" s="4" t="s">
        <v>34</v>
      </c>
      <c r="E43" s="4" t="s">
        <v>25</v>
      </c>
      <c r="F43" s="4" t="s">
        <v>25</v>
      </c>
      <c r="G43" s="4" t="s">
        <v>25</v>
      </c>
      <c r="H43" s="4" t="s">
        <v>38</v>
      </c>
      <c r="I43" s="5">
        <v>44562</v>
      </c>
      <c r="J43" s="6">
        <v>193</v>
      </c>
      <c r="K43" s="6">
        <v>193</v>
      </c>
      <c r="L43" s="6">
        <v>52.811999999999998</v>
      </c>
      <c r="M43" s="6">
        <v>52.811999999999998</v>
      </c>
      <c r="N43" s="6">
        <v>52.811999999999998</v>
      </c>
      <c r="O43" s="6">
        <v>52.811999999999998</v>
      </c>
      <c r="P43" s="6">
        <v>0</v>
      </c>
      <c r="Q43" s="4" t="s">
        <v>26</v>
      </c>
      <c r="R43" s="4">
        <v>0</v>
      </c>
      <c r="S43" s="4" t="s">
        <v>99</v>
      </c>
      <c r="T43" s="4" t="s">
        <v>304</v>
      </c>
      <c r="U43" s="4">
        <v>1</v>
      </c>
      <c r="V43" s="4">
        <v>27</v>
      </c>
      <c r="W43" s="4">
        <v>73</v>
      </c>
    </row>
    <row r="44" spans="1:23" ht="11.25" customHeight="1" x14ac:dyDescent="0.25">
      <c r="A44" s="4" t="s">
        <v>21</v>
      </c>
      <c r="B44" s="4" t="s">
        <v>35</v>
      </c>
      <c r="C44" s="4" t="s">
        <v>36</v>
      </c>
      <c r="D44" s="4" t="s">
        <v>34</v>
      </c>
      <c r="E44" s="4" t="s">
        <v>25</v>
      </c>
      <c r="F44" s="4" t="s">
        <v>25</v>
      </c>
      <c r="G44" s="4" t="s">
        <v>25</v>
      </c>
      <c r="H44" s="4" t="s">
        <v>38</v>
      </c>
      <c r="I44" s="5">
        <v>44593</v>
      </c>
      <c r="J44" s="6">
        <v>194</v>
      </c>
      <c r="K44" s="6">
        <v>194</v>
      </c>
      <c r="L44" s="6">
        <v>64.382000000000005</v>
      </c>
      <c r="M44" s="6">
        <v>64.382000000000005</v>
      </c>
      <c r="N44" s="6">
        <v>64.382000000000005</v>
      </c>
      <c r="O44" s="6">
        <v>64.382000000000005</v>
      </c>
      <c r="P44" s="6">
        <v>0</v>
      </c>
      <c r="Q44" s="4" t="s">
        <v>26</v>
      </c>
      <c r="R44" s="4">
        <v>0</v>
      </c>
      <c r="S44" s="4" t="s">
        <v>100</v>
      </c>
      <c r="T44" s="4" t="s">
        <v>305</v>
      </c>
      <c r="U44" s="4">
        <v>1</v>
      </c>
      <c r="V44" s="4">
        <v>27</v>
      </c>
      <c r="W44" s="4">
        <v>73</v>
      </c>
    </row>
    <row r="45" spans="1:23" ht="11.25" customHeight="1" x14ac:dyDescent="0.25">
      <c r="A45" s="4" t="s">
        <v>21</v>
      </c>
      <c r="B45" s="4" t="s">
        <v>35</v>
      </c>
      <c r="C45" s="4" t="s">
        <v>36</v>
      </c>
      <c r="D45" s="4" t="s">
        <v>34</v>
      </c>
      <c r="E45" s="4" t="s">
        <v>25</v>
      </c>
      <c r="F45" s="4" t="s">
        <v>25</v>
      </c>
      <c r="G45" s="4" t="s">
        <v>25</v>
      </c>
      <c r="H45" s="4" t="s">
        <v>38</v>
      </c>
      <c r="I45" s="5">
        <v>44621</v>
      </c>
      <c r="J45" s="6">
        <v>199</v>
      </c>
      <c r="K45" s="6">
        <v>199</v>
      </c>
      <c r="L45" s="6">
        <v>73.945999999999998</v>
      </c>
      <c r="M45" s="6">
        <v>73.945999999999998</v>
      </c>
      <c r="N45" s="6">
        <v>73.945999999999998</v>
      </c>
      <c r="O45" s="6">
        <v>73.945999999999998</v>
      </c>
      <c r="P45" s="6">
        <v>0</v>
      </c>
      <c r="Q45" s="4" t="s">
        <v>26</v>
      </c>
      <c r="R45" s="4">
        <v>0</v>
      </c>
      <c r="S45" s="4" t="s">
        <v>101</v>
      </c>
      <c r="T45" s="4" t="s">
        <v>306</v>
      </c>
      <c r="U45" s="4">
        <v>1</v>
      </c>
      <c r="V45" s="4">
        <v>27</v>
      </c>
      <c r="W45" s="4">
        <v>73</v>
      </c>
    </row>
    <row r="46" spans="1:23" ht="11.25" customHeight="1" x14ac:dyDescent="0.25">
      <c r="A46" s="4" t="s">
        <v>21</v>
      </c>
      <c r="B46" s="4" t="s">
        <v>35</v>
      </c>
      <c r="C46" s="4" t="s">
        <v>36</v>
      </c>
      <c r="D46" s="4" t="s">
        <v>34</v>
      </c>
      <c r="E46" s="4" t="s">
        <v>25</v>
      </c>
      <c r="F46" s="4" t="s">
        <v>25</v>
      </c>
      <c r="G46" s="4" t="s">
        <v>25</v>
      </c>
      <c r="H46" s="4" t="s">
        <v>38</v>
      </c>
      <c r="I46" s="5">
        <v>44652</v>
      </c>
      <c r="J46" s="6">
        <v>195</v>
      </c>
      <c r="K46" s="6">
        <v>195</v>
      </c>
      <c r="L46" s="6">
        <v>71.290999999999997</v>
      </c>
      <c r="M46" s="6">
        <v>71.290999999999997</v>
      </c>
      <c r="N46" s="6">
        <v>71.290999999999997</v>
      </c>
      <c r="O46" s="6">
        <v>71.290999999999997</v>
      </c>
      <c r="P46" s="6">
        <v>0</v>
      </c>
      <c r="Q46" s="4" t="s">
        <v>26</v>
      </c>
      <c r="R46" s="4">
        <v>0</v>
      </c>
      <c r="S46" s="4" t="s">
        <v>102</v>
      </c>
      <c r="T46" s="4" t="s">
        <v>307</v>
      </c>
      <c r="U46" s="4">
        <v>1</v>
      </c>
      <c r="V46" s="4">
        <v>27</v>
      </c>
      <c r="W46" s="4">
        <v>73</v>
      </c>
    </row>
    <row r="47" spans="1:23" ht="11.25" customHeight="1" x14ac:dyDescent="0.25">
      <c r="A47" s="4" t="s">
        <v>21</v>
      </c>
      <c r="B47" s="4" t="s">
        <v>35</v>
      </c>
      <c r="C47" s="4" t="s">
        <v>36</v>
      </c>
      <c r="D47" s="4" t="s">
        <v>34</v>
      </c>
      <c r="E47" s="4" t="s">
        <v>25</v>
      </c>
      <c r="F47" s="4" t="s">
        <v>25</v>
      </c>
      <c r="G47" s="4" t="s">
        <v>25</v>
      </c>
      <c r="H47" s="4" t="s">
        <v>38</v>
      </c>
      <c r="I47" s="5">
        <v>44682</v>
      </c>
      <c r="J47" s="6">
        <v>194</v>
      </c>
      <c r="K47" s="6">
        <v>194</v>
      </c>
      <c r="L47" s="6">
        <v>71.894999999999996</v>
      </c>
      <c r="M47" s="6">
        <v>71.894999999999996</v>
      </c>
      <c r="N47" s="6">
        <v>71.894999999999996</v>
      </c>
      <c r="O47" s="6">
        <v>71.894999999999996</v>
      </c>
      <c r="P47" s="6">
        <v>0</v>
      </c>
      <c r="Q47" s="4" t="s">
        <v>26</v>
      </c>
      <c r="R47" s="4">
        <v>0</v>
      </c>
      <c r="S47" s="4" t="s">
        <v>103</v>
      </c>
      <c r="T47" s="4" t="s">
        <v>308</v>
      </c>
      <c r="U47" s="4">
        <v>1</v>
      </c>
      <c r="V47" s="4">
        <v>27</v>
      </c>
      <c r="W47" s="4">
        <v>73</v>
      </c>
    </row>
    <row r="48" spans="1:23" ht="11.25" customHeight="1" x14ac:dyDescent="0.25">
      <c r="A48" s="4" t="s">
        <v>21</v>
      </c>
      <c r="B48" s="4" t="s">
        <v>35</v>
      </c>
      <c r="C48" s="4" t="s">
        <v>36</v>
      </c>
      <c r="D48" s="4" t="s">
        <v>34</v>
      </c>
      <c r="E48" s="4" t="s">
        <v>25</v>
      </c>
      <c r="F48" s="4" t="s">
        <v>25</v>
      </c>
      <c r="G48" s="4" t="s">
        <v>25</v>
      </c>
      <c r="H48" s="4" t="s">
        <v>38</v>
      </c>
      <c r="I48" s="5">
        <v>44713</v>
      </c>
      <c r="J48" s="6">
        <v>193</v>
      </c>
      <c r="K48" s="6">
        <v>193</v>
      </c>
      <c r="L48" s="6">
        <v>72.581000000000003</v>
      </c>
      <c r="M48" s="6">
        <v>72.581000000000003</v>
      </c>
      <c r="N48" s="6">
        <v>72.581000000000003</v>
      </c>
      <c r="O48" s="6">
        <v>72.581000000000003</v>
      </c>
      <c r="P48" s="6">
        <v>0</v>
      </c>
      <c r="Q48" s="4" t="s">
        <v>26</v>
      </c>
      <c r="R48" s="4">
        <v>0</v>
      </c>
      <c r="S48" s="4" t="s">
        <v>104</v>
      </c>
      <c r="T48" s="4" t="s">
        <v>309</v>
      </c>
      <c r="U48" s="4">
        <v>1</v>
      </c>
      <c r="V48" s="4">
        <v>27</v>
      </c>
      <c r="W48" s="4">
        <v>73</v>
      </c>
    </row>
    <row r="49" spans="1:23" ht="11.25" customHeight="1" x14ac:dyDescent="0.25">
      <c r="A49" s="4" t="s">
        <v>55</v>
      </c>
      <c r="B49" s="4" t="s">
        <v>35</v>
      </c>
      <c r="C49" s="4" t="s">
        <v>36</v>
      </c>
      <c r="D49" s="4" t="s">
        <v>34</v>
      </c>
      <c r="E49" s="4" t="s">
        <v>25</v>
      </c>
      <c r="F49" s="4" t="s">
        <v>25</v>
      </c>
      <c r="G49" s="4" t="s">
        <v>25</v>
      </c>
      <c r="H49" s="4" t="s">
        <v>38</v>
      </c>
      <c r="I49" s="5">
        <v>44743</v>
      </c>
      <c r="J49" s="6">
        <v>193</v>
      </c>
      <c r="K49" s="6">
        <v>193</v>
      </c>
      <c r="L49" s="6">
        <v>72.581000000000003</v>
      </c>
      <c r="M49" s="6">
        <v>72.581000000000003</v>
      </c>
      <c r="N49" s="6">
        <v>72.581000000000003</v>
      </c>
      <c r="O49" s="6">
        <v>72.581000000000003</v>
      </c>
      <c r="P49" s="6">
        <v>0</v>
      </c>
      <c r="Q49" s="4" t="s">
        <v>26</v>
      </c>
      <c r="R49" s="4">
        <v>0</v>
      </c>
      <c r="S49" s="4" t="s">
        <v>105</v>
      </c>
      <c r="T49" s="4" t="s">
        <v>310</v>
      </c>
      <c r="U49" s="4">
        <v>1</v>
      </c>
      <c r="V49" s="4">
        <v>27</v>
      </c>
      <c r="W49" s="4">
        <v>73</v>
      </c>
    </row>
    <row r="50" spans="1:23" ht="11.25" customHeight="1" x14ac:dyDescent="0.25">
      <c r="A50" s="4" t="s">
        <v>21</v>
      </c>
      <c r="B50" s="4" t="s">
        <v>35</v>
      </c>
      <c r="C50" s="4" t="s">
        <v>36</v>
      </c>
      <c r="D50" s="4" t="s">
        <v>34</v>
      </c>
      <c r="E50" s="4" t="s">
        <v>25</v>
      </c>
      <c r="F50" s="4" t="s">
        <v>25</v>
      </c>
      <c r="G50" s="4" t="s">
        <v>25</v>
      </c>
      <c r="H50" s="4" t="s">
        <v>37</v>
      </c>
      <c r="I50" s="5">
        <v>44409</v>
      </c>
      <c r="J50" s="6">
        <v>136</v>
      </c>
      <c r="K50" s="6">
        <v>136</v>
      </c>
      <c r="L50" s="6">
        <v>8.016</v>
      </c>
      <c r="M50" s="6">
        <v>8.016</v>
      </c>
      <c r="N50" s="6">
        <v>8.016</v>
      </c>
      <c r="O50" s="6">
        <v>8.016</v>
      </c>
      <c r="P50" s="6">
        <v>0</v>
      </c>
      <c r="Q50" s="4" t="s">
        <v>26</v>
      </c>
      <c r="R50" s="4">
        <v>0</v>
      </c>
      <c r="S50" s="4" t="s">
        <v>118</v>
      </c>
      <c r="T50" s="4" t="s">
        <v>311</v>
      </c>
      <c r="U50" s="4">
        <v>7</v>
      </c>
      <c r="V50" s="4">
        <v>27</v>
      </c>
      <c r="W50" s="4">
        <v>69</v>
      </c>
    </row>
    <row r="51" spans="1:23" ht="11.25" customHeight="1" x14ac:dyDescent="0.25">
      <c r="A51" s="4" t="s">
        <v>21</v>
      </c>
      <c r="B51" s="4" t="s">
        <v>35</v>
      </c>
      <c r="C51" s="4" t="s">
        <v>36</v>
      </c>
      <c r="D51" s="4" t="s">
        <v>34</v>
      </c>
      <c r="E51" s="4" t="s">
        <v>25</v>
      </c>
      <c r="F51" s="4" t="s">
        <v>25</v>
      </c>
      <c r="G51" s="4" t="s">
        <v>25</v>
      </c>
      <c r="H51" s="4" t="s">
        <v>37</v>
      </c>
      <c r="I51" s="5">
        <v>44440</v>
      </c>
      <c r="J51" s="6">
        <v>130</v>
      </c>
      <c r="K51" s="6">
        <v>130</v>
      </c>
      <c r="L51" s="6">
        <v>7.15</v>
      </c>
      <c r="M51" s="6">
        <v>7.15</v>
      </c>
      <c r="N51" s="6">
        <v>7.15</v>
      </c>
      <c r="O51" s="6">
        <v>7.15</v>
      </c>
      <c r="P51" s="6">
        <v>0</v>
      </c>
      <c r="Q51" s="4" t="s">
        <v>26</v>
      </c>
      <c r="R51" s="4">
        <v>0</v>
      </c>
      <c r="S51" s="4" t="s">
        <v>119</v>
      </c>
      <c r="T51" s="4" t="s">
        <v>312</v>
      </c>
      <c r="U51" s="4">
        <v>7</v>
      </c>
      <c r="V51" s="4">
        <v>27</v>
      </c>
      <c r="W51" s="4">
        <v>69</v>
      </c>
    </row>
    <row r="52" spans="1:23" ht="11.25" customHeight="1" x14ac:dyDescent="0.25">
      <c r="A52" s="4" t="s">
        <v>21</v>
      </c>
      <c r="B52" s="4" t="s">
        <v>35</v>
      </c>
      <c r="C52" s="4" t="s">
        <v>36</v>
      </c>
      <c r="D52" s="4" t="s">
        <v>34</v>
      </c>
      <c r="E52" s="4" t="s">
        <v>25</v>
      </c>
      <c r="F52" s="4" t="s">
        <v>25</v>
      </c>
      <c r="G52" s="4" t="s">
        <v>25</v>
      </c>
      <c r="H52" s="4" t="s">
        <v>37</v>
      </c>
      <c r="I52" s="5">
        <v>44470</v>
      </c>
      <c r="J52" s="6">
        <v>135</v>
      </c>
      <c r="K52" s="6">
        <v>135</v>
      </c>
      <c r="L52" s="6">
        <v>7.1479999999999997</v>
      </c>
      <c r="M52" s="6">
        <v>7.1479999999999997</v>
      </c>
      <c r="N52" s="6">
        <v>7.1479999999999997</v>
      </c>
      <c r="O52" s="6">
        <v>7.1479999999999997</v>
      </c>
      <c r="P52" s="6">
        <v>0</v>
      </c>
      <c r="Q52" s="4" t="s">
        <v>26</v>
      </c>
      <c r="R52" s="4">
        <v>0</v>
      </c>
      <c r="S52" s="4" t="s">
        <v>120</v>
      </c>
      <c r="T52" s="4" t="s">
        <v>313</v>
      </c>
      <c r="U52" s="4">
        <v>7</v>
      </c>
      <c r="V52" s="4">
        <v>27</v>
      </c>
      <c r="W52" s="4">
        <v>69</v>
      </c>
    </row>
    <row r="53" spans="1:23" ht="11.25" customHeight="1" x14ac:dyDescent="0.25">
      <c r="A53" s="4" t="s">
        <v>21</v>
      </c>
      <c r="B53" s="4" t="s">
        <v>35</v>
      </c>
      <c r="C53" s="4" t="s">
        <v>36</v>
      </c>
      <c r="D53" s="4" t="s">
        <v>34</v>
      </c>
      <c r="E53" s="4" t="s">
        <v>25</v>
      </c>
      <c r="F53" s="4" t="s">
        <v>25</v>
      </c>
      <c r="G53" s="4" t="s">
        <v>25</v>
      </c>
      <c r="H53" s="4" t="s">
        <v>37</v>
      </c>
      <c r="I53" s="5">
        <v>44501</v>
      </c>
      <c r="J53" s="6">
        <v>130</v>
      </c>
      <c r="K53" s="6">
        <v>130</v>
      </c>
      <c r="L53" s="6">
        <v>6.9379999999999997</v>
      </c>
      <c r="M53" s="6">
        <v>6.9379999999999997</v>
      </c>
      <c r="N53" s="6">
        <v>6.9379999999999997</v>
      </c>
      <c r="O53" s="6">
        <v>6.9379999999999997</v>
      </c>
      <c r="P53" s="6">
        <v>0</v>
      </c>
      <c r="Q53" s="4" t="s">
        <v>26</v>
      </c>
      <c r="R53" s="4">
        <v>0</v>
      </c>
      <c r="S53" s="4" t="s">
        <v>121</v>
      </c>
      <c r="T53" s="4" t="s">
        <v>314</v>
      </c>
      <c r="U53" s="4">
        <v>7</v>
      </c>
      <c r="V53" s="4">
        <v>27</v>
      </c>
      <c r="W53" s="4">
        <v>69</v>
      </c>
    </row>
    <row r="54" spans="1:23" ht="11.25" customHeight="1" x14ac:dyDescent="0.25">
      <c r="A54" s="4" t="s">
        <v>21</v>
      </c>
      <c r="B54" s="4" t="s">
        <v>35</v>
      </c>
      <c r="C54" s="4" t="s">
        <v>36</v>
      </c>
      <c r="D54" s="4" t="s">
        <v>34</v>
      </c>
      <c r="E54" s="4" t="s">
        <v>25</v>
      </c>
      <c r="F54" s="4" t="s">
        <v>25</v>
      </c>
      <c r="G54" s="4" t="s">
        <v>25</v>
      </c>
      <c r="H54" s="4" t="s">
        <v>37</v>
      </c>
      <c r="I54" s="5">
        <v>44531</v>
      </c>
      <c r="J54" s="6">
        <v>134</v>
      </c>
      <c r="K54" s="6">
        <v>134</v>
      </c>
      <c r="L54" s="6">
        <v>5.9080000000000004</v>
      </c>
      <c r="M54" s="6">
        <v>5.9080000000000004</v>
      </c>
      <c r="N54" s="6">
        <v>5.9080000000000004</v>
      </c>
      <c r="O54" s="6">
        <v>5.9080000000000004</v>
      </c>
      <c r="P54" s="6">
        <v>0</v>
      </c>
      <c r="Q54" s="4" t="s">
        <v>26</v>
      </c>
      <c r="R54" s="4">
        <v>0</v>
      </c>
      <c r="S54" s="4" t="s">
        <v>122</v>
      </c>
      <c r="T54" s="4" t="s">
        <v>315</v>
      </c>
      <c r="U54" s="4">
        <v>7</v>
      </c>
      <c r="V54" s="4">
        <v>27</v>
      </c>
      <c r="W54" s="4">
        <v>69</v>
      </c>
    </row>
    <row r="55" spans="1:23" ht="11.25" customHeight="1" x14ac:dyDescent="0.25">
      <c r="A55" s="4" t="s">
        <v>21</v>
      </c>
      <c r="B55" s="4" t="s">
        <v>35</v>
      </c>
      <c r="C55" s="4" t="s">
        <v>36</v>
      </c>
      <c r="D55" s="4" t="s">
        <v>34</v>
      </c>
      <c r="E55" s="4" t="s">
        <v>25</v>
      </c>
      <c r="F55" s="4" t="s">
        <v>25</v>
      </c>
      <c r="G55" s="4" t="s">
        <v>25</v>
      </c>
      <c r="H55" s="4" t="s">
        <v>37</v>
      </c>
      <c r="I55" s="5">
        <v>44562</v>
      </c>
      <c r="J55" s="6">
        <v>133</v>
      </c>
      <c r="K55" s="6">
        <v>133</v>
      </c>
      <c r="L55" s="6">
        <v>5.8380000000000001</v>
      </c>
      <c r="M55" s="6">
        <v>5.8380000000000001</v>
      </c>
      <c r="N55" s="6">
        <v>5.8380000000000001</v>
      </c>
      <c r="O55" s="6">
        <v>5.8380000000000001</v>
      </c>
      <c r="P55" s="6">
        <v>0</v>
      </c>
      <c r="Q55" s="4" t="s">
        <v>26</v>
      </c>
      <c r="R55" s="4">
        <v>0</v>
      </c>
      <c r="S55" s="4" t="s">
        <v>123</v>
      </c>
      <c r="T55" s="4" t="s">
        <v>316</v>
      </c>
      <c r="U55" s="4">
        <v>7</v>
      </c>
      <c r="V55" s="4">
        <v>27</v>
      </c>
      <c r="W55" s="4">
        <v>69</v>
      </c>
    </row>
    <row r="56" spans="1:23" ht="11.25" customHeight="1" x14ac:dyDescent="0.25">
      <c r="A56" s="4" t="s">
        <v>21</v>
      </c>
      <c r="B56" s="4" t="s">
        <v>35</v>
      </c>
      <c r="C56" s="4" t="s">
        <v>36</v>
      </c>
      <c r="D56" s="4" t="s">
        <v>34</v>
      </c>
      <c r="E56" s="4" t="s">
        <v>25</v>
      </c>
      <c r="F56" s="4" t="s">
        <v>25</v>
      </c>
      <c r="G56" s="4" t="s">
        <v>25</v>
      </c>
      <c r="H56" s="4" t="s">
        <v>37</v>
      </c>
      <c r="I56" s="5">
        <v>44593</v>
      </c>
      <c r="J56" s="6">
        <v>136</v>
      </c>
      <c r="K56" s="6">
        <v>136</v>
      </c>
      <c r="L56" s="6">
        <v>7.2439999999999998</v>
      </c>
      <c r="M56" s="6">
        <v>7.2439999999999998</v>
      </c>
      <c r="N56" s="6">
        <v>7.2439999999999998</v>
      </c>
      <c r="O56" s="6">
        <v>7.2439999999999998</v>
      </c>
      <c r="P56" s="6">
        <v>0</v>
      </c>
      <c r="Q56" s="4" t="s">
        <v>26</v>
      </c>
      <c r="R56" s="4">
        <v>0</v>
      </c>
      <c r="S56" s="4" t="s">
        <v>124</v>
      </c>
      <c r="T56" s="4" t="s">
        <v>317</v>
      </c>
      <c r="U56" s="4">
        <v>7</v>
      </c>
      <c r="V56" s="4">
        <v>27</v>
      </c>
      <c r="W56" s="4">
        <v>69</v>
      </c>
    </row>
    <row r="57" spans="1:23" ht="11.25" customHeight="1" x14ac:dyDescent="0.25">
      <c r="A57" s="4" t="s">
        <v>21</v>
      </c>
      <c r="B57" s="4" t="s">
        <v>35</v>
      </c>
      <c r="C57" s="4" t="s">
        <v>36</v>
      </c>
      <c r="D57" s="4" t="s">
        <v>34</v>
      </c>
      <c r="E57" s="4" t="s">
        <v>25</v>
      </c>
      <c r="F57" s="4" t="s">
        <v>25</v>
      </c>
      <c r="G57" s="4" t="s">
        <v>25</v>
      </c>
      <c r="H57" s="4" t="s">
        <v>37</v>
      </c>
      <c r="I57" s="5">
        <v>44621</v>
      </c>
      <c r="J57" s="6">
        <v>140</v>
      </c>
      <c r="K57" s="6">
        <v>140</v>
      </c>
      <c r="L57" s="6">
        <v>8.2309999999999999</v>
      </c>
      <c r="M57" s="6">
        <v>8.2309999999999999</v>
      </c>
      <c r="N57" s="6">
        <v>8.2309999999999999</v>
      </c>
      <c r="O57" s="6">
        <v>8.2309999999999999</v>
      </c>
      <c r="P57" s="6">
        <v>0</v>
      </c>
      <c r="Q57" s="4" t="s">
        <v>26</v>
      </c>
      <c r="R57" s="4">
        <v>0</v>
      </c>
      <c r="S57" s="4" t="s">
        <v>125</v>
      </c>
      <c r="T57" s="4" t="s">
        <v>318</v>
      </c>
      <c r="U57" s="4">
        <v>7</v>
      </c>
      <c r="V57" s="4">
        <v>27</v>
      </c>
      <c r="W57" s="4">
        <v>69</v>
      </c>
    </row>
    <row r="58" spans="1:23" ht="11.25" customHeight="1" x14ac:dyDescent="0.25">
      <c r="A58" s="4" t="s">
        <v>21</v>
      </c>
      <c r="B58" s="4" t="s">
        <v>35</v>
      </c>
      <c r="C58" s="4" t="s">
        <v>36</v>
      </c>
      <c r="D58" s="4" t="s">
        <v>34</v>
      </c>
      <c r="E58" s="4" t="s">
        <v>25</v>
      </c>
      <c r="F58" s="4" t="s">
        <v>25</v>
      </c>
      <c r="G58" s="4" t="s">
        <v>25</v>
      </c>
      <c r="H58" s="4" t="s">
        <v>37</v>
      </c>
      <c r="I58" s="5">
        <v>44652</v>
      </c>
      <c r="J58" s="6">
        <v>138</v>
      </c>
      <c r="K58" s="6">
        <v>138</v>
      </c>
      <c r="L58" s="6">
        <v>6.8380000000000001</v>
      </c>
      <c r="M58" s="6">
        <v>6.8380000000000001</v>
      </c>
      <c r="N58" s="6">
        <v>6.8380000000000001</v>
      </c>
      <c r="O58" s="6">
        <v>6.8380000000000001</v>
      </c>
      <c r="P58" s="6">
        <v>0</v>
      </c>
      <c r="Q58" s="4" t="s">
        <v>26</v>
      </c>
      <c r="R58" s="4">
        <v>0</v>
      </c>
      <c r="S58" s="4" t="s">
        <v>126</v>
      </c>
      <c r="T58" s="4" t="s">
        <v>319</v>
      </c>
      <c r="U58" s="4">
        <v>7</v>
      </c>
      <c r="V58" s="4">
        <v>27</v>
      </c>
      <c r="W58" s="4">
        <v>69</v>
      </c>
    </row>
    <row r="59" spans="1:23" ht="11.25" customHeight="1" x14ac:dyDescent="0.25">
      <c r="A59" s="4" t="s">
        <v>21</v>
      </c>
      <c r="B59" s="4" t="s">
        <v>35</v>
      </c>
      <c r="C59" s="4" t="s">
        <v>36</v>
      </c>
      <c r="D59" s="4" t="s">
        <v>34</v>
      </c>
      <c r="E59" s="4" t="s">
        <v>25</v>
      </c>
      <c r="F59" s="4" t="s">
        <v>25</v>
      </c>
      <c r="G59" s="4" t="s">
        <v>25</v>
      </c>
      <c r="H59" s="4" t="s">
        <v>37</v>
      </c>
      <c r="I59" s="5">
        <v>44682</v>
      </c>
      <c r="J59" s="6">
        <v>138</v>
      </c>
      <c r="K59" s="6">
        <v>138</v>
      </c>
      <c r="L59" s="6">
        <v>7.8890000000000002</v>
      </c>
      <c r="M59" s="6">
        <v>7.8890000000000002</v>
      </c>
      <c r="N59" s="6">
        <v>7.8890000000000002</v>
      </c>
      <c r="O59" s="6">
        <v>7.8890000000000002</v>
      </c>
      <c r="P59" s="6">
        <v>0</v>
      </c>
      <c r="Q59" s="4" t="s">
        <v>26</v>
      </c>
      <c r="R59" s="4">
        <v>0</v>
      </c>
      <c r="S59" s="4" t="s">
        <v>127</v>
      </c>
      <c r="T59" s="4" t="s">
        <v>320</v>
      </c>
      <c r="U59" s="4">
        <v>7</v>
      </c>
      <c r="V59" s="4">
        <v>27</v>
      </c>
      <c r="W59" s="4">
        <v>69</v>
      </c>
    </row>
    <row r="60" spans="1:23" ht="11.25" customHeight="1" x14ac:dyDescent="0.25">
      <c r="A60" s="4" t="s">
        <v>21</v>
      </c>
      <c r="B60" s="4" t="s">
        <v>35</v>
      </c>
      <c r="C60" s="4" t="s">
        <v>36</v>
      </c>
      <c r="D60" s="4" t="s">
        <v>34</v>
      </c>
      <c r="E60" s="4" t="s">
        <v>25</v>
      </c>
      <c r="F60" s="4" t="s">
        <v>25</v>
      </c>
      <c r="G60" s="4" t="s">
        <v>25</v>
      </c>
      <c r="H60" s="4" t="s">
        <v>37</v>
      </c>
      <c r="I60" s="5">
        <v>44713</v>
      </c>
      <c r="J60" s="6">
        <v>136</v>
      </c>
      <c r="K60" s="6">
        <v>136</v>
      </c>
      <c r="L60" s="6">
        <v>7.6029999999999998</v>
      </c>
      <c r="M60" s="6">
        <v>7.6029999999999998</v>
      </c>
      <c r="N60" s="6">
        <v>7.6029999999999998</v>
      </c>
      <c r="O60" s="6">
        <v>7.6029999999999998</v>
      </c>
      <c r="P60" s="6">
        <v>0</v>
      </c>
      <c r="Q60" s="4" t="s">
        <v>26</v>
      </c>
      <c r="R60" s="4">
        <v>0</v>
      </c>
      <c r="S60" s="4" t="s">
        <v>128</v>
      </c>
      <c r="T60" s="4" t="s">
        <v>321</v>
      </c>
      <c r="U60" s="4">
        <v>7</v>
      </c>
      <c r="V60" s="4">
        <v>27</v>
      </c>
      <c r="W60" s="4">
        <v>69</v>
      </c>
    </row>
    <row r="61" spans="1:23" ht="11.25" customHeight="1" x14ac:dyDescent="0.25">
      <c r="A61" s="4" t="s">
        <v>55</v>
      </c>
      <c r="B61" s="4" t="s">
        <v>35</v>
      </c>
      <c r="C61" s="4" t="s">
        <v>36</v>
      </c>
      <c r="D61" s="4" t="s">
        <v>34</v>
      </c>
      <c r="E61" s="4" t="s">
        <v>25</v>
      </c>
      <c r="F61" s="4" t="s">
        <v>25</v>
      </c>
      <c r="G61" s="4" t="s">
        <v>25</v>
      </c>
      <c r="H61" s="4" t="s">
        <v>37</v>
      </c>
      <c r="I61" s="5">
        <v>44743</v>
      </c>
      <c r="J61" s="6">
        <v>136</v>
      </c>
      <c r="K61" s="6">
        <v>136</v>
      </c>
      <c r="L61" s="6">
        <v>7.6029999999999998</v>
      </c>
      <c r="M61" s="6">
        <v>7.6029999999999998</v>
      </c>
      <c r="N61" s="6">
        <v>7.6029999999999998</v>
      </c>
      <c r="O61" s="6">
        <v>7.6029999999999998</v>
      </c>
      <c r="P61" s="6">
        <v>0</v>
      </c>
      <c r="Q61" s="4" t="s">
        <v>26</v>
      </c>
      <c r="R61" s="4">
        <v>0</v>
      </c>
      <c r="S61" s="4" t="s">
        <v>129</v>
      </c>
      <c r="T61" s="4" t="s">
        <v>322</v>
      </c>
      <c r="U61" s="4">
        <v>7</v>
      </c>
      <c r="V61" s="4">
        <v>27</v>
      </c>
      <c r="W61" s="4">
        <v>69</v>
      </c>
    </row>
    <row r="62" spans="1:23" ht="11.25" customHeight="1" x14ac:dyDescent="0.25">
      <c r="A62" s="4" t="s">
        <v>21</v>
      </c>
      <c r="B62" s="4" t="s">
        <v>35</v>
      </c>
      <c r="C62" s="4" t="s">
        <v>39</v>
      </c>
      <c r="D62" s="4" t="s">
        <v>40</v>
      </c>
      <c r="E62" s="4" t="s">
        <v>25</v>
      </c>
      <c r="F62" s="4" t="s">
        <v>25</v>
      </c>
      <c r="G62" s="4" t="s">
        <v>25</v>
      </c>
      <c r="H62" s="4" t="s">
        <v>38</v>
      </c>
      <c r="I62" s="5">
        <v>44409</v>
      </c>
      <c r="J62" s="6">
        <v>0</v>
      </c>
      <c r="K62" s="6">
        <v>0</v>
      </c>
      <c r="L62" s="6">
        <v>2035.172</v>
      </c>
      <c r="M62" s="6">
        <v>2035.172</v>
      </c>
      <c r="N62" s="6">
        <v>2035.172</v>
      </c>
      <c r="O62" s="6">
        <v>2035.172</v>
      </c>
      <c r="P62" s="6">
        <v>0</v>
      </c>
      <c r="Q62" s="4" t="s">
        <v>26</v>
      </c>
      <c r="R62" s="4">
        <v>0</v>
      </c>
      <c r="S62" s="4" t="s">
        <v>130</v>
      </c>
      <c r="T62" s="4" t="s">
        <v>299</v>
      </c>
      <c r="U62" s="4">
        <v>0</v>
      </c>
      <c r="V62" s="4">
        <v>18</v>
      </c>
      <c r="W62" s="4">
        <v>73</v>
      </c>
    </row>
    <row r="63" spans="1:23" ht="11.25" customHeight="1" x14ac:dyDescent="0.25">
      <c r="A63" s="4" t="s">
        <v>21</v>
      </c>
      <c r="B63" s="4" t="s">
        <v>35</v>
      </c>
      <c r="C63" s="4" t="s">
        <v>39</v>
      </c>
      <c r="D63" s="4" t="s">
        <v>40</v>
      </c>
      <c r="E63" s="4" t="s">
        <v>25</v>
      </c>
      <c r="F63" s="4" t="s">
        <v>25</v>
      </c>
      <c r="G63" s="4" t="s">
        <v>25</v>
      </c>
      <c r="H63" s="4" t="s">
        <v>38</v>
      </c>
      <c r="I63" s="5">
        <v>44440</v>
      </c>
      <c r="J63" s="6">
        <v>0</v>
      </c>
      <c r="K63" s="6">
        <v>0</v>
      </c>
      <c r="L63" s="6">
        <v>2211.12</v>
      </c>
      <c r="M63" s="6">
        <v>2211.12</v>
      </c>
      <c r="N63" s="6">
        <v>2211.12</v>
      </c>
      <c r="O63" s="6">
        <v>2211.12</v>
      </c>
      <c r="P63" s="6">
        <v>0</v>
      </c>
      <c r="Q63" s="4" t="s">
        <v>26</v>
      </c>
      <c r="R63" s="4">
        <v>0</v>
      </c>
      <c r="S63" s="4" t="s">
        <v>131</v>
      </c>
      <c r="T63" s="4" t="s">
        <v>300</v>
      </c>
      <c r="U63" s="4">
        <v>0</v>
      </c>
      <c r="V63" s="4">
        <v>18</v>
      </c>
      <c r="W63" s="4">
        <v>73</v>
      </c>
    </row>
    <row r="64" spans="1:23" ht="11.25" customHeight="1" x14ac:dyDescent="0.25">
      <c r="A64" s="4" t="s">
        <v>21</v>
      </c>
      <c r="B64" s="4" t="s">
        <v>35</v>
      </c>
      <c r="C64" s="4" t="s">
        <v>39</v>
      </c>
      <c r="D64" s="4" t="s">
        <v>40</v>
      </c>
      <c r="E64" s="4" t="s">
        <v>25</v>
      </c>
      <c r="F64" s="4" t="s">
        <v>25</v>
      </c>
      <c r="G64" s="4" t="s">
        <v>25</v>
      </c>
      <c r="H64" s="4" t="s">
        <v>38</v>
      </c>
      <c r="I64" s="5">
        <v>44470</v>
      </c>
      <c r="J64" s="6">
        <v>0</v>
      </c>
      <c r="K64" s="6">
        <v>0</v>
      </c>
      <c r="L64" s="6">
        <v>2145.2460000000001</v>
      </c>
      <c r="M64" s="6">
        <v>2145.2460000000001</v>
      </c>
      <c r="N64" s="6">
        <v>2145.2460000000001</v>
      </c>
      <c r="O64" s="6">
        <v>2145.2460000000001</v>
      </c>
      <c r="P64" s="6">
        <v>0</v>
      </c>
      <c r="Q64" s="4" t="s">
        <v>26</v>
      </c>
      <c r="R64" s="4">
        <v>0</v>
      </c>
      <c r="S64" s="4" t="s">
        <v>132</v>
      </c>
      <c r="T64" s="4" t="s">
        <v>301</v>
      </c>
      <c r="U64" s="4">
        <v>0</v>
      </c>
      <c r="V64" s="4">
        <v>18</v>
      </c>
      <c r="W64" s="4">
        <v>73</v>
      </c>
    </row>
    <row r="65" spans="1:23" ht="11.25" customHeight="1" x14ac:dyDescent="0.25">
      <c r="A65" s="4" t="s">
        <v>21</v>
      </c>
      <c r="B65" s="4" t="s">
        <v>35</v>
      </c>
      <c r="C65" s="4" t="s">
        <v>39</v>
      </c>
      <c r="D65" s="4" t="s">
        <v>40</v>
      </c>
      <c r="E65" s="4" t="s">
        <v>25</v>
      </c>
      <c r="F65" s="4" t="s">
        <v>25</v>
      </c>
      <c r="G65" s="4" t="s">
        <v>25</v>
      </c>
      <c r="H65" s="4" t="s">
        <v>38</v>
      </c>
      <c r="I65" s="5">
        <v>44501</v>
      </c>
      <c r="J65" s="6">
        <v>0</v>
      </c>
      <c r="K65" s="6">
        <v>0</v>
      </c>
      <c r="L65" s="6">
        <v>2449.5129999999999</v>
      </c>
      <c r="M65" s="6">
        <v>2449.5129999999999</v>
      </c>
      <c r="N65" s="6">
        <v>2449.5129999999999</v>
      </c>
      <c r="O65" s="6">
        <v>2449.5129999999999</v>
      </c>
      <c r="P65" s="6">
        <v>0</v>
      </c>
      <c r="Q65" s="4" t="s">
        <v>26</v>
      </c>
      <c r="R65" s="4">
        <v>0</v>
      </c>
      <c r="S65" s="4" t="s">
        <v>133</v>
      </c>
      <c r="T65" s="4" t="s">
        <v>302</v>
      </c>
      <c r="U65" s="4">
        <v>0</v>
      </c>
      <c r="V65" s="4">
        <v>18</v>
      </c>
      <c r="W65" s="4">
        <v>73</v>
      </c>
    </row>
    <row r="66" spans="1:23" ht="11.25" customHeight="1" x14ac:dyDescent="0.25">
      <c r="A66" s="4" t="s">
        <v>21</v>
      </c>
      <c r="B66" s="4" t="s">
        <v>35</v>
      </c>
      <c r="C66" s="4" t="s">
        <v>39</v>
      </c>
      <c r="D66" s="4" t="s">
        <v>40</v>
      </c>
      <c r="E66" s="4" t="s">
        <v>25</v>
      </c>
      <c r="F66" s="4" t="s">
        <v>25</v>
      </c>
      <c r="G66" s="4" t="s">
        <v>25</v>
      </c>
      <c r="H66" s="4" t="s">
        <v>38</v>
      </c>
      <c r="I66" s="5">
        <v>44531</v>
      </c>
      <c r="J66" s="6">
        <v>0</v>
      </c>
      <c r="K66" s="6">
        <v>0</v>
      </c>
      <c r="L66" s="6">
        <v>2745.7040000000002</v>
      </c>
      <c r="M66" s="6">
        <v>2745.7040000000002</v>
      </c>
      <c r="N66" s="6">
        <v>2745.7040000000002</v>
      </c>
      <c r="O66" s="6">
        <v>2745.7040000000002</v>
      </c>
      <c r="P66" s="6">
        <v>0</v>
      </c>
      <c r="Q66" s="4" t="s">
        <v>26</v>
      </c>
      <c r="R66" s="4">
        <v>0</v>
      </c>
      <c r="S66" s="4" t="s">
        <v>134</v>
      </c>
      <c r="T66" s="4" t="s">
        <v>303</v>
      </c>
      <c r="U66" s="4">
        <v>0</v>
      </c>
      <c r="V66" s="4">
        <v>18</v>
      </c>
      <c r="W66" s="4">
        <v>73</v>
      </c>
    </row>
    <row r="67" spans="1:23" ht="11.25" customHeight="1" x14ac:dyDescent="0.25">
      <c r="A67" s="4" t="s">
        <v>28</v>
      </c>
      <c r="B67" s="4" t="s">
        <v>35</v>
      </c>
      <c r="C67" s="4" t="s">
        <v>39</v>
      </c>
      <c r="D67" s="4" t="s">
        <v>40</v>
      </c>
      <c r="E67" s="4" t="s">
        <v>25</v>
      </c>
      <c r="F67" s="4" t="s">
        <v>25</v>
      </c>
      <c r="G67" s="4" t="s">
        <v>25</v>
      </c>
      <c r="H67" s="4" t="s">
        <v>38</v>
      </c>
      <c r="I67" s="5">
        <v>44531</v>
      </c>
      <c r="J67" s="6">
        <v>0</v>
      </c>
      <c r="K67" s="6">
        <v>0</v>
      </c>
      <c r="L67" s="6">
        <v>45.22</v>
      </c>
      <c r="M67" s="6">
        <v>45.22</v>
      </c>
      <c r="N67" s="6">
        <v>45.22</v>
      </c>
      <c r="O67" s="6">
        <v>45.22</v>
      </c>
      <c r="P67" s="6">
        <v>0</v>
      </c>
      <c r="Q67" s="4" t="s">
        <v>26</v>
      </c>
      <c r="R67" s="4">
        <v>0</v>
      </c>
      <c r="S67" s="4" t="s">
        <v>134</v>
      </c>
      <c r="T67" s="4" t="s">
        <v>303</v>
      </c>
      <c r="U67" s="4">
        <v>0</v>
      </c>
      <c r="V67" s="4">
        <v>18</v>
      </c>
      <c r="W67" s="4">
        <v>73</v>
      </c>
    </row>
    <row r="68" spans="1:23" ht="11.25" customHeight="1" x14ac:dyDescent="0.25">
      <c r="A68" s="4" t="s">
        <v>21</v>
      </c>
      <c r="B68" s="4" t="s">
        <v>35</v>
      </c>
      <c r="C68" s="4" t="s">
        <v>39</v>
      </c>
      <c r="D68" s="4" t="s">
        <v>40</v>
      </c>
      <c r="E68" s="4" t="s">
        <v>25</v>
      </c>
      <c r="F68" s="4" t="s">
        <v>25</v>
      </c>
      <c r="G68" s="4" t="s">
        <v>25</v>
      </c>
      <c r="H68" s="4" t="s">
        <v>38</v>
      </c>
      <c r="I68" s="5">
        <v>44562</v>
      </c>
      <c r="J68" s="6">
        <v>0</v>
      </c>
      <c r="K68" s="6">
        <v>0</v>
      </c>
      <c r="L68" s="6">
        <v>2724.8580000000002</v>
      </c>
      <c r="M68" s="6">
        <v>2724.8580000000002</v>
      </c>
      <c r="N68" s="6">
        <v>2724.8580000000002</v>
      </c>
      <c r="O68" s="6">
        <v>2724.8580000000002</v>
      </c>
      <c r="P68" s="6">
        <v>0</v>
      </c>
      <c r="Q68" s="4" t="s">
        <v>26</v>
      </c>
      <c r="R68" s="4">
        <v>0</v>
      </c>
      <c r="S68" s="4" t="s">
        <v>135</v>
      </c>
      <c r="T68" s="4" t="s">
        <v>304</v>
      </c>
      <c r="U68" s="4">
        <v>0</v>
      </c>
      <c r="V68" s="4">
        <v>18</v>
      </c>
      <c r="W68" s="4">
        <v>73</v>
      </c>
    </row>
    <row r="69" spans="1:23" ht="11.25" customHeight="1" x14ac:dyDescent="0.25">
      <c r="A69" s="4" t="s">
        <v>28</v>
      </c>
      <c r="B69" s="4" t="s">
        <v>35</v>
      </c>
      <c r="C69" s="4" t="s">
        <v>39</v>
      </c>
      <c r="D69" s="4" t="s">
        <v>40</v>
      </c>
      <c r="E69" s="4" t="s">
        <v>25</v>
      </c>
      <c r="F69" s="4" t="s">
        <v>25</v>
      </c>
      <c r="G69" s="4" t="s">
        <v>25</v>
      </c>
      <c r="H69" s="4" t="s">
        <v>38</v>
      </c>
      <c r="I69" s="5">
        <v>44562</v>
      </c>
      <c r="J69" s="6">
        <v>0</v>
      </c>
      <c r="K69" s="6">
        <v>0</v>
      </c>
      <c r="L69" s="6">
        <v>45.866999999999997</v>
      </c>
      <c r="M69" s="6">
        <v>45.866999999999997</v>
      </c>
      <c r="N69" s="6">
        <v>45.866999999999997</v>
      </c>
      <c r="O69" s="6">
        <v>45.866999999999997</v>
      </c>
      <c r="P69" s="6">
        <v>0</v>
      </c>
      <c r="Q69" s="4" t="s">
        <v>26</v>
      </c>
      <c r="R69" s="4">
        <v>0</v>
      </c>
      <c r="S69" s="4" t="s">
        <v>135</v>
      </c>
      <c r="T69" s="4" t="s">
        <v>304</v>
      </c>
      <c r="U69" s="4">
        <v>0</v>
      </c>
      <c r="V69" s="4">
        <v>18</v>
      </c>
      <c r="W69" s="4">
        <v>73</v>
      </c>
    </row>
    <row r="70" spans="1:23" ht="11.25" customHeight="1" x14ac:dyDescent="0.25">
      <c r="A70" s="4" t="s">
        <v>21</v>
      </c>
      <c r="B70" s="4" t="s">
        <v>35</v>
      </c>
      <c r="C70" s="4" t="s">
        <v>39</v>
      </c>
      <c r="D70" s="4" t="s">
        <v>40</v>
      </c>
      <c r="E70" s="4" t="s">
        <v>25</v>
      </c>
      <c r="F70" s="4" t="s">
        <v>25</v>
      </c>
      <c r="G70" s="4" t="s">
        <v>25</v>
      </c>
      <c r="H70" s="4" t="s">
        <v>38</v>
      </c>
      <c r="I70" s="5">
        <v>44593</v>
      </c>
      <c r="J70" s="6">
        <v>0</v>
      </c>
      <c r="K70" s="6">
        <v>0</v>
      </c>
      <c r="L70" s="6">
        <v>2615.8589999999999</v>
      </c>
      <c r="M70" s="6">
        <v>2615.8589999999999</v>
      </c>
      <c r="N70" s="6">
        <v>2615.8589999999999</v>
      </c>
      <c r="O70" s="6">
        <v>2615.8589999999999</v>
      </c>
      <c r="P70" s="6">
        <v>0</v>
      </c>
      <c r="Q70" s="4" t="s">
        <v>26</v>
      </c>
      <c r="R70" s="4">
        <v>0</v>
      </c>
      <c r="S70" s="4" t="s">
        <v>136</v>
      </c>
      <c r="T70" s="4" t="s">
        <v>305</v>
      </c>
      <c r="U70" s="4">
        <v>0</v>
      </c>
      <c r="V70" s="4">
        <v>18</v>
      </c>
      <c r="W70" s="4">
        <v>73</v>
      </c>
    </row>
    <row r="71" spans="1:23" ht="11.25" customHeight="1" x14ac:dyDescent="0.25">
      <c r="A71" s="4" t="s">
        <v>28</v>
      </c>
      <c r="B71" s="4" t="s">
        <v>35</v>
      </c>
      <c r="C71" s="4" t="s">
        <v>39</v>
      </c>
      <c r="D71" s="4" t="s">
        <v>40</v>
      </c>
      <c r="E71" s="4" t="s">
        <v>25</v>
      </c>
      <c r="F71" s="4" t="s">
        <v>25</v>
      </c>
      <c r="G71" s="4" t="s">
        <v>25</v>
      </c>
      <c r="H71" s="4" t="s">
        <v>38</v>
      </c>
      <c r="I71" s="5">
        <v>44593</v>
      </c>
      <c r="J71" s="6">
        <v>0</v>
      </c>
      <c r="K71" s="6">
        <v>0</v>
      </c>
      <c r="L71" s="6">
        <v>46.393999999999998</v>
      </c>
      <c r="M71" s="6">
        <v>46.393999999999998</v>
      </c>
      <c r="N71" s="6">
        <v>46.393999999999998</v>
      </c>
      <c r="O71" s="6">
        <v>46.393999999999998</v>
      </c>
      <c r="P71" s="6">
        <v>0</v>
      </c>
      <c r="Q71" s="4" t="s">
        <v>26</v>
      </c>
      <c r="R71" s="4">
        <v>0</v>
      </c>
      <c r="S71" s="4" t="s">
        <v>136</v>
      </c>
      <c r="T71" s="4" t="s">
        <v>305</v>
      </c>
      <c r="U71" s="4">
        <v>0</v>
      </c>
      <c r="V71" s="4">
        <v>18</v>
      </c>
      <c r="W71" s="4">
        <v>73</v>
      </c>
    </row>
    <row r="72" spans="1:23" ht="11.25" customHeight="1" x14ac:dyDescent="0.25">
      <c r="A72" s="4" t="s">
        <v>21</v>
      </c>
      <c r="B72" s="4" t="s">
        <v>35</v>
      </c>
      <c r="C72" s="4" t="s">
        <v>39</v>
      </c>
      <c r="D72" s="4" t="s">
        <v>40</v>
      </c>
      <c r="E72" s="4" t="s">
        <v>25</v>
      </c>
      <c r="F72" s="4" t="s">
        <v>25</v>
      </c>
      <c r="G72" s="4" t="s">
        <v>25</v>
      </c>
      <c r="H72" s="4" t="s">
        <v>38</v>
      </c>
      <c r="I72" s="5">
        <v>44621</v>
      </c>
      <c r="J72" s="6">
        <v>0</v>
      </c>
      <c r="K72" s="6">
        <v>0</v>
      </c>
      <c r="L72" s="6">
        <v>2779.0639999999999</v>
      </c>
      <c r="M72" s="6">
        <v>2779.0639999999999</v>
      </c>
      <c r="N72" s="6">
        <v>2779.0639999999999</v>
      </c>
      <c r="O72" s="6">
        <v>2779.0639999999999</v>
      </c>
      <c r="P72" s="6">
        <v>0</v>
      </c>
      <c r="Q72" s="4" t="s">
        <v>26</v>
      </c>
      <c r="R72" s="4">
        <v>0</v>
      </c>
      <c r="S72" s="4" t="s">
        <v>137</v>
      </c>
      <c r="T72" s="4" t="s">
        <v>306</v>
      </c>
      <c r="U72" s="4">
        <v>0</v>
      </c>
      <c r="V72" s="4">
        <v>18</v>
      </c>
      <c r="W72" s="4">
        <v>73</v>
      </c>
    </row>
    <row r="73" spans="1:23" ht="11.25" customHeight="1" x14ac:dyDescent="0.25">
      <c r="A73" s="4" t="s">
        <v>28</v>
      </c>
      <c r="B73" s="4" t="s">
        <v>35</v>
      </c>
      <c r="C73" s="4" t="s">
        <v>39</v>
      </c>
      <c r="D73" s="4" t="s">
        <v>40</v>
      </c>
      <c r="E73" s="4" t="s">
        <v>25</v>
      </c>
      <c r="F73" s="4" t="s">
        <v>25</v>
      </c>
      <c r="G73" s="4" t="s">
        <v>25</v>
      </c>
      <c r="H73" s="4" t="s">
        <v>38</v>
      </c>
      <c r="I73" s="5">
        <v>44621</v>
      </c>
      <c r="J73" s="6">
        <v>0</v>
      </c>
      <c r="K73" s="6">
        <v>0</v>
      </c>
      <c r="L73" s="6">
        <v>44.688000000000002</v>
      </c>
      <c r="M73" s="6">
        <v>44.688000000000002</v>
      </c>
      <c r="N73" s="6">
        <v>44.688000000000002</v>
      </c>
      <c r="O73" s="6">
        <v>44.688000000000002</v>
      </c>
      <c r="P73" s="6">
        <v>0</v>
      </c>
      <c r="Q73" s="4" t="s">
        <v>26</v>
      </c>
      <c r="R73" s="4">
        <v>0</v>
      </c>
      <c r="S73" s="4" t="s">
        <v>137</v>
      </c>
      <c r="T73" s="4" t="s">
        <v>306</v>
      </c>
      <c r="U73" s="4">
        <v>0</v>
      </c>
      <c r="V73" s="4">
        <v>18</v>
      </c>
      <c r="W73" s="4">
        <v>73</v>
      </c>
    </row>
    <row r="74" spans="1:23" ht="11.25" customHeight="1" x14ac:dyDescent="0.25">
      <c r="A74" s="4" t="s">
        <v>21</v>
      </c>
      <c r="B74" s="4" t="s">
        <v>35</v>
      </c>
      <c r="C74" s="4" t="s">
        <v>39</v>
      </c>
      <c r="D74" s="4" t="s">
        <v>40</v>
      </c>
      <c r="E74" s="4" t="s">
        <v>25</v>
      </c>
      <c r="F74" s="4" t="s">
        <v>25</v>
      </c>
      <c r="G74" s="4" t="s">
        <v>25</v>
      </c>
      <c r="H74" s="4" t="s">
        <v>38</v>
      </c>
      <c r="I74" s="5">
        <v>44652</v>
      </c>
      <c r="J74" s="6">
        <v>0</v>
      </c>
      <c r="K74" s="6">
        <v>0</v>
      </c>
      <c r="L74" s="6">
        <v>2255.348</v>
      </c>
      <c r="M74" s="6">
        <v>2255.348</v>
      </c>
      <c r="N74" s="6">
        <v>2255.348</v>
      </c>
      <c r="O74" s="6">
        <v>2255.348</v>
      </c>
      <c r="P74" s="6">
        <v>0</v>
      </c>
      <c r="Q74" s="4" t="s">
        <v>26</v>
      </c>
      <c r="R74" s="4">
        <v>0</v>
      </c>
      <c r="S74" s="4" t="s">
        <v>138</v>
      </c>
      <c r="T74" s="4" t="s">
        <v>307</v>
      </c>
      <c r="U74" s="4">
        <v>0</v>
      </c>
      <c r="V74" s="4">
        <v>18</v>
      </c>
      <c r="W74" s="4">
        <v>73</v>
      </c>
    </row>
    <row r="75" spans="1:23" ht="11.25" customHeight="1" x14ac:dyDescent="0.25">
      <c r="A75" s="4" t="s">
        <v>28</v>
      </c>
      <c r="B75" s="4" t="s">
        <v>35</v>
      </c>
      <c r="C75" s="4" t="s">
        <v>39</v>
      </c>
      <c r="D75" s="4" t="s">
        <v>40</v>
      </c>
      <c r="E75" s="4" t="s">
        <v>25</v>
      </c>
      <c r="F75" s="4" t="s">
        <v>25</v>
      </c>
      <c r="G75" s="4" t="s">
        <v>25</v>
      </c>
      <c r="H75" s="4" t="s">
        <v>38</v>
      </c>
      <c r="I75" s="5">
        <v>44652</v>
      </c>
      <c r="J75" s="6">
        <v>0</v>
      </c>
      <c r="K75" s="6">
        <v>0</v>
      </c>
      <c r="L75" s="6">
        <v>32.241</v>
      </c>
      <c r="M75" s="6">
        <v>32.241</v>
      </c>
      <c r="N75" s="6">
        <v>32.241</v>
      </c>
      <c r="O75" s="6">
        <v>32.241</v>
      </c>
      <c r="P75" s="6">
        <v>0</v>
      </c>
      <c r="Q75" s="4" t="s">
        <v>26</v>
      </c>
      <c r="R75" s="4">
        <v>0</v>
      </c>
      <c r="S75" s="4" t="s">
        <v>138</v>
      </c>
      <c r="T75" s="4" t="s">
        <v>307</v>
      </c>
      <c r="U75" s="4">
        <v>0</v>
      </c>
      <c r="V75" s="4">
        <v>18</v>
      </c>
      <c r="W75" s="4">
        <v>73</v>
      </c>
    </row>
    <row r="76" spans="1:23" ht="11.25" customHeight="1" x14ac:dyDescent="0.25">
      <c r="A76" s="4" t="s">
        <v>21</v>
      </c>
      <c r="B76" s="4" t="s">
        <v>35</v>
      </c>
      <c r="C76" s="4" t="s">
        <v>39</v>
      </c>
      <c r="D76" s="4" t="s">
        <v>40</v>
      </c>
      <c r="E76" s="4" t="s">
        <v>25</v>
      </c>
      <c r="F76" s="4" t="s">
        <v>25</v>
      </c>
      <c r="G76" s="4" t="s">
        <v>25</v>
      </c>
      <c r="H76" s="4" t="s">
        <v>38</v>
      </c>
      <c r="I76" s="5">
        <v>44682</v>
      </c>
      <c r="J76" s="6">
        <v>0</v>
      </c>
      <c r="K76" s="6">
        <v>0</v>
      </c>
      <c r="L76" s="6">
        <v>2097.8850000000002</v>
      </c>
      <c r="M76" s="6">
        <v>2097.8850000000002</v>
      </c>
      <c r="N76" s="6">
        <v>2097.8850000000002</v>
      </c>
      <c r="O76" s="6">
        <v>2097.8850000000002</v>
      </c>
      <c r="P76" s="6">
        <v>0</v>
      </c>
      <c r="Q76" s="4" t="s">
        <v>26</v>
      </c>
      <c r="R76" s="4">
        <v>0</v>
      </c>
      <c r="S76" s="4" t="s">
        <v>139</v>
      </c>
      <c r="T76" s="4" t="s">
        <v>308</v>
      </c>
      <c r="U76" s="4">
        <v>0</v>
      </c>
      <c r="V76" s="4">
        <v>18</v>
      </c>
      <c r="W76" s="4">
        <v>73</v>
      </c>
    </row>
    <row r="77" spans="1:23" ht="11.25" customHeight="1" x14ac:dyDescent="0.25">
      <c r="A77" s="4" t="s">
        <v>28</v>
      </c>
      <c r="B77" s="4" t="s">
        <v>35</v>
      </c>
      <c r="C77" s="4" t="s">
        <v>39</v>
      </c>
      <c r="D77" s="4" t="s">
        <v>40</v>
      </c>
      <c r="E77" s="4" t="s">
        <v>25</v>
      </c>
      <c r="F77" s="4" t="s">
        <v>25</v>
      </c>
      <c r="G77" s="4" t="s">
        <v>25</v>
      </c>
      <c r="H77" s="4" t="s">
        <v>38</v>
      </c>
      <c r="I77" s="5">
        <v>44682</v>
      </c>
      <c r="J77" s="6">
        <v>0</v>
      </c>
      <c r="K77" s="6">
        <v>0</v>
      </c>
      <c r="L77" s="6">
        <v>32.703000000000003</v>
      </c>
      <c r="M77" s="6">
        <v>32.703000000000003</v>
      </c>
      <c r="N77" s="6">
        <v>32.703000000000003</v>
      </c>
      <c r="O77" s="6">
        <v>32.703000000000003</v>
      </c>
      <c r="P77" s="6">
        <v>0</v>
      </c>
      <c r="Q77" s="4" t="s">
        <v>26</v>
      </c>
      <c r="R77" s="4">
        <v>0</v>
      </c>
      <c r="S77" s="4" t="s">
        <v>139</v>
      </c>
      <c r="T77" s="4" t="s">
        <v>308</v>
      </c>
      <c r="U77" s="4">
        <v>0</v>
      </c>
      <c r="V77" s="4">
        <v>18</v>
      </c>
      <c r="W77" s="4">
        <v>73</v>
      </c>
    </row>
    <row r="78" spans="1:23" ht="11.25" customHeight="1" x14ac:dyDescent="0.25">
      <c r="A78" s="4" t="s">
        <v>21</v>
      </c>
      <c r="B78" s="4" t="s">
        <v>35</v>
      </c>
      <c r="C78" s="4" t="s">
        <v>39</v>
      </c>
      <c r="D78" s="4" t="s">
        <v>40</v>
      </c>
      <c r="E78" s="4" t="s">
        <v>25</v>
      </c>
      <c r="F78" s="4" t="s">
        <v>25</v>
      </c>
      <c r="G78" s="4" t="s">
        <v>25</v>
      </c>
      <c r="H78" s="4" t="s">
        <v>38</v>
      </c>
      <c r="I78" s="5">
        <v>44713</v>
      </c>
      <c r="J78" s="6">
        <v>0</v>
      </c>
      <c r="K78" s="6">
        <v>0</v>
      </c>
      <c r="L78" s="6">
        <v>1974.92</v>
      </c>
      <c r="M78" s="6">
        <v>1974.92</v>
      </c>
      <c r="N78" s="6">
        <v>1974.92</v>
      </c>
      <c r="O78" s="6">
        <v>1974.92</v>
      </c>
      <c r="P78" s="6">
        <v>0</v>
      </c>
      <c r="Q78" s="4" t="s">
        <v>26</v>
      </c>
      <c r="R78" s="4">
        <v>0</v>
      </c>
      <c r="S78" s="4" t="s">
        <v>140</v>
      </c>
      <c r="T78" s="4" t="s">
        <v>309</v>
      </c>
      <c r="U78" s="4">
        <v>0</v>
      </c>
      <c r="V78" s="4">
        <v>18</v>
      </c>
      <c r="W78" s="4">
        <v>73</v>
      </c>
    </row>
    <row r="79" spans="1:23" ht="11.25" customHeight="1" x14ac:dyDescent="0.25">
      <c r="A79" s="4" t="s">
        <v>28</v>
      </c>
      <c r="B79" s="4" t="s">
        <v>35</v>
      </c>
      <c r="C79" s="4" t="s">
        <v>39</v>
      </c>
      <c r="D79" s="4" t="s">
        <v>40</v>
      </c>
      <c r="E79" s="4" t="s">
        <v>25</v>
      </c>
      <c r="F79" s="4" t="s">
        <v>25</v>
      </c>
      <c r="G79" s="4" t="s">
        <v>25</v>
      </c>
      <c r="H79" s="4" t="s">
        <v>38</v>
      </c>
      <c r="I79" s="5">
        <v>44713</v>
      </c>
      <c r="J79" s="6">
        <v>0</v>
      </c>
      <c r="K79" s="6">
        <v>0</v>
      </c>
      <c r="L79" s="6">
        <v>37.793999999999997</v>
      </c>
      <c r="M79" s="6">
        <v>37.793999999999997</v>
      </c>
      <c r="N79" s="6">
        <v>37.793999999999997</v>
      </c>
      <c r="O79" s="6">
        <v>37.793999999999997</v>
      </c>
      <c r="P79" s="6">
        <v>0</v>
      </c>
      <c r="Q79" s="4" t="s">
        <v>26</v>
      </c>
      <c r="R79" s="4">
        <v>0</v>
      </c>
      <c r="S79" s="4" t="s">
        <v>140</v>
      </c>
      <c r="T79" s="4" t="s">
        <v>309</v>
      </c>
      <c r="U79" s="4">
        <v>0</v>
      </c>
      <c r="V79" s="4">
        <v>18</v>
      </c>
      <c r="W79" s="4">
        <v>73</v>
      </c>
    </row>
    <row r="80" spans="1:23" ht="11.25" customHeight="1" x14ac:dyDescent="0.25">
      <c r="A80" s="4" t="s">
        <v>55</v>
      </c>
      <c r="B80" s="4" t="s">
        <v>35</v>
      </c>
      <c r="C80" s="4" t="s">
        <v>39</v>
      </c>
      <c r="D80" s="4" t="s">
        <v>40</v>
      </c>
      <c r="E80" s="4" t="s">
        <v>25</v>
      </c>
      <c r="F80" s="4" t="s">
        <v>25</v>
      </c>
      <c r="G80" s="4" t="s">
        <v>25</v>
      </c>
      <c r="H80" s="4" t="s">
        <v>38</v>
      </c>
      <c r="I80" s="5">
        <v>44743</v>
      </c>
      <c r="J80" s="6">
        <v>0</v>
      </c>
      <c r="K80" s="6">
        <v>0</v>
      </c>
      <c r="L80" s="6">
        <v>1974.92</v>
      </c>
      <c r="M80" s="6">
        <v>1974.92</v>
      </c>
      <c r="N80" s="6">
        <v>1974.92</v>
      </c>
      <c r="O80" s="6">
        <v>1974.92</v>
      </c>
      <c r="P80" s="6">
        <v>0</v>
      </c>
      <c r="Q80" s="4" t="s">
        <v>26</v>
      </c>
      <c r="R80" s="4">
        <v>0</v>
      </c>
      <c r="S80" s="4" t="s">
        <v>141</v>
      </c>
      <c r="T80" s="4" t="s">
        <v>310</v>
      </c>
      <c r="U80" s="4">
        <v>0</v>
      </c>
      <c r="V80" s="4">
        <v>18</v>
      </c>
      <c r="W80" s="4">
        <v>73</v>
      </c>
    </row>
    <row r="81" spans="1:23" ht="11.25" customHeight="1" x14ac:dyDescent="0.25">
      <c r="A81" s="4" t="s">
        <v>55</v>
      </c>
      <c r="B81" s="4" t="s">
        <v>35</v>
      </c>
      <c r="C81" s="4" t="s">
        <v>39</v>
      </c>
      <c r="D81" s="4" t="s">
        <v>40</v>
      </c>
      <c r="E81" s="4" t="s">
        <v>25</v>
      </c>
      <c r="F81" s="4" t="s">
        <v>25</v>
      </c>
      <c r="G81" s="4" t="s">
        <v>25</v>
      </c>
      <c r="H81" s="4" t="s">
        <v>38</v>
      </c>
      <c r="I81" s="5">
        <v>44743</v>
      </c>
      <c r="J81" s="6">
        <v>0</v>
      </c>
      <c r="K81" s="6">
        <v>0</v>
      </c>
      <c r="L81" s="6">
        <v>37.793999999999997</v>
      </c>
      <c r="M81" s="6">
        <v>37.793999999999997</v>
      </c>
      <c r="N81" s="6">
        <v>37.793999999999997</v>
      </c>
      <c r="O81" s="6">
        <v>37.793999999999997</v>
      </c>
      <c r="P81" s="6">
        <v>0</v>
      </c>
      <c r="Q81" s="4" t="s">
        <v>26</v>
      </c>
      <c r="R81" s="4">
        <v>0</v>
      </c>
      <c r="S81" s="4" t="s">
        <v>141</v>
      </c>
      <c r="T81" s="4" t="s">
        <v>310</v>
      </c>
      <c r="U81" s="4">
        <v>0</v>
      </c>
      <c r="V81" s="4">
        <v>18</v>
      </c>
      <c r="W81" s="4">
        <v>73</v>
      </c>
    </row>
    <row r="82" spans="1:23" ht="11.25" customHeight="1" x14ac:dyDescent="0.25">
      <c r="A82" s="4" t="s">
        <v>21</v>
      </c>
      <c r="B82" s="4" t="s">
        <v>35</v>
      </c>
      <c r="C82" s="4" t="s">
        <v>39</v>
      </c>
      <c r="D82" s="4" t="s">
        <v>40</v>
      </c>
      <c r="E82" s="4" t="s">
        <v>25</v>
      </c>
      <c r="F82" s="4" t="s">
        <v>25</v>
      </c>
      <c r="G82" s="4" t="s">
        <v>25</v>
      </c>
      <c r="H82" s="4" t="s">
        <v>25</v>
      </c>
      <c r="I82" s="5">
        <v>44409</v>
      </c>
      <c r="J82" s="6">
        <v>8353</v>
      </c>
      <c r="K82" s="6">
        <v>8353</v>
      </c>
      <c r="L82" s="6">
        <v>0</v>
      </c>
      <c r="M82" s="6">
        <v>0</v>
      </c>
      <c r="N82" s="6">
        <v>0</v>
      </c>
      <c r="O82" s="6">
        <v>0</v>
      </c>
      <c r="P82" s="6">
        <v>35</v>
      </c>
      <c r="Q82" s="4" t="s">
        <v>26</v>
      </c>
      <c r="R82" s="4">
        <v>0</v>
      </c>
      <c r="S82" s="4" t="s">
        <v>142</v>
      </c>
      <c r="U82" s="4">
        <v>24</v>
      </c>
      <c r="V82" s="4">
        <v>0</v>
      </c>
      <c r="W82" s="4">
        <v>0</v>
      </c>
    </row>
    <row r="83" spans="1:23" ht="11.25" customHeight="1" x14ac:dyDescent="0.25">
      <c r="A83" s="4" t="s">
        <v>21</v>
      </c>
      <c r="B83" s="4" t="s">
        <v>35</v>
      </c>
      <c r="C83" s="4" t="s">
        <v>39</v>
      </c>
      <c r="D83" s="4" t="s">
        <v>40</v>
      </c>
      <c r="E83" s="4" t="s">
        <v>25</v>
      </c>
      <c r="F83" s="4" t="s">
        <v>25</v>
      </c>
      <c r="G83" s="4" t="s">
        <v>25</v>
      </c>
      <c r="H83" s="4" t="s">
        <v>25</v>
      </c>
      <c r="I83" s="5">
        <v>44440</v>
      </c>
      <c r="J83" s="6">
        <v>8501</v>
      </c>
      <c r="K83" s="6">
        <v>8501</v>
      </c>
      <c r="L83" s="6">
        <v>0</v>
      </c>
      <c r="M83" s="6">
        <v>0</v>
      </c>
      <c r="N83" s="6">
        <v>0</v>
      </c>
      <c r="O83" s="6">
        <v>0</v>
      </c>
      <c r="P83" s="6">
        <v>35</v>
      </c>
      <c r="Q83" s="4" t="s">
        <v>26</v>
      </c>
      <c r="R83" s="4">
        <v>0</v>
      </c>
      <c r="S83" s="4" t="s">
        <v>143</v>
      </c>
      <c r="U83" s="4">
        <v>24</v>
      </c>
      <c r="V83" s="4">
        <v>0</v>
      </c>
      <c r="W83" s="4">
        <v>0</v>
      </c>
    </row>
    <row r="84" spans="1:23" ht="11.25" customHeight="1" x14ac:dyDescent="0.25">
      <c r="A84" s="4" t="s">
        <v>21</v>
      </c>
      <c r="B84" s="4" t="s">
        <v>35</v>
      </c>
      <c r="C84" s="4" t="s">
        <v>39</v>
      </c>
      <c r="D84" s="4" t="s">
        <v>40</v>
      </c>
      <c r="E84" s="4" t="s">
        <v>25</v>
      </c>
      <c r="F84" s="4" t="s">
        <v>25</v>
      </c>
      <c r="G84" s="4" t="s">
        <v>25</v>
      </c>
      <c r="H84" s="4" t="s">
        <v>25</v>
      </c>
      <c r="I84" s="5">
        <v>44470</v>
      </c>
      <c r="J84" s="6">
        <v>9098</v>
      </c>
      <c r="K84" s="6">
        <v>9098</v>
      </c>
      <c r="L84" s="6">
        <v>0</v>
      </c>
      <c r="M84" s="6">
        <v>0</v>
      </c>
      <c r="N84" s="6">
        <v>0</v>
      </c>
      <c r="O84" s="6">
        <v>0</v>
      </c>
      <c r="P84" s="6">
        <v>35</v>
      </c>
      <c r="Q84" s="4" t="s">
        <v>26</v>
      </c>
      <c r="R84" s="4">
        <v>0</v>
      </c>
      <c r="S84" s="4" t="s">
        <v>144</v>
      </c>
      <c r="U84" s="4">
        <v>24</v>
      </c>
      <c r="V84" s="4">
        <v>0</v>
      </c>
      <c r="W84" s="4">
        <v>0</v>
      </c>
    </row>
    <row r="85" spans="1:23" ht="11.25" customHeight="1" x14ac:dyDescent="0.25">
      <c r="A85" s="4" t="s">
        <v>21</v>
      </c>
      <c r="B85" s="4" t="s">
        <v>35</v>
      </c>
      <c r="C85" s="4" t="s">
        <v>39</v>
      </c>
      <c r="D85" s="4" t="s">
        <v>40</v>
      </c>
      <c r="E85" s="4" t="s">
        <v>25</v>
      </c>
      <c r="F85" s="4" t="s">
        <v>25</v>
      </c>
      <c r="G85" s="4" t="s">
        <v>25</v>
      </c>
      <c r="H85" s="4" t="s">
        <v>25</v>
      </c>
      <c r="I85" s="5">
        <v>44501</v>
      </c>
      <c r="J85" s="6">
        <v>9165</v>
      </c>
      <c r="K85" s="6">
        <v>9165</v>
      </c>
      <c r="L85" s="6">
        <v>0</v>
      </c>
      <c r="M85" s="6">
        <v>0</v>
      </c>
      <c r="N85" s="6">
        <v>0</v>
      </c>
      <c r="O85" s="6">
        <v>0</v>
      </c>
      <c r="P85" s="6">
        <v>35</v>
      </c>
      <c r="Q85" s="4" t="s">
        <v>26</v>
      </c>
      <c r="R85" s="4">
        <v>0</v>
      </c>
      <c r="S85" s="4" t="s">
        <v>145</v>
      </c>
      <c r="U85" s="4">
        <v>24</v>
      </c>
      <c r="V85" s="4">
        <v>0</v>
      </c>
      <c r="W85" s="4">
        <v>0</v>
      </c>
    </row>
    <row r="86" spans="1:23" ht="11.25" customHeight="1" x14ac:dyDescent="0.25">
      <c r="A86" s="4" t="s">
        <v>21</v>
      </c>
      <c r="B86" s="4" t="s">
        <v>35</v>
      </c>
      <c r="C86" s="4" t="s">
        <v>39</v>
      </c>
      <c r="D86" s="4" t="s">
        <v>40</v>
      </c>
      <c r="E86" s="4" t="s">
        <v>25</v>
      </c>
      <c r="F86" s="4" t="s">
        <v>25</v>
      </c>
      <c r="G86" s="4" t="s">
        <v>25</v>
      </c>
      <c r="H86" s="4" t="s">
        <v>25</v>
      </c>
      <c r="I86" s="5">
        <v>44531</v>
      </c>
      <c r="J86" s="6">
        <v>9247</v>
      </c>
      <c r="K86" s="6">
        <v>9247</v>
      </c>
      <c r="L86" s="6">
        <v>0</v>
      </c>
      <c r="M86" s="6">
        <v>0</v>
      </c>
      <c r="N86" s="6">
        <v>0</v>
      </c>
      <c r="O86" s="6">
        <v>0</v>
      </c>
      <c r="P86" s="6">
        <v>35</v>
      </c>
      <c r="Q86" s="4" t="s">
        <v>26</v>
      </c>
      <c r="R86" s="4">
        <v>0</v>
      </c>
      <c r="S86" s="4" t="s">
        <v>146</v>
      </c>
      <c r="U86" s="4">
        <v>24</v>
      </c>
      <c r="V86" s="4">
        <v>0</v>
      </c>
      <c r="W86" s="4">
        <v>0</v>
      </c>
    </row>
    <row r="87" spans="1:23" ht="11.25" customHeight="1" x14ac:dyDescent="0.25">
      <c r="A87" s="4" t="s">
        <v>28</v>
      </c>
      <c r="B87" s="4" t="s">
        <v>35</v>
      </c>
      <c r="C87" s="4" t="s">
        <v>39</v>
      </c>
      <c r="D87" s="4" t="s">
        <v>40</v>
      </c>
      <c r="E87" s="4" t="s">
        <v>25</v>
      </c>
      <c r="F87" s="4" t="s">
        <v>25</v>
      </c>
      <c r="G87" s="4" t="s">
        <v>25</v>
      </c>
      <c r="H87" s="4" t="s">
        <v>25</v>
      </c>
      <c r="I87" s="5">
        <v>44531</v>
      </c>
      <c r="J87" s="6">
        <v>195</v>
      </c>
      <c r="K87" s="6">
        <v>195</v>
      </c>
      <c r="L87" s="6">
        <v>0</v>
      </c>
      <c r="M87" s="6">
        <v>0</v>
      </c>
      <c r="N87" s="6">
        <v>0</v>
      </c>
      <c r="O87" s="6">
        <v>0</v>
      </c>
      <c r="P87" s="6">
        <v>1</v>
      </c>
      <c r="Q87" s="4" t="s">
        <v>26</v>
      </c>
      <c r="R87" s="4">
        <v>0</v>
      </c>
      <c r="S87" s="4" t="s">
        <v>146</v>
      </c>
      <c r="U87" s="4">
        <v>24</v>
      </c>
      <c r="V87" s="4">
        <v>0</v>
      </c>
      <c r="W87" s="4">
        <v>0</v>
      </c>
    </row>
    <row r="88" spans="1:23" ht="11.25" customHeight="1" x14ac:dyDescent="0.25">
      <c r="A88" s="4" t="s">
        <v>21</v>
      </c>
      <c r="B88" s="4" t="s">
        <v>35</v>
      </c>
      <c r="C88" s="4" t="s">
        <v>39</v>
      </c>
      <c r="D88" s="4" t="s">
        <v>40</v>
      </c>
      <c r="E88" s="4" t="s">
        <v>25</v>
      </c>
      <c r="F88" s="4" t="s">
        <v>25</v>
      </c>
      <c r="G88" s="4" t="s">
        <v>25</v>
      </c>
      <c r="H88" s="4" t="s">
        <v>25</v>
      </c>
      <c r="I88" s="5">
        <v>44562</v>
      </c>
      <c r="J88" s="6">
        <v>9263</v>
      </c>
      <c r="K88" s="6">
        <v>9263</v>
      </c>
      <c r="L88" s="6">
        <v>0</v>
      </c>
      <c r="M88" s="6">
        <v>0</v>
      </c>
      <c r="N88" s="6">
        <v>0</v>
      </c>
      <c r="O88" s="6">
        <v>0</v>
      </c>
      <c r="P88" s="6">
        <v>35</v>
      </c>
      <c r="Q88" s="4" t="s">
        <v>26</v>
      </c>
      <c r="R88" s="4">
        <v>0</v>
      </c>
      <c r="S88" s="4" t="s">
        <v>147</v>
      </c>
      <c r="U88" s="4">
        <v>24</v>
      </c>
      <c r="V88" s="4">
        <v>0</v>
      </c>
      <c r="W88" s="4">
        <v>0</v>
      </c>
    </row>
    <row r="89" spans="1:23" ht="11.25" customHeight="1" x14ac:dyDescent="0.25">
      <c r="A89" s="4" t="s">
        <v>28</v>
      </c>
      <c r="B89" s="4" t="s">
        <v>35</v>
      </c>
      <c r="C89" s="4" t="s">
        <v>39</v>
      </c>
      <c r="D89" s="4" t="s">
        <v>40</v>
      </c>
      <c r="E89" s="4" t="s">
        <v>25</v>
      </c>
      <c r="F89" s="4" t="s">
        <v>25</v>
      </c>
      <c r="G89" s="4" t="s">
        <v>25</v>
      </c>
      <c r="H89" s="4" t="s">
        <v>25</v>
      </c>
      <c r="I89" s="5">
        <v>44562</v>
      </c>
      <c r="J89" s="6">
        <v>176</v>
      </c>
      <c r="K89" s="6">
        <v>176</v>
      </c>
      <c r="L89" s="6">
        <v>0</v>
      </c>
      <c r="M89" s="6">
        <v>0</v>
      </c>
      <c r="N89" s="6">
        <v>0</v>
      </c>
      <c r="O89" s="6">
        <v>0</v>
      </c>
      <c r="P89" s="6">
        <v>1</v>
      </c>
      <c r="Q89" s="4" t="s">
        <v>26</v>
      </c>
      <c r="R89" s="4">
        <v>0</v>
      </c>
      <c r="S89" s="4" t="s">
        <v>147</v>
      </c>
      <c r="U89" s="4">
        <v>24</v>
      </c>
      <c r="V89" s="4">
        <v>0</v>
      </c>
      <c r="W89" s="4">
        <v>0</v>
      </c>
    </row>
    <row r="90" spans="1:23" ht="11.25" customHeight="1" x14ac:dyDescent="0.25">
      <c r="A90" s="4" t="s">
        <v>21</v>
      </c>
      <c r="B90" s="4" t="s">
        <v>35</v>
      </c>
      <c r="C90" s="4" t="s">
        <v>39</v>
      </c>
      <c r="D90" s="4" t="s">
        <v>40</v>
      </c>
      <c r="E90" s="4" t="s">
        <v>25</v>
      </c>
      <c r="F90" s="4" t="s">
        <v>25</v>
      </c>
      <c r="G90" s="4" t="s">
        <v>25</v>
      </c>
      <c r="H90" s="4" t="s">
        <v>25</v>
      </c>
      <c r="I90" s="5">
        <v>44593</v>
      </c>
      <c r="J90" s="6">
        <v>9208</v>
      </c>
      <c r="K90" s="6">
        <v>9208</v>
      </c>
      <c r="L90" s="6">
        <v>0</v>
      </c>
      <c r="M90" s="6">
        <v>0</v>
      </c>
      <c r="N90" s="6">
        <v>0</v>
      </c>
      <c r="O90" s="6">
        <v>0</v>
      </c>
      <c r="P90" s="6">
        <v>35</v>
      </c>
      <c r="Q90" s="4" t="s">
        <v>26</v>
      </c>
      <c r="R90" s="4">
        <v>0</v>
      </c>
      <c r="S90" s="4" t="s">
        <v>148</v>
      </c>
      <c r="U90" s="4">
        <v>24</v>
      </c>
      <c r="V90" s="4">
        <v>0</v>
      </c>
      <c r="W90" s="4">
        <v>0</v>
      </c>
    </row>
    <row r="91" spans="1:23" ht="11.25" customHeight="1" x14ac:dyDescent="0.25">
      <c r="A91" s="4" t="s">
        <v>28</v>
      </c>
      <c r="B91" s="4" t="s">
        <v>35</v>
      </c>
      <c r="C91" s="4" t="s">
        <v>39</v>
      </c>
      <c r="D91" s="4" t="s">
        <v>40</v>
      </c>
      <c r="E91" s="4" t="s">
        <v>25</v>
      </c>
      <c r="F91" s="4" t="s">
        <v>25</v>
      </c>
      <c r="G91" s="4" t="s">
        <v>25</v>
      </c>
      <c r="H91" s="4" t="s">
        <v>25</v>
      </c>
      <c r="I91" s="5">
        <v>44593</v>
      </c>
      <c r="J91" s="6">
        <v>172</v>
      </c>
      <c r="K91" s="6">
        <v>172</v>
      </c>
      <c r="L91" s="6">
        <v>0</v>
      </c>
      <c r="M91" s="6">
        <v>0</v>
      </c>
      <c r="N91" s="6">
        <v>0</v>
      </c>
      <c r="O91" s="6">
        <v>0</v>
      </c>
      <c r="P91" s="6">
        <v>1</v>
      </c>
      <c r="Q91" s="4" t="s">
        <v>26</v>
      </c>
      <c r="R91" s="4">
        <v>0</v>
      </c>
      <c r="S91" s="4" t="s">
        <v>148</v>
      </c>
      <c r="U91" s="4">
        <v>24</v>
      </c>
      <c r="V91" s="4">
        <v>0</v>
      </c>
      <c r="W91" s="4">
        <v>0</v>
      </c>
    </row>
    <row r="92" spans="1:23" ht="11.25" customHeight="1" x14ac:dyDescent="0.25">
      <c r="A92" s="4" t="s">
        <v>21</v>
      </c>
      <c r="B92" s="4" t="s">
        <v>35</v>
      </c>
      <c r="C92" s="4" t="s">
        <v>39</v>
      </c>
      <c r="D92" s="4" t="s">
        <v>40</v>
      </c>
      <c r="E92" s="4" t="s">
        <v>25</v>
      </c>
      <c r="F92" s="4" t="s">
        <v>25</v>
      </c>
      <c r="G92" s="4" t="s">
        <v>25</v>
      </c>
      <c r="H92" s="4" t="s">
        <v>25</v>
      </c>
      <c r="I92" s="5">
        <v>44621</v>
      </c>
      <c r="J92" s="6">
        <v>9345</v>
      </c>
      <c r="K92" s="6">
        <v>9345</v>
      </c>
      <c r="L92" s="6">
        <v>0</v>
      </c>
      <c r="M92" s="6">
        <v>0</v>
      </c>
      <c r="N92" s="6">
        <v>0</v>
      </c>
      <c r="O92" s="6">
        <v>0</v>
      </c>
      <c r="P92" s="6">
        <v>35</v>
      </c>
      <c r="Q92" s="4" t="s">
        <v>26</v>
      </c>
      <c r="R92" s="4">
        <v>0</v>
      </c>
      <c r="S92" s="4" t="s">
        <v>149</v>
      </c>
      <c r="U92" s="4">
        <v>24</v>
      </c>
      <c r="V92" s="4">
        <v>0</v>
      </c>
      <c r="W92" s="4">
        <v>0</v>
      </c>
    </row>
    <row r="93" spans="1:23" ht="11.25" customHeight="1" x14ac:dyDescent="0.25">
      <c r="A93" s="4" t="s">
        <v>28</v>
      </c>
      <c r="B93" s="4" t="s">
        <v>35</v>
      </c>
      <c r="C93" s="4" t="s">
        <v>39</v>
      </c>
      <c r="D93" s="4" t="s">
        <v>40</v>
      </c>
      <c r="E93" s="4" t="s">
        <v>25</v>
      </c>
      <c r="F93" s="4" t="s">
        <v>25</v>
      </c>
      <c r="G93" s="4" t="s">
        <v>25</v>
      </c>
      <c r="H93" s="4" t="s">
        <v>25</v>
      </c>
      <c r="I93" s="5">
        <v>44621</v>
      </c>
      <c r="J93" s="6">
        <v>205</v>
      </c>
      <c r="K93" s="6">
        <v>205</v>
      </c>
      <c r="L93" s="6">
        <v>0</v>
      </c>
      <c r="M93" s="6">
        <v>0</v>
      </c>
      <c r="N93" s="6">
        <v>0</v>
      </c>
      <c r="O93" s="6">
        <v>0</v>
      </c>
      <c r="P93" s="6">
        <v>1</v>
      </c>
      <c r="Q93" s="4" t="s">
        <v>26</v>
      </c>
      <c r="R93" s="4">
        <v>0</v>
      </c>
      <c r="S93" s="4" t="s">
        <v>149</v>
      </c>
      <c r="U93" s="4">
        <v>24</v>
      </c>
      <c r="V93" s="4">
        <v>0</v>
      </c>
      <c r="W93" s="4">
        <v>0</v>
      </c>
    </row>
    <row r="94" spans="1:23" ht="11.25" customHeight="1" x14ac:dyDescent="0.25">
      <c r="A94" s="4" t="s">
        <v>21</v>
      </c>
      <c r="B94" s="4" t="s">
        <v>35</v>
      </c>
      <c r="C94" s="4" t="s">
        <v>39</v>
      </c>
      <c r="D94" s="4" t="s">
        <v>40</v>
      </c>
      <c r="E94" s="4" t="s">
        <v>25</v>
      </c>
      <c r="F94" s="4" t="s">
        <v>25</v>
      </c>
      <c r="G94" s="4" t="s">
        <v>25</v>
      </c>
      <c r="H94" s="4" t="s">
        <v>25</v>
      </c>
      <c r="I94" s="5">
        <v>44652</v>
      </c>
      <c r="J94" s="6">
        <v>9217</v>
      </c>
      <c r="K94" s="6">
        <v>9217</v>
      </c>
      <c r="L94" s="6">
        <v>0</v>
      </c>
      <c r="M94" s="6">
        <v>0</v>
      </c>
      <c r="N94" s="6">
        <v>0</v>
      </c>
      <c r="O94" s="6">
        <v>0</v>
      </c>
      <c r="P94" s="6">
        <v>36</v>
      </c>
      <c r="Q94" s="4" t="s">
        <v>26</v>
      </c>
      <c r="R94" s="4">
        <v>0</v>
      </c>
      <c r="S94" s="4" t="s">
        <v>150</v>
      </c>
      <c r="U94" s="4">
        <v>24</v>
      </c>
      <c r="V94" s="4">
        <v>0</v>
      </c>
      <c r="W94" s="4">
        <v>0</v>
      </c>
    </row>
    <row r="95" spans="1:23" ht="11.25" customHeight="1" x14ac:dyDescent="0.25">
      <c r="A95" s="4" t="s">
        <v>28</v>
      </c>
      <c r="B95" s="4" t="s">
        <v>35</v>
      </c>
      <c r="C95" s="4" t="s">
        <v>39</v>
      </c>
      <c r="D95" s="4" t="s">
        <v>40</v>
      </c>
      <c r="E95" s="4" t="s">
        <v>25</v>
      </c>
      <c r="F95" s="4" t="s">
        <v>25</v>
      </c>
      <c r="G95" s="4" t="s">
        <v>25</v>
      </c>
      <c r="H95" s="4" t="s">
        <v>25</v>
      </c>
      <c r="I95" s="5">
        <v>44652</v>
      </c>
      <c r="J95" s="6">
        <v>165</v>
      </c>
      <c r="K95" s="6">
        <v>165</v>
      </c>
      <c r="L95" s="6">
        <v>0</v>
      </c>
      <c r="M95" s="6">
        <v>0</v>
      </c>
      <c r="N95" s="6">
        <v>0</v>
      </c>
      <c r="O95" s="6">
        <v>0</v>
      </c>
      <c r="P95" s="6">
        <v>1</v>
      </c>
      <c r="Q95" s="4" t="s">
        <v>26</v>
      </c>
      <c r="R95" s="4">
        <v>0</v>
      </c>
      <c r="S95" s="4" t="s">
        <v>150</v>
      </c>
      <c r="U95" s="4">
        <v>24</v>
      </c>
      <c r="V95" s="4">
        <v>0</v>
      </c>
      <c r="W95" s="4">
        <v>0</v>
      </c>
    </row>
    <row r="96" spans="1:23" ht="11.25" customHeight="1" x14ac:dyDescent="0.25">
      <c r="A96" s="4" t="s">
        <v>21</v>
      </c>
      <c r="B96" s="4" t="s">
        <v>35</v>
      </c>
      <c r="C96" s="4" t="s">
        <v>39</v>
      </c>
      <c r="D96" s="4" t="s">
        <v>40</v>
      </c>
      <c r="E96" s="4" t="s">
        <v>25</v>
      </c>
      <c r="F96" s="4" t="s">
        <v>25</v>
      </c>
      <c r="G96" s="4" t="s">
        <v>25</v>
      </c>
      <c r="H96" s="4" t="s">
        <v>25</v>
      </c>
      <c r="I96" s="5">
        <v>44682</v>
      </c>
      <c r="J96" s="6">
        <v>9393</v>
      </c>
      <c r="K96" s="6">
        <v>9393</v>
      </c>
      <c r="L96" s="6">
        <v>0</v>
      </c>
      <c r="M96" s="6">
        <v>0</v>
      </c>
      <c r="N96" s="6">
        <v>0</v>
      </c>
      <c r="O96" s="6">
        <v>0</v>
      </c>
      <c r="P96" s="6">
        <v>37</v>
      </c>
      <c r="Q96" s="4" t="s">
        <v>26</v>
      </c>
      <c r="R96" s="4">
        <v>0</v>
      </c>
      <c r="S96" s="4" t="s">
        <v>151</v>
      </c>
      <c r="U96" s="4">
        <v>24</v>
      </c>
      <c r="V96" s="4">
        <v>0</v>
      </c>
      <c r="W96" s="4">
        <v>0</v>
      </c>
    </row>
    <row r="97" spans="1:23" ht="11.25" customHeight="1" x14ac:dyDescent="0.25">
      <c r="A97" s="4" t="s">
        <v>28</v>
      </c>
      <c r="B97" s="4" t="s">
        <v>35</v>
      </c>
      <c r="C97" s="4" t="s">
        <v>39</v>
      </c>
      <c r="D97" s="4" t="s">
        <v>40</v>
      </c>
      <c r="E97" s="4" t="s">
        <v>25</v>
      </c>
      <c r="F97" s="4" t="s">
        <v>25</v>
      </c>
      <c r="G97" s="4" t="s">
        <v>25</v>
      </c>
      <c r="H97" s="4" t="s">
        <v>25</v>
      </c>
      <c r="I97" s="5">
        <v>44682</v>
      </c>
      <c r="J97" s="6">
        <v>165</v>
      </c>
      <c r="K97" s="6">
        <v>165</v>
      </c>
      <c r="L97" s="6">
        <v>0</v>
      </c>
      <c r="M97" s="6">
        <v>0</v>
      </c>
      <c r="N97" s="6">
        <v>0</v>
      </c>
      <c r="O97" s="6">
        <v>0</v>
      </c>
      <c r="P97" s="6">
        <v>1</v>
      </c>
      <c r="Q97" s="4" t="s">
        <v>26</v>
      </c>
      <c r="R97" s="4">
        <v>0</v>
      </c>
      <c r="S97" s="4" t="s">
        <v>151</v>
      </c>
      <c r="U97" s="4">
        <v>24</v>
      </c>
      <c r="V97" s="4">
        <v>0</v>
      </c>
      <c r="W97" s="4">
        <v>0</v>
      </c>
    </row>
    <row r="98" spans="1:23" ht="11.25" customHeight="1" x14ac:dyDescent="0.25">
      <c r="A98" s="4" t="s">
        <v>21</v>
      </c>
      <c r="B98" s="4" t="s">
        <v>35</v>
      </c>
      <c r="C98" s="4" t="s">
        <v>39</v>
      </c>
      <c r="D98" s="4" t="s">
        <v>40</v>
      </c>
      <c r="E98" s="4" t="s">
        <v>25</v>
      </c>
      <c r="F98" s="4" t="s">
        <v>25</v>
      </c>
      <c r="G98" s="4" t="s">
        <v>25</v>
      </c>
      <c r="H98" s="4" t="s">
        <v>25</v>
      </c>
      <c r="I98" s="5">
        <v>44713</v>
      </c>
      <c r="J98" s="6">
        <v>9408</v>
      </c>
      <c r="K98" s="6">
        <v>9408</v>
      </c>
      <c r="L98" s="6">
        <v>0</v>
      </c>
      <c r="M98" s="6">
        <v>0</v>
      </c>
      <c r="N98" s="6">
        <v>0</v>
      </c>
      <c r="O98" s="6">
        <v>0</v>
      </c>
      <c r="P98" s="6">
        <v>37</v>
      </c>
      <c r="Q98" s="4" t="s">
        <v>26</v>
      </c>
      <c r="R98" s="4">
        <v>0</v>
      </c>
      <c r="S98" s="4" t="s">
        <v>152</v>
      </c>
      <c r="U98" s="4">
        <v>24</v>
      </c>
      <c r="V98" s="4">
        <v>0</v>
      </c>
      <c r="W98" s="4">
        <v>0</v>
      </c>
    </row>
    <row r="99" spans="1:23" ht="11.25" customHeight="1" x14ac:dyDescent="0.25">
      <c r="A99" s="4" t="s">
        <v>28</v>
      </c>
      <c r="B99" s="4" t="s">
        <v>35</v>
      </c>
      <c r="C99" s="4" t="s">
        <v>39</v>
      </c>
      <c r="D99" s="4" t="s">
        <v>40</v>
      </c>
      <c r="E99" s="4" t="s">
        <v>25</v>
      </c>
      <c r="F99" s="4" t="s">
        <v>25</v>
      </c>
      <c r="G99" s="4" t="s">
        <v>25</v>
      </c>
      <c r="H99" s="4" t="s">
        <v>25</v>
      </c>
      <c r="I99" s="5">
        <v>44713</v>
      </c>
      <c r="J99" s="6">
        <v>165</v>
      </c>
      <c r="K99" s="6">
        <v>165</v>
      </c>
      <c r="L99" s="6">
        <v>0</v>
      </c>
      <c r="M99" s="6">
        <v>0</v>
      </c>
      <c r="N99" s="6">
        <v>0</v>
      </c>
      <c r="O99" s="6">
        <v>0</v>
      </c>
      <c r="P99" s="6">
        <v>1</v>
      </c>
      <c r="Q99" s="4" t="s">
        <v>26</v>
      </c>
      <c r="R99" s="4">
        <v>0</v>
      </c>
      <c r="S99" s="4" t="s">
        <v>152</v>
      </c>
      <c r="U99" s="4">
        <v>24</v>
      </c>
      <c r="V99" s="4">
        <v>0</v>
      </c>
      <c r="W99" s="4">
        <v>0</v>
      </c>
    </row>
    <row r="100" spans="1:23" ht="11.25" customHeight="1" x14ac:dyDescent="0.25">
      <c r="A100" s="4" t="s">
        <v>55</v>
      </c>
      <c r="B100" s="4" t="s">
        <v>35</v>
      </c>
      <c r="C100" s="4" t="s">
        <v>39</v>
      </c>
      <c r="D100" s="4" t="s">
        <v>40</v>
      </c>
      <c r="E100" s="4" t="s">
        <v>25</v>
      </c>
      <c r="F100" s="4" t="s">
        <v>25</v>
      </c>
      <c r="G100" s="4" t="s">
        <v>25</v>
      </c>
      <c r="H100" s="4" t="s">
        <v>25</v>
      </c>
      <c r="I100" s="5">
        <v>44743</v>
      </c>
      <c r="J100" s="6">
        <v>9408</v>
      </c>
      <c r="K100" s="6">
        <v>9408</v>
      </c>
      <c r="L100" s="6">
        <v>0</v>
      </c>
      <c r="M100" s="6">
        <v>0</v>
      </c>
      <c r="N100" s="6">
        <v>0</v>
      </c>
      <c r="O100" s="6">
        <v>0</v>
      </c>
      <c r="P100" s="6">
        <v>37</v>
      </c>
      <c r="Q100" s="4" t="s">
        <v>26</v>
      </c>
      <c r="R100" s="4">
        <v>0</v>
      </c>
      <c r="S100" s="4" t="s">
        <v>153</v>
      </c>
      <c r="U100" s="4">
        <v>24</v>
      </c>
      <c r="V100" s="4">
        <v>0</v>
      </c>
      <c r="W100" s="4">
        <v>0</v>
      </c>
    </row>
    <row r="101" spans="1:23" ht="11.25" customHeight="1" x14ac:dyDescent="0.25">
      <c r="A101" s="4" t="s">
        <v>55</v>
      </c>
      <c r="B101" s="4" t="s">
        <v>35</v>
      </c>
      <c r="C101" s="4" t="s">
        <v>39</v>
      </c>
      <c r="D101" s="4" t="s">
        <v>40</v>
      </c>
      <c r="E101" s="4" t="s">
        <v>25</v>
      </c>
      <c r="F101" s="4" t="s">
        <v>25</v>
      </c>
      <c r="G101" s="4" t="s">
        <v>25</v>
      </c>
      <c r="H101" s="4" t="s">
        <v>25</v>
      </c>
      <c r="I101" s="5">
        <v>44743</v>
      </c>
      <c r="J101" s="6">
        <v>165</v>
      </c>
      <c r="K101" s="6">
        <v>165</v>
      </c>
      <c r="L101" s="6">
        <v>0</v>
      </c>
      <c r="M101" s="6">
        <v>0</v>
      </c>
      <c r="N101" s="6">
        <v>0</v>
      </c>
      <c r="O101" s="6">
        <v>0</v>
      </c>
      <c r="P101" s="6">
        <v>1</v>
      </c>
      <c r="Q101" s="4" t="s">
        <v>26</v>
      </c>
      <c r="R101" s="4">
        <v>0</v>
      </c>
      <c r="S101" s="4" t="s">
        <v>153</v>
      </c>
      <c r="U101" s="4">
        <v>24</v>
      </c>
      <c r="V101" s="4">
        <v>0</v>
      </c>
      <c r="W101" s="4">
        <v>0</v>
      </c>
    </row>
    <row r="102" spans="1:23" ht="11.25" customHeight="1" x14ac:dyDescent="0.25">
      <c r="A102" s="4" t="s">
        <v>21</v>
      </c>
      <c r="B102" s="4" t="s">
        <v>35</v>
      </c>
      <c r="C102" s="4" t="s">
        <v>39</v>
      </c>
      <c r="D102" s="4" t="s">
        <v>40</v>
      </c>
      <c r="E102" s="4" t="s">
        <v>25</v>
      </c>
      <c r="F102" s="4" t="s">
        <v>25</v>
      </c>
      <c r="G102" s="4" t="s">
        <v>25</v>
      </c>
      <c r="H102" s="4" t="s">
        <v>37</v>
      </c>
      <c r="I102" s="5">
        <v>44409</v>
      </c>
      <c r="J102" s="6">
        <v>0</v>
      </c>
      <c r="K102" s="6">
        <v>0</v>
      </c>
      <c r="L102" s="6">
        <v>111.113</v>
      </c>
      <c r="M102" s="6">
        <v>111.113</v>
      </c>
      <c r="N102" s="6">
        <v>111.113</v>
      </c>
      <c r="O102" s="6">
        <v>111.113</v>
      </c>
      <c r="P102" s="6">
        <v>0</v>
      </c>
      <c r="Q102" s="4" t="s">
        <v>26</v>
      </c>
      <c r="R102" s="4">
        <v>0</v>
      </c>
      <c r="S102" s="4" t="s">
        <v>154</v>
      </c>
      <c r="T102" s="4" t="s">
        <v>311</v>
      </c>
      <c r="U102" s="4">
        <v>0</v>
      </c>
      <c r="V102" s="4">
        <v>5</v>
      </c>
      <c r="W102" s="4">
        <v>69</v>
      </c>
    </row>
    <row r="103" spans="1:23" ht="11.25" customHeight="1" x14ac:dyDescent="0.25">
      <c r="A103" s="4" t="s">
        <v>21</v>
      </c>
      <c r="B103" s="4" t="s">
        <v>35</v>
      </c>
      <c r="C103" s="4" t="s">
        <v>39</v>
      </c>
      <c r="D103" s="4" t="s">
        <v>40</v>
      </c>
      <c r="E103" s="4" t="s">
        <v>25</v>
      </c>
      <c r="F103" s="4" t="s">
        <v>25</v>
      </c>
      <c r="G103" s="4" t="s">
        <v>25</v>
      </c>
      <c r="H103" s="4" t="s">
        <v>37</v>
      </c>
      <c r="I103" s="5">
        <v>44440</v>
      </c>
      <c r="J103" s="6">
        <v>0</v>
      </c>
      <c r="K103" s="6">
        <v>0</v>
      </c>
      <c r="L103" s="6">
        <v>138.255</v>
      </c>
      <c r="M103" s="6">
        <v>138.255</v>
      </c>
      <c r="N103" s="6">
        <v>138.255</v>
      </c>
      <c r="O103" s="6">
        <v>138.255</v>
      </c>
      <c r="P103" s="6">
        <v>0</v>
      </c>
      <c r="Q103" s="4" t="s">
        <v>26</v>
      </c>
      <c r="R103" s="4">
        <v>0</v>
      </c>
      <c r="S103" s="4" t="s">
        <v>155</v>
      </c>
      <c r="T103" s="4" t="s">
        <v>312</v>
      </c>
      <c r="U103" s="4">
        <v>0</v>
      </c>
      <c r="V103" s="4">
        <v>5</v>
      </c>
      <c r="W103" s="4">
        <v>69</v>
      </c>
    </row>
    <row r="104" spans="1:23" ht="11.25" customHeight="1" x14ac:dyDescent="0.25">
      <c r="A104" s="4" t="s">
        <v>21</v>
      </c>
      <c r="B104" s="4" t="s">
        <v>35</v>
      </c>
      <c r="C104" s="4" t="s">
        <v>39</v>
      </c>
      <c r="D104" s="4" t="s">
        <v>40</v>
      </c>
      <c r="E104" s="4" t="s">
        <v>25</v>
      </c>
      <c r="F104" s="4" t="s">
        <v>25</v>
      </c>
      <c r="G104" s="4" t="s">
        <v>25</v>
      </c>
      <c r="H104" s="4" t="s">
        <v>37</v>
      </c>
      <c r="I104" s="5">
        <v>44470</v>
      </c>
      <c r="J104" s="6">
        <v>0</v>
      </c>
      <c r="K104" s="6">
        <v>0</v>
      </c>
      <c r="L104" s="6">
        <v>136.34299999999999</v>
      </c>
      <c r="M104" s="6">
        <v>136.34299999999999</v>
      </c>
      <c r="N104" s="6">
        <v>136.34299999999999</v>
      </c>
      <c r="O104" s="6">
        <v>136.34299999999999</v>
      </c>
      <c r="P104" s="6">
        <v>0</v>
      </c>
      <c r="Q104" s="4" t="s">
        <v>26</v>
      </c>
      <c r="R104" s="4">
        <v>0</v>
      </c>
      <c r="S104" s="4" t="s">
        <v>156</v>
      </c>
      <c r="T104" s="4" t="s">
        <v>313</v>
      </c>
      <c r="U104" s="4">
        <v>0</v>
      </c>
      <c r="V104" s="4">
        <v>5</v>
      </c>
      <c r="W104" s="4">
        <v>69</v>
      </c>
    </row>
    <row r="105" spans="1:23" ht="11.25" customHeight="1" x14ac:dyDescent="0.25">
      <c r="A105" s="4" t="s">
        <v>21</v>
      </c>
      <c r="B105" s="4" t="s">
        <v>35</v>
      </c>
      <c r="C105" s="4" t="s">
        <v>39</v>
      </c>
      <c r="D105" s="4" t="s">
        <v>40</v>
      </c>
      <c r="E105" s="4" t="s">
        <v>25</v>
      </c>
      <c r="F105" s="4" t="s">
        <v>25</v>
      </c>
      <c r="G105" s="4" t="s">
        <v>25</v>
      </c>
      <c r="H105" s="4" t="s">
        <v>37</v>
      </c>
      <c r="I105" s="5">
        <v>44501</v>
      </c>
      <c r="J105" s="6">
        <v>0</v>
      </c>
      <c r="K105" s="6">
        <v>0</v>
      </c>
      <c r="L105" s="6">
        <v>167.01400000000001</v>
      </c>
      <c r="M105" s="6">
        <v>167.01400000000001</v>
      </c>
      <c r="N105" s="6">
        <v>167.01400000000001</v>
      </c>
      <c r="O105" s="6">
        <v>167.01400000000001</v>
      </c>
      <c r="P105" s="6">
        <v>0</v>
      </c>
      <c r="Q105" s="4" t="s">
        <v>26</v>
      </c>
      <c r="R105" s="4">
        <v>0</v>
      </c>
      <c r="S105" s="4" t="s">
        <v>157</v>
      </c>
      <c r="T105" s="4" t="s">
        <v>314</v>
      </c>
      <c r="U105" s="4">
        <v>0</v>
      </c>
      <c r="V105" s="4">
        <v>5</v>
      </c>
      <c r="W105" s="4">
        <v>69</v>
      </c>
    </row>
    <row r="106" spans="1:23" ht="11.25" customHeight="1" x14ac:dyDescent="0.25">
      <c r="A106" s="4" t="s">
        <v>21</v>
      </c>
      <c r="B106" s="4" t="s">
        <v>35</v>
      </c>
      <c r="C106" s="4" t="s">
        <v>39</v>
      </c>
      <c r="D106" s="4" t="s">
        <v>40</v>
      </c>
      <c r="E106" s="4" t="s">
        <v>25</v>
      </c>
      <c r="F106" s="4" t="s">
        <v>25</v>
      </c>
      <c r="G106" s="4" t="s">
        <v>25</v>
      </c>
      <c r="H106" s="4" t="s">
        <v>37</v>
      </c>
      <c r="I106" s="5">
        <v>44531</v>
      </c>
      <c r="J106" s="6">
        <v>0</v>
      </c>
      <c r="K106" s="6">
        <v>0</v>
      </c>
      <c r="L106" s="6">
        <v>215.89500000000001</v>
      </c>
      <c r="M106" s="6">
        <v>215.89500000000001</v>
      </c>
      <c r="N106" s="6">
        <v>215.89500000000001</v>
      </c>
      <c r="O106" s="6">
        <v>215.89500000000001</v>
      </c>
      <c r="P106" s="6">
        <v>0</v>
      </c>
      <c r="Q106" s="4" t="s">
        <v>26</v>
      </c>
      <c r="R106" s="4">
        <v>0</v>
      </c>
      <c r="S106" s="4" t="s">
        <v>158</v>
      </c>
      <c r="T106" s="4" t="s">
        <v>315</v>
      </c>
      <c r="U106" s="4">
        <v>0</v>
      </c>
      <c r="V106" s="4">
        <v>5</v>
      </c>
      <c r="W106" s="4">
        <v>69</v>
      </c>
    </row>
    <row r="107" spans="1:23" ht="11.25" customHeight="1" x14ac:dyDescent="0.25">
      <c r="A107" s="4" t="s">
        <v>28</v>
      </c>
      <c r="B107" s="4" t="s">
        <v>35</v>
      </c>
      <c r="C107" s="4" t="s">
        <v>39</v>
      </c>
      <c r="D107" s="4" t="s">
        <v>40</v>
      </c>
      <c r="E107" s="4" t="s">
        <v>25</v>
      </c>
      <c r="F107" s="4" t="s">
        <v>25</v>
      </c>
      <c r="G107" s="4" t="s">
        <v>25</v>
      </c>
      <c r="H107" s="4" t="s">
        <v>37</v>
      </c>
      <c r="I107" s="5">
        <v>44531</v>
      </c>
      <c r="J107" s="6">
        <v>0</v>
      </c>
      <c r="K107" s="6">
        <v>0</v>
      </c>
      <c r="L107" s="6">
        <v>4.7279999999999998</v>
      </c>
      <c r="M107" s="6">
        <v>4.7279999999999998</v>
      </c>
      <c r="N107" s="6">
        <v>4.7279999999999998</v>
      </c>
      <c r="O107" s="6">
        <v>4.7279999999999998</v>
      </c>
      <c r="P107" s="6">
        <v>0</v>
      </c>
      <c r="Q107" s="4" t="s">
        <v>26</v>
      </c>
      <c r="R107" s="4">
        <v>0</v>
      </c>
      <c r="S107" s="4" t="s">
        <v>158</v>
      </c>
      <c r="T107" s="4" t="s">
        <v>315</v>
      </c>
      <c r="U107" s="4">
        <v>0</v>
      </c>
      <c r="V107" s="4">
        <v>5</v>
      </c>
      <c r="W107" s="4">
        <v>69</v>
      </c>
    </row>
    <row r="108" spans="1:23" ht="11.25" customHeight="1" x14ac:dyDescent="0.25">
      <c r="A108" s="4" t="s">
        <v>21</v>
      </c>
      <c r="B108" s="4" t="s">
        <v>35</v>
      </c>
      <c r="C108" s="4" t="s">
        <v>39</v>
      </c>
      <c r="D108" s="4" t="s">
        <v>40</v>
      </c>
      <c r="E108" s="4" t="s">
        <v>25</v>
      </c>
      <c r="F108" s="4" t="s">
        <v>25</v>
      </c>
      <c r="G108" s="4" t="s">
        <v>25</v>
      </c>
      <c r="H108" s="4" t="s">
        <v>37</v>
      </c>
      <c r="I108" s="5">
        <v>44562</v>
      </c>
      <c r="J108" s="6">
        <v>0</v>
      </c>
      <c r="K108" s="6">
        <v>0</v>
      </c>
      <c r="L108" s="6">
        <v>160.47399999999999</v>
      </c>
      <c r="M108" s="6">
        <v>160.47399999999999</v>
      </c>
      <c r="N108" s="6">
        <v>160.47399999999999</v>
      </c>
      <c r="O108" s="6">
        <v>160.47399999999999</v>
      </c>
      <c r="P108" s="6">
        <v>0</v>
      </c>
      <c r="Q108" s="4" t="s">
        <v>26</v>
      </c>
      <c r="R108" s="4">
        <v>0</v>
      </c>
      <c r="S108" s="4" t="s">
        <v>159</v>
      </c>
      <c r="T108" s="4" t="s">
        <v>316</v>
      </c>
      <c r="U108" s="4">
        <v>0</v>
      </c>
      <c r="V108" s="4">
        <v>5</v>
      </c>
      <c r="W108" s="4">
        <v>69</v>
      </c>
    </row>
    <row r="109" spans="1:23" ht="11.25" customHeight="1" x14ac:dyDescent="0.25">
      <c r="A109" s="4" t="s">
        <v>28</v>
      </c>
      <c r="B109" s="4" t="s">
        <v>35</v>
      </c>
      <c r="C109" s="4" t="s">
        <v>39</v>
      </c>
      <c r="D109" s="4" t="s">
        <v>40</v>
      </c>
      <c r="E109" s="4" t="s">
        <v>25</v>
      </c>
      <c r="F109" s="4" t="s">
        <v>25</v>
      </c>
      <c r="G109" s="4" t="s">
        <v>25</v>
      </c>
      <c r="H109" s="4" t="s">
        <v>37</v>
      </c>
      <c r="I109" s="5">
        <v>44562</v>
      </c>
      <c r="J109" s="6">
        <v>0</v>
      </c>
      <c r="K109" s="6">
        <v>0</v>
      </c>
      <c r="L109" s="6">
        <v>6.2309999999999999</v>
      </c>
      <c r="M109" s="6">
        <v>6.2309999999999999</v>
      </c>
      <c r="N109" s="6">
        <v>6.2309999999999999</v>
      </c>
      <c r="O109" s="6">
        <v>6.2309999999999999</v>
      </c>
      <c r="P109" s="6">
        <v>0</v>
      </c>
      <c r="Q109" s="4" t="s">
        <v>26</v>
      </c>
      <c r="R109" s="4">
        <v>0</v>
      </c>
      <c r="S109" s="4" t="s">
        <v>159</v>
      </c>
      <c r="T109" s="4" t="s">
        <v>316</v>
      </c>
      <c r="U109" s="4">
        <v>0</v>
      </c>
      <c r="V109" s="4">
        <v>5</v>
      </c>
      <c r="W109" s="4">
        <v>69</v>
      </c>
    </row>
    <row r="110" spans="1:23" ht="11.25" customHeight="1" x14ac:dyDescent="0.25">
      <c r="A110" s="4" t="s">
        <v>21</v>
      </c>
      <c r="B110" s="4" t="s">
        <v>35</v>
      </c>
      <c r="C110" s="4" t="s">
        <v>39</v>
      </c>
      <c r="D110" s="4" t="s">
        <v>40</v>
      </c>
      <c r="E110" s="4" t="s">
        <v>25</v>
      </c>
      <c r="F110" s="4" t="s">
        <v>25</v>
      </c>
      <c r="G110" s="4" t="s">
        <v>25</v>
      </c>
      <c r="H110" s="4" t="s">
        <v>37</v>
      </c>
      <c r="I110" s="5">
        <v>44593</v>
      </c>
      <c r="J110" s="6">
        <v>0</v>
      </c>
      <c r="K110" s="6">
        <v>0</v>
      </c>
      <c r="L110" s="6">
        <v>133.67699999999999</v>
      </c>
      <c r="M110" s="6">
        <v>133.67699999999999</v>
      </c>
      <c r="N110" s="6">
        <v>133.67699999999999</v>
      </c>
      <c r="O110" s="6">
        <v>133.67699999999999</v>
      </c>
      <c r="P110" s="6">
        <v>0</v>
      </c>
      <c r="Q110" s="4" t="s">
        <v>26</v>
      </c>
      <c r="R110" s="4">
        <v>0</v>
      </c>
      <c r="S110" s="4" t="s">
        <v>160</v>
      </c>
      <c r="T110" s="4" t="s">
        <v>317</v>
      </c>
      <c r="U110" s="4">
        <v>0</v>
      </c>
      <c r="V110" s="4">
        <v>5</v>
      </c>
      <c r="W110" s="4">
        <v>69</v>
      </c>
    </row>
    <row r="111" spans="1:23" ht="11.25" customHeight="1" x14ac:dyDescent="0.25">
      <c r="A111" s="4" t="s">
        <v>28</v>
      </c>
      <c r="B111" s="4" t="s">
        <v>35</v>
      </c>
      <c r="C111" s="4" t="s">
        <v>39</v>
      </c>
      <c r="D111" s="4" t="s">
        <v>40</v>
      </c>
      <c r="E111" s="4" t="s">
        <v>25</v>
      </c>
      <c r="F111" s="4" t="s">
        <v>25</v>
      </c>
      <c r="G111" s="4" t="s">
        <v>25</v>
      </c>
      <c r="H111" s="4" t="s">
        <v>37</v>
      </c>
      <c r="I111" s="5">
        <v>44593</v>
      </c>
      <c r="J111" s="6">
        <v>0</v>
      </c>
      <c r="K111" s="6">
        <v>0</v>
      </c>
      <c r="L111" s="6">
        <v>5.6219999999999999</v>
      </c>
      <c r="M111" s="6">
        <v>5.6219999999999999</v>
      </c>
      <c r="N111" s="6">
        <v>5.6219999999999999</v>
      </c>
      <c r="O111" s="6">
        <v>5.6219999999999999</v>
      </c>
      <c r="P111" s="6">
        <v>0</v>
      </c>
      <c r="Q111" s="4" t="s">
        <v>26</v>
      </c>
      <c r="R111" s="4">
        <v>0</v>
      </c>
      <c r="S111" s="4" t="s">
        <v>160</v>
      </c>
      <c r="T111" s="4" t="s">
        <v>317</v>
      </c>
      <c r="U111" s="4">
        <v>0</v>
      </c>
      <c r="V111" s="4">
        <v>5</v>
      </c>
      <c r="W111" s="4">
        <v>69</v>
      </c>
    </row>
    <row r="112" spans="1:23" ht="11.25" customHeight="1" x14ac:dyDescent="0.25">
      <c r="A112" s="4" t="s">
        <v>21</v>
      </c>
      <c r="B112" s="4" t="s">
        <v>35</v>
      </c>
      <c r="C112" s="4" t="s">
        <v>39</v>
      </c>
      <c r="D112" s="4" t="s">
        <v>40</v>
      </c>
      <c r="E112" s="4" t="s">
        <v>25</v>
      </c>
      <c r="F112" s="4" t="s">
        <v>25</v>
      </c>
      <c r="G112" s="4" t="s">
        <v>25</v>
      </c>
      <c r="H112" s="4" t="s">
        <v>37</v>
      </c>
      <c r="I112" s="5">
        <v>44621</v>
      </c>
      <c r="J112" s="6">
        <v>0</v>
      </c>
      <c r="K112" s="6">
        <v>0</v>
      </c>
      <c r="L112" s="6">
        <v>161.63999999999999</v>
      </c>
      <c r="M112" s="6">
        <v>161.63999999999999</v>
      </c>
      <c r="N112" s="6">
        <v>161.63999999999999</v>
      </c>
      <c r="O112" s="6">
        <v>161.63999999999999</v>
      </c>
      <c r="P112" s="6">
        <v>0</v>
      </c>
      <c r="Q112" s="4" t="s">
        <v>26</v>
      </c>
      <c r="R112" s="4">
        <v>0</v>
      </c>
      <c r="S112" s="4" t="s">
        <v>161</v>
      </c>
      <c r="T112" s="4" t="s">
        <v>318</v>
      </c>
      <c r="U112" s="4">
        <v>0</v>
      </c>
      <c r="V112" s="4">
        <v>5</v>
      </c>
      <c r="W112" s="4">
        <v>69</v>
      </c>
    </row>
    <row r="113" spans="1:23" ht="11.25" customHeight="1" x14ac:dyDescent="0.25">
      <c r="A113" s="4" t="s">
        <v>28</v>
      </c>
      <c r="B113" s="4" t="s">
        <v>35</v>
      </c>
      <c r="C113" s="4" t="s">
        <v>39</v>
      </c>
      <c r="D113" s="4" t="s">
        <v>40</v>
      </c>
      <c r="E113" s="4" t="s">
        <v>25</v>
      </c>
      <c r="F113" s="4" t="s">
        <v>25</v>
      </c>
      <c r="G113" s="4" t="s">
        <v>25</v>
      </c>
      <c r="H113" s="4" t="s">
        <v>37</v>
      </c>
      <c r="I113" s="5">
        <v>44621</v>
      </c>
      <c r="J113" s="6">
        <v>0</v>
      </c>
      <c r="K113" s="6">
        <v>0</v>
      </c>
      <c r="L113" s="6">
        <v>4.9580000000000002</v>
      </c>
      <c r="M113" s="6">
        <v>4.9580000000000002</v>
      </c>
      <c r="N113" s="6">
        <v>4.9580000000000002</v>
      </c>
      <c r="O113" s="6">
        <v>4.9580000000000002</v>
      </c>
      <c r="P113" s="6">
        <v>0</v>
      </c>
      <c r="Q113" s="4" t="s">
        <v>26</v>
      </c>
      <c r="R113" s="4">
        <v>0</v>
      </c>
      <c r="S113" s="4" t="s">
        <v>161</v>
      </c>
      <c r="T113" s="4" t="s">
        <v>318</v>
      </c>
      <c r="U113" s="4">
        <v>0</v>
      </c>
      <c r="V113" s="4">
        <v>5</v>
      </c>
      <c r="W113" s="4">
        <v>69</v>
      </c>
    </row>
    <row r="114" spans="1:23" ht="11.25" customHeight="1" x14ac:dyDescent="0.25">
      <c r="A114" s="4" t="s">
        <v>21</v>
      </c>
      <c r="B114" s="4" t="s">
        <v>35</v>
      </c>
      <c r="C114" s="4" t="s">
        <v>39</v>
      </c>
      <c r="D114" s="4" t="s">
        <v>40</v>
      </c>
      <c r="E114" s="4" t="s">
        <v>25</v>
      </c>
      <c r="F114" s="4" t="s">
        <v>25</v>
      </c>
      <c r="G114" s="4" t="s">
        <v>25</v>
      </c>
      <c r="H114" s="4" t="s">
        <v>37</v>
      </c>
      <c r="I114" s="5">
        <v>44652</v>
      </c>
      <c r="J114" s="6">
        <v>0</v>
      </c>
      <c r="K114" s="6">
        <v>0</v>
      </c>
      <c r="L114" s="6">
        <v>107.43899999999999</v>
      </c>
      <c r="M114" s="6">
        <v>107.43899999999999</v>
      </c>
      <c r="N114" s="6">
        <v>107.43899999999999</v>
      </c>
      <c r="O114" s="6">
        <v>107.43899999999999</v>
      </c>
      <c r="P114" s="6">
        <v>0</v>
      </c>
      <c r="Q114" s="4" t="s">
        <v>26</v>
      </c>
      <c r="R114" s="4">
        <v>0</v>
      </c>
      <c r="S114" s="4" t="s">
        <v>162</v>
      </c>
      <c r="T114" s="4" t="s">
        <v>319</v>
      </c>
      <c r="U114" s="4">
        <v>0</v>
      </c>
      <c r="V114" s="4">
        <v>5</v>
      </c>
      <c r="W114" s="4">
        <v>69</v>
      </c>
    </row>
    <row r="115" spans="1:23" ht="11.25" customHeight="1" x14ac:dyDescent="0.25">
      <c r="A115" s="4" t="s">
        <v>28</v>
      </c>
      <c r="B115" s="4" t="s">
        <v>35</v>
      </c>
      <c r="C115" s="4" t="s">
        <v>39</v>
      </c>
      <c r="D115" s="4" t="s">
        <v>40</v>
      </c>
      <c r="E115" s="4" t="s">
        <v>25</v>
      </c>
      <c r="F115" s="4" t="s">
        <v>25</v>
      </c>
      <c r="G115" s="4" t="s">
        <v>25</v>
      </c>
      <c r="H115" s="4" t="s">
        <v>37</v>
      </c>
      <c r="I115" s="5">
        <v>44652</v>
      </c>
      <c r="J115" s="6">
        <v>0</v>
      </c>
      <c r="K115" s="6">
        <v>0</v>
      </c>
      <c r="L115" s="6">
        <v>3.5990000000000002</v>
      </c>
      <c r="M115" s="6">
        <v>3.5990000000000002</v>
      </c>
      <c r="N115" s="6">
        <v>3.5990000000000002</v>
      </c>
      <c r="O115" s="6">
        <v>3.5990000000000002</v>
      </c>
      <c r="P115" s="6">
        <v>0</v>
      </c>
      <c r="Q115" s="4" t="s">
        <v>26</v>
      </c>
      <c r="R115" s="4">
        <v>0</v>
      </c>
      <c r="S115" s="4" t="s">
        <v>162</v>
      </c>
      <c r="T115" s="4" t="s">
        <v>319</v>
      </c>
      <c r="U115" s="4">
        <v>0</v>
      </c>
      <c r="V115" s="4">
        <v>5</v>
      </c>
      <c r="W115" s="4">
        <v>69</v>
      </c>
    </row>
    <row r="116" spans="1:23" ht="11.25" customHeight="1" x14ac:dyDescent="0.25">
      <c r="A116" s="4" t="s">
        <v>21</v>
      </c>
      <c r="B116" s="4" t="s">
        <v>35</v>
      </c>
      <c r="C116" s="4" t="s">
        <v>39</v>
      </c>
      <c r="D116" s="4" t="s">
        <v>40</v>
      </c>
      <c r="E116" s="4" t="s">
        <v>25</v>
      </c>
      <c r="F116" s="4" t="s">
        <v>25</v>
      </c>
      <c r="G116" s="4" t="s">
        <v>25</v>
      </c>
      <c r="H116" s="4" t="s">
        <v>37</v>
      </c>
      <c r="I116" s="5">
        <v>44682</v>
      </c>
      <c r="J116" s="6">
        <v>0</v>
      </c>
      <c r="K116" s="6">
        <v>0</v>
      </c>
      <c r="L116" s="6">
        <v>113.12</v>
      </c>
      <c r="M116" s="6">
        <v>113.12</v>
      </c>
      <c r="N116" s="6">
        <v>113.12</v>
      </c>
      <c r="O116" s="6">
        <v>113.12</v>
      </c>
      <c r="P116" s="6">
        <v>0</v>
      </c>
      <c r="Q116" s="4" t="s">
        <v>26</v>
      </c>
      <c r="R116" s="4">
        <v>0</v>
      </c>
      <c r="S116" s="4" t="s">
        <v>163</v>
      </c>
      <c r="T116" s="4" t="s">
        <v>320</v>
      </c>
      <c r="U116" s="4">
        <v>0</v>
      </c>
      <c r="V116" s="4">
        <v>5</v>
      </c>
      <c r="W116" s="4">
        <v>69</v>
      </c>
    </row>
    <row r="117" spans="1:23" ht="11.25" customHeight="1" x14ac:dyDescent="0.25">
      <c r="A117" s="4" t="s">
        <v>28</v>
      </c>
      <c r="B117" s="4" t="s">
        <v>35</v>
      </c>
      <c r="C117" s="4" t="s">
        <v>39</v>
      </c>
      <c r="D117" s="4" t="s">
        <v>40</v>
      </c>
      <c r="E117" s="4" t="s">
        <v>25</v>
      </c>
      <c r="F117" s="4" t="s">
        <v>25</v>
      </c>
      <c r="G117" s="4" t="s">
        <v>25</v>
      </c>
      <c r="H117" s="4" t="s">
        <v>37</v>
      </c>
      <c r="I117" s="5">
        <v>44682</v>
      </c>
      <c r="J117" s="6">
        <v>0</v>
      </c>
      <c r="K117" s="6">
        <v>0</v>
      </c>
      <c r="L117" s="6">
        <v>3.3260000000000001</v>
      </c>
      <c r="M117" s="6">
        <v>3.3260000000000001</v>
      </c>
      <c r="N117" s="6">
        <v>3.3260000000000001</v>
      </c>
      <c r="O117" s="6">
        <v>3.3260000000000001</v>
      </c>
      <c r="P117" s="6">
        <v>0</v>
      </c>
      <c r="Q117" s="4" t="s">
        <v>26</v>
      </c>
      <c r="R117" s="4">
        <v>0</v>
      </c>
      <c r="S117" s="4" t="s">
        <v>163</v>
      </c>
      <c r="T117" s="4" t="s">
        <v>320</v>
      </c>
      <c r="U117" s="4">
        <v>0</v>
      </c>
      <c r="V117" s="4">
        <v>5</v>
      </c>
      <c r="W117" s="4">
        <v>69</v>
      </c>
    </row>
    <row r="118" spans="1:23" ht="11.25" customHeight="1" x14ac:dyDescent="0.25">
      <c r="A118" s="4" t="s">
        <v>21</v>
      </c>
      <c r="B118" s="4" t="s">
        <v>35</v>
      </c>
      <c r="C118" s="4" t="s">
        <v>39</v>
      </c>
      <c r="D118" s="4" t="s">
        <v>40</v>
      </c>
      <c r="E118" s="4" t="s">
        <v>25</v>
      </c>
      <c r="F118" s="4" t="s">
        <v>25</v>
      </c>
      <c r="G118" s="4" t="s">
        <v>25</v>
      </c>
      <c r="H118" s="4" t="s">
        <v>37</v>
      </c>
      <c r="I118" s="5">
        <v>44713</v>
      </c>
      <c r="J118" s="6">
        <v>0</v>
      </c>
      <c r="K118" s="6">
        <v>0</v>
      </c>
      <c r="L118" s="6">
        <v>100.00700000000001</v>
      </c>
      <c r="M118" s="6">
        <v>100.00700000000001</v>
      </c>
      <c r="N118" s="6">
        <v>100.00700000000001</v>
      </c>
      <c r="O118" s="6">
        <v>100.00700000000001</v>
      </c>
      <c r="P118" s="6">
        <v>0</v>
      </c>
      <c r="Q118" s="4" t="s">
        <v>26</v>
      </c>
      <c r="R118" s="4">
        <v>0</v>
      </c>
      <c r="S118" s="4" t="s">
        <v>164</v>
      </c>
      <c r="T118" s="4" t="s">
        <v>321</v>
      </c>
      <c r="U118" s="4">
        <v>0</v>
      </c>
      <c r="V118" s="4">
        <v>5</v>
      </c>
      <c r="W118" s="4">
        <v>69</v>
      </c>
    </row>
    <row r="119" spans="1:23" ht="11.25" customHeight="1" x14ac:dyDescent="0.25">
      <c r="A119" s="4" t="s">
        <v>28</v>
      </c>
      <c r="B119" s="4" t="s">
        <v>35</v>
      </c>
      <c r="C119" s="4" t="s">
        <v>39</v>
      </c>
      <c r="D119" s="4" t="s">
        <v>40</v>
      </c>
      <c r="E119" s="4" t="s">
        <v>25</v>
      </c>
      <c r="F119" s="4" t="s">
        <v>25</v>
      </c>
      <c r="G119" s="4" t="s">
        <v>25</v>
      </c>
      <c r="H119" s="4" t="s">
        <v>37</v>
      </c>
      <c r="I119" s="5">
        <v>44713</v>
      </c>
      <c r="J119" s="6">
        <v>0</v>
      </c>
      <c r="K119" s="6">
        <v>0</v>
      </c>
      <c r="L119" s="6">
        <v>3.3439999999999999</v>
      </c>
      <c r="M119" s="6">
        <v>3.3439999999999999</v>
      </c>
      <c r="N119" s="6">
        <v>3.3439999999999999</v>
      </c>
      <c r="O119" s="6">
        <v>3.3439999999999999</v>
      </c>
      <c r="P119" s="6">
        <v>0</v>
      </c>
      <c r="Q119" s="4" t="s">
        <v>26</v>
      </c>
      <c r="R119" s="4">
        <v>0</v>
      </c>
      <c r="S119" s="4" t="s">
        <v>164</v>
      </c>
      <c r="T119" s="4" t="s">
        <v>321</v>
      </c>
      <c r="U119" s="4">
        <v>0</v>
      </c>
      <c r="V119" s="4">
        <v>5</v>
      </c>
      <c r="W119" s="4">
        <v>69</v>
      </c>
    </row>
    <row r="120" spans="1:23" ht="11.25" customHeight="1" x14ac:dyDescent="0.25">
      <c r="A120" s="4" t="s">
        <v>55</v>
      </c>
      <c r="B120" s="4" t="s">
        <v>35</v>
      </c>
      <c r="C120" s="4" t="s">
        <v>39</v>
      </c>
      <c r="D120" s="4" t="s">
        <v>40</v>
      </c>
      <c r="E120" s="4" t="s">
        <v>25</v>
      </c>
      <c r="F120" s="4" t="s">
        <v>25</v>
      </c>
      <c r="G120" s="4" t="s">
        <v>25</v>
      </c>
      <c r="H120" s="4" t="s">
        <v>37</v>
      </c>
      <c r="I120" s="5">
        <v>44743</v>
      </c>
      <c r="J120" s="6">
        <v>0</v>
      </c>
      <c r="K120" s="6">
        <v>0</v>
      </c>
      <c r="L120" s="6">
        <v>100.00700000000001</v>
      </c>
      <c r="M120" s="6">
        <v>100.00700000000001</v>
      </c>
      <c r="N120" s="6">
        <v>100.00700000000001</v>
      </c>
      <c r="O120" s="6">
        <v>100.00700000000001</v>
      </c>
      <c r="P120" s="6">
        <v>0</v>
      </c>
      <c r="Q120" s="4" t="s">
        <v>26</v>
      </c>
      <c r="R120" s="4">
        <v>0</v>
      </c>
      <c r="S120" s="4" t="s">
        <v>165</v>
      </c>
      <c r="T120" s="4" t="s">
        <v>322</v>
      </c>
      <c r="U120" s="4">
        <v>0</v>
      </c>
      <c r="V120" s="4">
        <v>5</v>
      </c>
      <c r="W120" s="4">
        <v>69</v>
      </c>
    </row>
    <row r="121" spans="1:23" ht="11.25" customHeight="1" x14ac:dyDescent="0.25">
      <c r="A121" s="4" t="s">
        <v>55</v>
      </c>
      <c r="B121" s="4" t="s">
        <v>35</v>
      </c>
      <c r="C121" s="4" t="s">
        <v>39</v>
      </c>
      <c r="D121" s="4" t="s">
        <v>40</v>
      </c>
      <c r="E121" s="4" t="s">
        <v>25</v>
      </c>
      <c r="F121" s="4" t="s">
        <v>25</v>
      </c>
      <c r="G121" s="4" t="s">
        <v>25</v>
      </c>
      <c r="H121" s="4" t="s">
        <v>37</v>
      </c>
      <c r="I121" s="5">
        <v>44743</v>
      </c>
      <c r="J121" s="6">
        <v>0</v>
      </c>
      <c r="K121" s="6">
        <v>0</v>
      </c>
      <c r="L121" s="6">
        <v>3.3439999999999999</v>
      </c>
      <c r="M121" s="6">
        <v>3.3439999999999999</v>
      </c>
      <c r="N121" s="6">
        <v>3.3439999999999999</v>
      </c>
      <c r="O121" s="6">
        <v>3.3439999999999999</v>
      </c>
      <c r="P121" s="6">
        <v>0</v>
      </c>
      <c r="Q121" s="4" t="s">
        <v>26</v>
      </c>
      <c r="R121" s="4">
        <v>0</v>
      </c>
      <c r="S121" s="4" t="s">
        <v>165</v>
      </c>
      <c r="T121" s="4" t="s">
        <v>322</v>
      </c>
      <c r="U121" s="4">
        <v>0</v>
      </c>
      <c r="V121" s="4">
        <v>5</v>
      </c>
      <c r="W121" s="4">
        <v>69</v>
      </c>
    </row>
    <row r="122" spans="1:23" ht="11.25" customHeight="1" x14ac:dyDescent="0.25">
      <c r="A122" s="4" t="s">
        <v>21</v>
      </c>
      <c r="B122" s="4" t="s">
        <v>35</v>
      </c>
      <c r="C122" s="4" t="s">
        <v>39</v>
      </c>
      <c r="D122" s="4" t="s">
        <v>34</v>
      </c>
      <c r="E122" s="4" t="s">
        <v>25</v>
      </c>
      <c r="F122" s="4" t="s">
        <v>56</v>
      </c>
      <c r="G122" s="4" t="s">
        <v>25</v>
      </c>
      <c r="H122" s="4" t="s">
        <v>38</v>
      </c>
      <c r="I122" s="5">
        <v>44409</v>
      </c>
      <c r="J122" s="6">
        <v>0</v>
      </c>
      <c r="K122" s="6">
        <v>0</v>
      </c>
      <c r="L122" s="6">
        <v>2685.5039999999999</v>
      </c>
      <c r="M122" s="6">
        <v>2685.5039999999999</v>
      </c>
      <c r="N122" s="6">
        <v>0</v>
      </c>
      <c r="O122" s="6">
        <v>0</v>
      </c>
      <c r="P122" s="6">
        <v>0</v>
      </c>
      <c r="Q122" s="4" t="s">
        <v>57</v>
      </c>
      <c r="R122" s="4">
        <v>0</v>
      </c>
      <c r="S122" s="4" t="s">
        <v>130</v>
      </c>
      <c r="U122" s="4">
        <v>0</v>
      </c>
      <c r="V122" s="4">
        <v>18</v>
      </c>
      <c r="W122" s="4">
        <v>0</v>
      </c>
    </row>
    <row r="123" spans="1:23" ht="11.25" customHeight="1" x14ac:dyDescent="0.25">
      <c r="A123" s="4" t="s">
        <v>21</v>
      </c>
      <c r="B123" s="4" t="s">
        <v>35</v>
      </c>
      <c r="C123" s="4" t="s">
        <v>39</v>
      </c>
      <c r="D123" s="4" t="s">
        <v>34</v>
      </c>
      <c r="E123" s="4" t="s">
        <v>25</v>
      </c>
      <c r="F123" s="4" t="s">
        <v>56</v>
      </c>
      <c r="G123" s="4" t="s">
        <v>25</v>
      </c>
      <c r="H123" s="4" t="s">
        <v>38</v>
      </c>
      <c r="I123" s="5">
        <v>44440</v>
      </c>
      <c r="J123" s="6">
        <v>0</v>
      </c>
      <c r="K123" s="6">
        <v>0</v>
      </c>
      <c r="L123" s="6">
        <v>2733.4639999999999</v>
      </c>
      <c r="M123" s="6">
        <v>2733.4639999999999</v>
      </c>
      <c r="N123" s="6">
        <v>0</v>
      </c>
      <c r="O123" s="6">
        <v>0</v>
      </c>
      <c r="P123" s="6">
        <v>0</v>
      </c>
      <c r="Q123" s="4" t="s">
        <v>57</v>
      </c>
      <c r="R123" s="4">
        <v>0</v>
      </c>
      <c r="S123" s="4" t="s">
        <v>131</v>
      </c>
      <c r="U123" s="4">
        <v>0</v>
      </c>
      <c r="V123" s="4">
        <v>18</v>
      </c>
      <c r="W123" s="4">
        <v>0</v>
      </c>
    </row>
    <row r="124" spans="1:23" ht="11.25" customHeight="1" x14ac:dyDescent="0.25">
      <c r="A124" s="4" t="s">
        <v>21</v>
      </c>
      <c r="B124" s="4" t="s">
        <v>35</v>
      </c>
      <c r="C124" s="4" t="s">
        <v>39</v>
      </c>
      <c r="D124" s="4" t="s">
        <v>34</v>
      </c>
      <c r="E124" s="4" t="s">
        <v>25</v>
      </c>
      <c r="F124" s="4" t="s">
        <v>56</v>
      </c>
      <c r="G124" s="4" t="s">
        <v>25</v>
      </c>
      <c r="H124" s="4" t="s">
        <v>38</v>
      </c>
      <c r="I124" s="5">
        <v>44470</v>
      </c>
      <c r="J124" s="6">
        <v>0</v>
      </c>
      <c r="K124" s="6">
        <v>0</v>
      </c>
      <c r="L124" s="6">
        <v>2712.8209999999999</v>
      </c>
      <c r="M124" s="6">
        <v>2712.8209999999999</v>
      </c>
      <c r="N124" s="6">
        <v>0</v>
      </c>
      <c r="O124" s="6">
        <v>0</v>
      </c>
      <c r="P124" s="6">
        <v>0</v>
      </c>
      <c r="Q124" s="4" t="s">
        <v>57</v>
      </c>
      <c r="R124" s="4">
        <v>0</v>
      </c>
      <c r="S124" s="4" t="s">
        <v>132</v>
      </c>
      <c r="U124" s="4">
        <v>0</v>
      </c>
      <c r="V124" s="4">
        <v>18</v>
      </c>
      <c r="W124" s="4">
        <v>0</v>
      </c>
    </row>
    <row r="125" spans="1:23" ht="11.25" customHeight="1" x14ac:dyDescent="0.25">
      <c r="A125" s="4" t="s">
        <v>21</v>
      </c>
      <c r="B125" s="4" t="s">
        <v>35</v>
      </c>
      <c r="C125" s="4" t="s">
        <v>39</v>
      </c>
      <c r="D125" s="4" t="s">
        <v>34</v>
      </c>
      <c r="E125" s="4" t="s">
        <v>25</v>
      </c>
      <c r="F125" s="4" t="s">
        <v>56</v>
      </c>
      <c r="G125" s="4" t="s">
        <v>25</v>
      </c>
      <c r="H125" s="4" t="s">
        <v>38</v>
      </c>
      <c r="I125" s="5">
        <v>44501</v>
      </c>
      <c r="J125" s="6">
        <v>0</v>
      </c>
      <c r="K125" s="6">
        <v>0</v>
      </c>
      <c r="L125" s="6">
        <v>2704.5920000000001</v>
      </c>
      <c r="M125" s="6">
        <v>2704.5920000000001</v>
      </c>
      <c r="N125" s="6">
        <v>0</v>
      </c>
      <c r="O125" s="6">
        <v>0</v>
      </c>
      <c r="P125" s="6">
        <v>0</v>
      </c>
      <c r="Q125" s="4" t="s">
        <v>57</v>
      </c>
      <c r="R125" s="4">
        <v>0</v>
      </c>
      <c r="S125" s="4" t="s">
        <v>133</v>
      </c>
      <c r="U125" s="4">
        <v>0</v>
      </c>
      <c r="V125" s="4">
        <v>18</v>
      </c>
      <c r="W125" s="4">
        <v>0</v>
      </c>
    </row>
    <row r="126" spans="1:23" ht="11.25" customHeight="1" x14ac:dyDescent="0.25">
      <c r="A126" s="4" t="s">
        <v>21</v>
      </c>
      <c r="B126" s="4" t="s">
        <v>35</v>
      </c>
      <c r="C126" s="4" t="s">
        <v>39</v>
      </c>
      <c r="D126" s="4" t="s">
        <v>34</v>
      </c>
      <c r="E126" s="4" t="s">
        <v>25</v>
      </c>
      <c r="F126" s="4" t="s">
        <v>56</v>
      </c>
      <c r="G126" s="4" t="s">
        <v>25</v>
      </c>
      <c r="H126" s="4" t="s">
        <v>38</v>
      </c>
      <c r="I126" s="5">
        <v>44531</v>
      </c>
      <c r="J126" s="6">
        <v>0</v>
      </c>
      <c r="K126" s="6">
        <v>0</v>
      </c>
      <c r="L126" s="6">
        <v>2656.8690000000001</v>
      </c>
      <c r="M126" s="6">
        <v>2656.8690000000001</v>
      </c>
      <c r="N126" s="6">
        <v>0</v>
      </c>
      <c r="O126" s="6">
        <v>0</v>
      </c>
      <c r="P126" s="6">
        <v>0</v>
      </c>
      <c r="Q126" s="4" t="s">
        <v>57</v>
      </c>
      <c r="R126" s="4">
        <v>0</v>
      </c>
      <c r="S126" s="4" t="s">
        <v>134</v>
      </c>
      <c r="U126" s="4">
        <v>0</v>
      </c>
      <c r="V126" s="4">
        <v>18</v>
      </c>
      <c r="W126" s="4">
        <v>0</v>
      </c>
    </row>
    <row r="127" spans="1:23" ht="11.25" customHeight="1" x14ac:dyDescent="0.25">
      <c r="A127" s="4" t="s">
        <v>21</v>
      </c>
      <c r="B127" s="4" t="s">
        <v>35</v>
      </c>
      <c r="C127" s="4" t="s">
        <v>39</v>
      </c>
      <c r="D127" s="4" t="s">
        <v>34</v>
      </c>
      <c r="E127" s="4" t="s">
        <v>25</v>
      </c>
      <c r="F127" s="4" t="s">
        <v>56</v>
      </c>
      <c r="G127" s="4" t="s">
        <v>25</v>
      </c>
      <c r="H127" s="4" t="s">
        <v>38</v>
      </c>
      <c r="I127" s="5">
        <v>44562</v>
      </c>
      <c r="J127" s="6">
        <v>0</v>
      </c>
      <c r="K127" s="6">
        <v>0</v>
      </c>
      <c r="L127" s="6">
        <v>2634.998</v>
      </c>
      <c r="M127" s="6">
        <v>2634.998</v>
      </c>
      <c r="N127" s="6">
        <v>0</v>
      </c>
      <c r="O127" s="6">
        <v>0</v>
      </c>
      <c r="P127" s="6">
        <v>0</v>
      </c>
      <c r="Q127" s="4" t="s">
        <v>57</v>
      </c>
      <c r="R127" s="4">
        <v>0</v>
      </c>
      <c r="S127" s="4" t="s">
        <v>135</v>
      </c>
      <c r="U127" s="4">
        <v>0</v>
      </c>
      <c r="V127" s="4">
        <v>18</v>
      </c>
      <c r="W127" s="4">
        <v>0</v>
      </c>
    </row>
    <row r="128" spans="1:23" ht="11.25" customHeight="1" x14ac:dyDescent="0.25">
      <c r="A128" s="4" t="s">
        <v>21</v>
      </c>
      <c r="B128" s="4" t="s">
        <v>35</v>
      </c>
      <c r="C128" s="4" t="s">
        <v>39</v>
      </c>
      <c r="D128" s="4" t="s">
        <v>34</v>
      </c>
      <c r="E128" s="4" t="s">
        <v>25</v>
      </c>
      <c r="F128" s="4" t="s">
        <v>56</v>
      </c>
      <c r="G128" s="4" t="s">
        <v>25</v>
      </c>
      <c r="H128" s="4" t="s">
        <v>38</v>
      </c>
      <c r="I128" s="5">
        <v>44593</v>
      </c>
      <c r="J128" s="6">
        <v>0</v>
      </c>
      <c r="K128" s="6">
        <v>0</v>
      </c>
      <c r="L128" s="6">
        <v>2436.9760000000001</v>
      </c>
      <c r="M128" s="6">
        <v>2436.9760000000001</v>
      </c>
      <c r="N128" s="6">
        <v>0</v>
      </c>
      <c r="O128" s="6">
        <v>0</v>
      </c>
      <c r="P128" s="6">
        <v>0</v>
      </c>
      <c r="Q128" s="4" t="s">
        <v>57</v>
      </c>
      <c r="R128" s="4">
        <v>0</v>
      </c>
      <c r="S128" s="4" t="s">
        <v>136</v>
      </c>
      <c r="U128" s="4">
        <v>0</v>
      </c>
      <c r="V128" s="4">
        <v>18</v>
      </c>
      <c r="W128" s="4">
        <v>0</v>
      </c>
    </row>
    <row r="129" spans="1:23" ht="11.25" customHeight="1" x14ac:dyDescent="0.25">
      <c r="A129" s="4" t="s">
        <v>21</v>
      </c>
      <c r="B129" s="4" t="s">
        <v>35</v>
      </c>
      <c r="C129" s="4" t="s">
        <v>39</v>
      </c>
      <c r="D129" s="4" t="s">
        <v>34</v>
      </c>
      <c r="E129" s="4" t="s">
        <v>25</v>
      </c>
      <c r="F129" s="4" t="s">
        <v>56</v>
      </c>
      <c r="G129" s="4" t="s">
        <v>25</v>
      </c>
      <c r="H129" s="4" t="s">
        <v>38</v>
      </c>
      <c r="I129" s="5">
        <v>44621</v>
      </c>
      <c r="J129" s="6">
        <v>0</v>
      </c>
      <c r="K129" s="6">
        <v>0</v>
      </c>
      <c r="L129" s="6">
        <v>2841.8339999999998</v>
      </c>
      <c r="M129" s="6">
        <v>2841.8339999999998</v>
      </c>
      <c r="N129" s="6">
        <v>0</v>
      </c>
      <c r="O129" s="6">
        <v>0</v>
      </c>
      <c r="P129" s="6">
        <v>0</v>
      </c>
      <c r="Q129" s="4" t="s">
        <v>57</v>
      </c>
      <c r="R129" s="4">
        <v>0</v>
      </c>
      <c r="S129" s="4" t="s">
        <v>137</v>
      </c>
      <c r="U129" s="4">
        <v>0</v>
      </c>
      <c r="V129" s="4">
        <v>18</v>
      </c>
      <c r="W129" s="4">
        <v>0</v>
      </c>
    </row>
    <row r="130" spans="1:23" ht="11.25" customHeight="1" x14ac:dyDescent="0.25">
      <c r="A130" s="4" t="s">
        <v>21</v>
      </c>
      <c r="B130" s="4" t="s">
        <v>35</v>
      </c>
      <c r="C130" s="4" t="s">
        <v>39</v>
      </c>
      <c r="D130" s="4" t="s">
        <v>34</v>
      </c>
      <c r="E130" s="4" t="s">
        <v>25</v>
      </c>
      <c r="F130" s="4" t="s">
        <v>56</v>
      </c>
      <c r="G130" s="4" t="s">
        <v>25</v>
      </c>
      <c r="H130" s="4" t="s">
        <v>38</v>
      </c>
      <c r="I130" s="5">
        <v>44652</v>
      </c>
      <c r="J130" s="6">
        <v>0</v>
      </c>
      <c r="K130" s="6">
        <v>0</v>
      </c>
      <c r="L130" s="6">
        <v>2543.5279999999998</v>
      </c>
      <c r="M130" s="6">
        <v>2543.5279999999998</v>
      </c>
      <c r="N130" s="6">
        <v>0</v>
      </c>
      <c r="O130" s="6">
        <v>0</v>
      </c>
      <c r="P130" s="6">
        <v>0</v>
      </c>
      <c r="Q130" s="4" t="s">
        <v>57</v>
      </c>
      <c r="R130" s="4">
        <v>0</v>
      </c>
      <c r="S130" s="4" t="s">
        <v>138</v>
      </c>
      <c r="U130" s="4">
        <v>0</v>
      </c>
      <c r="V130" s="4">
        <v>18</v>
      </c>
      <c r="W130" s="4">
        <v>0</v>
      </c>
    </row>
    <row r="131" spans="1:23" ht="11.25" customHeight="1" x14ac:dyDescent="0.25">
      <c r="A131" s="4" t="s">
        <v>21</v>
      </c>
      <c r="B131" s="4" t="s">
        <v>35</v>
      </c>
      <c r="C131" s="4" t="s">
        <v>39</v>
      </c>
      <c r="D131" s="4" t="s">
        <v>34</v>
      </c>
      <c r="E131" s="4" t="s">
        <v>25</v>
      </c>
      <c r="F131" s="4" t="s">
        <v>56</v>
      </c>
      <c r="G131" s="4" t="s">
        <v>25</v>
      </c>
      <c r="H131" s="4" t="s">
        <v>38</v>
      </c>
      <c r="I131" s="5">
        <v>44682</v>
      </c>
      <c r="J131" s="6">
        <v>0</v>
      </c>
      <c r="K131" s="6">
        <v>0</v>
      </c>
      <c r="L131" s="6">
        <v>2743.3420000000001</v>
      </c>
      <c r="M131" s="6">
        <v>2743.3420000000001</v>
      </c>
      <c r="N131" s="6">
        <v>0</v>
      </c>
      <c r="O131" s="6">
        <v>0</v>
      </c>
      <c r="P131" s="6">
        <v>0</v>
      </c>
      <c r="Q131" s="4" t="s">
        <v>57</v>
      </c>
      <c r="R131" s="4">
        <v>0</v>
      </c>
      <c r="S131" s="4" t="s">
        <v>139</v>
      </c>
      <c r="U131" s="4">
        <v>0</v>
      </c>
      <c r="V131" s="4">
        <v>18</v>
      </c>
      <c r="W131" s="4">
        <v>0</v>
      </c>
    </row>
    <row r="132" spans="1:23" ht="11.25" customHeight="1" x14ac:dyDescent="0.25">
      <c r="A132" s="4" t="s">
        <v>21</v>
      </c>
      <c r="B132" s="4" t="s">
        <v>35</v>
      </c>
      <c r="C132" s="4" t="s">
        <v>39</v>
      </c>
      <c r="D132" s="4" t="s">
        <v>34</v>
      </c>
      <c r="E132" s="4" t="s">
        <v>25</v>
      </c>
      <c r="F132" s="4" t="s">
        <v>56</v>
      </c>
      <c r="G132" s="4" t="s">
        <v>25</v>
      </c>
      <c r="H132" s="4" t="s">
        <v>38</v>
      </c>
      <c r="I132" s="5">
        <v>44713</v>
      </c>
      <c r="J132" s="6">
        <v>0</v>
      </c>
      <c r="K132" s="6">
        <v>0</v>
      </c>
      <c r="L132" s="6">
        <v>2720.0070000000001</v>
      </c>
      <c r="M132" s="6">
        <v>2720.0070000000001</v>
      </c>
      <c r="N132" s="6">
        <v>0</v>
      </c>
      <c r="O132" s="6">
        <v>0</v>
      </c>
      <c r="P132" s="6">
        <v>0</v>
      </c>
      <c r="Q132" s="4" t="s">
        <v>57</v>
      </c>
      <c r="R132" s="4">
        <v>0</v>
      </c>
      <c r="S132" s="4" t="s">
        <v>140</v>
      </c>
      <c r="U132" s="4">
        <v>0</v>
      </c>
      <c r="V132" s="4">
        <v>18</v>
      </c>
      <c r="W132" s="4">
        <v>0</v>
      </c>
    </row>
    <row r="133" spans="1:23" ht="11.25" customHeight="1" x14ac:dyDescent="0.25">
      <c r="A133" s="4" t="s">
        <v>55</v>
      </c>
      <c r="B133" s="4" t="s">
        <v>35</v>
      </c>
      <c r="C133" s="4" t="s">
        <v>39</v>
      </c>
      <c r="D133" s="4" t="s">
        <v>34</v>
      </c>
      <c r="E133" s="4" t="s">
        <v>25</v>
      </c>
      <c r="F133" s="4" t="s">
        <v>56</v>
      </c>
      <c r="G133" s="4" t="s">
        <v>25</v>
      </c>
      <c r="H133" s="4" t="s">
        <v>38</v>
      </c>
      <c r="I133" s="5">
        <v>44743</v>
      </c>
      <c r="J133" s="6">
        <v>0</v>
      </c>
      <c r="K133" s="6">
        <v>0</v>
      </c>
      <c r="L133" s="6">
        <v>2720.0070000000001</v>
      </c>
      <c r="M133" s="6">
        <v>2720.0070000000001</v>
      </c>
      <c r="N133" s="6">
        <v>0</v>
      </c>
      <c r="O133" s="6">
        <v>0</v>
      </c>
      <c r="P133" s="6">
        <v>0</v>
      </c>
      <c r="Q133" s="4" t="s">
        <v>57</v>
      </c>
      <c r="R133" s="4">
        <v>0</v>
      </c>
      <c r="S133" s="4" t="s">
        <v>141</v>
      </c>
      <c r="U133" s="4">
        <v>0</v>
      </c>
      <c r="V133" s="4">
        <v>18</v>
      </c>
      <c r="W133" s="4">
        <v>0</v>
      </c>
    </row>
    <row r="134" spans="1:23" ht="11.25" customHeight="1" x14ac:dyDescent="0.25">
      <c r="A134" s="4" t="s">
        <v>21</v>
      </c>
      <c r="B134" s="4" t="s">
        <v>35</v>
      </c>
      <c r="C134" s="4" t="s">
        <v>39</v>
      </c>
      <c r="D134" s="4" t="s">
        <v>34</v>
      </c>
      <c r="E134" s="4" t="s">
        <v>25</v>
      </c>
      <c r="F134" s="4" t="s">
        <v>56</v>
      </c>
      <c r="G134" s="4" t="s">
        <v>25</v>
      </c>
      <c r="H134" s="4" t="s">
        <v>25</v>
      </c>
      <c r="I134" s="5">
        <v>44409</v>
      </c>
      <c r="J134" s="6">
        <v>10322</v>
      </c>
      <c r="K134" s="6">
        <v>4424.0092000000004</v>
      </c>
      <c r="L134" s="6">
        <v>0</v>
      </c>
      <c r="M134" s="6">
        <v>0</v>
      </c>
      <c r="N134" s="6">
        <v>0</v>
      </c>
      <c r="O134" s="6">
        <v>0</v>
      </c>
      <c r="P134" s="6">
        <v>7</v>
      </c>
      <c r="Q134" s="4" t="s">
        <v>57</v>
      </c>
      <c r="R134" s="4">
        <v>0</v>
      </c>
      <c r="S134" s="4" t="s">
        <v>142</v>
      </c>
      <c r="U134" s="4">
        <v>24</v>
      </c>
      <c r="V134" s="4">
        <v>0</v>
      </c>
      <c r="W134" s="4">
        <v>0</v>
      </c>
    </row>
    <row r="135" spans="1:23" ht="11.25" customHeight="1" x14ac:dyDescent="0.25">
      <c r="A135" s="4" t="s">
        <v>21</v>
      </c>
      <c r="B135" s="4" t="s">
        <v>35</v>
      </c>
      <c r="C135" s="4" t="s">
        <v>39</v>
      </c>
      <c r="D135" s="4" t="s">
        <v>34</v>
      </c>
      <c r="E135" s="4" t="s">
        <v>25</v>
      </c>
      <c r="F135" s="4" t="s">
        <v>56</v>
      </c>
      <c r="G135" s="4" t="s">
        <v>25</v>
      </c>
      <c r="H135" s="4" t="s">
        <v>25</v>
      </c>
      <c r="I135" s="5">
        <v>44440</v>
      </c>
      <c r="J135" s="6">
        <v>10306</v>
      </c>
      <c r="K135" s="6">
        <v>4902.5641999999998</v>
      </c>
      <c r="L135" s="6">
        <v>0</v>
      </c>
      <c r="M135" s="6">
        <v>0</v>
      </c>
      <c r="N135" s="6">
        <v>0</v>
      </c>
      <c r="O135" s="6">
        <v>0</v>
      </c>
      <c r="P135" s="6">
        <v>7</v>
      </c>
      <c r="Q135" s="4" t="s">
        <v>57</v>
      </c>
      <c r="R135" s="4">
        <v>0</v>
      </c>
      <c r="S135" s="4" t="s">
        <v>143</v>
      </c>
      <c r="U135" s="4">
        <v>24</v>
      </c>
      <c r="V135" s="4">
        <v>0</v>
      </c>
      <c r="W135" s="4">
        <v>0</v>
      </c>
    </row>
    <row r="136" spans="1:23" ht="11.25" customHeight="1" x14ac:dyDescent="0.25">
      <c r="A136" s="4" t="s">
        <v>21</v>
      </c>
      <c r="B136" s="4" t="s">
        <v>35</v>
      </c>
      <c r="C136" s="4" t="s">
        <v>39</v>
      </c>
      <c r="D136" s="4" t="s">
        <v>34</v>
      </c>
      <c r="E136" s="4" t="s">
        <v>25</v>
      </c>
      <c r="F136" s="4" t="s">
        <v>56</v>
      </c>
      <c r="G136" s="4" t="s">
        <v>25</v>
      </c>
      <c r="H136" s="4" t="s">
        <v>25</v>
      </c>
      <c r="I136" s="5">
        <v>44470</v>
      </c>
      <c r="J136" s="6">
        <v>10319</v>
      </c>
      <c r="K136" s="6">
        <v>4909.7802000000001</v>
      </c>
      <c r="L136" s="6">
        <v>0</v>
      </c>
      <c r="M136" s="6">
        <v>0</v>
      </c>
      <c r="N136" s="6">
        <v>0</v>
      </c>
      <c r="O136" s="6">
        <v>0</v>
      </c>
      <c r="P136" s="6">
        <v>7</v>
      </c>
      <c r="Q136" s="4" t="s">
        <v>57</v>
      </c>
      <c r="R136" s="4">
        <v>0</v>
      </c>
      <c r="S136" s="4" t="s">
        <v>144</v>
      </c>
      <c r="U136" s="4">
        <v>24</v>
      </c>
      <c r="V136" s="4">
        <v>0</v>
      </c>
      <c r="W136" s="4">
        <v>0</v>
      </c>
    </row>
    <row r="137" spans="1:23" ht="11.25" customHeight="1" x14ac:dyDescent="0.25">
      <c r="A137" s="4" t="s">
        <v>21</v>
      </c>
      <c r="B137" s="4" t="s">
        <v>35</v>
      </c>
      <c r="C137" s="4" t="s">
        <v>39</v>
      </c>
      <c r="D137" s="4" t="s">
        <v>34</v>
      </c>
      <c r="E137" s="4" t="s">
        <v>25</v>
      </c>
      <c r="F137" s="4" t="s">
        <v>56</v>
      </c>
      <c r="G137" s="4" t="s">
        <v>25</v>
      </c>
      <c r="H137" s="4" t="s">
        <v>25</v>
      </c>
      <c r="I137" s="5">
        <v>44501</v>
      </c>
      <c r="J137" s="6">
        <v>10344</v>
      </c>
      <c r="K137" s="6">
        <v>4921.6751999999997</v>
      </c>
      <c r="L137" s="6">
        <v>0</v>
      </c>
      <c r="M137" s="6">
        <v>0</v>
      </c>
      <c r="N137" s="6">
        <v>0</v>
      </c>
      <c r="O137" s="6">
        <v>0</v>
      </c>
      <c r="P137" s="6">
        <v>7</v>
      </c>
      <c r="Q137" s="4" t="s">
        <v>57</v>
      </c>
      <c r="R137" s="4">
        <v>0</v>
      </c>
      <c r="S137" s="4" t="s">
        <v>145</v>
      </c>
      <c r="U137" s="4">
        <v>24</v>
      </c>
      <c r="V137" s="4">
        <v>0</v>
      </c>
      <c r="W137" s="4">
        <v>0</v>
      </c>
    </row>
    <row r="138" spans="1:23" ht="11.25" customHeight="1" x14ac:dyDescent="0.25">
      <c r="A138" s="4" t="s">
        <v>21</v>
      </c>
      <c r="B138" s="4" t="s">
        <v>35</v>
      </c>
      <c r="C138" s="4" t="s">
        <v>39</v>
      </c>
      <c r="D138" s="4" t="s">
        <v>34</v>
      </c>
      <c r="E138" s="4" t="s">
        <v>25</v>
      </c>
      <c r="F138" s="4" t="s">
        <v>56</v>
      </c>
      <c r="G138" s="4" t="s">
        <v>25</v>
      </c>
      <c r="H138" s="4" t="s">
        <v>25</v>
      </c>
      <c r="I138" s="5">
        <v>44531</v>
      </c>
      <c r="J138" s="6">
        <v>10347</v>
      </c>
      <c r="K138" s="6">
        <v>4923.1026000000002</v>
      </c>
      <c r="L138" s="6">
        <v>0</v>
      </c>
      <c r="M138" s="6">
        <v>0</v>
      </c>
      <c r="N138" s="6">
        <v>0</v>
      </c>
      <c r="O138" s="6">
        <v>0</v>
      </c>
      <c r="P138" s="6">
        <v>7</v>
      </c>
      <c r="Q138" s="4" t="s">
        <v>57</v>
      </c>
      <c r="R138" s="4">
        <v>0</v>
      </c>
      <c r="S138" s="4" t="s">
        <v>146</v>
      </c>
      <c r="U138" s="4">
        <v>24</v>
      </c>
      <c r="V138" s="4">
        <v>0</v>
      </c>
      <c r="W138" s="4">
        <v>0</v>
      </c>
    </row>
    <row r="139" spans="1:23" ht="11.25" customHeight="1" x14ac:dyDescent="0.25">
      <c r="A139" s="4" t="s">
        <v>21</v>
      </c>
      <c r="B139" s="4" t="s">
        <v>35</v>
      </c>
      <c r="C139" s="4" t="s">
        <v>39</v>
      </c>
      <c r="D139" s="4" t="s">
        <v>34</v>
      </c>
      <c r="E139" s="4" t="s">
        <v>25</v>
      </c>
      <c r="F139" s="4" t="s">
        <v>56</v>
      </c>
      <c r="G139" s="4" t="s">
        <v>25</v>
      </c>
      <c r="H139" s="4" t="s">
        <v>25</v>
      </c>
      <c r="I139" s="5">
        <v>44562</v>
      </c>
      <c r="J139" s="6">
        <v>10342</v>
      </c>
      <c r="K139" s="6">
        <v>4920.7236000000003</v>
      </c>
      <c r="L139" s="6">
        <v>0</v>
      </c>
      <c r="M139" s="6">
        <v>0</v>
      </c>
      <c r="N139" s="6">
        <v>0</v>
      </c>
      <c r="O139" s="6">
        <v>0</v>
      </c>
      <c r="P139" s="6">
        <v>7</v>
      </c>
      <c r="Q139" s="4" t="s">
        <v>57</v>
      </c>
      <c r="R139" s="4">
        <v>0</v>
      </c>
      <c r="S139" s="4" t="s">
        <v>147</v>
      </c>
      <c r="U139" s="4">
        <v>24</v>
      </c>
      <c r="V139" s="4">
        <v>0</v>
      </c>
      <c r="W139" s="4">
        <v>0</v>
      </c>
    </row>
    <row r="140" spans="1:23" ht="11.25" customHeight="1" x14ac:dyDescent="0.25">
      <c r="A140" s="4" t="s">
        <v>21</v>
      </c>
      <c r="B140" s="4" t="s">
        <v>35</v>
      </c>
      <c r="C140" s="4" t="s">
        <v>39</v>
      </c>
      <c r="D140" s="4" t="s">
        <v>34</v>
      </c>
      <c r="E140" s="4" t="s">
        <v>25</v>
      </c>
      <c r="F140" s="4" t="s">
        <v>56</v>
      </c>
      <c r="G140" s="4" t="s">
        <v>25</v>
      </c>
      <c r="H140" s="4" t="s">
        <v>25</v>
      </c>
      <c r="I140" s="5">
        <v>44593</v>
      </c>
      <c r="J140" s="6">
        <v>10695</v>
      </c>
      <c r="K140" s="6">
        <v>5097.2370000000001</v>
      </c>
      <c r="L140" s="6">
        <v>0</v>
      </c>
      <c r="M140" s="6">
        <v>0</v>
      </c>
      <c r="N140" s="6">
        <v>0</v>
      </c>
      <c r="O140" s="6">
        <v>0</v>
      </c>
      <c r="P140" s="6">
        <v>7</v>
      </c>
      <c r="Q140" s="4" t="s">
        <v>57</v>
      </c>
      <c r="R140" s="4">
        <v>0</v>
      </c>
      <c r="S140" s="4" t="s">
        <v>148</v>
      </c>
      <c r="U140" s="4">
        <v>24</v>
      </c>
      <c r="V140" s="4">
        <v>0</v>
      </c>
      <c r="W140" s="4">
        <v>0</v>
      </c>
    </row>
    <row r="141" spans="1:23" ht="11.25" customHeight="1" x14ac:dyDescent="0.25">
      <c r="A141" s="4" t="s">
        <v>21</v>
      </c>
      <c r="B141" s="4" t="s">
        <v>35</v>
      </c>
      <c r="C141" s="4" t="s">
        <v>39</v>
      </c>
      <c r="D141" s="4" t="s">
        <v>34</v>
      </c>
      <c r="E141" s="4" t="s">
        <v>25</v>
      </c>
      <c r="F141" s="4" t="s">
        <v>56</v>
      </c>
      <c r="G141" s="4" t="s">
        <v>25</v>
      </c>
      <c r="H141" s="4" t="s">
        <v>25</v>
      </c>
      <c r="I141" s="5">
        <v>44621</v>
      </c>
      <c r="J141" s="6">
        <v>10912</v>
      </c>
      <c r="K141" s="6">
        <v>5206.1152000000002</v>
      </c>
      <c r="L141" s="6">
        <v>0</v>
      </c>
      <c r="M141" s="6">
        <v>0</v>
      </c>
      <c r="N141" s="6">
        <v>0</v>
      </c>
      <c r="O141" s="6">
        <v>0</v>
      </c>
      <c r="P141" s="6">
        <v>7</v>
      </c>
      <c r="Q141" s="4" t="s">
        <v>57</v>
      </c>
      <c r="R141" s="4">
        <v>0</v>
      </c>
      <c r="S141" s="4" t="s">
        <v>149</v>
      </c>
      <c r="U141" s="4">
        <v>24</v>
      </c>
      <c r="V141" s="4">
        <v>0</v>
      </c>
      <c r="W141" s="4">
        <v>0</v>
      </c>
    </row>
    <row r="142" spans="1:23" ht="11.25" customHeight="1" x14ac:dyDescent="0.25">
      <c r="A142" s="4" t="s">
        <v>21</v>
      </c>
      <c r="B142" s="4" t="s">
        <v>35</v>
      </c>
      <c r="C142" s="4" t="s">
        <v>39</v>
      </c>
      <c r="D142" s="4" t="s">
        <v>34</v>
      </c>
      <c r="E142" s="4" t="s">
        <v>25</v>
      </c>
      <c r="F142" s="4" t="s">
        <v>56</v>
      </c>
      <c r="G142" s="4" t="s">
        <v>25</v>
      </c>
      <c r="H142" s="4" t="s">
        <v>25</v>
      </c>
      <c r="I142" s="5">
        <v>44652</v>
      </c>
      <c r="J142" s="6">
        <v>11030</v>
      </c>
      <c r="K142" s="6">
        <v>5264.6189999999997</v>
      </c>
      <c r="L142" s="6">
        <v>0</v>
      </c>
      <c r="M142" s="6">
        <v>0</v>
      </c>
      <c r="N142" s="6">
        <v>0</v>
      </c>
      <c r="O142" s="6">
        <v>0</v>
      </c>
      <c r="P142" s="6">
        <v>7</v>
      </c>
      <c r="Q142" s="4" t="s">
        <v>57</v>
      </c>
      <c r="R142" s="4">
        <v>0</v>
      </c>
      <c r="S142" s="4" t="s">
        <v>150</v>
      </c>
      <c r="U142" s="4">
        <v>24</v>
      </c>
      <c r="V142" s="4">
        <v>0</v>
      </c>
      <c r="W142" s="4">
        <v>0</v>
      </c>
    </row>
    <row r="143" spans="1:23" ht="11.25" customHeight="1" x14ac:dyDescent="0.25">
      <c r="A143" s="4" t="s">
        <v>21</v>
      </c>
      <c r="B143" s="4" t="s">
        <v>35</v>
      </c>
      <c r="C143" s="4" t="s">
        <v>39</v>
      </c>
      <c r="D143" s="4" t="s">
        <v>34</v>
      </c>
      <c r="E143" s="4" t="s">
        <v>25</v>
      </c>
      <c r="F143" s="4" t="s">
        <v>56</v>
      </c>
      <c r="G143" s="4" t="s">
        <v>25</v>
      </c>
      <c r="H143" s="4" t="s">
        <v>25</v>
      </c>
      <c r="I143" s="5">
        <v>44682</v>
      </c>
      <c r="J143" s="6">
        <v>10935</v>
      </c>
      <c r="K143" s="6">
        <v>5217.0884999999998</v>
      </c>
      <c r="L143" s="6">
        <v>0</v>
      </c>
      <c r="M143" s="6">
        <v>0</v>
      </c>
      <c r="N143" s="6">
        <v>0</v>
      </c>
      <c r="O143" s="6">
        <v>0</v>
      </c>
      <c r="P143" s="6">
        <v>7</v>
      </c>
      <c r="Q143" s="4" t="s">
        <v>57</v>
      </c>
      <c r="R143" s="4">
        <v>0</v>
      </c>
      <c r="S143" s="4" t="s">
        <v>151</v>
      </c>
      <c r="U143" s="4">
        <v>24</v>
      </c>
      <c r="V143" s="4">
        <v>0</v>
      </c>
      <c r="W143" s="4">
        <v>0</v>
      </c>
    </row>
    <row r="144" spans="1:23" ht="11.25" customHeight="1" x14ac:dyDescent="0.25">
      <c r="A144" s="4" t="s">
        <v>21</v>
      </c>
      <c r="B144" s="4" t="s">
        <v>35</v>
      </c>
      <c r="C144" s="4" t="s">
        <v>39</v>
      </c>
      <c r="D144" s="4" t="s">
        <v>34</v>
      </c>
      <c r="E144" s="4" t="s">
        <v>25</v>
      </c>
      <c r="F144" s="4" t="s">
        <v>56</v>
      </c>
      <c r="G144" s="4" t="s">
        <v>25</v>
      </c>
      <c r="H144" s="4" t="s">
        <v>25</v>
      </c>
      <c r="I144" s="5">
        <v>44713</v>
      </c>
      <c r="J144" s="6">
        <v>10989</v>
      </c>
      <c r="K144" s="6">
        <v>5243.9507999999996</v>
      </c>
      <c r="L144" s="6">
        <v>0</v>
      </c>
      <c r="M144" s="6">
        <v>0</v>
      </c>
      <c r="N144" s="6">
        <v>0</v>
      </c>
      <c r="O144" s="6">
        <v>0</v>
      </c>
      <c r="P144" s="6">
        <v>7</v>
      </c>
      <c r="Q144" s="4" t="s">
        <v>57</v>
      </c>
      <c r="R144" s="4">
        <v>0</v>
      </c>
      <c r="S144" s="4" t="s">
        <v>152</v>
      </c>
      <c r="U144" s="4">
        <v>24</v>
      </c>
      <c r="V144" s="4">
        <v>0</v>
      </c>
      <c r="W144" s="4">
        <v>0</v>
      </c>
    </row>
    <row r="145" spans="1:23" ht="11.25" customHeight="1" x14ac:dyDescent="0.25">
      <c r="A145" s="4" t="s">
        <v>55</v>
      </c>
      <c r="B145" s="4" t="s">
        <v>35</v>
      </c>
      <c r="C145" s="4" t="s">
        <v>39</v>
      </c>
      <c r="D145" s="4" t="s">
        <v>34</v>
      </c>
      <c r="E145" s="4" t="s">
        <v>25</v>
      </c>
      <c r="F145" s="4" t="s">
        <v>56</v>
      </c>
      <c r="G145" s="4" t="s">
        <v>25</v>
      </c>
      <c r="H145" s="4" t="s">
        <v>25</v>
      </c>
      <c r="I145" s="5">
        <v>44743</v>
      </c>
      <c r="J145" s="6">
        <v>10989</v>
      </c>
      <c r="K145" s="6">
        <v>5243.9507999999996</v>
      </c>
      <c r="L145" s="6">
        <v>0</v>
      </c>
      <c r="M145" s="6">
        <v>0</v>
      </c>
      <c r="N145" s="6">
        <v>0</v>
      </c>
      <c r="O145" s="6">
        <v>0</v>
      </c>
      <c r="P145" s="6">
        <v>7</v>
      </c>
      <c r="Q145" s="4" t="s">
        <v>57</v>
      </c>
      <c r="R145" s="4">
        <v>0</v>
      </c>
      <c r="S145" s="4" t="s">
        <v>153</v>
      </c>
      <c r="U145" s="4">
        <v>24</v>
      </c>
      <c r="V145" s="4">
        <v>0</v>
      </c>
      <c r="W145" s="4">
        <v>0</v>
      </c>
    </row>
    <row r="146" spans="1:23" ht="11.25" customHeight="1" x14ac:dyDescent="0.25">
      <c r="A146" s="4" t="s">
        <v>21</v>
      </c>
      <c r="B146" s="4" t="s">
        <v>35</v>
      </c>
      <c r="C146" s="4" t="s">
        <v>39</v>
      </c>
      <c r="D146" s="4" t="s">
        <v>34</v>
      </c>
      <c r="E146" s="4" t="s">
        <v>25</v>
      </c>
      <c r="F146" s="4" t="s">
        <v>56</v>
      </c>
      <c r="G146" s="4" t="s">
        <v>25</v>
      </c>
      <c r="H146" s="4" t="s">
        <v>37</v>
      </c>
      <c r="I146" s="5">
        <v>44409</v>
      </c>
      <c r="J146" s="6">
        <v>0</v>
      </c>
      <c r="K146" s="6">
        <v>0</v>
      </c>
      <c r="L146" s="6">
        <v>221.56700000000001</v>
      </c>
      <c r="M146" s="6">
        <v>94.963616200000004</v>
      </c>
      <c r="N146" s="6">
        <v>0</v>
      </c>
      <c r="O146" s="6">
        <v>0</v>
      </c>
      <c r="P146" s="6">
        <v>0</v>
      </c>
      <c r="Q146" s="4" t="s">
        <v>57</v>
      </c>
      <c r="R146" s="4">
        <v>0</v>
      </c>
      <c r="S146" s="4" t="s">
        <v>154</v>
      </c>
      <c r="U146" s="4">
        <v>0</v>
      </c>
      <c r="V146" s="4">
        <v>5</v>
      </c>
      <c r="W146" s="4">
        <v>0</v>
      </c>
    </row>
    <row r="147" spans="1:23" ht="11.25" customHeight="1" x14ac:dyDescent="0.25">
      <c r="A147" s="4" t="s">
        <v>21</v>
      </c>
      <c r="B147" s="4" t="s">
        <v>35</v>
      </c>
      <c r="C147" s="4" t="s">
        <v>39</v>
      </c>
      <c r="D147" s="4" t="s">
        <v>34</v>
      </c>
      <c r="E147" s="4" t="s">
        <v>25</v>
      </c>
      <c r="F147" s="4" t="s">
        <v>56</v>
      </c>
      <c r="G147" s="4" t="s">
        <v>25</v>
      </c>
      <c r="H147" s="4" t="s">
        <v>37</v>
      </c>
      <c r="I147" s="5">
        <v>44440</v>
      </c>
      <c r="J147" s="6">
        <v>0</v>
      </c>
      <c r="K147" s="6">
        <v>0</v>
      </c>
      <c r="L147" s="6">
        <v>233.02</v>
      </c>
      <c r="M147" s="6">
        <v>116.183772</v>
      </c>
      <c r="N147" s="6">
        <v>0</v>
      </c>
      <c r="O147" s="6">
        <v>0</v>
      </c>
      <c r="P147" s="6">
        <v>0</v>
      </c>
      <c r="Q147" s="4" t="s">
        <v>57</v>
      </c>
      <c r="R147" s="4">
        <v>0</v>
      </c>
      <c r="S147" s="4" t="s">
        <v>155</v>
      </c>
      <c r="U147" s="4">
        <v>0</v>
      </c>
      <c r="V147" s="4">
        <v>5</v>
      </c>
      <c r="W147" s="4">
        <v>0</v>
      </c>
    </row>
    <row r="148" spans="1:23" ht="11.25" customHeight="1" x14ac:dyDescent="0.25">
      <c r="A148" s="4" t="s">
        <v>21</v>
      </c>
      <c r="B148" s="4" t="s">
        <v>35</v>
      </c>
      <c r="C148" s="4" t="s">
        <v>39</v>
      </c>
      <c r="D148" s="4" t="s">
        <v>34</v>
      </c>
      <c r="E148" s="4" t="s">
        <v>25</v>
      </c>
      <c r="F148" s="4" t="s">
        <v>56</v>
      </c>
      <c r="G148" s="4" t="s">
        <v>25</v>
      </c>
      <c r="H148" s="4" t="s">
        <v>37</v>
      </c>
      <c r="I148" s="5">
        <v>44470</v>
      </c>
      <c r="J148" s="6">
        <v>0</v>
      </c>
      <c r="K148" s="6">
        <v>0</v>
      </c>
      <c r="L148" s="6">
        <v>224.77099999999999</v>
      </c>
      <c r="M148" s="6">
        <v>112.1157748</v>
      </c>
      <c r="N148" s="6">
        <v>0</v>
      </c>
      <c r="O148" s="6">
        <v>0</v>
      </c>
      <c r="P148" s="6">
        <v>0</v>
      </c>
      <c r="Q148" s="4" t="s">
        <v>57</v>
      </c>
      <c r="R148" s="4">
        <v>0</v>
      </c>
      <c r="S148" s="4" t="s">
        <v>156</v>
      </c>
      <c r="U148" s="4">
        <v>0</v>
      </c>
      <c r="V148" s="4">
        <v>5</v>
      </c>
      <c r="W148" s="4">
        <v>0</v>
      </c>
    </row>
    <row r="149" spans="1:23" ht="11.25" customHeight="1" x14ac:dyDescent="0.25">
      <c r="A149" s="4" t="s">
        <v>21</v>
      </c>
      <c r="B149" s="4" t="s">
        <v>35</v>
      </c>
      <c r="C149" s="4" t="s">
        <v>39</v>
      </c>
      <c r="D149" s="4" t="s">
        <v>34</v>
      </c>
      <c r="E149" s="4" t="s">
        <v>25</v>
      </c>
      <c r="F149" s="4" t="s">
        <v>56</v>
      </c>
      <c r="G149" s="4" t="s">
        <v>25</v>
      </c>
      <c r="H149" s="4" t="s">
        <v>37</v>
      </c>
      <c r="I149" s="5">
        <v>44501</v>
      </c>
      <c r="J149" s="6">
        <v>0</v>
      </c>
      <c r="K149" s="6">
        <v>0</v>
      </c>
      <c r="L149" s="6">
        <v>227.09100000000001</v>
      </c>
      <c r="M149" s="6">
        <v>113.74988190000001</v>
      </c>
      <c r="N149" s="6">
        <v>0</v>
      </c>
      <c r="O149" s="6">
        <v>0</v>
      </c>
      <c r="P149" s="6">
        <v>0</v>
      </c>
      <c r="Q149" s="4" t="s">
        <v>57</v>
      </c>
      <c r="R149" s="4">
        <v>0</v>
      </c>
      <c r="S149" s="4" t="s">
        <v>157</v>
      </c>
      <c r="U149" s="4">
        <v>0</v>
      </c>
      <c r="V149" s="4">
        <v>5</v>
      </c>
      <c r="W149" s="4">
        <v>0</v>
      </c>
    </row>
    <row r="150" spans="1:23" ht="11.25" customHeight="1" x14ac:dyDescent="0.25">
      <c r="A150" s="4" t="s">
        <v>21</v>
      </c>
      <c r="B150" s="4" t="s">
        <v>35</v>
      </c>
      <c r="C150" s="4" t="s">
        <v>39</v>
      </c>
      <c r="D150" s="4" t="s">
        <v>34</v>
      </c>
      <c r="E150" s="4" t="s">
        <v>25</v>
      </c>
      <c r="F150" s="4" t="s">
        <v>56</v>
      </c>
      <c r="G150" s="4" t="s">
        <v>25</v>
      </c>
      <c r="H150" s="4" t="s">
        <v>37</v>
      </c>
      <c r="I150" s="5">
        <v>44531</v>
      </c>
      <c r="J150" s="6">
        <v>0</v>
      </c>
      <c r="K150" s="6">
        <v>0</v>
      </c>
      <c r="L150" s="6">
        <v>245.57499999999999</v>
      </c>
      <c r="M150" s="6">
        <v>123.27865</v>
      </c>
      <c r="N150" s="6">
        <v>0</v>
      </c>
      <c r="O150" s="6">
        <v>0</v>
      </c>
      <c r="P150" s="6">
        <v>0</v>
      </c>
      <c r="Q150" s="4" t="s">
        <v>57</v>
      </c>
      <c r="R150" s="4">
        <v>0</v>
      </c>
      <c r="S150" s="4" t="s">
        <v>158</v>
      </c>
      <c r="U150" s="4">
        <v>0</v>
      </c>
      <c r="V150" s="4">
        <v>5</v>
      </c>
      <c r="W150" s="4">
        <v>0</v>
      </c>
    </row>
    <row r="151" spans="1:23" ht="11.25" customHeight="1" x14ac:dyDescent="0.25">
      <c r="A151" s="4" t="s">
        <v>21</v>
      </c>
      <c r="B151" s="4" t="s">
        <v>35</v>
      </c>
      <c r="C151" s="4" t="s">
        <v>39</v>
      </c>
      <c r="D151" s="4" t="s">
        <v>34</v>
      </c>
      <c r="E151" s="4" t="s">
        <v>25</v>
      </c>
      <c r="F151" s="4" t="s">
        <v>56</v>
      </c>
      <c r="G151" s="4" t="s">
        <v>25</v>
      </c>
      <c r="H151" s="4" t="s">
        <v>37</v>
      </c>
      <c r="I151" s="5">
        <v>44562</v>
      </c>
      <c r="J151" s="6">
        <v>0</v>
      </c>
      <c r="K151" s="6">
        <v>0</v>
      </c>
      <c r="L151" s="6">
        <v>228.524</v>
      </c>
      <c r="M151" s="6">
        <v>114.719048</v>
      </c>
      <c r="N151" s="6">
        <v>0</v>
      </c>
      <c r="O151" s="6">
        <v>0</v>
      </c>
      <c r="P151" s="6">
        <v>0</v>
      </c>
      <c r="Q151" s="4" t="s">
        <v>57</v>
      </c>
      <c r="R151" s="4">
        <v>0</v>
      </c>
      <c r="S151" s="4" t="s">
        <v>159</v>
      </c>
      <c r="U151" s="4">
        <v>0</v>
      </c>
      <c r="V151" s="4">
        <v>5</v>
      </c>
      <c r="W151" s="4">
        <v>0</v>
      </c>
    </row>
    <row r="152" spans="1:23" ht="11.25" customHeight="1" x14ac:dyDescent="0.25">
      <c r="A152" s="4" t="s">
        <v>21</v>
      </c>
      <c r="B152" s="4" t="s">
        <v>35</v>
      </c>
      <c r="C152" s="4" t="s">
        <v>39</v>
      </c>
      <c r="D152" s="4" t="s">
        <v>34</v>
      </c>
      <c r="E152" s="4" t="s">
        <v>25</v>
      </c>
      <c r="F152" s="4" t="s">
        <v>56</v>
      </c>
      <c r="G152" s="4" t="s">
        <v>25</v>
      </c>
      <c r="H152" s="4" t="s">
        <v>37</v>
      </c>
      <c r="I152" s="5">
        <v>44593</v>
      </c>
      <c r="J152" s="6">
        <v>0</v>
      </c>
      <c r="K152" s="6">
        <v>0</v>
      </c>
      <c r="L152" s="6">
        <v>212.62799999999999</v>
      </c>
      <c r="M152" s="6">
        <v>107.37714</v>
      </c>
      <c r="N152" s="6">
        <v>0</v>
      </c>
      <c r="O152" s="6">
        <v>0</v>
      </c>
      <c r="P152" s="6">
        <v>0</v>
      </c>
      <c r="Q152" s="4" t="s">
        <v>57</v>
      </c>
      <c r="R152" s="4">
        <v>0</v>
      </c>
      <c r="S152" s="4" t="s">
        <v>160</v>
      </c>
      <c r="U152" s="4">
        <v>0</v>
      </c>
      <c r="V152" s="4">
        <v>5</v>
      </c>
      <c r="W152" s="4">
        <v>0</v>
      </c>
    </row>
    <row r="153" spans="1:23" ht="11.25" customHeight="1" x14ac:dyDescent="0.25">
      <c r="A153" s="4" t="s">
        <v>21</v>
      </c>
      <c r="B153" s="4" t="s">
        <v>35</v>
      </c>
      <c r="C153" s="4" t="s">
        <v>39</v>
      </c>
      <c r="D153" s="4" t="s">
        <v>34</v>
      </c>
      <c r="E153" s="4" t="s">
        <v>25</v>
      </c>
      <c r="F153" s="4" t="s">
        <v>56</v>
      </c>
      <c r="G153" s="4" t="s">
        <v>25</v>
      </c>
      <c r="H153" s="4" t="s">
        <v>37</v>
      </c>
      <c r="I153" s="5">
        <v>44621</v>
      </c>
      <c r="J153" s="6">
        <v>0</v>
      </c>
      <c r="K153" s="6">
        <v>0</v>
      </c>
      <c r="L153" s="6">
        <v>228.40799999999999</v>
      </c>
      <c r="M153" s="6">
        <v>113.35889040000001</v>
      </c>
      <c r="N153" s="6">
        <v>0</v>
      </c>
      <c r="O153" s="6">
        <v>0</v>
      </c>
      <c r="P153" s="6">
        <v>0</v>
      </c>
      <c r="Q153" s="4" t="s">
        <v>57</v>
      </c>
      <c r="R153" s="4">
        <v>0</v>
      </c>
      <c r="S153" s="4" t="s">
        <v>161</v>
      </c>
      <c r="U153" s="4">
        <v>0</v>
      </c>
      <c r="V153" s="4">
        <v>5</v>
      </c>
      <c r="W153" s="4">
        <v>0</v>
      </c>
    </row>
    <row r="154" spans="1:23" ht="11.25" customHeight="1" x14ac:dyDescent="0.25">
      <c r="A154" s="4" t="s">
        <v>21</v>
      </c>
      <c r="B154" s="4" t="s">
        <v>35</v>
      </c>
      <c r="C154" s="4" t="s">
        <v>39</v>
      </c>
      <c r="D154" s="4" t="s">
        <v>34</v>
      </c>
      <c r="E154" s="4" t="s">
        <v>25</v>
      </c>
      <c r="F154" s="4" t="s">
        <v>56</v>
      </c>
      <c r="G154" s="4" t="s">
        <v>25</v>
      </c>
      <c r="H154" s="4" t="s">
        <v>37</v>
      </c>
      <c r="I154" s="5">
        <v>44652</v>
      </c>
      <c r="J154" s="6">
        <v>0</v>
      </c>
      <c r="K154" s="6">
        <v>0</v>
      </c>
      <c r="L154" s="6">
        <v>197.779</v>
      </c>
      <c r="M154" s="6">
        <v>100.45195409999999</v>
      </c>
      <c r="N154" s="6">
        <v>0</v>
      </c>
      <c r="O154" s="6">
        <v>0</v>
      </c>
      <c r="P154" s="6">
        <v>0</v>
      </c>
      <c r="Q154" s="4" t="s">
        <v>57</v>
      </c>
      <c r="R154" s="4">
        <v>0</v>
      </c>
      <c r="S154" s="4" t="s">
        <v>162</v>
      </c>
      <c r="U154" s="4">
        <v>0</v>
      </c>
      <c r="V154" s="4">
        <v>5</v>
      </c>
      <c r="W154" s="4">
        <v>0</v>
      </c>
    </row>
    <row r="155" spans="1:23" ht="11.25" customHeight="1" x14ac:dyDescent="0.25">
      <c r="A155" s="4" t="s">
        <v>21</v>
      </c>
      <c r="B155" s="4" t="s">
        <v>35</v>
      </c>
      <c r="C155" s="4" t="s">
        <v>39</v>
      </c>
      <c r="D155" s="4" t="s">
        <v>34</v>
      </c>
      <c r="E155" s="4" t="s">
        <v>25</v>
      </c>
      <c r="F155" s="4" t="s">
        <v>56</v>
      </c>
      <c r="G155" s="4" t="s">
        <v>25</v>
      </c>
      <c r="H155" s="4" t="s">
        <v>37</v>
      </c>
      <c r="I155" s="5">
        <v>44682</v>
      </c>
      <c r="J155" s="6">
        <v>0</v>
      </c>
      <c r="K155" s="6">
        <v>0</v>
      </c>
      <c r="L155" s="6">
        <v>220.24</v>
      </c>
      <c r="M155" s="6">
        <v>110.802744</v>
      </c>
      <c r="N155" s="6">
        <v>0</v>
      </c>
      <c r="O155" s="6">
        <v>0</v>
      </c>
      <c r="P155" s="6">
        <v>0</v>
      </c>
      <c r="Q155" s="4" t="s">
        <v>57</v>
      </c>
      <c r="R155" s="4">
        <v>0</v>
      </c>
      <c r="S155" s="4" t="s">
        <v>163</v>
      </c>
      <c r="U155" s="4">
        <v>0</v>
      </c>
      <c r="V155" s="4">
        <v>5</v>
      </c>
      <c r="W155" s="4">
        <v>0</v>
      </c>
    </row>
    <row r="156" spans="1:23" ht="11.25" customHeight="1" x14ac:dyDescent="0.25">
      <c r="A156" s="4" t="s">
        <v>21</v>
      </c>
      <c r="B156" s="4" t="s">
        <v>35</v>
      </c>
      <c r="C156" s="4" t="s">
        <v>39</v>
      </c>
      <c r="D156" s="4" t="s">
        <v>34</v>
      </c>
      <c r="E156" s="4" t="s">
        <v>25</v>
      </c>
      <c r="F156" s="4" t="s">
        <v>56</v>
      </c>
      <c r="G156" s="4" t="s">
        <v>25</v>
      </c>
      <c r="H156" s="4" t="s">
        <v>37</v>
      </c>
      <c r="I156" s="5">
        <v>44713</v>
      </c>
      <c r="J156" s="6">
        <v>0</v>
      </c>
      <c r="K156" s="6">
        <v>0</v>
      </c>
      <c r="L156" s="6">
        <v>210.67</v>
      </c>
      <c r="M156" s="6">
        <v>105.566737</v>
      </c>
      <c r="N156" s="6">
        <v>0</v>
      </c>
      <c r="O156" s="6">
        <v>0</v>
      </c>
      <c r="P156" s="6">
        <v>0</v>
      </c>
      <c r="Q156" s="4" t="s">
        <v>57</v>
      </c>
      <c r="R156" s="4">
        <v>0</v>
      </c>
      <c r="S156" s="4" t="s">
        <v>164</v>
      </c>
      <c r="U156" s="4">
        <v>0</v>
      </c>
      <c r="V156" s="4">
        <v>5</v>
      </c>
      <c r="W156" s="4">
        <v>0</v>
      </c>
    </row>
    <row r="157" spans="1:23" ht="11.25" customHeight="1" x14ac:dyDescent="0.25">
      <c r="A157" s="4" t="s">
        <v>55</v>
      </c>
      <c r="B157" s="4" t="s">
        <v>35</v>
      </c>
      <c r="C157" s="4" t="s">
        <v>39</v>
      </c>
      <c r="D157" s="4" t="s">
        <v>34</v>
      </c>
      <c r="E157" s="4" t="s">
        <v>25</v>
      </c>
      <c r="F157" s="4" t="s">
        <v>56</v>
      </c>
      <c r="G157" s="4" t="s">
        <v>25</v>
      </c>
      <c r="H157" s="4" t="s">
        <v>37</v>
      </c>
      <c r="I157" s="5">
        <v>44743</v>
      </c>
      <c r="J157" s="6">
        <v>0</v>
      </c>
      <c r="K157" s="6">
        <v>0</v>
      </c>
      <c r="L157" s="6">
        <v>210.67</v>
      </c>
      <c r="M157" s="6">
        <v>105.566737</v>
      </c>
      <c r="N157" s="6">
        <v>0</v>
      </c>
      <c r="O157" s="6">
        <v>0</v>
      </c>
      <c r="P157" s="6">
        <v>0</v>
      </c>
      <c r="Q157" s="4" t="s">
        <v>57</v>
      </c>
      <c r="R157" s="4">
        <v>0</v>
      </c>
      <c r="S157" s="4" t="s">
        <v>165</v>
      </c>
      <c r="U157" s="4">
        <v>0</v>
      </c>
      <c r="V157" s="4">
        <v>5</v>
      </c>
      <c r="W157" s="4">
        <v>0</v>
      </c>
    </row>
    <row r="158" spans="1:23" ht="11.25" customHeight="1" x14ac:dyDescent="0.25">
      <c r="A158" s="4" t="s">
        <v>21</v>
      </c>
      <c r="B158" s="4" t="s">
        <v>35</v>
      </c>
      <c r="C158" s="4" t="s">
        <v>39</v>
      </c>
      <c r="D158" s="4" t="s">
        <v>34</v>
      </c>
      <c r="E158" s="4" t="s">
        <v>25</v>
      </c>
      <c r="F158" s="4" t="s">
        <v>25</v>
      </c>
      <c r="G158" s="4" t="s">
        <v>25</v>
      </c>
      <c r="H158" s="4" t="s">
        <v>38</v>
      </c>
      <c r="I158" s="5">
        <v>44409</v>
      </c>
      <c r="J158" s="6">
        <v>0</v>
      </c>
      <c r="K158" s="6">
        <v>0</v>
      </c>
      <c r="L158" s="6">
        <v>3639.2730000000001</v>
      </c>
      <c r="M158" s="6">
        <v>3639.2730000000001</v>
      </c>
      <c r="N158" s="6">
        <v>3639.2730000000001</v>
      </c>
      <c r="O158" s="6">
        <v>3639.2730000000001</v>
      </c>
      <c r="P158" s="6">
        <v>0</v>
      </c>
      <c r="Q158" s="4" t="s">
        <v>26</v>
      </c>
      <c r="R158" s="4">
        <v>0</v>
      </c>
      <c r="S158" s="4" t="s">
        <v>130</v>
      </c>
      <c r="T158" s="4" t="s">
        <v>299</v>
      </c>
      <c r="U158" s="4">
        <v>0</v>
      </c>
      <c r="V158" s="4">
        <v>18</v>
      </c>
      <c r="W158" s="4">
        <v>73</v>
      </c>
    </row>
    <row r="159" spans="1:23" ht="11.25" customHeight="1" x14ac:dyDescent="0.25">
      <c r="A159" s="4" t="s">
        <v>28</v>
      </c>
      <c r="B159" s="4" t="s">
        <v>35</v>
      </c>
      <c r="C159" s="4" t="s">
        <v>39</v>
      </c>
      <c r="D159" s="4" t="s">
        <v>34</v>
      </c>
      <c r="E159" s="4" t="s">
        <v>25</v>
      </c>
      <c r="F159" s="4" t="s">
        <v>25</v>
      </c>
      <c r="G159" s="4" t="s">
        <v>25</v>
      </c>
      <c r="H159" s="4" t="s">
        <v>38</v>
      </c>
      <c r="I159" s="5">
        <v>44409</v>
      </c>
      <c r="J159" s="6">
        <v>0</v>
      </c>
      <c r="K159" s="6">
        <v>0</v>
      </c>
      <c r="L159" s="6">
        <v>236.98699999999999</v>
      </c>
      <c r="M159" s="6">
        <v>236.98699999999999</v>
      </c>
      <c r="N159" s="6">
        <v>236.98699999999999</v>
      </c>
      <c r="O159" s="6">
        <v>236.98699999999999</v>
      </c>
      <c r="P159" s="6">
        <v>0</v>
      </c>
      <c r="Q159" s="4" t="s">
        <v>26</v>
      </c>
      <c r="R159" s="4">
        <v>0</v>
      </c>
      <c r="S159" s="4" t="s">
        <v>130</v>
      </c>
      <c r="T159" s="4" t="s">
        <v>299</v>
      </c>
      <c r="U159" s="4">
        <v>0</v>
      </c>
      <c r="V159" s="4">
        <v>18</v>
      </c>
      <c r="W159" s="4">
        <v>73</v>
      </c>
    </row>
    <row r="160" spans="1:23" ht="11.25" customHeight="1" x14ac:dyDescent="0.25">
      <c r="A160" s="4" t="s">
        <v>21</v>
      </c>
      <c r="B160" s="4" t="s">
        <v>35</v>
      </c>
      <c r="C160" s="4" t="s">
        <v>39</v>
      </c>
      <c r="D160" s="4" t="s">
        <v>34</v>
      </c>
      <c r="E160" s="4" t="s">
        <v>25</v>
      </c>
      <c r="F160" s="4" t="s">
        <v>25</v>
      </c>
      <c r="G160" s="4" t="s">
        <v>25</v>
      </c>
      <c r="H160" s="4" t="s">
        <v>38</v>
      </c>
      <c r="I160" s="5">
        <v>44440</v>
      </c>
      <c r="J160" s="6">
        <v>0</v>
      </c>
      <c r="K160" s="6">
        <v>0</v>
      </c>
      <c r="L160" s="6">
        <v>3538.067</v>
      </c>
      <c r="M160" s="6">
        <v>3538.067</v>
      </c>
      <c r="N160" s="6">
        <v>3538.067</v>
      </c>
      <c r="O160" s="6">
        <v>3538.067</v>
      </c>
      <c r="P160" s="6">
        <v>0</v>
      </c>
      <c r="Q160" s="4" t="s">
        <v>26</v>
      </c>
      <c r="R160" s="4">
        <v>0</v>
      </c>
      <c r="S160" s="4" t="s">
        <v>131</v>
      </c>
      <c r="T160" s="4" t="s">
        <v>300</v>
      </c>
      <c r="U160" s="4">
        <v>0</v>
      </c>
      <c r="V160" s="4">
        <v>18</v>
      </c>
      <c r="W160" s="4">
        <v>73</v>
      </c>
    </row>
    <row r="161" spans="1:23" ht="11.25" customHeight="1" x14ac:dyDescent="0.25">
      <c r="A161" s="4" t="s">
        <v>28</v>
      </c>
      <c r="B161" s="4" t="s">
        <v>35</v>
      </c>
      <c r="C161" s="4" t="s">
        <v>39</v>
      </c>
      <c r="D161" s="4" t="s">
        <v>34</v>
      </c>
      <c r="E161" s="4" t="s">
        <v>25</v>
      </c>
      <c r="F161" s="4" t="s">
        <v>25</v>
      </c>
      <c r="G161" s="4" t="s">
        <v>25</v>
      </c>
      <c r="H161" s="4" t="s">
        <v>38</v>
      </c>
      <c r="I161" s="5">
        <v>44440</v>
      </c>
      <c r="J161" s="6">
        <v>0</v>
      </c>
      <c r="K161" s="6">
        <v>0</v>
      </c>
      <c r="L161" s="6">
        <v>153.905</v>
      </c>
      <c r="M161" s="6">
        <v>153.905</v>
      </c>
      <c r="N161" s="6">
        <v>153.905</v>
      </c>
      <c r="O161" s="6">
        <v>153.905</v>
      </c>
      <c r="P161" s="6">
        <v>0</v>
      </c>
      <c r="Q161" s="4" t="s">
        <v>26</v>
      </c>
      <c r="R161" s="4">
        <v>0</v>
      </c>
      <c r="S161" s="4" t="s">
        <v>131</v>
      </c>
      <c r="T161" s="4" t="s">
        <v>300</v>
      </c>
      <c r="U161" s="4">
        <v>0</v>
      </c>
      <c r="V161" s="4">
        <v>18</v>
      </c>
      <c r="W161" s="4">
        <v>73</v>
      </c>
    </row>
    <row r="162" spans="1:23" ht="11.25" customHeight="1" x14ac:dyDescent="0.25">
      <c r="A162" s="4" t="s">
        <v>21</v>
      </c>
      <c r="B162" s="4" t="s">
        <v>35</v>
      </c>
      <c r="C162" s="4" t="s">
        <v>39</v>
      </c>
      <c r="D162" s="4" t="s">
        <v>34</v>
      </c>
      <c r="E162" s="4" t="s">
        <v>25</v>
      </c>
      <c r="F162" s="4" t="s">
        <v>25</v>
      </c>
      <c r="G162" s="4" t="s">
        <v>25</v>
      </c>
      <c r="H162" s="4" t="s">
        <v>38</v>
      </c>
      <c r="I162" s="5">
        <v>44470</v>
      </c>
      <c r="J162" s="6">
        <v>0</v>
      </c>
      <c r="K162" s="6">
        <v>0</v>
      </c>
      <c r="L162" s="6">
        <v>3582.9960000000001</v>
      </c>
      <c r="M162" s="6">
        <v>3582.9960000000001</v>
      </c>
      <c r="N162" s="6">
        <v>3582.9960000000001</v>
      </c>
      <c r="O162" s="6">
        <v>3582.9960000000001</v>
      </c>
      <c r="P162" s="6">
        <v>0</v>
      </c>
      <c r="Q162" s="4" t="s">
        <v>26</v>
      </c>
      <c r="R162" s="4">
        <v>0</v>
      </c>
      <c r="S162" s="4" t="s">
        <v>132</v>
      </c>
      <c r="T162" s="4" t="s">
        <v>301</v>
      </c>
      <c r="U162" s="4">
        <v>0</v>
      </c>
      <c r="V162" s="4">
        <v>18</v>
      </c>
      <c r="W162" s="4">
        <v>73</v>
      </c>
    </row>
    <row r="163" spans="1:23" ht="11.25" customHeight="1" x14ac:dyDescent="0.25">
      <c r="A163" s="4" t="s">
        <v>28</v>
      </c>
      <c r="B163" s="4" t="s">
        <v>35</v>
      </c>
      <c r="C163" s="4" t="s">
        <v>39</v>
      </c>
      <c r="D163" s="4" t="s">
        <v>34</v>
      </c>
      <c r="E163" s="4" t="s">
        <v>25</v>
      </c>
      <c r="F163" s="4" t="s">
        <v>25</v>
      </c>
      <c r="G163" s="4" t="s">
        <v>25</v>
      </c>
      <c r="H163" s="4" t="s">
        <v>38</v>
      </c>
      <c r="I163" s="5">
        <v>44470</v>
      </c>
      <c r="J163" s="6">
        <v>0</v>
      </c>
      <c r="K163" s="6">
        <v>0</v>
      </c>
      <c r="L163" s="6">
        <v>172.417</v>
      </c>
      <c r="M163" s="6">
        <v>172.417</v>
      </c>
      <c r="N163" s="6">
        <v>172.417</v>
      </c>
      <c r="O163" s="6">
        <v>172.417</v>
      </c>
      <c r="P163" s="6">
        <v>0</v>
      </c>
      <c r="Q163" s="4" t="s">
        <v>26</v>
      </c>
      <c r="R163" s="4">
        <v>0</v>
      </c>
      <c r="S163" s="4" t="s">
        <v>132</v>
      </c>
      <c r="T163" s="4" t="s">
        <v>301</v>
      </c>
      <c r="U163" s="4">
        <v>0</v>
      </c>
      <c r="V163" s="4">
        <v>18</v>
      </c>
      <c r="W163" s="4">
        <v>73</v>
      </c>
    </row>
    <row r="164" spans="1:23" ht="11.25" customHeight="1" x14ac:dyDescent="0.25">
      <c r="A164" s="4" t="s">
        <v>21</v>
      </c>
      <c r="B164" s="4" t="s">
        <v>35</v>
      </c>
      <c r="C164" s="4" t="s">
        <v>39</v>
      </c>
      <c r="D164" s="4" t="s">
        <v>34</v>
      </c>
      <c r="E164" s="4" t="s">
        <v>25</v>
      </c>
      <c r="F164" s="4" t="s">
        <v>25</v>
      </c>
      <c r="G164" s="4" t="s">
        <v>25</v>
      </c>
      <c r="H164" s="4" t="s">
        <v>38</v>
      </c>
      <c r="I164" s="5">
        <v>44501</v>
      </c>
      <c r="J164" s="6">
        <v>0</v>
      </c>
      <c r="K164" s="6">
        <v>0</v>
      </c>
      <c r="L164" s="6">
        <v>3691.752</v>
      </c>
      <c r="M164" s="6">
        <v>3691.752</v>
      </c>
      <c r="N164" s="6">
        <v>3691.752</v>
      </c>
      <c r="O164" s="6">
        <v>3691.752</v>
      </c>
      <c r="P164" s="6">
        <v>0</v>
      </c>
      <c r="Q164" s="4" t="s">
        <v>26</v>
      </c>
      <c r="R164" s="4">
        <v>0</v>
      </c>
      <c r="S164" s="4" t="s">
        <v>133</v>
      </c>
      <c r="T164" s="4" t="s">
        <v>302</v>
      </c>
      <c r="U164" s="4">
        <v>0</v>
      </c>
      <c r="V164" s="4">
        <v>18</v>
      </c>
      <c r="W164" s="4">
        <v>73</v>
      </c>
    </row>
    <row r="165" spans="1:23" ht="11.25" customHeight="1" x14ac:dyDescent="0.25">
      <c r="A165" s="4" t="s">
        <v>28</v>
      </c>
      <c r="B165" s="4" t="s">
        <v>35</v>
      </c>
      <c r="C165" s="4" t="s">
        <v>39</v>
      </c>
      <c r="D165" s="4" t="s">
        <v>34</v>
      </c>
      <c r="E165" s="4" t="s">
        <v>25</v>
      </c>
      <c r="F165" s="4" t="s">
        <v>25</v>
      </c>
      <c r="G165" s="4" t="s">
        <v>25</v>
      </c>
      <c r="H165" s="4" t="s">
        <v>38</v>
      </c>
      <c r="I165" s="5">
        <v>44501</v>
      </c>
      <c r="J165" s="6">
        <v>0</v>
      </c>
      <c r="K165" s="6">
        <v>0</v>
      </c>
      <c r="L165" s="6">
        <v>222.749</v>
      </c>
      <c r="M165" s="6">
        <v>222.749</v>
      </c>
      <c r="N165" s="6">
        <v>222.749</v>
      </c>
      <c r="O165" s="6">
        <v>222.749</v>
      </c>
      <c r="P165" s="6">
        <v>0</v>
      </c>
      <c r="Q165" s="4" t="s">
        <v>26</v>
      </c>
      <c r="R165" s="4">
        <v>0</v>
      </c>
      <c r="S165" s="4" t="s">
        <v>133</v>
      </c>
      <c r="T165" s="4" t="s">
        <v>302</v>
      </c>
      <c r="U165" s="4">
        <v>0</v>
      </c>
      <c r="V165" s="4">
        <v>18</v>
      </c>
      <c r="W165" s="4">
        <v>73</v>
      </c>
    </row>
    <row r="166" spans="1:23" ht="11.25" customHeight="1" x14ac:dyDescent="0.25">
      <c r="A166" s="4" t="s">
        <v>21</v>
      </c>
      <c r="B166" s="4" t="s">
        <v>35</v>
      </c>
      <c r="C166" s="4" t="s">
        <v>39</v>
      </c>
      <c r="D166" s="4" t="s">
        <v>34</v>
      </c>
      <c r="E166" s="4" t="s">
        <v>25</v>
      </c>
      <c r="F166" s="4" t="s">
        <v>25</v>
      </c>
      <c r="G166" s="4" t="s">
        <v>25</v>
      </c>
      <c r="H166" s="4" t="s">
        <v>38</v>
      </c>
      <c r="I166" s="5">
        <v>44531</v>
      </c>
      <c r="J166" s="6">
        <v>0</v>
      </c>
      <c r="K166" s="6">
        <v>0</v>
      </c>
      <c r="L166" s="6">
        <v>3388.7339999999999</v>
      </c>
      <c r="M166" s="6">
        <v>3388.7339999999999</v>
      </c>
      <c r="N166" s="6">
        <v>3388.7339999999999</v>
      </c>
      <c r="O166" s="6">
        <v>3388.7339999999999</v>
      </c>
      <c r="P166" s="6">
        <v>0</v>
      </c>
      <c r="Q166" s="4" t="s">
        <v>26</v>
      </c>
      <c r="R166" s="4">
        <v>0</v>
      </c>
      <c r="S166" s="4" t="s">
        <v>134</v>
      </c>
      <c r="T166" s="4" t="s">
        <v>303</v>
      </c>
      <c r="U166" s="4">
        <v>0</v>
      </c>
      <c r="V166" s="4">
        <v>18</v>
      </c>
      <c r="W166" s="4">
        <v>73</v>
      </c>
    </row>
    <row r="167" spans="1:23" ht="11.25" customHeight="1" x14ac:dyDescent="0.25">
      <c r="A167" s="4" t="s">
        <v>28</v>
      </c>
      <c r="B167" s="4" t="s">
        <v>35</v>
      </c>
      <c r="C167" s="4" t="s">
        <v>39</v>
      </c>
      <c r="D167" s="4" t="s">
        <v>34</v>
      </c>
      <c r="E167" s="4" t="s">
        <v>25</v>
      </c>
      <c r="F167" s="4" t="s">
        <v>25</v>
      </c>
      <c r="G167" s="4" t="s">
        <v>25</v>
      </c>
      <c r="H167" s="4" t="s">
        <v>38</v>
      </c>
      <c r="I167" s="5">
        <v>44531</v>
      </c>
      <c r="J167" s="6">
        <v>0</v>
      </c>
      <c r="K167" s="6">
        <v>0</v>
      </c>
      <c r="L167" s="6">
        <v>194.05600000000001</v>
      </c>
      <c r="M167" s="6">
        <v>194.05600000000001</v>
      </c>
      <c r="N167" s="6">
        <v>194.05600000000001</v>
      </c>
      <c r="O167" s="6">
        <v>194.05600000000001</v>
      </c>
      <c r="P167" s="6">
        <v>0</v>
      </c>
      <c r="Q167" s="4" t="s">
        <v>26</v>
      </c>
      <c r="R167" s="4">
        <v>0</v>
      </c>
      <c r="S167" s="4" t="s">
        <v>134</v>
      </c>
      <c r="T167" s="4" t="s">
        <v>303</v>
      </c>
      <c r="U167" s="4">
        <v>0</v>
      </c>
      <c r="V167" s="4">
        <v>18</v>
      </c>
      <c r="W167" s="4">
        <v>73</v>
      </c>
    </row>
    <row r="168" spans="1:23" ht="11.25" customHeight="1" x14ac:dyDescent="0.25">
      <c r="A168" s="4" t="s">
        <v>21</v>
      </c>
      <c r="B168" s="4" t="s">
        <v>35</v>
      </c>
      <c r="C168" s="4" t="s">
        <v>39</v>
      </c>
      <c r="D168" s="4" t="s">
        <v>34</v>
      </c>
      <c r="E168" s="4" t="s">
        <v>25</v>
      </c>
      <c r="F168" s="4" t="s">
        <v>25</v>
      </c>
      <c r="G168" s="4" t="s">
        <v>25</v>
      </c>
      <c r="H168" s="4" t="s">
        <v>38</v>
      </c>
      <c r="I168" s="5">
        <v>44562</v>
      </c>
      <c r="J168" s="6">
        <v>0</v>
      </c>
      <c r="K168" s="6">
        <v>0</v>
      </c>
      <c r="L168" s="6">
        <v>3577.1190000000001</v>
      </c>
      <c r="M168" s="6">
        <v>3577.1190000000001</v>
      </c>
      <c r="N168" s="6">
        <v>3577.1190000000001</v>
      </c>
      <c r="O168" s="6">
        <v>3577.1190000000001</v>
      </c>
      <c r="P168" s="6">
        <v>0</v>
      </c>
      <c r="Q168" s="4" t="s">
        <v>26</v>
      </c>
      <c r="R168" s="4">
        <v>0</v>
      </c>
      <c r="S168" s="4" t="s">
        <v>135</v>
      </c>
      <c r="T168" s="4" t="s">
        <v>304</v>
      </c>
      <c r="U168" s="4">
        <v>0</v>
      </c>
      <c r="V168" s="4">
        <v>18</v>
      </c>
      <c r="W168" s="4">
        <v>73</v>
      </c>
    </row>
    <row r="169" spans="1:23" ht="11.25" customHeight="1" x14ac:dyDescent="0.25">
      <c r="A169" s="4" t="s">
        <v>28</v>
      </c>
      <c r="B169" s="4" t="s">
        <v>35</v>
      </c>
      <c r="C169" s="4" t="s">
        <v>39</v>
      </c>
      <c r="D169" s="4" t="s">
        <v>34</v>
      </c>
      <c r="E169" s="4" t="s">
        <v>25</v>
      </c>
      <c r="F169" s="4" t="s">
        <v>25</v>
      </c>
      <c r="G169" s="4" t="s">
        <v>25</v>
      </c>
      <c r="H169" s="4" t="s">
        <v>38</v>
      </c>
      <c r="I169" s="5">
        <v>44562</v>
      </c>
      <c r="J169" s="6">
        <v>0</v>
      </c>
      <c r="K169" s="6">
        <v>0</v>
      </c>
      <c r="L169" s="6">
        <v>143.52600000000001</v>
      </c>
      <c r="M169" s="6">
        <v>143.52600000000001</v>
      </c>
      <c r="N169" s="6">
        <v>143.52600000000001</v>
      </c>
      <c r="O169" s="6">
        <v>143.52600000000001</v>
      </c>
      <c r="P169" s="6">
        <v>0</v>
      </c>
      <c r="Q169" s="4" t="s">
        <v>26</v>
      </c>
      <c r="R169" s="4">
        <v>0</v>
      </c>
      <c r="S169" s="4" t="s">
        <v>135</v>
      </c>
      <c r="T169" s="4" t="s">
        <v>304</v>
      </c>
      <c r="U169" s="4">
        <v>0</v>
      </c>
      <c r="V169" s="4">
        <v>18</v>
      </c>
      <c r="W169" s="4">
        <v>73</v>
      </c>
    </row>
    <row r="170" spans="1:23" ht="11.25" customHeight="1" x14ac:dyDescent="0.25">
      <c r="A170" s="4" t="s">
        <v>21</v>
      </c>
      <c r="B170" s="4" t="s">
        <v>35</v>
      </c>
      <c r="C170" s="4" t="s">
        <v>39</v>
      </c>
      <c r="D170" s="4" t="s">
        <v>34</v>
      </c>
      <c r="E170" s="4" t="s">
        <v>25</v>
      </c>
      <c r="F170" s="4" t="s">
        <v>25</v>
      </c>
      <c r="G170" s="4" t="s">
        <v>25</v>
      </c>
      <c r="H170" s="4" t="s">
        <v>38</v>
      </c>
      <c r="I170" s="5">
        <v>44593</v>
      </c>
      <c r="J170" s="6">
        <v>0</v>
      </c>
      <c r="K170" s="6">
        <v>0</v>
      </c>
      <c r="L170" s="6">
        <v>3515.7339999999999</v>
      </c>
      <c r="M170" s="6">
        <v>3515.7339999999999</v>
      </c>
      <c r="N170" s="6">
        <v>3515.7339999999999</v>
      </c>
      <c r="O170" s="6">
        <v>3515.7339999999999</v>
      </c>
      <c r="P170" s="6">
        <v>0</v>
      </c>
      <c r="Q170" s="4" t="s">
        <v>26</v>
      </c>
      <c r="R170" s="4">
        <v>0</v>
      </c>
      <c r="S170" s="4" t="s">
        <v>136</v>
      </c>
      <c r="T170" s="4" t="s">
        <v>305</v>
      </c>
      <c r="U170" s="4">
        <v>0</v>
      </c>
      <c r="V170" s="4">
        <v>18</v>
      </c>
      <c r="W170" s="4">
        <v>73</v>
      </c>
    </row>
    <row r="171" spans="1:23" ht="11.25" customHeight="1" x14ac:dyDescent="0.25">
      <c r="A171" s="4" t="s">
        <v>28</v>
      </c>
      <c r="B171" s="4" t="s">
        <v>35</v>
      </c>
      <c r="C171" s="4" t="s">
        <v>39</v>
      </c>
      <c r="D171" s="4" t="s">
        <v>34</v>
      </c>
      <c r="E171" s="4" t="s">
        <v>25</v>
      </c>
      <c r="F171" s="4" t="s">
        <v>25</v>
      </c>
      <c r="G171" s="4" t="s">
        <v>25</v>
      </c>
      <c r="H171" s="4" t="s">
        <v>38</v>
      </c>
      <c r="I171" s="5">
        <v>44593</v>
      </c>
      <c r="J171" s="6">
        <v>0</v>
      </c>
      <c r="K171" s="6">
        <v>0</v>
      </c>
      <c r="L171" s="6">
        <v>145.63300000000001</v>
      </c>
      <c r="M171" s="6">
        <v>145.63300000000001</v>
      </c>
      <c r="N171" s="6">
        <v>145.63300000000001</v>
      </c>
      <c r="O171" s="6">
        <v>145.63300000000001</v>
      </c>
      <c r="P171" s="6">
        <v>0</v>
      </c>
      <c r="Q171" s="4" t="s">
        <v>26</v>
      </c>
      <c r="R171" s="4">
        <v>0</v>
      </c>
      <c r="S171" s="4" t="s">
        <v>136</v>
      </c>
      <c r="T171" s="4" t="s">
        <v>305</v>
      </c>
      <c r="U171" s="4">
        <v>0</v>
      </c>
      <c r="V171" s="4">
        <v>18</v>
      </c>
      <c r="W171" s="4">
        <v>73</v>
      </c>
    </row>
    <row r="172" spans="1:23" ht="11.25" customHeight="1" x14ac:dyDescent="0.25">
      <c r="A172" s="4" t="s">
        <v>21</v>
      </c>
      <c r="B172" s="4" t="s">
        <v>35</v>
      </c>
      <c r="C172" s="4" t="s">
        <v>39</v>
      </c>
      <c r="D172" s="4" t="s">
        <v>34</v>
      </c>
      <c r="E172" s="4" t="s">
        <v>25</v>
      </c>
      <c r="F172" s="4" t="s">
        <v>25</v>
      </c>
      <c r="G172" s="4" t="s">
        <v>25</v>
      </c>
      <c r="H172" s="4" t="s">
        <v>38</v>
      </c>
      <c r="I172" s="5">
        <v>44621</v>
      </c>
      <c r="J172" s="6">
        <v>0</v>
      </c>
      <c r="K172" s="6">
        <v>0</v>
      </c>
      <c r="L172" s="6">
        <v>3937.855</v>
      </c>
      <c r="M172" s="6">
        <v>3937.855</v>
      </c>
      <c r="N172" s="6">
        <v>3937.855</v>
      </c>
      <c r="O172" s="6">
        <v>3937.855</v>
      </c>
      <c r="P172" s="6">
        <v>0</v>
      </c>
      <c r="Q172" s="4" t="s">
        <v>26</v>
      </c>
      <c r="R172" s="4">
        <v>0</v>
      </c>
      <c r="S172" s="4" t="s">
        <v>137</v>
      </c>
      <c r="T172" s="4" t="s">
        <v>306</v>
      </c>
      <c r="U172" s="4">
        <v>0</v>
      </c>
      <c r="V172" s="4">
        <v>18</v>
      </c>
      <c r="W172" s="4">
        <v>73</v>
      </c>
    </row>
    <row r="173" spans="1:23" ht="11.25" customHeight="1" x14ac:dyDescent="0.25">
      <c r="A173" s="4" t="s">
        <v>28</v>
      </c>
      <c r="B173" s="4" t="s">
        <v>35</v>
      </c>
      <c r="C173" s="4" t="s">
        <v>39</v>
      </c>
      <c r="D173" s="4" t="s">
        <v>34</v>
      </c>
      <c r="E173" s="4" t="s">
        <v>25</v>
      </c>
      <c r="F173" s="4" t="s">
        <v>25</v>
      </c>
      <c r="G173" s="4" t="s">
        <v>25</v>
      </c>
      <c r="H173" s="4" t="s">
        <v>38</v>
      </c>
      <c r="I173" s="5">
        <v>44621</v>
      </c>
      <c r="J173" s="6">
        <v>0</v>
      </c>
      <c r="K173" s="6">
        <v>0</v>
      </c>
      <c r="L173" s="6">
        <v>177.273</v>
      </c>
      <c r="M173" s="6">
        <v>177.273</v>
      </c>
      <c r="N173" s="6">
        <v>177.273</v>
      </c>
      <c r="O173" s="6">
        <v>177.273</v>
      </c>
      <c r="P173" s="6">
        <v>0</v>
      </c>
      <c r="Q173" s="4" t="s">
        <v>26</v>
      </c>
      <c r="R173" s="4">
        <v>0</v>
      </c>
      <c r="S173" s="4" t="s">
        <v>137</v>
      </c>
      <c r="T173" s="4" t="s">
        <v>306</v>
      </c>
      <c r="U173" s="4">
        <v>0</v>
      </c>
      <c r="V173" s="4">
        <v>18</v>
      </c>
      <c r="W173" s="4">
        <v>73</v>
      </c>
    </row>
    <row r="174" spans="1:23" ht="11.25" customHeight="1" x14ac:dyDescent="0.25">
      <c r="A174" s="4" t="s">
        <v>21</v>
      </c>
      <c r="B174" s="4" t="s">
        <v>35</v>
      </c>
      <c r="C174" s="4" t="s">
        <v>39</v>
      </c>
      <c r="D174" s="4" t="s">
        <v>34</v>
      </c>
      <c r="E174" s="4" t="s">
        <v>25</v>
      </c>
      <c r="F174" s="4" t="s">
        <v>25</v>
      </c>
      <c r="G174" s="4" t="s">
        <v>25</v>
      </c>
      <c r="H174" s="4" t="s">
        <v>38</v>
      </c>
      <c r="I174" s="5">
        <v>44652</v>
      </c>
      <c r="J174" s="6">
        <v>0</v>
      </c>
      <c r="K174" s="6">
        <v>0</v>
      </c>
      <c r="L174" s="6">
        <v>3543.9470000000001</v>
      </c>
      <c r="M174" s="6">
        <v>3543.9470000000001</v>
      </c>
      <c r="N174" s="6">
        <v>3543.9470000000001</v>
      </c>
      <c r="O174" s="6">
        <v>3543.9470000000001</v>
      </c>
      <c r="P174" s="6">
        <v>0</v>
      </c>
      <c r="Q174" s="4" t="s">
        <v>26</v>
      </c>
      <c r="R174" s="4">
        <v>0</v>
      </c>
      <c r="S174" s="4" t="s">
        <v>138</v>
      </c>
      <c r="T174" s="4" t="s">
        <v>307</v>
      </c>
      <c r="U174" s="4">
        <v>0</v>
      </c>
      <c r="V174" s="4">
        <v>18</v>
      </c>
      <c r="W174" s="4">
        <v>73</v>
      </c>
    </row>
    <row r="175" spans="1:23" ht="11.25" customHeight="1" x14ac:dyDescent="0.25">
      <c r="A175" s="4" t="s">
        <v>28</v>
      </c>
      <c r="B175" s="4" t="s">
        <v>35</v>
      </c>
      <c r="C175" s="4" t="s">
        <v>39</v>
      </c>
      <c r="D175" s="4" t="s">
        <v>34</v>
      </c>
      <c r="E175" s="4" t="s">
        <v>25</v>
      </c>
      <c r="F175" s="4" t="s">
        <v>25</v>
      </c>
      <c r="G175" s="4" t="s">
        <v>25</v>
      </c>
      <c r="H175" s="4" t="s">
        <v>38</v>
      </c>
      <c r="I175" s="5">
        <v>44652</v>
      </c>
      <c r="J175" s="6">
        <v>0</v>
      </c>
      <c r="K175" s="6">
        <v>0</v>
      </c>
      <c r="L175" s="6">
        <v>175.01900000000001</v>
      </c>
      <c r="M175" s="6">
        <v>175.01900000000001</v>
      </c>
      <c r="N175" s="6">
        <v>175.01900000000001</v>
      </c>
      <c r="O175" s="6">
        <v>175.01900000000001</v>
      </c>
      <c r="P175" s="6">
        <v>0</v>
      </c>
      <c r="Q175" s="4" t="s">
        <v>26</v>
      </c>
      <c r="R175" s="4">
        <v>0</v>
      </c>
      <c r="S175" s="4" t="s">
        <v>138</v>
      </c>
      <c r="T175" s="4" t="s">
        <v>307</v>
      </c>
      <c r="U175" s="4">
        <v>0</v>
      </c>
      <c r="V175" s="4">
        <v>18</v>
      </c>
      <c r="W175" s="4">
        <v>73</v>
      </c>
    </row>
    <row r="176" spans="1:23" ht="11.25" customHeight="1" x14ac:dyDescent="0.25">
      <c r="A176" s="4" t="s">
        <v>21</v>
      </c>
      <c r="B176" s="4" t="s">
        <v>35</v>
      </c>
      <c r="C176" s="4" t="s">
        <v>39</v>
      </c>
      <c r="D176" s="4" t="s">
        <v>34</v>
      </c>
      <c r="E176" s="4" t="s">
        <v>25</v>
      </c>
      <c r="F176" s="4" t="s">
        <v>25</v>
      </c>
      <c r="G176" s="4" t="s">
        <v>25</v>
      </c>
      <c r="H176" s="4" t="s">
        <v>38</v>
      </c>
      <c r="I176" s="5">
        <v>44682</v>
      </c>
      <c r="J176" s="6">
        <v>0</v>
      </c>
      <c r="K176" s="6">
        <v>0</v>
      </c>
      <c r="L176" s="6">
        <v>3756.9810000000002</v>
      </c>
      <c r="M176" s="6">
        <v>3756.9810000000002</v>
      </c>
      <c r="N176" s="6">
        <v>3756.9810000000002</v>
      </c>
      <c r="O176" s="6">
        <v>3756.9810000000002</v>
      </c>
      <c r="P176" s="6">
        <v>0</v>
      </c>
      <c r="Q176" s="4" t="s">
        <v>26</v>
      </c>
      <c r="R176" s="4">
        <v>0</v>
      </c>
      <c r="S176" s="4" t="s">
        <v>139</v>
      </c>
      <c r="T176" s="4" t="s">
        <v>308</v>
      </c>
      <c r="U176" s="4">
        <v>0</v>
      </c>
      <c r="V176" s="4">
        <v>18</v>
      </c>
      <c r="W176" s="4">
        <v>73</v>
      </c>
    </row>
    <row r="177" spans="1:23" ht="11.25" customHeight="1" x14ac:dyDescent="0.25">
      <c r="A177" s="4" t="s">
        <v>28</v>
      </c>
      <c r="B177" s="4" t="s">
        <v>35</v>
      </c>
      <c r="C177" s="4" t="s">
        <v>39</v>
      </c>
      <c r="D177" s="4" t="s">
        <v>34</v>
      </c>
      <c r="E177" s="4" t="s">
        <v>25</v>
      </c>
      <c r="F177" s="4" t="s">
        <v>25</v>
      </c>
      <c r="G177" s="4" t="s">
        <v>25</v>
      </c>
      <c r="H177" s="4" t="s">
        <v>38</v>
      </c>
      <c r="I177" s="5">
        <v>44682</v>
      </c>
      <c r="J177" s="6">
        <v>0</v>
      </c>
      <c r="K177" s="6">
        <v>0</v>
      </c>
      <c r="L177" s="6">
        <v>205.99100000000001</v>
      </c>
      <c r="M177" s="6">
        <v>205.99100000000001</v>
      </c>
      <c r="N177" s="6">
        <v>205.99100000000001</v>
      </c>
      <c r="O177" s="6">
        <v>205.99100000000001</v>
      </c>
      <c r="P177" s="6">
        <v>0</v>
      </c>
      <c r="Q177" s="4" t="s">
        <v>26</v>
      </c>
      <c r="R177" s="4">
        <v>0</v>
      </c>
      <c r="S177" s="4" t="s">
        <v>139</v>
      </c>
      <c r="T177" s="4" t="s">
        <v>308</v>
      </c>
      <c r="U177" s="4">
        <v>0</v>
      </c>
      <c r="V177" s="4">
        <v>18</v>
      </c>
      <c r="W177" s="4">
        <v>73</v>
      </c>
    </row>
    <row r="178" spans="1:23" ht="11.25" customHeight="1" x14ac:dyDescent="0.25">
      <c r="A178" s="4" t="s">
        <v>21</v>
      </c>
      <c r="B178" s="4" t="s">
        <v>35</v>
      </c>
      <c r="C178" s="4" t="s">
        <v>39</v>
      </c>
      <c r="D178" s="4" t="s">
        <v>34</v>
      </c>
      <c r="E178" s="4" t="s">
        <v>25</v>
      </c>
      <c r="F178" s="4" t="s">
        <v>25</v>
      </c>
      <c r="G178" s="4" t="s">
        <v>25</v>
      </c>
      <c r="H178" s="4" t="s">
        <v>38</v>
      </c>
      <c r="I178" s="5">
        <v>44713</v>
      </c>
      <c r="J178" s="6">
        <v>0</v>
      </c>
      <c r="K178" s="6">
        <v>0</v>
      </c>
      <c r="L178" s="6">
        <v>3667.9969999999998</v>
      </c>
      <c r="M178" s="6">
        <v>3667.9969999999998</v>
      </c>
      <c r="N178" s="6">
        <v>3667.9969999999998</v>
      </c>
      <c r="O178" s="6">
        <v>3667.9969999999998</v>
      </c>
      <c r="P178" s="6">
        <v>0</v>
      </c>
      <c r="Q178" s="4" t="s">
        <v>26</v>
      </c>
      <c r="R178" s="4">
        <v>0</v>
      </c>
      <c r="S178" s="4" t="s">
        <v>140</v>
      </c>
      <c r="T178" s="4" t="s">
        <v>309</v>
      </c>
      <c r="U178" s="4">
        <v>0</v>
      </c>
      <c r="V178" s="4">
        <v>18</v>
      </c>
      <c r="W178" s="4">
        <v>73</v>
      </c>
    </row>
    <row r="179" spans="1:23" ht="11.25" customHeight="1" x14ac:dyDescent="0.25">
      <c r="A179" s="4" t="s">
        <v>28</v>
      </c>
      <c r="B179" s="4" t="s">
        <v>35</v>
      </c>
      <c r="C179" s="4" t="s">
        <v>39</v>
      </c>
      <c r="D179" s="4" t="s">
        <v>34</v>
      </c>
      <c r="E179" s="4" t="s">
        <v>25</v>
      </c>
      <c r="F179" s="4" t="s">
        <v>25</v>
      </c>
      <c r="G179" s="4" t="s">
        <v>25</v>
      </c>
      <c r="H179" s="4" t="s">
        <v>38</v>
      </c>
      <c r="I179" s="5">
        <v>44713</v>
      </c>
      <c r="J179" s="6">
        <v>0</v>
      </c>
      <c r="K179" s="6">
        <v>0</v>
      </c>
      <c r="L179" s="6">
        <v>149.054</v>
      </c>
      <c r="M179" s="6">
        <v>149.054</v>
      </c>
      <c r="N179" s="6">
        <v>149.054</v>
      </c>
      <c r="O179" s="6">
        <v>149.054</v>
      </c>
      <c r="P179" s="6">
        <v>0</v>
      </c>
      <c r="Q179" s="4" t="s">
        <v>26</v>
      </c>
      <c r="R179" s="4">
        <v>0</v>
      </c>
      <c r="S179" s="4" t="s">
        <v>140</v>
      </c>
      <c r="T179" s="4" t="s">
        <v>309</v>
      </c>
      <c r="U179" s="4">
        <v>0</v>
      </c>
      <c r="V179" s="4">
        <v>18</v>
      </c>
      <c r="W179" s="4">
        <v>73</v>
      </c>
    </row>
    <row r="180" spans="1:23" ht="11.25" customHeight="1" x14ac:dyDescent="0.25">
      <c r="A180" s="4" t="s">
        <v>55</v>
      </c>
      <c r="B180" s="4" t="s">
        <v>35</v>
      </c>
      <c r="C180" s="4" t="s">
        <v>39</v>
      </c>
      <c r="D180" s="4" t="s">
        <v>34</v>
      </c>
      <c r="E180" s="4" t="s">
        <v>25</v>
      </c>
      <c r="F180" s="4" t="s">
        <v>25</v>
      </c>
      <c r="G180" s="4" t="s">
        <v>25</v>
      </c>
      <c r="H180" s="4" t="s">
        <v>38</v>
      </c>
      <c r="I180" s="5">
        <v>44743</v>
      </c>
      <c r="J180" s="6">
        <v>0</v>
      </c>
      <c r="K180" s="6">
        <v>0</v>
      </c>
      <c r="L180" s="6">
        <v>3667.9969999999998</v>
      </c>
      <c r="M180" s="6">
        <v>3667.9969999999998</v>
      </c>
      <c r="N180" s="6">
        <v>3667.9969999999998</v>
      </c>
      <c r="O180" s="6">
        <v>3667.9969999999998</v>
      </c>
      <c r="P180" s="6">
        <v>0</v>
      </c>
      <c r="Q180" s="4" t="s">
        <v>26</v>
      </c>
      <c r="R180" s="4">
        <v>0</v>
      </c>
      <c r="S180" s="4" t="s">
        <v>141</v>
      </c>
      <c r="T180" s="4" t="s">
        <v>310</v>
      </c>
      <c r="U180" s="4">
        <v>0</v>
      </c>
      <c r="V180" s="4">
        <v>18</v>
      </c>
      <c r="W180" s="4">
        <v>73</v>
      </c>
    </row>
    <row r="181" spans="1:23" ht="11.25" customHeight="1" x14ac:dyDescent="0.25">
      <c r="A181" s="4" t="s">
        <v>55</v>
      </c>
      <c r="B181" s="4" t="s">
        <v>35</v>
      </c>
      <c r="C181" s="4" t="s">
        <v>39</v>
      </c>
      <c r="D181" s="4" t="s">
        <v>34</v>
      </c>
      <c r="E181" s="4" t="s">
        <v>25</v>
      </c>
      <c r="F181" s="4" t="s">
        <v>25</v>
      </c>
      <c r="G181" s="4" t="s">
        <v>25</v>
      </c>
      <c r="H181" s="4" t="s">
        <v>38</v>
      </c>
      <c r="I181" s="5">
        <v>44743</v>
      </c>
      <c r="J181" s="6">
        <v>0</v>
      </c>
      <c r="K181" s="6">
        <v>0</v>
      </c>
      <c r="L181" s="6">
        <v>149.054</v>
      </c>
      <c r="M181" s="6">
        <v>149.054</v>
      </c>
      <c r="N181" s="6">
        <v>149.054</v>
      </c>
      <c r="O181" s="6">
        <v>149.054</v>
      </c>
      <c r="P181" s="6">
        <v>0</v>
      </c>
      <c r="Q181" s="4" t="s">
        <v>26</v>
      </c>
      <c r="R181" s="4">
        <v>0</v>
      </c>
      <c r="S181" s="4" t="s">
        <v>141</v>
      </c>
      <c r="T181" s="4" t="s">
        <v>310</v>
      </c>
      <c r="U181" s="4">
        <v>0</v>
      </c>
      <c r="V181" s="4">
        <v>18</v>
      </c>
      <c r="W181" s="4">
        <v>73</v>
      </c>
    </row>
    <row r="182" spans="1:23" ht="11.25" customHeight="1" x14ac:dyDescent="0.25">
      <c r="A182" s="4" t="s">
        <v>21</v>
      </c>
      <c r="B182" s="4" t="s">
        <v>35</v>
      </c>
      <c r="C182" s="4" t="s">
        <v>39</v>
      </c>
      <c r="D182" s="4" t="s">
        <v>34</v>
      </c>
      <c r="E182" s="4" t="s">
        <v>25</v>
      </c>
      <c r="F182" s="4" t="s">
        <v>25</v>
      </c>
      <c r="G182" s="4" t="s">
        <v>25</v>
      </c>
      <c r="H182" s="4" t="s">
        <v>25</v>
      </c>
      <c r="I182" s="5">
        <v>44409</v>
      </c>
      <c r="J182" s="6">
        <v>14139</v>
      </c>
      <c r="K182" s="6">
        <v>14139</v>
      </c>
      <c r="L182" s="6">
        <v>0</v>
      </c>
      <c r="M182" s="6">
        <v>0</v>
      </c>
      <c r="N182" s="6">
        <v>0</v>
      </c>
      <c r="O182" s="6">
        <v>0</v>
      </c>
      <c r="P182" s="6">
        <v>53</v>
      </c>
      <c r="Q182" s="4" t="s">
        <v>26</v>
      </c>
      <c r="R182" s="4">
        <v>0</v>
      </c>
      <c r="S182" s="4" t="s">
        <v>142</v>
      </c>
      <c r="U182" s="4">
        <v>24</v>
      </c>
      <c r="V182" s="4">
        <v>0</v>
      </c>
      <c r="W182" s="4">
        <v>0</v>
      </c>
    </row>
    <row r="183" spans="1:23" ht="11.25" customHeight="1" x14ac:dyDescent="0.25">
      <c r="A183" s="4" t="s">
        <v>28</v>
      </c>
      <c r="B183" s="4" t="s">
        <v>35</v>
      </c>
      <c r="C183" s="4" t="s">
        <v>39</v>
      </c>
      <c r="D183" s="4" t="s">
        <v>34</v>
      </c>
      <c r="E183" s="4" t="s">
        <v>25</v>
      </c>
      <c r="F183" s="4" t="s">
        <v>25</v>
      </c>
      <c r="G183" s="4" t="s">
        <v>25</v>
      </c>
      <c r="H183" s="4" t="s">
        <v>25</v>
      </c>
      <c r="I183" s="5">
        <v>44409</v>
      </c>
      <c r="J183" s="6">
        <v>488</v>
      </c>
      <c r="K183" s="6">
        <v>488</v>
      </c>
      <c r="L183" s="6">
        <v>0</v>
      </c>
      <c r="M183" s="6">
        <v>0</v>
      </c>
      <c r="N183" s="6">
        <v>0</v>
      </c>
      <c r="O183" s="6">
        <v>0</v>
      </c>
      <c r="P183" s="6">
        <v>2</v>
      </c>
      <c r="Q183" s="4" t="s">
        <v>26</v>
      </c>
      <c r="R183" s="4">
        <v>0</v>
      </c>
      <c r="S183" s="4" t="s">
        <v>142</v>
      </c>
      <c r="U183" s="4">
        <v>24</v>
      </c>
      <c r="V183" s="4">
        <v>0</v>
      </c>
      <c r="W183" s="4">
        <v>0</v>
      </c>
    </row>
    <row r="184" spans="1:23" ht="11.25" customHeight="1" x14ac:dyDescent="0.25">
      <c r="A184" s="4" t="s">
        <v>21</v>
      </c>
      <c r="B184" s="4" t="s">
        <v>35</v>
      </c>
      <c r="C184" s="4" t="s">
        <v>39</v>
      </c>
      <c r="D184" s="4" t="s">
        <v>34</v>
      </c>
      <c r="E184" s="4" t="s">
        <v>25</v>
      </c>
      <c r="F184" s="4" t="s">
        <v>25</v>
      </c>
      <c r="G184" s="4" t="s">
        <v>25</v>
      </c>
      <c r="H184" s="4" t="s">
        <v>25</v>
      </c>
      <c r="I184" s="5">
        <v>44440</v>
      </c>
      <c r="J184" s="6">
        <v>14093</v>
      </c>
      <c r="K184" s="6">
        <v>14093</v>
      </c>
      <c r="L184" s="6">
        <v>0</v>
      </c>
      <c r="M184" s="6">
        <v>0</v>
      </c>
      <c r="N184" s="6">
        <v>0</v>
      </c>
      <c r="O184" s="6">
        <v>0</v>
      </c>
      <c r="P184" s="6">
        <v>53</v>
      </c>
      <c r="Q184" s="4" t="s">
        <v>26</v>
      </c>
      <c r="R184" s="4">
        <v>0</v>
      </c>
      <c r="S184" s="4" t="s">
        <v>143</v>
      </c>
      <c r="U184" s="4">
        <v>24</v>
      </c>
      <c r="V184" s="4">
        <v>0</v>
      </c>
      <c r="W184" s="4">
        <v>0</v>
      </c>
    </row>
    <row r="185" spans="1:23" ht="11.25" customHeight="1" x14ac:dyDescent="0.25">
      <c r="A185" s="4" t="s">
        <v>28</v>
      </c>
      <c r="B185" s="4" t="s">
        <v>35</v>
      </c>
      <c r="C185" s="4" t="s">
        <v>39</v>
      </c>
      <c r="D185" s="4" t="s">
        <v>34</v>
      </c>
      <c r="E185" s="4" t="s">
        <v>25</v>
      </c>
      <c r="F185" s="4" t="s">
        <v>25</v>
      </c>
      <c r="G185" s="4" t="s">
        <v>25</v>
      </c>
      <c r="H185" s="4" t="s">
        <v>25</v>
      </c>
      <c r="I185" s="5">
        <v>44440</v>
      </c>
      <c r="J185" s="6">
        <v>532</v>
      </c>
      <c r="K185" s="6">
        <v>532</v>
      </c>
      <c r="L185" s="6">
        <v>0</v>
      </c>
      <c r="M185" s="6">
        <v>0</v>
      </c>
      <c r="N185" s="6">
        <v>0</v>
      </c>
      <c r="O185" s="6">
        <v>0</v>
      </c>
      <c r="P185" s="6">
        <v>2</v>
      </c>
      <c r="Q185" s="4" t="s">
        <v>26</v>
      </c>
      <c r="R185" s="4">
        <v>0</v>
      </c>
      <c r="S185" s="4" t="s">
        <v>143</v>
      </c>
      <c r="U185" s="4">
        <v>24</v>
      </c>
      <c r="V185" s="4">
        <v>0</v>
      </c>
      <c r="W185" s="4">
        <v>0</v>
      </c>
    </row>
    <row r="186" spans="1:23" ht="11.25" customHeight="1" x14ac:dyDescent="0.25">
      <c r="A186" s="4" t="s">
        <v>21</v>
      </c>
      <c r="B186" s="4" t="s">
        <v>35</v>
      </c>
      <c r="C186" s="4" t="s">
        <v>39</v>
      </c>
      <c r="D186" s="4" t="s">
        <v>34</v>
      </c>
      <c r="E186" s="4" t="s">
        <v>25</v>
      </c>
      <c r="F186" s="4" t="s">
        <v>25</v>
      </c>
      <c r="G186" s="4" t="s">
        <v>25</v>
      </c>
      <c r="H186" s="4" t="s">
        <v>25</v>
      </c>
      <c r="I186" s="5">
        <v>44470</v>
      </c>
      <c r="J186" s="6">
        <v>14336</v>
      </c>
      <c r="K186" s="6">
        <v>14336</v>
      </c>
      <c r="L186" s="6">
        <v>0</v>
      </c>
      <c r="M186" s="6">
        <v>0</v>
      </c>
      <c r="N186" s="6">
        <v>0</v>
      </c>
      <c r="O186" s="6">
        <v>0</v>
      </c>
      <c r="P186" s="6">
        <v>53</v>
      </c>
      <c r="Q186" s="4" t="s">
        <v>26</v>
      </c>
      <c r="R186" s="4">
        <v>0</v>
      </c>
      <c r="S186" s="4" t="s">
        <v>144</v>
      </c>
      <c r="U186" s="4">
        <v>24</v>
      </c>
      <c r="V186" s="4">
        <v>0</v>
      </c>
      <c r="W186" s="4">
        <v>0</v>
      </c>
    </row>
    <row r="187" spans="1:23" ht="11.25" customHeight="1" x14ac:dyDescent="0.25">
      <c r="A187" s="4" t="s">
        <v>28</v>
      </c>
      <c r="B187" s="4" t="s">
        <v>35</v>
      </c>
      <c r="C187" s="4" t="s">
        <v>39</v>
      </c>
      <c r="D187" s="4" t="s">
        <v>34</v>
      </c>
      <c r="E187" s="4" t="s">
        <v>25</v>
      </c>
      <c r="F187" s="4" t="s">
        <v>25</v>
      </c>
      <c r="G187" s="4" t="s">
        <v>25</v>
      </c>
      <c r="H187" s="4" t="s">
        <v>25</v>
      </c>
      <c r="I187" s="5">
        <v>44470</v>
      </c>
      <c r="J187" s="6">
        <v>518</v>
      </c>
      <c r="K187" s="6">
        <v>518</v>
      </c>
      <c r="L187" s="6">
        <v>0</v>
      </c>
      <c r="M187" s="6">
        <v>0</v>
      </c>
      <c r="N187" s="6">
        <v>0</v>
      </c>
      <c r="O187" s="6">
        <v>0</v>
      </c>
      <c r="P187" s="6">
        <v>2</v>
      </c>
      <c r="Q187" s="4" t="s">
        <v>26</v>
      </c>
      <c r="R187" s="4">
        <v>0</v>
      </c>
      <c r="S187" s="4" t="s">
        <v>144</v>
      </c>
      <c r="U187" s="4">
        <v>24</v>
      </c>
      <c r="V187" s="4">
        <v>0</v>
      </c>
      <c r="W187" s="4">
        <v>0</v>
      </c>
    </row>
    <row r="188" spans="1:23" ht="11.25" customHeight="1" x14ac:dyDescent="0.25">
      <c r="A188" s="4" t="s">
        <v>21</v>
      </c>
      <c r="B188" s="4" t="s">
        <v>35</v>
      </c>
      <c r="C188" s="4" t="s">
        <v>39</v>
      </c>
      <c r="D188" s="4" t="s">
        <v>34</v>
      </c>
      <c r="E188" s="4" t="s">
        <v>25</v>
      </c>
      <c r="F188" s="4" t="s">
        <v>25</v>
      </c>
      <c r="G188" s="4" t="s">
        <v>25</v>
      </c>
      <c r="H188" s="4" t="s">
        <v>25</v>
      </c>
      <c r="I188" s="5">
        <v>44501</v>
      </c>
      <c r="J188" s="6">
        <v>14463</v>
      </c>
      <c r="K188" s="6">
        <v>14463</v>
      </c>
      <c r="L188" s="6">
        <v>0</v>
      </c>
      <c r="M188" s="6">
        <v>0</v>
      </c>
      <c r="N188" s="6">
        <v>0</v>
      </c>
      <c r="O188" s="6">
        <v>0</v>
      </c>
      <c r="P188" s="6">
        <v>53</v>
      </c>
      <c r="Q188" s="4" t="s">
        <v>26</v>
      </c>
      <c r="R188" s="4">
        <v>0</v>
      </c>
      <c r="S188" s="4" t="s">
        <v>145</v>
      </c>
      <c r="U188" s="4">
        <v>24</v>
      </c>
      <c r="V188" s="4">
        <v>0</v>
      </c>
      <c r="W188" s="4">
        <v>0</v>
      </c>
    </row>
    <row r="189" spans="1:23" ht="11.25" customHeight="1" x14ac:dyDescent="0.25">
      <c r="A189" s="4" t="s">
        <v>28</v>
      </c>
      <c r="B189" s="4" t="s">
        <v>35</v>
      </c>
      <c r="C189" s="4" t="s">
        <v>39</v>
      </c>
      <c r="D189" s="4" t="s">
        <v>34</v>
      </c>
      <c r="E189" s="4" t="s">
        <v>25</v>
      </c>
      <c r="F189" s="4" t="s">
        <v>25</v>
      </c>
      <c r="G189" s="4" t="s">
        <v>25</v>
      </c>
      <c r="H189" s="4" t="s">
        <v>25</v>
      </c>
      <c r="I189" s="5">
        <v>44501</v>
      </c>
      <c r="J189" s="6">
        <v>510</v>
      </c>
      <c r="K189" s="6">
        <v>510</v>
      </c>
      <c r="L189" s="6">
        <v>0</v>
      </c>
      <c r="M189" s="6">
        <v>0</v>
      </c>
      <c r="N189" s="6">
        <v>0</v>
      </c>
      <c r="O189" s="6">
        <v>0</v>
      </c>
      <c r="P189" s="6">
        <v>2</v>
      </c>
      <c r="Q189" s="4" t="s">
        <v>26</v>
      </c>
      <c r="R189" s="4">
        <v>0</v>
      </c>
      <c r="S189" s="4" t="s">
        <v>145</v>
      </c>
      <c r="U189" s="4">
        <v>24</v>
      </c>
      <c r="V189" s="4">
        <v>0</v>
      </c>
      <c r="W189" s="4">
        <v>0</v>
      </c>
    </row>
    <row r="190" spans="1:23" ht="11.25" customHeight="1" x14ac:dyDescent="0.25">
      <c r="A190" s="4" t="s">
        <v>21</v>
      </c>
      <c r="B190" s="4" t="s">
        <v>35</v>
      </c>
      <c r="C190" s="4" t="s">
        <v>39</v>
      </c>
      <c r="D190" s="4" t="s">
        <v>34</v>
      </c>
      <c r="E190" s="4" t="s">
        <v>25</v>
      </c>
      <c r="F190" s="4" t="s">
        <v>25</v>
      </c>
      <c r="G190" s="4" t="s">
        <v>25</v>
      </c>
      <c r="H190" s="4" t="s">
        <v>25</v>
      </c>
      <c r="I190" s="5">
        <v>44531</v>
      </c>
      <c r="J190" s="6">
        <v>14808</v>
      </c>
      <c r="K190" s="6">
        <v>14808</v>
      </c>
      <c r="L190" s="6">
        <v>0</v>
      </c>
      <c r="M190" s="6">
        <v>0</v>
      </c>
      <c r="N190" s="6">
        <v>0</v>
      </c>
      <c r="O190" s="6">
        <v>0</v>
      </c>
      <c r="P190" s="6">
        <v>54</v>
      </c>
      <c r="Q190" s="4" t="s">
        <v>26</v>
      </c>
      <c r="R190" s="4">
        <v>0</v>
      </c>
      <c r="S190" s="4" t="s">
        <v>146</v>
      </c>
      <c r="U190" s="4">
        <v>24</v>
      </c>
      <c r="V190" s="4">
        <v>0</v>
      </c>
      <c r="W190" s="4">
        <v>0</v>
      </c>
    </row>
    <row r="191" spans="1:23" ht="11.25" customHeight="1" x14ac:dyDescent="0.25">
      <c r="A191" s="4" t="s">
        <v>28</v>
      </c>
      <c r="B191" s="4" t="s">
        <v>35</v>
      </c>
      <c r="C191" s="4" t="s">
        <v>39</v>
      </c>
      <c r="D191" s="4" t="s">
        <v>34</v>
      </c>
      <c r="E191" s="4" t="s">
        <v>25</v>
      </c>
      <c r="F191" s="4" t="s">
        <v>25</v>
      </c>
      <c r="G191" s="4" t="s">
        <v>25</v>
      </c>
      <c r="H191" s="4" t="s">
        <v>25</v>
      </c>
      <c r="I191" s="5">
        <v>44531</v>
      </c>
      <c r="J191" s="6">
        <v>518</v>
      </c>
      <c r="K191" s="6">
        <v>518</v>
      </c>
      <c r="L191" s="6">
        <v>0</v>
      </c>
      <c r="M191" s="6">
        <v>0</v>
      </c>
      <c r="N191" s="6">
        <v>0</v>
      </c>
      <c r="O191" s="6">
        <v>0</v>
      </c>
      <c r="P191" s="6">
        <v>2</v>
      </c>
      <c r="Q191" s="4" t="s">
        <v>26</v>
      </c>
      <c r="R191" s="4">
        <v>0</v>
      </c>
      <c r="S191" s="4" t="s">
        <v>146</v>
      </c>
      <c r="U191" s="4">
        <v>24</v>
      </c>
      <c r="V191" s="4">
        <v>0</v>
      </c>
      <c r="W191" s="4">
        <v>0</v>
      </c>
    </row>
    <row r="192" spans="1:23" ht="11.25" customHeight="1" x14ac:dyDescent="0.25">
      <c r="A192" s="4" t="s">
        <v>21</v>
      </c>
      <c r="B192" s="4" t="s">
        <v>35</v>
      </c>
      <c r="C192" s="4" t="s">
        <v>39</v>
      </c>
      <c r="D192" s="4" t="s">
        <v>34</v>
      </c>
      <c r="E192" s="4" t="s">
        <v>25</v>
      </c>
      <c r="F192" s="4" t="s">
        <v>25</v>
      </c>
      <c r="G192" s="4" t="s">
        <v>25</v>
      </c>
      <c r="H192" s="4" t="s">
        <v>25</v>
      </c>
      <c r="I192" s="5">
        <v>44562</v>
      </c>
      <c r="J192" s="6">
        <v>14576</v>
      </c>
      <c r="K192" s="6">
        <v>14576</v>
      </c>
      <c r="L192" s="6">
        <v>0</v>
      </c>
      <c r="M192" s="6">
        <v>0</v>
      </c>
      <c r="N192" s="6">
        <v>0</v>
      </c>
      <c r="O192" s="6">
        <v>0</v>
      </c>
      <c r="P192" s="6">
        <v>54</v>
      </c>
      <c r="Q192" s="4" t="s">
        <v>26</v>
      </c>
      <c r="R192" s="4">
        <v>0</v>
      </c>
      <c r="S192" s="4" t="s">
        <v>147</v>
      </c>
      <c r="U192" s="4">
        <v>24</v>
      </c>
      <c r="V192" s="4">
        <v>0</v>
      </c>
      <c r="W192" s="4">
        <v>0</v>
      </c>
    </row>
    <row r="193" spans="1:23" ht="11.25" customHeight="1" x14ac:dyDescent="0.25">
      <c r="A193" s="4" t="s">
        <v>28</v>
      </c>
      <c r="B193" s="4" t="s">
        <v>35</v>
      </c>
      <c r="C193" s="4" t="s">
        <v>39</v>
      </c>
      <c r="D193" s="4" t="s">
        <v>34</v>
      </c>
      <c r="E193" s="4" t="s">
        <v>25</v>
      </c>
      <c r="F193" s="4" t="s">
        <v>25</v>
      </c>
      <c r="G193" s="4" t="s">
        <v>25</v>
      </c>
      <c r="H193" s="4" t="s">
        <v>25</v>
      </c>
      <c r="I193" s="5">
        <v>44562</v>
      </c>
      <c r="J193" s="6">
        <v>524</v>
      </c>
      <c r="K193" s="6">
        <v>524</v>
      </c>
      <c r="L193" s="6">
        <v>0</v>
      </c>
      <c r="M193" s="6">
        <v>0</v>
      </c>
      <c r="N193" s="6">
        <v>0</v>
      </c>
      <c r="O193" s="6">
        <v>0</v>
      </c>
      <c r="P193" s="6">
        <v>2</v>
      </c>
      <c r="Q193" s="4" t="s">
        <v>26</v>
      </c>
      <c r="R193" s="4">
        <v>0</v>
      </c>
      <c r="S193" s="4" t="s">
        <v>147</v>
      </c>
      <c r="U193" s="4">
        <v>24</v>
      </c>
      <c r="V193" s="4">
        <v>0</v>
      </c>
      <c r="W193" s="4">
        <v>0</v>
      </c>
    </row>
    <row r="194" spans="1:23" ht="11.25" customHeight="1" x14ac:dyDescent="0.25">
      <c r="A194" s="4" t="s">
        <v>21</v>
      </c>
      <c r="B194" s="4" t="s">
        <v>35</v>
      </c>
      <c r="C194" s="4" t="s">
        <v>39</v>
      </c>
      <c r="D194" s="4" t="s">
        <v>34</v>
      </c>
      <c r="E194" s="4" t="s">
        <v>25</v>
      </c>
      <c r="F194" s="4" t="s">
        <v>25</v>
      </c>
      <c r="G194" s="4" t="s">
        <v>25</v>
      </c>
      <c r="H194" s="4" t="s">
        <v>25</v>
      </c>
      <c r="I194" s="5">
        <v>44593</v>
      </c>
      <c r="J194" s="6">
        <v>14690</v>
      </c>
      <c r="K194" s="6">
        <v>14690</v>
      </c>
      <c r="L194" s="6">
        <v>0</v>
      </c>
      <c r="M194" s="6">
        <v>0</v>
      </c>
      <c r="N194" s="6">
        <v>0</v>
      </c>
      <c r="O194" s="6">
        <v>0</v>
      </c>
      <c r="P194" s="6">
        <v>54</v>
      </c>
      <c r="Q194" s="4" t="s">
        <v>26</v>
      </c>
      <c r="R194" s="4">
        <v>0</v>
      </c>
      <c r="S194" s="4" t="s">
        <v>148</v>
      </c>
      <c r="U194" s="4">
        <v>24</v>
      </c>
      <c r="V194" s="4">
        <v>0</v>
      </c>
      <c r="W194" s="4">
        <v>0</v>
      </c>
    </row>
    <row r="195" spans="1:23" ht="11.25" customHeight="1" x14ac:dyDescent="0.25">
      <c r="A195" s="4" t="s">
        <v>28</v>
      </c>
      <c r="B195" s="4" t="s">
        <v>35</v>
      </c>
      <c r="C195" s="4" t="s">
        <v>39</v>
      </c>
      <c r="D195" s="4" t="s">
        <v>34</v>
      </c>
      <c r="E195" s="4" t="s">
        <v>25</v>
      </c>
      <c r="F195" s="4" t="s">
        <v>25</v>
      </c>
      <c r="G195" s="4" t="s">
        <v>25</v>
      </c>
      <c r="H195" s="4" t="s">
        <v>25</v>
      </c>
      <c r="I195" s="5">
        <v>44593</v>
      </c>
      <c r="J195" s="6">
        <v>516</v>
      </c>
      <c r="K195" s="6">
        <v>516</v>
      </c>
      <c r="L195" s="6">
        <v>0</v>
      </c>
      <c r="M195" s="6">
        <v>0</v>
      </c>
      <c r="N195" s="6">
        <v>0</v>
      </c>
      <c r="O195" s="6">
        <v>0</v>
      </c>
      <c r="P195" s="6">
        <v>2</v>
      </c>
      <c r="Q195" s="4" t="s">
        <v>26</v>
      </c>
      <c r="R195" s="4">
        <v>0</v>
      </c>
      <c r="S195" s="4" t="s">
        <v>148</v>
      </c>
      <c r="U195" s="4">
        <v>24</v>
      </c>
      <c r="V195" s="4">
        <v>0</v>
      </c>
      <c r="W195" s="4">
        <v>0</v>
      </c>
    </row>
    <row r="196" spans="1:23" ht="11.25" customHeight="1" x14ac:dyDescent="0.25">
      <c r="A196" s="4" t="s">
        <v>21</v>
      </c>
      <c r="B196" s="4" t="s">
        <v>35</v>
      </c>
      <c r="C196" s="4" t="s">
        <v>39</v>
      </c>
      <c r="D196" s="4" t="s">
        <v>34</v>
      </c>
      <c r="E196" s="4" t="s">
        <v>25</v>
      </c>
      <c r="F196" s="4" t="s">
        <v>25</v>
      </c>
      <c r="G196" s="4" t="s">
        <v>25</v>
      </c>
      <c r="H196" s="4" t="s">
        <v>25</v>
      </c>
      <c r="I196" s="5">
        <v>44621</v>
      </c>
      <c r="J196" s="6">
        <v>14568</v>
      </c>
      <c r="K196" s="6">
        <v>14568</v>
      </c>
      <c r="L196" s="6">
        <v>0</v>
      </c>
      <c r="M196" s="6">
        <v>0</v>
      </c>
      <c r="N196" s="6">
        <v>0</v>
      </c>
      <c r="O196" s="6">
        <v>0</v>
      </c>
      <c r="P196" s="6">
        <v>54</v>
      </c>
      <c r="Q196" s="4" t="s">
        <v>26</v>
      </c>
      <c r="R196" s="4">
        <v>0</v>
      </c>
      <c r="S196" s="4" t="s">
        <v>149</v>
      </c>
      <c r="U196" s="4">
        <v>24</v>
      </c>
      <c r="V196" s="4">
        <v>0</v>
      </c>
      <c r="W196" s="4">
        <v>0</v>
      </c>
    </row>
    <row r="197" spans="1:23" ht="11.25" customHeight="1" x14ac:dyDescent="0.25">
      <c r="A197" s="4" t="s">
        <v>28</v>
      </c>
      <c r="B197" s="4" t="s">
        <v>35</v>
      </c>
      <c r="C197" s="4" t="s">
        <v>39</v>
      </c>
      <c r="D197" s="4" t="s">
        <v>34</v>
      </c>
      <c r="E197" s="4" t="s">
        <v>25</v>
      </c>
      <c r="F197" s="4" t="s">
        <v>25</v>
      </c>
      <c r="G197" s="4" t="s">
        <v>25</v>
      </c>
      <c r="H197" s="4" t="s">
        <v>25</v>
      </c>
      <c r="I197" s="5">
        <v>44621</v>
      </c>
      <c r="J197" s="6">
        <v>519</v>
      </c>
      <c r="K197" s="6">
        <v>519</v>
      </c>
      <c r="L197" s="6">
        <v>0</v>
      </c>
      <c r="M197" s="6">
        <v>0</v>
      </c>
      <c r="N197" s="6">
        <v>0</v>
      </c>
      <c r="O197" s="6">
        <v>0</v>
      </c>
      <c r="P197" s="6">
        <v>2</v>
      </c>
      <c r="Q197" s="4" t="s">
        <v>26</v>
      </c>
      <c r="R197" s="4">
        <v>0</v>
      </c>
      <c r="S197" s="4" t="s">
        <v>149</v>
      </c>
      <c r="U197" s="4">
        <v>24</v>
      </c>
      <c r="V197" s="4">
        <v>0</v>
      </c>
      <c r="W197" s="4">
        <v>0</v>
      </c>
    </row>
    <row r="198" spans="1:23" ht="11.25" customHeight="1" x14ac:dyDescent="0.25">
      <c r="A198" s="4" t="s">
        <v>21</v>
      </c>
      <c r="B198" s="4" t="s">
        <v>35</v>
      </c>
      <c r="C198" s="4" t="s">
        <v>39</v>
      </c>
      <c r="D198" s="4" t="s">
        <v>34</v>
      </c>
      <c r="E198" s="4" t="s">
        <v>25</v>
      </c>
      <c r="F198" s="4" t="s">
        <v>25</v>
      </c>
      <c r="G198" s="4" t="s">
        <v>25</v>
      </c>
      <c r="H198" s="4" t="s">
        <v>25</v>
      </c>
      <c r="I198" s="5">
        <v>44652</v>
      </c>
      <c r="J198" s="6">
        <v>14547</v>
      </c>
      <c r="K198" s="6">
        <v>14547</v>
      </c>
      <c r="L198" s="6">
        <v>0</v>
      </c>
      <c r="M198" s="6">
        <v>0</v>
      </c>
      <c r="N198" s="6">
        <v>0</v>
      </c>
      <c r="O198" s="6">
        <v>0</v>
      </c>
      <c r="P198" s="6">
        <v>54</v>
      </c>
      <c r="Q198" s="4" t="s">
        <v>26</v>
      </c>
      <c r="R198" s="4">
        <v>0</v>
      </c>
      <c r="S198" s="4" t="s">
        <v>150</v>
      </c>
      <c r="U198" s="4">
        <v>24</v>
      </c>
      <c r="V198" s="4">
        <v>0</v>
      </c>
      <c r="W198" s="4">
        <v>0</v>
      </c>
    </row>
    <row r="199" spans="1:23" ht="11.25" customHeight="1" x14ac:dyDescent="0.25">
      <c r="A199" s="4" t="s">
        <v>28</v>
      </c>
      <c r="B199" s="4" t="s">
        <v>35</v>
      </c>
      <c r="C199" s="4" t="s">
        <v>39</v>
      </c>
      <c r="D199" s="4" t="s">
        <v>34</v>
      </c>
      <c r="E199" s="4" t="s">
        <v>25</v>
      </c>
      <c r="F199" s="4" t="s">
        <v>25</v>
      </c>
      <c r="G199" s="4" t="s">
        <v>25</v>
      </c>
      <c r="H199" s="4" t="s">
        <v>25</v>
      </c>
      <c r="I199" s="5">
        <v>44652</v>
      </c>
      <c r="J199" s="6">
        <v>513</v>
      </c>
      <c r="K199" s="6">
        <v>513</v>
      </c>
      <c r="L199" s="6">
        <v>0</v>
      </c>
      <c r="M199" s="6">
        <v>0</v>
      </c>
      <c r="N199" s="6">
        <v>0</v>
      </c>
      <c r="O199" s="6">
        <v>0</v>
      </c>
      <c r="P199" s="6">
        <v>2</v>
      </c>
      <c r="Q199" s="4" t="s">
        <v>26</v>
      </c>
      <c r="R199" s="4">
        <v>0</v>
      </c>
      <c r="S199" s="4" t="s">
        <v>150</v>
      </c>
      <c r="U199" s="4">
        <v>24</v>
      </c>
      <c r="V199" s="4">
        <v>0</v>
      </c>
      <c r="W199" s="4">
        <v>0</v>
      </c>
    </row>
    <row r="200" spans="1:23" ht="11.25" customHeight="1" x14ac:dyDescent="0.25">
      <c r="A200" s="4" t="s">
        <v>21</v>
      </c>
      <c r="B200" s="4" t="s">
        <v>35</v>
      </c>
      <c r="C200" s="4" t="s">
        <v>39</v>
      </c>
      <c r="D200" s="4" t="s">
        <v>34</v>
      </c>
      <c r="E200" s="4" t="s">
        <v>25</v>
      </c>
      <c r="F200" s="4" t="s">
        <v>25</v>
      </c>
      <c r="G200" s="4" t="s">
        <v>25</v>
      </c>
      <c r="H200" s="4" t="s">
        <v>25</v>
      </c>
      <c r="I200" s="5">
        <v>44682</v>
      </c>
      <c r="J200" s="6">
        <v>14468</v>
      </c>
      <c r="K200" s="6">
        <v>14468</v>
      </c>
      <c r="L200" s="6">
        <v>0</v>
      </c>
      <c r="M200" s="6">
        <v>0</v>
      </c>
      <c r="N200" s="6">
        <v>0</v>
      </c>
      <c r="O200" s="6">
        <v>0</v>
      </c>
      <c r="P200" s="6">
        <v>54</v>
      </c>
      <c r="Q200" s="4" t="s">
        <v>26</v>
      </c>
      <c r="R200" s="4">
        <v>0</v>
      </c>
      <c r="S200" s="4" t="s">
        <v>151</v>
      </c>
      <c r="U200" s="4">
        <v>24</v>
      </c>
      <c r="V200" s="4">
        <v>0</v>
      </c>
      <c r="W200" s="4">
        <v>0</v>
      </c>
    </row>
    <row r="201" spans="1:23" ht="11.25" customHeight="1" x14ac:dyDescent="0.25">
      <c r="A201" s="4" t="s">
        <v>28</v>
      </c>
      <c r="B201" s="4" t="s">
        <v>35</v>
      </c>
      <c r="C201" s="4" t="s">
        <v>39</v>
      </c>
      <c r="D201" s="4" t="s">
        <v>34</v>
      </c>
      <c r="E201" s="4" t="s">
        <v>25</v>
      </c>
      <c r="F201" s="4" t="s">
        <v>25</v>
      </c>
      <c r="G201" s="4" t="s">
        <v>25</v>
      </c>
      <c r="H201" s="4" t="s">
        <v>25</v>
      </c>
      <c r="I201" s="5">
        <v>44682</v>
      </c>
      <c r="J201" s="6">
        <v>518</v>
      </c>
      <c r="K201" s="6">
        <v>518</v>
      </c>
      <c r="L201" s="6">
        <v>0</v>
      </c>
      <c r="M201" s="6">
        <v>0</v>
      </c>
      <c r="N201" s="6">
        <v>0</v>
      </c>
      <c r="O201" s="6">
        <v>0</v>
      </c>
      <c r="P201" s="6">
        <v>2</v>
      </c>
      <c r="Q201" s="4" t="s">
        <v>26</v>
      </c>
      <c r="R201" s="4">
        <v>0</v>
      </c>
      <c r="S201" s="4" t="s">
        <v>151</v>
      </c>
      <c r="U201" s="4">
        <v>24</v>
      </c>
      <c r="V201" s="4">
        <v>0</v>
      </c>
      <c r="W201" s="4">
        <v>0</v>
      </c>
    </row>
    <row r="202" spans="1:23" ht="11.25" customHeight="1" x14ac:dyDescent="0.25">
      <c r="A202" s="4" t="s">
        <v>21</v>
      </c>
      <c r="B202" s="4" t="s">
        <v>35</v>
      </c>
      <c r="C202" s="4" t="s">
        <v>39</v>
      </c>
      <c r="D202" s="4" t="s">
        <v>34</v>
      </c>
      <c r="E202" s="4" t="s">
        <v>25</v>
      </c>
      <c r="F202" s="4" t="s">
        <v>25</v>
      </c>
      <c r="G202" s="4" t="s">
        <v>25</v>
      </c>
      <c r="H202" s="4" t="s">
        <v>25</v>
      </c>
      <c r="I202" s="5">
        <v>44713</v>
      </c>
      <c r="J202" s="6">
        <v>14710</v>
      </c>
      <c r="K202" s="6">
        <v>14710</v>
      </c>
      <c r="L202" s="6">
        <v>0</v>
      </c>
      <c r="M202" s="6">
        <v>0</v>
      </c>
      <c r="N202" s="6">
        <v>0</v>
      </c>
      <c r="O202" s="6">
        <v>0</v>
      </c>
      <c r="P202" s="6">
        <v>55</v>
      </c>
      <c r="Q202" s="4" t="s">
        <v>26</v>
      </c>
      <c r="R202" s="4">
        <v>0</v>
      </c>
      <c r="S202" s="4" t="s">
        <v>152</v>
      </c>
      <c r="U202" s="4">
        <v>24</v>
      </c>
      <c r="V202" s="4">
        <v>0</v>
      </c>
      <c r="W202" s="4">
        <v>0</v>
      </c>
    </row>
    <row r="203" spans="1:23" ht="11.25" customHeight="1" x14ac:dyDescent="0.25">
      <c r="A203" s="4" t="s">
        <v>28</v>
      </c>
      <c r="B203" s="4" t="s">
        <v>35</v>
      </c>
      <c r="C203" s="4" t="s">
        <v>39</v>
      </c>
      <c r="D203" s="4" t="s">
        <v>34</v>
      </c>
      <c r="E203" s="4" t="s">
        <v>25</v>
      </c>
      <c r="F203" s="4" t="s">
        <v>25</v>
      </c>
      <c r="G203" s="4" t="s">
        <v>25</v>
      </c>
      <c r="H203" s="4" t="s">
        <v>25</v>
      </c>
      <c r="I203" s="5">
        <v>44713</v>
      </c>
      <c r="J203" s="6">
        <v>514</v>
      </c>
      <c r="K203" s="6">
        <v>514</v>
      </c>
      <c r="L203" s="6">
        <v>0</v>
      </c>
      <c r="M203" s="6">
        <v>0</v>
      </c>
      <c r="N203" s="6">
        <v>0</v>
      </c>
      <c r="O203" s="6">
        <v>0</v>
      </c>
      <c r="P203" s="6">
        <v>2</v>
      </c>
      <c r="Q203" s="4" t="s">
        <v>26</v>
      </c>
      <c r="R203" s="4">
        <v>0</v>
      </c>
      <c r="S203" s="4" t="s">
        <v>152</v>
      </c>
      <c r="U203" s="4">
        <v>24</v>
      </c>
      <c r="V203" s="4">
        <v>0</v>
      </c>
      <c r="W203" s="4">
        <v>0</v>
      </c>
    </row>
    <row r="204" spans="1:23" ht="11.25" customHeight="1" x14ac:dyDescent="0.25">
      <c r="A204" s="4" t="s">
        <v>55</v>
      </c>
      <c r="B204" s="4" t="s">
        <v>35</v>
      </c>
      <c r="C204" s="4" t="s">
        <v>39</v>
      </c>
      <c r="D204" s="4" t="s">
        <v>34</v>
      </c>
      <c r="E204" s="4" t="s">
        <v>25</v>
      </c>
      <c r="F204" s="4" t="s">
        <v>25</v>
      </c>
      <c r="G204" s="4" t="s">
        <v>25</v>
      </c>
      <c r="H204" s="4" t="s">
        <v>25</v>
      </c>
      <c r="I204" s="5">
        <v>44743</v>
      </c>
      <c r="J204" s="6">
        <v>14710</v>
      </c>
      <c r="K204" s="6">
        <v>14710</v>
      </c>
      <c r="L204" s="6">
        <v>0</v>
      </c>
      <c r="M204" s="6">
        <v>0</v>
      </c>
      <c r="N204" s="6">
        <v>0</v>
      </c>
      <c r="O204" s="6">
        <v>0</v>
      </c>
      <c r="P204" s="6">
        <v>55</v>
      </c>
      <c r="Q204" s="4" t="s">
        <v>26</v>
      </c>
      <c r="R204" s="4">
        <v>0</v>
      </c>
      <c r="S204" s="4" t="s">
        <v>153</v>
      </c>
      <c r="U204" s="4">
        <v>24</v>
      </c>
      <c r="V204" s="4">
        <v>0</v>
      </c>
      <c r="W204" s="4">
        <v>0</v>
      </c>
    </row>
    <row r="205" spans="1:23" ht="11.25" customHeight="1" x14ac:dyDescent="0.25">
      <c r="A205" s="4" t="s">
        <v>55</v>
      </c>
      <c r="B205" s="4" t="s">
        <v>35</v>
      </c>
      <c r="C205" s="4" t="s">
        <v>39</v>
      </c>
      <c r="D205" s="4" t="s">
        <v>34</v>
      </c>
      <c r="E205" s="4" t="s">
        <v>25</v>
      </c>
      <c r="F205" s="4" t="s">
        <v>25</v>
      </c>
      <c r="G205" s="4" t="s">
        <v>25</v>
      </c>
      <c r="H205" s="4" t="s">
        <v>25</v>
      </c>
      <c r="I205" s="5">
        <v>44743</v>
      </c>
      <c r="J205" s="6">
        <v>514</v>
      </c>
      <c r="K205" s="6">
        <v>514</v>
      </c>
      <c r="L205" s="6">
        <v>0</v>
      </c>
      <c r="M205" s="6">
        <v>0</v>
      </c>
      <c r="N205" s="6">
        <v>0</v>
      </c>
      <c r="O205" s="6">
        <v>0</v>
      </c>
      <c r="P205" s="6">
        <v>2</v>
      </c>
      <c r="Q205" s="4" t="s">
        <v>26</v>
      </c>
      <c r="R205" s="4">
        <v>0</v>
      </c>
      <c r="S205" s="4" t="s">
        <v>153</v>
      </c>
      <c r="U205" s="4">
        <v>24</v>
      </c>
      <c r="V205" s="4">
        <v>0</v>
      </c>
      <c r="W205" s="4">
        <v>0</v>
      </c>
    </row>
    <row r="206" spans="1:23" ht="11.25" customHeight="1" x14ac:dyDescent="0.25">
      <c r="A206" s="4" t="s">
        <v>21</v>
      </c>
      <c r="B206" s="4" t="s">
        <v>35</v>
      </c>
      <c r="C206" s="4" t="s">
        <v>39</v>
      </c>
      <c r="D206" s="4" t="s">
        <v>34</v>
      </c>
      <c r="E206" s="4" t="s">
        <v>25</v>
      </c>
      <c r="F206" s="4" t="s">
        <v>25</v>
      </c>
      <c r="G206" s="4" t="s">
        <v>25</v>
      </c>
      <c r="H206" s="4" t="s">
        <v>37</v>
      </c>
      <c r="I206" s="5">
        <v>44409</v>
      </c>
      <c r="J206" s="6">
        <v>0</v>
      </c>
      <c r="K206" s="6">
        <v>0</v>
      </c>
      <c r="L206" s="6">
        <v>98.257999999999996</v>
      </c>
      <c r="M206" s="6">
        <v>98.257999999999996</v>
      </c>
      <c r="N206" s="6">
        <v>98.257999999999996</v>
      </c>
      <c r="O206" s="6">
        <v>98.257999999999996</v>
      </c>
      <c r="P206" s="6">
        <v>0</v>
      </c>
      <c r="Q206" s="4" t="s">
        <v>26</v>
      </c>
      <c r="R206" s="4">
        <v>0</v>
      </c>
      <c r="S206" s="4" t="s">
        <v>154</v>
      </c>
      <c r="T206" s="4" t="s">
        <v>311</v>
      </c>
      <c r="U206" s="4">
        <v>0</v>
      </c>
      <c r="V206" s="4">
        <v>5</v>
      </c>
      <c r="W206" s="4">
        <v>69</v>
      </c>
    </row>
    <row r="207" spans="1:23" ht="11.25" customHeight="1" x14ac:dyDescent="0.25">
      <c r="A207" s="4" t="s">
        <v>28</v>
      </c>
      <c r="B207" s="4" t="s">
        <v>35</v>
      </c>
      <c r="C207" s="4" t="s">
        <v>39</v>
      </c>
      <c r="D207" s="4" t="s">
        <v>34</v>
      </c>
      <c r="E207" s="4" t="s">
        <v>25</v>
      </c>
      <c r="F207" s="4" t="s">
        <v>25</v>
      </c>
      <c r="G207" s="4" t="s">
        <v>25</v>
      </c>
      <c r="H207" s="4" t="s">
        <v>37</v>
      </c>
      <c r="I207" s="5">
        <v>44409</v>
      </c>
      <c r="J207" s="6">
        <v>0</v>
      </c>
      <c r="K207" s="6">
        <v>0</v>
      </c>
      <c r="L207" s="6">
        <v>18.809999999999999</v>
      </c>
      <c r="M207" s="6">
        <v>18.809999999999999</v>
      </c>
      <c r="N207" s="6">
        <v>18.809999999999999</v>
      </c>
      <c r="O207" s="6">
        <v>18.809999999999999</v>
      </c>
      <c r="P207" s="6">
        <v>0</v>
      </c>
      <c r="Q207" s="4" t="s">
        <v>26</v>
      </c>
      <c r="R207" s="4">
        <v>0</v>
      </c>
      <c r="S207" s="4" t="s">
        <v>154</v>
      </c>
      <c r="T207" s="4" t="s">
        <v>311</v>
      </c>
      <c r="U207" s="4">
        <v>0</v>
      </c>
      <c r="V207" s="4">
        <v>5</v>
      </c>
      <c r="W207" s="4">
        <v>69</v>
      </c>
    </row>
    <row r="208" spans="1:23" ht="11.25" customHeight="1" x14ac:dyDescent="0.25">
      <c r="A208" s="4" t="s">
        <v>21</v>
      </c>
      <c r="B208" s="4" t="s">
        <v>35</v>
      </c>
      <c r="C208" s="4" t="s">
        <v>39</v>
      </c>
      <c r="D208" s="4" t="s">
        <v>34</v>
      </c>
      <c r="E208" s="4" t="s">
        <v>25</v>
      </c>
      <c r="F208" s="4" t="s">
        <v>25</v>
      </c>
      <c r="G208" s="4" t="s">
        <v>25</v>
      </c>
      <c r="H208" s="4" t="s">
        <v>37</v>
      </c>
      <c r="I208" s="5">
        <v>44440</v>
      </c>
      <c r="J208" s="6">
        <v>0</v>
      </c>
      <c r="K208" s="6">
        <v>0</v>
      </c>
      <c r="L208" s="6">
        <v>114.117</v>
      </c>
      <c r="M208" s="6">
        <v>114.117</v>
      </c>
      <c r="N208" s="6">
        <v>114.117</v>
      </c>
      <c r="O208" s="6">
        <v>114.117</v>
      </c>
      <c r="P208" s="6">
        <v>0</v>
      </c>
      <c r="Q208" s="4" t="s">
        <v>26</v>
      </c>
      <c r="R208" s="4">
        <v>0</v>
      </c>
      <c r="S208" s="4" t="s">
        <v>155</v>
      </c>
      <c r="T208" s="4" t="s">
        <v>312</v>
      </c>
      <c r="U208" s="4">
        <v>0</v>
      </c>
      <c r="V208" s="4">
        <v>5</v>
      </c>
      <c r="W208" s="4">
        <v>69</v>
      </c>
    </row>
    <row r="209" spans="1:23" ht="11.25" customHeight="1" x14ac:dyDescent="0.25">
      <c r="A209" s="4" t="s">
        <v>28</v>
      </c>
      <c r="B209" s="4" t="s">
        <v>35</v>
      </c>
      <c r="C209" s="4" t="s">
        <v>39</v>
      </c>
      <c r="D209" s="4" t="s">
        <v>34</v>
      </c>
      <c r="E209" s="4" t="s">
        <v>25</v>
      </c>
      <c r="F209" s="4" t="s">
        <v>25</v>
      </c>
      <c r="G209" s="4" t="s">
        <v>25</v>
      </c>
      <c r="H209" s="4" t="s">
        <v>37</v>
      </c>
      <c r="I209" s="5">
        <v>44440</v>
      </c>
      <c r="J209" s="6">
        <v>0</v>
      </c>
      <c r="K209" s="6">
        <v>0</v>
      </c>
      <c r="L209" s="6">
        <v>9.0500000000000007</v>
      </c>
      <c r="M209" s="6">
        <v>9.0500000000000007</v>
      </c>
      <c r="N209" s="6">
        <v>9.0500000000000007</v>
      </c>
      <c r="O209" s="6">
        <v>9.0500000000000007</v>
      </c>
      <c r="P209" s="6">
        <v>0</v>
      </c>
      <c r="Q209" s="4" t="s">
        <v>26</v>
      </c>
      <c r="R209" s="4">
        <v>0</v>
      </c>
      <c r="S209" s="4" t="s">
        <v>155</v>
      </c>
      <c r="T209" s="4" t="s">
        <v>312</v>
      </c>
      <c r="U209" s="4">
        <v>0</v>
      </c>
      <c r="V209" s="4">
        <v>5</v>
      </c>
      <c r="W209" s="4">
        <v>69</v>
      </c>
    </row>
    <row r="210" spans="1:23" ht="11.25" customHeight="1" x14ac:dyDescent="0.25">
      <c r="A210" s="4" t="s">
        <v>21</v>
      </c>
      <c r="B210" s="4" t="s">
        <v>35</v>
      </c>
      <c r="C210" s="4" t="s">
        <v>39</v>
      </c>
      <c r="D210" s="4" t="s">
        <v>34</v>
      </c>
      <c r="E210" s="4" t="s">
        <v>25</v>
      </c>
      <c r="F210" s="4" t="s">
        <v>25</v>
      </c>
      <c r="G210" s="4" t="s">
        <v>25</v>
      </c>
      <c r="H210" s="4" t="s">
        <v>37</v>
      </c>
      <c r="I210" s="5">
        <v>44470</v>
      </c>
      <c r="J210" s="6">
        <v>0</v>
      </c>
      <c r="K210" s="6">
        <v>0</v>
      </c>
      <c r="L210" s="6">
        <v>95.334999999999994</v>
      </c>
      <c r="M210" s="6">
        <v>95.334999999999994</v>
      </c>
      <c r="N210" s="6">
        <v>95.334999999999994</v>
      </c>
      <c r="O210" s="6">
        <v>95.334999999999994</v>
      </c>
      <c r="P210" s="6">
        <v>0</v>
      </c>
      <c r="Q210" s="4" t="s">
        <v>26</v>
      </c>
      <c r="R210" s="4">
        <v>0</v>
      </c>
      <c r="S210" s="4" t="s">
        <v>156</v>
      </c>
      <c r="T210" s="4" t="s">
        <v>313</v>
      </c>
      <c r="U210" s="4">
        <v>0</v>
      </c>
      <c r="V210" s="4">
        <v>5</v>
      </c>
      <c r="W210" s="4">
        <v>69</v>
      </c>
    </row>
    <row r="211" spans="1:23" ht="11.25" customHeight="1" x14ac:dyDescent="0.25">
      <c r="A211" s="4" t="s">
        <v>28</v>
      </c>
      <c r="B211" s="4" t="s">
        <v>35</v>
      </c>
      <c r="C211" s="4" t="s">
        <v>39</v>
      </c>
      <c r="D211" s="4" t="s">
        <v>34</v>
      </c>
      <c r="E211" s="4" t="s">
        <v>25</v>
      </c>
      <c r="F211" s="4" t="s">
        <v>25</v>
      </c>
      <c r="G211" s="4" t="s">
        <v>25</v>
      </c>
      <c r="H211" s="4" t="s">
        <v>37</v>
      </c>
      <c r="I211" s="5">
        <v>44470</v>
      </c>
      <c r="J211" s="6">
        <v>0</v>
      </c>
      <c r="K211" s="6">
        <v>0</v>
      </c>
      <c r="L211" s="6">
        <v>6.1539999999999999</v>
      </c>
      <c r="M211" s="6">
        <v>6.1539999999999999</v>
      </c>
      <c r="N211" s="6">
        <v>6.1539999999999999</v>
      </c>
      <c r="O211" s="6">
        <v>6.1539999999999999</v>
      </c>
      <c r="P211" s="6">
        <v>0</v>
      </c>
      <c r="Q211" s="4" t="s">
        <v>26</v>
      </c>
      <c r="R211" s="4">
        <v>0</v>
      </c>
      <c r="S211" s="4" t="s">
        <v>156</v>
      </c>
      <c r="T211" s="4" t="s">
        <v>313</v>
      </c>
      <c r="U211" s="4">
        <v>0</v>
      </c>
      <c r="V211" s="4">
        <v>5</v>
      </c>
      <c r="W211" s="4">
        <v>69</v>
      </c>
    </row>
    <row r="212" spans="1:23" ht="11.25" customHeight="1" x14ac:dyDescent="0.25">
      <c r="A212" s="4" t="s">
        <v>21</v>
      </c>
      <c r="B212" s="4" t="s">
        <v>35</v>
      </c>
      <c r="C212" s="4" t="s">
        <v>39</v>
      </c>
      <c r="D212" s="4" t="s">
        <v>34</v>
      </c>
      <c r="E212" s="4" t="s">
        <v>25</v>
      </c>
      <c r="F212" s="4" t="s">
        <v>25</v>
      </c>
      <c r="G212" s="4" t="s">
        <v>25</v>
      </c>
      <c r="H212" s="4" t="s">
        <v>37</v>
      </c>
      <c r="I212" s="5">
        <v>44501</v>
      </c>
      <c r="J212" s="6">
        <v>0</v>
      </c>
      <c r="K212" s="6">
        <v>0</v>
      </c>
      <c r="L212" s="6">
        <v>108.517</v>
      </c>
      <c r="M212" s="6">
        <v>108.517</v>
      </c>
      <c r="N212" s="6">
        <v>108.517</v>
      </c>
      <c r="O212" s="6">
        <v>108.517</v>
      </c>
      <c r="P212" s="6">
        <v>0</v>
      </c>
      <c r="Q212" s="4" t="s">
        <v>26</v>
      </c>
      <c r="R212" s="4">
        <v>0</v>
      </c>
      <c r="S212" s="4" t="s">
        <v>157</v>
      </c>
      <c r="T212" s="4" t="s">
        <v>314</v>
      </c>
      <c r="U212" s="4">
        <v>0</v>
      </c>
      <c r="V212" s="4">
        <v>5</v>
      </c>
      <c r="W212" s="4">
        <v>69</v>
      </c>
    </row>
    <row r="213" spans="1:23" ht="11.25" customHeight="1" x14ac:dyDescent="0.25">
      <c r="A213" s="4" t="s">
        <v>28</v>
      </c>
      <c r="B213" s="4" t="s">
        <v>35</v>
      </c>
      <c r="C213" s="4" t="s">
        <v>39</v>
      </c>
      <c r="D213" s="4" t="s">
        <v>34</v>
      </c>
      <c r="E213" s="4" t="s">
        <v>25</v>
      </c>
      <c r="F213" s="4" t="s">
        <v>25</v>
      </c>
      <c r="G213" s="4" t="s">
        <v>25</v>
      </c>
      <c r="H213" s="4" t="s">
        <v>37</v>
      </c>
      <c r="I213" s="5">
        <v>44501</v>
      </c>
      <c r="J213" s="6">
        <v>0</v>
      </c>
      <c r="K213" s="6">
        <v>0</v>
      </c>
      <c r="L213" s="6">
        <v>13.173999999999999</v>
      </c>
      <c r="M213" s="6">
        <v>13.173999999999999</v>
      </c>
      <c r="N213" s="6">
        <v>13.173999999999999</v>
      </c>
      <c r="O213" s="6">
        <v>13.173999999999999</v>
      </c>
      <c r="P213" s="6">
        <v>0</v>
      </c>
      <c r="Q213" s="4" t="s">
        <v>26</v>
      </c>
      <c r="R213" s="4">
        <v>0</v>
      </c>
      <c r="S213" s="4" t="s">
        <v>157</v>
      </c>
      <c r="T213" s="4" t="s">
        <v>314</v>
      </c>
      <c r="U213" s="4">
        <v>0</v>
      </c>
      <c r="V213" s="4">
        <v>5</v>
      </c>
      <c r="W213" s="4">
        <v>69</v>
      </c>
    </row>
    <row r="214" spans="1:23" ht="11.25" customHeight="1" x14ac:dyDescent="0.25">
      <c r="A214" s="4" t="s">
        <v>21</v>
      </c>
      <c r="B214" s="4" t="s">
        <v>35</v>
      </c>
      <c r="C214" s="4" t="s">
        <v>39</v>
      </c>
      <c r="D214" s="4" t="s">
        <v>34</v>
      </c>
      <c r="E214" s="4" t="s">
        <v>25</v>
      </c>
      <c r="F214" s="4" t="s">
        <v>25</v>
      </c>
      <c r="G214" s="4" t="s">
        <v>25</v>
      </c>
      <c r="H214" s="4" t="s">
        <v>37</v>
      </c>
      <c r="I214" s="5">
        <v>44531</v>
      </c>
      <c r="J214" s="6">
        <v>0</v>
      </c>
      <c r="K214" s="6">
        <v>0</v>
      </c>
      <c r="L214" s="6">
        <v>118.67</v>
      </c>
      <c r="M214" s="6">
        <v>118.67</v>
      </c>
      <c r="N214" s="6">
        <v>118.67</v>
      </c>
      <c r="O214" s="6">
        <v>118.67</v>
      </c>
      <c r="P214" s="6">
        <v>0</v>
      </c>
      <c r="Q214" s="4" t="s">
        <v>26</v>
      </c>
      <c r="R214" s="4">
        <v>0</v>
      </c>
      <c r="S214" s="4" t="s">
        <v>158</v>
      </c>
      <c r="T214" s="4" t="s">
        <v>315</v>
      </c>
      <c r="U214" s="4">
        <v>0</v>
      </c>
      <c r="V214" s="4">
        <v>5</v>
      </c>
      <c r="W214" s="4">
        <v>69</v>
      </c>
    </row>
    <row r="215" spans="1:23" ht="11.25" customHeight="1" x14ac:dyDescent="0.25">
      <c r="A215" s="4" t="s">
        <v>28</v>
      </c>
      <c r="B215" s="4" t="s">
        <v>35</v>
      </c>
      <c r="C215" s="4" t="s">
        <v>39</v>
      </c>
      <c r="D215" s="4" t="s">
        <v>34</v>
      </c>
      <c r="E215" s="4" t="s">
        <v>25</v>
      </c>
      <c r="F215" s="4" t="s">
        <v>25</v>
      </c>
      <c r="G215" s="4" t="s">
        <v>25</v>
      </c>
      <c r="H215" s="4" t="s">
        <v>37</v>
      </c>
      <c r="I215" s="5">
        <v>44531</v>
      </c>
      <c r="J215" s="6">
        <v>0</v>
      </c>
      <c r="K215" s="6">
        <v>0</v>
      </c>
      <c r="L215" s="6">
        <v>17.209</v>
      </c>
      <c r="M215" s="6">
        <v>17.209</v>
      </c>
      <c r="N215" s="6">
        <v>17.209</v>
      </c>
      <c r="O215" s="6">
        <v>17.209</v>
      </c>
      <c r="P215" s="6">
        <v>0</v>
      </c>
      <c r="Q215" s="4" t="s">
        <v>26</v>
      </c>
      <c r="R215" s="4">
        <v>0</v>
      </c>
      <c r="S215" s="4" t="s">
        <v>158</v>
      </c>
      <c r="T215" s="4" t="s">
        <v>315</v>
      </c>
      <c r="U215" s="4">
        <v>0</v>
      </c>
      <c r="V215" s="4">
        <v>5</v>
      </c>
      <c r="W215" s="4">
        <v>69</v>
      </c>
    </row>
    <row r="216" spans="1:23" ht="11.25" customHeight="1" x14ac:dyDescent="0.25">
      <c r="A216" s="4" t="s">
        <v>21</v>
      </c>
      <c r="B216" s="4" t="s">
        <v>35</v>
      </c>
      <c r="C216" s="4" t="s">
        <v>39</v>
      </c>
      <c r="D216" s="4" t="s">
        <v>34</v>
      </c>
      <c r="E216" s="4" t="s">
        <v>25</v>
      </c>
      <c r="F216" s="4" t="s">
        <v>25</v>
      </c>
      <c r="G216" s="4" t="s">
        <v>25</v>
      </c>
      <c r="H216" s="4" t="s">
        <v>37</v>
      </c>
      <c r="I216" s="5">
        <v>44562</v>
      </c>
      <c r="J216" s="6">
        <v>0</v>
      </c>
      <c r="K216" s="6">
        <v>0</v>
      </c>
      <c r="L216" s="6">
        <v>130.976</v>
      </c>
      <c r="M216" s="6">
        <v>130.976</v>
      </c>
      <c r="N216" s="6">
        <v>130.976</v>
      </c>
      <c r="O216" s="6">
        <v>130.976</v>
      </c>
      <c r="P216" s="6">
        <v>0</v>
      </c>
      <c r="Q216" s="4" t="s">
        <v>26</v>
      </c>
      <c r="R216" s="4">
        <v>0</v>
      </c>
      <c r="S216" s="4" t="s">
        <v>159</v>
      </c>
      <c r="T216" s="4" t="s">
        <v>316</v>
      </c>
      <c r="U216" s="4">
        <v>0</v>
      </c>
      <c r="V216" s="4">
        <v>5</v>
      </c>
      <c r="W216" s="4">
        <v>69</v>
      </c>
    </row>
    <row r="217" spans="1:23" ht="11.25" customHeight="1" x14ac:dyDescent="0.25">
      <c r="A217" s="4" t="s">
        <v>28</v>
      </c>
      <c r="B217" s="4" t="s">
        <v>35</v>
      </c>
      <c r="C217" s="4" t="s">
        <v>39</v>
      </c>
      <c r="D217" s="4" t="s">
        <v>34</v>
      </c>
      <c r="E217" s="4" t="s">
        <v>25</v>
      </c>
      <c r="F217" s="4" t="s">
        <v>25</v>
      </c>
      <c r="G217" s="4" t="s">
        <v>25</v>
      </c>
      <c r="H217" s="4" t="s">
        <v>37</v>
      </c>
      <c r="I217" s="5">
        <v>44562</v>
      </c>
      <c r="J217" s="6">
        <v>0</v>
      </c>
      <c r="K217" s="6">
        <v>0</v>
      </c>
      <c r="L217" s="6">
        <v>10.894</v>
      </c>
      <c r="M217" s="6">
        <v>10.894</v>
      </c>
      <c r="N217" s="6">
        <v>10.894</v>
      </c>
      <c r="O217" s="6">
        <v>10.894</v>
      </c>
      <c r="P217" s="6">
        <v>0</v>
      </c>
      <c r="Q217" s="4" t="s">
        <v>26</v>
      </c>
      <c r="R217" s="4">
        <v>0</v>
      </c>
      <c r="S217" s="4" t="s">
        <v>159</v>
      </c>
      <c r="T217" s="4" t="s">
        <v>316</v>
      </c>
      <c r="U217" s="4">
        <v>0</v>
      </c>
      <c r="V217" s="4">
        <v>5</v>
      </c>
      <c r="W217" s="4">
        <v>69</v>
      </c>
    </row>
    <row r="218" spans="1:23" ht="11.25" customHeight="1" x14ac:dyDescent="0.25">
      <c r="A218" s="4" t="s">
        <v>21</v>
      </c>
      <c r="B218" s="4" t="s">
        <v>35</v>
      </c>
      <c r="C218" s="4" t="s">
        <v>39</v>
      </c>
      <c r="D218" s="4" t="s">
        <v>34</v>
      </c>
      <c r="E218" s="4" t="s">
        <v>25</v>
      </c>
      <c r="F218" s="4" t="s">
        <v>25</v>
      </c>
      <c r="G218" s="4" t="s">
        <v>25</v>
      </c>
      <c r="H218" s="4" t="s">
        <v>37</v>
      </c>
      <c r="I218" s="5">
        <v>44593</v>
      </c>
      <c r="J218" s="6">
        <v>0</v>
      </c>
      <c r="K218" s="6">
        <v>0</v>
      </c>
      <c r="L218" s="6">
        <v>147.625</v>
      </c>
      <c r="M218" s="6">
        <v>147.625</v>
      </c>
      <c r="N218" s="6">
        <v>147.625</v>
      </c>
      <c r="O218" s="6">
        <v>147.625</v>
      </c>
      <c r="P218" s="6">
        <v>0</v>
      </c>
      <c r="Q218" s="4" t="s">
        <v>26</v>
      </c>
      <c r="R218" s="4">
        <v>0</v>
      </c>
      <c r="S218" s="4" t="s">
        <v>160</v>
      </c>
      <c r="T218" s="4" t="s">
        <v>317</v>
      </c>
      <c r="U218" s="4">
        <v>0</v>
      </c>
      <c r="V218" s="4">
        <v>5</v>
      </c>
      <c r="W218" s="4">
        <v>69</v>
      </c>
    </row>
    <row r="219" spans="1:23" ht="11.25" customHeight="1" x14ac:dyDescent="0.25">
      <c r="A219" s="4" t="s">
        <v>28</v>
      </c>
      <c r="B219" s="4" t="s">
        <v>35</v>
      </c>
      <c r="C219" s="4" t="s">
        <v>39</v>
      </c>
      <c r="D219" s="4" t="s">
        <v>34</v>
      </c>
      <c r="E219" s="4" t="s">
        <v>25</v>
      </c>
      <c r="F219" s="4" t="s">
        <v>25</v>
      </c>
      <c r="G219" s="4" t="s">
        <v>25</v>
      </c>
      <c r="H219" s="4" t="s">
        <v>37</v>
      </c>
      <c r="I219" s="5">
        <v>44593</v>
      </c>
      <c r="J219" s="6">
        <v>0</v>
      </c>
      <c r="K219" s="6">
        <v>0</v>
      </c>
      <c r="L219" s="6">
        <v>11.051</v>
      </c>
      <c r="M219" s="6">
        <v>11.051</v>
      </c>
      <c r="N219" s="6">
        <v>11.051</v>
      </c>
      <c r="O219" s="6">
        <v>11.051</v>
      </c>
      <c r="P219" s="6">
        <v>0</v>
      </c>
      <c r="Q219" s="4" t="s">
        <v>26</v>
      </c>
      <c r="R219" s="4">
        <v>0</v>
      </c>
      <c r="S219" s="4" t="s">
        <v>160</v>
      </c>
      <c r="T219" s="4" t="s">
        <v>317</v>
      </c>
      <c r="U219" s="4">
        <v>0</v>
      </c>
      <c r="V219" s="4">
        <v>5</v>
      </c>
      <c r="W219" s="4">
        <v>69</v>
      </c>
    </row>
    <row r="220" spans="1:23" ht="11.25" customHeight="1" x14ac:dyDescent="0.25">
      <c r="A220" s="4" t="s">
        <v>21</v>
      </c>
      <c r="B220" s="4" t="s">
        <v>35</v>
      </c>
      <c r="C220" s="4" t="s">
        <v>39</v>
      </c>
      <c r="D220" s="4" t="s">
        <v>34</v>
      </c>
      <c r="E220" s="4" t="s">
        <v>25</v>
      </c>
      <c r="F220" s="4" t="s">
        <v>25</v>
      </c>
      <c r="G220" s="4" t="s">
        <v>25</v>
      </c>
      <c r="H220" s="4" t="s">
        <v>37</v>
      </c>
      <c r="I220" s="5">
        <v>44621</v>
      </c>
      <c r="J220" s="6">
        <v>0</v>
      </c>
      <c r="K220" s="6">
        <v>0</v>
      </c>
      <c r="L220" s="6">
        <v>159.49</v>
      </c>
      <c r="M220" s="6">
        <v>159.49</v>
      </c>
      <c r="N220" s="6">
        <v>159.49</v>
      </c>
      <c r="O220" s="6">
        <v>159.49</v>
      </c>
      <c r="P220" s="6">
        <v>0</v>
      </c>
      <c r="Q220" s="4" t="s">
        <v>26</v>
      </c>
      <c r="R220" s="4">
        <v>0</v>
      </c>
      <c r="S220" s="4" t="s">
        <v>161</v>
      </c>
      <c r="T220" s="4" t="s">
        <v>318</v>
      </c>
      <c r="U220" s="4">
        <v>0</v>
      </c>
      <c r="V220" s="4">
        <v>5</v>
      </c>
      <c r="W220" s="4">
        <v>69</v>
      </c>
    </row>
    <row r="221" spans="1:23" ht="11.25" customHeight="1" x14ac:dyDescent="0.25">
      <c r="A221" s="4" t="s">
        <v>28</v>
      </c>
      <c r="B221" s="4" t="s">
        <v>35</v>
      </c>
      <c r="C221" s="4" t="s">
        <v>39</v>
      </c>
      <c r="D221" s="4" t="s">
        <v>34</v>
      </c>
      <c r="E221" s="4" t="s">
        <v>25</v>
      </c>
      <c r="F221" s="4" t="s">
        <v>25</v>
      </c>
      <c r="G221" s="4" t="s">
        <v>25</v>
      </c>
      <c r="H221" s="4" t="s">
        <v>37</v>
      </c>
      <c r="I221" s="5">
        <v>44621</v>
      </c>
      <c r="J221" s="6">
        <v>0</v>
      </c>
      <c r="K221" s="6">
        <v>0</v>
      </c>
      <c r="L221" s="6">
        <v>14.669</v>
      </c>
      <c r="M221" s="6">
        <v>14.669</v>
      </c>
      <c r="N221" s="6">
        <v>14.669</v>
      </c>
      <c r="O221" s="6">
        <v>14.669</v>
      </c>
      <c r="P221" s="6">
        <v>0</v>
      </c>
      <c r="Q221" s="4" t="s">
        <v>26</v>
      </c>
      <c r="R221" s="4">
        <v>0</v>
      </c>
      <c r="S221" s="4" t="s">
        <v>161</v>
      </c>
      <c r="T221" s="4" t="s">
        <v>318</v>
      </c>
      <c r="U221" s="4">
        <v>0</v>
      </c>
      <c r="V221" s="4">
        <v>5</v>
      </c>
      <c r="W221" s="4">
        <v>69</v>
      </c>
    </row>
    <row r="222" spans="1:23" ht="11.25" customHeight="1" x14ac:dyDescent="0.25">
      <c r="A222" s="4" t="s">
        <v>21</v>
      </c>
      <c r="B222" s="4" t="s">
        <v>35</v>
      </c>
      <c r="C222" s="4" t="s">
        <v>39</v>
      </c>
      <c r="D222" s="4" t="s">
        <v>34</v>
      </c>
      <c r="E222" s="4" t="s">
        <v>25</v>
      </c>
      <c r="F222" s="4" t="s">
        <v>25</v>
      </c>
      <c r="G222" s="4" t="s">
        <v>25</v>
      </c>
      <c r="H222" s="4" t="s">
        <v>37</v>
      </c>
      <c r="I222" s="5">
        <v>44652</v>
      </c>
      <c r="J222" s="6">
        <v>0</v>
      </c>
      <c r="K222" s="6">
        <v>0</v>
      </c>
      <c r="L222" s="6">
        <v>140.93199999999999</v>
      </c>
      <c r="M222" s="6">
        <v>140.93199999999999</v>
      </c>
      <c r="N222" s="6">
        <v>140.93199999999999</v>
      </c>
      <c r="O222" s="6">
        <v>140.93199999999999</v>
      </c>
      <c r="P222" s="6">
        <v>0</v>
      </c>
      <c r="Q222" s="4" t="s">
        <v>26</v>
      </c>
      <c r="R222" s="4">
        <v>0</v>
      </c>
      <c r="S222" s="4" t="s">
        <v>162</v>
      </c>
      <c r="T222" s="4" t="s">
        <v>319</v>
      </c>
      <c r="U222" s="4">
        <v>0</v>
      </c>
      <c r="V222" s="4">
        <v>5</v>
      </c>
      <c r="W222" s="4">
        <v>69</v>
      </c>
    </row>
    <row r="223" spans="1:23" ht="11.25" customHeight="1" x14ac:dyDescent="0.25">
      <c r="A223" s="4" t="s">
        <v>28</v>
      </c>
      <c r="B223" s="4" t="s">
        <v>35</v>
      </c>
      <c r="C223" s="4" t="s">
        <v>39</v>
      </c>
      <c r="D223" s="4" t="s">
        <v>34</v>
      </c>
      <c r="E223" s="4" t="s">
        <v>25</v>
      </c>
      <c r="F223" s="4" t="s">
        <v>25</v>
      </c>
      <c r="G223" s="4" t="s">
        <v>25</v>
      </c>
      <c r="H223" s="4" t="s">
        <v>37</v>
      </c>
      <c r="I223" s="5">
        <v>44652</v>
      </c>
      <c r="J223" s="6">
        <v>0</v>
      </c>
      <c r="K223" s="6">
        <v>0</v>
      </c>
      <c r="L223" s="6">
        <v>13.086</v>
      </c>
      <c r="M223" s="6">
        <v>13.086</v>
      </c>
      <c r="N223" s="6">
        <v>13.086</v>
      </c>
      <c r="O223" s="6">
        <v>13.086</v>
      </c>
      <c r="P223" s="6">
        <v>0</v>
      </c>
      <c r="Q223" s="4" t="s">
        <v>26</v>
      </c>
      <c r="R223" s="4">
        <v>0</v>
      </c>
      <c r="S223" s="4" t="s">
        <v>162</v>
      </c>
      <c r="T223" s="4" t="s">
        <v>319</v>
      </c>
      <c r="U223" s="4">
        <v>0</v>
      </c>
      <c r="V223" s="4">
        <v>5</v>
      </c>
      <c r="W223" s="4">
        <v>69</v>
      </c>
    </row>
    <row r="224" spans="1:23" ht="11.25" customHeight="1" x14ac:dyDescent="0.25">
      <c r="A224" s="4" t="s">
        <v>21</v>
      </c>
      <c r="B224" s="4" t="s">
        <v>35</v>
      </c>
      <c r="C224" s="4" t="s">
        <v>39</v>
      </c>
      <c r="D224" s="4" t="s">
        <v>34</v>
      </c>
      <c r="E224" s="4" t="s">
        <v>25</v>
      </c>
      <c r="F224" s="4" t="s">
        <v>25</v>
      </c>
      <c r="G224" s="4" t="s">
        <v>25</v>
      </c>
      <c r="H224" s="4" t="s">
        <v>37</v>
      </c>
      <c r="I224" s="5">
        <v>44682</v>
      </c>
      <c r="J224" s="6">
        <v>0</v>
      </c>
      <c r="K224" s="6">
        <v>0</v>
      </c>
      <c r="L224" s="6">
        <v>160.12299999999999</v>
      </c>
      <c r="M224" s="6">
        <v>160.12299999999999</v>
      </c>
      <c r="N224" s="6">
        <v>160.12299999999999</v>
      </c>
      <c r="O224" s="6">
        <v>160.12299999999999</v>
      </c>
      <c r="P224" s="6">
        <v>0</v>
      </c>
      <c r="Q224" s="4" t="s">
        <v>26</v>
      </c>
      <c r="R224" s="4">
        <v>0</v>
      </c>
      <c r="S224" s="4" t="s">
        <v>163</v>
      </c>
      <c r="T224" s="4" t="s">
        <v>320</v>
      </c>
      <c r="U224" s="4">
        <v>0</v>
      </c>
      <c r="V224" s="4">
        <v>5</v>
      </c>
      <c r="W224" s="4">
        <v>69</v>
      </c>
    </row>
    <row r="225" spans="1:23" ht="11.25" customHeight="1" x14ac:dyDescent="0.25">
      <c r="A225" s="4" t="s">
        <v>28</v>
      </c>
      <c r="B225" s="4" t="s">
        <v>35</v>
      </c>
      <c r="C225" s="4" t="s">
        <v>39</v>
      </c>
      <c r="D225" s="4" t="s">
        <v>34</v>
      </c>
      <c r="E225" s="4" t="s">
        <v>25</v>
      </c>
      <c r="F225" s="4" t="s">
        <v>25</v>
      </c>
      <c r="G225" s="4" t="s">
        <v>25</v>
      </c>
      <c r="H225" s="4" t="s">
        <v>37</v>
      </c>
      <c r="I225" s="5">
        <v>44682</v>
      </c>
      <c r="J225" s="6">
        <v>0</v>
      </c>
      <c r="K225" s="6">
        <v>0</v>
      </c>
      <c r="L225" s="6">
        <v>16.306999999999999</v>
      </c>
      <c r="M225" s="6">
        <v>16.306999999999999</v>
      </c>
      <c r="N225" s="6">
        <v>16.306999999999999</v>
      </c>
      <c r="O225" s="6">
        <v>16.306999999999999</v>
      </c>
      <c r="P225" s="6">
        <v>0</v>
      </c>
      <c r="Q225" s="4" t="s">
        <v>26</v>
      </c>
      <c r="R225" s="4">
        <v>0</v>
      </c>
      <c r="S225" s="4" t="s">
        <v>163</v>
      </c>
      <c r="T225" s="4" t="s">
        <v>320</v>
      </c>
      <c r="U225" s="4">
        <v>0</v>
      </c>
      <c r="V225" s="4">
        <v>5</v>
      </c>
      <c r="W225" s="4">
        <v>69</v>
      </c>
    </row>
    <row r="226" spans="1:23" ht="11.25" customHeight="1" x14ac:dyDescent="0.25">
      <c r="A226" s="4" t="s">
        <v>21</v>
      </c>
      <c r="B226" s="4" t="s">
        <v>35</v>
      </c>
      <c r="C226" s="4" t="s">
        <v>39</v>
      </c>
      <c r="D226" s="4" t="s">
        <v>34</v>
      </c>
      <c r="E226" s="4" t="s">
        <v>25</v>
      </c>
      <c r="F226" s="4" t="s">
        <v>25</v>
      </c>
      <c r="G226" s="4" t="s">
        <v>25</v>
      </c>
      <c r="H226" s="4" t="s">
        <v>37</v>
      </c>
      <c r="I226" s="5">
        <v>44713</v>
      </c>
      <c r="J226" s="6">
        <v>0</v>
      </c>
      <c r="K226" s="6">
        <v>0</v>
      </c>
      <c r="L226" s="6">
        <v>169.49299999999999</v>
      </c>
      <c r="M226" s="6">
        <v>169.49299999999999</v>
      </c>
      <c r="N226" s="6">
        <v>169.49299999999999</v>
      </c>
      <c r="O226" s="6">
        <v>169.49299999999999</v>
      </c>
      <c r="P226" s="6">
        <v>0</v>
      </c>
      <c r="Q226" s="4" t="s">
        <v>26</v>
      </c>
      <c r="R226" s="4">
        <v>0</v>
      </c>
      <c r="S226" s="4" t="s">
        <v>164</v>
      </c>
      <c r="T226" s="4" t="s">
        <v>321</v>
      </c>
      <c r="U226" s="4">
        <v>0</v>
      </c>
      <c r="V226" s="4">
        <v>5</v>
      </c>
      <c r="W226" s="4">
        <v>69</v>
      </c>
    </row>
    <row r="227" spans="1:23" ht="11.25" customHeight="1" x14ac:dyDescent="0.25">
      <c r="A227" s="4" t="s">
        <v>28</v>
      </c>
      <c r="B227" s="4" t="s">
        <v>35</v>
      </c>
      <c r="C227" s="4" t="s">
        <v>39</v>
      </c>
      <c r="D227" s="4" t="s">
        <v>34</v>
      </c>
      <c r="E227" s="4" t="s">
        <v>25</v>
      </c>
      <c r="F227" s="4" t="s">
        <v>25</v>
      </c>
      <c r="G227" s="4" t="s">
        <v>25</v>
      </c>
      <c r="H227" s="4" t="s">
        <v>37</v>
      </c>
      <c r="I227" s="5">
        <v>44713</v>
      </c>
      <c r="J227" s="6">
        <v>0</v>
      </c>
      <c r="K227" s="6">
        <v>0</v>
      </c>
      <c r="L227" s="6">
        <v>12.361000000000001</v>
      </c>
      <c r="M227" s="6">
        <v>12.361000000000001</v>
      </c>
      <c r="N227" s="6">
        <v>12.361000000000001</v>
      </c>
      <c r="O227" s="6">
        <v>12.361000000000001</v>
      </c>
      <c r="P227" s="6">
        <v>0</v>
      </c>
      <c r="Q227" s="4" t="s">
        <v>26</v>
      </c>
      <c r="R227" s="4">
        <v>0</v>
      </c>
      <c r="S227" s="4" t="s">
        <v>164</v>
      </c>
      <c r="T227" s="4" t="s">
        <v>321</v>
      </c>
      <c r="U227" s="4">
        <v>0</v>
      </c>
      <c r="V227" s="4">
        <v>5</v>
      </c>
      <c r="W227" s="4">
        <v>69</v>
      </c>
    </row>
    <row r="228" spans="1:23" ht="11.25" customHeight="1" x14ac:dyDescent="0.25">
      <c r="A228" s="4" t="s">
        <v>55</v>
      </c>
      <c r="B228" s="4" t="s">
        <v>35</v>
      </c>
      <c r="C228" s="4" t="s">
        <v>39</v>
      </c>
      <c r="D228" s="4" t="s">
        <v>34</v>
      </c>
      <c r="E228" s="4" t="s">
        <v>25</v>
      </c>
      <c r="F228" s="4" t="s">
        <v>25</v>
      </c>
      <c r="G228" s="4" t="s">
        <v>25</v>
      </c>
      <c r="H228" s="4" t="s">
        <v>37</v>
      </c>
      <c r="I228" s="5">
        <v>44743</v>
      </c>
      <c r="J228" s="6">
        <v>0</v>
      </c>
      <c r="K228" s="6">
        <v>0</v>
      </c>
      <c r="L228" s="6">
        <v>169.49299999999999</v>
      </c>
      <c r="M228" s="6">
        <v>169.49299999999999</v>
      </c>
      <c r="N228" s="6">
        <v>169.49299999999999</v>
      </c>
      <c r="O228" s="6">
        <v>169.49299999999999</v>
      </c>
      <c r="P228" s="6">
        <v>0</v>
      </c>
      <c r="Q228" s="4" t="s">
        <v>26</v>
      </c>
      <c r="R228" s="4">
        <v>0</v>
      </c>
      <c r="S228" s="4" t="s">
        <v>165</v>
      </c>
      <c r="T228" s="4" t="s">
        <v>322</v>
      </c>
      <c r="U228" s="4">
        <v>0</v>
      </c>
      <c r="V228" s="4">
        <v>5</v>
      </c>
      <c r="W228" s="4">
        <v>69</v>
      </c>
    </row>
    <row r="229" spans="1:23" ht="11.25" customHeight="1" x14ac:dyDescent="0.25">
      <c r="A229" s="4" t="s">
        <v>55</v>
      </c>
      <c r="B229" s="4" t="s">
        <v>35</v>
      </c>
      <c r="C229" s="4" t="s">
        <v>39</v>
      </c>
      <c r="D229" s="4" t="s">
        <v>34</v>
      </c>
      <c r="E229" s="4" t="s">
        <v>25</v>
      </c>
      <c r="F229" s="4" t="s">
        <v>25</v>
      </c>
      <c r="G229" s="4" t="s">
        <v>25</v>
      </c>
      <c r="H229" s="4" t="s">
        <v>37</v>
      </c>
      <c r="I229" s="5">
        <v>44743</v>
      </c>
      <c r="J229" s="6">
        <v>0</v>
      </c>
      <c r="K229" s="6">
        <v>0</v>
      </c>
      <c r="L229" s="6">
        <v>12.361000000000001</v>
      </c>
      <c r="M229" s="6">
        <v>12.361000000000001</v>
      </c>
      <c r="N229" s="6">
        <v>12.361000000000001</v>
      </c>
      <c r="O229" s="6">
        <v>12.361000000000001</v>
      </c>
      <c r="P229" s="6">
        <v>0</v>
      </c>
      <c r="Q229" s="4" t="s">
        <v>26</v>
      </c>
      <c r="R229" s="4">
        <v>0</v>
      </c>
      <c r="S229" s="4" t="s">
        <v>165</v>
      </c>
      <c r="T229" s="4" t="s">
        <v>322</v>
      </c>
      <c r="U229" s="4">
        <v>0</v>
      </c>
      <c r="V229" s="4">
        <v>5</v>
      </c>
      <c r="W229" s="4">
        <v>69</v>
      </c>
    </row>
    <row r="230" spans="1:23" ht="11.25" customHeight="1" x14ac:dyDescent="0.25">
      <c r="A230" s="4" t="s">
        <v>21</v>
      </c>
      <c r="B230" s="4" t="s">
        <v>35</v>
      </c>
      <c r="C230" s="4" t="s">
        <v>39</v>
      </c>
      <c r="D230" s="4" t="s">
        <v>43</v>
      </c>
      <c r="E230" s="4" t="s">
        <v>25</v>
      </c>
      <c r="F230" s="4" t="s">
        <v>25</v>
      </c>
      <c r="G230" s="4" t="s">
        <v>25</v>
      </c>
      <c r="H230" s="4" t="s">
        <v>38</v>
      </c>
      <c r="I230" s="5">
        <v>44409</v>
      </c>
      <c r="J230" s="6">
        <v>0</v>
      </c>
      <c r="K230" s="6">
        <v>0</v>
      </c>
      <c r="L230" s="6">
        <v>22.125</v>
      </c>
      <c r="M230" s="6">
        <v>22.125</v>
      </c>
      <c r="N230" s="6">
        <v>22.125</v>
      </c>
      <c r="O230" s="6">
        <v>22.125</v>
      </c>
      <c r="P230" s="6">
        <v>0</v>
      </c>
      <c r="Q230" s="4" t="s">
        <v>26</v>
      </c>
      <c r="R230" s="4">
        <v>0</v>
      </c>
      <c r="S230" s="4" t="s">
        <v>130</v>
      </c>
      <c r="T230" s="4" t="s">
        <v>299</v>
      </c>
      <c r="U230" s="4">
        <v>0</v>
      </c>
      <c r="V230" s="4">
        <v>18</v>
      </c>
      <c r="W230" s="4">
        <v>73</v>
      </c>
    </row>
    <row r="231" spans="1:23" ht="11.25" customHeight="1" x14ac:dyDescent="0.25">
      <c r="A231" s="4" t="s">
        <v>21</v>
      </c>
      <c r="B231" s="4" t="s">
        <v>35</v>
      </c>
      <c r="C231" s="4" t="s">
        <v>39</v>
      </c>
      <c r="D231" s="4" t="s">
        <v>43</v>
      </c>
      <c r="E231" s="4" t="s">
        <v>25</v>
      </c>
      <c r="F231" s="4" t="s">
        <v>25</v>
      </c>
      <c r="G231" s="4" t="s">
        <v>25</v>
      </c>
      <c r="H231" s="4" t="s">
        <v>38</v>
      </c>
      <c r="I231" s="5">
        <v>44440</v>
      </c>
      <c r="J231" s="6">
        <v>0</v>
      </c>
      <c r="K231" s="6">
        <v>0</v>
      </c>
      <c r="L231" s="6">
        <v>25.553999999999998</v>
      </c>
      <c r="M231" s="6">
        <v>25.553999999999998</v>
      </c>
      <c r="N231" s="6">
        <v>25.553999999999998</v>
      </c>
      <c r="O231" s="6">
        <v>25.553999999999998</v>
      </c>
      <c r="P231" s="6">
        <v>0</v>
      </c>
      <c r="Q231" s="4" t="s">
        <v>26</v>
      </c>
      <c r="R231" s="4">
        <v>0</v>
      </c>
      <c r="S231" s="4" t="s">
        <v>131</v>
      </c>
      <c r="T231" s="4" t="s">
        <v>300</v>
      </c>
      <c r="U231" s="4">
        <v>0</v>
      </c>
      <c r="V231" s="4">
        <v>18</v>
      </c>
      <c r="W231" s="4">
        <v>73</v>
      </c>
    </row>
    <row r="232" spans="1:23" ht="11.25" customHeight="1" x14ac:dyDescent="0.25">
      <c r="A232" s="4" t="s">
        <v>21</v>
      </c>
      <c r="B232" s="4" t="s">
        <v>35</v>
      </c>
      <c r="C232" s="4" t="s">
        <v>39</v>
      </c>
      <c r="D232" s="4" t="s">
        <v>43</v>
      </c>
      <c r="E232" s="4" t="s">
        <v>25</v>
      </c>
      <c r="F232" s="4" t="s">
        <v>25</v>
      </c>
      <c r="G232" s="4" t="s">
        <v>25</v>
      </c>
      <c r="H232" s="4" t="s">
        <v>38</v>
      </c>
      <c r="I232" s="5">
        <v>44470</v>
      </c>
      <c r="J232" s="6">
        <v>0</v>
      </c>
      <c r="K232" s="6">
        <v>0</v>
      </c>
      <c r="L232" s="6">
        <v>30.795999999999999</v>
      </c>
      <c r="M232" s="6">
        <v>30.795999999999999</v>
      </c>
      <c r="N232" s="6">
        <v>30.795999999999999</v>
      </c>
      <c r="O232" s="6">
        <v>30.795999999999999</v>
      </c>
      <c r="P232" s="6">
        <v>0</v>
      </c>
      <c r="Q232" s="4" t="s">
        <v>26</v>
      </c>
      <c r="R232" s="4">
        <v>0</v>
      </c>
      <c r="S232" s="4" t="s">
        <v>132</v>
      </c>
      <c r="T232" s="4" t="s">
        <v>301</v>
      </c>
      <c r="U232" s="4">
        <v>0</v>
      </c>
      <c r="V232" s="4">
        <v>18</v>
      </c>
      <c r="W232" s="4">
        <v>73</v>
      </c>
    </row>
    <row r="233" spans="1:23" ht="11.25" customHeight="1" x14ac:dyDescent="0.25">
      <c r="A233" s="4" t="s">
        <v>21</v>
      </c>
      <c r="B233" s="4" t="s">
        <v>35</v>
      </c>
      <c r="C233" s="4" t="s">
        <v>39</v>
      </c>
      <c r="D233" s="4" t="s">
        <v>43</v>
      </c>
      <c r="E233" s="4" t="s">
        <v>25</v>
      </c>
      <c r="F233" s="4" t="s">
        <v>25</v>
      </c>
      <c r="G233" s="4" t="s">
        <v>25</v>
      </c>
      <c r="H233" s="4" t="s">
        <v>38</v>
      </c>
      <c r="I233" s="5">
        <v>44501</v>
      </c>
      <c r="J233" s="6">
        <v>0</v>
      </c>
      <c r="K233" s="6">
        <v>0</v>
      </c>
      <c r="L233" s="6">
        <v>35.530999999999999</v>
      </c>
      <c r="M233" s="6">
        <v>35.530999999999999</v>
      </c>
      <c r="N233" s="6">
        <v>35.530999999999999</v>
      </c>
      <c r="O233" s="6">
        <v>35.530999999999999</v>
      </c>
      <c r="P233" s="6">
        <v>0</v>
      </c>
      <c r="Q233" s="4" t="s">
        <v>26</v>
      </c>
      <c r="R233" s="4">
        <v>0</v>
      </c>
      <c r="S233" s="4" t="s">
        <v>133</v>
      </c>
      <c r="T233" s="4" t="s">
        <v>302</v>
      </c>
      <c r="U233" s="4">
        <v>0</v>
      </c>
      <c r="V233" s="4">
        <v>18</v>
      </c>
      <c r="W233" s="4">
        <v>73</v>
      </c>
    </row>
    <row r="234" spans="1:23" ht="11.25" customHeight="1" x14ac:dyDescent="0.25">
      <c r="A234" s="4" t="s">
        <v>21</v>
      </c>
      <c r="B234" s="4" t="s">
        <v>35</v>
      </c>
      <c r="C234" s="4" t="s">
        <v>39</v>
      </c>
      <c r="D234" s="4" t="s">
        <v>43</v>
      </c>
      <c r="E234" s="4" t="s">
        <v>25</v>
      </c>
      <c r="F234" s="4" t="s">
        <v>25</v>
      </c>
      <c r="G234" s="4" t="s">
        <v>25</v>
      </c>
      <c r="H234" s="4" t="s">
        <v>38</v>
      </c>
      <c r="I234" s="5">
        <v>44531</v>
      </c>
      <c r="J234" s="6">
        <v>0</v>
      </c>
      <c r="K234" s="6">
        <v>0</v>
      </c>
      <c r="L234" s="6">
        <v>5.016</v>
      </c>
      <c r="M234" s="6">
        <v>5.016</v>
      </c>
      <c r="N234" s="6">
        <v>5.016</v>
      </c>
      <c r="O234" s="6">
        <v>5.016</v>
      </c>
      <c r="P234" s="6">
        <v>0</v>
      </c>
      <c r="Q234" s="4" t="s">
        <v>26</v>
      </c>
      <c r="R234" s="4">
        <v>0</v>
      </c>
      <c r="S234" s="4" t="s">
        <v>134</v>
      </c>
      <c r="T234" s="4" t="s">
        <v>303</v>
      </c>
      <c r="U234" s="4">
        <v>0</v>
      </c>
      <c r="V234" s="4">
        <v>18</v>
      </c>
      <c r="W234" s="4">
        <v>73</v>
      </c>
    </row>
    <row r="235" spans="1:23" ht="11.25" customHeight="1" x14ac:dyDescent="0.25">
      <c r="A235" s="4" t="s">
        <v>28</v>
      </c>
      <c r="B235" s="4" t="s">
        <v>35</v>
      </c>
      <c r="C235" s="4" t="s">
        <v>39</v>
      </c>
      <c r="D235" s="4" t="s">
        <v>43</v>
      </c>
      <c r="E235" s="4" t="s">
        <v>25</v>
      </c>
      <c r="F235" s="4" t="s">
        <v>25</v>
      </c>
      <c r="G235" s="4" t="s">
        <v>25</v>
      </c>
      <c r="H235" s="4" t="s">
        <v>38</v>
      </c>
      <c r="I235" s="5">
        <v>44531</v>
      </c>
      <c r="J235" s="6">
        <v>0</v>
      </c>
      <c r="K235" s="6">
        <v>0</v>
      </c>
      <c r="L235" s="6">
        <v>24.227</v>
      </c>
      <c r="M235" s="6">
        <v>24.227</v>
      </c>
      <c r="N235" s="6">
        <v>24.227</v>
      </c>
      <c r="O235" s="6">
        <v>24.227</v>
      </c>
      <c r="P235" s="6">
        <v>0</v>
      </c>
      <c r="Q235" s="4" t="s">
        <v>26</v>
      </c>
      <c r="R235" s="4">
        <v>0</v>
      </c>
      <c r="S235" s="4" t="s">
        <v>134</v>
      </c>
      <c r="T235" s="4" t="s">
        <v>303</v>
      </c>
      <c r="U235" s="4">
        <v>0</v>
      </c>
      <c r="V235" s="4">
        <v>18</v>
      </c>
      <c r="W235" s="4">
        <v>73</v>
      </c>
    </row>
    <row r="236" spans="1:23" ht="11.25" customHeight="1" x14ac:dyDescent="0.25">
      <c r="A236" s="4" t="s">
        <v>21</v>
      </c>
      <c r="B236" s="4" t="s">
        <v>35</v>
      </c>
      <c r="C236" s="4" t="s">
        <v>39</v>
      </c>
      <c r="D236" s="4" t="s">
        <v>43</v>
      </c>
      <c r="E236" s="4" t="s">
        <v>25</v>
      </c>
      <c r="F236" s="4" t="s">
        <v>25</v>
      </c>
      <c r="G236" s="4" t="s">
        <v>25</v>
      </c>
      <c r="H236" s="4" t="s">
        <v>38</v>
      </c>
      <c r="I236" s="5">
        <v>44562</v>
      </c>
      <c r="J236" s="6">
        <v>0</v>
      </c>
      <c r="K236" s="6">
        <v>0</v>
      </c>
      <c r="L236" s="6">
        <v>6.3380000000000001</v>
      </c>
      <c r="M236" s="6">
        <v>6.3380000000000001</v>
      </c>
      <c r="N236" s="6">
        <v>6.3380000000000001</v>
      </c>
      <c r="O236" s="6">
        <v>6.3380000000000001</v>
      </c>
      <c r="P236" s="6">
        <v>0</v>
      </c>
      <c r="Q236" s="4" t="s">
        <v>26</v>
      </c>
      <c r="R236" s="4">
        <v>0</v>
      </c>
      <c r="S236" s="4" t="s">
        <v>135</v>
      </c>
      <c r="T236" s="4" t="s">
        <v>304</v>
      </c>
      <c r="U236" s="4">
        <v>0</v>
      </c>
      <c r="V236" s="4">
        <v>18</v>
      </c>
      <c r="W236" s="4">
        <v>73</v>
      </c>
    </row>
    <row r="237" spans="1:23" ht="11.25" customHeight="1" x14ac:dyDescent="0.25">
      <c r="A237" s="4" t="s">
        <v>28</v>
      </c>
      <c r="B237" s="4" t="s">
        <v>35</v>
      </c>
      <c r="C237" s="4" t="s">
        <v>39</v>
      </c>
      <c r="D237" s="4" t="s">
        <v>43</v>
      </c>
      <c r="E237" s="4" t="s">
        <v>25</v>
      </c>
      <c r="F237" s="4" t="s">
        <v>25</v>
      </c>
      <c r="G237" s="4" t="s">
        <v>25</v>
      </c>
      <c r="H237" s="4" t="s">
        <v>38</v>
      </c>
      <c r="I237" s="5">
        <v>44562</v>
      </c>
      <c r="J237" s="6">
        <v>0</v>
      </c>
      <c r="K237" s="6">
        <v>0</v>
      </c>
      <c r="L237" s="6">
        <v>27.763999999999999</v>
      </c>
      <c r="M237" s="6">
        <v>27.763999999999999</v>
      </c>
      <c r="N237" s="6">
        <v>27.763999999999999</v>
      </c>
      <c r="O237" s="6">
        <v>27.763999999999999</v>
      </c>
      <c r="P237" s="6">
        <v>0</v>
      </c>
      <c r="Q237" s="4" t="s">
        <v>26</v>
      </c>
      <c r="R237" s="4">
        <v>0</v>
      </c>
      <c r="S237" s="4" t="s">
        <v>135</v>
      </c>
      <c r="T237" s="4" t="s">
        <v>304</v>
      </c>
      <c r="U237" s="4">
        <v>0</v>
      </c>
      <c r="V237" s="4">
        <v>18</v>
      </c>
      <c r="W237" s="4">
        <v>73</v>
      </c>
    </row>
    <row r="238" spans="1:23" ht="11.25" customHeight="1" x14ac:dyDescent="0.25">
      <c r="A238" s="4" t="s">
        <v>21</v>
      </c>
      <c r="B238" s="4" t="s">
        <v>35</v>
      </c>
      <c r="C238" s="4" t="s">
        <v>39</v>
      </c>
      <c r="D238" s="4" t="s">
        <v>43</v>
      </c>
      <c r="E238" s="4" t="s">
        <v>25</v>
      </c>
      <c r="F238" s="4" t="s">
        <v>25</v>
      </c>
      <c r="G238" s="4" t="s">
        <v>25</v>
      </c>
      <c r="H238" s="4" t="s">
        <v>38</v>
      </c>
      <c r="I238" s="5">
        <v>44593</v>
      </c>
      <c r="J238" s="6">
        <v>0</v>
      </c>
      <c r="K238" s="6">
        <v>0</v>
      </c>
      <c r="L238" s="6">
        <v>6.3890000000000002</v>
      </c>
      <c r="M238" s="6">
        <v>6.3890000000000002</v>
      </c>
      <c r="N238" s="6">
        <v>6.3890000000000002</v>
      </c>
      <c r="O238" s="6">
        <v>6.3890000000000002</v>
      </c>
      <c r="P238" s="6">
        <v>0</v>
      </c>
      <c r="Q238" s="4" t="s">
        <v>26</v>
      </c>
      <c r="R238" s="4">
        <v>0</v>
      </c>
      <c r="S238" s="4" t="s">
        <v>136</v>
      </c>
      <c r="T238" s="4" t="s">
        <v>305</v>
      </c>
      <c r="U238" s="4">
        <v>0</v>
      </c>
      <c r="V238" s="4">
        <v>18</v>
      </c>
      <c r="W238" s="4">
        <v>73</v>
      </c>
    </row>
    <row r="239" spans="1:23" ht="11.25" customHeight="1" x14ac:dyDescent="0.25">
      <c r="A239" s="4" t="s">
        <v>28</v>
      </c>
      <c r="B239" s="4" t="s">
        <v>35</v>
      </c>
      <c r="C239" s="4" t="s">
        <v>39</v>
      </c>
      <c r="D239" s="4" t="s">
        <v>43</v>
      </c>
      <c r="E239" s="4" t="s">
        <v>25</v>
      </c>
      <c r="F239" s="4" t="s">
        <v>25</v>
      </c>
      <c r="G239" s="4" t="s">
        <v>25</v>
      </c>
      <c r="H239" s="4" t="s">
        <v>38</v>
      </c>
      <c r="I239" s="5">
        <v>44593</v>
      </c>
      <c r="J239" s="6">
        <v>0</v>
      </c>
      <c r="K239" s="6">
        <v>0</v>
      </c>
      <c r="L239" s="6">
        <v>24.472000000000001</v>
      </c>
      <c r="M239" s="6">
        <v>24.472000000000001</v>
      </c>
      <c r="N239" s="6">
        <v>24.472000000000001</v>
      </c>
      <c r="O239" s="6">
        <v>24.472000000000001</v>
      </c>
      <c r="P239" s="6">
        <v>0</v>
      </c>
      <c r="Q239" s="4" t="s">
        <v>26</v>
      </c>
      <c r="R239" s="4">
        <v>0</v>
      </c>
      <c r="S239" s="4" t="s">
        <v>136</v>
      </c>
      <c r="T239" s="4" t="s">
        <v>305</v>
      </c>
      <c r="U239" s="4">
        <v>0</v>
      </c>
      <c r="V239" s="4">
        <v>18</v>
      </c>
      <c r="W239" s="4">
        <v>73</v>
      </c>
    </row>
    <row r="240" spans="1:23" ht="11.25" customHeight="1" x14ac:dyDescent="0.25">
      <c r="A240" s="4" t="s">
        <v>21</v>
      </c>
      <c r="B240" s="4" t="s">
        <v>35</v>
      </c>
      <c r="C240" s="4" t="s">
        <v>39</v>
      </c>
      <c r="D240" s="4" t="s">
        <v>43</v>
      </c>
      <c r="E240" s="4" t="s">
        <v>25</v>
      </c>
      <c r="F240" s="4" t="s">
        <v>25</v>
      </c>
      <c r="G240" s="4" t="s">
        <v>25</v>
      </c>
      <c r="H240" s="4" t="s">
        <v>38</v>
      </c>
      <c r="I240" s="5">
        <v>44621</v>
      </c>
      <c r="J240" s="6">
        <v>0</v>
      </c>
      <c r="K240" s="6">
        <v>0</v>
      </c>
      <c r="L240" s="6">
        <v>6.0259999999999998</v>
      </c>
      <c r="M240" s="6">
        <v>6.0259999999999998</v>
      </c>
      <c r="N240" s="6">
        <v>6.0259999999999998</v>
      </c>
      <c r="O240" s="6">
        <v>6.0259999999999998</v>
      </c>
      <c r="P240" s="6">
        <v>0</v>
      </c>
      <c r="Q240" s="4" t="s">
        <v>26</v>
      </c>
      <c r="R240" s="4">
        <v>0</v>
      </c>
      <c r="S240" s="4" t="s">
        <v>137</v>
      </c>
      <c r="T240" s="4" t="s">
        <v>306</v>
      </c>
      <c r="U240" s="4">
        <v>0</v>
      </c>
      <c r="V240" s="4">
        <v>18</v>
      </c>
      <c r="W240" s="4">
        <v>73</v>
      </c>
    </row>
    <row r="241" spans="1:23" ht="11.25" customHeight="1" x14ac:dyDescent="0.25">
      <c r="A241" s="4" t="s">
        <v>28</v>
      </c>
      <c r="B241" s="4" t="s">
        <v>35</v>
      </c>
      <c r="C241" s="4" t="s">
        <v>39</v>
      </c>
      <c r="D241" s="4" t="s">
        <v>43</v>
      </c>
      <c r="E241" s="4" t="s">
        <v>25</v>
      </c>
      <c r="F241" s="4" t="s">
        <v>25</v>
      </c>
      <c r="G241" s="4" t="s">
        <v>25</v>
      </c>
      <c r="H241" s="4" t="s">
        <v>38</v>
      </c>
      <c r="I241" s="5">
        <v>44621</v>
      </c>
      <c r="J241" s="6">
        <v>0</v>
      </c>
      <c r="K241" s="6">
        <v>0</v>
      </c>
      <c r="L241" s="6">
        <v>25.759</v>
      </c>
      <c r="M241" s="6">
        <v>25.759</v>
      </c>
      <c r="N241" s="6">
        <v>25.759</v>
      </c>
      <c r="O241" s="6">
        <v>25.759</v>
      </c>
      <c r="P241" s="6">
        <v>0</v>
      </c>
      <c r="Q241" s="4" t="s">
        <v>26</v>
      </c>
      <c r="R241" s="4">
        <v>0</v>
      </c>
      <c r="S241" s="4" t="s">
        <v>137</v>
      </c>
      <c r="T241" s="4" t="s">
        <v>306</v>
      </c>
      <c r="U241" s="4">
        <v>0</v>
      </c>
      <c r="V241" s="4">
        <v>18</v>
      </c>
      <c r="W241" s="4">
        <v>73</v>
      </c>
    </row>
    <row r="242" spans="1:23" ht="11.25" customHeight="1" x14ac:dyDescent="0.25">
      <c r="A242" s="4" t="s">
        <v>21</v>
      </c>
      <c r="B242" s="4" t="s">
        <v>35</v>
      </c>
      <c r="C242" s="4" t="s">
        <v>39</v>
      </c>
      <c r="D242" s="4" t="s">
        <v>43</v>
      </c>
      <c r="E242" s="4" t="s">
        <v>25</v>
      </c>
      <c r="F242" s="4" t="s">
        <v>25</v>
      </c>
      <c r="G242" s="4" t="s">
        <v>25</v>
      </c>
      <c r="H242" s="4" t="s">
        <v>38</v>
      </c>
      <c r="I242" s="5">
        <v>44652</v>
      </c>
      <c r="J242" s="6">
        <v>0</v>
      </c>
      <c r="K242" s="6">
        <v>0</v>
      </c>
      <c r="L242" s="6">
        <v>4.91</v>
      </c>
      <c r="M242" s="6">
        <v>4.91</v>
      </c>
      <c r="N242" s="6">
        <v>4.91</v>
      </c>
      <c r="O242" s="6">
        <v>4.91</v>
      </c>
      <c r="P242" s="6">
        <v>0</v>
      </c>
      <c r="Q242" s="4" t="s">
        <v>26</v>
      </c>
      <c r="R242" s="4">
        <v>0</v>
      </c>
      <c r="S242" s="4" t="s">
        <v>138</v>
      </c>
      <c r="T242" s="4" t="s">
        <v>307</v>
      </c>
      <c r="U242" s="4">
        <v>0</v>
      </c>
      <c r="V242" s="4">
        <v>18</v>
      </c>
      <c r="W242" s="4">
        <v>73</v>
      </c>
    </row>
    <row r="243" spans="1:23" ht="11.25" customHeight="1" x14ac:dyDescent="0.25">
      <c r="A243" s="4" t="s">
        <v>28</v>
      </c>
      <c r="B243" s="4" t="s">
        <v>35</v>
      </c>
      <c r="C243" s="4" t="s">
        <v>39</v>
      </c>
      <c r="D243" s="4" t="s">
        <v>43</v>
      </c>
      <c r="E243" s="4" t="s">
        <v>25</v>
      </c>
      <c r="F243" s="4" t="s">
        <v>25</v>
      </c>
      <c r="G243" s="4" t="s">
        <v>25</v>
      </c>
      <c r="H243" s="4" t="s">
        <v>38</v>
      </c>
      <c r="I243" s="5">
        <v>44652</v>
      </c>
      <c r="J243" s="6">
        <v>0</v>
      </c>
      <c r="K243" s="6">
        <v>0</v>
      </c>
      <c r="L243" s="6">
        <v>17</v>
      </c>
      <c r="M243" s="6">
        <v>17</v>
      </c>
      <c r="N243" s="6">
        <v>17</v>
      </c>
      <c r="O243" s="6">
        <v>17</v>
      </c>
      <c r="P243" s="6">
        <v>0</v>
      </c>
      <c r="Q243" s="4" t="s">
        <v>26</v>
      </c>
      <c r="R243" s="4">
        <v>0</v>
      </c>
      <c r="S243" s="4" t="s">
        <v>138</v>
      </c>
      <c r="T243" s="4" t="s">
        <v>307</v>
      </c>
      <c r="U243" s="4">
        <v>0</v>
      </c>
      <c r="V243" s="4">
        <v>18</v>
      </c>
      <c r="W243" s="4">
        <v>73</v>
      </c>
    </row>
    <row r="244" spans="1:23" ht="11.25" customHeight="1" x14ac:dyDescent="0.25">
      <c r="A244" s="4" t="s">
        <v>21</v>
      </c>
      <c r="B244" s="4" t="s">
        <v>35</v>
      </c>
      <c r="C244" s="4" t="s">
        <v>39</v>
      </c>
      <c r="D244" s="4" t="s">
        <v>43</v>
      </c>
      <c r="E244" s="4" t="s">
        <v>25</v>
      </c>
      <c r="F244" s="4" t="s">
        <v>25</v>
      </c>
      <c r="G244" s="4" t="s">
        <v>25</v>
      </c>
      <c r="H244" s="4" t="s">
        <v>38</v>
      </c>
      <c r="I244" s="5">
        <v>44682</v>
      </c>
      <c r="J244" s="6">
        <v>0</v>
      </c>
      <c r="K244" s="6">
        <v>0</v>
      </c>
      <c r="L244" s="6">
        <v>4.8129999999999997</v>
      </c>
      <c r="M244" s="6">
        <v>4.8129999999999997</v>
      </c>
      <c r="N244" s="6">
        <v>4.8129999999999997</v>
      </c>
      <c r="O244" s="6">
        <v>4.8129999999999997</v>
      </c>
      <c r="P244" s="6">
        <v>0</v>
      </c>
      <c r="Q244" s="4" t="s">
        <v>26</v>
      </c>
      <c r="R244" s="4">
        <v>0</v>
      </c>
      <c r="S244" s="4" t="s">
        <v>139</v>
      </c>
      <c r="T244" s="4" t="s">
        <v>308</v>
      </c>
      <c r="U244" s="4">
        <v>0</v>
      </c>
      <c r="V244" s="4">
        <v>18</v>
      </c>
      <c r="W244" s="4">
        <v>73</v>
      </c>
    </row>
    <row r="245" spans="1:23" ht="11.25" customHeight="1" x14ac:dyDescent="0.25">
      <c r="A245" s="4" t="s">
        <v>28</v>
      </c>
      <c r="B245" s="4" t="s">
        <v>35</v>
      </c>
      <c r="C245" s="4" t="s">
        <v>39</v>
      </c>
      <c r="D245" s="4" t="s">
        <v>43</v>
      </c>
      <c r="E245" s="4" t="s">
        <v>25</v>
      </c>
      <c r="F245" s="4" t="s">
        <v>25</v>
      </c>
      <c r="G245" s="4" t="s">
        <v>25</v>
      </c>
      <c r="H245" s="4" t="s">
        <v>38</v>
      </c>
      <c r="I245" s="5">
        <v>44682</v>
      </c>
      <c r="J245" s="6">
        <v>0</v>
      </c>
      <c r="K245" s="6">
        <v>0</v>
      </c>
      <c r="L245" s="6">
        <v>13.731999999999999</v>
      </c>
      <c r="M245" s="6">
        <v>13.731999999999999</v>
      </c>
      <c r="N245" s="6">
        <v>13.731999999999999</v>
      </c>
      <c r="O245" s="6">
        <v>13.731999999999999</v>
      </c>
      <c r="P245" s="6">
        <v>0</v>
      </c>
      <c r="Q245" s="4" t="s">
        <v>26</v>
      </c>
      <c r="R245" s="4">
        <v>0</v>
      </c>
      <c r="S245" s="4" t="s">
        <v>139</v>
      </c>
      <c r="T245" s="4" t="s">
        <v>308</v>
      </c>
      <c r="U245" s="4">
        <v>0</v>
      </c>
      <c r="V245" s="4">
        <v>18</v>
      </c>
      <c r="W245" s="4">
        <v>73</v>
      </c>
    </row>
    <row r="246" spans="1:23" ht="11.25" customHeight="1" x14ac:dyDescent="0.25">
      <c r="A246" s="4" t="s">
        <v>21</v>
      </c>
      <c r="B246" s="4" t="s">
        <v>35</v>
      </c>
      <c r="C246" s="4" t="s">
        <v>39</v>
      </c>
      <c r="D246" s="4" t="s">
        <v>43</v>
      </c>
      <c r="E246" s="4" t="s">
        <v>25</v>
      </c>
      <c r="F246" s="4" t="s">
        <v>25</v>
      </c>
      <c r="G246" s="4" t="s">
        <v>25</v>
      </c>
      <c r="H246" s="4" t="s">
        <v>38</v>
      </c>
      <c r="I246" s="5">
        <v>44713</v>
      </c>
      <c r="J246" s="6">
        <v>0</v>
      </c>
      <c r="K246" s="6">
        <v>0</v>
      </c>
      <c r="L246" s="6">
        <v>5.4690000000000003</v>
      </c>
      <c r="M246" s="6">
        <v>5.4690000000000003</v>
      </c>
      <c r="N246" s="6">
        <v>5.4690000000000003</v>
      </c>
      <c r="O246" s="6">
        <v>5.4690000000000003</v>
      </c>
      <c r="P246" s="6">
        <v>0</v>
      </c>
      <c r="Q246" s="4" t="s">
        <v>26</v>
      </c>
      <c r="R246" s="4">
        <v>0</v>
      </c>
      <c r="S246" s="4" t="s">
        <v>140</v>
      </c>
      <c r="T246" s="4" t="s">
        <v>309</v>
      </c>
      <c r="U246" s="4">
        <v>0</v>
      </c>
      <c r="V246" s="4">
        <v>18</v>
      </c>
      <c r="W246" s="4">
        <v>73</v>
      </c>
    </row>
    <row r="247" spans="1:23" ht="11.25" customHeight="1" x14ac:dyDescent="0.25">
      <c r="A247" s="4" t="s">
        <v>28</v>
      </c>
      <c r="B247" s="4" t="s">
        <v>35</v>
      </c>
      <c r="C247" s="4" t="s">
        <v>39</v>
      </c>
      <c r="D247" s="4" t="s">
        <v>43</v>
      </c>
      <c r="E247" s="4" t="s">
        <v>25</v>
      </c>
      <c r="F247" s="4" t="s">
        <v>25</v>
      </c>
      <c r="G247" s="4" t="s">
        <v>25</v>
      </c>
      <c r="H247" s="4" t="s">
        <v>38</v>
      </c>
      <c r="I247" s="5">
        <v>44713</v>
      </c>
      <c r="J247" s="6">
        <v>0</v>
      </c>
      <c r="K247" s="6">
        <v>0</v>
      </c>
      <c r="L247" s="6">
        <v>11.313000000000001</v>
      </c>
      <c r="M247" s="6">
        <v>11.313000000000001</v>
      </c>
      <c r="N247" s="6">
        <v>11.313000000000001</v>
      </c>
      <c r="O247" s="6">
        <v>11.313000000000001</v>
      </c>
      <c r="P247" s="6">
        <v>0</v>
      </c>
      <c r="Q247" s="4" t="s">
        <v>26</v>
      </c>
      <c r="R247" s="4">
        <v>0</v>
      </c>
      <c r="S247" s="4" t="s">
        <v>140</v>
      </c>
      <c r="T247" s="4" t="s">
        <v>309</v>
      </c>
      <c r="U247" s="4">
        <v>0</v>
      </c>
      <c r="V247" s="4">
        <v>18</v>
      </c>
      <c r="W247" s="4">
        <v>73</v>
      </c>
    </row>
    <row r="248" spans="1:23" ht="11.25" customHeight="1" x14ac:dyDescent="0.25">
      <c r="A248" s="4" t="s">
        <v>55</v>
      </c>
      <c r="B248" s="4" t="s">
        <v>35</v>
      </c>
      <c r="C248" s="4" t="s">
        <v>39</v>
      </c>
      <c r="D248" s="4" t="s">
        <v>43</v>
      </c>
      <c r="E248" s="4" t="s">
        <v>25</v>
      </c>
      <c r="F248" s="4" t="s">
        <v>25</v>
      </c>
      <c r="G248" s="4" t="s">
        <v>25</v>
      </c>
      <c r="H248" s="4" t="s">
        <v>38</v>
      </c>
      <c r="I248" s="5">
        <v>44743</v>
      </c>
      <c r="J248" s="6">
        <v>0</v>
      </c>
      <c r="K248" s="6">
        <v>0</v>
      </c>
      <c r="L248" s="6">
        <v>5.4690000000000003</v>
      </c>
      <c r="M248" s="6">
        <v>5.4690000000000003</v>
      </c>
      <c r="N248" s="6">
        <v>5.4690000000000003</v>
      </c>
      <c r="O248" s="6">
        <v>5.4690000000000003</v>
      </c>
      <c r="P248" s="6">
        <v>0</v>
      </c>
      <c r="Q248" s="4" t="s">
        <v>26</v>
      </c>
      <c r="R248" s="4">
        <v>0</v>
      </c>
      <c r="S248" s="4" t="s">
        <v>141</v>
      </c>
      <c r="T248" s="4" t="s">
        <v>310</v>
      </c>
      <c r="U248" s="4">
        <v>0</v>
      </c>
      <c r="V248" s="4">
        <v>18</v>
      </c>
      <c r="W248" s="4">
        <v>73</v>
      </c>
    </row>
    <row r="249" spans="1:23" ht="11.25" customHeight="1" x14ac:dyDescent="0.25">
      <c r="A249" s="4" t="s">
        <v>55</v>
      </c>
      <c r="B249" s="4" t="s">
        <v>35</v>
      </c>
      <c r="C249" s="4" t="s">
        <v>39</v>
      </c>
      <c r="D249" s="4" t="s">
        <v>43</v>
      </c>
      <c r="E249" s="4" t="s">
        <v>25</v>
      </c>
      <c r="F249" s="4" t="s">
        <v>25</v>
      </c>
      <c r="G249" s="4" t="s">
        <v>25</v>
      </c>
      <c r="H249" s="4" t="s">
        <v>38</v>
      </c>
      <c r="I249" s="5">
        <v>44743</v>
      </c>
      <c r="J249" s="6">
        <v>0</v>
      </c>
      <c r="K249" s="6">
        <v>0</v>
      </c>
      <c r="L249" s="6">
        <v>11.313000000000001</v>
      </c>
      <c r="M249" s="6">
        <v>11.313000000000001</v>
      </c>
      <c r="N249" s="6">
        <v>11.313000000000001</v>
      </c>
      <c r="O249" s="6">
        <v>11.313000000000001</v>
      </c>
      <c r="P249" s="6">
        <v>0</v>
      </c>
      <c r="Q249" s="4" t="s">
        <v>26</v>
      </c>
      <c r="R249" s="4">
        <v>0</v>
      </c>
      <c r="S249" s="4" t="s">
        <v>141</v>
      </c>
      <c r="T249" s="4" t="s">
        <v>310</v>
      </c>
      <c r="U249" s="4">
        <v>0</v>
      </c>
      <c r="V249" s="4">
        <v>18</v>
      </c>
      <c r="W249" s="4">
        <v>73</v>
      </c>
    </row>
    <row r="250" spans="1:23" ht="11.25" customHeight="1" x14ac:dyDescent="0.25">
      <c r="A250" s="4" t="s">
        <v>21</v>
      </c>
      <c r="B250" s="4" t="s">
        <v>35</v>
      </c>
      <c r="C250" s="4" t="s">
        <v>39</v>
      </c>
      <c r="D250" s="4" t="s">
        <v>43</v>
      </c>
      <c r="E250" s="4" t="s">
        <v>25</v>
      </c>
      <c r="F250" s="4" t="s">
        <v>25</v>
      </c>
      <c r="G250" s="4" t="s">
        <v>25</v>
      </c>
      <c r="H250" s="4" t="s">
        <v>25</v>
      </c>
      <c r="I250" s="5">
        <v>44409</v>
      </c>
      <c r="J250" s="6">
        <v>227</v>
      </c>
      <c r="K250" s="6">
        <v>227</v>
      </c>
      <c r="L250" s="6">
        <v>0</v>
      </c>
      <c r="M250" s="6">
        <v>0</v>
      </c>
      <c r="N250" s="6">
        <v>0</v>
      </c>
      <c r="O250" s="6">
        <v>0</v>
      </c>
      <c r="P250" s="6">
        <v>2</v>
      </c>
      <c r="Q250" s="4" t="s">
        <v>26</v>
      </c>
      <c r="R250" s="4">
        <v>0</v>
      </c>
      <c r="S250" s="4" t="s">
        <v>142</v>
      </c>
      <c r="U250" s="4">
        <v>24</v>
      </c>
      <c r="V250" s="4">
        <v>0</v>
      </c>
      <c r="W250" s="4">
        <v>0</v>
      </c>
    </row>
    <row r="251" spans="1:23" ht="11.25" customHeight="1" x14ac:dyDescent="0.25">
      <c r="A251" s="4" t="s">
        <v>21</v>
      </c>
      <c r="B251" s="4" t="s">
        <v>35</v>
      </c>
      <c r="C251" s="4" t="s">
        <v>39</v>
      </c>
      <c r="D251" s="4" t="s">
        <v>43</v>
      </c>
      <c r="E251" s="4" t="s">
        <v>25</v>
      </c>
      <c r="F251" s="4" t="s">
        <v>25</v>
      </c>
      <c r="G251" s="4" t="s">
        <v>25</v>
      </c>
      <c r="H251" s="4" t="s">
        <v>25</v>
      </c>
      <c r="I251" s="5">
        <v>44440</v>
      </c>
      <c r="J251" s="6">
        <v>209</v>
      </c>
      <c r="K251" s="6">
        <v>209</v>
      </c>
      <c r="L251" s="6">
        <v>0</v>
      </c>
      <c r="M251" s="6">
        <v>0</v>
      </c>
      <c r="N251" s="6">
        <v>0</v>
      </c>
      <c r="O251" s="6">
        <v>0</v>
      </c>
      <c r="P251" s="6">
        <v>2</v>
      </c>
      <c r="Q251" s="4" t="s">
        <v>26</v>
      </c>
      <c r="R251" s="4">
        <v>0</v>
      </c>
      <c r="S251" s="4" t="s">
        <v>143</v>
      </c>
      <c r="U251" s="4">
        <v>24</v>
      </c>
      <c r="V251" s="4">
        <v>0</v>
      </c>
      <c r="W251" s="4">
        <v>0</v>
      </c>
    </row>
    <row r="252" spans="1:23" ht="11.25" customHeight="1" x14ac:dyDescent="0.25">
      <c r="A252" s="4" t="s">
        <v>21</v>
      </c>
      <c r="B252" s="4" t="s">
        <v>35</v>
      </c>
      <c r="C252" s="4" t="s">
        <v>39</v>
      </c>
      <c r="D252" s="4" t="s">
        <v>43</v>
      </c>
      <c r="E252" s="4" t="s">
        <v>25</v>
      </c>
      <c r="F252" s="4" t="s">
        <v>25</v>
      </c>
      <c r="G252" s="4" t="s">
        <v>25</v>
      </c>
      <c r="H252" s="4" t="s">
        <v>25</v>
      </c>
      <c r="I252" s="5">
        <v>44470</v>
      </c>
      <c r="J252" s="6">
        <v>217</v>
      </c>
      <c r="K252" s="6">
        <v>217</v>
      </c>
      <c r="L252" s="6">
        <v>0</v>
      </c>
      <c r="M252" s="6">
        <v>0</v>
      </c>
      <c r="N252" s="6">
        <v>0</v>
      </c>
      <c r="O252" s="6">
        <v>0</v>
      </c>
      <c r="P252" s="6">
        <v>2</v>
      </c>
      <c r="Q252" s="4" t="s">
        <v>26</v>
      </c>
      <c r="R252" s="4">
        <v>0</v>
      </c>
      <c r="S252" s="4" t="s">
        <v>144</v>
      </c>
      <c r="U252" s="4">
        <v>24</v>
      </c>
      <c r="V252" s="4">
        <v>0</v>
      </c>
      <c r="W252" s="4">
        <v>0</v>
      </c>
    </row>
    <row r="253" spans="1:23" ht="11.25" customHeight="1" x14ac:dyDescent="0.25">
      <c r="A253" s="4" t="s">
        <v>21</v>
      </c>
      <c r="B253" s="4" t="s">
        <v>35</v>
      </c>
      <c r="C253" s="4" t="s">
        <v>39</v>
      </c>
      <c r="D253" s="4" t="s">
        <v>43</v>
      </c>
      <c r="E253" s="4" t="s">
        <v>25</v>
      </c>
      <c r="F253" s="4" t="s">
        <v>25</v>
      </c>
      <c r="G253" s="4" t="s">
        <v>25</v>
      </c>
      <c r="H253" s="4" t="s">
        <v>25</v>
      </c>
      <c r="I253" s="5">
        <v>44501</v>
      </c>
      <c r="J253" s="6">
        <v>255</v>
      </c>
      <c r="K253" s="6">
        <v>255</v>
      </c>
      <c r="L253" s="6">
        <v>0</v>
      </c>
      <c r="M253" s="6">
        <v>0</v>
      </c>
      <c r="N253" s="6">
        <v>0</v>
      </c>
      <c r="O253" s="6">
        <v>0</v>
      </c>
      <c r="P253" s="6">
        <v>2</v>
      </c>
      <c r="Q253" s="4" t="s">
        <v>26</v>
      </c>
      <c r="R253" s="4">
        <v>0</v>
      </c>
      <c r="S253" s="4" t="s">
        <v>145</v>
      </c>
      <c r="U253" s="4">
        <v>24</v>
      </c>
      <c r="V253" s="4">
        <v>0</v>
      </c>
      <c r="W253" s="4">
        <v>0</v>
      </c>
    </row>
    <row r="254" spans="1:23" ht="11.25" customHeight="1" x14ac:dyDescent="0.25">
      <c r="A254" s="4" t="s">
        <v>21</v>
      </c>
      <c r="B254" s="4" t="s">
        <v>35</v>
      </c>
      <c r="C254" s="4" t="s">
        <v>39</v>
      </c>
      <c r="D254" s="4" t="s">
        <v>43</v>
      </c>
      <c r="E254" s="4" t="s">
        <v>25</v>
      </c>
      <c r="F254" s="4" t="s">
        <v>25</v>
      </c>
      <c r="G254" s="4" t="s">
        <v>25</v>
      </c>
      <c r="H254" s="4" t="s">
        <v>25</v>
      </c>
      <c r="I254" s="5">
        <v>44531</v>
      </c>
      <c r="J254" s="6">
        <v>60</v>
      </c>
      <c r="K254" s="6">
        <v>60</v>
      </c>
      <c r="L254" s="6">
        <v>0</v>
      </c>
      <c r="M254" s="6">
        <v>0</v>
      </c>
      <c r="N254" s="6">
        <v>0</v>
      </c>
      <c r="O254" s="6">
        <v>0</v>
      </c>
      <c r="P254" s="6">
        <v>1</v>
      </c>
      <c r="Q254" s="4" t="s">
        <v>26</v>
      </c>
      <c r="R254" s="4">
        <v>0</v>
      </c>
      <c r="S254" s="4" t="s">
        <v>146</v>
      </c>
      <c r="U254" s="4">
        <v>24</v>
      </c>
      <c r="V254" s="4">
        <v>0</v>
      </c>
      <c r="W254" s="4">
        <v>0</v>
      </c>
    </row>
    <row r="255" spans="1:23" ht="11.25" customHeight="1" x14ac:dyDescent="0.25">
      <c r="A255" s="4" t="s">
        <v>28</v>
      </c>
      <c r="B255" s="4" t="s">
        <v>35</v>
      </c>
      <c r="C255" s="4" t="s">
        <v>39</v>
      </c>
      <c r="D255" s="4" t="s">
        <v>43</v>
      </c>
      <c r="E255" s="4" t="s">
        <v>25</v>
      </c>
      <c r="F255" s="4" t="s">
        <v>25</v>
      </c>
      <c r="G255" s="4" t="s">
        <v>25</v>
      </c>
      <c r="H255" s="4" t="s">
        <v>25</v>
      </c>
      <c r="I255" s="5">
        <v>44531</v>
      </c>
      <c r="J255" s="6">
        <v>175</v>
      </c>
      <c r="K255" s="6">
        <v>175</v>
      </c>
      <c r="L255" s="6">
        <v>0</v>
      </c>
      <c r="M255" s="6">
        <v>0</v>
      </c>
      <c r="N255" s="6">
        <v>0</v>
      </c>
      <c r="O255" s="6">
        <v>0</v>
      </c>
      <c r="P255" s="6">
        <v>1</v>
      </c>
      <c r="Q255" s="4" t="s">
        <v>26</v>
      </c>
      <c r="R255" s="4">
        <v>0</v>
      </c>
      <c r="S255" s="4" t="s">
        <v>146</v>
      </c>
      <c r="U255" s="4">
        <v>24</v>
      </c>
      <c r="V255" s="4">
        <v>0</v>
      </c>
      <c r="W255" s="4">
        <v>0</v>
      </c>
    </row>
    <row r="256" spans="1:23" ht="11.25" customHeight="1" x14ac:dyDescent="0.25">
      <c r="A256" s="4" t="s">
        <v>21</v>
      </c>
      <c r="B256" s="4" t="s">
        <v>35</v>
      </c>
      <c r="C256" s="4" t="s">
        <v>39</v>
      </c>
      <c r="D256" s="4" t="s">
        <v>43</v>
      </c>
      <c r="E256" s="4" t="s">
        <v>25</v>
      </c>
      <c r="F256" s="4" t="s">
        <v>25</v>
      </c>
      <c r="G256" s="4" t="s">
        <v>25</v>
      </c>
      <c r="H256" s="4" t="s">
        <v>25</v>
      </c>
      <c r="I256" s="5">
        <v>44562</v>
      </c>
      <c r="J256" s="6">
        <v>60</v>
      </c>
      <c r="K256" s="6">
        <v>60</v>
      </c>
      <c r="L256" s="6">
        <v>0</v>
      </c>
      <c r="M256" s="6">
        <v>0</v>
      </c>
      <c r="N256" s="6">
        <v>0</v>
      </c>
      <c r="O256" s="6">
        <v>0</v>
      </c>
      <c r="P256" s="6">
        <v>1</v>
      </c>
      <c r="Q256" s="4" t="s">
        <v>26</v>
      </c>
      <c r="R256" s="4">
        <v>0</v>
      </c>
      <c r="S256" s="4" t="s">
        <v>147</v>
      </c>
      <c r="U256" s="4">
        <v>24</v>
      </c>
      <c r="V256" s="4">
        <v>0</v>
      </c>
      <c r="W256" s="4">
        <v>0</v>
      </c>
    </row>
    <row r="257" spans="1:23" ht="11.25" customHeight="1" x14ac:dyDescent="0.25">
      <c r="A257" s="4" t="s">
        <v>28</v>
      </c>
      <c r="B257" s="4" t="s">
        <v>35</v>
      </c>
      <c r="C257" s="4" t="s">
        <v>39</v>
      </c>
      <c r="D257" s="4" t="s">
        <v>43</v>
      </c>
      <c r="E257" s="4" t="s">
        <v>25</v>
      </c>
      <c r="F257" s="4" t="s">
        <v>25</v>
      </c>
      <c r="G257" s="4" t="s">
        <v>25</v>
      </c>
      <c r="H257" s="4" t="s">
        <v>25</v>
      </c>
      <c r="I257" s="5">
        <v>44562</v>
      </c>
      <c r="J257" s="6">
        <v>188</v>
      </c>
      <c r="K257" s="6">
        <v>188</v>
      </c>
      <c r="L257" s="6">
        <v>0</v>
      </c>
      <c r="M257" s="6">
        <v>0</v>
      </c>
      <c r="N257" s="6">
        <v>0</v>
      </c>
      <c r="O257" s="6">
        <v>0</v>
      </c>
      <c r="P257" s="6">
        <v>1</v>
      </c>
      <c r="Q257" s="4" t="s">
        <v>26</v>
      </c>
      <c r="R257" s="4">
        <v>0</v>
      </c>
      <c r="S257" s="4" t="s">
        <v>147</v>
      </c>
      <c r="U257" s="4">
        <v>24</v>
      </c>
      <c r="V257" s="4">
        <v>0</v>
      </c>
      <c r="W257" s="4">
        <v>0</v>
      </c>
    </row>
    <row r="258" spans="1:23" ht="11.25" customHeight="1" x14ac:dyDescent="0.25">
      <c r="A258" s="4" t="s">
        <v>21</v>
      </c>
      <c r="B258" s="4" t="s">
        <v>35</v>
      </c>
      <c r="C258" s="4" t="s">
        <v>39</v>
      </c>
      <c r="D258" s="4" t="s">
        <v>43</v>
      </c>
      <c r="E258" s="4" t="s">
        <v>25</v>
      </c>
      <c r="F258" s="4" t="s">
        <v>25</v>
      </c>
      <c r="G258" s="4" t="s">
        <v>25</v>
      </c>
      <c r="H258" s="4" t="s">
        <v>25</v>
      </c>
      <c r="I258" s="5">
        <v>44593</v>
      </c>
      <c r="J258" s="6">
        <v>60</v>
      </c>
      <c r="K258" s="6">
        <v>60</v>
      </c>
      <c r="L258" s="6">
        <v>0</v>
      </c>
      <c r="M258" s="6">
        <v>0</v>
      </c>
      <c r="N258" s="6">
        <v>0</v>
      </c>
      <c r="O258" s="6">
        <v>0</v>
      </c>
      <c r="P258" s="6">
        <v>1</v>
      </c>
      <c r="Q258" s="4" t="s">
        <v>26</v>
      </c>
      <c r="R258" s="4">
        <v>0</v>
      </c>
      <c r="S258" s="4" t="s">
        <v>148</v>
      </c>
      <c r="U258" s="4">
        <v>24</v>
      </c>
      <c r="V258" s="4">
        <v>0</v>
      </c>
      <c r="W258" s="4">
        <v>0</v>
      </c>
    </row>
    <row r="259" spans="1:23" ht="11.25" customHeight="1" x14ac:dyDescent="0.25">
      <c r="A259" s="4" t="s">
        <v>28</v>
      </c>
      <c r="B259" s="4" t="s">
        <v>35</v>
      </c>
      <c r="C259" s="4" t="s">
        <v>39</v>
      </c>
      <c r="D259" s="4" t="s">
        <v>43</v>
      </c>
      <c r="E259" s="4" t="s">
        <v>25</v>
      </c>
      <c r="F259" s="4" t="s">
        <v>25</v>
      </c>
      <c r="G259" s="4" t="s">
        <v>25</v>
      </c>
      <c r="H259" s="4" t="s">
        <v>25</v>
      </c>
      <c r="I259" s="5">
        <v>44593</v>
      </c>
      <c r="J259" s="6">
        <v>184</v>
      </c>
      <c r="K259" s="6">
        <v>184</v>
      </c>
      <c r="L259" s="6">
        <v>0</v>
      </c>
      <c r="M259" s="6">
        <v>0</v>
      </c>
      <c r="N259" s="6">
        <v>0</v>
      </c>
      <c r="O259" s="6">
        <v>0</v>
      </c>
      <c r="P259" s="6">
        <v>1</v>
      </c>
      <c r="Q259" s="4" t="s">
        <v>26</v>
      </c>
      <c r="R259" s="4">
        <v>0</v>
      </c>
      <c r="S259" s="4" t="s">
        <v>148</v>
      </c>
      <c r="U259" s="4">
        <v>24</v>
      </c>
      <c r="V259" s="4">
        <v>0</v>
      </c>
      <c r="W259" s="4">
        <v>0</v>
      </c>
    </row>
    <row r="260" spans="1:23" ht="11.25" customHeight="1" x14ac:dyDescent="0.25">
      <c r="A260" s="4" t="s">
        <v>21</v>
      </c>
      <c r="B260" s="4" t="s">
        <v>35</v>
      </c>
      <c r="C260" s="4" t="s">
        <v>39</v>
      </c>
      <c r="D260" s="4" t="s">
        <v>43</v>
      </c>
      <c r="E260" s="4" t="s">
        <v>25</v>
      </c>
      <c r="F260" s="4" t="s">
        <v>25</v>
      </c>
      <c r="G260" s="4" t="s">
        <v>25</v>
      </c>
      <c r="H260" s="4" t="s">
        <v>25</v>
      </c>
      <c r="I260" s="5">
        <v>44621</v>
      </c>
      <c r="J260" s="6">
        <v>60</v>
      </c>
      <c r="K260" s="6">
        <v>60</v>
      </c>
      <c r="L260" s="6">
        <v>0</v>
      </c>
      <c r="M260" s="6">
        <v>0</v>
      </c>
      <c r="N260" s="6">
        <v>0</v>
      </c>
      <c r="O260" s="6">
        <v>0</v>
      </c>
      <c r="P260" s="6">
        <v>1</v>
      </c>
      <c r="Q260" s="4" t="s">
        <v>26</v>
      </c>
      <c r="R260" s="4">
        <v>0</v>
      </c>
      <c r="S260" s="4" t="s">
        <v>149</v>
      </c>
      <c r="U260" s="4">
        <v>24</v>
      </c>
      <c r="V260" s="4">
        <v>0</v>
      </c>
      <c r="W260" s="4">
        <v>0</v>
      </c>
    </row>
    <row r="261" spans="1:23" ht="11.25" customHeight="1" x14ac:dyDescent="0.25">
      <c r="A261" s="4" t="s">
        <v>28</v>
      </c>
      <c r="B261" s="4" t="s">
        <v>35</v>
      </c>
      <c r="C261" s="4" t="s">
        <v>39</v>
      </c>
      <c r="D261" s="4" t="s">
        <v>43</v>
      </c>
      <c r="E261" s="4" t="s">
        <v>25</v>
      </c>
      <c r="F261" s="4" t="s">
        <v>25</v>
      </c>
      <c r="G261" s="4" t="s">
        <v>25</v>
      </c>
      <c r="H261" s="4" t="s">
        <v>25</v>
      </c>
      <c r="I261" s="5">
        <v>44621</v>
      </c>
      <c r="J261" s="6">
        <v>220</v>
      </c>
      <c r="K261" s="6">
        <v>220</v>
      </c>
      <c r="L261" s="6">
        <v>0</v>
      </c>
      <c r="M261" s="6">
        <v>0</v>
      </c>
      <c r="N261" s="6">
        <v>0</v>
      </c>
      <c r="O261" s="6">
        <v>0</v>
      </c>
      <c r="P261" s="6">
        <v>1</v>
      </c>
      <c r="Q261" s="4" t="s">
        <v>26</v>
      </c>
      <c r="R261" s="4">
        <v>0</v>
      </c>
      <c r="S261" s="4" t="s">
        <v>149</v>
      </c>
      <c r="U261" s="4">
        <v>24</v>
      </c>
      <c r="V261" s="4">
        <v>0</v>
      </c>
      <c r="W261" s="4">
        <v>0</v>
      </c>
    </row>
    <row r="262" spans="1:23" ht="11.25" customHeight="1" x14ac:dyDescent="0.25">
      <c r="A262" s="4" t="s">
        <v>21</v>
      </c>
      <c r="B262" s="4" t="s">
        <v>35</v>
      </c>
      <c r="C262" s="4" t="s">
        <v>39</v>
      </c>
      <c r="D262" s="4" t="s">
        <v>43</v>
      </c>
      <c r="E262" s="4" t="s">
        <v>25</v>
      </c>
      <c r="F262" s="4" t="s">
        <v>25</v>
      </c>
      <c r="G262" s="4" t="s">
        <v>25</v>
      </c>
      <c r="H262" s="4" t="s">
        <v>25</v>
      </c>
      <c r="I262" s="5">
        <v>44652</v>
      </c>
      <c r="J262" s="6">
        <v>60</v>
      </c>
      <c r="K262" s="6">
        <v>60</v>
      </c>
      <c r="L262" s="6">
        <v>0</v>
      </c>
      <c r="M262" s="6">
        <v>0</v>
      </c>
      <c r="N262" s="6">
        <v>0</v>
      </c>
      <c r="O262" s="6">
        <v>0</v>
      </c>
      <c r="P262" s="6">
        <v>1</v>
      </c>
      <c r="Q262" s="4" t="s">
        <v>26</v>
      </c>
      <c r="R262" s="4">
        <v>0</v>
      </c>
      <c r="S262" s="4" t="s">
        <v>150</v>
      </c>
      <c r="U262" s="4">
        <v>24</v>
      </c>
      <c r="V262" s="4">
        <v>0</v>
      </c>
      <c r="W262" s="4">
        <v>0</v>
      </c>
    </row>
    <row r="263" spans="1:23" ht="11.25" customHeight="1" x14ac:dyDescent="0.25">
      <c r="A263" s="4" t="s">
        <v>28</v>
      </c>
      <c r="B263" s="4" t="s">
        <v>35</v>
      </c>
      <c r="C263" s="4" t="s">
        <v>39</v>
      </c>
      <c r="D263" s="4" t="s">
        <v>43</v>
      </c>
      <c r="E263" s="4" t="s">
        <v>25</v>
      </c>
      <c r="F263" s="4" t="s">
        <v>25</v>
      </c>
      <c r="G263" s="4" t="s">
        <v>25</v>
      </c>
      <c r="H263" s="4" t="s">
        <v>25</v>
      </c>
      <c r="I263" s="5">
        <v>44652</v>
      </c>
      <c r="J263" s="6">
        <v>183</v>
      </c>
      <c r="K263" s="6">
        <v>183</v>
      </c>
      <c r="L263" s="6">
        <v>0</v>
      </c>
      <c r="M263" s="6">
        <v>0</v>
      </c>
      <c r="N263" s="6">
        <v>0</v>
      </c>
      <c r="O263" s="6">
        <v>0</v>
      </c>
      <c r="P263" s="6">
        <v>1</v>
      </c>
      <c r="Q263" s="4" t="s">
        <v>26</v>
      </c>
      <c r="R263" s="4">
        <v>0</v>
      </c>
      <c r="S263" s="4" t="s">
        <v>150</v>
      </c>
      <c r="U263" s="4">
        <v>24</v>
      </c>
      <c r="V263" s="4">
        <v>0</v>
      </c>
      <c r="W263" s="4">
        <v>0</v>
      </c>
    </row>
    <row r="264" spans="1:23" ht="11.25" customHeight="1" x14ac:dyDescent="0.25">
      <c r="A264" s="4" t="s">
        <v>21</v>
      </c>
      <c r="B264" s="4" t="s">
        <v>35</v>
      </c>
      <c r="C264" s="4" t="s">
        <v>39</v>
      </c>
      <c r="D264" s="4" t="s">
        <v>43</v>
      </c>
      <c r="E264" s="4" t="s">
        <v>25</v>
      </c>
      <c r="F264" s="4" t="s">
        <v>25</v>
      </c>
      <c r="G264" s="4" t="s">
        <v>25</v>
      </c>
      <c r="H264" s="4" t="s">
        <v>25</v>
      </c>
      <c r="I264" s="5">
        <v>44682</v>
      </c>
      <c r="J264" s="6">
        <v>60</v>
      </c>
      <c r="K264" s="6">
        <v>60</v>
      </c>
      <c r="L264" s="6">
        <v>0</v>
      </c>
      <c r="M264" s="6">
        <v>0</v>
      </c>
      <c r="N264" s="6">
        <v>0</v>
      </c>
      <c r="O264" s="6">
        <v>0</v>
      </c>
      <c r="P264" s="6">
        <v>1</v>
      </c>
      <c r="Q264" s="4" t="s">
        <v>26</v>
      </c>
      <c r="R264" s="4">
        <v>0</v>
      </c>
      <c r="S264" s="4" t="s">
        <v>151</v>
      </c>
      <c r="U264" s="4">
        <v>24</v>
      </c>
      <c r="V264" s="4">
        <v>0</v>
      </c>
      <c r="W264" s="4">
        <v>0</v>
      </c>
    </row>
    <row r="265" spans="1:23" ht="11.25" customHeight="1" x14ac:dyDescent="0.25">
      <c r="A265" s="4" t="s">
        <v>28</v>
      </c>
      <c r="B265" s="4" t="s">
        <v>35</v>
      </c>
      <c r="C265" s="4" t="s">
        <v>39</v>
      </c>
      <c r="D265" s="4" t="s">
        <v>43</v>
      </c>
      <c r="E265" s="4" t="s">
        <v>25</v>
      </c>
      <c r="F265" s="4" t="s">
        <v>25</v>
      </c>
      <c r="G265" s="4" t="s">
        <v>25</v>
      </c>
      <c r="H265" s="4" t="s">
        <v>25</v>
      </c>
      <c r="I265" s="5">
        <v>44682</v>
      </c>
      <c r="J265" s="6">
        <v>100</v>
      </c>
      <c r="K265" s="6">
        <v>100</v>
      </c>
      <c r="L265" s="6">
        <v>0</v>
      </c>
      <c r="M265" s="6">
        <v>0</v>
      </c>
      <c r="N265" s="6">
        <v>0</v>
      </c>
      <c r="O265" s="6">
        <v>0</v>
      </c>
      <c r="P265" s="6">
        <v>1</v>
      </c>
      <c r="Q265" s="4" t="s">
        <v>26</v>
      </c>
      <c r="R265" s="4">
        <v>0</v>
      </c>
      <c r="S265" s="4" t="s">
        <v>151</v>
      </c>
      <c r="U265" s="4">
        <v>24</v>
      </c>
      <c r="V265" s="4">
        <v>0</v>
      </c>
      <c r="W265" s="4">
        <v>0</v>
      </c>
    </row>
    <row r="266" spans="1:23" ht="11.25" customHeight="1" x14ac:dyDescent="0.25">
      <c r="A266" s="4" t="s">
        <v>21</v>
      </c>
      <c r="B266" s="4" t="s">
        <v>35</v>
      </c>
      <c r="C266" s="4" t="s">
        <v>39</v>
      </c>
      <c r="D266" s="4" t="s">
        <v>43</v>
      </c>
      <c r="E266" s="4" t="s">
        <v>25</v>
      </c>
      <c r="F266" s="4" t="s">
        <v>25</v>
      </c>
      <c r="G266" s="4" t="s">
        <v>25</v>
      </c>
      <c r="H266" s="4" t="s">
        <v>25</v>
      </c>
      <c r="I266" s="5">
        <v>44713</v>
      </c>
      <c r="J266" s="6">
        <v>60</v>
      </c>
      <c r="K266" s="6">
        <v>60</v>
      </c>
      <c r="L266" s="6">
        <v>0</v>
      </c>
      <c r="M266" s="6">
        <v>0</v>
      </c>
      <c r="N266" s="6">
        <v>0</v>
      </c>
      <c r="O266" s="6">
        <v>0</v>
      </c>
      <c r="P266" s="6">
        <v>1</v>
      </c>
      <c r="Q266" s="4" t="s">
        <v>26</v>
      </c>
      <c r="R266" s="4">
        <v>0</v>
      </c>
      <c r="S266" s="4" t="s">
        <v>152</v>
      </c>
      <c r="U266" s="4">
        <v>24</v>
      </c>
      <c r="V266" s="4">
        <v>0</v>
      </c>
      <c r="W266" s="4">
        <v>0</v>
      </c>
    </row>
    <row r="267" spans="1:23" ht="11.25" customHeight="1" x14ac:dyDescent="0.25">
      <c r="A267" s="4" t="s">
        <v>28</v>
      </c>
      <c r="B267" s="4" t="s">
        <v>35</v>
      </c>
      <c r="C267" s="4" t="s">
        <v>39</v>
      </c>
      <c r="D267" s="4" t="s">
        <v>43</v>
      </c>
      <c r="E267" s="4" t="s">
        <v>25</v>
      </c>
      <c r="F267" s="4" t="s">
        <v>25</v>
      </c>
      <c r="G267" s="4" t="s">
        <v>25</v>
      </c>
      <c r="H267" s="4" t="s">
        <v>25</v>
      </c>
      <c r="I267" s="5">
        <v>44713</v>
      </c>
      <c r="J267" s="6">
        <v>100</v>
      </c>
      <c r="K267" s="6">
        <v>100</v>
      </c>
      <c r="L267" s="6">
        <v>0</v>
      </c>
      <c r="M267" s="6">
        <v>0</v>
      </c>
      <c r="N267" s="6">
        <v>0</v>
      </c>
      <c r="O267" s="6">
        <v>0</v>
      </c>
      <c r="P267" s="6">
        <v>1</v>
      </c>
      <c r="Q267" s="4" t="s">
        <v>26</v>
      </c>
      <c r="R267" s="4">
        <v>0</v>
      </c>
      <c r="S267" s="4" t="s">
        <v>152</v>
      </c>
      <c r="U267" s="4">
        <v>24</v>
      </c>
      <c r="V267" s="4">
        <v>0</v>
      </c>
      <c r="W267" s="4">
        <v>0</v>
      </c>
    </row>
    <row r="268" spans="1:23" ht="11.25" customHeight="1" x14ac:dyDescent="0.25">
      <c r="A268" s="4" t="s">
        <v>55</v>
      </c>
      <c r="B268" s="4" t="s">
        <v>35</v>
      </c>
      <c r="C268" s="4" t="s">
        <v>39</v>
      </c>
      <c r="D268" s="4" t="s">
        <v>43</v>
      </c>
      <c r="E268" s="4" t="s">
        <v>25</v>
      </c>
      <c r="F268" s="4" t="s">
        <v>25</v>
      </c>
      <c r="G268" s="4" t="s">
        <v>25</v>
      </c>
      <c r="H268" s="4" t="s">
        <v>25</v>
      </c>
      <c r="I268" s="5">
        <v>44743</v>
      </c>
      <c r="J268" s="6">
        <v>60</v>
      </c>
      <c r="K268" s="6">
        <v>60</v>
      </c>
      <c r="L268" s="6">
        <v>0</v>
      </c>
      <c r="M268" s="6">
        <v>0</v>
      </c>
      <c r="N268" s="6">
        <v>0</v>
      </c>
      <c r="O268" s="6">
        <v>0</v>
      </c>
      <c r="P268" s="6">
        <v>1</v>
      </c>
      <c r="Q268" s="4" t="s">
        <v>26</v>
      </c>
      <c r="R268" s="4">
        <v>0</v>
      </c>
      <c r="S268" s="4" t="s">
        <v>153</v>
      </c>
      <c r="U268" s="4">
        <v>24</v>
      </c>
      <c r="V268" s="4">
        <v>0</v>
      </c>
      <c r="W268" s="4">
        <v>0</v>
      </c>
    </row>
    <row r="269" spans="1:23" ht="11.25" customHeight="1" x14ac:dyDescent="0.25">
      <c r="A269" s="4" t="s">
        <v>55</v>
      </c>
      <c r="B269" s="4" t="s">
        <v>35</v>
      </c>
      <c r="C269" s="4" t="s">
        <v>39</v>
      </c>
      <c r="D269" s="4" t="s">
        <v>43</v>
      </c>
      <c r="E269" s="4" t="s">
        <v>25</v>
      </c>
      <c r="F269" s="4" t="s">
        <v>25</v>
      </c>
      <c r="G269" s="4" t="s">
        <v>25</v>
      </c>
      <c r="H269" s="4" t="s">
        <v>25</v>
      </c>
      <c r="I269" s="5">
        <v>44743</v>
      </c>
      <c r="J269" s="6">
        <v>100</v>
      </c>
      <c r="K269" s="6">
        <v>100</v>
      </c>
      <c r="L269" s="6">
        <v>0</v>
      </c>
      <c r="M269" s="6">
        <v>0</v>
      </c>
      <c r="N269" s="6">
        <v>0</v>
      </c>
      <c r="O269" s="6">
        <v>0</v>
      </c>
      <c r="P269" s="6">
        <v>1</v>
      </c>
      <c r="Q269" s="4" t="s">
        <v>26</v>
      </c>
      <c r="R269" s="4">
        <v>0</v>
      </c>
      <c r="S269" s="4" t="s">
        <v>153</v>
      </c>
      <c r="U269" s="4">
        <v>24</v>
      </c>
      <c r="V269" s="4">
        <v>0</v>
      </c>
      <c r="W269" s="4">
        <v>0</v>
      </c>
    </row>
    <row r="270" spans="1:23" ht="11.25" customHeight="1" x14ac:dyDescent="0.25">
      <c r="A270" s="4" t="s">
        <v>21</v>
      </c>
      <c r="B270" s="4" t="s">
        <v>35</v>
      </c>
      <c r="C270" s="4" t="s">
        <v>39</v>
      </c>
      <c r="D270" s="4" t="s">
        <v>43</v>
      </c>
      <c r="E270" s="4" t="s">
        <v>25</v>
      </c>
      <c r="F270" s="4" t="s">
        <v>25</v>
      </c>
      <c r="G270" s="4" t="s">
        <v>25</v>
      </c>
      <c r="H270" s="4" t="s">
        <v>37</v>
      </c>
      <c r="I270" s="5">
        <v>44409</v>
      </c>
      <c r="J270" s="6">
        <v>0</v>
      </c>
      <c r="K270" s="6">
        <v>0</v>
      </c>
      <c r="L270" s="6">
        <v>1.669</v>
      </c>
      <c r="M270" s="6">
        <v>1.669</v>
      </c>
      <c r="N270" s="6">
        <v>1.669</v>
      </c>
      <c r="O270" s="6">
        <v>1.669</v>
      </c>
      <c r="P270" s="6">
        <v>0</v>
      </c>
      <c r="Q270" s="4" t="s">
        <v>26</v>
      </c>
      <c r="R270" s="4">
        <v>0</v>
      </c>
      <c r="S270" s="4" t="s">
        <v>154</v>
      </c>
      <c r="T270" s="4" t="s">
        <v>311</v>
      </c>
      <c r="U270" s="4">
        <v>0</v>
      </c>
      <c r="V270" s="4">
        <v>5</v>
      </c>
      <c r="W270" s="4">
        <v>69</v>
      </c>
    </row>
    <row r="271" spans="1:23" ht="11.25" customHeight="1" x14ac:dyDescent="0.25">
      <c r="A271" s="4" t="s">
        <v>21</v>
      </c>
      <c r="B271" s="4" t="s">
        <v>35</v>
      </c>
      <c r="C271" s="4" t="s">
        <v>39</v>
      </c>
      <c r="D271" s="4" t="s">
        <v>43</v>
      </c>
      <c r="E271" s="4" t="s">
        <v>25</v>
      </c>
      <c r="F271" s="4" t="s">
        <v>25</v>
      </c>
      <c r="G271" s="4" t="s">
        <v>25</v>
      </c>
      <c r="H271" s="4" t="s">
        <v>37</v>
      </c>
      <c r="I271" s="5">
        <v>44440</v>
      </c>
      <c r="J271" s="6">
        <v>0</v>
      </c>
      <c r="K271" s="6">
        <v>0</v>
      </c>
      <c r="L271" s="6">
        <v>1.77</v>
      </c>
      <c r="M271" s="6">
        <v>1.77</v>
      </c>
      <c r="N271" s="6">
        <v>1.77</v>
      </c>
      <c r="O271" s="6">
        <v>1.77</v>
      </c>
      <c r="P271" s="6">
        <v>0</v>
      </c>
      <c r="Q271" s="4" t="s">
        <v>26</v>
      </c>
      <c r="R271" s="4">
        <v>0</v>
      </c>
      <c r="S271" s="4" t="s">
        <v>155</v>
      </c>
      <c r="T271" s="4" t="s">
        <v>312</v>
      </c>
      <c r="U271" s="4">
        <v>0</v>
      </c>
      <c r="V271" s="4">
        <v>5</v>
      </c>
      <c r="W271" s="4">
        <v>69</v>
      </c>
    </row>
    <row r="272" spans="1:23" ht="11.25" customHeight="1" x14ac:dyDescent="0.25">
      <c r="A272" s="4" t="s">
        <v>21</v>
      </c>
      <c r="B272" s="4" t="s">
        <v>35</v>
      </c>
      <c r="C272" s="4" t="s">
        <v>39</v>
      </c>
      <c r="D272" s="4" t="s">
        <v>43</v>
      </c>
      <c r="E272" s="4" t="s">
        <v>25</v>
      </c>
      <c r="F272" s="4" t="s">
        <v>25</v>
      </c>
      <c r="G272" s="4" t="s">
        <v>25</v>
      </c>
      <c r="H272" s="4" t="s">
        <v>37</v>
      </c>
      <c r="I272" s="5">
        <v>44470</v>
      </c>
      <c r="J272" s="6">
        <v>0</v>
      </c>
      <c r="K272" s="6">
        <v>0</v>
      </c>
      <c r="L272" s="6">
        <v>1.5740000000000001</v>
      </c>
      <c r="M272" s="6">
        <v>1.5740000000000001</v>
      </c>
      <c r="N272" s="6">
        <v>1.5740000000000001</v>
      </c>
      <c r="O272" s="6">
        <v>1.5740000000000001</v>
      </c>
      <c r="P272" s="6">
        <v>0</v>
      </c>
      <c r="Q272" s="4" t="s">
        <v>26</v>
      </c>
      <c r="R272" s="4">
        <v>0</v>
      </c>
      <c r="S272" s="4" t="s">
        <v>156</v>
      </c>
      <c r="T272" s="4" t="s">
        <v>313</v>
      </c>
      <c r="U272" s="4">
        <v>0</v>
      </c>
      <c r="V272" s="4">
        <v>5</v>
      </c>
      <c r="W272" s="4">
        <v>69</v>
      </c>
    </row>
    <row r="273" spans="1:23" ht="11.25" customHeight="1" x14ac:dyDescent="0.25">
      <c r="A273" s="4" t="s">
        <v>21</v>
      </c>
      <c r="B273" s="4" t="s">
        <v>35</v>
      </c>
      <c r="C273" s="4" t="s">
        <v>39</v>
      </c>
      <c r="D273" s="4" t="s">
        <v>43</v>
      </c>
      <c r="E273" s="4" t="s">
        <v>25</v>
      </c>
      <c r="F273" s="4" t="s">
        <v>25</v>
      </c>
      <c r="G273" s="4" t="s">
        <v>25</v>
      </c>
      <c r="H273" s="4" t="s">
        <v>37</v>
      </c>
      <c r="I273" s="5">
        <v>44501</v>
      </c>
      <c r="J273" s="6">
        <v>0</v>
      </c>
      <c r="K273" s="6">
        <v>0</v>
      </c>
      <c r="L273" s="6">
        <v>1.851</v>
      </c>
      <c r="M273" s="6">
        <v>1.851</v>
      </c>
      <c r="N273" s="6">
        <v>1.851</v>
      </c>
      <c r="O273" s="6">
        <v>1.851</v>
      </c>
      <c r="P273" s="6">
        <v>0</v>
      </c>
      <c r="Q273" s="4" t="s">
        <v>26</v>
      </c>
      <c r="R273" s="4">
        <v>0</v>
      </c>
      <c r="S273" s="4" t="s">
        <v>157</v>
      </c>
      <c r="T273" s="4" t="s">
        <v>314</v>
      </c>
      <c r="U273" s="4">
        <v>0</v>
      </c>
      <c r="V273" s="4">
        <v>5</v>
      </c>
      <c r="W273" s="4">
        <v>69</v>
      </c>
    </row>
    <row r="274" spans="1:23" ht="11.25" customHeight="1" x14ac:dyDescent="0.25">
      <c r="A274" s="4" t="s">
        <v>21</v>
      </c>
      <c r="B274" s="4" t="s">
        <v>35</v>
      </c>
      <c r="C274" s="4" t="s">
        <v>39</v>
      </c>
      <c r="D274" s="4" t="s">
        <v>43</v>
      </c>
      <c r="E274" s="4" t="s">
        <v>25</v>
      </c>
      <c r="F274" s="4" t="s">
        <v>25</v>
      </c>
      <c r="G274" s="4" t="s">
        <v>25</v>
      </c>
      <c r="H274" s="4" t="s">
        <v>37</v>
      </c>
      <c r="I274" s="5">
        <v>44531</v>
      </c>
      <c r="J274" s="6">
        <v>0</v>
      </c>
      <c r="K274" s="6">
        <v>0</v>
      </c>
      <c r="L274" s="6">
        <v>0.56999999999999995</v>
      </c>
      <c r="M274" s="6">
        <v>0.56999999999999995</v>
      </c>
      <c r="N274" s="6">
        <v>0.56999999999999995</v>
      </c>
      <c r="O274" s="6">
        <v>0.56999999999999995</v>
      </c>
      <c r="P274" s="6">
        <v>0</v>
      </c>
      <c r="Q274" s="4" t="s">
        <v>26</v>
      </c>
      <c r="R274" s="4">
        <v>0</v>
      </c>
      <c r="S274" s="4" t="s">
        <v>158</v>
      </c>
      <c r="T274" s="4" t="s">
        <v>315</v>
      </c>
      <c r="U274" s="4">
        <v>0</v>
      </c>
      <c r="V274" s="4">
        <v>5</v>
      </c>
      <c r="W274" s="4">
        <v>69</v>
      </c>
    </row>
    <row r="275" spans="1:23" ht="11.25" customHeight="1" x14ac:dyDescent="0.25">
      <c r="A275" s="4" t="s">
        <v>28</v>
      </c>
      <c r="B275" s="4" t="s">
        <v>35</v>
      </c>
      <c r="C275" s="4" t="s">
        <v>39</v>
      </c>
      <c r="D275" s="4" t="s">
        <v>43</v>
      </c>
      <c r="E275" s="4" t="s">
        <v>25</v>
      </c>
      <c r="F275" s="4" t="s">
        <v>25</v>
      </c>
      <c r="G275" s="4" t="s">
        <v>25</v>
      </c>
      <c r="H275" s="4" t="s">
        <v>37</v>
      </c>
      <c r="I275" s="5">
        <v>44531</v>
      </c>
      <c r="J275" s="6">
        <v>0</v>
      </c>
      <c r="K275" s="6">
        <v>0</v>
      </c>
      <c r="L275" s="6">
        <v>1.5620000000000001</v>
      </c>
      <c r="M275" s="6">
        <v>1.5620000000000001</v>
      </c>
      <c r="N275" s="6">
        <v>1.5620000000000001</v>
      </c>
      <c r="O275" s="6">
        <v>1.5620000000000001</v>
      </c>
      <c r="P275" s="6">
        <v>0</v>
      </c>
      <c r="Q275" s="4" t="s">
        <v>26</v>
      </c>
      <c r="R275" s="4">
        <v>0</v>
      </c>
      <c r="S275" s="4" t="s">
        <v>158</v>
      </c>
      <c r="T275" s="4" t="s">
        <v>315</v>
      </c>
      <c r="U275" s="4">
        <v>0</v>
      </c>
      <c r="V275" s="4">
        <v>5</v>
      </c>
      <c r="W275" s="4">
        <v>69</v>
      </c>
    </row>
    <row r="276" spans="1:23" ht="11.25" customHeight="1" x14ac:dyDescent="0.25">
      <c r="A276" s="4" t="s">
        <v>21</v>
      </c>
      <c r="B276" s="4" t="s">
        <v>35</v>
      </c>
      <c r="C276" s="4" t="s">
        <v>39</v>
      </c>
      <c r="D276" s="4" t="s">
        <v>43</v>
      </c>
      <c r="E276" s="4" t="s">
        <v>25</v>
      </c>
      <c r="F276" s="4" t="s">
        <v>25</v>
      </c>
      <c r="G276" s="4" t="s">
        <v>25</v>
      </c>
      <c r="H276" s="4" t="s">
        <v>37</v>
      </c>
      <c r="I276" s="5">
        <v>44562</v>
      </c>
      <c r="J276" s="6">
        <v>0</v>
      </c>
      <c r="K276" s="6">
        <v>0</v>
      </c>
      <c r="L276" s="6">
        <v>0.57899999999999996</v>
      </c>
      <c r="M276" s="6">
        <v>0.57899999999999996</v>
      </c>
      <c r="N276" s="6">
        <v>0.57899999999999996</v>
      </c>
      <c r="O276" s="6">
        <v>0.57899999999999996</v>
      </c>
      <c r="P276" s="6">
        <v>0</v>
      </c>
      <c r="Q276" s="4" t="s">
        <v>26</v>
      </c>
      <c r="R276" s="4">
        <v>0</v>
      </c>
      <c r="S276" s="4" t="s">
        <v>159</v>
      </c>
      <c r="T276" s="4" t="s">
        <v>316</v>
      </c>
      <c r="U276" s="4">
        <v>0</v>
      </c>
      <c r="V276" s="4">
        <v>5</v>
      </c>
      <c r="W276" s="4">
        <v>69</v>
      </c>
    </row>
    <row r="277" spans="1:23" ht="11.25" customHeight="1" x14ac:dyDescent="0.25">
      <c r="A277" s="4" t="s">
        <v>28</v>
      </c>
      <c r="B277" s="4" t="s">
        <v>35</v>
      </c>
      <c r="C277" s="4" t="s">
        <v>39</v>
      </c>
      <c r="D277" s="4" t="s">
        <v>43</v>
      </c>
      <c r="E277" s="4" t="s">
        <v>25</v>
      </c>
      <c r="F277" s="4" t="s">
        <v>25</v>
      </c>
      <c r="G277" s="4" t="s">
        <v>25</v>
      </c>
      <c r="H277" s="4" t="s">
        <v>37</v>
      </c>
      <c r="I277" s="5">
        <v>44562</v>
      </c>
      <c r="J277" s="6">
        <v>0</v>
      </c>
      <c r="K277" s="6">
        <v>0</v>
      </c>
      <c r="L277" s="6">
        <v>1.25</v>
      </c>
      <c r="M277" s="6">
        <v>1.25</v>
      </c>
      <c r="N277" s="6">
        <v>1.25</v>
      </c>
      <c r="O277" s="6">
        <v>1.25</v>
      </c>
      <c r="P277" s="6">
        <v>0</v>
      </c>
      <c r="Q277" s="4" t="s">
        <v>26</v>
      </c>
      <c r="R277" s="4">
        <v>0</v>
      </c>
      <c r="S277" s="4" t="s">
        <v>159</v>
      </c>
      <c r="T277" s="4" t="s">
        <v>316</v>
      </c>
      <c r="U277" s="4">
        <v>0</v>
      </c>
      <c r="V277" s="4">
        <v>5</v>
      </c>
      <c r="W277" s="4">
        <v>69</v>
      </c>
    </row>
    <row r="278" spans="1:23" ht="11.25" customHeight="1" x14ac:dyDescent="0.25">
      <c r="A278" s="4" t="s">
        <v>21</v>
      </c>
      <c r="B278" s="4" t="s">
        <v>35</v>
      </c>
      <c r="C278" s="4" t="s">
        <v>39</v>
      </c>
      <c r="D278" s="4" t="s">
        <v>43</v>
      </c>
      <c r="E278" s="4" t="s">
        <v>25</v>
      </c>
      <c r="F278" s="4" t="s">
        <v>25</v>
      </c>
      <c r="G278" s="4" t="s">
        <v>25</v>
      </c>
      <c r="H278" s="4" t="s">
        <v>37</v>
      </c>
      <c r="I278" s="5">
        <v>44593</v>
      </c>
      <c r="J278" s="6">
        <v>0</v>
      </c>
      <c r="K278" s="6">
        <v>0</v>
      </c>
      <c r="L278" s="6">
        <v>0.54400000000000004</v>
      </c>
      <c r="M278" s="6">
        <v>0.54400000000000004</v>
      </c>
      <c r="N278" s="6">
        <v>0.54400000000000004</v>
      </c>
      <c r="O278" s="6">
        <v>0.54400000000000004</v>
      </c>
      <c r="P278" s="6">
        <v>0</v>
      </c>
      <c r="Q278" s="4" t="s">
        <v>26</v>
      </c>
      <c r="R278" s="4">
        <v>0</v>
      </c>
      <c r="S278" s="4" t="s">
        <v>160</v>
      </c>
      <c r="T278" s="4" t="s">
        <v>317</v>
      </c>
      <c r="U278" s="4">
        <v>0</v>
      </c>
      <c r="V278" s="4">
        <v>5</v>
      </c>
      <c r="W278" s="4">
        <v>69</v>
      </c>
    </row>
    <row r="279" spans="1:23" ht="11.25" customHeight="1" x14ac:dyDescent="0.25">
      <c r="A279" s="4" t="s">
        <v>28</v>
      </c>
      <c r="B279" s="4" t="s">
        <v>35</v>
      </c>
      <c r="C279" s="4" t="s">
        <v>39</v>
      </c>
      <c r="D279" s="4" t="s">
        <v>43</v>
      </c>
      <c r="E279" s="4" t="s">
        <v>25</v>
      </c>
      <c r="F279" s="4" t="s">
        <v>25</v>
      </c>
      <c r="G279" s="4" t="s">
        <v>25</v>
      </c>
      <c r="H279" s="4" t="s">
        <v>37</v>
      </c>
      <c r="I279" s="5">
        <v>44593</v>
      </c>
      <c r="J279" s="6">
        <v>0</v>
      </c>
      <c r="K279" s="6">
        <v>0</v>
      </c>
      <c r="L279" s="6">
        <v>1.5529999999999999</v>
      </c>
      <c r="M279" s="6">
        <v>1.5529999999999999</v>
      </c>
      <c r="N279" s="6">
        <v>1.5529999999999999</v>
      </c>
      <c r="O279" s="6">
        <v>1.5529999999999999</v>
      </c>
      <c r="P279" s="6">
        <v>0</v>
      </c>
      <c r="Q279" s="4" t="s">
        <v>26</v>
      </c>
      <c r="R279" s="4">
        <v>0</v>
      </c>
      <c r="S279" s="4" t="s">
        <v>160</v>
      </c>
      <c r="T279" s="4" t="s">
        <v>317</v>
      </c>
      <c r="U279" s="4">
        <v>0</v>
      </c>
      <c r="V279" s="4">
        <v>5</v>
      </c>
      <c r="W279" s="4">
        <v>69</v>
      </c>
    </row>
    <row r="280" spans="1:23" ht="11.25" customHeight="1" x14ac:dyDescent="0.25">
      <c r="A280" s="4" t="s">
        <v>21</v>
      </c>
      <c r="B280" s="4" t="s">
        <v>35</v>
      </c>
      <c r="C280" s="4" t="s">
        <v>39</v>
      </c>
      <c r="D280" s="4" t="s">
        <v>43</v>
      </c>
      <c r="E280" s="4" t="s">
        <v>25</v>
      </c>
      <c r="F280" s="4" t="s">
        <v>25</v>
      </c>
      <c r="G280" s="4" t="s">
        <v>25</v>
      </c>
      <c r="H280" s="4" t="s">
        <v>37</v>
      </c>
      <c r="I280" s="5">
        <v>44621</v>
      </c>
      <c r="J280" s="6">
        <v>0</v>
      </c>
      <c r="K280" s="6">
        <v>0</v>
      </c>
      <c r="L280" s="6">
        <v>0.58699999999999997</v>
      </c>
      <c r="M280" s="6">
        <v>0.58699999999999997</v>
      </c>
      <c r="N280" s="6">
        <v>0.58699999999999997</v>
      </c>
      <c r="O280" s="6">
        <v>0.58699999999999997</v>
      </c>
      <c r="P280" s="6">
        <v>0</v>
      </c>
      <c r="Q280" s="4" t="s">
        <v>26</v>
      </c>
      <c r="R280" s="4">
        <v>0</v>
      </c>
      <c r="S280" s="4" t="s">
        <v>161</v>
      </c>
      <c r="T280" s="4" t="s">
        <v>318</v>
      </c>
      <c r="U280" s="4">
        <v>0</v>
      </c>
      <c r="V280" s="4">
        <v>5</v>
      </c>
      <c r="W280" s="4">
        <v>69</v>
      </c>
    </row>
    <row r="281" spans="1:23" ht="11.25" customHeight="1" x14ac:dyDescent="0.25">
      <c r="A281" s="4" t="s">
        <v>28</v>
      </c>
      <c r="B281" s="4" t="s">
        <v>35</v>
      </c>
      <c r="C281" s="4" t="s">
        <v>39</v>
      </c>
      <c r="D281" s="4" t="s">
        <v>43</v>
      </c>
      <c r="E281" s="4" t="s">
        <v>25</v>
      </c>
      <c r="F281" s="4" t="s">
        <v>25</v>
      </c>
      <c r="G281" s="4" t="s">
        <v>25</v>
      </c>
      <c r="H281" s="4" t="s">
        <v>37</v>
      </c>
      <c r="I281" s="5">
        <v>44621</v>
      </c>
      <c r="J281" s="6">
        <v>0</v>
      </c>
      <c r="K281" s="6">
        <v>0</v>
      </c>
      <c r="L281" s="6">
        <v>1.262</v>
      </c>
      <c r="M281" s="6">
        <v>1.262</v>
      </c>
      <c r="N281" s="6">
        <v>1.262</v>
      </c>
      <c r="O281" s="6">
        <v>1.262</v>
      </c>
      <c r="P281" s="6">
        <v>0</v>
      </c>
      <c r="Q281" s="4" t="s">
        <v>26</v>
      </c>
      <c r="R281" s="4">
        <v>0</v>
      </c>
      <c r="S281" s="4" t="s">
        <v>161</v>
      </c>
      <c r="T281" s="4" t="s">
        <v>318</v>
      </c>
      <c r="U281" s="4">
        <v>0</v>
      </c>
      <c r="V281" s="4">
        <v>5</v>
      </c>
      <c r="W281" s="4">
        <v>69</v>
      </c>
    </row>
    <row r="282" spans="1:23" ht="11.25" customHeight="1" x14ac:dyDescent="0.25">
      <c r="A282" s="4" t="s">
        <v>21</v>
      </c>
      <c r="B282" s="4" t="s">
        <v>35</v>
      </c>
      <c r="C282" s="4" t="s">
        <v>39</v>
      </c>
      <c r="D282" s="4" t="s">
        <v>43</v>
      </c>
      <c r="E282" s="4" t="s">
        <v>25</v>
      </c>
      <c r="F282" s="4" t="s">
        <v>25</v>
      </c>
      <c r="G282" s="4" t="s">
        <v>25</v>
      </c>
      <c r="H282" s="4" t="s">
        <v>37</v>
      </c>
      <c r="I282" s="5">
        <v>44652</v>
      </c>
      <c r="J282" s="6">
        <v>0</v>
      </c>
      <c r="K282" s="6">
        <v>0</v>
      </c>
      <c r="L282" s="6">
        <v>0.48799999999999999</v>
      </c>
      <c r="M282" s="6">
        <v>0.48799999999999999</v>
      </c>
      <c r="N282" s="6">
        <v>0.48799999999999999</v>
      </c>
      <c r="O282" s="6">
        <v>0.48799999999999999</v>
      </c>
      <c r="P282" s="6">
        <v>0</v>
      </c>
      <c r="Q282" s="4" t="s">
        <v>26</v>
      </c>
      <c r="R282" s="4">
        <v>0</v>
      </c>
      <c r="S282" s="4" t="s">
        <v>162</v>
      </c>
      <c r="T282" s="4" t="s">
        <v>319</v>
      </c>
      <c r="U282" s="4">
        <v>0</v>
      </c>
      <c r="V282" s="4">
        <v>5</v>
      </c>
      <c r="W282" s="4">
        <v>69</v>
      </c>
    </row>
    <row r="283" spans="1:23" ht="11.25" customHeight="1" x14ac:dyDescent="0.25">
      <c r="A283" s="4" t="s">
        <v>28</v>
      </c>
      <c r="B283" s="4" t="s">
        <v>35</v>
      </c>
      <c r="C283" s="4" t="s">
        <v>39</v>
      </c>
      <c r="D283" s="4" t="s">
        <v>43</v>
      </c>
      <c r="E283" s="4" t="s">
        <v>25</v>
      </c>
      <c r="F283" s="4" t="s">
        <v>25</v>
      </c>
      <c r="G283" s="4" t="s">
        <v>25</v>
      </c>
      <c r="H283" s="4" t="s">
        <v>37</v>
      </c>
      <c r="I283" s="5">
        <v>44652</v>
      </c>
      <c r="J283" s="6">
        <v>0</v>
      </c>
      <c r="K283" s="6">
        <v>0</v>
      </c>
      <c r="L283" s="6">
        <v>1.2250000000000001</v>
      </c>
      <c r="M283" s="6">
        <v>1.2250000000000001</v>
      </c>
      <c r="N283" s="6">
        <v>1.2250000000000001</v>
      </c>
      <c r="O283" s="6">
        <v>1.2250000000000001</v>
      </c>
      <c r="P283" s="6">
        <v>0</v>
      </c>
      <c r="Q283" s="4" t="s">
        <v>26</v>
      </c>
      <c r="R283" s="4">
        <v>0</v>
      </c>
      <c r="S283" s="4" t="s">
        <v>162</v>
      </c>
      <c r="T283" s="4" t="s">
        <v>319</v>
      </c>
      <c r="U283" s="4">
        <v>0</v>
      </c>
      <c r="V283" s="4">
        <v>5</v>
      </c>
      <c r="W283" s="4">
        <v>69</v>
      </c>
    </row>
    <row r="284" spans="1:23" ht="11.25" customHeight="1" x14ac:dyDescent="0.25">
      <c r="A284" s="4" t="s">
        <v>21</v>
      </c>
      <c r="B284" s="4" t="s">
        <v>35</v>
      </c>
      <c r="C284" s="4" t="s">
        <v>39</v>
      </c>
      <c r="D284" s="4" t="s">
        <v>43</v>
      </c>
      <c r="E284" s="4" t="s">
        <v>25</v>
      </c>
      <c r="F284" s="4" t="s">
        <v>25</v>
      </c>
      <c r="G284" s="4" t="s">
        <v>25</v>
      </c>
      <c r="H284" s="4" t="s">
        <v>37</v>
      </c>
      <c r="I284" s="5">
        <v>44682</v>
      </c>
      <c r="J284" s="6">
        <v>0</v>
      </c>
      <c r="K284" s="6">
        <v>0</v>
      </c>
      <c r="L284" s="6">
        <v>0.53800000000000003</v>
      </c>
      <c r="M284" s="6">
        <v>0.53800000000000003</v>
      </c>
      <c r="N284" s="6">
        <v>0.53800000000000003</v>
      </c>
      <c r="O284" s="6">
        <v>0.53800000000000003</v>
      </c>
      <c r="P284" s="6">
        <v>0</v>
      </c>
      <c r="Q284" s="4" t="s">
        <v>26</v>
      </c>
      <c r="R284" s="4">
        <v>0</v>
      </c>
      <c r="S284" s="4" t="s">
        <v>163</v>
      </c>
      <c r="T284" s="4" t="s">
        <v>320</v>
      </c>
      <c r="U284" s="4">
        <v>0</v>
      </c>
      <c r="V284" s="4">
        <v>5</v>
      </c>
      <c r="W284" s="4">
        <v>69</v>
      </c>
    </row>
    <row r="285" spans="1:23" ht="11.25" customHeight="1" x14ac:dyDescent="0.25">
      <c r="A285" s="4" t="s">
        <v>28</v>
      </c>
      <c r="B285" s="4" t="s">
        <v>35</v>
      </c>
      <c r="C285" s="4" t="s">
        <v>39</v>
      </c>
      <c r="D285" s="4" t="s">
        <v>43</v>
      </c>
      <c r="E285" s="4" t="s">
        <v>25</v>
      </c>
      <c r="F285" s="4" t="s">
        <v>25</v>
      </c>
      <c r="G285" s="4" t="s">
        <v>25</v>
      </c>
      <c r="H285" s="4" t="s">
        <v>37</v>
      </c>
      <c r="I285" s="5">
        <v>44682</v>
      </c>
      <c r="J285" s="6">
        <v>0</v>
      </c>
      <c r="K285" s="6">
        <v>0</v>
      </c>
      <c r="L285" s="6">
        <v>1.3009999999999999</v>
      </c>
      <c r="M285" s="6">
        <v>1.3009999999999999</v>
      </c>
      <c r="N285" s="6">
        <v>1.3009999999999999</v>
      </c>
      <c r="O285" s="6">
        <v>1.3009999999999999</v>
      </c>
      <c r="P285" s="6">
        <v>0</v>
      </c>
      <c r="Q285" s="4" t="s">
        <v>26</v>
      </c>
      <c r="R285" s="4">
        <v>0</v>
      </c>
      <c r="S285" s="4" t="s">
        <v>163</v>
      </c>
      <c r="T285" s="4" t="s">
        <v>320</v>
      </c>
      <c r="U285" s="4">
        <v>0</v>
      </c>
      <c r="V285" s="4">
        <v>5</v>
      </c>
      <c r="W285" s="4">
        <v>69</v>
      </c>
    </row>
    <row r="286" spans="1:23" ht="11.25" customHeight="1" x14ac:dyDescent="0.25">
      <c r="A286" s="4" t="s">
        <v>21</v>
      </c>
      <c r="B286" s="4" t="s">
        <v>35</v>
      </c>
      <c r="C286" s="4" t="s">
        <v>39</v>
      </c>
      <c r="D286" s="4" t="s">
        <v>43</v>
      </c>
      <c r="E286" s="4" t="s">
        <v>25</v>
      </c>
      <c r="F286" s="4" t="s">
        <v>25</v>
      </c>
      <c r="G286" s="4" t="s">
        <v>25</v>
      </c>
      <c r="H286" s="4" t="s">
        <v>37</v>
      </c>
      <c r="I286" s="5">
        <v>44713</v>
      </c>
      <c r="J286" s="6">
        <v>0</v>
      </c>
      <c r="K286" s="6">
        <v>0</v>
      </c>
      <c r="L286" s="6">
        <v>0.55900000000000005</v>
      </c>
      <c r="M286" s="6">
        <v>0.55900000000000005</v>
      </c>
      <c r="N286" s="6">
        <v>0.55900000000000005</v>
      </c>
      <c r="O286" s="6">
        <v>0.55900000000000005</v>
      </c>
      <c r="P286" s="6">
        <v>0</v>
      </c>
      <c r="Q286" s="4" t="s">
        <v>26</v>
      </c>
      <c r="R286" s="4">
        <v>0</v>
      </c>
      <c r="S286" s="4" t="s">
        <v>164</v>
      </c>
      <c r="T286" s="4" t="s">
        <v>321</v>
      </c>
      <c r="U286" s="4">
        <v>0</v>
      </c>
      <c r="V286" s="4">
        <v>5</v>
      </c>
      <c r="W286" s="4">
        <v>69</v>
      </c>
    </row>
    <row r="287" spans="1:23" ht="11.25" customHeight="1" x14ac:dyDescent="0.25">
      <c r="A287" s="4" t="s">
        <v>28</v>
      </c>
      <c r="B287" s="4" t="s">
        <v>35</v>
      </c>
      <c r="C287" s="4" t="s">
        <v>39</v>
      </c>
      <c r="D287" s="4" t="s">
        <v>43</v>
      </c>
      <c r="E287" s="4" t="s">
        <v>25</v>
      </c>
      <c r="F287" s="4" t="s">
        <v>25</v>
      </c>
      <c r="G287" s="4" t="s">
        <v>25</v>
      </c>
      <c r="H287" s="4" t="s">
        <v>37</v>
      </c>
      <c r="I287" s="5">
        <v>44713</v>
      </c>
      <c r="J287" s="6">
        <v>0</v>
      </c>
      <c r="K287" s="6">
        <v>0</v>
      </c>
      <c r="L287" s="6">
        <v>1.222</v>
      </c>
      <c r="M287" s="6">
        <v>1.222</v>
      </c>
      <c r="N287" s="6">
        <v>1.222</v>
      </c>
      <c r="O287" s="6">
        <v>1.222</v>
      </c>
      <c r="P287" s="6">
        <v>0</v>
      </c>
      <c r="Q287" s="4" t="s">
        <v>26</v>
      </c>
      <c r="R287" s="4">
        <v>0</v>
      </c>
      <c r="S287" s="4" t="s">
        <v>164</v>
      </c>
      <c r="T287" s="4" t="s">
        <v>321</v>
      </c>
      <c r="U287" s="4">
        <v>0</v>
      </c>
      <c r="V287" s="4">
        <v>5</v>
      </c>
      <c r="W287" s="4">
        <v>69</v>
      </c>
    </row>
    <row r="288" spans="1:23" ht="11.25" customHeight="1" x14ac:dyDescent="0.25">
      <c r="A288" s="4" t="s">
        <v>55</v>
      </c>
      <c r="B288" s="4" t="s">
        <v>35</v>
      </c>
      <c r="C288" s="4" t="s">
        <v>39</v>
      </c>
      <c r="D288" s="4" t="s">
        <v>43</v>
      </c>
      <c r="E288" s="4" t="s">
        <v>25</v>
      </c>
      <c r="F288" s="4" t="s">
        <v>25</v>
      </c>
      <c r="G288" s="4" t="s">
        <v>25</v>
      </c>
      <c r="H288" s="4" t="s">
        <v>37</v>
      </c>
      <c r="I288" s="5">
        <v>44743</v>
      </c>
      <c r="J288" s="6">
        <v>0</v>
      </c>
      <c r="K288" s="6">
        <v>0</v>
      </c>
      <c r="L288" s="6">
        <v>0.55900000000000005</v>
      </c>
      <c r="M288" s="6">
        <v>0.55900000000000005</v>
      </c>
      <c r="N288" s="6">
        <v>0.55900000000000005</v>
      </c>
      <c r="O288" s="6">
        <v>0.55900000000000005</v>
      </c>
      <c r="P288" s="6">
        <v>0</v>
      </c>
      <c r="Q288" s="4" t="s">
        <v>26</v>
      </c>
      <c r="R288" s="4">
        <v>0</v>
      </c>
      <c r="S288" s="4" t="s">
        <v>165</v>
      </c>
      <c r="T288" s="4" t="s">
        <v>322</v>
      </c>
      <c r="U288" s="4">
        <v>0</v>
      </c>
      <c r="V288" s="4">
        <v>5</v>
      </c>
      <c r="W288" s="4">
        <v>69</v>
      </c>
    </row>
    <row r="289" spans="1:23" ht="11.25" customHeight="1" x14ac:dyDescent="0.25">
      <c r="A289" s="4" t="s">
        <v>55</v>
      </c>
      <c r="B289" s="4" t="s">
        <v>35</v>
      </c>
      <c r="C289" s="4" t="s">
        <v>39</v>
      </c>
      <c r="D289" s="4" t="s">
        <v>43</v>
      </c>
      <c r="E289" s="4" t="s">
        <v>25</v>
      </c>
      <c r="F289" s="4" t="s">
        <v>25</v>
      </c>
      <c r="G289" s="4" t="s">
        <v>25</v>
      </c>
      <c r="H289" s="4" t="s">
        <v>37</v>
      </c>
      <c r="I289" s="5">
        <v>44743</v>
      </c>
      <c r="J289" s="6">
        <v>0</v>
      </c>
      <c r="K289" s="6">
        <v>0</v>
      </c>
      <c r="L289" s="6">
        <v>1.222</v>
      </c>
      <c r="M289" s="6">
        <v>1.222</v>
      </c>
      <c r="N289" s="6">
        <v>1.222</v>
      </c>
      <c r="O289" s="6">
        <v>1.222</v>
      </c>
      <c r="P289" s="6">
        <v>0</v>
      </c>
      <c r="Q289" s="4" t="s">
        <v>26</v>
      </c>
      <c r="R289" s="4">
        <v>0</v>
      </c>
      <c r="S289" s="4" t="s">
        <v>165</v>
      </c>
      <c r="T289" s="4" t="s">
        <v>322</v>
      </c>
      <c r="U289" s="4">
        <v>0</v>
      </c>
      <c r="V289" s="4">
        <v>5</v>
      </c>
      <c r="W289" s="4">
        <v>69</v>
      </c>
    </row>
    <row r="290" spans="1:23" ht="11.25" customHeight="1" x14ac:dyDescent="0.25">
      <c r="A290" s="4" t="s">
        <v>21</v>
      </c>
      <c r="B290" s="4" t="s">
        <v>35</v>
      </c>
      <c r="C290" s="4" t="s">
        <v>39</v>
      </c>
      <c r="D290" s="4" t="s">
        <v>47</v>
      </c>
      <c r="E290" s="4" t="s">
        <v>48</v>
      </c>
      <c r="F290" s="4" t="s">
        <v>25</v>
      </c>
      <c r="G290" s="4" t="s">
        <v>25</v>
      </c>
      <c r="H290" s="4" t="s">
        <v>38</v>
      </c>
      <c r="I290" s="5">
        <v>44409</v>
      </c>
      <c r="J290" s="6">
        <v>0</v>
      </c>
      <c r="K290" s="6">
        <v>0</v>
      </c>
      <c r="L290" s="6">
        <v>144.673</v>
      </c>
      <c r="M290" s="6">
        <v>135.99261999999999</v>
      </c>
      <c r="N290" s="6">
        <v>144.673</v>
      </c>
      <c r="O290" s="6">
        <v>135.99261999999999</v>
      </c>
      <c r="P290" s="6">
        <v>0</v>
      </c>
      <c r="Q290" s="4" t="s">
        <v>26</v>
      </c>
      <c r="R290" s="4">
        <v>0</v>
      </c>
      <c r="S290" s="4" t="s">
        <v>130</v>
      </c>
      <c r="T290" s="4" t="s">
        <v>299</v>
      </c>
      <c r="U290" s="4">
        <v>0</v>
      </c>
      <c r="V290" s="4">
        <v>18</v>
      </c>
      <c r="W290" s="4">
        <v>73</v>
      </c>
    </row>
    <row r="291" spans="1:23" ht="11.25" customHeight="1" x14ac:dyDescent="0.25">
      <c r="A291" s="4" t="s">
        <v>21</v>
      </c>
      <c r="B291" s="4" t="s">
        <v>35</v>
      </c>
      <c r="C291" s="4" t="s">
        <v>39</v>
      </c>
      <c r="D291" s="4" t="s">
        <v>47</v>
      </c>
      <c r="E291" s="4" t="s">
        <v>48</v>
      </c>
      <c r="F291" s="4" t="s">
        <v>25</v>
      </c>
      <c r="G291" s="4" t="s">
        <v>25</v>
      </c>
      <c r="H291" s="4" t="s">
        <v>38</v>
      </c>
      <c r="I291" s="5">
        <v>44440</v>
      </c>
      <c r="J291" s="6">
        <v>0</v>
      </c>
      <c r="K291" s="6">
        <v>0</v>
      </c>
      <c r="L291" s="6">
        <v>138.93100000000001</v>
      </c>
      <c r="M291" s="6">
        <v>130.59513999999999</v>
      </c>
      <c r="N291" s="6">
        <v>138.93100000000001</v>
      </c>
      <c r="O291" s="6">
        <v>130.59513999999999</v>
      </c>
      <c r="P291" s="6">
        <v>0</v>
      </c>
      <c r="Q291" s="4" t="s">
        <v>26</v>
      </c>
      <c r="R291" s="4">
        <v>0</v>
      </c>
      <c r="S291" s="4" t="s">
        <v>131</v>
      </c>
      <c r="T291" s="4" t="s">
        <v>300</v>
      </c>
      <c r="U291" s="4">
        <v>0</v>
      </c>
      <c r="V291" s="4">
        <v>18</v>
      </c>
      <c r="W291" s="4">
        <v>73</v>
      </c>
    </row>
    <row r="292" spans="1:23" ht="11.25" customHeight="1" x14ac:dyDescent="0.25">
      <c r="A292" s="4" t="s">
        <v>21</v>
      </c>
      <c r="B292" s="4" t="s">
        <v>35</v>
      </c>
      <c r="C292" s="4" t="s">
        <v>39</v>
      </c>
      <c r="D292" s="4" t="s">
        <v>47</v>
      </c>
      <c r="E292" s="4" t="s">
        <v>48</v>
      </c>
      <c r="F292" s="4" t="s">
        <v>25</v>
      </c>
      <c r="G292" s="4" t="s">
        <v>25</v>
      </c>
      <c r="H292" s="4" t="s">
        <v>38</v>
      </c>
      <c r="I292" s="5">
        <v>44470</v>
      </c>
      <c r="J292" s="6">
        <v>0</v>
      </c>
      <c r="K292" s="6">
        <v>0</v>
      </c>
      <c r="L292" s="6">
        <v>147.15600000000001</v>
      </c>
      <c r="M292" s="6">
        <v>138.32664</v>
      </c>
      <c r="N292" s="6">
        <v>147.15600000000001</v>
      </c>
      <c r="O292" s="6">
        <v>138.32664</v>
      </c>
      <c r="P292" s="6">
        <v>0</v>
      </c>
      <c r="Q292" s="4" t="s">
        <v>26</v>
      </c>
      <c r="R292" s="4">
        <v>0</v>
      </c>
      <c r="S292" s="4" t="s">
        <v>132</v>
      </c>
      <c r="T292" s="4" t="s">
        <v>301</v>
      </c>
      <c r="U292" s="4">
        <v>0</v>
      </c>
      <c r="V292" s="4">
        <v>18</v>
      </c>
      <c r="W292" s="4">
        <v>73</v>
      </c>
    </row>
    <row r="293" spans="1:23" ht="11.25" customHeight="1" x14ac:dyDescent="0.25">
      <c r="A293" s="4" t="s">
        <v>21</v>
      </c>
      <c r="B293" s="4" t="s">
        <v>35</v>
      </c>
      <c r="C293" s="4" t="s">
        <v>39</v>
      </c>
      <c r="D293" s="4" t="s">
        <v>47</v>
      </c>
      <c r="E293" s="4" t="s">
        <v>48</v>
      </c>
      <c r="F293" s="4" t="s">
        <v>25</v>
      </c>
      <c r="G293" s="4" t="s">
        <v>25</v>
      </c>
      <c r="H293" s="4" t="s">
        <v>38</v>
      </c>
      <c r="I293" s="5">
        <v>44501</v>
      </c>
      <c r="J293" s="6">
        <v>0</v>
      </c>
      <c r="K293" s="6">
        <v>0</v>
      </c>
      <c r="L293" s="6">
        <v>150.27600000000001</v>
      </c>
      <c r="M293" s="6">
        <v>141.25944000000001</v>
      </c>
      <c r="N293" s="6">
        <v>150.27600000000001</v>
      </c>
      <c r="O293" s="6">
        <v>141.25944000000001</v>
      </c>
      <c r="P293" s="6">
        <v>0</v>
      </c>
      <c r="Q293" s="4" t="s">
        <v>26</v>
      </c>
      <c r="R293" s="4">
        <v>0</v>
      </c>
      <c r="S293" s="4" t="s">
        <v>133</v>
      </c>
      <c r="T293" s="4" t="s">
        <v>302</v>
      </c>
      <c r="U293" s="4">
        <v>0</v>
      </c>
      <c r="V293" s="4">
        <v>18</v>
      </c>
      <c r="W293" s="4">
        <v>73</v>
      </c>
    </row>
    <row r="294" spans="1:23" ht="11.25" customHeight="1" x14ac:dyDescent="0.25">
      <c r="A294" s="4" t="s">
        <v>21</v>
      </c>
      <c r="B294" s="4" t="s">
        <v>35</v>
      </c>
      <c r="C294" s="4" t="s">
        <v>39</v>
      </c>
      <c r="D294" s="4" t="s">
        <v>47</v>
      </c>
      <c r="E294" s="4" t="s">
        <v>48</v>
      </c>
      <c r="F294" s="4" t="s">
        <v>25</v>
      </c>
      <c r="G294" s="4" t="s">
        <v>25</v>
      </c>
      <c r="H294" s="4" t="s">
        <v>38</v>
      </c>
      <c r="I294" s="5">
        <v>44531</v>
      </c>
      <c r="J294" s="6">
        <v>0</v>
      </c>
      <c r="K294" s="6">
        <v>0</v>
      </c>
      <c r="L294" s="6">
        <v>179.06700000000001</v>
      </c>
      <c r="M294" s="6">
        <v>168.32298</v>
      </c>
      <c r="N294" s="6">
        <v>179.06700000000001</v>
      </c>
      <c r="O294" s="6">
        <v>168.32298</v>
      </c>
      <c r="P294" s="6">
        <v>0</v>
      </c>
      <c r="Q294" s="4" t="s">
        <v>26</v>
      </c>
      <c r="R294" s="4">
        <v>0</v>
      </c>
      <c r="S294" s="4" t="s">
        <v>134</v>
      </c>
      <c r="T294" s="4" t="s">
        <v>303</v>
      </c>
      <c r="U294" s="4">
        <v>0</v>
      </c>
      <c r="V294" s="4">
        <v>18</v>
      </c>
      <c r="W294" s="4">
        <v>73</v>
      </c>
    </row>
    <row r="295" spans="1:23" ht="11.25" customHeight="1" x14ac:dyDescent="0.25">
      <c r="A295" s="4" t="s">
        <v>21</v>
      </c>
      <c r="B295" s="4" t="s">
        <v>35</v>
      </c>
      <c r="C295" s="4" t="s">
        <v>39</v>
      </c>
      <c r="D295" s="4" t="s">
        <v>47</v>
      </c>
      <c r="E295" s="4" t="s">
        <v>48</v>
      </c>
      <c r="F295" s="4" t="s">
        <v>25</v>
      </c>
      <c r="G295" s="4" t="s">
        <v>25</v>
      </c>
      <c r="H295" s="4" t="s">
        <v>38</v>
      </c>
      <c r="I295" s="5">
        <v>44562</v>
      </c>
      <c r="J295" s="6">
        <v>0</v>
      </c>
      <c r="K295" s="6">
        <v>0</v>
      </c>
      <c r="L295" s="6">
        <v>219.52799999999999</v>
      </c>
      <c r="M295" s="6">
        <v>206.35632000000001</v>
      </c>
      <c r="N295" s="6">
        <v>219.52799999999999</v>
      </c>
      <c r="O295" s="6">
        <v>206.35632000000001</v>
      </c>
      <c r="P295" s="6">
        <v>0</v>
      </c>
      <c r="Q295" s="4" t="s">
        <v>26</v>
      </c>
      <c r="R295" s="4">
        <v>0</v>
      </c>
      <c r="S295" s="4" t="s">
        <v>135</v>
      </c>
      <c r="T295" s="4" t="s">
        <v>304</v>
      </c>
      <c r="U295" s="4">
        <v>0</v>
      </c>
      <c r="V295" s="4">
        <v>18</v>
      </c>
      <c r="W295" s="4">
        <v>73</v>
      </c>
    </row>
    <row r="296" spans="1:23" ht="11.25" customHeight="1" x14ac:dyDescent="0.25">
      <c r="A296" s="4" t="s">
        <v>21</v>
      </c>
      <c r="B296" s="4" t="s">
        <v>35</v>
      </c>
      <c r="C296" s="4" t="s">
        <v>39</v>
      </c>
      <c r="D296" s="4" t="s">
        <v>47</v>
      </c>
      <c r="E296" s="4" t="s">
        <v>48</v>
      </c>
      <c r="F296" s="4" t="s">
        <v>25</v>
      </c>
      <c r="G296" s="4" t="s">
        <v>25</v>
      </c>
      <c r="H296" s="4" t="s">
        <v>38</v>
      </c>
      <c r="I296" s="5">
        <v>44593</v>
      </c>
      <c r="J296" s="6">
        <v>0</v>
      </c>
      <c r="K296" s="6">
        <v>0</v>
      </c>
      <c r="L296" s="6">
        <v>177.56899999999999</v>
      </c>
      <c r="M296" s="6">
        <v>166.91486</v>
      </c>
      <c r="N296" s="6">
        <v>177.56899999999999</v>
      </c>
      <c r="O296" s="6">
        <v>166.91486</v>
      </c>
      <c r="P296" s="6">
        <v>0</v>
      </c>
      <c r="Q296" s="4" t="s">
        <v>26</v>
      </c>
      <c r="R296" s="4">
        <v>0</v>
      </c>
      <c r="S296" s="4" t="s">
        <v>136</v>
      </c>
      <c r="T296" s="4" t="s">
        <v>305</v>
      </c>
      <c r="U296" s="4">
        <v>0</v>
      </c>
      <c r="V296" s="4">
        <v>18</v>
      </c>
      <c r="W296" s="4">
        <v>73</v>
      </c>
    </row>
    <row r="297" spans="1:23" ht="11.25" customHeight="1" x14ac:dyDescent="0.25">
      <c r="A297" s="4" t="s">
        <v>21</v>
      </c>
      <c r="B297" s="4" t="s">
        <v>35</v>
      </c>
      <c r="C297" s="4" t="s">
        <v>39</v>
      </c>
      <c r="D297" s="4" t="s">
        <v>47</v>
      </c>
      <c r="E297" s="4" t="s">
        <v>48</v>
      </c>
      <c r="F297" s="4" t="s">
        <v>25</v>
      </c>
      <c r="G297" s="4" t="s">
        <v>25</v>
      </c>
      <c r="H297" s="4" t="s">
        <v>38</v>
      </c>
      <c r="I297" s="5">
        <v>44621</v>
      </c>
      <c r="J297" s="6">
        <v>0</v>
      </c>
      <c r="K297" s="6">
        <v>0</v>
      </c>
      <c r="L297" s="6">
        <v>170.62100000000001</v>
      </c>
      <c r="M297" s="6">
        <v>160.38373999999999</v>
      </c>
      <c r="N297" s="6">
        <v>170.62100000000001</v>
      </c>
      <c r="O297" s="6">
        <v>160.38373999999999</v>
      </c>
      <c r="P297" s="6">
        <v>0</v>
      </c>
      <c r="Q297" s="4" t="s">
        <v>26</v>
      </c>
      <c r="R297" s="4">
        <v>0</v>
      </c>
      <c r="S297" s="4" t="s">
        <v>137</v>
      </c>
      <c r="T297" s="4" t="s">
        <v>306</v>
      </c>
      <c r="U297" s="4">
        <v>0</v>
      </c>
      <c r="V297" s="4">
        <v>18</v>
      </c>
      <c r="W297" s="4">
        <v>73</v>
      </c>
    </row>
    <row r="298" spans="1:23" ht="11.25" customHeight="1" x14ac:dyDescent="0.25">
      <c r="A298" s="4" t="s">
        <v>21</v>
      </c>
      <c r="B298" s="4" t="s">
        <v>35</v>
      </c>
      <c r="C298" s="4" t="s">
        <v>39</v>
      </c>
      <c r="D298" s="4" t="s">
        <v>47</v>
      </c>
      <c r="E298" s="4" t="s">
        <v>48</v>
      </c>
      <c r="F298" s="4" t="s">
        <v>25</v>
      </c>
      <c r="G298" s="4" t="s">
        <v>25</v>
      </c>
      <c r="H298" s="4" t="s">
        <v>38</v>
      </c>
      <c r="I298" s="5">
        <v>44652</v>
      </c>
      <c r="J298" s="6">
        <v>0</v>
      </c>
      <c r="K298" s="6">
        <v>0</v>
      </c>
      <c r="L298" s="6">
        <v>164.25200000000001</v>
      </c>
      <c r="M298" s="6">
        <v>154.39688000000001</v>
      </c>
      <c r="N298" s="6">
        <v>164.25200000000001</v>
      </c>
      <c r="O298" s="6">
        <v>154.39688000000001</v>
      </c>
      <c r="P298" s="6">
        <v>0</v>
      </c>
      <c r="Q298" s="4" t="s">
        <v>26</v>
      </c>
      <c r="R298" s="4">
        <v>0</v>
      </c>
      <c r="S298" s="4" t="s">
        <v>138</v>
      </c>
      <c r="T298" s="4" t="s">
        <v>307</v>
      </c>
      <c r="U298" s="4">
        <v>0</v>
      </c>
      <c r="V298" s="4">
        <v>18</v>
      </c>
      <c r="W298" s="4">
        <v>73</v>
      </c>
    </row>
    <row r="299" spans="1:23" ht="11.25" customHeight="1" x14ac:dyDescent="0.25">
      <c r="A299" s="4" t="s">
        <v>21</v>
      </c>
      <c r="B299" s="4" t="s">
        <v>35</v>
      </c>
      <c r="C299" s="4" t="s">
        <v>39</v>
      </c>
      <c r="D299" s="4" t="s">
        <v>47</v>
      </c>
      <c r="E299" s="4" t="s">
        <v>48</v>
      </c>
      <c r="F299" s="4" t="s">
        <v>25</v>
      </c>
      <c r="G299" s="4" t="s">
        <v>25</v>
      </c>
      <c r="H299" s="4" t="s">
        <v>38</v>
      </c>
      <c r="I299" s="5">
        <v>44682</v>
      </c>
      <c r="J299" s="6">
        <v>0</v>
      </c>
      <c r="K299" s="6">
        <v>0</v>
      </c>
      <c r="L299" s="6">
        <v>160.15100000000001</v>
      </c>
      <c r="M299" s="6">
        <v>150.54194000000001</v>
      </c>
      <c r="N299" s="6">
        <v>160.15100000000001</v>
      </c>
      <c r="O299" s="6">
        <v>150.54194000000001</v>
      </c>
      <c r="P299" s="6">
        <v>0</v>
      </c>
      <c r="Q299" s="4" t="s">
        <v>26</v>
      </c>
      <c r="R299" s="4">
        <v>0</v>
      </c>
      <c r="S299" s="4" t="s">
        <v>139</v>
      </c>
      <c r="T299" s="4" t="s">
        <v>308</v>
      </c>
      <c r="U299" s="4">
        <v>0</v>
      </c>
      <c r="V299" s="4">
        <v>18</v>
      </c>
      <c r="W299" s="4">
        <v>73</v>
      </c>
    </row>
    <row r="300" spans="1:23" ht="11.25" customHeight="1" x14ac:dyDescent="0.25">
      <c r="A300" s="4" t="s">
        <v>21</v>
      </c>
      <c r="B300" s="4" t="s">
        <v>35</v>
      </c>
      <c r="C300" s="4" t="s">
        <v>39</v>
      </c>
      <c r="D300" s="4" t="s">
        <v>47</v>
      </c>
      <c r="E300" s="4" t="s">
        <v>48</v>
      </c>
      <c r="F300" s="4" t="s">
        <v>25</v>
      </c>
      <c r="G300" s="4" t="s">
        <v>25</v>
      </c>
      <c r="H300" s="4" t="s">
        <v>38</v>
      </c>
      <c r="I300" s="5">
        <v>44713</v>
      </c>
      <c r="J300" s="6">
        <v>0</v>
      </c>
      <c r="K300" s="6">
        <v>0</v>
      </c>
      <c r="L300" s="6">
        <v>160.02600000000001</v>
      </c>
      <c r="M300" s="6">
        <v>150.42444</v>
      </c>
      <c r="N300" s="6">
        <v>160.02600000000001</v>
      </c>
      <c r="O300" s="6">
        <v>150.42444</v>
      </c>
      <c r="P300" s="6">
        <v>0</v>
      </c>
      <c r="Q300" s="4" t="s">
        <v>26</v>
      </c>
      <c r="R300" s="4">
        <v>0</v>
      </c>
      <c r="S300" s="4" t="s">
        <v>140</v>
      </c>
      <c r="T300" s="4" t="s">
        <v>309</v>
      </c>
      <c r="U300" s="4">
        <v>0</v>
      </c>
      <c r="V300" s="4">
        <v>18</v>
      </c>
      <c r="W300" s="4">
        <v>73</v>
      </c>
    </row>
    <row r="301" spans="1:23" ht="11.25" customHeight="1" x14ac:dyDescent="0.25">
      <c r="A301" s="4" t="s">
        <v>55</v>
      </c>
      <c r="B301" s="4" t="s">
        <v>35</v>
      </c>
      <c r="C301" s="4" t="s">
        <v>39</v>
      </c>
      <c r="D301" s="4" t="s">
        <v>47</v>
      </c>
      <c r="E301" s="4" t="s">
        <v>48</v>
      </c>
      <c r="F301" s="4" t="s">
        <v>25</v>
      </c>
      <c r="G301" s="4" t="s">
        <v>25</v>
      </c>
      <c r="H301" s="4" t="s">
        <v>38</v>
      </c>
      <c r="I301" s="5">
        <v>44743</v>
      </c>
      <c r="J301" s="6">
        <v>0</v>
      </c>
      <c r="K301" s="6">
        <v>0</v>
      </c>
      <c r="L301" s="6">
        <v>160.02600000000001</v>
      </c>
      <c r="M301" s="6">
        <v>150.42444</v>
      </c>
      <c r="N301" s="6">
        <v>160.02600000000001</v>
      </c>
      <c r="O301" s="6">
        <v>150.42444</v>
      </c>
      <c r="P301" s="6">
        <v>0</v>
      </c>
      <c r="Q301" s="4" t="s">
        <v>26</v>
      </c>
      <c r="R301" s="4">
        <v>0</v>
      </c>
      <c r="S301" s="4" t="s">
        <v>141</v>
      </c>
      <c r="T301" s="4" t="s">
        <v>310</v>
      </c>
      <c r="U301" s="4">
        <v>0</v>
      </c>
      <c r="V301" s="4">
        <v>18</v>
      </c>
      <c r="W301" s="4">
        <v>73</v>
      </c>
    </row>
    <row r="302" spans="1:23" ht="11.25" customHeight="1" x14ac:dyDescent="0.25">
      <c r="A302" s="4" t="s">
        <v>21</v>
      </c>
      <c r="B302" s="4" t="s">
        <v>35</v>
      </c>
      <c r="C302" s="4" t="s">
        <v>39</v>
      </c>
      <c r="D302" s="4" t="s">
        <v>47</v>
      </c>
      <c r="E302" s="4" t="s">
        <v>48</v>
      </c>
      <c r="F302" s="4" t="s">
        <v>25</v>
      </c>
      <c r="G302" s="4" t="s">
        <v>25</v>
      </c>
      <c r="H302" s="4" t="s">
        <v>25</v>
      </c>
      <c r="I302" s="5">
        <v>44409</v>
      </c>
      <c r="J302" s="6">
        <v>400</v>
      </c>
      <c r="K302" s="6">
        <v>376</v>
      </c>
      <c r="L302" s="6">
        <v>0</v>
      </c>
      <c r="M302" s="6">
        <v>0</v>
      </c>
      <c r="N302" s="6">
        <v>0</v>
      </c>
      <c r="O302" s="6">
        <v>0</v>
      </c>
      <c r="P302" s="6">
        <v>1</v>
      </c>
      <c r="Q302" s="4" t="s">
        <v>26</v>
      </c>
      <c r="R302" s="4">
        <v>0</v>
      </c>
      <c r="S302" s="4" t="s">
        <v>142</v>
      </c>
      <c r="U302" s="4">
        <v>24</v>
      </c>
      <c r="V302" s="4">
        <v>0</v>
      </c>
      <c r="W302" s="4">
        <v>0</v>
      </c>
    </row>
    <row r="303" spans="1:23" ht="11.25" customHeight="1" x14ac:dyDescent="0.25">
      <c r="A303" s="4" t="s">
        <v>21</v>
      </c>
      <c r="B303" s="4" t="s">
        <v>35</v>
      </c>
      <c r="C303" s="4" t="s">
        <v>39</v>
      </c>
      <c r="D303" s="4" t="s">
        <v>47</v>
      </c>
      <c r="E303" s="4" t="s">
        <v>48</v>
      </c>
      <c r="F303" s="4" t="s">
        <v>25</v>
      </c>
      <c r="G303" s="4" t="s">
        <v>25</v>
      </c>
      <c r="H303" s="4" t="s">
        <v>25</v>
      </c>
      <c r="I303" s="5">
        <v>44440</v>
      </c>
      <c r="J303" s="6">
        <v>400</v>
      </c>
      <c r="K303" s="6">
        <v>376</v>
      </c>
      <c r="L303" s="6">
        <v>0</v>
      </c>
      <c r="M303" s="6">
        <v>0</v>
      </c>
      <c r="N303" s="6">
        <v>0</v>
      </c>
      <c r="O303" s="6">
        <v>0</v>
      </c>
      <c r="P303" s="6">
        <v>1</v>
      </c>
      <c r="Q303" s="4" t="s">
        <v>26</v>
      </c>
      <c r="R303" s="4">
        <v>0</v>
      </c>
      <c r="S303" s="4" t="s">
        <v>143</v>
      </c>
      <c r="U303" s="4">
        <v>24</v>
      </c>
      <c r="V303" s="4">
        <v>0</v>
      </c>
      <c r="W303" s="4">
        <v>0</v>
      </c>
    </row>
    <row r="304" spans="1:23" ht="11.25" customHeight="1" x14ac:dyDescent="0.25">
      <c r="A304" s="4" t="s">
        <v>21</v>
      </c>
      <c r="B304" s="4" t="s">
        <v>35</v>
      </c>
      <c r="C304" s="4" t="s">
        <v>39</v>
      </c>
      <c r="D304" s="4" t="s">
        <v>47</v>
      </c>
      <c r="E304" s="4" t="s">
        <v>48</v>
      </c>
      <c r="F304" s="4" t="s">
        <v>25</v>
      </c>
      <c r="G304" s="4" t="s">
        <v>25</v>
      </c>
      <c r="H304" s="4" t="s">
        <v>25</v>
      </c>
      <c r="I304" s="5">
        <v>44470</v>
      </c>
      <c r="J304" s="6">
        <v>400</v>
      </c>
      <c r="K304" s="6">
        <v>376</v>
      </c>
      <c r="L304" s="6">
        <v>0</v>
      </c>
      <c r="M304" s="6">
        <v>0</v>
      </c>
      <c r="N304" s="6">
        <v>0</v>
      </c>
      <c r="O304" s="6">
        <v>0</v>
      </c>
      <c r="P304" s="6">
        <v>1</v>
      </c>
      <c r="Q304" s="4" t="s">
        <v>26</v>
      </c>
      <c r="R304" s="4">
        <v>0</v>
      </c>
      <c r="S304" s="4" t="s">
        <v>144</v>
      </c>
      <c r="U304" s="4">
        <v>24</v>
      </c>
      <c r="V304" s="4">
        <v>0</v>
      </c>
      <c r="W304" s="4">
        <v>0</v>
      </c>
    </row>
    <row r="305" spans="1:23" ht="11.25" customHeight="1" x14ac:dyDescent="0.25">
      <c r="A305" s="4" t="s">
        <v>21</v>
      </c>
      <c r="B305" s="4" t="s">
        <v>35</v>
      </c>
      <c r="C305" s="4" t="s">
        <v>39</v>
      </c>
      <c r="D305" s="4" t="s">
        <v>47</v>
      </c>
      <c r="E305" s="4" t="s">
        <v>48</v>
      </c>
      <c r="F305" s="4" t="s">
        <v>25</v>
      </c>
      <c r="G305" s="4" t="s">
        <v>25</v>
      </c>
      <c r="H305" s="4" t="s">
        <v>25</v>
      </c>
      <c r="I305" s="5">
        <v>44501</v>
      </c>
      <c r="J305" s="6">
        <v>400</v>
      </c>
      <c r="K305" s="6">
        <v>376</v>
      </c>
      <c r="L305" s="6">
        <v>0</v>
      </c>
      <c r="M305" s="6">
        <v>0</v>
      </c>
      <c r="N305" s="6">
        <v>0</v>
      </c>
      <c r="O305" s="6">
        <v>0</v>
      </c>
      <c r="P305" s="6">
        <v>1</v>
      </c>
      <c r="Q305" s="4" t="s">
        <v>26</v>
      </c>
      <c r="R305" s="4">
        <v>0</v>
      </c>
      <c r="S305" s="4" t="s">
        <v>145</v>
      </c>
      <c r="U305" s="4">
        <v>24</v>
      </c>
      <c r="V305" s="4">
        <v>0</v>
      </c>
      <c r="W305" s="4">
        <v>0</v>
      </c>
    </row>
    <row r="306" spans="1:23" ht="11.25" customHeight="1" x14ac:dyDescent="0.25">
      <c r="A306" s="4" t="s">
        <v>21</v>
      </c>
      <c r="B306" s="4" t="s">
        <v>35</v>
      </c>
      <c r="C306" s="4" t="s">
        <v>39</v>
      </c>
      <c r="D306" s="4" t="s">
        <v>47</v>
      </c>
      <c r="E306" s="4" t="s">
        <v>48</v>
      </c>
      <c r="F306" s="4" t="s">
        <v>25</v>
      </c>
      <c r="G306" s="4" t="s">
        <v>25</v>
      </c>
      <c r="H306" s="4" t="s">
        <v>25</v>
      </c>
      <c r="I306" s="5">
        <v>44531</v>
      </c>
      <c r="J306" s="6">
        <v>484</v>
      </c>
      <c r="K306" s="6">
        <v>454.96</v>
      </c>
      <c r="L306" s="6">
        <v>0</v>
      </c>
      <c r="M306" s="6">
        <v>0</v>
      </c>
      <c r="N306" s="6">
        <v>0</v>
      </c>
      <c r="O306" s="6">
        <v>0</v>
      </c>
      <c r="P306" s="6">
        <v>1</v>
      </c>
      <c r="Q306" s="4" t="s">
        <v>26</v>
      </c>
      <c r="R306" s="4">
        <v>0</v>
      </c>
      <c r="S306" s="4" t="s">
        <v>146</v>
      </c>
      <c r="U306" s="4">
        <v>24</v>
      </c>
      <c r="V306" s="4">
        <v>0</v>
      </c>
      <c r="W306" s="4">
        <v>0</v>
      </c>
    </row>
    <row r="307" spans="1:23" ht="11.25" customHeight="1" x14ac:dyDescent="0.25">
      <c r="A307" s="4" t="s">
        <v>21</v>
      </c>
      <c r="B307" s="4" t="s">
        <v>35</v>
      </c>
      <c r="C307" s="4" t="s">
        <v>39</v>
      </c>
      <c r="D307" s="4" t="s">
        <v>47</v>
      </c>
      <c r="E307" s="4" t="s">
        <v>48</v>
      </c>
      <c r="F307" s="4" t="s">
        <v>25</v>
      </c>
      <c r="G307" s="4" t="s">
        <v>25</v>
      </c>
      <c r="H307" s="4" t="s">
        <v>25</v>
      </c>
      <c r="I307" s="5">
        <v>44562</v>
      </c>
      <c r="J307" s="6">
        <v>490</v>
      </c>
      <c r="K307" s="6">
        <v>460.6</v>
      </c>
      <c r="L307" s="6">
        <v>0</v>
      </c>
      <c r="M307" s="6">
        <v>0</v>
      </c>
      <c r="N307" s="6">
        <v>0</v>
      </c>
      <c r="O307" s="6">
        <v>0</v>
      </c>
      <c r="P307" s="6">
        <v>1</v>
      </c>
      <c r="Q307" s="4" t="s">
        <v>26</v>
      </c>
      <c r="R307" s="4">
        <v>0</v>
      </c>
      <c r="S307" s="4" t="s">
        <v>147</v>
      </c>
      <c r="U307" s="4">
        <v>24</v>
      </c>
      <c r="V307" s="4">
        <v>0</v>
      </c>
      <c r="W307" s="4">
        <v>0</v>
      </c>
    </row>
    <row r="308" spans="1:23" ht="11.25" customHeight="1" x14ac:dyDescent="0.25">
      <c r="A308" s="4" t="s">
        <v>21</v>
      </c>
      <c r="B308" s="4" t="s">
        <v>35</v>
      </c>
      <c r="C308" s="4" t="s">
        <v>39</v>
      </c>
      <c r="D308" s="4" t="s">
        <v>47</v>
      </c>
      <c r="E308" s="4" t="s">
        <v>48</v>
      </c>
      <c r="F308" s="4" t="s">
        <v>25</v>
      </c>
      <c r="G308" s="4" t="s">
        <v>25</v>
      </c>
      <c r="H308" s="4" t="s">
        <v>25</v>
      </c>
      <c r="I308" s="5">
        <v>44593</v>
      </c>
      <c r="J308" s="6">
        <v>421</v>
      </c>
      <c r="K308" s="6">
        <v>395.74</v>
      </c>
      <c r="L308" s="6">
        <v>0</v>
      </c>
      <c r="M308" s="6">
        <v>0</v>
      </c>
      <c r="N308" s="6">
        <v>0</v>
      </c>
      <c r="O308" s="6">
        <v>0</v>
      </c>
      <c r="P308" s="6">
        <v>1</v>
      </c>
      <c r="Q308" s="4" t="s">
        <v>26</v>
      </c>
      <c r="R308" s="4">
        <v>0</v>
      </c>
      <c r="S308" s="4" t="s">
        <v>148</v>
      </c>
      <c r="U308" s="4">
        <v>24</v>
      </c>
      <c r="V308" s="4">
        <v>0</v>
      </c>
      <c r="W308" s="4">
        <v>0</v>
      </c>
    </row>
    <row r="309" spans="1:23" ht="11.25" customHeight="1" x14ac:dyDescent="0.25">
      <c r="A309" s="4" t="s">
        <v>21</v>
      </c>
      <c r="B309" s="4" t="s">
        <v>35</v>
      </c>
      <c r="C309" s="4" t="s">
        <v>39</v>
      </c>
      <c r="D309" s="4" t="s">
        <v>47</v>
      </c>
      <c r="E309" s="4" t="s">
        <v>48</v>
      </c>
      <c r="F309" s="4" t="s">
        <v>25</v>
      </c>
      <c r="G309" s="4" t="s">
        <v>25</v>
      </c>
      <c r="H309" s="4" t="s">
        <v>25</v>
      </c>
      <c r="I309" s="5">
        <v>44621</v>
      </c>
      <c r="J309" s="6">
        <v>426</v>
      </c>
      <c r="K309" s="6">
        <v>400.44</v>
      </c>
      <c r="L309" s="6">
        <v>0</v>
      </c>
      <c r="M309" s="6">
        <v>0</v>
      </c>
      <c r="N309" s="6">
        <v>0</v>
      </c>
      <c r="O309" s="6">
        <v>0</v>
      </c>
      <c r="P309" s="6">
        <v>1</v>
      </c>
      <c r="Q309" s="4" t="s">
        <v>26</v>
      </c>
      <c r="R309" s="4">
        <v>0</v>
      </c>
      <c r="S309" s="4" t="s">
        <v>149</v>
      </c>
      <c r="U309" s="4">
        <v>24</v>
      </c>
      <c r="V309" s="4">
        <v>0</v>
      </c>
      <c r="W309" s="4">
        <v>0</v>
      </c>
    </row>
    <row r="310" spans="1:23" ht="11.25" customHeight="1" x14ac:dyDescent="0.25">
      <c r="A310" s="4" t="s">
        <v>21</v>
      </c>
      <c r="B310" s="4" t="s">
        <v>35</v>
      </c>
      <c r="C310" s="4" t="s">
        <v>39</v>
      </c>
      <c r="D310" s="4" t="s">
        <v>47</v>
      </c>
      <c r="E310" s="4" t="s">
        <v>48</v>
      </c>
      <c r="F310" s="4" t="s">
        <v>25</v>
      </c>
      <c r="G310" s="4" t="s">
        <v>25</v>
      </c>
      <c r="H310" s="4" t="s">
        <v>25</v>
      </c>
      <c r="I310" s="5">
        <v>44652</v>
      </c>
      <c r="J310" s="6">
        <v>405</v>
      </c>
      <c r="K310" s="6">
        <v>380.7</v>
      </c>
      <c r="L310" s="6">
        <v>0</v>
      </c>
      <c r="M310" s="6">
        <v>0</v>
      </c>
      <c r="N310" s="6">
        <v>0</v>
      </c>
      <c r="O310" s="6">
        <v>0</v>
      </c>
      <c r="P310" s="6">
        <v>1</v>
      </c>
      <c r="Q310" s="4" t="s">
        <v>26</v>
      </c>
      <c r="R310" s="4">
        <v>0</v>
      </c>
      <c r="S310" s="4" t="s">
        <v>150</v>
      </c>
      <c r="U310" s="4">
        <v>24</v>
      </c>
      <c r="V310" s="4">
        <v>0</v>
      </c>
      <c r="W310" s="4">
        <v>0</v>
      </c>
    </row>
    <row r="311" spans="1:23" ht="11.25" customHeight="1" x14ac:dyDescent="0.25">
      <c r="A311" s="4" t="s">
        <v>21</v>
      </c>
      <c r="B311" s="4" t="s">
        <v>35</v>
      </c>
      <c r="C311" s="4" t="s">
        <v>39</v>
      </c>
      <c r="D311" s="4" t="s">
        <v>47</v>
      </c>
      <c r="E311" s="4" t="s">
        <v>48</v>
      </c>
      <c r="F311" s="4" t="s">
        <v>25</v>
      </c>
      <c r="G311" s="4" t="s">
        <v>25</v>
      </c>
      <c r="H311" s="4" t="s">
        <v>25</v>
      </c>
      <c r="I311" s="5">
        <v>44682</v>
      </c>
      <c r="J311" s="6">
        <v>400</v>
      </c>
      <c r="K311" s="6">
        <v>376</v>
      </c>
      <c r="L311" s="6">
        <v>0</v>
      </c>
      <c r="M311" s="6">
        <v>0</v>
      </c>
      <c r="N311" s="6">
        <v>0</v>
      </c>
      <c r="O311" s="6">
        <v>0</v>
      </c>
      <c r="P311" s="6">
        <v>1</v>
      </c>
      <c r="Q311" s="4" t="s">
        <v>26</v>
      </c>
      <c r="R311" s="4">
        <v>0</v>
      </c>
      <c r="S311" s="4" t="s">
        <v>151</v>
      </c>
      <c r="U311" s="4">
        <v>24</v>
      </c>
      <c r="V311" s="4">
        <v>0</v>
      </c>
      <c r="W311" s="4">
        <v>0</v>
      </c>
    </row>
    <row r="312" spans="1:23" ht="11.25" customHeight="1" x14ac:dyDescent="0.25">
      <c r="A312" s="4" t="s">
        <v>21</v>
      </c>
      <c r="B312" s="4" t="s">
        <v>35</v>
      </c>
      <c r="C312" s="4" t="s">
        <v>39</v>
      </c>
      <c r="D312" s="4" t="s">
        <v>47</v>
      </c>
      <c r="E312" s="4" t="s">
        <v>48</v>
      </c>
      <c r="F312" s="4" t="s">
        <v>25</v>
      </c>
      <c r="G312" s="4" t="s">
        <v>25</v>
      </c>
      <c r="H312" s="4" t="s">
        <v>25</v>
      </c>
      <c r="I312" s="5">
        <v>44713</v>
      </c>
      <c r="J312" s="6">
        <v>400</v>
      </c>
      <c r="K312" s="6">
        <v>376</v>
      </c>
      <c r="L312" s="6">
        <v>0</v>
      </c>
      <c r="M312" s="6">
        <v>0</v>
      </c>
      <c r="N312" s="6">
        <v>0</v>
      </c>
      <c r="O312" s="6">
        <v>0</v>
      </c>
      <c r="P312" s="6">
        <v>1</v>
      </c>
      <c r="Q312" s="4" t="s">
        <v>26</v>
      </c>
      <c r="R312" s="4">
        <v>0</v>
      </c>
      <c r="S312" s="4" t="s">
        <v>152</v>
      </c>
      <c r="U312" s="4">
        <v>24</v>
      </c>
      <c r="V312" s="4">
        <v>0</v>
      </c>
      <c r="W312" s="4">
        <v>0</v>
      </c>
    </row>
    <row r="313" spans="1:23" ht="11.25" customHeight="1" x14ac:dyDescent="0.25">
      <c r="A313" s="4" t="s">
        <v>55</v>
      </c>
      <c r="B313" s="4" t="s">
        <v>35</v>
      </c>
      <c r="C313" s="4" t="s">
        <v>39</v>
      </c>
      <c r="D313" s="4" t="s">
        <v>47</v>
      </c>
      <c r="E313" s="4" t="s">
        <v>48</v>
      </c>
      <c r="F313" s="4" t="s">
        <v>25</v>
      </c>
      <c r="G313" s="4" t="s">
        <v>25</v>
      </c>
      <c r="H313" s="4" t="s">
        <v>25</v>
      </c>
      <c r="I313" s="5">
        <v>44743</v>
      </c>
      <c r="J313" s="6">
        <v>400</v>
      </c>
      <c r="K313" s="6">
        <v>376</v>
      </c>
      <c r="L313" s="6">
        <v>0</v>
      </c>
      <c r="M313" s="6">
        <v>0</v>
      </c>
      <c r="N313" s="6">
        <v>0</v>
      </c>
      <c r="O313" s="6">
        <v>0</v>
      </c>
      <c r="P313" s="6">
        <v>1</v>
      </c>
      <c r="Q313" s="4" t="s">
        <v>26</v>
      </c>
      <c r="R313" s="4">
        <v>0</v>
      </c>
      <c r="S313" s="4" t="s">
        <v>153</v>
      </c>
      <c r="U313" s="4">
        <v>24</v>
      </c>
      <c r="V313" s="4">
        <v>0</v>
      </c>
      <c r="W313" s="4">
        <v>0</v>
      </c>
    </row>
    <row r="314" spans="1:23" ht="11.25" customHeight="1" x14ac:dyDescent="0.25">
      <c r="A314" s="4" t="s">
        <v>21</v>
      </c>
      <c r="B314" s="4" t="s">
        <v>35</v>
      </c>
      <c r="C314" s="4" t="s">
        <v>39</v>
      </c>
      <c r="D314" s="4" t="s">
        <v>47</v>
      </c>
      <c r="E314" s="4" t="s">
        <v>48</v>
      </c>
      <c r="F314" s="4" t="s">
        <v>25</v>
      </c>
      <c r="G314" s="4" t="s">
        <v>25</v>
      </c>
      <c r="H314" s="4" t="s">
        <v>37</v>
      </c>
      <c r="I314" s="5">
        <v>44409</v>
      </c>
      <c r="J314" s="6">
        <v>0</v>
      </c>
      <c r="K314" s="6">
        <v>0</v>
      </c>
      <c r="L314" s="6">
        <v>14.43</v>
      </c>
      <c r="M314" s="6">
        <v>13.5642</v>
      </c>
      <c r="N314" s="6">
        <v>14.43</v>
      </c>
      <c r="O314" s="6">
        <v>13.5642</v>
      </c>
      <c r="P314" s="6">
        <v>0</v>
      </c>
      <c r="Q314" s="4" t="s">
        <v>26</v>
      </c>
      <c r="R314" s="4">
        <v>0</v>
      </c>
      <c r="S314" s="4" t="s">
        <v>154</v>
      </c>
      <c r="T314" s="4" t="s">
        <v>311</v>
      </c>
      <c r="U314" s="4">
        <v>0</v>
      </c>
      <c r="V314" s="4">
        <v>5</v>
      </c>
      <c r="W314" s="4">
        <v>69</v>
      </c>
    </row>
    <row r="315" spans="1:23" ht="11.25" customHeight="1" x14ac:dyDescent="0.25">
      <c r="A315" s="4" t="s">
        <v>21</v>
      </c>
      <c r="B315" s="4" t="s">
        <v>35</v>
      </c>
      <c r="C315" s="4" t="s">
        <v>39</v>
      </c>
      <c r="D315" s="4" t="s">
        <v>47</v>
      </c>
      <c r="E315" s="4" t="s">
        <v>48</v>
      </c>
      <c r="F315" s="4" t="s">
        <v>25</v>
      </c>
      <c r="G315" s="4" t="s">
        <v>25</v>
      </c>
      <c r="H315" s="4" t="s">
        <v>37</v>
      </c>
      <c r="I315" s="5">
        <v>44440</v>
      </c>
      <c r="J315" s="6">
        <v>0</v>
      </c>
      <c r="K315" s="6">
        <v>0</v>
      </c>
      <c r="L315" s="6">
        <v>13.776999999999999</v>
      </c>
      <c r="M315" s="6">
        <v>12.950379999999999</v>
      </c>
      <c r="N315" s="6">
        <v>13.776999999999999</v>
      </c>
      <c r="O315" s="6">
        <v>12.950379999999999</v>
      </c>
      <c r="P315" s="6">
        <v>0</v>
      </c>
      <c r="Q315" s="4" t="s">
        <v>26</v>
      </c>
      <c r="R315" s="4">
        <v>0</v>
      </c>
      <c r="S315" s="4" t="s">
        <v>155</v>
      </c>
      <c r="T315" s="4" t="s">
        <v>312</v>
      </c>
      <c r="U315" s="4">
        <v>0</v>
      </c>
      <c r="V315" s="4">
        <v>5</v>
      </c>
      <c r="W315" s="4">
        <v>69</v>
      </c>
    </row>
    <row r="316" spans="1:23" ht="11.25" customHeight="1" x14ac:dyDescent="0.25">
      <c r="A316" s="4" t="s">
        <v>21</v>
      </c>
      <c r="B316" s="4" t="s">
        <v>35</v>
      </c>
      <c r="C316" s="4" t="s">
        <v>39</v>
      </c>
      <c r="D316" s="4" t="s">
        <v>47</v>
      </c>
      <c r="E316" s="4" t="s">
        <v>48</v>
      </c>
      <c r="F316" s="4" t="s">
        <v>25</v>
      </c>
      <c r="G316" s="4" t="s">
        <v>25</v>
      </c>
      <c r="H316" s="4" t="s">
        <v>37</v>
      </c>
      <c r="I316" s="5">
        <v>44470</v>
      </c>
      <c r="J316" s="6">
        <v>0</v>
      </c>
      <c r="K316" s="6">
        <v>0</v>
      </c>
      <c r="L316" s="6">
        <v>12.991</v>
      </c>
      <c r="M316" s="6">
        <v>12.211539999999999</v>
      </c>
      <c r="N316" s="6">
        <v>12.991</v>
      </c>
      <c r="O316" s="6">
        <v>12.211539999999999</v>
      </c>
      <c r="P316" s="6">
        <v>0</v>
      </c>
      <c r="Q316" s="4" t="s">
        <v>26</v>
      </c>
      <c r="R316" s="4">
        <v>0</v>
      </c>
      <c r="S316" s="4" t="s">
        <v>156</v>
      </c>
      <c r="T316" s="4" t="s">
        <v>313</v>
      </c>
      <c r="U316" s="4">
        <v>0</v>
      </c>
      <c r="V316" s="4">
        <v>5</v>
      </c>
      <c r="W316" s="4">
        <v>69</v>
      </c>
    </row>
    <row r="317" spans="1:23" ht="11.25" customHeight="1" x14ac:dyDescent="0.25">
      <c r="A317" s="4" t="s">
        <v>21</v>
      </c>
      <c r="B317" s="4" t="s">
        <v>35</v>
      </c>
      <c r="C317" s="4" t="s">
        <v>39</v>
      </c>
      <c r="D317" s="4" t="s">
        <v>47</v>
      </c>
      <c r="E317" s="4" t="s">
        <v>48</v>
      </c>
      <c r="F317" s="4" t="s">
        <v>25</v>
      </c>
      <c r="G317" s="4" t="s">
        <v>25</v>
      </c>
      <c r="H317" s="4" t="s">
        <v>37</v>
      </c>
      <c r="I317" s="5">
        <v>44501</v>
      </c>
      <c r="J317" s="6">
        <v>0</v>
      </c>
      <c r="K317" s="6">
        <v>0</v>
      </c>
      <c r="L317" s="6">
        <v>14.047000000000001</v>
      </c>
      <c r="M317" s="6">
        <v>13.204179999999999</v>
      </c>
      <c r="N317" s="6">
        <v>14.047000000000001</v>
      </c>
      <c r="O317" s="6">
        <v>13.204179999999999</v>
      </c>
      <c r="P317" s="6">
        <v>0</v>
      </c>
      <c r="Q317" s="4" t="s">
        <v>26</v>
      </c>
      <c r="R317" s="4">
        <v>0</v>
      </c>
      <c r="S317" s="4" t="s">
        <v>157</v>
      </c>
      <c r="T317" s="4" t="s">
        <v>314</v>
      </c>
      <c r="U317" s="4">
        <v>0</v>
      </c>
      <c r="V317" s="4">
        <v>5</v>
      </c>
      <c r="W317" s="4">
        <v>69</v>
      </c>
    </row>
    <row r="318" spans="1:23" ht="11.25" customHeight="1" x14ac:dyDescent="0.25">
      <c r="A318" s="4" t="s">
        <v>21</v>
      </c>
      <c r="B318" s="4" t="s">
        <v>35</v>
      </c>
      <c r="C318" s="4" t="s">
        <v>39</v>
      </c>
      <c r="D318" s="4" t="s">
        <v>47</v>
      </c>
      <c r="E318" s="4" t="s">
        <v>48</v>
      </c>
      <c r="F318" s="4" t="s">
        <v>25</v>
      </c>
      <c r="G318" s="4" t="s">
        <v>25</v>
      </c>
      <c r="H318" s="4" t="s">
        <v>37</v>
      </c>
      <c r="I318" s="5">
        <v>44531</v>
      </c>
      <c r="J318" s="6">
        <v>0</v>
      </c>
      <c r="K318" s="6">
        <v>0</v>
      </c>
      <c r="L318" s="6">
        <v>21.306000000000001</v>
      </c>
      <c r="M318" s="6">
        <v>20.027640000000002</v>
      </c>
      <c r="N318" s="6">
        <v>21.306000000000001</v>
      </c>
      <c r="O318" s="6">
        <v>20.027640000000002</v>
      </c>
      <c r="P318" s="6">
        <v>0</v>
      </c>
      <c r="Q318" s="4" t="s">
        <v>26</v>
      </c>
      <c r="R318" s="4">
        <v>0</v>
      </c>
      <c r="S318" s="4" t="s">
        <v>158</v>
      </c>
      <c r="T318" s="4" t="s">
        <v>315</v>
      </c>
      <c r="U318" s="4">
        <v>0</v>
      </c>
      <c r="V318" s="4">
        <v>5</v>
      </c>
      <c r="W318" s="4">
        <v>69</v>
      </c>
    </row>
    <row r="319" spans="1:23" ht="11.25" customHeight="1" x14ac:dyDescent="0.25">
      <c r="A319" s="4" t="s">
        <v>21</v>
      </c>
      <c r="B319" s="4" t="s">
        <v>35</v>
      </c>
      <c r="C319" s="4" t="s">
        <v>39</v>
      </c>
      <c r="D319" s="4" t="s">
        <v>47</v>
      </c>
      <c r="E319" s="4" t="s">
        <v>48</v>
      </c>
      <c r="F319" s="4" t="s">
        <v>25</v>
      </c>
      <c r="G319" s="4" t="s">
        <v>25</v>
      </c>
      <c r="H319" s="4" t="s">
        <v>37</v>
      </c>
      <c r="I319" s="5">
        <v>44562</v>
      </c>
      <c r="J319" s="6">
        <v>0</v>
      </c>
      <c r="K319" s="6">
        <v>0</v>
      </c>
      <c r="L319" s="6">
        <v>22.757000000000001</v>
      </c>
      <c r="M319" s="6">
        <v>21.391580000000001</v>
      </c>
      <c r="N319" s="6">
        <v>22.757000000000001</v>
      </c>
      <c r="O319" s="6">
        <v>21.391580000000001</v>
      </c>
      <c r="P319" s="6">
        <v>0</v>
      </c>
      <c r="Q319" s="4" t="s">
        <v>26</v>
      </c>
      <c r="R319" s="4">
        <v>0</v>
      </c>
      <c r="S319" s="4" t="s">
        <v>159</v>
      </c>
      <c r="T319" s="4" t="s">
        <v>316</v>
      </c>
      <c r="U319" s="4">
        <v>0</v>
      </c>
      <c r="V319" s="4">
        <v>5</v>
      </c>
      <c r="W319" s="4">
        <v>69</v>
      </c>
    </row>
    <row r="320" spans="1:23" ht="11.25" customHeight="1" x14ac:dyDescent="0.25">
      <c r="A320" s="4" t="s">
        <v>21</v>
      </c>
      <c r="B320" s="4" t="s">
        <v>35</v>
      </c>
      <c r="C320" s="4" t="s">
        <v>39</v>
      </c>
      <c r="D320" s="4" t="s">
        <v>47</v>
      </c>
      <c r="E320" s="4" t="s">
        <v>48</v>
      </c>
      <c r="F320" s="4" t="s">
        <v>25</v>
      </c>
      <c r="G320" s="4" t="s">
        <v>25</v>
      </c>
      <c r="H320" s="4" t="s">
        <v>37</v>
      </c>
      <c r="I320" s="5">
        <v>44593</v>
      </c>
      <c r="J320" s="6">
        <v>0</v>
      </c>
      <c r="K320" s="6">
        <v>0</v>
      </c>
      <c r="L320" s="6">
        <v>18.914000000000001</v>
      </c>
      <c r="M320" s="6">
        <v>17.779160000000001</v>
      </c>
      <c r="N320" s="6">
        <v>18.914000000000001</v>
      </c>
      <c r="O320" s="6">
        <v>17.779160000000001</v>
      </c>
      <c r="P320" s="6">
        <v>0</v>
      </c>
      <c r="Q320" s="4" t="s">
        <v>26</v>
      </c>
      <c r="R320" s="4">
        <v>0</v>
      </c>
      <c r="S320" s="4" t="s">
        <v>160</v>
      </c>
      <c r="T320" s="4" t="s">
        <v>317</v>
      </c>
      <c r="U320" s="4">
        <v>0</v>
      </c>
      <c r="V320" s="4">
        <v>5</v>
      </c>
      <c r="W320" s="4">
        <v>69</v>
      </c>
    </row>
    <row r="321" spans="1:23" ht="11.25" customHeight="1" x14ac:dyDescent="0.25">
      <c r="A321" s="4" t="s">
        <v>21</v>
      </c>
      <c r="B321" s="4" t="s">
        <v>35</v>
      </c>
      <c r="C321" s="4" t="s">
        <v>39</v>
      </c>
      <c r="D321" s="4" t="s">
        <v>47</v>
      </c>
      <c r="E321" s="4" t="s">
        <v>48</v>
      </c>
      <c r="F321" s="4" t="s">
        <v>25</v>
      </c>
      <c r="G321" s="4" t="s">
        <v>25</v>
      </c>
      <c r="H321" s="4" t="s">
        <v>37</v>
      </c>
      <c r="I321" s="5">
        <v>44621</v>
      </c>
      <c r="J321" s="6">
        <v>0</v>
      </c>
      <c r="K321" s="6">
        <v>0</v>
      </c>
      <c r="L321" s="6">
        <v>19.082000000000001</v>
      </c>
      <c r="M321" s="6">
        <v>17.937080000000002</v>
      </c>
      <c r="N321" s="6">
        <v>19.082000000000001</v>
      </c>
      <c r="O321" s="6">
        <v>17.937080000000002</v>
      </c>
      <c r="P321" s="6">
        <v>0</v>
      </c>
      <c r="Q321" s="4" t="s">
        <v>26</v>
      </c>
      <c r="R321" s="4">
        <v>0</v>
      </c>
      <c r="S321" s="4" t="s">
        <v>161</v>
      </c>
      <c r="T321" s="4" t="s">
        <v>318</v>
      </c>
      <c r="U321" s="4">
        <v>0</v>
      </c>
      <c r="V321" s="4">
        <v>5</v>
      </c>
      <c r="W321" s="4">
        <v>69</v>
      </c>
    </row>
    <row r="322" spans="1:23" ht="11.25" customHeight="1" x14ac:dyDescent="0.25">
      <c r="A322" s="4" t="s">
        <v>21</v>
      </c>
      <c r="B322" s="4" t="s">
        <v>35</v>
      </c>
      <c r="C322" s="4" t="s">
        <v>39</v>
      </c>
      <c r="D322" s="4" t="s">
        <v>47</v>
      </c>
      <c r="E322" s="4" t="s">
        <v>48</v>
      </c>
      <c r="F322" s="4" t="s">
        <v>25</v>
      </c>
      <c r="G322" s="4" t="s">
        <v>25</v>
      </c>
      <c r="H322" s="4" t="s">
        <v>37</v>
      </c>
      <c r="I322" s="5">
        <v>44652</v>
      </c>
      <c r="J322" s="6">
        <v>0</v>
      </c>
      <c r="K322" s="6">
        <v>0</v>
      </c>
      <c r="L322" s="6">
        <v>16.46</v>
      </c>
      <c r="M322" s="6">
        <v>15.4724</v>
      </c>
      <c r="N322" s="6">
        <v>16.46</v>
      </c>
      <c r="O322" s="6">
        <v>15.4724</v>
      </c>
      <c r="P322" s="6">
        <v>0</v>
      </c>
      <c r="Q322" s="4" t="s">
        <v>26</v>
      </c>
      <c r="R322" s="4">
        <v>0</v>
      </c>
      <c r="S322" s="4" t="s">
        <v>162</v>
      </c>
      <c r="T322" s="4" t="s">
        <v>319</v>
      </c>
      <c r="U322" s="4">
        <v>0</v>
      </c>
      <c r="V322" s="4">
        <v>5</v>
      </c>
      <c r="W322" s="4">
        <v>69</v>
      </c>
    </row>
    <row r="323" spans="1:23" ht="11.25" customHeight="1" x14ac:dyDescent="0.25">
      <c r="A323" s="4" t="s">
        <v>21</v>
      </c>
      <c r="B323" s="4" t="s">
        <v>35</v>
      </c>
      <c r="C323" s="4" t="s">
        <v>39</v>
      </c>
      <c r="D323" s="4" t="s">
        <v>47</v>
      </c>
      <c r="E323" s="4" t="s">
        <v>48</v>
      </c>
      <c r="F323" s="4" t="s">
        <v>25</v>
      </c>
      <c r="G323" s="4" t="s">
        <v>25</v>
      </c>
      <c r="H323" s="4" t="s">
        <v>37</v>
      </c>
      <c r="I323" s="5">
        <v>44682</v>
      </c>
      <c r="J323" s="6">
        <v>0</v>
      </c>
      <c r="K323" s="6">
        <v>0</v>
      </c>
      <c r="L323" s="6">
        <v>17.936</v>
      </c>
      <c r="M323" s="6">
        <v>16.859839999999998</v>
      </c>
      <c r="N323" s="6">
        <v>17.936</v>
      </c>
      <c r="O323" s="6">
        <v>16.859839999999998</v>
      </c>
      <c r="P323" s="6">
        <v>0</v>
      </c>
      <c r="Q323" s="4" t="s">
        <v>26</v>
      </c>
      <c r="R323" s="4">
        <v>0</v>
      </c>
      <c r="S323" s="4" t="s">
        <v>163</v>
      </c>
      <c r="T323" s="4" t="s">
        <v>320</v>
      </c>
      <c r="U323" s="4">
        <v>0</v>
      </c>
      <c r="V323" s="4">
        <v>5</v>
      </c>
      <c r="W323" s="4">
        <v>69</v>
      </c>
    </row>
    <row r="324" spans="1:23" ht="11.25" customHeight="1" x14ac:dyDescent="0.25">
      <c r="A324" s="4" t="s">
        <v>21</v>
      </c>
      <c r="B324" s="4" t="s">
        <v>35</v>
      </c>
      <c r="C324" s="4" t="s">
        <v>39</v>
      </c>
      <c r="D324" s="4" t="s">
        <v>47</v>
      </c>
      <c r="E324" s="4" t="s">
        <v>48</v>
      </c>
      <c r="F324" s="4" t="s">
        <v>25</v>
      </c>
      <c r="G324" s="4" t="s">
        <v>25</v>
      </c>
      <c r="H324" s="4" t="s">
        <v>37</v>
      </c>
      <c r="I324" s="5">
        <v>44713</v>
      </c>
      <c r="J324" s="6">
        <v>0</v>
      </c>
      <c r="K324" s="6">
        <v>0</v>
      </c>
      <c r="L324" s="6">
        <v>18.001000000000001</v>
      </c>
      <c r="M324" s="6">
        <v>16.920940000000002</v>
      </c>
      <c r="N324" s="6">
        <v>18.001000000000001</v>
      </c>
      <c r="O324" s="6">
        <v>16.920940000000002</v>
      </c>
      <c r="P324" s="6">
        <v>0</v>
      </c>
      <c r="Q324" s="4" t="s">
        <v>26</v>
      </c>
      <c r="R324" s="4">
        <v>0</v>
      </c>
      <c r="S324" s="4" t="s">
        <v>164</v>
      </c>
      <c r="T324" s="4" t="s">
        <v>321</v>
      </c>
      <c r="U324" s="4">
        <v>0</v>
      </c>
      <c r="V324" s="4">
        <v>5</v>
      </c>
      <c r="W324" s="4">
        <v>69</v>
      </c>
    </row>
    <row r="325" spans="1:23" ht="11.25" customHeight="1" x14ac:dyDescent="0.25">
      <c r="A325" s="4" t="s">
        <v>55</v>
      </c>
      <c r="B325" s="4" t="s">
        <v>35</v>
      </c>
      <c r="C325" s="4" t="s">
        <v>39</v>
      </c>
      <c r="D325" s="4" t="s">
        <v>47</v>
      </c>
      <c r="E325" s="4" t="s">
        <v>48</v>
      </c>
      <c r="F325" s="4" t="s">
        <v>25</v>
      </c>
      <c r="G325" s="4" t="s">
        <v>25</v>
      </c>
      <c r="H325" s="4" t="s">
        <v>37</v>
      </c>
      <c r="I325" s="5">
        <v>44743</v>
      </c>
      <c r="J325" s="6">
        <v>0</v>
      </c>
      <c r="K325" s="6">
        <v>0</v>
      </c>
      <c r="L325" s="6">
        <v>18.001000000000001</v>
      </c>
      <c r="M325" s="6">
        <v>16.920940000000002</v>
      </c>
      <c r="N325" s="6">
        <v>18.001000000000001</v>
      </c>
      <c r="O325" s="6">
        <v>16.920940000000002</v>
      </c>
      <c r="P325" s="6">
        <v>0</v>
      </c>
      <c r="Q325" s="4" t="s">
        <v>26</v>
      </c>
      <c r="R325" s="4">
        <v>0</v>
      </c>
      <c r="S325" s="4" t="s">
        <v>165</v>
      </c>
      <c r="T325" s="4" t="s">
        <v>322</v>
      </c>
      <c r="U325" s="4">
        <v>0</v>
      </c>
      <c r="V325" s="4">
        <v>5</v>
      </c>
      <c r="W325" s="4">
        <v>69</v>
      </c>
    </row>
    <row r="326" spans="1:23" ht="11.25" customHeight="1" x14ac:dyDescent="0.25">
      <c r="A326" s="4" t="s">
        <v>21</v>
      </c>
      <c r="B326" s="4" t="s">
        <v>22</v>
      </c>
      <c r="C326" s="4" t="s">
        <v>23</v>
      </c>
      <c r="D326" s="4" t="s">
        <v>24</v>
      </c>
      <c r="E326" s="4" t="s">
        <v>24</v>
      </c>
      <c r="F326" s="4" t="s">
        <v>25</v>
      </c>
      <c r="G326" s="4" t="s">
        <v>25</v>
      </c>
      <c r="H326" s="4" t="s">
        <v>25</v>
      </c>
      <c r="I326" s="5">
        <v>44409</v>
      </c>
      <c r="J326" s="6">
        <v>0</v>
      </c>
      <c r="K326" s="6">
        <v>0</v>
      </c>
      <c r="L326" s="6">
        <v>4928.0069999999996</v>
      </c>
      <c r="M326" s="6">
        <v>4928.0069999999996</v>
      </c>
      <c r="N326" s="6">
        <v>4928.0069999999996</v>
      </c>
      <c r="O326" s="6">
        <v>4928.0069999999996</v>
      </c>
      <c r="P326" s="6">
        <v>33874</v>
      </c>
      <c r="Q326" s="4" t="s">
        <v>26</v>
      </c>
      <c r="R326" s="4">
        <v>0</v>
      </c>
      <c r="S326" s="4" t="s">
        <v>166</v>
      </c>
      <c r="T326" s="4" t="s">
        <v>327</v>
      </c>
      <c r="U326" s="4">
        <v>0</v>
      </c>
      <c r="V326" s="4">
        <v>2</v>
      </c>
      <c r="W326" s="4">
        <v>41</v>
      </c>
    </row>
    <row r="327" spans="1:23" ht="11.25" customHeight="1" x14ac:dyDescent="0.25">
      <c r="A327" s="4" t="s">
        <v>27</v>
      </c>
      <c r="B327" s="4" t="s">
        <v>22</v>
      </c>
      <c r="C327" s="4" t="s">
        <v>23</v>
      </c>
      <c r="D327" s="4" t="s">
        <v>24</v>
      </c>
      <c r="E327" s="4" t="s">
        <v>24</v>
      </c>
      <c r="F327" s="4" t="s">
        <v>25</v>
      </c>
      <c r="G327" s="4" t="s">
        <v>25</v>
      </c>
      <c r="H327" s="4" t="s">
        <v>25</v>
      </c>
      <c r="I327" s="5">
        <v>44409</v>
      </c>
      <c r="J327" s="6">
        <v>0</v>
      </c>
      <c r="K327" s="6">
        <v>0</v>
      </c>
      <c r="L327" s="6">
        <v>-7.3739999999999997</v>
      </c>
      <c r="M327" s="6">
        <v>-7.3739999999999997</v>
      </c>
      <c r="N327" s="6">
        <v>-7.3739999999999997</v>
      </c>
      <c r="O327" s="6">
        <v>-7.3739999999999997</v>
      </c>
      <c r="P327" s="6">
        <v>0</v>
      </c>
      <c r="Q327" s="4" t="s">
        <v>26</v>
      </c>
      <c r="R327" s="4">
        <v>0</v>
      </c>
      <c r="S327" s="4" t="s">
        <v>166</v>
      </c>
      <c r="T327" s="4" t="s">
        <v>327</v>
      </c>
      <c r="U327" s="4">
        <v>0</v>
      </c>
      <c r="V327" s="4">
        <v>2</v>
      </c>
      <c r="W327" s="4">
        <v>41</v>
      </c>
    </row>
    <row r="328" spans="1:23" ht="11.25" customHeight="1" x14ac:dyDescent="0.25">
      <c r="A328" s="4" t="s">
        <v>28</v>
      </c>
      <c r="B328" s="4" t="s">
        <v>22</v>
      </c>
      <c r="C328" s="4" t="s">
        <v>23</v>
      </c>
      <c r="D328" s="4" t="s">
        <v>24</v>
      </c>
      <c r="E328" s="4" t="s">
        <v>24</v>
      </c>
      <c r="F328" s="4" t="s">
        <v>25</v>
      </c>
      <c r="G328" s="4" t="s">
        <v>25</v>
      </c>
      <c r="H328" s="4" t="s">
        <v>25</v>
      </c>
      <c r="I328" s="5">
        <v>44409</v>
      </c>
      <c r="J328" s="6">
        <v>0</v>
      </c>
      <c r="K328" s="6">
        <v>0</v>
      </c>
      <c r="L328" s="6">
        <v>15.32</v>
      </c>
      <c r="M328" s="6">
        <v>15.32</v>
      </c>
      <c r="N328" s="6">
        <v>15.32</v>
      </c>
      <c r="O328" s="6">
        <v>15.32</v>
      </c>
      <c r="P328" s="6">
        <v>70</v>
      </c>
      <c r="Q328" s="4" t="s">
        <v>26</v>
      </c>
      <c r="R328" s="4">
        <v>0</v>
      </c>
      <c r="S328" s="4" t="s">
        <v>166</v>
      </c>
      <c r="T328" s="4" t="s">
        <v>327</v>
      </c>
      <c r="U328" s="4">
        <v>0</v>
      </c>
      <c r="V328" s="4">
        <v>2</v>
      </c>
      <c r="W328" s="4">
        <v>41</v>
      </c>
    </row>
    <row r="329" spans="1:23" ht="11.25" customHeight="1" x14ac:dyDescent="0.25">
      <c r="A329" s="4" t="s">
        <v>21</v>
      </c>
      <c r="B329" s="4" t="s">
        <v>22</v>
      </c>
      <c r="C329" s="4" t="s">
        <v>23</v>
      </c>
      <c r="D329" s="4" t="s">
        <v>24</v>
      </c>
      <c r="E329" s="4" t="s">
        <v>24</v>
      </c>
      <c r="F329" s="4" t="s">
        <v>25</v>
      </c>
      <c r="G329" s="4" t="s">
        <v>25</v>
      </c>
      <c r="H329" s="4" t="s">
        <v>25</v>
      </c>
      <c r="I329" s="5">
        <v>44440</v>
      </c>
      <c r="J329" s="6">
        <v>0</v>
      </c>
      <c r="K329" s="6">
        <v>0</v>
      </c>
      <c r="L329" s="6">
        <v>5208.9440000000004</v>
      </c>
      <c r="M329" s="6">
        <v>5208.9440000000004</v>
      </c>
      <c r="N329" s="6">
        <v>5208.9440000000004</v>
      </c>
      <c r="O329" s="6">
        <v>5208.9440000000004</v>
      </c>
      <c r="P329" s="6">
        <v>33927</v>
      </c>
      <c r="Q329" s="4" t="s">
        <v>26</v>
      </c>
      <c r="R329" s="4">
        <v>0</v>
      </c>
      <c r="S329" s="4" t="s">
        <v>167</v>
      </c>
      <c r="T329" s="4" t="s">
        <v>328</v>
      </c>
      <c r="U329" s="4">
        <v>0</v>
      </c>
      <c r="V329" s="4">
        <v>2</v>
      </c>
      <c r="W329" s="4">
        <v>41</v>
      </c>
    </row>
    <row r="330" spans="1:23" ht="11.25" customHeight="1" x14ac:dyDescent="0.25">
      <c r="A330" s="4" t="s">
        <v>27</v>
      </c>
      <c r="B330" s="4" t="s">
        <v>22</v>
      </c>
      <c r="C330" s="4" t="s">
        <v>23</v>
      </c>
      <c r="D330" s="4" t="s">
        <v>24</v>
      </c>
      <c r="E330" s="4" t="s">
        <v>24</v>
      </c>
      <c r="F330" s="4" t="s">
        <v>25</v>
      </c>
      <c r="G330" s="4" t="s">
        <v>25</v>
      </c>
      <c r="H330" s="4" t="s">
        <v>25</v>
      </c>
      <c r="I330" s="5">
        <v>44440</v>
      </c>
      <c r="J330" s="6">
        <v>0</v>
      </c>
      <c r="K330" s="6">
        <v>0</v>
      </c>
      <c r="L330" s="6">
        <v>-5.6660000000000004</v>
      </c>
      <c r="M330" s="6">
        <v>-5.6660000000000004</v>
      </c>
      <c r="N330" s="6">
        <v>-5.6660000000000004</v>
      </c>
      <c r="O330" s="6">
        <v>-5.6660000000000004</v>
      </c>
      <c r="P330" s="6">
        <v>0</v>
      </c>
      <c r="Q330" s="4" t="s">
        <v>26</v>
      </c>
      <c r="R330" s="4">
        <v>0</v>
      </c>
      <c r="S330" s="4" t="s">
        <v>167</v>
      </c>
      <c r="T330" s="4" t="s">
        <v>328</v>
      </c>
      <c r="U330" s="4">
        <v>0</v>
      </c>
      <c r="V330" s="4">
        <v>2</v>
      </c>
      <c r="W330" s="4">
        <v>41</v>
      </c>
    </row>
    <row r="331" spans="1:23" ht="11.25" customHeight="1" x14ac:dyDescent="0.25">
      <c r="A331" s="4" t="s">
        <v>28</v>
      </c>
      <c r="B331" s="4" t="s">
        <v>22</v>
      </c>
      <c r="C331" s="4" t="s">
        <v>23</v>
      </c>
      <c r="D331" s="4" t="s">
        <v>24</v>
      </c>
      <c r="E331" s="4" t="s">
        <v>24</v>
      </c>
      <c r="F331" s="4" t="s">
        <v>25</v>
      </c>
      <c r="G331" s="4" t="s">
        <v>25</v>
      </c>
      <c r="H331" s="4" t="s">
        <v>25</v>
      </c>
      <c r="I331" s="5">
        <v>44440</v>
      </c>
      <c r="J331" s="6">
        <v>0</v>
      </c>
      <c r="K331" s="6">
        <v>0</v>
      </c>
      <c r="L331" s="6">
        <v>17.734000000000002</v>
      </c>
      <c r="M331" s="6">
        <v>17.734000000000002</v>
      </c>
      <c r="N331" s="6">
        <v>17.734000000000002</v>
      </c>
      <c r="O331" s="6">
        <v>17.734000000000002</v>
      </c>
      <c r="P331" s="6">
        <v>76</v>
      </c>
      <c r="Q331" s="4" t="s">
        <v>26</v>
      </c>
      <c r="R331" s="4">
        <v>0</v>
      </c>
      <c r="S331" s="4" t="s">
        <v>167</v>
      </c>
      <c r="T331" s="4" t="s">
        <v>328</v>
      </c>
      <c r="U331" s="4">
        <v>0</v>
      </c>
      <c r="V331" s="4">
        <v>2</v>
      </c>
      <c r="W331" s="4">
        <v>41</v>
      </c>
    </row>
    <row r="332" spans="1:23" ht="11.25" customHeight="1" x14ac:dyDescent="0.25">
      <c r="A332" s="4" t="s">
        <v>21</v>
      </c>
      <c r="B332" s="4" t="s">
        <v>22</v>
      </c>
      <c r="C332" s="4" t="s">
        <v>23</v>
      </c>
      <c r="D332" s="4" t="s">
        <v>24</v>
      </c>
      <c r="E332" s="4" t="s">
        <v>24</v>
      </c>
      <c r="F332" s="4" t="s">
        <v>25</v>
      </c>
      <c r="G332" s="4" t="s">
        <v>25</v>
      </c>
      <c r="H332" s="4" t="s">
        <v>25</v>
      </c>
      <c r="I332" s="5">
        <v>44470</v>
      </c>
      <c r="J332" s="6">
        <v>0</v>
      </c>
      <c r="K332" s="6">
        <v>0</v>
      </c>
      <c r="L332" s="6">
        <v>4926.8670000000002</v>
      </c>
      <c r="M332" s="6">
        <v>4926.8670000000002</v>
      </c>
      <c r="N332" s="6">
        <v>4926.8670000000002</v>
      </c>
      <c r="O332" s="6">
        <v>4926.8670000000002</v>
      </c>
      <c r="P332" s="6">
        <v>33992</v>
      </c>
      <c r="Q332" s="4" t="s">
        <v>26</v>
      </c>
      <c r="R332" s="4">
        <v>0</v>
      </c>
      <c r="S332" s="4" t="s">
        <v>168</v>
      </c>
      <c r="T332" s="4" t="s">
        <v>329</v>
      </c>
      <c r="U332" s="4">
        <v>0</v>
      </c>
      <c r="V332" s="4">
        <v>2</v>
      </c>
      <c r="W332" s="4">
        <v>41</v>
      </c>
    </row>
    <row r="333" spans="1:23" ht="11.25" customHeight="1" x14ac:dyDescent="0.25">
      <c r="A333" s="4" t="s">
        <v>27</v>
      </c>
      <c r="B333" s="4" t="s">
        <v>22</v>
      </c>
      <c r="C333" s="4" t="s">
        <v>23</v>
      </c>
      <c r="D333" s="4" t="s">
        <v>24</v>
      </c>
      <c r="E333" s="4" t="s">
        <v>24</v>
      </c>
      <c r="F333" s="4" t="s">
        <v>25</v>
      </c>
      <c r="G333" s="4" t="s">
        <v>25</v>
      </c>
      <c r="H333" s="4" t="s">
        <v>25</v>
      </c>
      <c r="I333" s="5">
        <v>44470</v>
      </c>
      <c r="J333" s="6">
        <v>0</v>
      </c>
      <c r="K333" s="6">
        <v>0</v>
      </c>
      <c r="L333" s="6">
        <v>-4.68</v>
      </c>
      <c r="M333" s="6">
        <v>-4.68</v>
      </c>
      <c r="N333" s="6">
        <v>-4.68</v>
      </c>
      <c r="O333" s="6">
        <v>-4.68</v>
      </c>
      <c r="P333" s="6">
        <v>0</v>
      </c>
      <c r="Q333" s="4" t="s">
        <v>26</v>
      </c>
      <c r="R333" s="4">
        <v>0</v>
      </c>
      <c r="S333" s="4" t="s">
        <v>168</v>
      </c>
      <c r="T333" s="4" t="s">
        <v>329</v>
      </c>
      <c r="U333" s="4">
        <v>0</v>
      </c>
      <c r="V333" s="4">
        <v>2</v>
      </c>
      <c r="W333" s="4">
        <v>41</v>
      </c>
    </row>
    <row r="334" spans="1:23" ht="11.25" customHeight="1" x14ac:dyDescent="0.25">
      <c r="A334" s="4" t="s">
        <v>28</v>
      </c>
      <c r="B334" s="4" t="s">
        <v>22</v>
      </c>
      <c r="C334" s="4" t="s">
        <v>23</v>
      </c>
      <c r="D334" s="4" t="s">
        <v>24</v>
      </c>
      <c r="E334" s="4" t="s">
        <v>24</v>
      </c>
      <c r="F334" s="4" t="s">
        <v>25</v>
      </c>
      <c r="G334" s="4" t="s">
        <v>25</v>
      </c>
      <c r="H334" s="4" t="s">
        <v>25</v>
      </c>
      <c r="I334" s="5">
        <v>44470</v>
      </c>
      <c r="J334" s="6">
        <v>0</v>
      </c>
      <c r="K334" s="6">
        <v>0</v>
      </c>
      <c r="L334" s="6">
        <v>14.765000000000001</v>
      </c>
      <c r="M334" s="6">
        <v>14.765000000000001</v>
      </c>
      <c r="N334" s="6">
        <v>14.765000000000001</v>
      </c>
      <c r="O334" s="6">
        <v>14.765000000000001</v>
      </c>
      <c r="P334" s="6">
        <v>77</v>
      </c>
      <c r="Q334" s="4" t="s">
        <v>26</v>
      </c>
      <c r="R334" s="4">
        <v>0</v>
      </c>
      <c r="S334" s="4" t="s">
        <v>168</v>
      </c>
      <c r="T334" s="4" t="s">
        <v>329</v>
      </c>
      <c r="U334" s="4">
        <v>0</v>
      </c>
      <c r="V334" s="4">
        <v>2</v>
      </c>
      <c r="W334" s="4">
        <v>41</v>
      </c>
    </row>
    <row r="335" spans="1:23" ht="11.25" customHeight="1" x14ac:dyDescent="0.25">
      <c r="A335" s="4" t="s">
        <v>21</v>
      </c>
      <c r="B335" s="4" t="s">
        <v>22</v>
      </c>
      <c r="C335" s="4" t="s">
        <v>23</v>
      </c>
      <c r="D335" s="4" t="s">
        <v>24</v>
      </c>
      <c r="E335" s="4" t="s">
        <v>24</v>
      </c>
      <c r="F335" s="4" t="s">
        <v>25</v>
      </c>
      <c r="G335" s="4" t="s">
        <v>25</v>
      </c>
      <c r="H335" s="4" t="s">
        <v>25</v>
      </c>
      <c r="I335" s="5">
        <v>44501</v>
      </c>
      <c r="J335" s="6">
        <v>0</v>
      </c>
      <c r="K335" s="6">
        <v>0</v>
      </c>
      <c r="L335" s="6">
        <v>5126.7280000000001</v>
      </c>
      <c r="M335" s="6">
        <v>5126.7280000000001</v>
      </c>
      <c r="N335" s="6">
        <v>5126.7280000000001</v>
      </c>
      <c r="O335" s="6">
        <v>5126.7280000000001</v>
      </c>
      <c r="P335" s="6">
        <v>34168</v>
      </c>
      <c r="Q335" s="4" t="s">
        <v>26</v>
      </c>
      <c r="R335" s="4">
        <v>0</v>
      </c>
      <c r="S335" s="4" t="s">
        <v>169</v>
      </c>
      <c r="T335" s="4" t="s">
        <v>330</v>
      </c>
      <c r="U335" s="4">
        <v>0</v>
      </c>
      <c r="V335" s="4">
        <v>2</v>
      </c>
      <c r="W335" s="4">
        <v>41</v>
      </c>
    </row>
    <row r="336" spans="1:23" ht="11.25" customHeight="1" x14ac:dyDescent="0.25">
      <c r="A336" s="4" t="s">
        <v>27</v>
      </c>
      <c r="B336" s="4" t="s">
        <v>22</v>
      </c>
      <c r="C336" s="4" t="s">
        <v>23</v>
      </c>
      <c r="D336" s="4" t="s">
        <v>24</v>
      </c>
      <c r="E336" s="4" t="s">
        <v>24</v>
      </c>
      <c r="F336" s="4" t="s">
        <v>25</v>
      </c>
      <c r="G336" s="4" t="s">
        <v>25</v>
      </c>
      <c r="H336" s="4" t="s">
        <v>25</v>
      </c>
      <c r="I336" s="5">
        <v>44501</v>
      </c>
      <c r="J336" s="6">
        <v>0</v>
      </c>
      <c r="K336" s="6">
        <v>0</v>
      </c>
      <c r="L336" s="6">
        <v>-5.8</v>
      </c>
      <c r="M336" s="6">
        <v>-5.8</v>
      </c>
      <c r="N336" s="6">
        <v>-5.8</v>
      </c>
      <c r="O336" s="6">
        <v>-5.8</v>
      </c>
      <c r="P336" s="6">
        <v>0</v>
      </c>
      <c r="Q336" s="4" t="s">
        <v>26</v>
      </c>
      <c r="R336" s="4">
        <v>0</v>
      </c>
      <c r="S336" s="4" t="s">
        <v>169</v>
      </c>
      <c r="T336" s="4" t="s">
        <v>330</v>
      </c>
      <c r="U336" s="4">
        <v>0</v>
      </c>
      <c r="V336" s="4">
        <v>2</v>
      </c>
      <c r="W336" s="4">
        <v>41</v>
      </c>
    </row>
    <row r="337" spans="1:23" ht="11.25" customHeight="1" x14ac:dyDescent="0.25">
      <c r="A337" s="4" t="s">
        <v>28</v>
      </c>
      <c r="B337" s="4" t="s">
        <v>22</v>
      </c>
      <c r="C337" s="4" t="s">
        <v>23</v>
      </c>
      <c r="D337" s="4" t="s">
        <v>24</v>
      </c>
      <c r="E337" s="4" t="s">
        <v>24</v>
      </c>
      <c r="F337" s="4" t="s">
        <v>25</v>
      </c>
      <c r="G337" s="4" t="s">
        <v>25</v>
      </c>
      <c r="H337" s="4" t="s">
        <v>25</v>
      </c>
      <c r="I337" s="5">
        <v>44501</v>
      </c>
      <c r="J337" s="6">
        <v>0</v>
      </c>
      <c r="K337" s="6">
        <v>0</v>
      </c>
      <c r="L337" s="6">
        <v>12.593</v>
      </c>
      <c r="M337" s="6">
        <v>12.593</v>
      </c>
      <c r="N337" s="6">
        <v>12.593</v>
      </c>
      <c r="O337" s="6">
        <v>12.593</v>
      </c>
      <c r="P337" s="6">
        <v>89</v>
      </c>
      <c r="Q337" s="4" t="s">
        <v>26</v>
      </c>
      <c r="R337" s="4">
        <v>0</v>
      </c>
      <c r="S337" s="4" t="s">
        <v>169</v>
      </c>
      <c r="T337" s="4" t="s">
        <v>330</v>
      </c>
      <c r="U337" s="4">
        <v>0</v>
      </c>
      <c r="V337" s="4">
        <v>2</v>
      </c>
      <c r="W337" s="4">
        <v>41</v>
      </c>
    </row>
    <row r="338" spans="1:23" ht="11.25" customHeight="1" x14ac:dyDescent="0.25">
      <c r="A338" s="4" t="s">
        <v>21</v>
      </c>
      <c r="B338" s="4" t="s">
        <v>22</v>
      </c>
      <c r="C338" s="4" t="s">
        <v>23</v>
      </c>
      <c r="D338" s="4" t="s">
        <v>24</v>
      </c>
      <c r="E338" s="4" t="s">
        <v>24</v>
      </c>
      <c r="F338" s="4" t="s">
        <v>25</v>
      </c>
      <c r="G338" s="4" t="s">
        <v>25</v>
      </c>
      <c r="H338" s="4" t="s">
        <v>25</v>
      </c>
      <c r="I338" s="5">
        <v>44531</v>
      </c>
      <c r="J338" s="6">
        <v>0</v>
      </c>
      <c r="K338" s="6">
        <v>0</v>
      </c>
      <c r="L338" s="6">
        <v>5234.1000000000004</v>
      </c>
      <c r="M338" s="6">
        <v>5234.1000000000004</v>
      </c>
      <c r="N338" s="6">
        <v>5234.1000000000004</v>
      </c>
      <c r="O338" s="6">
        <v>5234.1000000000004</v>
      </c>
      <c r="P338" s="6">
        <v>34261</v>
      </c>
      <c r="Q338" s="4" t="s">
        <v>26</v>
      </c>
      <c r="R338" s="4">
        <v>0</v>
      </c>
      <c r="S338" s="4" t="s">
        <v>170</v>
      </c>
      <c r="T338" s="4" t="s">
        <v>331</v>
      </c>
      <c r="U338" s="4">
        <v>0</v>
      </c>
      <c r="V338" s="4">
        <v>2</v>
      </c>
      <c r="W338" s="4">
        <v>41</v>
      </c>
    </row>
    <row r="339" spans="1:23" ht="11.25" customHeight="1" x14ac:dyDescent="0.25">
      <c r="A339" s="4" t="s">
        <v>27</v>
      </c>
      <c r="B339" s="4" t="s">
        <v>22</v>
      </c>
      <c r="C339" s="4" t="s">
        <v>23</v>
      </c>
      <c r="D339" s="4" t="s">
        <v>24</v>
      </c>
      <c r="E339" s="4" t="s">
        <v>24</v>
      </c>
      <c r="F339" s="4" t="s">
        <v>25</v>
      </c>
      <c r="G339" s="4" t="s">
        <v>25</v>
      </c>
      <c r="H339" s="4" t="s">
        <v>25</v>
      </c>
      <c r="I339" s="5">
        <v>44531</v>
      </c>
      <c r="J339" s="6">
        <v>0</v>
      </c>
      <c r="K339" s="6">
        <v>0</v>
      </c>
      <c r="L339" s="6">
        <v>-5.3869999999999996</v>
      </c>
      <c r="M339" s="6">
        <v>-5.3869999999999996</v>
      </c>
      <c r="N339" s="6">
        <v>-5.3869999999999996</v>
      </c>
      <c r="O339" s="6">
        <v>-5.3869999999999996</v>
      </c>
      <c r="P339" s="6">
        <v>0</v>
      </c>
      <c r="Q339" s="4" t="s">
        <v>26</v>
      </c>
      <c r="R339" s="4">
        <v>0</v>
      </c>
      <c r="S339" s="4" t="s">
        <v>170</v>
      </c>
      <c r="T339" s="4" t="s">
        <v>331</v>
      </c>
      <c r="U339" s="4">
        <v>0</v>
      </c>
      <c r="V339" s="4">
        <v>2</v>
      </c>
      <c r="W339" s="4">
        <v>41</v>
      </c>
    </row>
    <row r="340" spans="1:23" ht="11.25" customHeight="1" x14ac:dyDescent="0.25">
      <c r="A340" s="4" t="s">
        <v>28</v>
      </c>
      <c r="B340" s="4" t="s">
        <v>22</v>
      </c>
      <c r="C340" s="4" t="s">
        <v>23</v>
      </c>
      <c r="D340" s="4" t="s">
        <v>24</v>
      </c>
      <c r="E340" s="4" t="s">
        <v>24</v>
      </c>
      <c r="F340" s="4" t="s">
        <v>25</v>
      </c>
      <c r="G340" s="4" t="s">
        <v>25</v>
      </c>
      <c r="H340" s="4" t="s">
        <v>25</v>
      </c>
      <c r="I340" s="5">
        <v>44531</v>
      </c>
      <c r="J340" s="6">
        <v>0</v>
      </c>
      <c r="K340" s="6">
        <v>0</v>
      </c>
      <c r="L340" s="6">
        <v>12.22</v>
      </c>
      <c r="M340" s="6">
        <v>12.22</v>
      </c>
      <c r="N340" s="6">
        <v>12.22</v>
      </c>
      <c r="O340" s="6">
        <v>12.22</v>
      </c>
      <c r="P340" s="6">
        <v>97</v>
      </c>
      <c r="Q340" s="4" t="s">
        <v>26</v>
      </c>
      <c r="R340" s="4">
        <v>0</v>
      </c>
      <c r="S340" s="4" t="s">
        <v>170</v>
      </c>
      <c r="T340" s="4" t="s">
        <v>331</v>
      </c>
      <c r="U340" s="4">
        <v>0</v>
      </c>
      <c r="V340" s="4">
        <v>2</v>
      </c>
      <c r="W340" s="4">
        <v>41</v>
      </c>
    </row>
    <row r="341" spans="1:23" ht="11.25" customHeight="1" x14ac:dyDescent="0.25">
      <c r="A341" s="4" t="s">
        <v>21</v>
      </c>
      <c r="B341" s="4" t="s">
        <v>22</v>
      </c>
      <c r="C341" s="4" t="s">
        <v>23</v>
      </c>
      <c r="D341" s="4" t="s">
        <v>24</v>
      </c>
      <c r="E341" s="4" t="s">
        <v>24</v>
      </c>
      <c r="F341" s="4" t="s">
        <v>25</v>
      </c>
      <c r="G341" s="4" t="s">
        <v>25</v>
      </c>
      <c r="H341" s="4" t="s">
        <v>25</v>
      </c>
      <c r="I341" s="5">
        <v>44562</v>
      </c>
      <c r="J341" s="6">
        <v>0</v>
      </c>
      <c r="K341" s="6">
        <v>0</v>
      </c>
      <c r="L341" s="6">
        <v>7849.884</v>
      </c>
      <c r="M341" s="6">
        <v>7849.884</v>
      </c>
      <c r="N341" s="6">
        <v>7849.884</v>
      </c>
      <c r="O341" s="6">
        <v>7849.884</v>
      </c>
      <c r="P341" s="6">
        <v>34480</v>
      </c>
      <c r="Q341" s="4" t="s">
        <v>26</v>
      </c>
      <c r="R341" s="4">
        <v>0</v>
      </c>
      <c r="S341" s="4" t="s">
        <v>171</v>
      </c>
      <c r="T341" s="4" t="s">
        <v>332</v>
      </c>
      <c r="U341" s="4">
        <v>0</v>
      </c>
      <c r="V341" s="4">
        <v>2</v>
      </c>
      <c r="W341" s="4">
        <v>41</v>
      </c>
    </row>
    <row r="342" spans="1:23" ht="11.25" customHeight="1" x14ac:dyDescent="0.25">
      <c r="A342" s="4" t="s">
        <v>27</v>
      </c>
      <c r="B342" s="4" t="s">
        <v>22</v>
      </c>
      <c r="C342" s="4" t="s">
        <v>23</v>
      </c>
      <c r="D342" s="4" t="s">
        <v>24</v>
      </c>
      <c r="E342" s="4" t="s">
        <v>24</v>
      </c>
      <c r="F342" s="4" t="s">
        <v>25</v>
      </c>
      <c r="G342" s="4" t="s">
        <v>25</v>
      </c>
      <c r="H342" s="4" t="s">
        <v>25</v>
      </c>
      <c r="I342" s="5">
        <v>44562</v>
      </c>
      <c r="J342" s="6">
        <v>0</v>
      </c>
      <c r="K342" s="6">
        <v>0</v>
      </c>
      <c r="L342" s="6">
        <v>-6.492</v>
      </c>
      <c r="M342" s="6">
        <v>-6.492</v>
      </c>
      <c r="N342" s="6">
        <v>-6.492</v>
      </c>
      <c r="O342" s="6">
        <v>-6.492</v>
      </c>
      <c r="P342" s="6">
        <v>0</v>
      </c>
      <c r="Q342" s="4" t="s">
        <v>26</v>
      </c>
      <c r="R342" s="4">
        <v>0</v>
      </c>
      <c r="S342" s="4" t="s">
        <v>171</v>
      </c>
      <c r="T342" s="4" t="s">
        <v>332</v>
      </c>
      <c r="U342" s="4">
        <v>0</v>
      </c>
      <c r="V342" s="4">
        <v>2</v>
      </c>
      <c r="W342" s="4">
        <v>41</v>
      </c>
    </row>
    <row r="343" spans="1:23" ht="11.25" customHeight="1" x14ac:dyDescent="0.25">
      <c r="A343" s="4" t="s">
        <v>28</v>
      </c>
      <c r="B343" s="4" t="s">
        <v>22</v>
      </c>
      <c r="C343" s="4" t="s">
        <v>23</v>
      </c>
      <c r="D343" s="4" t="s">
        <v>24</v>
      </c>
      <c r="E343" s="4" t="s">
        <v>24</v>
      </c>
      <c r="F343" s="4" t="s">
        <v>25</v>
      </c>
      <c r="G343" s="4" t="s">
        <v>25</v>
      </c>
      <c r="H343" s="4" t="s">
        <v>25</v>
      </c>
      <c r="I343" s="5">
        <v>44562</v>
      </c>
      <c r="J343" s="6">
        <v>0</v>
      </c>
      <c r="K343" s="6">
        <v>0</v>
      </c>
      <c r="L343" s="6">
        <v>20.792000000000002</v>
      </c>
      <c r="M343" s="6">
        <v>20.792000000000002</v>
      </c>
      <c r="N343" s="6">
        <v>20.792000000000002</v>
      </c>
      <c r="O343" s="6">
        <v>20.792000000000002</v>
      </c>
      <c r="P343" s="6">
        <v>112</v>
      </c>
      <c r="Q343" s="4" t="s">
        <v>26</v>
      </c>
      <c r="R343" s="4">
        <v>0</v>
      </c>
      <c r="S343" s="4" t="s">
        <v>171</v>
      </c>
      <c r="T343" s="4" t="s">
        <v>332</v>
      </c>
      <c r="U343" s="4">
        <v>0</v>
      </c>
      <c r="V343" s="4">
        <v>2</v>
      </c>
      <c r="W343" s="4">
        <v>41</v>
      </c>
    </row>
    <row r="344" spans="1:23" ht="11.25" customHeight="1" x14ac:dyDescent="0.25">
      <c r="A344" s="4" t="s">
        <v>28</v>
      </c>
      <c r="B344" s="4" t="s">
        <v>22</v>
      </c>
      <c r="C344" s="4" t="s">
        <v>23</v>
      </c>
      <c r="D344" s="4" t="s">
        <v>24</v>
      </c>
      <c r="E344" s="4" t="s">
        <v>24</v>
      </c>
      <c r="F344" s="4" t="s">
        <v>25</v>
      </c>
      <c r="G344" s="4" t="s">
        <v>25</v>
      </c>
      <c r="H344" s="4" t="s">
        <v>25</v>
      </c>
      <c r="I344" s="5">
        <v>44562</v>
      </c>
      <c r="J344" s="6">
        <v>0</v>
      </c>
      <c r="K344" s="6">
        <v>0</v>
      </c>
      <c r="L344" s="6">
        <v>-0.123</v>
      </c>
      <c r="M344" s="6">
        <v>-0.123</v>
      </c>
      <c r="N344" s="6">
        <v>-0.123</v>
      </c>
      <c r="O344" s="6">
        <v>-0.123</v>
      </c>
      <c r="P344" s="6">
        <v>2</v>
      </c>
      <c r="Q344" s="4" t="s">
        <v>26</v>
      </c>
      <c r="R344" s="4">
        <v>0</v>
      </c>
      <c r="S344" s="4" t="s">
        <v>171</v>
      </c>
      <c r="T344" s="4" t="s">
        <v>332</v>
      </c>
      <c r="U344" s="4">
        <v>0</v>
      </c>
      <c r="V344" s="4">
        <v>2</v>
      </c>
      <c r="W344" s="4">
        <v>41</v>
      </c>
    </row>
    <row r="345" spans="1:23" ht="11.25" customHeight="1" x14ac:dyDescent="0.25">
      <c r="A345" s="4" t="s">
        <v>21</v>
      </c>
      <c r="B345" s="4" t="s">
        <v>22</v>
      </c>
      <c r="C345" s="4" t="s">
        <v>23</v>
      </c>
      <c r="D345" s="4" t="s">
        <v>24</v>
      </c>
      <c r="E345" s="4" t="s">
        <v>24</v>
      </c>
      <c r="F345" s="4" t="s">
        <v>25</v>
      </c>
      <c r="G345" s="4" t="s">
        <v>25</v>
      </c>
      <c r="H345" s="4" t="s">
        <v>25</v>
      </c>
      <c r="I345" s="5">
        <v>44593</v>
      </c>
      <c r="J345" s="6">
        <v>0</v>
      </c>
      <c r="K345" s="6">
        <v>0</v>
      </c>
      <c r="L345" s="6">
        <v>7514.75</v>
      </c>
      <c r="M345" s="6">
        <v>7514.75</v>
      </c>
      <c r="N345" s="6">
        <v>7514.75</v>
      </c>
      <c r="O345" s="6">
        <v>7514.75</v>
      </c>
      <c r="P345" s="6">
        <v>34521</v>
      </c>
      <c r="Q345" s="4" t="s">
        <v>26</v>
      </c>
      <c r="R345" s="4">
        <v>0</v>
      </c>
      <c r="S345" s="4" t="s">
        <v>172</v>
      </c>
      <c r="T345" s="4" t="s">
        <v>333</v>
      </c>
      <c r="U345" s="4">
        <v>0</v>
      </c>
      <c r="V345" s="4">
        <v>2</v>
      </c>
      <c r="W345" s="4">
        <v>41</v>
      </c>
    </row>
    <row r="346" spans="1:23" ht="11.25" customHeight="1" x14ac:dyDescent="0.25">
      <c r="A346" s="4" t="s">
        <v>27</v>
      </c>
      <c r="B346" s="4" t="s">
        <v>22</v>
      </c>
      <c r="C346" s="4" t="s">
        <v>23</v>
      </c>
      <c r="D346" s="4" t="s">
        <v>24</v>
      </c>
      <c r="E346" s="4" t="s">
        <v>24</v>
      </c>
      <c r="F346" s="4" t="s">
        <v>25</v>
      </c>
      <c r="G346" s="4" t="s">
        <v>25</v>
      </c>
      <c r="H346" s="4" t="s">
        <v>25</v>
      </c>
      <c r="I346" s="5">
        <v>44593</v>
      </c>
      <c r="J346" s="6">
        <v>0</v>
      </c>
      <c r="K346" s="6">
        <v>0</v>
      </c>
      <c r="L346" s="6">
        <v>-40.649000000000001</v>
      </c>
      <c r="M346" s="6">
        <v>-40.649000000000001</v>
      </c>
      <c r="N346" s="6">
        <v>-40.649000000000001</v>
      </c>
      <c r="O346" s="6">
        <v>-40.649000000000001</v>
      </c>
      <c r="P346" s="6">
        <v>0</v>
      </c>
      <c r="Q346" s="4" t="s">
        <v>26</v>
      </c>
      <c r="R346" s="4">
        <v>0</v>
      </c>
      <c r="S346" s="4" t="s">
        <v>172</v>
      </c>
      <c r="T346" s="4" t="s">
        <v>333</v>
      </c>
      <c r="U346" s="4">
        <v>0</v>
      </c>
      <c r="V346" s="4">
        <v>2</v>
      </c>
      <c r="W346" s="4">
        <v>41</v>
      </c>
    </row>
    <row r="347" spans="1:23" ht="11.25" customHeight="1" x14ac:dyDescent="0.25">
      <c r="A347" s="4" t="s">
        <v>28</v>
      </c>
      <c r="B347" s="4" t="s">
        <v>22</v>
      </c>
      <c r="C347" s="4" t="s">
        <v>23</v>
      </c>
      <c r="D347" s="4" t="s">
        <v>24</v>
      </c>
      <c r="E347" s="4" t="s">
        <v>24</v>
      </c>
      <c r="F347" s="4" t="s">
        <v>25</v>
      </c>
      <c r="G347" s="4" t="s">
        <v>25</v>
      </c>
      <c r="H347" s="4" t="s">
        <v>25</v>
      </c>
      <c r="I347" s="5">
        <v>44593</v>
      </c>
      <c r="J347" s="6">
        <v>0</v>
      </c>
      <c r="K347" s="6">
        <v>0</v>
      </c>
      <c r="L347" s="6">
        <v>26.545999999999999</v>
      </c>
      <c r="M347" s="6">
        <v>26.545999999999999</v>
      </c>
      <c r="N347" s="6">
        <v>26.545999999999999</v>
      </c>
      <c r="O347" s="6">
        <v>26.545999999999999</v>
      </c>
      <c r="P347" s="6">
        <v>125</v>
      </c>
      <c r="Q347" s="4" t="s">
        <v>26</v>
      </c>
      <c r="R347" s="4">
        <v>0</v>
      </c>
      <c r="S347" s="4" t="s">
        <v>172</v>
      </c>
      <c r="T347" s="4" t="s">
        <v>333</v>
      </c>
      <c r="U347" s="4">
        <v>0</v>
      </c>
      <c r="V347" s="4">
        <v>2</v>
      </c>
      <c r="W347" s="4">
        <v>41</v>
      </c>
    </row>
    <row r="348" spans="1:23" ht="11.25" customHeight="1" x14ac:dyDescent="0.25">
      <c r="A348" s="4" t="s">
        <v>28</v>
      </c>
      <c r="B348" s="4" t="s">
        <v>22</v>
      </c>
      <c r="C348" s="4" t="s">
        <v>23</v>
      </c>
      <c r="D348" s="4" t="s">
        <v>24</v>
      </c>
      <c r="E348" s="4" t="s">
        <v>24</v>
      </c>
      <c r="F348" s="4" t="s">
        <v>25</v>
      </c>
      <c r="G348" s="4" t="s">
        <v>25</v>
      </c>
      <c r="H348" s="4" t="s">
        <v>25</v>
      </c>
      <c r="I348" s="5">
        <v>44593</v>
      </c>
      <c r="J348" s="6">
        <v>0</v>
      </c>
      <c r="K348" s="6">
        <v>0</v>
      </c>
      <c r="L348" s="6">
        <v>0.34799999999999998</v>
      </c>
      <c r="M348" s="6">
        <v>0.34799999999999998</v>
      </c>
      <c r="N348" s="6">
        <v>0.34799999999999998</v>
      </c>
      <c r="O348" s="6">
        <v>0.34799999999999998</v>
      </c>
      <c r="P348" s="6">
        <v>2</v>
      </c>
      <c r="Q348" s="4" t="s">
        <v>26</v>
      </c>
      <c r="R348" s="4">
        <v>0</v>
      </c>
      <c r="S348" s="4" t="s">
        <v>172</v>
      </c>
      <c r="T348" s="4" t="s">
        <v>333</v>
      </c>
      <c r="U348" s="4">
        <v>0</v>
      </c>
      <c r="V348" s="4">
        <v>2</v>
      </c>
      <c r="W348" s="4">
        <v>41</v>
      </c>
    </row>
    <row r="349" spans="1:23" ht="11.25" customHeight="1" x14ac:dyDescent="0.25">
      <c r="A349" s="4" t="s">
        <v>21</v>
      </c>
      <c r="B349" s="4" t="s">
        <v>22</v>
      </c>
      <c r="C349" s="4" t="s">
        <v>23</v>
      </c>
      <c r="D349" s="4" t="s">
        <v>24</v>
      </c>
      <c r="E349" s="4" t="s">
        <v>24</v>
      </c>
      <c r="F349" s="4" t="s">
        <v>25</v>
      </c>
      <c r="G349" s="4" t="s">
        <v>25</v>
      </c>
      <c r="H349" s="4" t="s">
        <v>25</v>
      </c>
      <c r="I349" s="5">
        <v>44621</v>
      </c>
      <c r="J349" s="6">
        <v>0</v>
      </c>
      <c r="K349" s="6">
        <v>0</v>
      </c>
      <c r="L349" s="6">
        <v>6618.0469999999996</v>
      </c>
      <c r="M349" s="6">
        <v>6618.0469999999996</v>
      </c>
      <c r="N349" s="6">
        <v>6618.0469999999996</v>
      </c>
      <c r="O349" s="6">
        <v>6618.0469999999996</v>
      </c>
      <c r="P349" s="6">
        <v>34509</v>
      </c>
      <c r="Q349" s="4" t="s">
        <v>26</v>
      </c>
      <c r="R349" s="4">
        <v>0</v>
      </c>
      <c r="S349" s="4" t="s">
        <v>173</v>
      </c>
      <c r="T349" s="4" t="s">
        <v>334</v>
      </c>
      <c r="U349" s="4">
        <v>0</v>
      </c>
      <c r="V349" s="4">
        <v>2</v>
      </c>
      <c r="W349" s="4">
        <v>41</v>
      </c>
    </row>
    <row r="350" spans="1:23" ht="11.25" customHeight="1" x14ac:dyDescent="0.25">
      <c r="A350" s="4" t="s">
        <v>27</v>
      </c>
      <c r="B350" s="4" t="s">
        <v>22</v>
      </c>
      <c r="C350" s="4" t="s">
        <v>23</v>
      </c>
      <c r="D350" s="4" t="s">
        <v>24</v>
      </c>
      <c r="E350" s="4" t="s">
        <v>24</v>
      </c>
      <c r="F350" s="4" t="s">
        <v>25</v>
      </c>
      <c r="G350" s="4" t="s">
        <v>25</v>
      </c>
      <c r="H350" s="4" t="s">
        <v>25</v>
      </c>
      <c r="I350" s="5">
        <v>44621</v>
      </c>
      <c r="J350" s="6">
        <v>0</v>
      </c>
      <c r="K350" s="6">
        <v>0</v>
      </c>
      <c r="L350" s="6">
        <v>-17.483000000000001</v>
      </c>
      <c r="M350" s="6">
        <v>-17.483000000000001</v>
      </c>
      <c r="N350" s="6">
        <v>-17.483000000000001</v>
      </c>
      <c r="O350" s="6">
        <v>-17.483000000000001</v>
      </c>
      <c r="P350" s="6">
        <v>0</v>
      </c>
      <c r="Q350" s="4" t="s">
        <v>26</v>
      </c>
      <c r="R350" s="4">
        <v>0</v>
      </c>
      <c r="S350" s="4" t="s">
        <v>173</v>
      </c>
      <c r="T350" s="4" t="s">
        <v>334</v>
      </c>
      <c r="U350" s="4">
        <v>0</v>
      </c>
      <c r="V350" s="4">
        <v>2</v>
      </c>
      <c r="W350" s="4">
        <v>41</v>
      </c>
    </row>
    <row r="351" spans="1:23" ht="11.25" customHeight="1" x14ac:dyDescent="0.25">
      <c r="A351" s="4" t="s">
        <v>28</v>
      </c>
      <c r="B351" s="4" t="s">
        <v>22</v>
      </c>
      <c r="C351" s="4" t="s">
        <v>23</v>
      </c>
      <c r="D351" s="4" t="s">
        <v>24</v>
      </c>
      <c r="E351" s="4" t="s">
        <v>24</v>
      </c>
      <c r="F351" s="4" t="s">
        <v>25</v>
      </c>
      <c r="G351" s="4" t="s">
        <v>25</v>
      </c>
      <c r="H351" s="4" t="s">
        <v>25</v>
      </c>
      <c r="I351" s="5">
        <v>44621</v>
      </c>
      <c r="J351" s="6">
        <v>0</v>
      </c>
      <c r="K351" s="6">
        <v>0</v>
      </c>
      <c r="L351" s="6">
        <v>28.388000000000002</v>
      </c>
      <c r="M351" s="6">
        <v>28.388000000000002</v>
      </c>
      <c r="N351" s="6">
        <v>28.388000000000002</v>
      </c>
      <c r="O351" s="6">
        <v>28.388000000000002</v>
      </c>
      <c r="P351" s="6">
        <v>137</v>
      </c>
      <c r="Q351" s="4" t="s">
        <v>26</v>
      </c>
      <c r="R351" s="4">
        <v>0</v>
      </c>
      <c r="S351" s="4" t="s">
        <v>173</v>
      </c>
      <c r="T351" s="4" t="s">
        <v>334</v>
      </c>
      <c r="U351" s="4">
        <v>0</v>
      </c>
      <c r="V351" s="4">
        <v>2</v>
      </c>
      <c r="W351" s="4">
        <v>41</v>
      </c>
    </row>
    <row r="352" spans="1:23" ht="11.25" customHeight="1" x14ac:dyDescent="0.25">
      <c r="A352" s="4" t="s">
        <v>21</v>
      </c>
      <c r="B352" s="4" t="s">
        <v>22</v>
      </c>
      <c r="C352" s="4" t="s">
        <v>23</v>
      </c>
      <c r="D352" s="4" t="s">
        <v>24</v>
      </c>
      <c r="E352" s="4" t="s">
        <v>24</v>
      </c>
      <c r="F352" s="4" t="s">
        <v>25</v>
      </c>
      <c r="G352" s="4" t="s">
        <v>25</v>
      </c>
      <c r="H352" s="4" t="s">
        <v>25</v>
      </c>
      <c r="I352" s="5">
        <v>44652</v>
      </c>
      <c r="J352" s="6">
        <v>0</v>
      </c>
      <c r="K352" s="6">
        <v>0</v>
      </c>
      <c r="L352" s="6">
        <v>5701.33</v>
      </c>
      <c r="M352" s="6">
        <v>5701.33</v>
      </c>
      <c r="N352" s="6">
        <v>5701.33</v>
      </c>
      <c r="O352" s="6">
        <v>5701.33</v>
      </c>
      <c r="P352" s="6">
        <v>34551</v>
      </c>
      <c r="Q352" s="4" t="s">
        <v>26</v>
      </c>
      <c r="R352" s="4">
        <v>0</v>
      </c>
      <c r="S352" s="4" t="s">
        <v>174</v>
      </c>
      <c r="T352" s="4" t="s">
        <v>335</v>
      </c>
      <c r="U352" s="4">
        <v>0</v>
      </c>
      <c r="V352" s="4">
        <v>2</v>
      </c>
      <c r="W352" s="4">
        <v>41</v>
      </c>
    </row>
    <row r="353" spans="1:23" ht="11.25" customHeight="1" x14ac:dyDescent="0.25">
      <c r="A353" s="4" t="s">
        <v>27</v>
      </c>
      <c r="B353" s="4" t="s">
        <v>22</v>
      </c>
      <c r="C353" s="4" t="s">
        <v>23</v>
      </c>
      <c r="D353" s="4" t="s">
        <v>24</v>
      </c>
      <c r="E353" s="4" t="s">
        <v>24</v>
      </c>
      <c r="F353" s="4" t="s">
        <v>25</v>
      </c>
      <c r="G353" s="4" t="s">
        <v>25</v>
      </c>
      <c r="H353" s="4" t="s">
        <v>25</v>
      </c>
      <c r="I353" s="5">
        <v>44652</v>
      </c>
      <c r="J353" s="6">
        <v>0</v>
      </c>
      <c r="K353" s="6">
        <v>0</v>
      </c>
      <c r="L353" s="6">
        <v>-3.4449999999999998</v>
      </c>
      <c r="M353" s="6">
        <v>-3.4449999999999998</v>
      </c>
      <c r="N353" s="6">
        <v>-3.4449999999999998</v>
      </c>
      <c r="O353" s="6">
        <v>-3.4449999999999998</v>
      </c>
      <c r="P353" s="6">
        <v>0</v>
      </c>
      <c r="Q353" s="4" t="s">
        <v>26</v>
      </c>
      <c r="R353" s="4">
        <v>0</v>
      </c>
      <c r="S353" s="4" t="s">
        <v>174</v>
      </c>
      <c r="T353" s="4" t="s">
        <v>335</v>
      </c>
      <c r="U353" s="4">
        <v>0</v>
      </c>
      <c r="V353" s="4">
        <v>2</v>
      </c>
      <c r="W353" s="4">
        <v>41</v>
      </c>
    </row>
    <row r="354" spans="1:23" ht="11.25" customHeight="1" x14ac:dyDescent="0.25">
      <c r="A354" s="4" t="s">
        <v>28</v>
      </c>
      <c r="B354" s="4" t="s">
        <v>22</v>
      </c>
      <c r="C354" s="4" t="s">
        <v>23</v>
      </c>
      <c r="D354" s="4" t="s">
        <v>24</v>
      </c>
      <c r="E354" s="4" t="s">
        <v>24</v>
      </c>
      <c r="F354" s="4" t="s">
        <v>25</v>
      </c>
      <c r="G354" s="4" t="s">
        <v>25</v>
      </c>
      <c r="H354" s="4" t="s">
        <v>25</v>
      </c>
      <c r="I354" s="5">
        <v>44652</v>
      </c>
      <c r="J354" s="6">
        <v>0</v>
      </c>
      <c r="K354" s="6">
        <v>0</v>
      </c>
      <c r="L354" s="6">
        <v>25.193000000000001</v>
      </c>
      <c r="M354" s="6">
        <v>25.193000000000001</v>
      </c>
      <c r="N354" s="6">
        <v>25.193000000000001</v>
      </c>
      <c r="O354" s="6">
        <v>25.193000000000001</v>
      </c>
      <c r="P354" s="6">
        <v>149</v>
      </c>
      <c r="Q354" s="4" t="s">
        <v>26</v>
      </c>
      <c r="R354" s="4">
        <v>0</v>
      </c>
      <c r="S354" s="4" t="s">
        <v>174</v>
      </c>
      <c r="T354" s="4" t="s">
        <v>335</v>
      </c>
      <c r="U354" s="4">
        <v>0</v>
      </c>
      <c r="V354" s="4">
        <v>2</v>
      </c>
      <c r="W354" s="4">
        <v>41</v>
      </c>
    </row>
    <row r="355" spans="1:23" ht="11.25" customHeight="1" x14ac:dyDescent="0.25">
      <c r="A355" s="4" t="s">
        <v>21</v>
      </c>
      <c r="B355" s="4" t="s">
        <v>22</v>
      </c>
      <c r="C355" s="4" t="s">
        <v>23</v>
      </c>
      <c r="D355" s="4" t="s">
        <v>24</v>
      </c>
      <c r="E355" s="4" t="s">
        <v>24</v>
      </c>
      <c r="F355" s="4" t="s">
        <v>25</v>
      </c>
      <c r="G355" s="4" t="s">
        <v>25</v>
      </c>
      <c r="H355" s="4" t="s">
        <v>25</v>
      </c>
      <c r="I355" s="5">
        <v>44682</v>
      </c>
      <c r="J355" s="6">
        <v>0</v>
      </c>
      <c r="K355" s="6">
        <v>0</v>
      </c>
      <c r="L355" s="6">
        <v>5303.0519999999997</v>
      </c>
      <c r="M355" s="6">
        <v>5303.0519999999997</v>
      </c>
      <c r="N355" s="6">
        <v>5303.0519999999997</v>
      </c>
      <c r="O355" s="6">
        <v>5303.0519999999997</v>
      </c>
      <c r="P355" s="6">
        <v>34508</v>
      </c>
      <c r="Q355" s="4" t="s">
        <v>26</v>
      </c>
      <c r="R355" s="4">
        <v>0</v>
      </c>
      <c r="S355" s="4" t="s">
        <v>175</v>
      </c>
      <c r="T355" s="4" t="s">
        <v>336</v>
      </c>
      <c r="U355" s="4">
        <v>0</v>
      </c>
      <c r="V355" s="4">
        <v>2</v>
      </c>
      <c r="W355" s="4">
        <v>41</v>
      </c>
    </row>
    <row r="356" spans="1:23" ht="11.25" customHeight="1" x14ac:dyDescent="0.25">
      <c r="A356" s="4" t="s">
        <v>27</v>
      </c>
      <c r="B356" s="4" t="s">
        <v>22</v>
      </c>
      <c r="C356" s="4" t="s">
        <v>23</v>
      </c>
      <c r="D356" s="4" t="s">
        <v>24</v>
      </c>
      <c r="E356" s="4" t="s">
        <v>24</v>
      </c>
      <c r="F356" s="4" t="s">
        <v>25</v>
      </c>
      <c r="G356" s="4" t="s">
        <v>25</v>
      </c>
      <c r="H356" s="4" t="s">
        <v>25</v>
      </c>
      <c r="I356" s="5">
        <v>44682</v>
      </c>
      <c r="J356" s="6">
        <v>0</v>
      </c>
      <c r="K356" s="6">
        <v>0</v>
      </c>
      <c r="L356" s="6">
        <v>-6.3440000000000003</v>
      </c>
      <c r="M356" s="6">
        <v>-6.3440000000000003</v>
      </c>
      <c r="N356" s="6">
        <v>-6.3440000000000003</v>
      </c>
      <c r="O356" s="6">
        <v>-6.3440000000000003</v>
      </c>
      <c r="P356" s="6">
        <v>0</v>
      </c>
      <c r="Q356" s="4" t="s">
        <v>26</v>
      </c>
      <c r="R356" s="4">
        <v>0</v>
      </c>
      <c r="S356" s="4" t="s">
        <v>175</v>
      </c>
      <c r="T356" s="4" t="s">
        <v>336</v>
      </c>
      <c r="U356" s="4">
        <v>0</v>
      </c>
      <c r="V356" s="4">
        <v>2</v>
      </c>
      <c r="W356" s="4">
        <v>41</v>
      </c>
    </row>
    <row r="357" spans="1:23" ht="11.25" customHeight="1" x14ac:dyDescent="0.25">
      <c r="A357" s="4" t="s">
        <v>28</v>
      </c>
      <c r="B357" s="4" t="s">
        <v>22</v>
      </c>
      <c r="C357" s="4" t="s">
        <v>23</v>
      </c>
      <c r="D357" s="4" t="s">
        <v>24</v>
      </c>
      <c r="E357" s="4" t="s">
        <v>24</v>
      </c>
      <c r="F357" s="4" t="s">
        <v>25</v>
      </c>
      <c r="G357" s="4" t="s">
        <v>25</v>
      </c>
      <c r="H357" s="4" t="s">
        <v>25</v>
      </c>
      <c r="I357" s="5">
        <v>44682</v>
      </c>
      <c r="J357" s="6">
        <v>0</v>
      </c>
      <c r="K357" s="6">
        <v>0</v>
      </c>
      <c r="L357" s="6">
        <v>25.428999999999998</v>
      </c>
      <c r="M357" s="6">
        <v>25.428999999999998</v>
      </c>
      <c r="N357" s="6">
        <v>25.428999999999998</v>
      </c>
      <c r="O357" s="6">
        <v>25.428999999999998</v>
      </c>
      <c r="P357" s="6">
        <v>161</v>
      </c>
      <c r="Q357" s="4" t="s">
        <v>26</v>
      </c>
      <c r="R357" s="4">
        <v>0</v>
      </c>
      <c r="S357" s="4" t="s">
        <v>175</v>
      </c>
      <c r="T357" s="4" t="s">
        <v>336</v>
      </c>
      <c r="U357" s="4">
        <v>0</v>
      </c>
      <c r="V357" s="4">
        <v>2</v>
      </c>
      <c r="W357" s="4">
        <v>41</v>
      </c>
    </row>
    <row r="358" spans="1:23" ht="11.25" customHeight="1" x14ac:dyDescent="0.25">
      <c r="A358" s="4" t="s">
        <v>21</v>
      </c>
      <c r="B358" s="4" t="s">
        <v>22</v>
      </c>
      <c r="C358" s="4" t="s">
        <v>23</v>
      </c>
      <c r="D358" s="4" t="s">
        <v>24</v>
      </c>
      <c r="E358" s="4" t="s">
        <v>24</v>
      </c>
      <c r="F358" s="4" t="s">
        <v>25</v>
      </c>
      <c r="G358" s="4" t="s">
        <v>25</v>
      </c>
      <c r="H358" s="4" t="s">
        <v>25</v>
      </c>
      <c r="I358" s="5">
        <v>44713</v>
      </c>
      <c r="J358" s="6">
        <v>0</v>
      </c>
      <c r="K358" s="6">
        <v>0</v>
      </c>
      <c r="L358" s="6">
        <v>4975.6130000000003</v>
      </c>
      <c r="M358" s="6">
        <v>4975.6130000000003</v>
      </c>
      <c r="N358" s="6">
        <v>4975.6130000000003</v>
      </c>
      <c r="O358" s="6">
        <v>4975.6130000000003</v>
      </c>
      <c r="P358" s="6">
        <v>34371</v>
      </c>
      <c r="Q358" s="4" t="s">
        <v>26</v>
      </c>
      <c r="R358" s="4">
        <v>0</v>
      </c>
      <c r="S358" s="4" t="s">
        <v>176</v>
      </c>
      <c r="T358" s="4" t="s">
        <v>337</v>
      </c>
      <c r="U358" s="4">
        <v>0</v>
      </c>
      <c r="V358" s="4">
        <v>2</v>
      </c>
      <c r="W358" s="4">
        <v>41</v>
      </c>
    </row>
    <row r="359" spans="1:23" ht="11.25" customHeight="1" x14ac:dyDescent="0.25">
      <c r="A359" s="4" t="s">
        <v>27</v>
      </c>
      <c r="B359" s="4" t="s">
        <v>22</v>
      </c>
      <c r="C359" s="4" t="s">
        <v>23</v>
      </c>
      <c r="D359" s="4" t="s">
        <v>24</v>
      </c>
      <c r="E359" s="4" t="s">
        <v>24</v>
      </c>
      <c r="F359" s="4" t="s">
        <v>25</v>
      </c>
      <c r="G359" s="4" t="s">
        <v>25</v>
      </c>
      <c r="H359" s="4" t="s">
        <v>25</v>
      </c>
      <c r="I359" s="5">
        <v>44713</v>
      </c>
      <c r="J359" s="6">
        <v>0</v>
      </c>
      <c r="K359" s="6">
        <v>0</v>
      </c>
      <c r="L359" s="6">
        <v>-300.40899999999999</v>
      </c>
      <c r="M359" s="6">
        <v>-300.40899999999999</v>
      </c>
      <c r="N359" s="6">
        <v>-300.40899999999999</v>
      </c>
      <c r="O359" s="6">
        <v>-300.40899999999999</v>
      </c>
      <c r="P359" s="6">
        <v>0</v>
      </c>
      <c r="Q359" s="4" t="s">
        <v>26</v>
      </c>
      <c r="R359" s="4">
        <v>0</v>
      </c>
      <c r="S359" s="4" t="s">
        <v>176</v>
      </c>
      <c r="T359" s="4" t="s">
        <v>337</v>
      </c>
      <c r="U359" s="4">
        <v>0</v>
      </c>
      <c r="V359" s="4">
        <v>2</v>
      </c>
      <c r="W359" s="4">
        <v>41</v>
      </c>
    </row>
    <row r="360" spans="1:23" ht="11.25" customHeight="1" x14ac:dyDescent="0.25">
      <c r="A360" s="4" t="s">
        <v>28</v>
      </c>
      <c r="B360" s="4" t="s">
        <v>22</v>
      </c>
      <c r="C360" s="4" t="s">
        <v>23</v>
      </c>
      <c r="D360" s="4" t="s">
        <v>24</v>
      </c>
      <c r="E360" s="4" t="s">
        <v>24</v>
      </c>
      <c r="F360" s="4" t="s">
        <v>25</v>
      </c>
      <c r="G360" s="4" t="s">
        <v>25</v>
      </c>
      <c r="H360" s="4" t="s">
        <v>25</v>
      </c>
      <c r="I360" s="5">
        <v>44713</v>
      </c>
      <c r="J360" s="6">
        <v>0</v>
      </c>
      <c r="K360" s="6">
        <v>0</v>
      </c>
      <c r="L360" s="6">
        <v>32.904000000000003</v>
      </c>
      <c r="M360" s="6">
        <v>32.904000000000003</v>
      </c>
      <c r="N360" s="6">
        <v>32.904000000000003</v>
      </c>
      <c r="O360" s="6">
        <v>32.904000000000003</v>
      </c>
      <c r="P360" s="6">
        <v>168</v>
      </c>
      <c r="Q360" s="4" t="s">
        <v>26</v>
      </c>
      <c r="R360" s="4">
        <v>0</v>
      </c>
      <c r="S360" s="4" t="s">
        <v>176</v>
      </c>
      <c r="T360" s="4" t="s">
        <v>337</v>
      </c>
      <c r="U360" s="4">
        <v>0</v>
      </c>
      <c r="V360" s="4">
        <v>2</v>
      </c>
      <c r="W360" s="4">
        <v>41</v>
      </c>
    </row>
    <row r="361" spans="1:23" ht="11.25" customHeight="1" x14ac:dyDescent="0.25">
      <c r="A361" s="4" t="s">
        <v>55</v>
      </c>
      <c r="B361" s="4" t="s">
        <v>22</v>
      </c>
      <c r="C361" s="4" t="s">
        <v>23</v>
      </c>
      <c r="D361" s="4" t="s">
        <v>24</v>
      </c>
      <c r="E361" s="4" t="s">
        <v>24</v>
      </c>
      <c r="F361" s="4" t="s">
        <v>25</v>
      </c>
      <c r="G361" s="4" t="s">
        <v>25</v>
      </c>
      <c r="H361" s="4" t="s">
        <v>25</v>
      </c>
      <c r="I361" s="5">
        <v>44743</v>
      </c>
      <c r="J361" s="6">
        <v>0</v>
      </c>
      <c r="K361" s="6">
        <v>0</v>
      </c>
      <c r="L361" s="6">
        <v>4975.6130000000003</v>
      </c>
      <c r="M361" s="6">
        <v>4975.6130000000003</v>
      </c>
      <c r="N361" s="6">
        <v>4975.6130000000003</v>
      </c>
      <c r="O361" s="6">
        <v>4975.6130000000003</v>
      </c>
      <c r="P361" s="6">
        <v>34371</v>
      </c>
      <c r="Q361" s="4" t="s">
        <v>26</v>
      </c>
      <c r="R361" s="4">
        <v>0</v>
      </c>
      <c r="S361" s="4" t="s">
        <v>177</v>
      </c>
      <c r="T361" s="4" t="s">
        <v>338</v>
      </c>
      <c r="U361" s="4">
        <v>0</v>
      </c>
      <c r="V361" s="4">
        <v>2</v>
      </c>
      <c r="W361" s="4">
        <v>41</v>
      </c>
    </row>
    <row r="362" spans="1:23" ht="11.25" customHeight="1" x14ac:dyDescent="0.25">
      <c r="A362" s="4" t="s">
        <v>55</v>
      </c>
      <c r="B362" s="4" t="s">
        <v>22</v>
      </c>
      <c r="C362" s="4" t="s">
        <v>23</v>
      </c>
      <c r="D362" s="4" t="s">
        <v>24</v>
      </c>
      <c r="E362" s="4" t="s">
        <v>24</v>
      </c>
      <c r="F362" s="4" t="s">
        <v>25</v>
      </c>
      <c r="G362" s="4" t="s">
        <v>25</v>
      </c>
      <c r="H362" s="4" t="s">
        <v>25</v>
      </c>
      <c r="I362" s="5">
        <v>44743</v>
      </c>
      <c r="J362" s="6">
        <v>0</v>
      </c>
      <c r="K362" s="6">
        <v>0</v>
      </c>
      <c r="L362" s="6">
        <v>-300.40899999999999</v>
      </c>
      <c r="M362" s="6">
        <v>-300.40899999999999</v>
      </c>
      <c r="N362" s="6">
        <v>-300.40899999999999</v>
      </c>
      <c r="O362" s="6">
        <v>-300.40899999999999</v>
      </c>
      <c r="P362" s="6">
        <v>0</v>
      </c>
      <c r="Q362" s="4" t="s">
        <v>26</v>
      </c>
      <c r="R362" s="4">
        <v>0</v>
      </c>
      <c r="S362" s="4" t="s">
        <v>177</v>
      </c>
      <c r="T362" s="4" t="s">
        <v>338</v>
      </c>
      <c r="U362" s="4">
        <v>0</v>
      </c>
      <c r="V362" s="4">
        <v>2</v>
      </c>
      <c r="W362" s="4">
        <v>41</v>
      </c>
    </row>
    <row r="363" spans="1:23" ht="11.25" customHeight="1" x14ac:dyDescent="0.25">
      <c r="A363" s="4" t="s">
        <v>55</v>
      </c>
      <c r="B363" s="4" t="s">
        <v>22</v>
      </c>
      <c r="C363" s="4" t="s">
        <v>23</v>
      </c>
      <c r="D363" s="4" t="s">
        <v>24</v>
      </c>
      <c r="E363" s="4" t="s">
        <v>24</v>
      </c>
      <c r="F363" s="4" t="s">
        <v>25</v>
      </c>
      <c r="G363" s="4" t="s">
        <v>25</v>
      </c>
      <c r="H363" s="4" t="s">
        <v>25</v>
      </c>
      <c r="I363" s="5">
        <v>44743</v>
      </c>
      <c r="J363" s="6">
        <v>0</v>
      </c>
      <c r="K363" s="6">
        <v>0</v>
      </c>
      <c r="L363" s="6">
        <v>32.904000000000003</v>
      </c>
      <c r="M363" s="6">
        <v>32.904000000000003</v>
      </c>
      <c r="N363" s="6">
        <v>32.904000000000003</v>
      </c>
      <c r="O363" s="6">
        <v>32.904000000000003</v>
      </c>
      <c r="P363" s="6">
        <v>168</v>
      </c>
      <c r="Q363" s="4" t="s">
        <v>26</v>
      </c>
      <c r="R363" s="4">
        <v>0</v>
      </c>
      <c r="S363" s="4" t="s">
        <v>177</v>
      </c>
      <c r="T363" s="4" t="s">
        <v>338</v>
      </c>
      <c r="U363" s="4">
        <v>0</v>
      </c>
      <c r="V363" s="4">
        <v>2</v>
      </c>
      <c r="W363" s="4">
        <v>41</v>
      </c>
    </row>
    <row r="364" spans="1:23" ht="11.25" customHeight="1" x14ac:dyDescent="0.25">
      <c r="A364" s="4" t="s">
        <v>21</v>
      </c>
      <c r="B364" s="4" t="s">
        <v>22</v>
      </c>
      <c r="C364" s="4" t="s">
        <v>23</v>
      </c>
      <c r="D364" s="4" t="s">
        <v>24</v>
      </c>
      <c r="E364" s="4" t="s">
        <v>29</v>
      </c>
      <c r="F364" s="4" t="s">
        <v>25</v>
      </c>
      <c r="G364" s="4" t="s">
        <v>25</v>
      </c>
      <c r="H364" s="4" t="s">
        <v>25</v>
      </c>
      <c r="I364" s="5">
        <v>44409</v>
      </c>
      <c r="J364" s="6">
        <v>0</v>
      </c>
      <c r="K364" s="6">
        <v>0</v>
      </c>
      <c r="L364" s="6">
        <v>39.646000000000001</v>
      </c>
      <c r="M364" s="6">
        <v>39.646000000000001</v>
      </c>
      <c r="N364" s="6">
        <v>39.646000000000001</v>
      </c>
      <c r="O364" s="6">
        <v>39.646000000000001</v>
      </c>
      <c r="P364" s="6">
        <v>69</v>
      </c>
      <c r="Q364" s="4" t="s">
        <v>26</v>
      </c>
      <c r="R364" s="4">
        <v>0</v>
      </c>
      <c r="S364" s="4" t="s">
        <v>178</v>
      </c>
      <c r="T364" s="4" t="s">
        <v>339</v>
      </c>
      <c r="U364" s="4">
        <v>0</v>
      </c>
      <c r="V364" s="4">
        <v>28</v>
      </c>
      <c r="W364" s="4">
        <v>64</v>
      </c>
    </row>
    <row r="365" spans="1:23" ht="11.25" customHeight="1" x14ac:dyDescent="0.25">
      <c r="A365" s="4" t="s">
        <v>21</v>
      </c>
      <c r="B365" s="4" t="s">
        <v>22</v>
      </c>
      <c r="C365" s="4" t="s">
        <v>23</v>
      </c>
      <c r="D365" s="4" t="s">
        <v>24</v>
      </c>
      <c r="E365" s="4" t="s">
        <v>29</v>
      </c>
      <c r="F365" s="4" t="s">
        <v>25</v>
      </c>
      <c r="G365" s="4" t="s">
        <v>25</v>
      </c>
      <c r="H365" s="4" t="s">
        <v>25</v>
      </c>
      <c r="I365" s="5">
        <v>44440</v>
      </c>
      <c r="J365" s="6">
        <v>0</v>
      </c>
      <c r="K365" s="6">
        <v>0</v>
      </c>
      <c r="L365" s="6">
        <v>40.024999999999999</v>
      </c>
      <c r="M365" s="6">
        <v>40.024999999999999</v>
      </c>
      <c r="N365" s="6">
        <v>40.024999999999999</v>
      </c>
      <c r="O365" s="6">
        <v>40.024999999999999</v>
      </c>
      <c r="P365" s="6">
        <v>62</v>
      </c>
      <c r="Q365" s="4" t="s">
        <v>26</v>
      </c>
      <c r="R365" s="4">
        <v>0</v>
      </c>
      <c r="S365" s="4" t="s">
        <v>179</v>
      </c>
      <c r="T365" s="4" t="s">
        <v>340</v>
      </c>
      <c r="U365" s="4">
        <v>0</v>
      </c>
      <c r="V365" s="4">
        <v>28</v>
      </c>
      <c r="W365" s="4">
        <v>64</v>
      </c>
    </row>
    <row r="366" spans="1:23" ht="11.25" customHeight="1" x14ac:dyDescent="0.25">
      <c r="A366" s="4" t="s">
        <v>21</v>
      </c>
      <c r="B366" s="4" t="s">
        <v>22</v>
      </c>
      <c r="C366" s="4" t="s">
        <v>23</v>
      </c>
      <c r="D366" s="4" t="s">
        <v>24</v>
      </c>
      <c r="E366" s="4" t="s">
        <v>29</v>
      </c>
      <c r="F366" s="4" t="s">
        <v>25</v>
      </c>
      <c r="G366" s="4" t="s">
        <v>25</v>
      </c>
      <c r="H366" s="4" t="s">
        <v>25</v>
      </c>
      <c r="I366" s="5">
        <v>44470</v>
      </c>
      <c r="J366" s="6">
        <v>0</v>
      </c>
      <c r="K366" s="6">
        <v>0</v>
      </c>
      <c r="L366" s="6">
        <v>40.651000000000003</v>
      </c>
      <c r="M366" s="6">
        <v>40.651000000000003</v>
      </c>
      <c r="N366" s="6">
        <v>40.651000000000003</v>
      </c>
      <c r="O366" s="6">
        <v>40.651000000000003</v>
      </c>
      <c r="P366" s="6">
        <v>62</v>
      </c>
      <c r="Q366" s="4" t="s">
        <v>26</v>
      </c>
      <c r="R366" s="4">
        <v>0</v>
      </c>
      <c r="S366" s="4" t="s">
        <v>180</v>
      </c>
      <c r="T366" s="4" t="s">
        <v>341</v>
      </c>
      <c r="U366" s="4">
        <v>0</v>
      </c>
      <c r="V366" s="4">
        <v>28</v>
      </c>
      <c r="W366" s="4">
        <v>64</v>
      </c>
    </row>
    <row r="367" spans="1:23" ht="11.25" customHeight="1" x14ac:dyDescent="0.25">
      <c r="A367" s="4" t="s">
        <v>21</v>
      </c>
      <c r="B367" s="4" t="s">
        <v>22</v>
      </c>
      <c r="C367" s="4" t="s">
        <v>23</v>
      </c>
      <c r="D367" s="4" t="s">
        <v>24</v>
      </c>
      <c r="E367" s="4" t="s">
        <v>29</v>
      </c>
      <c r="F367" s="4" t="s">
        <v>25</v>
      </c>
      <c r="G367" s="4" t="s">
        <v>25</v>
      </c>
      <c r="H367" s="4" t="s">
        <v>25</v>
      </c>
      <c r="I367" s="5">
        <v>44501</v>
      </c>
      <c r="J367" s="6">
        <v>0</v>
      </c>
      <c r="K367" s="6">
        <v>0</v>
      </c>
      <c r="L367" s="6">
        <v>40.799999999999997</v>
      </c>
      <c r="M367" s="6">
        <v>40.799999999999997</v>
      </c>
      <c r="N367" s="6">
        <v>40.799999999999997</v>
      </c>
      <c r="O367" s="6">
        <v>40.799999999999997</v>
      </c>
      <c r="P367" s="6">
        <v>62</v>
      </c>
      <c r="Q367" s="4" t="s">
        <v>26</v>
      </c>
      <c r="R367" s="4">
        <v>0</v>
      </c>
      <c r="S367" s="4" t="s">
        <v>181</v>
      </c>
      <c r="T367" s="4" t="s">
        <v>342</v>
      </c>
      <c r="U367" s="4">
        <v>0</v>
      </c>
      <c r="V367" s="4">
        <v>28</v>
      </c>
      <c r="W367" s="4">
        <v>64</v>
      </c>
    </row>
    <row r="368" spans="1:23" ht="11.25" customHeight="1" x14ac:dyDescent="0.25">
      <c r="A368" s="4" t="s">
        <v>21</v>
      </c>
      <c r="B368" s="4" t="s">
        <v>22</v>
      </c>
      <c r="C368" s="4" t="s">
        <v>23</v>
      </c>
      <c r="D368" s="4" t="s">
        <v>24</v>
      </c>
      <c r="E368" s="4" t="s">
        <v>29</v>
      </c>
      <c r="F368" s="4" t="s">
        <v>25</v>
      </c>
      <c r="G368" s="4" t="s">
        <v>25</v>
      </c>
      <c r="H368" s="4" t="s">
        <v>25</v>
      </c>
      <c r="I368" s="5">
        <v>44531</v>
      </c>
      <c r="J368" s="6">
        <v>0</v>
      </c>
      <c r="K368" s="6">
        <v>0</v>
      </c>
      <c r="L368" s="6">
        <v>41.198999999999998</v>
      </c>
      <c r="M368" s="6">
        <v>41.198999999999998</v>
      </c>
      <c r="N368" s="6">
        <v>41.198999999999998</v>
      </c>
      <c r="O368" s="6">
        <v>41.198999999999998</v>
      </c>
      <c r="P368" s="6">
        <v>61</v>
      </c>
      <c r="Q368" s="4" t="s">
        <v>26</v>
      </c>
      <c r="R368" s="4">
        <v>0</v>
      </c>
      <c r="S368" s="4" t="s">
        <v>182</v>
      </c>
      <c r="T368" s="4" t="s">
        <v>343</v>
      </c>
      <c r="U368" s="4">
        <v>0</v>
      </c>
      <c r="V368" s="4">
        <v>28</v>
      </c>
      <c r="W368" s="4">
        <v>64</v>
      </c>
    </row>
    <row r="369" spans="1:23" ht="11.25" customHeight="1" x14ac:dyDescent="0.25">
      <c r="A369" s="4" t="s">
        <v>21</v>
      </c>
      <c r="B369" s="4" t="s">
        <v>22</v>
      </c>
      <c r="C369" s="4" t="s">
        <v>23</v>
      </c>
      <c r="D369" s="4" t="s">
        <v>24</v>
      </c>
      <c r="E369" s="4" t="s">
        <v>29</v>
      </c>
      <c r="F369" s="4" t="s">
        <v>25</v>
      </c>
      <c r="G369" s="4" t="s">
        <v>25</v>
      </c>
      <c r="H369" s="4" t="s">
        <v>25</v>
      </c>
      <c r="I369" s="5">
        <v>44562</v>
      </c>
      <c r="J369" s="6">
        <v>0</v>
      </c>
      <c r="K369" s="6">
        <v>0</v>
      </c>
      <c r="L369" s="6">
        <v>41.094000000000001</v>
      </c>
      <c r="M369" s="6">
        <v>41.094000000000001</v>
      </c>
      <c r="N369" s="6">
        <v>41.094000000000001</v>
      </c>
      <c r="O369" s="6">
        <v>41.094000000000001</v>
      </c>
      <c r="P369" s="6">
        <v>38</v>
      </c>
      <c r="Q369" s="4" t="s">
        <v>26</v>
      </c>
      <c r="R369" s="4">
        <v>0</v>
      </c>
      <c r="S369" s="4" t="s">
        <v>183</v>
      </c>
      <c r="T369" s="4" t="s">
        <v>344</v>
      </c>
      <c r="U369" s="4">
        <v>0</v>
      </c>
      <c r="V369" s="4">
        <v>28</v>
      </c>
      <c r="W369" s="4">
        <v>64</v>
      </c>
    </row>
    <row r="370" spans="1:23" ht="11.25" customHeight="1" x14ac:dyDescent="0.25">
      <c r="A370" s="4" t="s">
        <v>21</v>
      </c>
      <c r="B370" s="4" t="s">
        <v>22</v>
      </c>
      <c r="C370" s="4" t="s">
        <v>23</v>
      </c>
      <c r="D370" s="4" t="s">
        <v>24</v>
      </c>
      <c r="E370" s="4" t="s">
        <v>29</v>
      </c>
      <c r="F370" s="4" t="s">
        <v>25</v>
      </c>
      <c r="G370" s="4" t="s">
        <v>25</v>
      </c>
      <c r="H370" s="4" t="s">
        <v>25</v>
      </c>
      <c r="I370" s="5">
        <v>44593</v>
      </c>
      <c r="J370" s="6">
        <v>0</v>
      </c>
      <c r="K370" s="6">
        <v>0</v>
      </c>
      <c r="L370" s="6">
        <v>41.872999999999998</v>
      </c>
      <c r="M370" s="6">
        <v>41.872999999999998</v>
      </c>
      <c r="N370" s="6">
        <v>41.872999999999998</v>
      </c>
      <c r="O370" s="6">
        <v>41.872999999999998</v>
      </c>
      <c r="P370" s="6">
        <v>35</v>
      </c>
      <c r="Q370" s="4" t="s">
        <v>26</v>
      </c>
      <c r="R370" s="4">
        <v>0</v>
      </c>
      <c r="S370" s="4" t="s">
        <v>184</v>
      </c>
      <c r="T370" s="4" t="s">
        <v>345</v>
      </c>
      <c r="U370" s="4">
        <v>0</v>
      </c>
      <c r="V370" s="4">
        <v>28</v>
      </c>
      <c r="W370" s="4">
        <v>64</v>
      </c>
    </row>
    <row r="371" spans="1:23" ht="11.25" customHeight="1" x14ac:dyDescent="0.25">
      <c r="A371" s="4" t="s">
        <v>21</v>
      </c>
      <c r="B371" s="4" t="s">
        <v>22</v>
      </c>
      <c r="C371" s="4" t="s">
        <v>23</v>
      </c>
      <c r="D371" s="4" t="s">
        <v>24</v>
      </c>
      <c r="E371" s="4" t="s">
        <v>29</v>
      </c>
      <c r="F371" s="4" t="s">
        <v>25</v>
      </c>
      <c r="G371" s="4" t="s">
        <v>25</v>
      </c>
      <c r="H371" s="4" t="s">
        <v>25</v>
      </c>
      <c r="I371" s="5">
        <v>44621</v>
      </c>
      <c r="J371" s="6">
        <v>0</v>
      </c>
      <c r="K371" s="6">
        <v>0</v>
      </c>
      <c r="L371" s="6">
        <v>42.484999999999999</v>
      </c>
      <c r="M371" s="6">
        <v>42.484999999999999</v>
      </c>
      <c r="N371" s="6">
        <v>42.484999999999999</v>
      </c>
      <c r="O371" s="6">
        <v>42.484999999999999</v>
      </c>
      <c r="P371" s="6">
        <v>36</v>
      </c>
      <c r="Q371" s="4" t="s">
        <v>26</v>
      </c>
      <c r="R371" s="4">
        <v>0</v>
      </c>
      <c r="S371" s="4" t="s">
        <v>185</v>
      </c>
      <c r="T371" s="4" t="s">
        <v>346</v>
      </c>
      <c r="U371" s="4">
        <v>0</v>
      </c>
      <c r="V371" s="4">
        <v>28</v>
      </c>
      <c r="W371" s="4">
        <v>64</v>
      </c>
    </row>
    <row r="372" spans="1:23" ht="11.25" customHeight="1" x14ac:dyDescent="0.25">
      <c r="A372" s="4" t="s">
        <v>21</v>
      </c>
      <c r="B372" s="4" t="s">
        <v>22</v>
      </c>
      <c r="C372" s="4" t="s">
        <v>23</v>
      </c>
      <c r="D372" s="4" t="s">
        <v>24</v>
      </c>
      <c r="E372" s="4" t="s">
        <v>29</v>
      </c>
      <c r="F372" s="4" t="s">
        <v>25</v>
      </c>
      <c r="G372" s="4" t="s">
        <v>25</v>
      </c>
      <c r="H372" s="4" t="s">
        <v>25</v>
      </c>
      <c r="I372" s="5">
        <v>44652</v>
      </c>
      <c r="J372" s="6">
        <v>0</v>
      </c>
      <c r="K372" s="6">
        <v>0</v>
      </c>
      <c r="L372" s="6">
        <v>42.991</v>
      </c>
      <c r="M372" s="6">
        <v>42.991</v>
      </c>
      <c r="N372" s="6">
        <v>42.991</v>
      </c>
      <c r="O372" s="6">
        <v>42.991</v>
      </c>
      <c r="P372" s="6">
        <v>47</v>
      </c>
      <c r="Q372" s="4" t="s">
        <v>26</v>
      </c>
      <c r="R372" s="4">
        <v>0</v>
      </c>
      <c r="S372" s="4" t="s">
        <v>186</v>
      </c>
      <c r="T372" s="4" t="s">
        <v>347</v>
      </c>
      <c r="U372" s="4">
        <v>0</v>
      </c>
      <c r="V372" s="4">
        <v>28</v>
      </c>
      <c r="W372" s="4">
        <v>64</v>
      </c>
    </row>
    <row r="373" spans="1:23" ht="11.25" customHeight="1" x14ac:dyDescent="0.25">
      <c r="A373" s="4" t="s">
        <v>21</v>
      </c>
      <c r="B373" s="4" t="s">
        <v>22</v>
      </c>
      <c r="C373" s="4" t="s">
        <v>23</v>
      </c>
      <c r="D373" s="4" t="s">
        <v>24</v>
      </c>
      <c r="E373" s="4" t="s">
        <v>29</v>
      </c>
      <c r="F373" s="4" t="s">
        <v>25</v>
      </c>
      <c r="G373" s="4" t="s">
        <v>25</v>
      </c>
      <c r="H373" s="4" t="s">
        <v>25</v>
      </c>
      <c r="I373" s="5">
        <v>44682</v>
      </c>
      <c r="J373" s="6">
        <v>0</v>
      </c>
      <c r="K373" s="6">
        <v>0</v>
      </c>
      <c r="L373" s="6">
        <v>44.802999999999997</v>
      </c>
      <c r="M373" s="6">
        <v>44.802999999999997</v>
      </c>
      <c r="N373" s="6">
        <v>44.802999999999997</v>
      </c>
      <c r="O373" s="6">
        <v>44.802999999999997</v>
      </c>
      <c r="P373" s="6">
        <v>50</v>
      </c>
      <c r="Q373" s="4" t="s">
        <v>26</v>
      </c>
      <c r="R373" s="4">
        <v>0</v>
      </c>
      <c r="S373" s="4" t="s">
        <v>187</v>
      </c>
      <c r="T373" s="4" t="s">
        <v>348</v>
      </c>
      <c r="U373" s="4">
        <v>0</v>
      </c>
      <c r="V373" s="4">
        <v>28</v>
      </c>
      <c r="W373" s="4">
        <v>64</v>
      </c>
    </row>
    <row r="374" spans="1:23" ht="11.25" customHeight="1" x14ac:dyDescent="0.25">
      <c r="A374" s="4" t="s">
        <v>21</v>
      </c>
      <c r="B374" s="4" t="s">
        <v>22</v>
      </c>
      <c r="C374" s="4" t="s">
        <v>23</v>
      </c>
      <c r="D374" s="4" t="s">
        <v>24</v>
      </c>
      <c r="E374" s="4" t="s">
        <v>29</v>
      </c>
      <c r="F374" s="4" t="s">
        <v>25</v>
      </c>
      <c r="G374" s="4" t="s">
        <v>25</v>
      </c>
      <c r="H374" s="4" t="s">
        <v>25</v>
      </c>
      <c r="I374" s="5">
        <v>44713</v>
      </c>
      <c r="J374" s="6">
        <v>0</v>
      </c>
      <c r="K374" s="6">
        <v>0</v>
      </c>
      <c r="L374" s="6">
        <v>49.92</v>
      </c>
      <c r="M374" s="6">
        <v>49.92</v>
      </c>
      <c r="N374" s="6">
        <v>49.92</v>
      </c>
      <c r="O374" s="6">
        <v>49.92</v>
      </c>
      <c r="P374" s="6">
        <v>71</v>
      </c>
      <c r="Q374" s="4" t="s">
        <v>26</v>
      </c>
      <c r="R374" s="4">
        <v>0</v>
      </c>
      <c r="S374" s="4" t="s">
        <v>188</v>
      </c>
      <c r="T374" s="4" t="s">
        <v>349</v>
      </c>
      <c r="U374" s="4">
        <v>0</v>
      </c>
      <c r="V374" s="4">
        <v>28</v>
      </c>
      <c r="W374" s="4">
        <v>64</v>
      </c>
    </row>
    <row r="375" spans="1:23" ht="11.25" customHeight="1" x14ac:dyDescent="0.25">
      <c r="A375" s="4" t="s">
        <v>28</v>
      </c>
      <c r="B375" s="4" t="s">
        <v>22</v>
      </c>
      <c r="C375" s="4" t="s">
        <v>23</v>
      </c>
      <c r="D375" s="4" t="s">
        <v>24</v>
      </c>
      <c r="E375" s="4" t="s">
        <v>29</v>
      </c>
      <c r="F375" s="4" t="s">
        <v>25</v>
      </c>
      <c r="G375" s="4" t="s">
        <v>25</v>
      </c>
      <c r="H375" s="4" t="s">
        <v>25</v>
      </c>
      <c r="I375" s="5">
        <v>44713</v>
      </c>
      <c r="J375" s="6">
        <v>0</v>
      </c>
      <c r="K375" s="6">
        <v>0</v>
      </c>
      <c r="L375" s="6">
        <v>0.06</v>
      </c>
      <c r="M375" s="6">
        <v>-1.7999999999999999E-2</v>
      </c>
      <c r="N375" s="6">
        <v>0.06</v>
      </c>
      <c r="O375" s="6">
        <v>-1.7999999999999999E-2</v>
      </c>
      <c r="P375" s="6">
        <v>0</v>
      </c>
      <c r="Q375" s="4" t="s">
        <v>26</v>
      </c>
      <c r="R375" s="4">
        <v>0</v>
      </c>
      <c r="S375" s="4" t="s">
        <v>188</v>
      </c>
      <c r="T375" s="4" t="s">
        <v>349</v>
      </c>
      <c r="U375" s="4">
        <v>0</v>
      </c>
      <c r="V375" s="4">
        <v>28</v>
      </c>
      <c r="W375" s="4">
        <v>64</v>
      </c>
    </row>
    <row r="376" spans="1:23" ht="11.25" customHeight="1" x14ac:dyDescent="0.25">
      <c r="A376" s="4" t="s">
        <v>55</v>
      </c>
      <c r="B376" s="4" t="s">
        <v>22</v>
      </c>
      <c r="C376" s="4" t="s">
        <v>23</v>
      </c>
      <c r="D376" s="4" t="s">
        <v>24</v>
      </c>
      <c r="E376" s="4" t="s">
        <v>29</v>
      </c>
      <c r="F376" s="4" t="s">
        <v>25</v>
      </c>
      <c r="G376" s="4" t="s">
        <v>25</v>
      </c>
      <c r="H376" s="4" t="s">
        <v>25</v>
      </c>
      <c r="I376" s="5">
        <v>44743</v>
      </c>
      <c r="J376" s="6">
        <v>0</v>
      </c>
      <c r="K376" s="6">
        <v>0</v>
      </c>
      <c r="L376" s="6">
        <v>49.92</v>
      </c>
      <c r="M376" s="6">
        <v>49.92</v>
      </c>
      <c r="N376" s="6">
        <v>49.92</v>
      </c>
      <c r="O376" s="6">
        <v>49.92</v>
      </c>
      <c r="P376" s="6">
        <v>71</v>
      </c>
      <c r="Q376" s="4" t="s">
        <v>26</v>
      </c>
      <c r="R376" s="4">
        <v>0</v>
      </c>
      <c r="S376" s="4" t="s">
        <v>189</v>
      </c>
      <c r="T376" s="4" t="s">
        <v>350</v>
      </c>
      <c r="U376" s="4">
        <v>0</v>
      </c>
      <c r="V376" s="4">
        <v>28</v>
      </c>
      <c r="W376" s="4">
        <v>64</v>
      </c>
    </row>
    <row r="377" spans="1:23" ht="11.25" customHeight="1" x14ac:dyDescent="0.25">
      <c r="A377" s="4" t="s">
        <v>55</v>
      </c>
      <c r="B377" s="4" t="s">
        <v>22</v>
      </c>
      <c r="C377" s="4" t="s">
        <v>23</v>
      </c>
      <c r="D377" s="4" t="s">
        <v>24</v>
      </c>
      <c r="E377" s="4" t="s">
        <v>29</v>
      </c>
      <c r="F377" s="4" t="s">
        <v>25</v>
      </c>
      <c r="G377" s="4" t="s">
        <v>25</v>
      </c>
      <c r="H377" s="4" t="s">
        <v>25</v>
      </c>
      <c r="I377" s="5">
        <v>44743</v>
      </c>
      <c r="J377" s="6">
        <v>0</v>
      </c>
      <c r="K377" s="6">
        <v>0</v>
      </c>
      <c r="L377" s="6">
        <v>0.06</v>
      </c>
      <c r="M377" s="6">
        <v>-1.7999999999999999E-2</v>
      </c>
      <c r="N377" s="6">
        <v>0.06</v>
      </c>
      <c r="O377" s="6">
        <v>-1.7999999999999999E-2</v>
      </c>
      <c r="P377" s="6">
        <v>0</v>
      </c>
      <c r="Q377" s="4" t="s">
        <v>26</v>
      </c>
      <c r="R377" s="4">
        <v>0</v>
      </c>
      <c r="S377" s="4" t="s">
        <v>189</v>
      </c>
      <c r="T377" s="4" t="s">
        <v>350</v>
      </c>
      <c r="U377" s="4">
        <v>0</v>
      </c>
      <c r="V377" s="4">
        <v>28</v>
      </c>
      <c r="W377" s="4">
        <v>64</v>
      </c>
    </row>
    <row r="378" spans="1:23" ht="11.25" customHeight="1" x14ac:dyDescent="0.25">
      <c r="A378" s="4" t="s">
        <v>21</v>
      </c>
      <c r="B378" s="4" t="s">
        <v>22</v>
      </c>
      <c r="C378" s="4" t="s">
        <v>23</v>
      </c>
      <c r="D378" s="4" t="s">
        <v>24</v>
      </c>
      <c r="E378" s="4" t="s">
        <v>30</v>
      </c>
      <c r="F378" s="4" t="s">
        <v>25</v>
      </c>
      <c r="G378" s="4" t="s">
        <v>25</v>
      </c>
      <c r="H378" s="4" t="s">
        <v>25</v>
      </c>
      <c r="I378" s="5">
        <v>44409</v>
      </c>
      <c r="J378" s="6">
        <v>0</v>
      </c>
      <c r="K378" s="6">
        <v>0</v>
      </c>
      <c r="L378" s="6">
        <v>79.998000000000005</v>
      </c>
      <c r="M378" s="6">
        <v>79.998000000000005</v>
      </c>
      <c r="N378" s="6">
        <v>79.998000000000005</v>
      </c>
      <c r="O378" s="6">
        <v>79.998000000000005</v>
      </c>
      <c r="P378" s="6">
        <v>276</v>
      </c>
      <c r="Q378" s="4" t="s">
        <v>26</v>
      </c>
      <c r="R378" s="4">
        <v>0</v>
      </c>
      <c r="S378" s="4" t="s">
        <v>190</v>
      </c>
      <c r="T378" s="4" t="s">
        <v>351</v>
      </c>
      <c r="U378" s="4">
        <v>0</v>
      </c>
      <c r="V378" s="4">
        <v>30</v>
      </c>
      <c r="W378" s="4">
        <v>32</v>
      </c>
    </row>
    <row r="379" spans="1:23" ht="11.25" customHeight="1" x14ac:dyDescent="0.25">
      <c r="A379" s="4" t="s">
        <v>21</v>
      </c>
      <c r="B379" s="4" t="s">
        <v>22</v>
      </c>
      <c r="C379" s="4" t="s">
        <v>23</v>
      </c>
      <c r="D379" s="4" t="s">
        <v>24</v>
      </c>
      <c r="E379" s="4" t="s">
        <v>30</v>
      </c>
      <c r="F379" s="4" t="s">
        <v>25</v>
      </c>
      <c r="G379" s="4" t="s">
        <v>25</v>
      </c>
      <c r="H379" s="4" t="s">
        <v>25</v>
      </c>
      <c r="I379" s="5">
        <v>44440</v>
      </c>
      <c r="J379" s="6">
        <v>0</v>
      </c>
      <c r="K379" s="6">
        <v>0</v>
      </c>
      <c r="L379" s="6">
        <v>83.417000000000002</v>
      </c>
      <c r="M379" s="6">
        <v>83.417000000000002</v>
      </c>
      <c r="N379" s="6">
        <v>83.417000000000002</v>
      </c>
      <c r="O379" s="6">
        <v>83.417000000000002</v>
      </c>
      <c r="P379" s="6">
        <v>230</v>
      </c>
      <c r="Q379" s="4" t="s">
        <v>26</v>
      </c>
      <c r="R379" s="4">
        <v>0</v>
      </c>
      <c r="S379" s="4" t="s">
        <v>191</v>
      </c>
      <c r="T379" s="4" t="s">
        <v>352</v>
      </c>
      <c r="U379" s="4">
        <v>0</v>
      </c>
      <c r="V379" s="4">
        <v>30</v>
      </c>
      <c r="W379" s="4">
        <v>32</v>
      </c>
    </row>
    <row r="380" spans="1:23" ht="11.25" customHeight="1" x14ac:dyDescent="0.25">
      <c r="A380" s="4" t="s">
        <v>21</v>
      </c>
      <c r="B380" s="4" t="s">
        <v>22</v>
      </c>
      <c r="C380" s="4" t="s">
        <v>23</v>
      </c>
      <c r="D380" s="4" t="s">
        <v>24</v>
      </c>
      <c r="E380" s="4" t="s">
        <v>30</v>
      </c>
      <c r="F380" s="4" t="s">
        <v>25</v>
      </c>
      <c r="G380" s="4" t="s">
        <v>25</v>
      </c>
      <c r="H380" s="4" t="s">
        <v>25</v>
      </c>
      <c r="I380" s="5">
        <v>44470</v>
      </c>
      <c r="J380" s="6">
        <v>0</v>
      </c>
      <c r="K380" s="6">
        <v>0</v>
      </c>
      <c r="L380" s="6">
        <v>83.188999999999993</v>
      </c>
      <c r="M380" s="6">
        <v>83.188999999999993</v>
      </c>
      <c r="N380" s="6">
        <v>83.188999999999993</v>
      </c>
      <c r="O380" s="6">
        <v>83.188999999999993</v>
      </c>
      <c r="P380" s="6">
        <v>269</v>
      </c>
      <c r="Q380" s="4" t="s">
        <v>26</v>
      </c>
      <c r="R380" s="4">
        <v>0</v>
      </c>
      <c r="S380" s="4" t="s">
        <v>192</v>
      </c>
      <c r="T380" s="4" t="s">
        <v>353</v>
      </c>
      <c r="U380" s="4">
        <v>0</v>
      </c>
      <c r="V380" s="4">
        <v>30</v>
      </c>
      <c r="W380" s="4">
        <v>32</v>
      </c>
    </row>
    <row r="381" spans="1:23" ht="11.25" customHeight="1" x14ac:dyDescent="0.25">
      <c r="A381" s="4" t="s">
        <v>27</v>
      </c>
      <c r="B381" s="4" t="s">
        <v>22</v>
      </c>
      <c r="C381" s="4" t="s">
        <v>23</v>
      </c>
      <c r="D381" s="4" t="s">
        <v>24</v>
      </c>
      <c r="E381" s="4" t="s">
        <v>30</v>
      </c>
      <c r="F381" s="4" t="s">
        <v>25</v>
      </c>
      <c r="G381" s="4" t="s">
        <v>25</v>
      </c>
      <c r="H381" s="4" t="s">
        <v>25</v>
      </c>
      <c r="I381" s="5">
        <v>44470</v>
      </c>
      <c r="J381" s="6">
        <v>0</v>
      </c>
      <c r="K381" s="6">
        <v>0</v>
      </c>
      <c r="L381" s="6">
        <v>6.3E-2</v>
      </c>
      <c r="M381" s="6">
        <v>6.3E-2</v>
      </c>
      <c r="N381" s="6">
        <v>6.3E-2</v>
      </c>
      <c r="O381" s="6">
        <v>6.3E-2</v>
      </c>
      <c r="P381" s="6">
        <v>0</v>
      </c>
      <c r="Q381" s="4" t="s">
        <v>26</v>
      </c>
      <c r="R381" s="4">
        <v>0</v>
      </c>
      <c r="S381" s="4" t="s">
        <v>192</v>
      </c>
      <c r="T381" s="4" t="s">
        <v>353</v>
      </c>
      <c r="U381" s="4">
        <v>0</v>
      </c>
      <c r="V381" s="4">
        <v>30</v>
      </c>
      <c r="W381" s="4">
        <v>32</v>
      </c>
    </row>
    <row r="382" spans="1:23" ht="11.25" customHeight="1" x14ac:dyDescent="0.25">
      <c r="A382" s="4" t="s">
        <v>21</v>
      </c>
      <c r="B382" s="4" t="s">
        <v>22</v>
      </c>
      <c r="C382" s="4" t="s">
        <v>23</v>
      </c>
      <c r="D382" s="4" t="s">
        <v>24</v>
      </c>
      <c r="E382" s="4" t="s">
        <v>30</v>
      </c>
      <c r="F382" s="4" t="s">
        <v>25</v>
      </c>
      <c r="G382" s="4" t="s">
        <v>25</v>
      </c>
      <c r="H382" s="4" t="s">
        <v>25</v>
      </c>
      <c r="I382" s="5">
        <v>44501</v>
      </c>
      <c r="J382" s="6">
        <v>0</v>
      </c>
      <c r="K382" s="6">
        <v>0</v>
      </c>
      <c r="L382" s="6">
        <v>84.503</v>
      </c>
      <c r="M382" s="6">
        <v>84.503</v>
      </c>
      <c r="N382" s="6">
        <v>84.503</v>
      </c>
      <c r="O382" s="6">
        <v>84.503</v>
      </c>
      <c r="P382" s="6">
        <v>244</v>
      </c>
      <c r="Q382" s="4" t="s">
        <v>26</v>
      </c>
      <c r="R382" s="4">
        <v>0</v>
      </c>
      <c r="S382" s="4" t="s">
        <v>193</v>
      </c>
      <c r="T382" s="4" t="s">
        <v>354</v>
      </c>
      <c r="U382" s="4">
        <v>0</v>
      </c>
      <c r="V382" s="4">
        <v>30</v>
      </c>
      <c r="W382" s="4">
        <v>32</v>
      </c>
    </row>
    <row r="383" spans="1:23" ht="11.25" customHeight="1" x14ac:dyDescent="0.25">
      <c r="A383" s="4" t="s">
        <v>21</v>
      </c>
      <c r="B383" s="4" t="s">
        <v>22</v>
      </c>
      <c r="C383" s="4" t="s">
        <v>23</v>
      </c>
      <c r="D383" s="4" t="s">
        <v>24</v>
      </c>
      <c r="E383" s="4" t="s">
        <v>30</v>
      </c>
      <c r="F383" s="4" t="s">
        <v>25</v>
      </c>
      <c r="G383" s="4" t="s">
        <v>25</v>
      </c>
      <c r="H383" s="4" t="s">
        <v>25</v>
      </c>
      <c r="I383" s="5">
        <v>44531</v>
      </c>
      <c r="J383" s="6">
        <v>0</v>
      </c>
      <c r="K383" s="6">
        <v>0</v>
      </c>
      <c r="L383" s="6">
        <v>85.695999999999998</v>
      </c>
      <c r="M383" s="6">
        <v>85.695999999999998</v>
      </c>
      <c r="N383" s="6">
        <v>85.695999999999998</v>
      </c>
      <c r="O383" s="6">
        <v>85.695999999999998</v>
      </c>
      <c r="P383" s="6">
        <v>244</v>
      </c>
      <c r="Q383" s="4" t="s">
        <v>26</v>
      </c>
      <c r="R383" s="4">
        <v>0</v>
      </c>
      <c r="S383" s="4" t="s">
        <v>194</v>
      </c>
      <c r="T383" s="4" t="s">
        <v>355</v>
      </c>
      <c r="U383" s="4">
        <v>0</v>
      </c>
      <c r="V383" s="4">
        <v>30</v>
      </c>
      <c r="W383" s="4">
        <v>32</v>
      </c>
    </row>
    <row r="384" spans="1:23" ht="11.25" customHeight="1" x14ac:dyDescent="0.25">
      <c r="A384" s="4" t="s">
        <v>27</v>
      </c>
      <c r="B384" s="4" t="s">
        <v>22</v>
      </c>
      <c r="C384" s="4" t="s">
        <v>23</v>
      </c>
      <c r="D384" s="4" t="s">
        <v>24</v>
      </c>
      <c r="E384" s="4" t="s">
        <v>30</v>
      </c>
      <c r="F384" s="4" t="s">
        <v>25</v>
      </c>
      <c r="G384" s="4" t="s">
        <v>25</v>
      </c>
      <c r="H384" s="4" t="s">
        <v>25</v>
      </c>
      <c r="I384" s="5">
        <v>44531</v>
      </c>
      <c r="J384" s="6">
        <v>0</v>
      </c>
      <c r="K384" s="6">
        <v>0</v>
      </c>
      <c r="L384" s="6">
        <v>4.2999999999999997E-2</v>
      </c>
      <c r="M384" s="6">
        <v>4.2999999999999997E-2</v>
      </c>
      <c r="N384" s="6">
        <v>4.2999999999999997E-2</v>
      </c>
      <c r="O384" s="6">
        <v>4.2999999999999997E-2</v>
      </c>
      <c r="P384" s="6">
        <v>0</v>
      </c>
      <c r="Q384" s="4" t="s">
        <v>26</v>
      </c>
      <c r="R384" s="4">
        <v>0</v>
      </c>
      <c r="S384" s="4" t="s">
        <v>194</v>
      </c>
      <c r="T384" s="4" t="s">
        <v>355</v>
      </c>
      <c r="U384" s="4">
        <v>0</v>
      </c>
      <c r="V384" s="4">
        <v>30</v>
      </c>
      <c r="W384" s="4">
        <v>32</v>
      </c>
    </row>
    <row r="385" spans="1:23" ht="11.25" customHeight="1" x14ac:dyDescent="0.25">
      <c r="A385" s="4" t="s">
        <v>21</v>
      </c>
      <c r="B385" s="4" t="s">
        <v>22</v>
      </c>
      <c r="C385" s="4" t="s">
        <v>23</v>
      </c>
      <c r="D385" s="4" t="s">
        <v>24</v>
      </c>
      <c r="E385" s="4" t="s">
        <v>30</v>
      </c>
      <c r="F385" s="4" t="s">
        <v>25</v>
      </c>
      <c r="G385" s="4" t="s">
        <v>25</v>
      </c>
      <c r="H385" s="4" t="s">
        <v>25</v>
      </c>
      <c r="I385" s="5">
        <v>44562</v>
      </c>
      <c r="J385" s="6">
        <v>0</v>
      </c>
      <c r="K385" s="6">
        <v>0</v>
      </c>
      <c r="L385" s="6">
        <v>89.171000000000006</v>
      </c>
      <c r="M385" s="6">
        <v>89.171000000000006</v>
      </c>
      <c r="N385" s="6">
        <v>89.171000000000006</v>
      </c>
      <c r="O385" s="6">
        <v>89.171000000000006</v>
      </c>
      <c r="P385" s="6">
        <v>161</v>
      </c>
      <c r="Q385" s="4" t="s">
        <v>26</v>
      </c>
      <c r="R385" s="4">
        <v>0</v>
      </c>
      <c r="S385" s="4" t="s">
        <v>195</v>
      </c>
      <c r="T385" s="4" t="s">
        <v>356</v>
      </c>
      <c r="U385" s="4">
        <v>0</v>
      </c>
      <c r="V385" s="4">
        <v>30</v>
      </c>
      <c r="W385" s="4">
        <v>32</v>
      </c>
    </row>
    <row r="386" spans="1:23" ht="11.25" customHeight="1" x14ac:dyDescent="0.25">
      <c r="A386" s="4" t="s">
        <v>27</v>
      </c>
      <c r="B386" s="4" t="s">
        <v>22</v>
      </c>
      <c r="C386" s="4" t="s">
        <v>23</v>
      </c>
      <c r="D386" s="4" t="s">
        <v>24</v>
      </c>
      <c r="E386" s="4" t="s">
        <v>30</v>
      </c>
      <c r="F386" s="4" t="s">
        <v>25</v>
      </c>
      <c r="G386" s="4" t="s">
        <v>25</v>
      </c>
      <c r="H386" s="4" t="s">
        <v>25</v>
      </c>
      <c r="I386" s="5">
        <v>44562</v>
      </c>
      <c r="J386" s="6">
        <v>0</v>
      </c>
      <c r="K386" s="6">
        <v>0</v>
      </c>
      <c r="L386" s="6">
        <v>-6.8000000000000005E-2</v>
      </c>
      <c r="M386" s="6">
        <v>-6.8000000000000005E-2</v>
      </c>
      <c r="N386" s="6">
        <v>-6.8000000000000005E-2</v>
      </c>
      <c r="O386" s="6">
        <v>-6.8000000000000005E-2</v>
      </c>
      <c r="P386" s="6">
        <v>0</v>
      </c>
      <c r="Q386" s="4" t="s">
        <v>26</v>
      </c>
      <c r="R386" s="4">
        <v>0</v>
      </c>
      <c r="S386" s="4" t="s">
        <v>195</v>
      </c>
      <c r="T386" s="4" t="s">
        <v>356</v>
      </c>
      <c r="U386" s="4">
        <v>0</v>
      </c>
      <c r="V386" s="4">
        <v>30</v>
      </c>
      <c r="W386" s="4">
        <v>32</v>
      </c>
    </row>
    <row r="387" spans="1:23" ht="11.25" customHeight="1" x14ac:dyDescent="0.25">
      <c r="A387" s="4" t="s">
        <v>21</v>
      </c>
      <c r="B387" s="4" t="s">
        <v>22</v>
      </c>
      <c r="C387" s="4" t="s">
        <v>23</v>
      </c>
      <c r="D387" s="4" t="s">
        <v>24</v>
      </c>
      <c r="E387" s="4" t="s">
        <v>30</v>
      </c>
      <c r="F387" s="4" t="s">
        <v>25</v>
      </c>
      <c r="G387" s="4" t="s">
        <v>25</v>
      </c>
      <c r="H387" s="4" t="s">
        <v>25</v>
      </c>
      <c r="I387" s="5">
        <v>44593</v>
      </c>
      <c r="J387" s="6">
        <v>0</v>
      </c>
      <c r="K387" s="6">
        <v>0</v>
      </c>
      <c r="L387" s="6">
        <v>90.623000000000005</v>
      </c>
      <c r="M387" s="6">
        <v>90.623000000000005</v>
      </c>
      <c r="N387" s="6">
        <v>90.623000000000005</v>
      </c>
      <c r="O387" s="6">
        <v>90.623000000000005</v>
      </c>
      <c r="P387" s="6">
        <v>166</v>
      </c>
      <c r="Q387" s="4" t="s">
        <v>26</v>
      </c>
      <c r="R387" s="4">
        <v>0</v>
      </c>
      <c r="S387" s="4" t="s">
        <v>196</v>
      </c>
      <c r="T387" s="4" t="s">
        <v>357</v>
      </c>
      <c r="U387" s="4">
        <v>0</v>
      </c>
      <c r="V387" s="4">
        <v>30</v>
      </c>
      <c r="W387" s="4">
        <v>32</v>
      </c>
    </row>
    <row r="388" spans="1:23" ht="11.25" customHeight="1" x14ac:dyDescent="0.25">
      <c r="A388" s="4" t="s">
        <v>21</v>
      </c>
      <c r="B388" s="4" t="s">
        <v>22</v>
      </c>
      <c r="C388" s="4" t="s">
        <v>23</v>
      </c>
      <c r="D388" s="4" t="s">
        <v>24</v>
      </c>
      <c r="E388" s="4" t="s">
        <v>30</v>
      </c>
      <c r="F388" s="4" t="s">
        <v>25</v>
      </c>
      <c r="G388" s="4" t="s">
        <v>25</v>
      </c>
      <c r="H388" s="4" t="s">
        <v>25</v>
      </c>
      <c r="I388" s="5">
        <v>44621</v>
      </c>
      <c r="J388" s="6">
        <v>0</v>
      </c>
      <c r="K388" s="6">
        <v>0</v>
      </c>
      <c r="L388" s="6">
        <v>91.774000000000001</v>
      </c>
      <c r="M388" s="6">
        <v>91.774000000000001</v>
      </c>
      <c r="N388" s="6">
        <v>91.774000000000001</v>
      </c>
      <c r="O388" s="6">
        <v>91.774000000000001</v>
      </c>
      <c r="P388" s="6">
        <v>177</v>
      </c>
      <c r="Q388" s="4" t="s">
        <v>26</v>
      </c>
      <c r="R388" s="4">
        <v>0</v>
      </c>
      <c r="S388" s="4" t="s">
        <v>197</v>
      </c>
      <c r="T388" s="4" t="s">
        <v>358</v>
      </c>
      <c r="U388" s="4">
        <v>0</v>
      </c>
      <c r="V388" s="4">
        <v>30</v>
      </c>
      <c r="W388" s="4">
        <v>32</v>
      </c>
    </row>
    <row r="389" spans="1:23" ht="11.25" customHeight="1" x14ac:dyDescent="0.25">
      <c r="A389" s="4" t="s">
        <v>21</v>
      </c>
      <c r="B389" s="4" t="s">
        <v>22</v>
      </c>
      <c r="C389" s="4" t="s">
        <v>23</v>
      </c>
      <c r="D389" s="4" t="s">
        <v>24</v>
      </c>
      <c r="E389" s="4" t="s">
        <v>30</v>
      </c>
      <c r="F389" s="4" t="s">
        <v>25</v>
      </c>
      <c r="G389" s="4" t="s">
        <v>25</v>
      </c>
      <c r="H389" s="4" t="s">
        <v>25</v>
      </c>
      <c r="I389" s="5">
        <v>44652</v>
      </c>
      <c r="J389" s="6">
        <v>0</v>
      </c>
      <c r="K389" s="6">
        <v>0</v>
      </c>
      <c r="L389" s="6">
        <v>92.322999999999993</v>
      </c>
      <c r="M389" s="6">
        <v>92.322999999999993</v>
      </c>
      <c r="N389" s="6">
        <v>92.322999999999993</v>
      </c>
      <c r="O389" s="6">
        <v>92.322999999999993</v>
      </c>
      <c r="P389" s="6">
        <v>189</v>
      </c>
      <c r="Q389" s="4" t="s">
        <v>26</v>
      </c>
      <c r="R389" s="4">
        <v>0</v>
      </c>
      <c r="S389" s="4" t="s">
        <v>198</v>
      </c>
      <c r="T389" s="4" t="s">
        <v>359</v>
      </c>
      <c r="U389" s="4">
        <v>0</v>
      </c>
      <c r="V389" s="4">
        <v>30</v>
      </c>
      <c r="W389" s="4">
        <v>32</v>
      </c>
    </row>
    <row r="390" spans="1:23" ht="11.25" customHeight="1" x14ac:dyDescent="0.25">
      <c r="A390" s="4" t="s">
        <v>27</v>
      </c>
      <c r="B390" s="4" t="s">
        <v>22</v>
      </c>
      <c r="C390" s="4" t="s">
        <v>23</v>
      </c>
      <c r="D390" s="4" t="s">
        <v>24</v>
      </c>
      <c r="E390" s="4" t="s">
        <v>30</v>
      </c>
      <c r="F390" s="4" t="s">
        <v>25</v>
      </c>
      <c r="G390" s="4" t="s">
        <v>25</v>
      </c>
      <c r="H390" s="4" t="s">
        <v>25</v>
      </c>
      <c r="I390" s="5">
        <v>44652</v>
      </c>
      <c r="J390" s="6">
        <v>0</v>
      </c>
      <c r="K390" s="6">
        <v>0</v>
      </c>
      <c r="L390" s="6">
        <v>5.8000000000000003E-2</v>
      </c>
      <c r="M390" s="6">
        <v>5.8000000000000003E-2</v>
      </c>
      <c r="N390" s="6">
        <v>5.8000000000000003E-2</v>
      </c>
      <c r="O390" s="6">
        <v>5.8000000000000003E-2</v>
      </c>
      <c r="P390" s="6">
        <v>0</v>
      </c>
      <c r="Q390" s="4" t="s">
        <v>26</v>
      </c>
      <c r="R390" s="4">
        <v>0</v>
      </c>
      <c r="S390" s="4" t="s">
        <v>198</v>
      </c>
      <c r="T390" s="4" t="s">
        <v>359</v>
      </c>
      <c r="U390" s="4">
        <v>0</v>
      </c>
      <c r="V390" s="4">
        <v>30</v>
      </c>
      <c r="W390" s="4">
        <v>32</v>
      </c>
    </row>
    <row r="391" spans="1:23" ht="11.25" customHeight="1" x14ac:dyDescent="0.25">
      <c r="A391" s="4" t="s">
        <v>21</v>
      </c>
      <c r="B391" s="4" t="s">
        <v>22</v>
      </c>
      <c r="C391" s="4" t="s">
        <v>23</v>
      </c>
      <c r="D391" s="4" t="s">
        <v>24</v>
      </c>
      <c r="E391" s="4" t="s">
        <v>30</v>
      </c>
      <c r="F391" s="4" t="s">
        <v>25</v>
      </c>
      <c r="G391" s="4" t="s">
        <v>25</v>
      </c>
      <c r="H391" s="4" t="s">
        <v>25</v>
      </c>
      <c r="I391" s="5">
        <v>44682</v>
      </c>
      <c r="J391" s="6">
        <v>0</v>
      </c>
      <c r="K391" s="6">
        <v>0</v>
      </c>
      <c r="L391" s="6">
        <v>93.614000000000004</v>
      </c>
      <c r="M391" s="6">
        <v>93.614000000000004</v>
      </c>
      <c r="N391" s="6">
        <v>93.614000000000004</v>
      </c>
      <c r="O391" s="6">
        <v>93.614000000000004</v>
      </c>
      <c r="P391" s="6">
        <v>267</v>
      </c>
      <c r="Q391" s="4" t="s">
        <v>26</v>
      </c>
      <c r="R391" s="4">
        <v>0</v>
      </c>
      <c r="S391" s="4" t="s">
        <v>199</v>
      </c>
      <c r="T391" s="4" t="s">
        <v>360</v>
      </c>
      <c r="U391" s="4">
        <v>0</v>
      </c>
      <c r="V391" s="4">
        <v>30</v>
      </c>
      <c r="W391" s="4">
        <v>32</v>
      </c>
    </row>
    <row r="392" spans="1:23" ht="11.25" customHeight="1" x14ac:dyDescent="0.25">
      <c r="A392" s="4" t="s">
        <v>21</v>
      </c>
      <c r="B392" s="4" t="s">
        <v>22</v>
      </c>
      <c r="C392" s="4" t="s">
        <v>23</v>
      </c>
      <c r="D392" s="4" t="s">
        <v>24</v>
      </c>
      <c r="E392" s="4" t="s">
        <v>30</v>
      </c>
      <c r="F392" s="4" t="s">
        <v>25</v>
      </c>
      <c r="G392" s="4" t="s">
        <v>25</v>
      </c>
      <c r="H392" s="4" t="s">
        <v>25</v>
      </c>
      <c r="I392" s="5">
        <v>44713</v>
      </c>
      <c r="J392" s="6">
        <v>0</v>
      </c>
      <c r="K392" s="6">
        <v>0</v>
      </c>
      <c r="L392" s="6">
        <v>101.9</v>
      </c>
      <c r="M392" s="6">
        <v>101.9</v>
      </c>
      <c r="N392" s="6">
        <v>101.9</v>
      </c>
      <c r="O392" s="6">
        <v>101.9</v>
      </c>
      <c r="P392" s="6">
        <v>333</v>
      </c>
      <c r="Q392" s="4" t="s">
        <v>26</v>
      </c>
      <c r="R392" s="4">
        <v>0</v>
      </c>
      <c r="S392" s="4" t="s">
        <v>200</v>
      </c>
      <c r="T392" s="4" t="s">
        <v>361</v>
      </c>
      <c r="U392" s="4">
        <v>0</v>
      </c>
      <c r="V392" s="4">
        <v>30</v>
      </c>
      <c r="W392" s="4">
        <v>32</v>
      </c>
    </row>
    <row r="393" spans="1:23" ht="11.25" customHeight="1" x14ac:dyDescent="0.25">
      <c r="A393" s="4" t="s">
        <v>28</v>
      </c>
      <c r="B393" s="4" t="s">
        <v>22</v>
      </c>
      <c r="C393" s="4" t="s">
        <v>23</v>
      </c>
      <c r="D393" s="4" t="s">
        <v>24</v>
      </c>
      <c r="E393" s="4" t="s">
        <v>30</v>
      </c>
      <c r="F393" s="4" t="s">
        <v>25</v>
      </c>
      <c r="G393" s="4" t="s">
        <v>25</v>
      </c>
      <c r="H393" s="4" t="s">
        <v>25</v>
      </c>
      <c r="I393" s="5">
        <v>44713</v>
      </c>
      <c r="J393" s="6">
        <v>0</v>
      </c>
      <c r="K393" s="6">
        <v>0</v>
      </c>
      <c r="L393" s="6">
        <v>1.4E-2</v>
      </c>
      <c r="M393" s="6">
        <v>2.8E-3</v>
      </c>
      <c r="N393" s="6">
        <v>1.4E-2</v>
      </c>
      <c r="O393" s="6">
        <v>2.8E-3</v>
      </c>
      <c r="P393" s="6">
        <v>0</v>
      </c>
      <c r="Q393" s="4" t="s">
        <v>26</v>
      </c>
      <c r="R393" s="4">
        <v>0</v>
      </c>
      <c r="S393" s="4" t="s">
        <v>200</v>
      </c>
      <c r="T393" s="4" t="s">
        <v>361</v>
      </c>
      <c r="U393" s="4">
        <v>0</v>
      </c>
      <c r="V393" s="4">
        <v>30</v>
      </c>
      <c r="W393" s="4">
        <v>32</v>
      </c>
    </row>
    <row r="394" spans="1:23" ht="11.25" customHeight="1" x14ac:dyDescent="0.25">
      <c r="A394" s="4" t="s">
        <v>55</v>
      </c>
      <c r="B394" s="4" t="s">
        <v>22</v>
      </c>
      <c r="C394" s="4" t="s">
        <v>23</v>
      </c>
      <c r="D394" s="4" t="s">
        <v>24</v>
      </c>
      <c r="E394" s="4" t="s">
        <v>30</v>
      </c>
      <c r="F394" s="4" t="s">
        <v>25</v>
      </c>
      <c r="G394" s="4" t="s">
        <v>25</v>
      </c>
      <c r="H394" s="4" t="s">
        <v>25</v>
      </c>
      <c r="I394" s="5">
        <v>44743</v>
      </c>
      <c r="J394" s="6">
        <v>0</v>
      </c>
      <c r="K394" s="6">
        <v>0</v>
      </c>
      <c r="L394" s="6">
        <v>101.9</v>
      </c>
      <c r="M394" s="6">
        <v>101.9</v>
      </c>
      <c r="N394" s="6">
        <v>101.9</v>
      </c>
      <c r="O394" s="6">
        <v>101.9</v>
      </c>
      <c r="P394" s="6">
        <v>333</v>
      </c>
      <c r="Q394" s="4" t="s">
        <v>26</v>
      </c>
      <c r="R394" s="4">
        <v>0</v>
      </c>
      <c r="S394" s="4" t="s">
        <v>201</v>
      </c>
      <c r="T394" s="4" t="s">
        <v>362</v>
      </c>
      <c r="U394" s="4">
        <v>0</v>
      </c>
      <c r="V394" s="4">
        <v>30</v>
      </c>
      <c r="W394" s="4">
        <v>32</v>
      </c>
    </row>
    <row r="395" spans="1:23" ht="11.25" customHeight="1" x14ac:dyDescent="0.25">
      <c r="A395" s="4" t="s">
        <v>55</v>
      </c>
      <c r="B395" s="4" t="s">
        <v>22</v>
      </c>
      <c r="C395" s="4" t="s">
        <v>23</v>
      </c>
      <c r="D395" s="4" t="s">
        <v>24</v>
      </c>
      <c r="E395" s="4" t="s">
        <v>30</v>
      </c>
      <c r="F395" s="4" t="s">
        <v>25</v>
      </c>
      <c r="G395" s="4" t="s">
        <v>25</v>
      </c>
      <c r="H395" s="4" t="s">
        <v>25</v>
      </c>
      <c r="I395" s="5">
        <v>44743</v>
      </c>
      <c r="J395" s="6">
        <v>0</v>
      </c>
      <c r="K395" s="6">
        <v>0</v>
      </c>
      <c r="L395" s="6">
        <v>1.4E-2</v>
      </c>
      <c r="M395" s="6">
        <v>2.8E-3</v>
      </c>
      <c r="N395" s="6">
        <v>1.4E-2</v>
      </c>
      <c r="O395" s="6">
        <v>2.8E-3</v>
      </c>
      <c r="P395" s="6">
        <v>0</v>
      </c>
      <c r="Q395" s="4" t="s">
        <v>26</v>
      </c>
      <c r="R395" s="4">
        <v>0</v>
      </c>
      <c r="S395" s="4" t="s">
        <v>201</v>
      </c>
      <c r="T395" s="4" t="s">
        <v>362</v>
      </c>
      <c r="U395" s="4">
        <v>0</v>
      </c>
      <c r="V395" s="4">
        <v>30</v>
      </c>
      <c r="W395" s="4">
        <v>32</v>
      </c>
    </row>
    <row r="396" spans="1:23" ht="11.25" customHeight="1" x14ac:dyDescent="0.25">
      <c r="A396" s="4" t="s">
        <v>21</v>
      </c>
      <c r="B396" s="4" t="s">
        <v>22</v>
      </c>
      <c r="C396" s="4" t="s">
        <v>23</v>
      </c>
      <c r="D396" s="4" t="s">
        <v>24</v>
      </c>
      <c r="E396" s="4" t="s">
        <v>31</v>
      </c>
      <c r="F396" s="4" t="s">
        <v>25</v>
      </c>
      <c r="G396" s="4" t="s">
        <v>25</v>
      </c>
      <c r="H396" s="4" t="s">
        <v>25</v>
      </c>
      <c r="I396" s="5">
        <v>44409</v>
      </c>
      <c r="J396" s="6">
        <v>0</v>
      </c>
      <c r="K396" s="6">
        <v>0</v>
      </c>
      <c r="L396" s="6">
        <v>77.028999999999996</v>
      </c>
      <c r="M396" s="6">
        <v>77.028999999999996</v>
      </c>
      <c r="N396" s="6">
        <v>77.028999999999996</v>
      </c>
      <c r="O396" s="6">
        <v>77.028999999999996</v>
      </c>
      <c r="P396" s="6">
        <v>652</v>
      </c>
      <c r="Q396" s="4" t="s">
        <v>26</v>
      </c>
      <c r="R396" s="4">
        <v>0</v>
      </c>
      <c r="S396" s="4" t="s">
        <v>202</v>
      </c>
      <c r="T396" s="4" t="s">
        <v>363</v>
      </c>
      <c r="U396" s="4">
        <v>0</v>
      </c>
      <c r="V396" s="4">
        <v>37</v>
      </c>
      <c r="W396" s="4">
        <v>58</v>
      </c>
    </row>
    <row r="397" spans="1:23" ht="11.25" customHeight="1" x14ac:dyDescent="0.25">
      <c r="A397" s="4" t="s">
        <v>27</v>
      </c>
      <c r="B397" s="4" t="s">
        <v>22</v>
      </c>
      <c r="C397" s="4" t="s">
        <v>23</v>
      </c>
      <c r="D397" s="4" t="s">
        <v>24</v>
      </c>
      <c r="E397" s="4" t="s">
        <v>31</v>
      </c>
      <c r="F397" s="4" t="s">
        <v>25</v>
      </c>
      <c r="G397" s="4" t="s">
        <v>25</v>
      </c>
      <c r="H397" s="4" t="s">
        <v>25</v>
      </c>
      <c r="I397" s="5">
        <v>44409</v>
      </c>
      <c r="J397" s="6">
        <v>0</v>
      </c>
      <c r="K397" s="6">
        <v>0</v>
      </c>
      <c r="L397" s="6">
        <v>-6.7000000000000004E-2</v>
      </c>
      <c r="M397" s="6">
        <v>-6.7000000000000004E-2</v>
      </c>
      <c r="N397" s="6">
        <v>-6.7000000000000004E-2</v>
      </c>
      <c r="O397" s="6">
        <v>-6.7000000000000004E-2</v>
      </c>
      <c r="P397" s="6">
        <v>0</v>
      </c>
      <c r="Q397" s="4" t="s">
        <v>26</v>
      </c>
      <c r="R397" s="4">
        <v>0</v>
      </c>
      <c r="S397" s="4" t="s">
        <v>202</v>
      </c>
      <c r="T397" s="4" t="s">
        <v>363</v>
      </c>
      <c r="U397" s="4">
        <v>0</v>
      </c>
      <c r="V397" s="4">
        <v>37</v>
      </c>
      <c r="W397" s="4">
        <v>58</v>
      </c>
    </row>
    <row r="398" spans="1:23" ht="11.25" customHeight="1" x14ac:dyDescent="0.25">
      <c r="A398" s="4" t="s">
        <v>21</v>
      </c>
      <c r="B398" s="4" t="s">
        <v>22</v>
      </c>
      <c r="C398" s="4" t="s">
        <v>23</v>
      </c>
      <c r="D398" s="4" t="s">
        <v>24</v>
      </c>
      <c r="E398" s="4" t="s">
        <v>31</v>
      </c>
      <c r="F398" s="4" t="s">
        <v>25</v>
      </c>
      <c r="G398" s="4" t="s">
        <v>25</v>
      </c>
      <c r="H398" s="4" t="s">
        <v>25</v>
      </c>
      <c r="I398" s="5">
        <v>44440</v>
      </c>
      <c r="J398" s="6">
        <v>0</v>
      </c>
      <c r="K398" s="6">
        <v>0</v>
      </c>
      <c r="L398" s="6">
        <v>85.152000000000001</v>
      </c>
      <c r="M398" s="6">
        <v>85.152000000000001</v>
      </c>
      <c r="N398" s="6">
        <v>85.152000000000001</v>
      </c>
      <c r="O398" s="6">
        <v>85.152000000000001</v>
      </c>
      <c r="P398" s="6">
        <v>652</v>
      </c>
      <c r="Q398" s="4" t="s">
        <v>26</v>
      </c>
      <c r="R398" s="4">
        <v>0</v>
      </c>
      <c r="S398" s="4" t="s">
        <v>203</v>
      </c>
      <c r="T398" s="4" t="s">
        <v>364</v>
      </c>
      <c r="U398" s="4">
        <v>0</v>
      </c>
      <c r="V398" s="4">
        <v>37</v>
      </c>
      <c r="W398" s="4">
        <v>58</v>
      </c>
    </row>
    <row r="399" spans="1:23" ht="11.25" customHeight="1" x14ac:dyDescent="0.25">
      <c r="A399" s="4" t="s">
        <v>27</v>
      </c>
      <c r="B399" s="4" t="s">
        <v>22</v>
      </c>
      <c r="C399" s="4" t="s">
        <v>23</v>
      </c>
      <c r="D399" s="4" t="s">
        <v>24</v>
      </c>
      <c r="E399" s="4" t="s">
        <v>31</v>
      </c>
      <c r="F399" s="4" t="s">
        <v>25</v>
      </c>
      <c r="G399" s="4" t="s">
        <v>25</v>
      </c>
      <c r="H399" s="4" t="s">
        <v>25</v>
      </c>
      <c r="I399" s="5">
        <v>44440</v>
      </c>
      <c r="J399" s="6">
        <v>0</v>
      </c>
      <c r="K399" s="6">
        <v>0</v>
      </c>
      <c r="L399" s="6">
        <v>-8.5000000000000006E-2</v>
      </c>
      <c r="M399" s="6">
        <v>-8.5000000000000006E-2</v>
      </c>
      <c r="N399" s="6">
        <v>-8.5000000000000006E-2</v>
      </c>
      <c r="O399" s="6">
        <v>-8.5000000000000006E-2</v>
      </c>
      <c r="P399" s="6">
        <v>0</v>
      </c>
      <c r="Q399" s="4" t="s">
        <v>26</v>
      </c>
      <c r="R399" s="4">
        <v>0</v>
      </c>
      <c r="S399" s="4" t="s">
        <v>203</v>
      </c>
      <c r="T399" s="4" t="s">
        <v>364</v>
      </c>
      <c r="U399" s="4">
        <v>0</v>
      </c>
      <c r="V399" s="4">
        <v>37</v>
      </c>
      <c r="W399" s="4">
        <v>58</v>
      </c>
    </row>
    <row r="400" spans="1:23" ht="11.25" customHeight="1" x14ac:dyDescent="0.25">
      <c r="A400" s="4" t="s">
        <v>21</v>
      </c>
      <c r="B400" s="4" t="s">
        <v>22</v>
      </c>
      <c r="C400" s="4" t="s">
        <v>23</v>
      </c>
      <c r="D400" s="4" t="s">
        <v>24</v>
      </c>
      <c r="E400" s="4" t="s">
        <v>31</v>
      </c>
      <c r="F400" s="4" t="s">
        <v>25</v>
      </c>
      <c r="G400" s="4" t="s">
        <v>25</v>
      </c>
      <c r="H400" s="4" t="s">
        <v>25</v>
      </c>
      <c r="I400" s="5">
        <v>44470</v>
      </c>
      <c r="J400" s="6">
        <v>0</v>
      </c>
      <c r="K400" s="6">
        <v>0</v>
      </c>
      <c r="L400" s="6">
        <v>79.515000000000001</v>
      </c>
      <c r="M400" s="6">
        <v>79.515000000000001</v>
      </c>
      <c r="N400" s="6">
        <v>79.515000000000001</v>
      </c>
      <c r="O400" s="6">
        <v>79.515000000000001</v>
      </c>
      <c r="P400" s="6">
        <v>705</v>
      </c>
      <c r="Q400" s="4" t="s">
        <v>26</v>
      </c>
      <c r="R400" s="4">
        <v>0</v>
      </c>
      <c r="S400" s="4" t="s">
        <v>204</v>
      </c>
      <c r="T400" s="4" t="s">
        <v>365</v>
      </c>
      <c r="U400" s="4">
        <v>0</v>
      </c>
      <c r="V400" s="4">
        <v>37</v>
      </c>
      <c r="W400" s="4">
        <v>58</v>
      </c>
    </row>
    <row r="401" spans="1:23" ht="11.25" customHeight="1" x14ac:dyDescent="0.25">
      <c r="A401" s="4" t="s">
        <v>27</v>
      </c>
      <c r="B401" s="4" t="s">
        <v>22</v>
      </c>
      <c r="C401" s="4" t="s">
        <v>23</v>
      </c>
      <c r="D401" s="4" t="s">
        <v>24</v>
      </c>
      <c r="E401" s="4" t="s">
        <v>31</v>
      </c>
      <c r="F401" s="4" t="s">
        <v>25</v>
      </c>
      <c r="G401" s="4" t="s">
        <v>25</v>
      </c>
      <c r="H401" s="4" t="s">
        <v>25</v>
      </c>
      <c r="I401" s="5">
        <v>44470</v>
      </c>
      <c r="J401" s="6">
        <v>0</v>
      </c>
      <c r="K401" s="6">
        <v>0</v>
      </c>
      <c r="L401" s="6">
        <v>-1.9E-2</v>
      </c>
      <c r="M401" s="6">
        <v>-1.9E-2</v>
      </c>
      <c r="N401" s="6">
        <v>-1.9E-2</v>
      </c>
      <c r="O401" s="6">
        <v>-1.9E-2</v>
      </c>
      <c r="P401" s="6">
        <v>0</v>
      </c>
      <c r="Q401" s="4" t="s">
        <v>26</v>
      </c>
      <c r="R401" s="4">
        <v>0</v>
      </c>
      <c r="S401" s="4" t="s">
        <v>204</v>
      </c>
      <c r="T401" s="4" t="s">
        <v>365</v>
      </c>
      <c r="U401" s="4">
        <v>0</v>
      </c>
      <c r="V401" s="4">
        <v>37</v>
      </c>
      <c r="W401" s="4">
        <v>58</v>
      </c>
    </row>
    <row r="402" spans="1:23" ht="11.25" customHeight="1" x14ac:dyDescent="0.25">
      <c r="A402" s="4" t="s">
        <v>21</v>
      </c>
      <c r="B402" s="4" t="s">
        <v>22</v>
      </c>
      <c r="C402" s="4" t="s">
        <v>23</v>
      </c>
      <c r="D402" s="4" t="s">
        <v>24</v>
      </c>
      <c r="E402" s="4" t="s">
        <v>31</v>
      </c>
      <c r="F402" s="4" t="s">
        <v>25</v>
      </c>
      <c r="G402" s="4" t="s">
        <v>25</v>
      </c>
      <c r="H402" s="4" t="s">
        <v>25</v>
      </c>
      <c r="I402" s="5">
        <v>44501</v>
      </c>
      <c r="J402" s="6">
        <v>0</v>
      </c>
      <c r="K402" s="6">
        <v>0</v>
      </c>
      <c r="L402" s="6">
        <v>82.828000000000003</v>
      </c>
      <c r="M402" s="6">
        <v>82.828000000000003</v>
      </c>
      <c r="N402" s="6">
        <v>82.828000000000003</v>
      </c>
      <c r="O402" s="6">
        <v>82.828000000000003</v>
      </c>
      <c r="P402" s="6">
        <v>702</v>
      </c>
      <c r="Q402" s="4" t="s">
        <v>26</v>
      </c>
      <c r="R402" s="4">
        <v>0</v>
      </c>
      <c r="S402" s="4" t="s">
        <v>205</v>
      </c>
      <c r="T402" s="4" t="s">
        <v>366</v>
      </c>
      <c r="U402" s="4">
        <v>0</v>
      </c>
      <c r="V402" s="4">
        <v>37</v>
      </c>
      <c r="W402" s="4">
        <v>58</v>
      </c>
    </row>
    <row r="403" spans="1:23" ht="11.25" customHeight="1" x14ac:dyDescent="0.25">
      <c r="A403" s="4" t="s">
        <v>27</v>
      </c>
      <c r="B403" s="4" t="s">
        <v>22</v>
      </c>
      <c r="C403" s="4" t="s">
        <v>23</v>
      </c>
      <c r="D403" s="4" t="s">
        <v>24</v>
      </c>
      <c r="E403" s="4" t="s">
        <v>31</v>
      </c>
      <c r="F403" s="4" t="s">
        <v>25</v>
      </c>
      <c r="G403" s="4" t="s">
        <v>25</v>
      </c>
      <c r="H403" s="4" t="s">
        <v>25</v>
      </c>
      <c r="I403" s="5">
        <v>44501</v>
      </c>
      <c r="J403" s="6">
        <v>0</v>
      </c>
      <c r="K403" s="6">
        <v>0</v>
      </c>
      <c r="L403" s="6">
        <v>-0.11</v>
      </c>
      <c r="M403" s="6">
        <v>-0.11</v>
      </c>
      <c r="N403" s="6">
        <v>-0.11</v>
      </c>
      <c r="O403" s="6">
        <v>-0.11</v>
      </c>
      <c r="P403" s="6">
        <v>0</v>
      </c>
      <c r="Q403" s="4" t="s">
        <v>26</v>
      </c>
      <c r="R403" s="4">
        <v>0</v>
      </c>
      <c r="S403" s="4" t="s">
        <v>205</v>
      </c>
      <c r="T403" s="4" t="s">
        <v>366</v>
      </c>
      <c r="U403" s="4">
        <v>0</v>
      </c>
      <c r="V403" s="4">
        <v>37</v>
      </c>
      <c r="W403" s="4">
        <v>58</v>
      </c>
    </row>
    <row r="404" spans="1:23" ht="11.25" customHeight="1" x14ac:dyDescent="0.25">
      <c r="A404" s="4" t="s">
        <v>21</v>
      </c>
      <c r="B404" s="4" t="s">
        <v>22</v>
      </c>
      <c r="C404" s="4" t="s">
        <v>23</v>
      </c>
      <c r="D404" s="4" t="s">
        <v>24</v>
      </c>
      <c r="E404" s="4" t="s">
        <v>31</v>
      </c>
      <c r="F404" s="4" t="s">
        <v>25</v>
      </c>
      <c r="G404" s="4" t="s">
        <v>25</v>
      </c>
      <c r="H404" s="4" t="s">
        <v>25</v>
      </c>
      <c r="I404" s="5">
        <v>44531</v>
      </c>
      <c r="J404" s="6">
        <v>0</v>
      </c>
      <c r="K404" s="6">
        <v>0</v>
      </c>
      <c r="L404" s="6">
        <v>82.319000000000003</v>
      </c>
      <c r="M404" s="6">
        <v>82.319000000000003</v>
      </c>
      <c r="N404" s="6">
        <v>82.319000000000003</v>
      </c>
      <c r="O404" s="6">
        <v>82.319000000000003</v>
      </c>
      <c r="P404" s="6">
        <v>726</v>
      </c>
      <c r="Q404" s="4" t="s">
        <v>26</v>
      </c>
      <c r="R404" s="4">
        <v>0</v>
      </c>
      <c r="S404" s="4" t="s">
        <v>206</v>
      </c>
      <c r="T404" s="4" t="s">
        <v>367</v>
      </c>
      <c r="U404" s="4">
        <v>0</v>
      </c>
      <c r="V404" s="4">
        <v>37</v>
      </c>
      <c r="W404" s="4">
        <v>58</v>
      </c>
    </row>
    <row r="405" spans="1:23" ht="11.25" customHeight="1" x14ac:dyDescent="0.25">
      <c r="A405" s="4" t="s">
        <v>27</v>
      </c>
      <c r="B405" s="4" t="s">
        <v>22</v>
      </c>
      <c r="C405" s="4" t="s">
        <v>23</v>
      </c>
      <c r="D405" s="4" t="s">
        <v>24</v>
      </c>
      <c r="E405" s="4" t="s">
        <v>31</v>
      </c>
      <c r="F405" s="4" t="s">
        <v>25</v>
      </c>
      <c r="G405" s="4" t="s">
        <v>25</v>
      </c>
      <c r="H405" s="4" t="s">
        <v>25</v>
      </c>
      <c r="I405" s="5">
        <v>44531</v>
      </c>
      <c r="J405" s="6">
        <v>0</v>
      </c>
      <c r="K405" s="6">
        <v>0</v>
      </c>
      <c r="L405" s="6">
        <v>-5.8000000000000003E-2</v>
      </c>
      <c r="M405" s="6">
        <v>-5.8000000000000003E-2</v>
      </c>
      <c r="N405" s="6">
        <v>-5.8000000000000003E-2</v>
      </c>
      <c r="O405" s="6">
        <v>-5.8000000000000003E-2</v>
      </c>
      <c r="P405" s="6">
        <v>0</v>
      </c>
      <c r="Q405" s="4" t="s">
        <v>26</v>
      </c>
      <c r="R405" s="4">
        <v>0</v>
      </c>
      <c r="S405" s="4" t="s">
        <v>206</v>
      </c>
      <c r="T405" s="4" t="s">
        <v>367</v>
      </c>
      <c r="U405" s="4">
        <v>0</v>
      </c>
      <c r="V405" s="4">
        <v>37</v>
      </c>
      <c r="W405" s="4">
        <v>58</v>
      </c>
    </row>
    <row r="406" spans="1:23" ht="11.25" customHeight="1" x14ac:dyDescent="0.25">
      <c r="A406" s="4" t="s">
        <v>21</v>
      </c>
      <c r="B406" s="4" t="s">
        <v>22</v>
      </c>
      <c r="C406" s="4" t="s">
        <v>23</v>
      </c>
      <c r="D406" s="4" t="s">
        <v>24</v>
      </c>
      <c r="E406" s="4" t="s">
        <v>31</v>
      </c>
      <c r="F406" s="4" t="s">
        <v>25</v>
      </c>
      <c r="G406" s="4" t="s">
        <v>25</v>
      </c>
      <c r="H406" s="4" t="s">
        <v>25</v>
      </c>
      <c r="I406" s="5">
        <v>44562</v>
      </c>
      <c r="J406" s="6">
        <v>0</v>
      </c>
      <c r="K406" s="6">
        <v>0</v>
      </c>
      <c r="L406" s="6">
        <v>104.45399999999999</v>
      </c>
      <c r="M406" s="6">
        <v>104.45399999999999</v>
      </c>
      <c r="N406" s="6">
        <v>104.45399999999999</v>
      </c>
      <c r="O406" s="6">
        <v>104.45399999999999</v>
      </c>
      <c r="P406" s="6">
        <v>616</v>
      </c>
      <c r="Q406" s="4" t="s">
        <v>26</v>
      </c>
      <c r="R406" s="4">
        <v>0</v>
      </c>
      <c r="S406" s="4" t="s">
        <v>207</v>
      </c>
      <c r="T406" s="4" t="s">
        <v>368</v>
      </c>
      <c r="U406" s="4">
        <v>0</v>
      </c>
      <c r="V406" s="4">
        <v>37</v>
      </c>
      <c r="W406" s="4">
        <v>58</v>
      </c>
    </row>
    <row r="407" spans="1:23" ht="11.25" customHeight="1" x14ac:dyDescent="0.25">
      <c r="A407" s="4" t="s">
        <v>27</v>
      </c>
      <c r="B407" s="4" t="s">
        <v>22</v>
      </c>
      <c r="C407" s="4" t="s">
        <v>23</v>
      </c>
      <c r="D407" s="4" t="s">
        <v>24</v>
      </c>
      <c r="E407" s="4" t="s">
        <v>31</v>
      </c>
      <c r="F407" s="4" t="s">
        <v>25</v>
      </c>
      <c r="G407" s="4" t="s">
        <v>25</v>
      </c>
      <c r="H407" s="4" t="s">
        <v>25</v>
      </c>
      <c r="I407" s="5">
        <v>44562</v>
      </c>
      <c r="J407" s="6">
        <v>0</v>
      </c>
      <c r="K407" s="6">
        <v>0</v>
      </c>
      <c r="L407" s="6">
        <v>-0.12</v>
      </c>
      <c r="M407" s="6">
        <v>-0.12</v>
      </c>
      <c r="N407" s="6">
        <v>-0.12</v>
      </c>
      <c r="O407" s="6">
        <v>-0.12</v>
      </c>
      <c r="P407" s="6">
        <v>0</v>
      </c>
      <c r="Q407" s="4" t="s">
        <v>26</v>
      </c>
      <c r="R407" s="4">
        <v>0</v>
      </c>
      <c r="S407" s="4" t="s">
        <v>207</v>
      </c>
      <c r="T407" s="4" t="s">
        <v>368</v>
      </c>
      <c r="U407" s="4">
        <v>0</v>
      </c>
      <c r="V407" s="4">
        <v>37</v>
      </c>
      <c r="W407" s="4">
        <v>58</v>
      </c>
    </row>
    <row r="408" spans="1:23" ht="11.25" customHeight="1" x14ac:dyDescent="0.25">
      <c r="A408" s="4" t="s">
        <v>21</v>
      </c>
      <c r="B408" s="4" t="s">
        <v>22</v>
      </c>
      <c r="C408" s="4" t="s">
        <v>23</v>
      </c>
      <c r="D408" s="4" t="s">
        <v>24</v>
      </c>
      <c r="E408" s="4" t="s">
        <v>31</v>
      </c>
      <c r="F408" s="4" t="s">
        <v>25</v>
      </c>
      <c r="G408" s="4" t="s">
        <v>25</v>
      </c>
      <c r="H408" s="4" t="s">
        <v>25</v>
      </c>
      <c r="I408" s="5">
        <v>44593</v>
      </c>
      <c r="J408" s="6">
        <v>0</v>
      </c>
      <c r="K408" s="6">
        <v>0</v>
      </c>
      <c r="L408" s="6">
        <v>105.911</v>
      </c>
      <c r="M408" s="6">
        <v>105.911</v>
      </c>
      <c r="N408" s="6">
        <v>105.911</v>
      </c>
      <c r="O408" s="6">
        <v>105.911</v>
      </c>
      <c r="P408" s="6">
        <v>626</v>
      </c>
      <c r="Q408" s="4" t="s">
        <v>26</v>
      </c>
      <c r="R408" s="4">
        <v>0</v>
      </c>
      <c r="S408" s="4" t="s">
        <v>208</v>
      </c>
      <c r="T408" s="4" t="s">
        <v>369</v>
      </c>
      <c r="U408" s="4">
        <v>0</v>
      </c>
      <c r="V408" s="4">
        <v>37</v>
      </c>
      <c r="W408" s="4">
        <v>58</v>
      </c>
    </row>
    <row r="409" spans="1:23" ht="11.25" customHeight="1" x14ac:dyDescent="0.25">
      <c r="A409" s="4" t="s">
        <v>21</v>
      </c>
      <c r="B409" s="4" t="s">
        <v>22</v>
      </c>
      <c r="C409" s="4" t="s">
        <v>23</v>
      </c>
      <c r="D409" s="4" t="s">
        <v>24</v>
      </c>
      <c r="E409" s="4" t="s">
        <v>31</v>
      </c>
      <c r="F409" s="4" t="s">
        <v>25</v>
      </c>
      <c r="G409" s="4" t="s">
        <v>25</v>
      </c>
      <c r="H409" s="4" t="s">
        <v>25</v>
      </c>
      <c r="I409" s="5">
        <v>44621</v>
      </c>
      <c r="J409" s="6">
        <v>0</v>
      </c>
      <c r="K409" s="6">
        <v>0</v>
      </c>
      <c r="L409" s="6">
        <v>103.733</v>
      </c>
      <c r="M409" s="6">
        <v>103.733</v>
      </c>
      <c r="N409" s="6">
        <v>103.733</v>
      </c>
      <c r="O409" s="6">
        <v>103.733</v>
      </c>
      <c r="P409" s="6">
        <v>682</v>
      </c>
      <c r="Q409" s="4" t="s">
        <v>26</v>
      </c>
      <c r="R409" s="4">
        <v>0</v>
      </c>
      <c r="S409" s="4" t="s">
        <v>209</v>
      </c>
      <c r="T409" s="4" t="s">
        <v>370</v>
      </c>
      <c r="U409" s="4">
        <v>0</v>
      </c>
      <c r="V409" s="4">
        <v>37</v>
      </c>
      <c r="W409" s="4">
        <v>58</v>
      </c>
    </row>
    <row r="410" spans="1:23" ht="11.25" customHeight="1" x14ac:dyDescent="0.25">
      <c r="A410" s="4" t="s">
        <v>27</v>
      </c>
      <c r="B410" s="4" t="s">
        <v>22</v>
      </c>
      <c r="C410" s="4" t="s">
        <v>23</v>
      </c>
      <c r="D410" s="4" t="s">
        <v>24</v>
      </c>
      <c r="E410" s="4" t="s">
        <v>31</v>
      </c>
      <c r="F410" s="4" t="s">
        <v>25</v>
      </c>
      <c r="G410" s="4" t="s">
        <v>25</v>
      </c>
      <c r="H410" s="4" t="s">
        <v>25</v>
      </c>
      <c r="I410" s="5">
        <v>44621</v>
      </c>
      <c r="J410" s="6">
        <v>0</v>
      </c>
      <c r="K410" s="6">
        <v>0</v>
      </c>
      <c r="L410" s="6">
        <v>-4.3999999999999997E-2</v>
      </c>
      <c r="M410" s="6">
        <v>-4.3999999999999997E-2</v>
      </c>
      <c r="N410" s="6">
        <v>-4.3999999999999997E-2</v>
      </c>
      <c r="O410" s="6">
        <v>-4.3999999999999997E-2</v>
      </c>
      <c r="P410" s="6">
        <v>0</v>
      </c>
      <c r="Q410" s="4" t="s">
        <v>26</v>
      </c>
      <c r="R410" s="4">
        <v>0</v>
      </c>
      <c r="S410" s="4" t="s">
        <v>209</v>
      </c>
      <c r="T410" s="4" t="s">
        <v>370</v>
      </c>
      <c r="U410" s="4">
        <v>0</v>
      </c>
      <c r="V410" s="4">
        <v>37</v>
      </c>
      <c r="W410" s="4">
        <v>58</v>
      </c>
    </row>
    <row r="411" spans="1:23" ht="11.25" customHeight="1" x14ac:dyDescent="0.25">
      <c r="A411" s="4" t="s">
        <v>21</v>
      </c>
      <c r="B411" s="4" t="s">
        <v>22</v>
      </c>
      <c r="C411" s="4" t="s">
        <v>23</v>
      </c>
      <c r="D411" s="4" t="s">
        <v>24</v>
      </c>
      <c r="E411" s="4" t="s">
        <v>31</v>
      </c>
      <c r="F411" s="4" t="s">
        <v>25</v>
      </c>
      <c r="G411" s="4" t="s">
        <v>25</v>
      </c>
      <c r="H411" s="4" t="s">
        <v>25</v>
      </c>
      <c r="I411" s="5">
        <v>44652</v>
      </c>
      <c r="J411" s="6">
        <v>0</v>
      </c>
      <c r="K411" s="6">
        <v>0</v>
      </c>
      <c r="L411" s="6">
        <v>101.02200000000001</v>
      </c>
      <c r="M411" s="6">
        <v>101.02200000000001</v>
      </c>
      <c r="N411" s="6">
        <v>101.02200000000001</v>
      </c>
      <c r="O411" s="6">
        <v>101.02200000000001</v>
      </c>
      <c r="P411" s="6">
        <v>726</v>
      </c>
      <c r="Q411" s="4" t="s">
        <v>26</v>
      </c>
      <c r="R411" s="4">
        <v>0</v>
      </c>
      <c r="S411" s="4" t="s">
        <v>210</v>
      </c>
      <c r="T411" s="4" t="s">
        <v>371</v>
      </c>
      <c r="U411" s="4">
        <v>0</v>
      </c>
      <c r="V411" s="4">
        <v>37</v>
      </c>
      <c r="W411" s="4">
        <v>58</v>
      </c>
    </row>
    <row r="412" spans="1:23" ht="11.25" customHeight="1" x14ac:dyDescent="0.25">
      <c r="A412" s="4" t="s">
        <v>27</v>
      </c>
      <c r="B412" s="4" t="s">
        <v>22</v>
      </c>
      <c r="C412" s="4" t="s">
        <v>23</v>
      </c>
      <c r="D412" s="4" t="s">
        <v>24</v>
      </c>
      <c r="E412" s="4" t="s">
        <v>31</v>
      </c>
      <c r="F412" s="4" t="s">
        <v>25</v>
      </c>
      <c r="G412" s="4" t="s">
        <v>25</v>
      </c>
      <c r="H412" s="4" t="s">
        <v>25</v>
      </c>
      <c r="I412" s="5">
        <v>44652</v>
      </c>
      <c r="J412" s="6">
        <v>0</v>
      </c>
      <c r="K412" s="6">
        <v>0</v>
      </c>
      <c r="L412" s="6">
        <v>5.8999999999999997E-2</v>
      </c>
      <c r="M412" s="6">
        <v>5.8999999999999997E-2</v>
      </c>
      <c r="N412" s="6">
        <v>5.8999999999999997E-2</v>
      </c>
      <c r="O412" s="6">
        <v>5.8999999999999997E-2</v>
      </c>
      <c r="P412" s="6">
        <v>0</v>
      </c>
      <c r="Q412" s="4" t="s">
        <v>26</v>
      </c>
      <c r="R412" s="4">
        <v>0</v>
      </c>
      <c r="S412" s="4" t="s">
        <v>210</v>
      </c>
      <c r="T412" s="4" t="s">
        <v>371</v>
      </c>
      <c r="U412" s="4">
        <v>0</v>
      </c>
      <c r="V412" s="4">
        <v>37</v>
      </c>
      <c r="W412" s="4">
        <v>58</v>
      </c>
    </row>
    <row r="413" spans="1:23" ht="11.25" customHeight="1" x14ac:dyDescent="0.25">
      <c r="A413" s="4" t="s">
        <v>21</v>
      </c>
      <c r="B413" s="4" t="s">
        <v>22</v>
      </c>
      <c r="C413" s="4" t="s">
        <v>23</v>
      </c>
      <c r="D413" s="4" t="s">
        <v>24</v>
      </c>
      <c r="E413" s="4" t="s">
        <v>31</v>
      </c>
      <c r="F413" s="4" t="s">
        <v>25</v>
      </c>
      <c r="G413" s="4" t="s">
        <v>25</v>
      </c>
      <c r="H413" s="4" t="s">
        <v>25</v>
      </c>
      <c r="I413" s="5">
        <v>44682</v>
      </c>
      <c r="J413" s="6">
        <v>0</v>
      </c>
      <c r="K413" s="6">
        <v>0</v>
      </c>
      <c r="L413" s="6">
        <v>91.027000000000001</v>
      </c>
      <c r="M413" s="6">
        <v>91.027000000000001</v>
      </c>
      <c r="N413" s="6">
        <v>91.027000000000001</v>
      </c>
      <c r="O413" s="6">
        <v>91.027000000000001</v>
      </c>
      <c r="P413" s="6">
        <v>817</v>
      </c>
      <c r="Q413" s="4" t="s">
        <v>26</v>
      </c>
      <c r="R413" s="4">
        <v>0</v>
      </c>
      <c r="S413" s="4" t="s">
        <v>211</v>
      </c>
      <c r="T413" s="4" t="s">
        <v>372</v>
      </c>
      <c r="U413" s="4">
        <v>0</v>
      </c>
      <c r="V413" s="4">
        <v>37</v>
      </c>
      <c r="W413" s="4">
        <v>58</v>
      </c>
    </row>
    <row r="414" spans="1:23" ht="11.25" customHeight="1" x14ac:dyDescent="0.25">
      <c r="A414" s="4" t="s">
        <v>21</v>
      </c>
      <c r="B414" s="4" t="s">
        <v>22</v>
      </c>
      <c r="C414" s="4" t="s">
        <v>23</v>
      </c>
      <c r="D414" s="4" t="s">
        <v>24</v>
      </c>
      <c r="E414" s="4" t="s">
        <v>31</v>
      </c>
      <c r="F414" s="4" t="s">
        <v>25</v>
      </c>
      <c r="G414" s="4" t="s">
        <v>25</v>
      </c>
      <c r="H414" s="4" t="s">
        <v>25</v>
      </c>
      <c r="I414" s="5">
        <v>44713</v>
      </c>
      <c r="J414" s="6">
        <v>0</v>
      </c>
      <c r="K414" s="6">
        <v>0</v>
      </c>
      <c r="L414" s="6">
        <v>99.652000000000001</v>
      </c>
      <c r="M414" s="6">
        <v>99.652000000000001</v>
      </c>
      <c r="N414" s="6">
        <v>99.652000000000001</v>
      </c>
      <c r="O414" s="6">
        <v>99.652000000000001</v>
      </c>
      <c r="P414" s="6">
        <v>825</v>
      </c>
      <c r="Q414" s="4" t="s">
        <v>26</v>
      </c>
      <c r="R414" s="4">
        <v>0</v>
      </c>
      <c r="S414" s="4" t="s">
        <v>212</v>
      </c>
      <c r="T414" s="4" t="s">
        <v>373</v>
      </c>
      <c r="U414" s="4">
        <v>0</v>
      </c>
      <c r="V414" s="4">
        <v>37</v>
      </c>
      <c r="W414" s="4">
        <v>58</v>
      </c>
    </row>
    <row r="415" spans="1:23" ht="11.25" customHeight="1" x14ac:dyDescent="0.25">
      <c r="A415" s="4" t="s">
        <v>55</v>
      </c>
      <c r="B415" s="4" t="s">
        <v>22</v>
      </c>
      <c r="C415" s="4" t="s">
        <v>23</v>
      </c>
      <c r="D415" s="4" t="s">
        <v>24</v>
      </c>
      <c r="E415" s="4" t="s">
        <v>31</v>
      </c>
      <c r="F415" s="4" t="s">
        <v>25</v>
      </c>
      <c r="G415" s="4" t="s">
        <v>25</v>
      </c>
      <c r="H415" s="4" t="s">
        <v>25</v>
      </c>
      <c r="I415" s="5">
        <v>44743</v>
      </c>
      <c r="J415" s="6">
        <v>0</v>
      </c>
      <c r="K415" s="6">
        <v>0</v>
      </c>
      <c r="L415" s="6">
        <v>99.652000000000001</v>
      </c>
      <c r="M415" s="6">
        <v>99.652000000000001</v>
      </c>
      <c r="N415" s="6">
        <v>99.652000000000001</v>
      </c>
      <c r="O415" s="6">
        <v>99.652000000000001</v>
      </c>
      <c r="P415" s="6">
        <v>825</v>
      </c>
      <c r="Q415" s="4" t="s">
        <v>26</v>
      </c>
      <c r="R415" s="4">
        <v>0</v>
      </c>
      <c r="S415" s="4" t="s">
        <v>213</v>
      </c>
      <c r="T415" s="4" t="s">
        <v>374</v>
      </c>
      <c r="U415" s="4">
        <v>0</v>
      </c>
      <c r="V415" s="4">
        <v>37</v>
      </c>
      <c r="W415" s="4">
        <v>58</v>
      </c>
    </row>
    <row r="416" spans="1:23" ht="11.25" customHeight="1" x14ac:dyDescent="0.25">
      <c r="A416" s="4" t="s">
        <v>21</v>
      </c>
      <c r="B416" s="4" t="s">
        <v>22</v>
      </c>
      <c r="C416" s="4" t="s">
        <v>23</v>
      </c>
      <c r="D416" s="4" t="s">
        <v>24</v>
      </c>
      <c r="E416" s="4" t="s">
        <v>32</v>
      </c>
      <c r="F416" s="4" t="s">
        <v>25</v>
      </c>
      <c r="G416" s="4" t="s">
        <v>25</v>
      </c>
      <c r="H416" s="4" t="s">
        <v>25</v>
      </c>
      <c r="I416" s="5">
        <v>44409</v>
      </c>
      <c r="J416" s="6">
        <v>0</v>
      </c>
      <c r="K416" s="6">
        <v>0</v>
      </c>
      <c r="L416" s="6">
        <v>25.678999999999998</v>
      </c>
      <c r="M416" s="6">
        <v>25.678999999999998</v>
      </c>
      <c r="N416" s="6">
        <v>25.678999999999998</v>
      </c>
      <c r="O416" s="6">
        <v>25.678999999999998</v>
      </c>
      <c r="P416" s="6">
        <v>322</v>
      </c>
      <c r="Q416" s="4" t="s">
        <v>26</v>
      </c>
      <c r="R416" s="4">
        <v>0</v>
      </c>
      <c r="S416" s="4" t="s">
        <v>214</v>
      </c>
      <c r="T416" s="4" t="s">
        <v>375</v>
      </c>
      <c r="U416" s="4">
        <v>0</v>
      </c>
      <c r="V416" s="4">
        <v>6</v>
      </c>
      <c r="W416" s="4">
        <v>34</v>
      </c>
    </row>
    <row r="417" spans="1:23" ht="11.25" customHeight="1" x14ac:dyDescent="0.25">
      <c r="A417" s="4" t="s">
        <v>27</v>
      </c>
      <c r="B417" s="4" t="s">
        <v>22</v>
      </c>
      <c r="C417" s="4" t="s">
        <v>23</v>
      </c>
      <c r="D417" s="4" t="s">
        <v>24</v>
      </c>
      <c r="E417" s="4" t="s">
        <v>32</v>
      </c>
      <c r="F417" s="4" t="s">
        <v>25</v>
      </c>
      <c r="G417" s="4" t="s">
        <v>25</v>
      </c>
      <c r="H417" s="4" t="s">
        <v>25</v>
      </c>
      <c r="I417" s="5">
        <v>44409</v>
      </c>
      <c r="J417" s="6">
        <v>0</v>
      </c>
      <c r="K417" s="6">
        <v>0</v>
      </c>
      <c r="L417" s="6">
        <v>-0.13300000000000001</v>
      </c>
      <c r="M417" s="6">
        <v>-0.13300000000000001</v>
      </c>
      <c r="N417" s="6">
        <v>-0.13300000000000001</v>
      </c>
      <c r="O417" s="6">
        <v>-0.13300000000000001</v>
      </c>
      <c r="P417" s="6">
        <v>0</v>
      </c>
      <c r="Q417" s="4" t="s">
        <v>26</v>
      </c>
      <c r="R417" s="4">
        <v>0</v>
      </c>
      <c r="S417" s="4" t="s">
        <v>214</v>
      </c>
      <c r="T417" s="4" t="s">
        <v>375</v>
      </c>
      <c r="U417" s="4">
        <v>0</v>
      </c>
      <c r="V417" s="4">
        <v>6</v>
      </c>
      <c r="W417" s="4">
        <v>34</v>
      </c>
    </row>
    <row r="418" spans="1:23" ht="11.25" customHeight="1" x14ac:dyDescent="0.25">
      <c r="A418" s="4" t="s">
        <v>21</v>
      </c>
      <c r="B418" s="4" t="s">
        <v>22</v>
      </c>
      <c r="C418" s="4" t="s">
        <v>23</v>
      </c>
      <c r="D418" s="4" t="s">
        <v>24</v>
      </c>
      <c r="E418" s="4" t="s">
        <v>32</v>
      </c>
      <c r="F418" s="4" t="s">
        <v>25</v>
      </c>
      <c r="G418" s="4" t="s">
        <v>25</v>
      </c>
      <c r="H418" s="4" t="s">
        <v>25</v>
      </c>
      <c r="I418" s="5">
        <v>44440</v>
      </c>
      <c r="J418" s="6">
        <v>0</v>
      </c>
      <c r="K418" s="6">
        <v>0</v>
      </c>
      <c r="L418" s="6">
        <v>33.174999999999997</v>
      </c>
      <c r="M418" s="6">
        <v>33.174999999999997</v>
      </c>
      <c r="N418" s="6">
        <v>33.174999999999997</v>
      </c>
      <c r="O418" s="6">
        <v>33.174999999999997</v>
      </c>
      <c r="P418" s="6">
        <v>390</v>
      </c>
      <c r="Q418" s="4" t="s">
        <v>26</v>
      </c>
      <c r="R418" s="4">
        <v>0</v>
      </c>
      <c r="S418" s="4" t="s">
        <v>215</v>
      </c>
      <c r="T418" s="4" t="s">
        <v>376</v>
      </c>
      <c r="U418" s="4">
        <v>0</v>
      </c>
      <c r="V418" s="4">
        <v>6</v>
      </c>
      <c r="W418" s="4">
        <v>34</v>
      </c>
    </row>
    <row r="419" spans="1:23" ht="11.25" customHeight="1" x14ac:dyDescent="0.25">
      <c r="A419" s="4" t="s">
        <v>27</v>
      </c>
      <c r="B419" s="4" t="s">
        <v>22</v>
      </c>
      <c r="C419" s="4" t="s">
        <v>23</v>
      </c>
      <c r="D419" s="4" t="s">
        <v>24</v>
      </c>
      <c r="E419" s="4" t="s">
        <v>32</v>
      </c>
      <c r="F419" s="4" t="s">
        <v>25</v>
      </c>
      <c r="G419" s="4" t="s">
        <v>25</v>
      </c>
      <c r="H419" s="4" t="s">
        <v>25</v>
      </c>
      <c r="I419" s="5">
        <v>44440</v>
      </c>
      <c r="J419" s="6">
        <v>0</v>
      </c>
      <c r="K419" s="6">
        <v>0</v>
      </c>
      <c r="L419" s="6">
        <v>-0.115</v>
      </c>
      <c r="M419" s="6">
        <v>-0.115</v>
      </c>
      <c r="N419" s="6">
        <v>-0.115</v>
      </c>
      <c r="O419" s="6">
        <v>-0.115</v>
      </c>
      <c r="P419" s="6">
        <v>0</v>
      </c>
      <c r="Q419" s="4" t="s">
        <v>26</v>
      </c>
      <c r="R419" s="4">
        <v>0</v>
      </c>
      <c r="S419" s="4" t="s">
        <v>215</v>
      </c>
      <c r="T419" s="4" t="s">
        <v>376</v>
      </c>
      <c r="U419" s="4">
        <v>0</v>
      </c>
      <c r="V419" s="4">
        <v>6</v>
      </c>
      <c r="W419" s="4">
        <v>34</v>
      </c>
    </row>
    <row r="420" spans="1:23" ht="11.25" customHeight="1" x14ac:dyDescent="0.25">
      <c r="A420" s="4" t="s">
        <v>21</v>
      </c>
      <c r="B420" s="4" t="s">
        <v>22</v>
      </c>
      <c r="C420" s="4" t="s">
        <v>23</v>
      </c>
      <c r="D420" s="4" t="s">
        <v>24</v>
      </c>
      <c r="E420" s="4" t="s">
        <v>32</v>
      </c>
      <c r="F420" s="4" t="s">
        <v>25</v>
      </c>
      <c r="G420" s="4" t="s">
        <v>25</v>
      </c>
      <c r="H420" s="4" t="s">
        <v>25</v>
      </c>
      <c r="I420" s="5">
        <v>44470</v>
      </c>
      <c r="J420" s="6">
        <v>0</v>
      </c>
      <c r="K420" s="6">
        <v>0</v>
      </c>
      <c r="L420" s="6">
        <v>25.416</v>
      </c>
      <c r="M420" s="6">
        <v>25.416</v>
      </c>
      <c r="N420" s="6">
        <v>25.416</v>
      </c>
      <c r="O420" s="6">
        <v>25.416</v>
      </c>
      <c r="P420" s="6">
        <v>317</v>
      </c>
      <c r="Q420" s="4" t="s">
        <v>26</v>
      </c>
      <c r="R420" s="4">
        <v>0</v>
      </c>
      <c r="S420" s="4" t="s">
        <v>216</v>
      </c>
      <c r="T420" s="4" t="s">
        <v>377</v>
      </c>
      <c r="U420" s="4">
        <v>0</v>
      </c>
      <c r="V420" s="4">
        <v>6</v>
      </c>
      <c r="W420" s="4">
        <v>34</v>
      </c>
    </row>
    <row r="421" spans="1:23" ht="11.25" customHeight="1" x14ac:dyDescent="0.25">
      <c r="A421" s="4" t="s">
        <v>27</v>
      </c>
      <c r="B421" s="4" t="s">
        <v>22</v>
      </c>
      <c r="C421" s="4" t="s">
        <v>23</v>
      </c>
      <c r="D421" s="4" t="s">
        <v>24</v>
      </c>
      <c r="E421" s="4" t="s">
        <v>32</v>
      </c>
      <c r="F421" s="4" t="s">
        <v>25</v>
      </c>
      <c r="G421" s="4" t="s">
        <v>25</v>
      </c>
      <c r="H421" s="4" t="s">
        <v>25</v>
      </c>
      <c r="I421" s="5">
        <v>44470</v>
      </c>
      <c r="J421" s="6">
        <v>0</v>
      </c>
      <c r="K421" s="6">
        <v>0</v>
      </c>
      <c r="L421" s="6">
        <v>-0.16500000000000001</v>
      </c>
      <c r="M421" s="6">
        <v>-0.16500000000000001</v>
      </c>
      <c r="N421" s="6">
        <v>-0.16500000000000001</v>
      </c>
      <c r="O421" s="6">
        <v>-0.16500000000000001</v>
      </c>
      <c r="P421" s="6">
        <v>0</v>
      </c>
      <c r="Q421" s="4" t="s">
        <v>26</v>
      </c>
      <c r="R421" s="4">
        <v>0</v>
      </c>
      <c r="S421" s="4" t="s">
        <v>216</v>
      </c>
      <c r="T421" s="4" t="s">
        <v>377</v>
      </c>
      <c r="U421" s="4">
        <v>0</v>
      </c>
      <c r="V421" s="4">
        <v>6</v>
      </c>
      <c r="W421" s="4">
        <v>34</v>
      </c>
    </row>
    <row r="422" spans="1:23" ht="11.25" customHeight="1" x14ac:dyDescent="0.25">
      <c r="A422" s="4" t="s">
        <v>21</v>
      </c>
      <c r="B422" s="4" t="s">
        <v>22</v>
      </c>
      <c r="C422" s="4" t="s">
        <v>23</v>
      </c>
      <c r="D422" s="4" t="s">
        <v>24</v>
      </c>
      <c r="E422" s="4" t="s">
        <v>32</v>
      </c>
      <c r="F422" s="4" t="s">
        <v>25</v>
      </c>
      <c r="G422" s="4" t="s">
        <v>25</v>
      </c>
      <c r="H422" s="4" t="s">
        <v>25</v>
      </c>
      <c r="I422" s="5">
        <v>44501</v>
      </c>
      <c r="J422" s="6">
        <v>0</v>
      </c>
      <c r="K422" s="6">
        <v>0</v>
      </c>
      <c r="L422" s="6">
        <v>25.062000000000001</v>
      </c>
      <c r="M422" s="6">
        <v>25.062000000000001</v>
      </c>
      <c r="N422" s="6">
        <v>25.062000000000001</v>
      </c>
      <c r="O422" s="6">
        <v>25.062000000000001</v>
      </c>
      <c r="P422" s="6">
        <v>349</v>
      </c>
      <c r="Q422" s="4" t="s">
        <v>26</v>
      </c>
      <c r="R422" s="4">
        <v>0</v>
      </c>
      <c r="S422" s="4" t="s">
        <v>217</v>
      </c>
      <c r="T422" s="4" t="s">
        <v>378</v>
      </c>
      <c r="U422" s="4">
        <v>0</v>
      </c>
      <c r="V422" s="4">
        <v>6</v>
      </c>
      <c r="W422" s="4">
        <v>34</v>
      </c>
    </row>
    <row r="423" spans="1:23" ht="11.25" customHeight="1" x14ac:dyDescent="0.25">
      <c r="A423" s="4" t="s">
        <v>27</v>
      </c>
      <c r="B423" s="4" t="s">
        <v>22</v>
      </c>
      <c r="C423" s="4" t="s">
        <v>23</v>
      </c>
      <c r="D423" s="4" t="s">
        <v>24</v>
      </c>
      <c r="E423" s="4" t="s">
        <v>32</v>
      </c>
      <c r="F423" s="4" t="s">
        <v>25</v>
      </c>
      <c r="G423" s="4" t="s">
        <v>25</v>
      </c>
      <c r="H423" s="4" t="s">
        <v>25</v>
      </c>
      <c r="I423" s="5">
        <v>44501</v>
      </c>
      <c r="J423" s="6">
        <v>0</v>
      </c>
      <c r="K423" s="6">
        <v>0</v>
      </c>
      <c r="L423" s="6">
        <v>-8.8999999999999996E-2</v>
      </c>
      <c r="M423" s="6">
        <v>-8.8999999999999996E-2</v>
      </c>
      <c r="N423" s="6">
        <v>-8.8999999999999996E-2</v>
      </c>
      <c r="O423" s="6">
        <v>-8.8999999999999996E-2</v>
      </c>
      <c r="P423" s="6">
        <v>0</v>
      </c>
      <c r="Q423" s="4" t="s">
        <v>26</v>
      </c>
      <c r="R423" s="4">
        <v>0</v>
      </c>
      <c r="S423" s="4" t="s">
        <v>217</v>
      </c>
      <c r="T423" s="4" t="s">
        <v>378</v>
      </c>
      <c r="U423" s="4">
        <v>0</v>
      </c>
      <c r="V423" s="4">
        <v>6</v>
      </c>
      <c r="W423" s="4">
        <v>34</v>
      </c>
    </row>
    <row r="424" spans="1:23" ht="11.25" customHeight="1" x14ac:dyDescent="0.25">
      <c r="A424" s="4" t="s">
        <v>21</v>
      </c>
      <c r="B424" s="4" t="s">
        <v>22</v>
      </c>
      <c r="C424" s="4" t="s">
        <v>23</v>
      </c>
      <c r="D424" s="4" t="s">
        <v>24</v>
      </c>
      <c r="E424" s="4" t="s">
        <v>32</v>
      </c>
      <c r="F424" s="4" t="s">
        <v>25</v>
      </c>
      <c r="G424" s="4" t="s">
        <v>25</v>
      </c>
      <c r="H424" s="4" t="s">
        <v>25</v>
      </c>
      <c r="I424" s="5">
        <v>44531</v>
      </c>
      <c r="J424" s="6">
        <v>0</v>
      </c>
      <c r="K424" s="6">
        <v>0</v>
      </c>
      <c r="L424" s="6">
        <v>24.013999999999999</v>
      </c>
      <c r="M424" s="6">
        <v>24.013999999999999</v>
      </c>
      <c r="N424" s="6">
        <v>24.013999999999999</v>
      </c>
      <c r="O424" s="6">
        <v>24.013999999999999</v>
      </c>
      <c r="P424" s="6">
        <v>339</v>
      </c>
      <c r="Q424" s="4" t="s">
        <v>26</v>
      </c>
      <c r="R424" s="4">
        <v>0</v>
      </c>
      <c r="S424" s="4" t="s">
        <v>218</v>
      </c>
      <c r="T424" s="4" t="s">
        <v>379</v>
      </c>
      <c r="U424" s="4">
        <v>0</v>
      </c>
      <c r="V424" s="4">
        <v>6</v>
      </c>
      <c r="W424" s="4">
        <v>34</v>
      </c>
    </row>
    <row r="425" spans="1:23" ht="11.25" customHeight="1" x14ac:dyDescent="0.25">
      <c r="A425" s="4" t="s">
        <v>27</v>
      </c>
      <c r="B425" s="4" t="s">
        <v>22</v>
      </c>
      <c r="C425" s="4" t="s">
        <v>23</v>
      </c>
      <c r="D425" s="4" t="s">
        <v>24</v>
      </c>
      <c r="E425" s="4" t="s">
        <v>32</v>
      </c>
      <c r="F425" s="4" t="s">
        <v>25</v>
      </c>
      <c r="G425" s="4" t="s">
        <v>25</v>
      </c>
      <c r="H425" s="4" t="s">
        <v>25</v>
      </c>
      <c r="I425" s="5">
        <v>44531</v>
      </c>
      <c r="J425" s="6">
        <v>0</v>
      </c>
      <c r="K425" s="6">
        <v>0</v>
      </c>
      <c r="L425" s="6">
        <v>-2.3E-2</v>
      </c>
      <c r="M425" s="6">
        <v>-2.3E-2</v>
      </c>
      <c r="N425" s="6">
        <v>-2.3E-2</v>
      </c>
      <c r="O425" s="6">
        <v>-2.3E-2</v>
      </c>
      <c r="P425" s="6">
        <v>0</v>
      </c>
      <c r="Q425" s="4" t="s">
        <v>26</v>
      </c>
      <c r="R425" s="4">
        <v>0</v>
      </c>
      <c r="S425" s="4" t="s">
        <v>218</v>
      </c>
      <c r="T425" s="4" t="s">
        <v>379</v>
      </c>
      <c r="U425" s="4">
        <v>0</v>
      </c>
      <c r="V425" s="4">
        <v>6</v>
      </c>
      <c r="W425" s="4">
        <v>34</v>
      </c>
    </row>
    <row r="426" spans="1:23" ht="11.25" customHeight="1" x14ac:dyDescent="0.25">
      <c r="A426" s="4" t="s">
        <v>21</v>
      </c>
      <c r="B426" s="4" t="s">
        <v>22</v>
      </c>
      <c r="C426" s="4" t="s">
        <v>23</v>
      </c>
      <c r="D426" s="4" t="s">
        <v>24</v>
      </c>
      <c r="E426" s="4" t="s">
        <v>32</v>
      </c>
      <c r="F426" s="4" t="s">
        <v>25</v>
      </c>
      <c r="G426" s="4" t="s">
        <v>25</v>
      </c>
      <c r="H426" s="4" t="s">
        <v>25</v>
      </c>
      <c r="I426" s="5">
        <v>44562</v>
      </c>
      <c r="J426" s="6">
        <v>0</v>
      </c>
      <c r="K426" s="6">
        <v>0</v>
      </c>
      <c r="L426" s="6">
        <v>54.155000000000001</v>
      </c>
      <c r="M426" s="6">
        <v>54.155000000000001</v>
      </c>
      <c r="N426" s="6">
        <v>54.155000000000001</v>
      </c>
      <c r="O426" s="6">
        <v>54.155000000000001</v>
      </c>
      <c r="P426" s="6">
        <v>552</v>
      </c>
      <c r="Q426" s="4" t="s">
        <v>26</v>
      </c>
      <c r="R426" s="4">
        <v>0</v>
      </c>
      <c r="S426" s="4" t="s">
        <v>219</v>
      </c>
      <c r="T426" s="4" t="s">
        <v>380</v>
      </c>
      <c r="U426" s="4">
        <v>0</v>
      </c>
      <c r="V426" s="4">
        <v>6</v>
      </c>
      <c r="W426" s="4">
        <v>34</v>
      </c>
    </row>
    <row r="427" spans="1:23" ht="11.25" customHeight="1" x14ac:dyDescent="0.25">
      <c r="A427" s="4" t="s">
        <v>27</v>
      </c>
      <c r="B427" s="4" t="s">
        <v>22</v>
      </c>
      <c r="C427" s="4" t="s">
        <v>23</v>
      </c>
      <c r="D427" s="4" t="s">
        <v>24</v>
      </c>
      <c r="E427" s="4" t="s">
        <v>32</v>
      </c>
      <c r="F427" s="4" t="s">
        <v>25</v>
      </c>
      <c r="G427" s="4" t="s">
        <v>25</v>
      </c>
      <c r="H427" s="4" t="s">
        <v>25</v>
      </c>
      <c r="I427" s="5">
        <v>44562</v>
      </c>
      <c r="J427" s="6">
        <v>0</v>
      </c>
      <c r="K427" s="6">
        <v>0</v>
      </c>
      <c r="L427" s="6">
        <v>-0.01</v>
      </c>
      <c r="M427" s="6">
        <v>-0.01</v>
      </c>
      <c r="N427" s="6">
        <v>-0.01</v>
      </c>
      <c r="O427" s="6">
        <v>-0.01</v>
      </c>
      <c r="P427" s="6">
        <v>0</v>
      </c>
      <c r="Q427" s="4" t="s">
        <v>26</v>
      </c>
      <c r="R427" s="4">
        <v>0</v>
      </c>
      <c r="S427" s="4" t="s">
        <v>219</v>
      </c>
      <c r="T427" s="4" t="s">
        <v>380</v>
      </c>
      <c r="U427" s="4">
        <v>0</v>
      </c>
      <c r="V427" s="4">
        <v>6</v>
      </c>
      <c r="W427" s="4">
        <v>34</v>
      </c>
    </row>
    <row r="428" spans="1:23" ht="11.25" customHeight="1" x14ac:dyDescent="0.25">
      <c r="A428" s="4" t="s">
        <v>21</v>
      </c>
      <c r="B428" s="4" t="s">
        <v>22</v>
      </c>
      <c r="C428" s="4" t="s">
        <v>23</v>
      </c>
      <c r="D428" s="4" t="s">
        <v>24</v>
      </c>
      <c r="E428" s="4" t="s">
        <v>32</v>
      </c>
      <c r="F428" s="4" t="s">
        <v>25</v>
      </c>
      <c r="G428" s="4" t="s">
        <v>25</v>
      </c>
      <c r="H428" s="4" t="s">
        <v>25</v>
      </c>
      <c r="I428" s="5">
        <v>44593</v>
      </c>
      <c r="J428" s="6">
        <v>0</v>
      </c>
      <c r="K428" s="6">
        <v>0</v>
      </c>
      <c r="L428" s="6">
        <v>63.542000000000002</v>
      </c>
      <c r="M428" s="6">
        <v>63.542000000000002</v>
      </c>
      <c r="N428" s="6">
        <v>63.542000000000002</v>
      </c>
      <c r="O428" s="6">
        <v>63.542000000000002</v>
      </c>
      <c r="P428" s="6">
        <v>567</v>
      </c>
      <c r="Q428" s="4" t="s">
        <v>26</v>
      </c>
      <c r="R428" s="4">
        <v>0</v>
      </c>
      <c r="S428" s="4" t="s">
        <v>220</v>
      </c>
      <c r="T428" s="4" t="s">
        <v>381</v>
      </c>
      <c r="U428" s="4">
        <v>0</v>
      </c>
      <c r="V428" s="4">
        <v>6</v>
      </c>
      <c r="W428" s="4">
        <v>34</v>
      </c>
    </row>
    <row r="429" spans="1:23" ht="11.25" customHeight="1" x14ac:dyDescent="0.25">
      <c r="A429" s="4" t="s">
        <v>21</v>
      </c>
      <c r="B429" s="4" t="s">
        <v>22</v>
      </c>
      <c r="C429" s="4" t="s">
        <v>23</v>
      </c>
      <c r="D429" s="4" t="s">
        <v>24</v>
      </c>
      <c r="E429" s="4" t="s">
        <v>32</v>
      </c>
      <c r="F429" s="4" t="s">
        <v>25</v>
      </c>
      <c r="G429" s="4" t="s">
        <v>25</v>
      </c>
      <c r="H429" s="4" t="s">
        <v>25</v>
      </c>
      <c r="I429" s="5">
        <v>44621</v>
      </c>
      <c r="J429" s="6">
        <v>0</v>
      </c>
      <c r="K429" s="6">
        <v>0</v>
      </c>
      <c r="L429" s="6">
        <v>56.566000000000003</v>
      </c>
      <c r="M429" s="6">
        <v>56.566000000000003</v>
      </c>
      <c r="N429" s="6">
        <v>56.566000000000003</v>
      </c>
      <c r="O429" s="6">
        <v>56.566000000000003</v>
      </c>
      <c r="P429" s="6">
        <v>517</v>
      </c>
      <c r="Q429" s="4" t="s">
        <v>26</v>
      </c>
      <c r="R429" s="4">
        <v>0</v>
      </c>
      <c r="S429" s="4" t="s">
        <v>221</v>
      </c>
      <c r="T429" s="4" t="s">
        <v>382</v>
      </c>
      <c r="U429" s="4">
        <v>0</v>
      </c>
      <c r="V429" s="4">
        <v>6</v>
      </c>
      <c r="W429" s="4">
        <v>34</v>
      </c>
    </row>
    <row r="430" spans="1:23" ht="11.25" customHeight="1" x14ac:dyDescent="0.25">
      <c r="A430" s="4" t="s">
        <v>27</v>
      </c>
      <c r="B430" s="4" t="s">
        <v>22</v>
      </c>
      <c r="C430" s="4" t="s">
        <v>23</v>
      </c>
      <c r="D430" s="4" t="s">
        <v>24</v>
      </c>
      <c r="E430" s="4" t="s">
        <v>32</v>
      </c>
      <c r="F430" s="4" t="s">
        <v>25</v>
      </c>
      <c r="G430" s="4" t="s">
        <v>25</v>
      </c>
      <c r="H430" s="4" t="s">
        <v>25</v>
      </c>
      <c r="I430" s="5">
        <v>44621</v>
      </c>
      <c r="J430" s="6">
        <v>0</v>
      </c>
      <c r="K430" s="6">
        <v>0</v>
      </c>
      <c r="L430" s="6">
        <v>-1.474</v>
      </c>
      <c r="M430" s="6">
        <v>-1.474</v>
      </c>
      <c r="N430" s="6">
        <v>-1.474</v>
      </c>
      <c r="O430" s="6">
        <v>-1.474</v>
      </c>
      <c r="P430" s="6">
        <v>0</v>
      </c>
      <c r="Q430" s="4" t="s">
        <v>26</v>
      </c>
      <c r="R430" s="4">
        <v>0</v>
      </c>
      <c r="S430" s="4" t="s">
        <v>221</v>
      </c>
      <c r="T430" s="4" t="s">
        <v>382</v>
      </c>
      <c r="U430" s="4">
        <v>0</v>
      </c>
      <c r="V430" s="4">
        <v>6</v>
      </c>
      <c r="W430" s="4">
        <v>34</v>
      </c>
    </row>
    <row r="431" spans="1:23" ht="11.25" customHeight="1" x14ac:dyDescent="0.25">
      <c r="A431" s="4" t="s">
        <v>21</v>
      </c>
      <c r="B431" s="4" t="s">
        <v>22</v>
      </c>
      <c r="C431" s="4" t="s">
        <v>23</v>
      </c>
      <c r="D431" s="4" t="s">
        <v>24</v>
      </c>
      <c r="E431" s="4" t="s">
        <v>32</v>
      </c>
      <c r="F431" s="4" t="s">
        <v>25</v>
      </c>
      <c r="G431" s="4" t="s">
        <v>25</v>
      </c>
      <c r="H431" s="4" t="s">
        <v>25</v>
      </c>
      <c r="I431" s="5">
        <v>44652</v>
      </c>
      <c r="J431" s="6">
        <v>0</v>
      </c>
      <c r="K431" s="6">
        <v>0</v>
      </c>
      <c r="L431" s="6">
        <v>42.036000000000001</v>
      </c>
      <c r="M431" s="6">
        <v>42.036000000000001</v>
      </c>
      <c r="N431" s="6">
        <v>42.036000000000001</v>
      </c>
      <c r="O431" s="6">
        <v>42.036000000000001</v>
      </c>
      <c r="P431" s="6">
        <v>470</v>
      </c>
      <c r="Q431" s="4" t="s">
        <v>26</v>
      </c>
      <c r="R431" s="4">
        <v>0</v>
      </c>
      <c r="S431" s="4" t="s">
        <v>222</v>
      </c>
      <c r="T431" s="4" t="s">
        <v>383</v>
      </c>
      <c r="U431" s="4">
        <v>0</v>
      </c>
      <c r="V431" s="4">
        <v>6</v>
      </c>
      <c r="W431" s="4">
        <v>34</v>
      </c>
    </row>
    <row r="432" spans="1:23" ht="11.25" customHeight="1" x14ac:dyDescent="0.25">
      <c r="A432" s="4" t="s">
        <v>27</v>
      </c>
      <c r="B432" s="4" t="s">
        <v>22</v>
      </c>
      <c r="C432" s="4" t="s">
        <v>23</v>
      </c>
      <c r="D432" s="4" t="s">
        <v>24</v>
      </c>
      <c r="E432" s="4" t="s">
        <v>32</v>
      </c>
      <c r="F432" s="4" t="s">
        <v>25</v>
      </c>
      <c r="G432" s="4" t="s">
        <v>25</v>
      </c>
      <c r="H432" s="4" t="s">
        <v>25</v>
      </c>
      <c r="I432" s="5">
        <v>44652</v>
      </c>
      <c r="J432" s="6">
        <v>0</v>
      </c>
      <c r="K432" s="6">
        <v>0</v>
      </c>
      <c r="L432" s="6">
        <v>-0.28999999999999998</v>
      </c>
      <c r="M432" s="6">
        <v>-0.28999999999999998</v>
      </c>
      <c r="N432" s="6">
        <v>-0.28999999999999998</v>
      </c>
      <c r="O432" s="6">
        <v>-0.28999999999999998</v>
      </c>
      <c r="P432" s="6">
        <v>0</v>
      </c>
      <c r="Q432" s="4" t="s">
        <v>26</v>
      </c>
      <c r="R432" s="4">
        <v>0</v>
      </c>
      <c r="S432" s="4" t="s">
        <v>222</v>
      </c>
      <c r="T432" s="4" t="s">
        <v>383</v>
      </c>
      <c r="U432" s="4">
        <v>0</v>
      </c>
      <c r="V432" s="4">
        <v>6</v>
      </c>
      <c r="W432" s="4">
        <v>34</v>
      </c>
    </row>
    <row r="433" spans="1:23" ht="11.25" customHeight="1" x14ac:dyDescent="0.25">
      <c r="A433" s="4" t="s">
        <v>21</v>
      </c>
      <c r="B433" s="4" t="s">
        <v>22</v>
      </c>
      <c r="C433" s="4" t="s">
        <v>23</v>
      </c>
      <c r="D433" s="4" t="s">
        <v>24</v>
      </c>
      <c r="E433" s="4" t="s">
        <v>32</v>
      </c>
      <c r="F433" s="4" t="s">
        <v>25</v>
      </c>
      <c r="G433" s="4" t="s">
        <v>25</v>
      </c>
      <c r="H433" s="4" t="s">
        <v>25</v>
      </c>
      <c r="I433" s="5">
        <v>44682</v>
      </c>
      <c r="J433" s="6">
        <v>0</v>
      </c>
      <c r="K433" s="6">
        <v>0</v>
      </c>
      <c r="L433" s="6">
        <v>29.068999999999999</v>
      </c>
      <c r="M433" s="6">
        <v>29.068999999999999</v>
      </c>
      <c r="N433" s="6">
        <v>29.068999999999999</v>
      </c>
      <c r="O433" s="6">
        <v>29.068999999999999</v>
      </c>
      <c r="P433" s="6">
        <v>361</v>
      </c>
      <c r="Q433" s="4" t="s">
        <v>26</v>
      </c>
      <c r="R433" s="4">
        <v>0</v>
      </c>
      <c r="S433" s="4" t="s">
        <v>223</v>
      </c>
      <c r="T433" s="4" t="s">
        <v>384</v>
      </c>
      <c r="U433" s="4">
        <v>0</v>
      </c>
      <c r="V433" s="4">
        <v>6</v>
      </c>
      <c r="W433" s="4">
        <v>34</v>
      </c>
    </row>
    <row r="434" spans="1:23" ht="11.25" customHeight="1" x14ac:dyDescent="0.25">
      <c r="A434" s="4" t="s">
        <v>21</v>
      </c>
      <c r="B434" s="4" t="s">
        <v>22</v>
      </c>
      <c r="C434" s="4" t="s">
        <v>23</v>
      </c>
      <c r="D434" s="4" t="s">
        <v>24</v>
      </c>
      <c r="E434" s="4" t="s">
        <v>32</v>
      </c>
      <c r="F434" s="4" t="s">
        <v>25</v>
      </c>
      <c r="G434" s="4" t="s">
        <v>25</v>
      </c>
      <c r="H434" s="4" t="s">
        <v>25</v>
      </c>
      <c r="I434" s="5">
        <v>44713</v>
      </c>
      <c r="J434" s="6">
        <v>0</v>
      </c>
      <c r="K434" s="6">
        <v>0</v>
      </c>
      <c r="L434" s="6">
        <v>38.725000000000001</v>
      </c>
      <c r="M434" s="6">
        <v>38.725000000000001</v>
      </c>
      <c r="N434" s="6">
        <v>38.725000000000001</v>
      </c>
      <c r="O434" s="6">
        <v>38.725000000000001</v>
      </c>
      <c r="P434" s="6">
        <v>433</v>
      </c>
      <c r="Q434" s="4" t="s">
        <v>26</v>
      </c>
      <c r="R434" s="4">
        <v>0</v>
      </c>
      <c r="S434" s="4" t="s">
        <v>224</v>
      </c>
      <c r="T434" s="4" t="s">
        <v>385</v>
      </c>
      <c r="U434" s="4">
        <v>0</v>
      </c>
      <c r="V434" s="4">
        <v>6</v>
      </c>
      <c r="W434" s="4">
        <v>34</v>
      </c>
    </row>
    <row r="435" spans="1:23" ht="11.25" customHeight="1" x14ac:dyDescent="0.25">
      <c r="A435" s="4" t="s">
        <v>55</v>
      </c>
      <c r="B435" s="4" t="s">
        <v>22</v>
      </c>
      <c r="C435" s="4" t="s">
        <v>23</v>
      </c>
      <c r="D435" s="4" t="s">
        <v>24</v>
      </c>
      <c r="E435" s="4" t="s">
        <v>32</v>
      </c>
      <c r="F435" s="4" t="s">
        <v>25</v>
      </c>
      <c r="G435" s="4" t="s">
        <v>25</v>
      </c>
      <c r="H435" s="4" t="s">
        <v>25</v>
      </c>
      <c r="I435" s="5">
        <v>44743</v>
      </c>
      <c r="J435" s="6">
        <v>0</v>
      </c>
      <c r="K435" s="6">
        <v>0</v>
      </c>
      <c r="L435" s="6">
        <v>38.725000000000001</v>
      </c>
      <c r="M435" s="6">
        <v>38.725000000000001</v>
      </c>
      <c r="N435" s="6">
        <v>38.725000000000001</v>
      </c>
      <c r="O435" s="6">
        <v>38.725000000000001</v>
      </c>
      <c r="P435" s="6">
        <v>433</v>
      </c>
      <c r="Q435" s="4" t="s">
        <v>26</v>
      </c>
      <c r="R435" s="4">
        <v>0</v>
      </c>
      <c r="S435" s="4" t="s">
        <v>225</v>
      </c>
      <c r="T435" s="4" t="s">
        <v>386</v>
      </c>
      <c r="U435" s="4">
        <v>0</v>
      </c>
      <c r="V435" s="4">
        <v>6</v>
      </c>
      <c r="W435" s="4">
        <v>34</v>
      </c>
    </row>
    <row r="436" spans="1:23" ht="11.25" customHeight="1" x14ac:dyDescent="0.25">
      <c r="A436" s="4" t="s">
        <v>21</v>
      </c>
      <c r="B436" s="4" t="s">
        <v>41</v>
      </c>
      <c r="C436" s="4" t="s">
        <v>23</v>
      </c>
      <c r="D436" s="4" t="s">
        <v>42</v>
      </c>
      <c r="E436" s="4" t="s">
        <v>52</v>
      </c>
      <c r="F436" s="4" t="s">
        <v>53</v>
      </c>
      <c r="G436" s="4" t="s">
        <v>25</v>
      </c>
      <c r="H436" s="4" t="s">
        <v>25</v>
      </c>
      <c r="I436" s="5">
        <v>44409</v>
      </c>
      <c r="J436" s="6">
        <v>0</v>
      </c>
      <c r="K436" s="6">
        <v>0</v>
      </c>
      <c r="L436" s="6">
        <v>2.472</v>
      </c>
      <c r="M436" s="6">
        <v>2.472</v>
      </c>
      <c r="N436" s="6">
        <v>2.472</v>
      </c>
      <c r="O436" s="6">
        <v>2.472</v>
      </c>
      <c r="P436" s="6">
        <v>0</v>
      </c>
      <c r="Q436" s="4" t="s">
        <v>26</v>
      </c>
      <c r="R436" s="4">
        <v>0</v>
      </c>
      <c r="S436" s="4" t="s">
        <v>226</v>
      </c>
      <c r="T436" s="4" t="s">
        <v>387</v>
      </c>
      <c r="U436" s="4">
        <v>0</v>
      </c>
      <c r="V436" s="4">
        <v>16</v>
      </c>
      <c r="W436" s="4">
        <v>54</v>
      </c>
    </row>
    <row r="437" spans="1:23" ht="11.25" customHeight="1" x14ac:dyDescent="0.25">
      <c r="A437" s="4" t="s">
        <v>21</v>
      </c>
      <c r="B437" s="4" t="s">
        <v>41</v>
      </c>
      <c r="C437" s="4" t="s">
        <v>23</v>
      </c>
      <c r="D437" s="4" t="s">
        <v>42</v>
      </c>
      <c r="E437" s="4" t="s">
        <v>52</v>
      </c>
      <c r="F437" s="4" t="s">
        <v>53</v>
      </c>
      <c r="G437" s="4" t="s">
        <v>25</v>
      </c>
      <c r="H437" s="4" t="s">
        <v>25</v>
      </c>
      <c r="I437" s="5">
        <v>44440</v>
      </c>
      <c r="J437" s="6">
        <v>0</v>
      </c>
      <c r="K437" s="6">
        <v>0</v>
      </c>
      <c r="L437" s="6">
        <v>3.6890000000000001</v>
      </c>
      <c r="M437" s="6">
        <v>3.6890000000000001</v>
      </c>
      <c r="N437" s="6">
        <v>3.6890000000000001</v>
      </c>
      <c r="O437" s="6">
        <v>3.6890000000000001</v>
      </c>
      <c r="P437" s="6">
        <v>0</v>
      </c>
      <c r="Q437" s="4" t="s">
        <v>26</v>
      </c>
      <c r="R437" s="4">
        <v>0</v>
      </c>
      <c r="S437" s="4" t="s">
        <v>227</v>
      </c>
      <c r="T437" s="4" t="s">
        <v>388</v>
      </c>
      <c r="U437" s="4">
        <v>0</v>
      </c>
      <c r="V437" s="4">
        <v>16</v>
      </c>
      <c r="W437" s="4">
        <v>54</v>
      </c>
    </row>
    <row r="438" spans="1:23" ht="11.25" customHeight="1" x14ac:dyDescent="0.25">
      <c r="A438" s="4" t="s">
        <v>21</v>
      </c>
      <c r="B438" s="4" t="s">
        <v>41</v>
      </c>
      <c r="C438" s="4" t="s">
        <v>23</v>
      </c>
      <c r="D438" s="4" t="s">
        <v>42</v>
      </c>
      <c r="E438" s="4" t="s">
        <v>52</v>
      </c>
      <c r="F438" s="4" t="s">
        <v>53</v>
      </c>
      <c r="G438" s="4" t="s">
        <v>25</v>
      </c>
      <c r="H438" s="4" t="s">
        <v>25</v>
      </c>
      <c r="I438" s="5">
        <v>44470</v>
      </c>
      <c r="J438" s="6">
        <v>0</v>
      </c>
      <c r="K438" s="6">
        <v>0</v>
      </c>
      <c r="L438" s="6">
        <v>1.538</v>
      </c>
      <c r="M438" s="6">
        <v>1.538</v>
      </c>
      <c r="N438" s="6">
        <v>1.538</v>
      </c>
      <c r="O438" s="6">
        <v>1.538</v>
      </c>
      <c r="P438" s="6">
        <v>0</v>
      </c>
      <c r="Q438" s="4" t="s">
        <v>26</v>
      </c>
      <c r="R438" s="4">
        <v>0</v>
      </c>
      <c r="S438" s="4" t="s">
        <v>228</v>
      </c>
      <c r="T438" s="4" t="s">
        <v>389</v>
      </c>
      <c r="U438" s="4">
        <v>0</v>
      </c>
      <c r="V438" s="4">
        <v>16</v>
      </c>
      <c r="W438" s="4">
        <v>54</v>
      </c>
    </row>
    <row r="439" spans="1:23" ht="11.25" customHeight="1" x14ac:dyDescent="0.25">
      <c r="A439" s="4" t="s">
        <v>21</v>
      </c>
      <c r="B439" s="4" t="s">
        <v>41</v>
      </c>
      <c r="C439" s="4" t="s">
        <v>23</v>
      </c>
      <c r="D439" s="4" t="s">
        <v>42</v>
      </c>
      <c r="E439" s="4" t="s">
        <v>52</v>
      </c>
      <c r="F439" s="4" t="s">
        <v>53</v>
      </c>
      <c r="G439" s="4" t="s">
        <v>25</v>
      </c>
      <c r="H439" s="4" t="s">
        <v>25</v>
      </c>
      <c r="I439" s="5">
        <v>44501</v>
      </c>
      <c r="J439" s="6">
        <v>0</v>
      </c>
      <c r="K439" s="6">
        <v>0</v>
      </c>
      <c r="L439" s="6">
        <v>2.7269999999999999</v>
      </c>
      <c r="M439" s="6">
        <v>2.7269999999999999</v>
      </c>
      <c r="N439" s="6">
        <v>2.7269999999999999</v>
      </c>
      <c r="O439" s="6">
        <v>2.7269999999999999</v>
      </c>
      <c r="P439" s="6">
        <v>0</v>
      </c>
      <c r="Q439" s="4" t="s">
        <v>26</v>
      </c>
      <c r="R439" s="4">
        <v>0</v>
      </c>
      <c r="S439" s="4" t="s">
        <v>229</v>
      </c>
      <c r="T439" s="4" t="s">
        <v>390</v>
      </c>
      <c r="U439" s="4">
        <v>0</v>
      </c>
      <c r="V439" s="4">
        <v>16</v>
      </c>
      <c r="W439" s="4">
        <v>54</v>
      </c>
    </row>
    <row r="440" spans="1:23" ht="11.25" customHeight="1" x14ac:dyDescent="0.25">
      <c r="A440" s="4" t="s">
        <v>21</v>
      </c>
      <c r="B440" s="4" t="s">
        <v>41</v>
      </c>
      <c r="C440" s="4" t="s">
        <v>23</v>
      </c>
      <c r="D440" s="4" t="s">
        <v>42</v>
      </c>
      <c r="E440" s="4" t="s">
        <v>52</v>
      </c>
      <c r="F440" s="4" t="s">
        <v>53</v>
      </c>
      <c r="G440" s="4" t="s">
        <v>25</v>
      </c>
      <c r="H440" s="4" t="s">
        <v>25</v>
      </c>
      <c r="I440" s="5">
        <v>44531</v>
      </c>
      <c r="J440" s="6">
        <v>0</v>
      </c>
      <c r="K440" s="6">
        <v>0</v>
      </c>
      <c r="L440" s="6">
        <v>8.2140000000000004</v>
      </c>
      <c r="M440" s="6">
        <v>8.2140000000000004</v>
      </c>
      <c r="N440" s="6">
        <v>8.2140000000000004</v>
      </c>
      <c r="O440" s="6">
        <v>8.2140000000000004</v>
      </c>
      <c r="P440" s="6">
        <v>0</v>
      </c>
      <c r="Q440" s="4" t="s">
        <v>26</v>
      </c>
      <c r="R440" s="4">
        <v>0</v>
      </c>
      <c r="S440" s="4" t="s">
        <v>230</v>
      </c>
      <c r="T440" s="4" t="s">
        <v>391</v>
      </c>
      <c r="U440" s="4">
        <v>0</v>
      </c>
      <c r="V440" s="4">
        <v>16</v>
      </c>
      <c r="W440" s="4">
        <v>54</v>
      </c>
    </row>
    <row r="441" spans="1:23" ht="11.25" customHeight="1" x14ac:dyDescent="0.25">
      <c r="A441" s="4" t="s">
        <v>27</v>
      </c>
      <c r="B441" s="4" t="s">
        <v>41</v>
      </c>
      <c r="C441" s="4" t="s">
        <v>23</v>
      </c>
      <c r="D441" s="4" t="s">
        <v>42</v>
      </c>
      <c r="E441" s="4" t="s">
        <v>52</v>
      </c>
      <c r="F441" s="4" t="s">
        <v>53</v>
      </c>
      <c r="G441" s="4" t="s">
        <v>25</v>
      </c>
      <c r="H441" s="4" t="s">
        <v>25</v>
      </c>
      <c r="I441" s="5">
        <v>44531</v>
      </c>
      <c r="J441" s="6">
        <v>0</v>
      </c>
      <c r="K441" s="6">
        <v>0</v>
      </c>
      <c r="L441" s="6">
        <v>-0.85299999999999998</v>
      </c>
      <c r="M441" s="6">
        <v>-0.85299999999999998</v>
      </c>
      <c r="N441" s="6">
        <v>-0.85299999999999998</v>
      </c>
      <c r="O441" s="6">
        <v>-0.85299999999999998</v>
      </c>
      <c r="P441" s="6">
        <v>0</v>
      </c>
      <c r="Q441" s="4" t="s">
        <v>26</v>
      </c>
      <c r="R441" s="4">
        <v>0</v>
      </c>
      <c r="S441" s="4" t="s">
        <v>230</v>
      </c>
      <c r="T441" s="4" t="s">
        <v>391</v>
      </c>
      <c r="U441" s="4">
        <v>0</v>
      </c>
      <c r="V441" s="4">
        <v>16</v>
      </c>
      <c r="W441" s="4">
        <v>54</v>
      </c>
    </row>
    <row r="442" spans="1:23" ht="11.25" customHeight="1" x14ac:dyDescent="0.25">
      <c r="A442" s="4" t="s">
        <v>21</v>
      </c>
      <c r="B442" s="4" t="s">
        <v>41</v>
      </c>
      <c r="C442" s="4" t="s">
        <v>23</v>
      </c>
      <c r="D442" s="4" t="s">
        <v>42</v>
      </c>
      <c r="E442" s="4" t="s">
        <v>52</v>
      </c>
      <c r="F442" s="4" t="s">
        <v>53</v>
      </c>
      <c r="G442" s="4" t="s">
        <v>25</v>
      </c>
      <c r="H442" s="4" t="s">
        <v>25</v>
      </c>
      <c r="I442" s="5">
        <v>44562</v>
      </c>
      <c r="J442" s="6">
        <v>0</v>
      </c>
      <c r="K442" s="6">
        <v>0</v>
      </c>
      <c r="L442" s="6">
        <v>5.101</v>
      </c>
      <c r="M442" s="6">
        <v>5.101</v>
      </c>
      <c r="N442" s="6">
        <v>5.101</v>
      </c>
      <c r="O442" s="6">
        <v>5.101</v>
      </c>
      <c r="P442" s="6">
        <v>0</v>
      </c>
      <c r="Q442" s="4" t="s">
        <v>26</v>
      </c>
      <c r="R442" s="4">
        <v>0</v>
      </c>
      <c r="S442" s="4" t="s">
        <v>231</v>
      </c>
      <c r="T442" s="4" t="s">
        <v>392</v>
      </c>
      <c r="U442" s="4">
        <v>0</v>
      </c>
      <c r="V442" s="4">
        <v>16</v>
      </c>
      <c r="W442" s="4">
        <v>54</v>
      </c>
    </row>
    <row r="443" spans="1:23" ht="11.25" customHeight="1" x14ac:dyDescent="0.25">
      <c r="A443" s="4" t="s">
        <v>27</v>
      </c>
      <c r="B443" s="4" t="s">
        <v>41</v>
      </c>
      <c r="C443" s="4" t="s">
        <v>23</v>
      </c>
      <c r="D443" s="4" t="s">
        <v>42</v>
      </c>
      <c r="E443" s="4" t="s">
        <v>52</v>
      </c>
      <c r="F443" s="4" t="s">
        <v>53</v>
      </c>
      <c r="G443" s="4" t="s">
        <v>25</v>
      </c>
      <c r="H443" s="4" t="s">
        <v>25</v>
      </c>
      <c r="I443" s="5">
        <v>44562</v>
      </c>
      <c r="J443" s="6">
        <v>0</v>
      </c>
      <c r="K443" s="6">
        <v>0</v>
      </c>
      <c r="L443" s="6">
        <v>-2.6259999999999999</v>
      </c>
      <c r="M443" s="6">
        <v>-2.6259999999999999</v>
      </c>
      <c r="N443" s="6">
        <v>-2.6259999999999999</v>
      </c>
      <c r="O443" s="6">
        <v>-2.6259999999999999</v>
      </c>
      <c r="P443" s="6">
        <v>0</v>
      </c>
      <c r="Q443" s="4" t="s">
        <v>26</v>
      </c>
      <c r="R443" s="4">
        <v>0</v>
      </c>
      <c r="S443" s="4" t="s">
        <v>231</v>
      </c>
      <c r="T443" s="4" t="s">
        <v>392</v>
      </c>
      <c r="U443" s="4">
        <v>0</v>
      </c>
      <c r="V443" s="4">
        <v>16</v>
      </c>
      <c r="W443" s="4">
        <v>54</v>
      </c>
    </row>
    <row r="444" spans="1:23" ht="11.25" customHeight="1" x14ac:dyDescent="0.25">
      <c r="A444" s="4" t="s">
        <v>21</v>
      </c>
      <c r="B444" s="4" t="s">
        <v>41</v>
      </c>
      <c r="C444" s="4" t="s">
        <v>23</v>
      </c>
      <c r="D444" s="4" t="s">
        <v>42</v>
      </c>
      <c r="E444" s="4" t="s">
        <v>52</v>
      </c>
      <c r="F444" s="4" t="s">
        <v>53</v>
      </c>
      <c r="G444" s="4" t="s">
        <v>25</v>
      </c>
      <c r="H444" s="4" t="s">
        <v>25</v>
      </c>
      <c r="I444" s="5">
        <v>44593</v>
      </c>
      <c r="J444" s="6">
        <v>0</v>
      </c>
      <c r="K444" s="6">
        <v>0</v>
      </c>
      <c r="L444" s="6">
        <v>4.117</v>
      </c>
      <c r="M444" s="6">
        <v>4.117</v>
      </c>
      <c r="N444" s="6">
        <v>4.117</v>
      </c>
      <c r="O444" s="6">
        <v>4.117</v>
      </c>
      <c r="P444" s="6">
        <v>0</v>
      </c>
      <c r="Q444" s="4" t="s">
        <v>26</v>
      </c>
      <c r="R444" s="4">
        <v>0</v>
      </c>
      <c r="S444" s="4" t="s">
        <v>232</v>
      </c>
      <c r="T444" s="4" t="s">
        <v>393</v>
      </c>
      <c r="U444" s="4">
        <v>0</v>
      </c>
      <c r="V444" s="4">
        <v>16</v>
      </c>
      <c r="W444" s="4">
        <v>54</v>
      </c>
    </row>
    <row r="445" spans="1:23" ht="11.25" customHeight="1" x14ac:dyDescent="0.25">
      <c r="A445" s="4" t="s">
        <v>21</v>
      </c>
      <c r="B445" s="4" t="s">
        <v>41</v>
      </c>
      <c r="C445" s="4" t="s">
        <v>23</v>
      </c>
      <c r="D445" s="4" t="s">
        <v>42</v>
      </c>
      <c r="E445" s="4" t="s">
        <v>52</v>
      </c>
      <c r="F445" s="4" t="s">
        <v>53</v>
      </c>
      <c r="G445" s="4" t="s">
        <v>25</v>
      </c>
      <c r="H445" s="4" t="s">
        <v>25</v>
      </c>
      <c r="I445" s="5">
        <v>44621</v>
      </c>
      <c r="J445" s="6">
        <v>0</v>
      </c>
      <c r="K445" s="6">
        <v>0</v>
      </c>
      <c r="L445" s="6">
        <v>1.5509999999999999</v>
      </c>
      <c r="M445" s="6">
        <v>1.5509999999999999</v>
      </c>
      <c r="N445" s="6">
        <v>1.5509999999999999</v>
      </c>
      <c r="O445" s="6">
        <v>1.5509999999999999</v>
      </c>
      <c r="P445" s="6">
        <v>0</v>
      </c>
      <c r="Q445" s="4" t="s">
        <v>26</v>
      </c>
      <c r="R445" s="4">
        <v>0</v>
      </c>
      <c r="S445" s="4" t="s">
        <v>233</v>
      </c>
      <c r="T445" s="4" t="s">
        <v>394</v>
      </c>
      <c r="U445" s="4">
        <v>0</v>
      </c>
      <c r="V445" s="4">
        <v>16</v>
      </c>
      <c r="W445" s="4">
        <v>54</v>
      </c>
    </row>
    <row r="446" spans="1:23" ht="11.25" customHeight="1" x14ac:dyDescent="0.25">
      <c r="A446" s="4" t="s">
        <v>21</v>
      </c>
      <c r="B446" s="4" t="s">
        <v>41</v>
      </c>
      <c r="C446" s="4" t="s">
        <v>23</v>
      </c>
      <c r="D446" s="4" t="s">
        <v>42</v>
      </c>
      <c r="E446" s="4" t="s">
        <v>52</v>
      </c>
      <c r="F446" s="4" t="s">
        <v>53</v>
      </c>
      <c r="G446" s="4" t="s">
        <v>25</v>
      </c>
      <c r="H446" s="4" t="s">
        <v>25</v>
      </c>
      <c r="I446" s="5">
        <v>44652</v>
      </c>
      <c r="J446" s="6">
        <v>0</v>
      </c>
      <c r="K446" s="6">
        <v>0</v>
      </c>
      <c r="L446" s="6">
        <v>1.1870000000000001</v>
      </c>
      <c r="M446" s="6">
        <v>1.1870000000000001</v>
      </c>
      <c r="N446" s="6">
        <v>1.1870000000000001</v>
      </c>
      <c r="O446" s="6">
        <v>1.1870000000000001</v>
      </c>
      <c r="P446" s="6">
        <v>0</v>
      </c>
      <c r="Q446" s="4" t="s">
        <v>26</v>
      </c>
      <c r="R446" s="4">
        <v>0</v>
      </c>
      <c r="S446" s="4" t="s">
        <v>234</v>
      </c>
      <c r="T446" s="4" t="s">
        <v>395</v>
      </c>
      <c r="U446" s="4">
        <v>0</v>
      </c>
      <c r="V446" s="4">
        <v>16</v>
      </c>
      <c r="W446" s="4">
        <v>54</v>
      </c>
    </row>
    <row r="447" spans="1:23" ht="11.25" customHeight="1" x14ac:dyDescent="0.25">
      <c r="A447" s="4" t="s">
        <v>21</v>
      </c>
      <c r="B447" s="4" t="s">
        <v>41</v>
      </c>
      <c r="C447" s="4" t="s">
        <v>23</v>
      </c>
      <c r="D447" s="4" t="s">
        <v>42</v>
      </c>
      <c r="E447" s="4" t="s">
        <v>52</v>
      </c>
      <c r="F447" s="4" t="s">
        <v>53</v>
      </c>
      <c r="G447" s="4" t="s">
        <v>25</v>
      </c>
      <c r="H447" s="4" t="s">
        <v>25</v>
      </c>
      <c r="I447" s="5">
        <v>44682</v>
      </c>
      <c r="J447" s="6">
        <v>0</v>
      </c>
      <c r="K447" s="6">
        <v>0</v>
      </c>
      <c r="L447" s="6">
        <v>0.27300000000000002</v>
      </c>
      <c r="M447" s="6">
        <v>0.27300000000000002</v>
      </c>
      <c r="N447" s="6">
        <v>0.27300000000000002</v>
      </c>
      <c r="O447" s="6">
        <v>0.27300000000000002</v>
      </c>
      <c r="P447" s="6">
        <v>0</v>
      </c>
      <c r="Q447" s="4" t="s">
        <v>26</v>
      </c>
      <c r="R447" s="4">
        <v>0</v>
      </c>
      <c r="S447" s="4" t="s">
        <v>235</v>
      </c>
      <c r="T447" s="4" t="s">
        <v>396</v>
      </c>
      <c r="U447" s="4">
        <v>0</v>
      </c>
      <c r="V447" s="4">
        <v>16</v>
      </c>
      <c r="W447" s="4">
        <v>54</v>
      </c>
    </row>
    <row r="448" spans="1:23" ht="11.25" customHeight="1" x14ac:dyDescent="0.25">
      <c r="A448" s="4" t="s">
        <v>27</v>
      </c>
      <c r="B448" s="4" t="s">
        <v>41</v>
      </c>
      <c r="C448" s="4" t="s">
        <v>23</v>
      </c>
      <c r="D448" s="4" t="s">
        <v>42</v>
      </c>
      <c r="E448" s="4" t="s">
        <v>52</v>
      </c>
      <c r="F448" s="4" t="s">
        <v>53</v>
      </c>
      <c r="G448" s="4" t="s">
        <v>25</v>
      </c>
      <c r="H448" s="4" t="s">
        <v>25</v>
      </c>
      <c r="I448" s="5">
        <v>44682</v>
      </c>
      <c r="J448" s="6">
        <v>0</v>
      </c>
      <c r="K448" s="6">
        <v>0</v>
      </c>
      <c r="L448" s="6">
        <v>-0.33600000000000002</v>
      </c>
      <c r="M448" s="6">
        <v>-0.33600000000000002</v>
      </c>
      <c r="N448" s="6">
        <v>-0.33600000000000002</v>
      </c>
      <c r="O448" s="6">
        <v>-0.33600000000000002</v>
      </c>
      <c r="P448" s="6">
        <v>0</v>
      </c>
      <c r="Q448" s="4" t="s">
        <v>26</v>
      </c>
      <c r="R448" s="4">
        <v>0</v>
      </c>
      <c r="S448" s="4" t="s">
        <v>235</v>
      </c>
      <c r="T448" s="4" t="s">
        <v>396</v>
      </c>
      <c r="U448" s="4">
        <v>0</v>
      </c>
      <c r="V448" s="4">
        <v>16</v>
      </c>
      <c r="W448" s="4">
        <v>54</v>
      </c>
    </row>
    <row r="449" spans="1:23" ht="11.25" customHeight="1" x14ac:dyDescent="0.25">
      <c r="A449" s="4" t="s">
        <v>21</v>
      </c>
      <c r="B449" s="4" t="s">
        <v>41</v>
      </c>
      <c r="C449" s="4" t="s">
        <v>23</v>
      </c>
      <c r="D449" s="4" t="s">
        <v>42</v>
      </c>
      <c r="E449" s="4" t="s">
        <v>52</v>
      </c>
      <c r="F449" s="4" t="s">
        <v>53</v>
      </c>
      <c r="G449" s="4" t="s">
        <v>25</v>
      </c>
      <c r="H449" s="4" t="s">
        <v>25</v>
      </c>
      <c r="I449" s="5">
        <v>44713</v>
      </c>
      <c r="J449" s="6">
        <v>0</v>
      </c>
      <c r="K449" s="6">
        <v>0</v>
      </c>
      <c r="L449" s="6">
        <v>0.17699999999999999</v>
      </c>
      <c r="M449" s="6">
        <v>0.17699999999999999</v>
      </c>
      <c r="N449" s="6">
        <v>0.17699999999999999</v>
      </c>
      <c r="O449" s="6">
        <v>0.17699999999999999</v>
      </c>
      <c r="P449" s="6">
        <v>0</v>
      </c>
      <c r="Q449" s="4" t="s">
        <v>26</v>
      </c>
      <c r="R449" s="4">
        <v>0</v>
      </c>
      <c r="S449" s="4" t="s">
        <v>236</v>
      </c>
      <c r="T449" s="4" t="s">
        <v>397</v>
      </c>
      <c r="U449" s="4">
        <v>0</v>
      </c>
      <c r="V449" s="4">
        <v>16</v>
      </c>
      <c r="W449" s="4">
        <v>54</v>
      </c>
    </row>
    <row r="450" spans="1:23" ht="11.25" customHeight="1" x14ac:dyDescent="0.25">
      <c r="A450" s="4" t="s">
        <v>55</v>
      </c>
      <c r="B450" s="4" t="s">
        <v>41</v>
      </c>
      <c r="C450" s="4" t="s">
        <v>23</v>
      </c>
      <c r="D450" s="4" t="s">
        <v>42</v>
      </c>
      <c r="E450" s="4" t="s">
        <v>52</v>
      </c>
      <c r="F450" s="4" t="s">
        <v>53</v>
      </c>
      <c r="G450" s="4" t="s">
        <v>25</v>
      </c>
      <c r="H450" s="4" t="s">
        <v>25</v>
      </c>
      <c r="I450" s="5">
        <v>44743</v>
      </c>
      <c r="J450" s="6">
        <v>0</v>
      </c>
      <c r="K450" s="6">
        <v>0</v>
      </c>
      <c r="L450" s="6">
        <v>0.17699999999999999</v>
      </c>
      <c r="M450" s="6">
        <v>0.17699999999999999</v>
      </c>
      <c r="N450" s="6">
        <v>0.17699999999999999</v>
      </c>
      <c r="O450" s="6">
        <v>0.17699999999999999</v>
      </c>
      <c r="P450" s="6">
        <v>0</v>
      </c>
      <c r="Q450" s="4" t="s">
        <v>26</v>
      </c>
      <c r="R450" s="4">
        <v>0</v>
      </c>
      <c r="S450" s="4" t="s">
        <v>237</v>
      </c>
      <c r="T450" s="4" t="s">
        <v>398</v>
      </c>
      <c r="U450" s="4">
        <v>0</v>
      </c>
      <c r="V450" s="4">
        <v>16</v>
      </c>
      <c r="W450" s="4">
        <v>54</v>
      </c>
    </row>
    <row r="451" spans="1:23" ht="11.25" customHeight="1" x14ac:dyDescent="0.25">
      <c r="A451" s="4" t="s">
        <v>21</v>
      </c>
      <c r="B451" s="4" t="s">
        <v>41</v>
      </c>
      <c r="C451" s="4" t="s">
        <v>23</v>
      </c>
      <c r="D451" s="4" t="s">
        <v>42</v>
      </c>
      <c r="E451" s="4" t="s">
        <v>52</v>
      </c>
      <c r="F451" s="4" t="s">
        <v>54</v>
      </c>
      <c r="G451" s="4" t="s">
        <v>25</v>
      </c>
      <c r="H451" s="4" t="s">
        <v>25</v>
      </c>
      <c r="I451" s="5">
        <v>44409</v>
      </c>
      <c r="J451" s="6">
        <v>0</v>
      </c>
      <c r="K451" s="6">
        <v>0</v>
      </c>
      <c r="L451" s="6">
        <v>1.3129999999999999</v>
      </c>
      <c r="M451" s="6">
        <v>0.5252</v>
      </c>
      <c r="N451" s="6">
        <v>1.3129999999999999</v>
      </c>
      <c r="O451" s="6">
        <v>0.5252</v>
      </c>
      <c r="P451" s="6">
        <v>0</v>
      </c>
      <c r="Q451" s="4" t="s">
        <v>26</v>
      </c>
      <c r="R451" s="4">
        <v>0</v>
      </c>
      <c r="S451" s="4" t="s">
        <v>226</v>
      </c>
      <c r="T451" s="4" t="s">
        <v>387</v>
      </c>
      <c r="U451" s="4">
        <v>0</v>
      </c>
      <c r="V451" s="4">
        <v>16</v>
      </c>
      <c r="W451" s="4">
        <v>54</v>
      </c>
    </row>
    <row r="452" spans="1:23" ht="11.25" customHeight="1" x14ac:dyDescent="0.25">
      <c r="A452" s="4" t="s">
        <v>21</v>
      </c>
      <c r="B452" s="4" t="s">
        <v>41</v>
      </c>
      <c r="C452" s="4" t="s">
        <v>23</v>
      </c>
      <c r="D452" s="4" t="s">
        <v>42</v>
      </c>
      <c r="E452" s="4" t="s">
        <v>52</v>
      </c>
      <c r="F452" s="4" t="s">
        <v>54</v>
      </c>
      <c r="G452" s="4" t="s">
        <v>25</v>
      </c>
      <c r="H452" s="4" t="s">
        <v>25</v>
      </c>
      <c r="I452" s="5">
        <v>44440</v>
      </c>
      <c r="J452" s="6">
        <v>0</v>
      </c>
      <c r="K452" s="6">
        <v>0</v>
      </c>
      <c r="L452" s="6">
        <v>1.7609999999999999</v>
      </c>
      <c r="M452" s="6">
        <v>0.70440000000000003</v>
      </c>
      <c r="N452" s="6">
        <v>1.7609999999999999</v>
      </c>
      <c r="O452" s="6">
        <v>0.70440000000000003</v>
      </c>
      <c r="P452" s="6">
        <v>0</v>
      </c>
      <c r="Q452" s="4" t="s">
        <v>26</v>
      </c>
      <c r="R452" s="4">
        <v>0</v>
      </c>
      <c r="S452" s="4" t="s">
        <v>227</v>
      </c>
      <c r="T452" s="4" t="s">
        <v>388</v>
      </c>
      <c r="U452" s="4">
        <v>0</v>
      </c>
      <c r="V452" s="4">
        <v>16</v>
      </c>
      <c r="W452" s="4">
        <v>54</v>
      </c>
    </row>
    <row r="453" spans="1:23" ht="11.25" customHeight="1" x14ac:dyDescent="0.25">
      <c r="A453" s="4" t="s">
        <v>21</v>
      </c>
      <c r="B453" s="4" t="s">
        <v>41</v>
      </c>
      <c r="C453" s="4" t="s">
        <v>23</v>
      </c>
      <c r="D453" s="4" t="s">
        <v>42</v>
      </c>
      <c r="E453" s="4" t="s">
        <v>52</v>
      </c>
      <c r="F453" s="4" t="s">
        <v>54</v>
      </c>
      <c r="G453" s="4" t="s">
        <v>25</v>
      </c>
      <c r="H453" s="4" t="s">
        <v>25</v>
      </c>
      <c r="I453" s="5">
        <v>44470</v>
      </c>
      <c r="J453" s="6">
        <v>0</v>
      </c>
      <c r="K453" s="6">
        <v>0</v>
      </c>
      <c r="L453" s="6">
        <v>0.82599999999999996</v>
      </c>
      <c r="M453" s="6">
        <v>0.33040000000000003</v>
      </c>
      <c r="N453" s="6">
        <v>0.82599999999999996</v>
      </c>
      <c r="O453" s="6">
        <v>0.33040000000000003</v>
      </c>
      <c r="P453" s="6">
        <v>0</v>
      </c>
      <c r="Q453" s="4" t="s">
        <v>26</v>
      </c>
      <c r="R453" s="4">
        <v>0</v>
      </c>
      <c r="S453" s="4" t="s">
        <v>228</v>
      </c>
      <c r="T453" s="4" t="s">
        <v>389</v>
      </c>
      <c r="U453" s="4">
        <v>0</v>
      </c>
      <c r="V453" s="4">
        <v>16</v>
      </c>
      <c r="W453" s="4">
        <v>54</v>
      </c>
    </row>
    <row r="454" spans="1:23" ht="11.25" customHeight="1" x14ac:dyDescent="0.25">
      <c r="A454" s="4" t="s">
        <v>21</v>
      </c>
      <c r="B454" s="4" t="s">
        <v>41</v>
      </c>
      <c r="C454" s="4" t="s">
        <v>23</v>
      </c>
      <c r="D454" s="4" t="s">
        <v>42</v>
      </c>
      <c r="E454" s="4" t="s">
        <v>52</v>
      </c>
      <c r="F454" s="4" t="s">
        <v>54</v>
      </c>
      <c r="G454" s="4" t="s">
        <v>25</v>
      </c>
      <c r="H454" s="4" t="s">
        <v>25</v>
      </c>
      <c r="I454" s="5">
        <v>44501</v>
      </c>
      <c r="J454" s="6">
        <v>0</v>
      </c>
      <c r="K454" s="6">
        <v>0</v>
      </c>
      <c r="L454" s="6">
        <v>1.579</v>
      </c>
      <c r="M454" s="6">
        <v>0.63160000000000005</v>
      </c>
      <c r="N454" s="6">
        <v>1.579</v>
      </c>
      <c r="O454" s="6">
        <v>0.63160000000000005</v>
      </c>
      <c r="P454" s="6">
        <v>0</v>
      </c>
      <c r="Q454" s="4" t="s">
        <v>26</v>
      </c>
      <c r="R454" s="4">
        <v>0</v>
      </c>
      <c r="S454" s="4" t="s">
        <v>229</v>
      </c>
      <c r="T454" s="4" t="s">
        <v>390</v>
      </c>
      <c r="U454" s="4">
        <v>0</v>
      </c>
      <c r="V454" s="4">
        <v>16</v>
      </c>
      <c r="W454" s="4">
        <v>54</v>
      </c>
    </row>
    <row r="455" spans="1:23" ht="11.25" customHeight="1" x14ac:dyDescent="0.25">
      <c r="A455" s="4" t="s">
        <v>21</v>
      </c>
      <c r="B455" s="4" t="s">
        <v>41</v>
      </c>
      <c r="C455" s="4" t="s">
        <v>23</v>
      </c>
      <c r="D455" s="4" t="s">
        <v>42</v>
      </c>
      <c r="E455" s="4" t="s">
        <v>52</v>
      </c>
      <c r="F455" s="4" t="s">
        <v>54</v>
      </c>
      <c r="G455" s="4" t="s">
        <v>25</v>
      </c>
      <c r="H455" s="4" t="s">
        <v>25</v>
      </c>
      <c r="I455" s="5">
        <v>44531</v>
      </c>
      <c r="J455" s="6">
        <v>0</v>
      </c>
      <c r="K455" s="6">
        <v>0</v>
      </c>
      <c r="L455" s="6">
        <v>3.202</v>
      </c>
      <c r="M455" s="6">
        <v>1.2807999999999999</v>
      </c>
      <c r="N455" s="6">
        <v>3.202</v>
      </c>
      <c r="O455" s="6">
        <v>1.2807999999999999</v>
      </c>
      <c r="P455" s="6">
        <v>0</v>
      </c>
      <c r="Q455" s="4" t="s">
        <v>26</v>
      </c>
      <c r="R455" s="4">
        <v>0</v>
      </c>
      <c r="S455" s="4" t="s">
        <v>230</v>
      </c>
      <c r="T455" s="4" t="s">
        <v>391</v>
      </c>
      <c r="U455" s="4">
        <v>0</v>
      </c>
      <c r="V455" s="4">
        <v>16</v>
      </c>
      <c r="W455" s="4">
        <v>54</v>
      </c>
    </row>
    <row r="456" spans="1:23" ht="11.25" customHeight="1" x14ac:dyDescent="0.25">
      <c r="A456" s="4" t="s">
        <v>27</v>
      </c>
      <c r="B456" s="4" t="s">
        <v>41</v>
      </c>
      <c r="C456" s="4" t="s">
        <v>23</v>
      </c>
      <c r="D456" s="4" t="s">
        <v>42</v>
      </c>
      <c r="E456" s="4" t="s">
        <v>52</v>
      </c>
      <c r="F456" s="4" t="s">
        <v>54</v>
      </c>
      <c r="G456" s="4" t="s">
        <v>25</v>
      </c>
      <c r="H456" s="4" t="s">
        <v>25</v>
      </c>
      <c r="I456" s="5">
        <v>44531</v>
      </c>
      <c r="J456" s="6">
        <v>0</v>
      </c>
      <c r="K456" s="6">
        <v>0</v>
      </c>
      <c r="L456" s="6">
        <v>0.08</v>
      </c>
      <c r="M456" s="6">
        <v>3.2000000000000001E-2</v>
      </c>
      <c r="N456" s="6">
        <v>0.08</v>
      </c>
      <c r="O456" s="6">
        <v>3.2000000000000001E-2</v>
      </c>
      <c r="P456" s="6">
        <v>0</v>
      </c>
      <c r="Q456" s="4" t="s">
        <v>26</v>
      </c>
      <c r="R456" s="4">
        <v>0</v>
      </c>
      <c r="S456" s="4" t="s">
        <v>230</v>
      </c>
      <c r="T456" s="4" t="s">
        <v>391</v>
      </c>
      <c r="U456" s="4">
        <v>0</v>
      </c>
      <c r="V456" s="4">
        <v>16</v>
      </c>
      <c r="W456" s="4">
        <v>54</v>
      </c>
    </row>
    <row r="457" spans="1:23" ht="11.25" customHeight="1" x14ac:dyDescent="0.25">
      <c r="A457" s="4" t="s">
        <v>21</v>
      </c>
      <c r="B457" s="4" t="s">
        <v>41</v>
      </c>
      <c r="C457" s="4" t="s">
        <v>23</v>
      </c>
      <c r="D457" s="4" t="s">
        <v>42</v>
      </c>
      <c r="E457" s="4" t="s">
        <v>52</v>
      </c>
      <c r="F457" s="4" t="s">
        <v>54</v>
      </c>
      <c r="G457" s="4" t="s">
        <v>25</v>
      </c>
      <c r="H457" s="4" t="s">
        <v>25</v>
      </c>
      <c r="I457" s="5">
        <v>44562</v>
      </c>
      <c r="J457" s="6">
        <v>0</v>
      </c>
      <c r="K457" s="6">
        <v>0</v>
      </c>
      <c r="L457" s="6">
        <v>3.0150000000000001</v>
      </c>
      <c r="M457" s="6">
        <v>1.206</v>
      </c>
      <c r="N457" s="6">
        <v>3.0150000000000001</v>
      </c>
      <c r="O457" s="6">
        <v>1.206</v>
      </c>
      <c r="P457" s="6">
        <v>0</v>
      </c>
      <c r="Q457" s="4" t="s">
        <v>26</v>
      </c>
      <c r="R457" s="4">
        <v>0</v>
      </c>
      <c r="S457" s="4" t="s">
        <v>231</v>
      </c>
      <c r="T457" s="4" t="s">
        <v>392</v>
      </c>
      <c r="U457" s="4">
        <v>0</v>
      </c>
      <c r="V457" s="4">
        <v>16</v>
      </c>
      <c r="W457" s="4">
        <v>54</v>
      </c>
    </row>
    <row r="458" spans="1:23" ht="11.25" customHeight="1" x14ac:dyDescent="0.25">
      <c r="A458" s="4" t="s">
        <v>21</v>
      </c>
      <c r="B458" s="4" t="s">
        <v>41</v>
      </c>
      <c r="C458" s="4" t="s">
        <v>23</v>
      </c>
      <c r="D458" s="4" t="s">
        <v>42</v>
      </c>
      <c r="E458" s="4" t="s">
        <v>52</v>
      </c>
      <c r="F458" s="4" t="s">
        <v>54</v>
      </c>
      <c r="G458" s="4" t="s">
        <v>25</v>
      </c>
      <c r="H458" s="4" t="s">
        <v>25</v>
      </c>
      <c r="I458" s="5">
        <v>44593</v>
      </c>
      <c r="J458" s="6">
        <v>0</v>
      </c>
      <c r="K458" s="6">
        <v>0</v>
      </c>
      <c r="L458" s="6">
        <v>2.5670000000000002</v>
      </c>
      <c r="M458" s="6">
        <v>1.0267999999999999</v>
      </c>
      <c r="N458" s="6">
        <v>2.5670000000000002</v>
      </c>
      <c r="O458" s="6">
        <v>1.0267999999999999</v>
      </c>
      <c r="P458" s="6">
        <v>0</v>
      </c>
      <c r="Q458" s="4" t="s">
        <v>26</v>
      </c>
      <c r="R458" s="4">
        <v>0</v>
      </c>
      <c r="S458" s="4" t="s">
        <v>232</v>
      </c>
      <c r="T458" s="4" t="s">
        <v>393</v>
      </c>
      <c r="U458" s="4">
        <v>0</v>
      </c>
      <c r="V458" s="4">
        <v>16</v>
      </c>
      <c r="W458" s="4">
        <v>54</v>
      </c>
    </row>
    <row r="459" spans="1:23" ht="11.25" customHeight="1" x14ac:dyDescent="0.25">
      <c r="A459" s="4" t="s">
        <v>21</v>
      </c>
      <c r="B459" s="4" t="s">
        <v>41</v>
      </c>
      <c r="C459" s="4" t="s">
        <v>23</v>
      </c>
      <c r="D459" s="4" t="s">
        <v>42</v>
      </c>
      <c r="E459" s="4" t="s">
        <v>52</v>
      </c>
      <c r="F459" s="4" t="s">
        <v>54</v>
      </c>
      <c r="G459" s="4" t="s">
        <v>25</v>
      </c>
      <c r="H459" s="4" t="s">
        <v>25</v>
      </c>
      <c r="I459" s="5">
        <v>44621</v>
      </c>
      <c r="J459" s="6">
        <v>0</v>
      </c>
      <c r="K459" s="6">
        <v>0</v>
      </c>
      <c r="L459" s="6">
        <v>0.36399999999999999</v>
      </c>
      <c r="M459" s="6">
        <v>0.14560000000000001</v>
      </c>
      <c r="N459" s="6">
        <v>0.36399999999999999</v>
      </c>
      <c r="O459" s="6">
        <v>0.14560000000000001</v>
      </c>
      <c r="P459" s="6">
        <v>0</v>
      </c>
      <c r="Q459" s="4" t="s">
        <v>26</v>
      </c>
      <c r="R459" s="4">
        <v>0</v>
      </c>
      <c r="S459" s="4" t="s">
        <v>233</v>
      </c>
      <c r="T459" s="4" t="s">
        <v>394</v>
      </c>
      <c r="U459" s="4">
        <v>0</v>
      </c>
      <c r="V459" s="4">
        <v>16</v>
      </c>
      <c r="W459" s="4">
        <v>54</v>
      </c>
    </row>
    <row r="460" spans="1:23" ht="11.25" customHeight="1" x14ac:dyDescent="0.25">
      <c r="A460" s="4" t="s">
        <v>21</v>
      </c>
      <c r="B460" s="4" t="s">
        <v>41</v>
      </c>
      <c r="C460" s="4" t="s">
        <v>23</v>
      </c>
      <c r="D460" s="4" t="s">
        <v>42</v>
      </c>
      <c r="E460" s="4" t="s">
        <v>52</v>
      </c>
      <c r="F460" s="4" t="s">
        <v>54</v>
      </c>
      <c r="G460" s="4" t="s">
        <v>25</v>
      </c>
      <c r="H460" s="4" t="s">
        <v>25</v>
      </c>
      <c r="I460" s="5">
        <v>44652</v>
      </c>
      <c r="J460" s="6">
        <v>0</v>
      </c>
      <c r="K460" s="6">
        <v>0</v>
      </c>
      <c r="L460" s="6">
        <v>2.9000000000000001E-2</v>
      </c>
      <c r="M460" s="6">
        <v>1.1599999999999999E-2</v>
      </c>
      <c r="N460" s="6">
        <v>2.9000000000000001E-2</v>
      </c>
      <c r="O460" s="6">
        <v>1.1599999999999999E-2</v>
      </c>
      <c r="P460" s="6">
        <v>0</v>
      </c>
      <c r="Q460" s="4" t="s">
        <v>26</v>
      </c>
      <c r="R460" s="4">
        <v>0</v>
      </c>
      <c r="S460" s="4" t="s">
        <v>234</v>
      </c>
      <c r="T460" s="4" t="s">
        <v>395</v>
      </c>
      <c r="U460" s="4">
        <v>0</v>
      </c>
      <c r="V460" s="4">
        <v>16</v>
      </c>
      <c r="W460" s="4">
        <v>54</v>
      </c>
    </row>
    <row r="461" spans="1:23" ht="11.25" customHeight="1" x14ac:dyDescent="0.25">
      <c r="A461" s="4" t="s">
        <v>21</v>
      </c>
      <c r="B461" s="4" t="s">
        <v>41</v>
      </c>
      <c r="C461" s="4" t="s">
        <v>23</v>
      </c>
      <c r="D461" s="4" t="s">
        <v>42</v>
      </c>
      <c r="E461" s="4" t="s">
        <v>52</v>
      </c>
      <c r="F461" s="4" t="s">
        <v>54</v>
      </c>
      <c r="G461" s="4" t="s">
        <v>25</v>
      </c>
      <c r="H461" s="4" t="s">
        <v>25</v>
      </c>
      <c r="I461" s="5">
        <v>44682</v>
      </c>
      <c r="J461" s="6">
        <v>0</v>
      </c>
      <c r="K461" s="6">
        <v>0</v>
      </c>
      <c r="L461" s="6">
        <v>2.7E-2</v>
      </c>
      <c r="M461" s="6">
        <v>1.0800000000000001E-2</v>
      </c>
      <c r="N461" s="6">
        <v>2.7E-2</v>
      </c>
      <c r="O461" s="6">
        <v>1.0800000000000001E-2</v>
      </c>
      <c r="P461" s="6">
        <v>0</v>
      </c>
      <c r="Q461" s="4" t="s">
        <v>26</v>
      </c>
      <c r="R461" s="4">
        <v>0</v>
      </c>
      <c r="S461" s="4" t="s">
        <v>235</v>
      </c>
      <c r="T461" s="4" t="s">
        <v>396</v>
      </c>
      <c r="U461" s="4">
        <v>0</v>
      </c>
      <c r="V461" s="4">
        <v>16</v>
      </c>
      <c r="W461" s="4">
        <v>54</v>
      </c>
    </row>
    <row r="462" spans="1:23" ht="11.25" customHeight="1" x14ac:dyDescent="0.25">
      <c r="A462" s="4" t="s">
        <v>27</v>
      </c>
      <c r="B462" s="4" t="s">
        <v>41</v>
      </c>
      <c r="C462" s="4" t="s">
        <v>23</v>
      </c>
      <c r="D462" s="4" t="s">
        <v>42</v>
      </c>
      <c r="E462" s="4" t="s">
        <v>52</v>
      </c>
      <c r="F462" s="4" t="s">
        <v>54</v>
      </c>
      <c r="G462" s="4" t="s">
        <v>25</v>
      </c>
      <c r="H462" s="4" t="s">
        <v>25</v>
      </c>
      <c r="I462" s="5">
        <v>44682</v>
      </c>
      <c r="J462" s="6">
        <v>0</v>
      </c>
      <c r="K462" s="6">
        <v>0</v>
      </c>
      <c r="L462" s="6">
        <v>0.09</v>
      </c>
      <c r="M462" s="6">
        <v>3.5999999999999997E-2</v>
      </c>
      <c r="N462" s="6">
        <v>0.09</v>
      </c>
      <c r="O462" s="6">
        <v>3.5999999999999997E-2</v>
      </c>
      <c r="P462" s="6">
        <v>0</v>
      </c>
      <c r="Q462" s="4" t="s">
        <v>26</v>
      </c>
      <c r="R462" s="4">
        <v>0</v>
      </c>
      <c r="S462" s="4" t="s">
        <v>235</v>
      </c>
      <c r="T462" s="4" t="s">
        <v>396</v>
      </c>
      <c r="U462" s="4">
        <v>0</v>
      </c>
      <c r="V462" s="4">
        <v>16</v>
      </c>
      <c r="W462" s="4">
        <v>54</v>
      </c>
    </row>
    <row r="463" spans="1:23" ht="11.25" customHeight="1" x14ac:dyDescent="0.25">
      <c r="A463" s="4" t="s">
        <v>21</v>
      </c>
      <c r="B463" s="4" t="s">
        <v>41</v>
      </c>
      <c r="C463" s="4" t="s">
        <v>23</v>
      </c>
      <c r="D463" s="4" t="s">
        <v>42</v>
      </c>
      <c r="E463" s="4" t="s">
        <v>52</v>
      </c>
      <c r="F463" s="4" t="s">
        <v>54</v>
      </c>
      <c r="G463" s="4" t="s">
        <v>25</v>
      </c>
      <c r="H463" s="4" t="s">
        <v>25</v>
      </c>
      <c r="I463" s="5">
        <v>44713</v>
      </c>
      <c r="J463" s="6">
        <v>0</v>
      </c>
      <c r="K463" s="6">
        <v>0</v>
      </c>
      <c r="L463" s="6">
        <v>2.3E-2</v>
      </c>
      <c r="M463" s="6">
        <v>9.1999999999999998E-3</v>
      </c>
      <c r="N463" s="6">
        <v>2.3E-2</v>
      </c>
      <c r="O463" s="6">
        <v>9.1999999999999998E-3</v>
      </c>
      <c r="P463" s="6">
        <v>0</v>
      </c>
      <c r="Q463" s="4" t="s">
        <v>26</v>
      </c>
      <c r="R463" s="4">
        <v>0</v>
      </c>
      <c r="S463" s="4" t="s">
        <v>236</v>
      </c>
      <c r="T463" s="4" t="s">
        <v>397</v>
      </c>
      <c r="U463" s="4">
        <v>0</v>
      </c>
      <c r="V463" s="4">
        <v>16</v>
      </c>
      <c r="W463" s="4">
        <v>54</v>
      </c>
    </row>
    <row r="464" spans="1:23" ht="11.25" customHeight="1" x14ac:dyDescent="0.25">
      <c r="A464" s="4" t="s">
        <v>55</v>
      </c>
      <c r="B464" s="4" t="s">
        <v>41</v>
      </c>
      <c r="C464" s="4" t="s">
        <v>23</v>
      </c>
      <c r="D464" s="4" t="s">
        <v>42</v>
      </c>
      <c r="E464" s="4" t="s">
        <v>52</v>
      </c>
      <c r="F464" s="4" t="s">
        <v>54</v>
      </c>
      <c r="G464" s="4" t="s">
        <v>25</v>
      </c>
      <c r="H464" s="4" t="s">
        <v>25</v>
      </c>
      <c r="I464" s="5">
        <v>44743</v>
      </c>
      <c r="J464" s="6">
        <v>0</v>
      </c>
      <c r="K464" s="6">
        <v>0</v>
      </c>
      <c r="L464" s="6">
        <v>2.3E-2</v>
      </c>
      <c r="M464" s="6">
        <v>9.1999999999999998E-3</v>
      </c>
      <c r="N464" s="6">
        <v>2.3E-2</v>
      </c>
      <c r="O464" s="6">
        <v>9.1999999999999998E-3</v>
      </c>
      <c r="P464" s="6">
        <v>0</v>
      </c>
      <c r="Q464" s="4" t="s">
        <v>26</v>
      </c>
      <c r="R464" s="4">
        <v>0</v>
      </c>
      <c r="S464" s="4" t="s">
        <v>237</v>
      </c>
      <c r="T464" s="4" t="s">
        <v>398</v>
      </c>
      <c r="U464" s="4">
        <v>0</v>
      </c>
      <c r="V464" s="4">
        <v>16</v>
      </c>
      <c r="W464" s="4">
        <v>54</v>
      </c>
    </row>
    <row r="465" spans="1:23" ht="11.25" customHeight="1" x14ac:dyDescent="0.25">
      <c r="A465" s="4" t="s">
        <v>21</v>
      </c>
      <c r="B465" s="4" t="s">
        <v>41</v>
      </c>
      <c r="C465" s="4" t="s">
        <v>23</v>
      </c>
      <c r="D465" s="4" t="s">
        <v>42</v>
      </c>
      <c r="E465" s="4" t="s">
        <v>25</v>
      </c>
      <c r="F465" s="4" t="s">
        <v>25</v>
      </c>
      <c r="G465" s="4" t="s">
        <v>25</v>
      </c>
      <c r="H465" s="4" t="s">
        <v>25</v>
      </c>
      <c r="I465" s="5">
        <v>44409</v>
      </c>
      <c r="J465" s="6">
        <v>0</v>
      </c>
      <c r="K465" s="6">
        <v>0</v>
      </c>
      <c r="L465" s="6">
        <v>751.04300000000001</v>
      </c>
      <c r="M465" s="6">
        <v>751.04300000000001</v>
      </c>
      <c r="N465" s="6">
        <v>751.04300000000001</v>
      </c>
      <c r="O465" s="6">
        <v>751.04300000000001</v>
      </c>
      <c r="P465" s="6">
        <v>2482</v>
      </c>
      <c r="Q465" s="4" t="s">
        <v>26</v>
      </c>
      <c r="R465" s="4">
        <v>0</v>
      </c>
      <c r="S465" s="4" t="s">
        <v>226</v>
      </c>
      <c r="T465" s="4" t="s">
        <v>387</v>
      </c>
      <c r="U465" s="4">
        <v>0</v>
      </c>
      <c r="V465" s="4">
        <v>16</v>
      </c>
      <c r="W465" s="4">
        <v>54</v>
      </c>
    </row>
    <row r="466" spans="1:23" ht="11.25" customHeight="1" x14ac:dyDescent="0.25">
      <c r="A466" s="4" t="s">
        <v>27</v>
      </c>
      <c r="B466" s="4" t="s">
        <v>41</v>
      </c>
      <c r="C466" s="4" t="s">
        <v>23</v>
      </c>
      <c r="D466" s="4" t="s">
        <v>42</v>
      </c>
      <c r="E466" s="4" t="s">
        <v>25</v>
      </c>
      <c r="F466" s="4" t="s">
        <v>25</v>
      </c>
      <c r="G466" s="4" t="s">
        <v>25</v>
      </c>
      <c r="H466" s="4" t="s">
        <v>25</v>
      </c>
      <c r="I466" s="5">
        <v>44409</v>
      </c>
      <c r="J466" s="6">
        <v>0</v>
      </c>
      <c r="K466" s="6">
        <v>0</v>
      </c>
      <c r="L466" s="6">
        <v>-1.2769999999999999</v>
      </c>
      <c r="M466" s="6">
        <v>-1.2769999999999999</v>
      </c>
      <c r="N466" s="6">
        <v>-1.2769999999999999</v>
      </c>
      <c r="O466" s="6">
        <v>-1.2769999999999999</v>
      </c>
      <c r="P466" s="6">
        <v>0</v>
      </c>
      <c r="Q466" s="4" t="s">
        <v>26</v>
      </c>
      <c r="R466" s="4">
        <v>0</v>
      </c>
      <c r="S466" s="4" t="s">
        <v>226</v>
      </c>
      <c r="T466" s="4" t="s">
        <v>387</v>
      </c>
      <c r="U466" s="4">
        <v>0</v>
      </c>
      <c r="V466" s="4">
        <v>16</v>
      </c>
      <c r="W466" s="4">
        <v>54</v>
      </c>
    </row>
    <row r="467" spans="1:23" ht="11.25" customHeight="1" x14ac:dyDescent="0.25">
      <c r="A467" s="4" t="s">
        <v>28</v>
      </c>
      <c r="B467" s="4" t="s">
        <v>41</v>
      </c>
      <c r="C467" s="4" t="s">
        <v>23</v>
      </c>
      <c r="D467" s="4" t="s">
        <v>42</v>
      </c>
      <c r="E467" s="4" t="s">
        <v>25</v>
      </c>
      <c r="F467" s="4" t="s">
        <v>25</v>
      </c>
      <c r="G467" s="4" t="s">
        <v>25</v>
      </c>
      <c r="H467" s="4" t="s">
        <v>25</v>
      </c>
      <c r="I467" s="5">
        <v>44409</v>
      </c>
      <c r="J467" s="6">
        <v>0</v>
      </c>
      <c r="K467" s="6">
        <v>0</v>
      </c>
      <c r="L467" s="6">
        <v>6.4160000000000004</v>
      </c>
      <c r="M467" s="6">
        <v>6.4160000000000004</v>
      </c>
      <c r="N467" s="6">
        <v>6.4160000000000004</v>
      </c>
      <c r="O467" s="6">
        <v>6.4160000000000004</v>
      </c>
      <c r="P467" s="6">
        <v>10</v>
      </c>
      <c r="Q467" s="4" t="s">
        <v>26</v>
      </c>
      <c r="R467" s="4">
        <v>0</v>
      </c>
      <c r="S467" s="4" t="s">
        <v>226</v>
      </c>
      <c r="T467" s="4" t="s">
        <v>387</v>
      </c>
      <c r="U467" s="4">
        <v>0</v>
      </c>
      <c r="V467" s="4">
        <v>16</v>
      </c>
      <c r="W467" s="4">
        <v>54</v>
      </c>
    </row>
    <row r="468" spans="1:23" ht="11.25" customHeight="1" x14ac:dyDescent="0.25">
      <c r="A468" s="4" t="s">
        <v>21</v>
      </c>
      <c r="B468" s="4" t="s">
        <v>41</v>
      </c>
      <c r="C468" s="4" t="s">
        <v>23</v>
      </c>
      <c r="D468" s="4" t="s">
        <v>42</v>
      </c>
      <c r="E468" s="4" t="s">
        <v>25</v>
      </c>
      <c r="F468" s="4" t="s">
        <v>25</v>
      </c>
      <c r="G468" s="4" t="s">
        <v>25</v>
      </c>
      <c r="H468" s="4" t="s">
        <v>25</v>
      </c>
      <c r="I468" s="5">
        <v>44440</v>
      </c>
      <c r="J468" s="6">
        <v>0</v>
      </c>
      <c r="K468" s="6">
        <v>0</v>
      </c>
      <c r="L468" s="6">
        <v>922.43</v>
      </c>
      <c r="M468" s="6">
        <v>922.43</v>
      </c>
      <c r="N468" s="6">
        <v>922.43</v>
      </c>
      <c r="O468" s="6">
        <v>922.43</v>
      </c>
      <c r="P468" s="6">
        <v>2485</v>
      </c>
      <c r="Q468" s="4" t="s">
        <v>26</v>
      </c>
      <c r="R468" s="4">
        <v>0</v>
      </c>
      <c r="S468" s="4" t="s">
        <v>227</v>
      </c>
      <c r="T468" s="4" t="s">
        <v>388</v>
      </c>
      <c r="U468" s="4">
        <v>0</v>
      </c>
      <c r="V468" s="4">
        <v>16</v>
      </c>
      <c r="W468" s="4">
        <v>54</v>
      </c>
    </row>
    <row r="469" spans="1:23" ht="11.25" customHeight="1" x14ac:dyDescent="0.25">
      <c r="A469" s="4" t="s">
        <v>27</v>
      </c>
      <c r="B469" s="4" t="s">
        <v>41</v>
      </c>
      <c r="C469" s="4" t="s">
        <v>23</v>
      </c>
      <c r="D469" s="4" t="s">
        <v>42</v>
      </c>
      <c r="E469" s="4" t="s">
        <v>25</v>
      </c>
      <c r="F469" s="4" t="s">
        <v>25</v>
      </c>
      <c r="G469" s="4" t="s">
        <v>25</v>
      </c>
      <c r="H469" s="4" t="s">
        <v>25</v>
      </c>
      <c r="I469" s="5">
        <v>44440</v>
      </c>
      <c r="J469" s="6">
        <v>0</v>
      </c>
      <c r="K469" s="6">
        <v>0</v>
      </c>
      <c r="L469" s="6">
        <v>-0.497</v>
      </c>
      <c r="M469" s="6">
        <v>-0.497</v>
      </c>
      <c r="N469" s="6">
        <v>-0.497</v>
      </c>
      <c r="O469" s="6">
        <v>-0.497</v>
      </c>
      <c r="P469" s="6">
        <v>0</v>
      </c>
      <c r="Q469" s="4" t="s">
        <v>26</v>
      </c>
      <c r="R469" s="4">
        <v>0</v>
      </c>
      <c r="S469" s="4" t="s">
        <v>227</v>
      </c>
      <c r="T469" s="4" t="s">
        <v>388</v>
      </c>
      <c r="U469" s="4">
        <v>0</v>
      </c>
      <c r="V469" s="4">
        <v>16</v>
      </c>
      <c r="W469" s="4">
        <v>54</v>
      </c>
    </row>
    <row r="470" spans="1:23" ht="11.25" customHeight="1" x14ac:dyDescent="0.25">
      <c r="A470" s="4" t="s">
        <v>28</v>
      </c>
      <c r="B470" s="4" t="s">
        <v>41</v>
      </c>
      <c r="C470" s="4" t="s">
        <v>23</v>
      </c>
      <c r="D470" s="4" t="s">
        <v>42</v>
      </c>
      <c r="E470" s="4" t="s">
        <v>25</v>
      </c>
      <c r="F470" s="4" t="s">
        <v>25</v>
      </c>
      <c r="G470" s="4" t="s">
        <v>25</v>
      </c>
      <c r="H470" s="4" t="s">
        <v>25</v>
      </c>
      <c r="I470" s="5">
        <v>44440</v>
      </c>
      <c r="J470" s="6">
        <v>0</v>
      </c>
      <c r="K470" s="6">
        <v>0</v>
      </c>
      <c r="L470" s="6">
        <v>8.3219999999999992</v>
      </c>
      <c r="M470" s="6">
        <v>8.3219999999999992</v>
      </c>
      <c r="N470" s="6">
        <v>8.3219999999999992</v>
      </c>
      <c r="O470" s="6">
        <v>8.3219999999999992</v>
      </c>
      <c r="P470" s="6">
        <v>11</v>
      </c>
      <c r="Q470" s="4" t="s">
        <v>26</v>
      </c>
      <c r="R470" s="4">
        <v>0</v>
      </c>
      <c r="S470" s="4" t="s">
        <v>227</v>
      </c>
      <c r="T470" s="4" t="s">
        <v>388</v>
      </c>
      <c r="U470" s="4">
        <v>0</v>
      </c>
      <c r="V470" s="4">
        <v>16</v>
      </c>
      <c r="W470" s="4">
        <v>54</v>
      </c>
    </row>
    <row r="471" spans="1:23" ht="11.25" customHeight="1" x14ac:dyDescent="0.25">
      <c r="A471" s="4" t="s">
        <v>21</v>
      </c>
      <c r="B471" s="4" t="s">
        <v>41</v>
      </c>
      <c r="C471" s="4" t="s">
        <v>23</v>
      </c>
      <c r="D471" s="4" t="s">
        <v>42</v>
      </c>
      <c r="E471" s="4" t="s">
        <v>25</v>
      </c>
      <c r="F471" s="4" t="s">
        <v>25</v>
      </c>
      <c r="G471" s="4" t="s">
        <v>25</v>
      </c>
      <c r="H471" s="4" t="s">
        <v>25</v>
      </c>
      <c r="I471" s="5">
        <v>44470</v>
      </c>
      <c r="J471" s="6">
        <v>0</v>
      </c>
      <c r="K471" s="6">
        <v>0</v>
      </c>
      <c r="L471" s="6">
        <v>1154.396</v>
      </c>
      <c r="M471" s="6">
        <v>1154.396</v>
      </c>
      <c r="N471" s="6">
        <v>1154.396</v>
      </c>
      <c r="O471" s="6">
        <v>1154.396</v>
      </c>
      <c r="P471" s="6">
        <v>2488</v>
      </c>
      <c r="Q471" s="4" t="s">
        <v>26</v>
      </c>
      <c r="R471" s="4">
        <v>0</v>
      </c>
      <c r="S471" s="4" t="s">
        <v>228</v>
      </c>
      <c r="T471" s="4" t="s">
        <v>389</v>
      </c>
      <c r="U471" s="4">
        <v>0</v>
      </c>
      <c r="V471" s="4">
        <v>16</v>
      </c>
      <c r="W471" s="4">
        <v>54</v>
      </c>
    </row>
    <row r="472" spans="1:23" ht="11.25" customHeight="1" x14ac:dyDescent="0.25">
      <c r="A472" s="4" t="s">
        <v>28</v>
      </c>
      <c r="B472" s="4" t="s">
        <v>41</v>
      </c>
      <c r="C472" s="4" t="s">
        <v>23</v>
      </c>
      <c r="D472" s="4" t="s">
        <v>42</v>
      </c>
      <c r="E472" s="4" t="s">
        <v>25</v>
      </c>
      <c r="F472" s="4" t="s">
        <v>25</v>
      </c>
      <c r="G472" s="4" t="s">
        <v>25</v>
      </c>
      <c r="H472" s="4" t="s">
        <v>25</v>
      </c>
      <c r="I472" s="5">
        <v>44470</v>
      </c>
      <c r="J472" s="6">
        <v>0</v>
      </c>
      <c r="K472" s="6">
        <v>0</v>
      </c>
      <c r="L472" s="6">
        <v>11.291</v>
      </c>
      <c r="M472" s="6">
        <v>11.291</v>
      </c>
      <c r="N472" s="6">
        <v>11.291</v>
      </c>
      <c r="O472" s="6">
        <v>11.291</v>
      </c>
      <c r="P472" s="6">
        <v>12</v>
      </c>
      <c r="Q472" s="4" t="s">
        <v>26</v>
      </c>
      <c r="R472" s="4">
        <v>0</v>
      </c>
      <c r="S472" s="4" t="s">
        <v>228</v>
      </c>
      <c r="T472" s="4" t="s">
        <v>389</v>
      </c>
      <c r="U472" s="4">
        <v>0</v>
      </c>
      <c r="V472" s="4">
        <v>16</v>
      </c>
      <c r="W472" s="4">
        <v>54</v>
      </c>
    </row>
    <row r="473" spans="1:23" ht="11.25" customHeight="1" x14ac:dyDescent="0.25">
      <c r="A473" s="4" t="s">
        <v>21</v>
      </c>
      <c r="B473" s="4" t="s">
        <v>41</v>
      </c>
      <c r="C473" s="4" t="s">
        <v>23</v>
      </c>
      <c r="D473" s="4" t="s">
        <v>42</v>
      </c>
      <c r="E473" s="4" t="s">
        <v>25</v>
      </c>
      <c r="F473" s="4" t="s">
        <v>25</v>
      </c>
      <c r="G473" s="4" t="s">
        <v>25</v>
      </c>
      <c r="H473" s="4" t="s">
        <v>25</v>
      </c>
      <c r="I473" s="5">
        <v>44501</v>
      </c>
      <c r="J473" s="6">
        <v>0</v>
      </c>
      <c r="K473" s="6">
        <v>0</v>
      </c>
      <c r="L473" s="6">
        <v>1512.5139999999999</v>
      </c>
      <c r="M473" s="6">
        <v>1512.5139999999999</v>
      </c>
      <c r="N473" s="6">
        <v>1512.5139999999999</v>
      </c>
      <c r="O473" s="6">
        <v>1512.5139999999999</v>
      </c>
      <c r="P473" s="6">
        <v>2485</v>
      </c>
      <c r="Q473" s="4" t="s">
        <v>26</v>
      </c>
      <c r="R473" s="4">
        <v>0</v>
      </c>
      <c r="S473" s="4" t="s">
        <v>229</v>
      </c>
      <c r="T473" s="4" t="s">
        <v>390</v>
      </c>
      <c r="U473" s="4">
        <v>0</v>
      </c>
      <c r="V473" s="4">
        <v>16</v>
      </c>
      <c r="W473" s="4">
        <v>54</v>
      </c>
    </row>
    <row r="474" spans="1:23" ht="11.25" customHeight="1" x14ac:dyDescent="0.25">
      <c r="A474" s="4" t="s">
        <v>27</v>
      </c>
      <c r="B474" s="4" t="s">
        <v>41</v>
      </c>
      <c r="C474" s="4" t="s">
        <v>23</v>
      </c>
      <c r="D474" s="4" t="s">
        <v>42</v>
      </c>
      <c r="E474" s="4" t="s">
        <v>25</v>
      </c>
      <c r="F474" s="4" t="s">
        <v>25</v>
      </c>
      <c r="G474" s="4" t="s">
        <v>25</v>
      </c>
      <c r="H474" s="4" t="s">
        <v>25</v>
      </c>
      <c r="I474" s="5">
        <v>44501</v>
      </c>
      <c r="J474" s="6">
        <v>0</v>
      </c>
      <c r="K474" s="6">
        <v>0</v>
      </c>
      <c r="L474" s="6">
        <v>-2.9809999999999999</v>
      </c>
      <c r="M474" s="6">
        <v>-2.9809999999999999</v>
      </c>
      <c r="N474" s="6">
        <v>-2.9809999999999999</v>
      </c>
      <c r="O474" s="6">
        <v>-2.9809999999999999</v>
      </c>
      <c r="P474" s="6">
        <v>0</v>
      </c>
      <c r="Q474" s="4" t="s">
        <v>26</v>
      </c>
      <c r="R474" s="4">
        <v>0</v>
      </c>
      <c r="S474" s="4" t="s">
        <v>229</v>
      </c>
      <c r="T474" s="4" t="s">
        <v>390</v>
      </c>
      <c r="U474" s="4">
        <v>0</v>
      </c>
      <c r="V474" s="4">
        <v>16</v>
      </c>
      <c r="W474" s="4">
        <v>54</v>
      </c>
    </row>
    <row r="475" spans="1:23" ht="11.25" customHeight="1" x14ac:dyDescent="0.25">
      <c r="A475" s="4" t="s">
        <v>28</v>
      </c>
      <c r="B475" s="4" t="s">
        <v>41</v>
      </c>
      <c r="C475" s="4" t="s">
        <v>23</v>
      </c>
      <c r="D475" s="4" t="s">
        <v>42</v>
      </c>
      <c r="E475" s="4" t="s">
        <v>25</v>
      </c>
      <c r="F475" s="4" t="s">
        <v>25</v>
      </c>
      <c r="G475" s="4" t="s">
        <v>25</v>
      </c>
      <c r="H475" s="4" t="s">
        <v>25</v>
      </c>
      <c r="I475" s="5">
        <v>44501</v>
      </c>
      <c r="J475" s="6">
        <v>0</v>
      </c>
      <c r="K475" s="6">
        <v>0</v>
      </c>
      <c r="L475" s="6">
        <v>8.0329999999999995</v>
      </c>
      <c r="M475" s="6">
        <v>8.0329999999999995</v>
      </c>
      <c r="N475" s="6">
        <v>8.0329999999999995</v>
      </c>
      <c r="O475" s="6">
        <v>8.0329999999999995</v>
      </c>
      <c r="P475" s="6">
        <v>13</v>
      </c>
      <c r="Q475" s="4" t="s">
        <v>26</v>
      </c>
      <c r="R475" s="4">
        <v>0</v>
      </c>
      <c r="S475" s="4" t="s">
        <v>229</v>
      </c>
      <c r="T475" s="4" t="s">
        <v>390</v>
      </c>
      <c r="U475" s="4">
        <v>0</v>
      </c>
      <c r="V475" s="4">
        <v>16</v>
      </c>
      <c r="W475" s="4">
        <v>54</v>
      </c>
    </row>
    <row r="476" spans="1:23" ht="11.25" customHeight="1" x14ac:dyDescent="0.25">
      <c r="A476" s="4" t="s">
        <v>21</v>
      </c>
      <c r="B476" s="4" t="s">
        <v>41</v>
      </c>
      <c r="C476" s="4" t="s">
        <v>23</v>
      </c>
      <c r="D476" s="4" t="s">
        <v>42</v>
      </c>
      <c r="E476" s="4" t="s">
        <v>25</v>
      </c>
      <c r="F476" s="4" t="s">
        <v>25</v>
      </c>
      <c r="G476" s="4" t="s">
        <v>25</v>
      </c>
      <c r="H476" s="4" t="s">
        <v>25</v>
      </c>
      <c r="I476" s="5">
        <v>44531</v>
      </c>
      <c r="J476" s="6">
        <v>0</v>
      </c>
      <c r="K476" s="6">
        <v>0</v>
      </c>
      <c r="L476" s="6">
        <v>1420.2070000000001</v>
      </c>
      <c r="M476" s="6">
        <v>1420.2070000000001</v>
      </c>
      <c r="N476" s="6">
        <v>1420.2070000000001</v>
      </c>
      <c r="O476" s="6">
        <v>1420.2070000000001</v>
      </c>
      <c r="P476" s="6">
        <v>2491</v>
      </c>
      <c r="Q476" s="4" t="s">
        <v>26</v>
      </c>
      <c r="R476" s="4">
        <v>0</v>
      </c>
      <c r="S476" s="4" t="s">
        <v>230</v>
      </c>
      <c r="T476" s="4" t="s">
        <v>391</v>
      </c>
      <c r="U476" s="4">
        <v>0</v>
      </c>
      <c r="V476" s="4">
        <v>16</v>
      </c>
      <c r="W476" s="4">
        <v>54</v>
      </c>
    </row>
    <row r="477" spans="1:23" ht="11.25" customHeight="1" x14ac:dyDescent="0.25">
      <c r="A477" s="4" t="s">
        <v>27</v>
      </c>
      <c r="B477" s="4" t="s">
        <v>41</v>
      </c>
      <c r="C477" s="4" t="s">
        <v>23</v>
      </c>
      <c r="D477" s="4" t="s">
        <v>42</v>
      </c>
      <c r="E477" s="4" t="s">
        <v>25</v>
      </c>
      <c r="F477" s="4" t="s">
        <v>25</v>
      </c>
      <c r="G477" s="4" t="s">
        <v>25</v>
      </c>
      <c r="H477" s="4" t="s">
        <v>25</v>
      </c>
      <c r="I477" s="5">
        <v>44531</v>
      </c>
      <c r="J477" s="6">
        <v>0</v>
      </c>
      <c r="K477" s="6">
        <v>0</v>
      </c>
      <c r="L477" s="6">
        <v>-0.28699999999999998</v>
      </c>
      <c r="M477" s="6">
        <v>-0.28699999999999998</v>
      </c>
      <c r="N477" s="6">
        <v>-0.28699999999999998</v>
      </c>
      <c r="O477" s="6">
        <v>-0.28699999999999998</v>
      </c>
      <c r="P477" s="6">
        <v>0</v>
      </c>
      <c r="Q477" s="4" t="s">
        <v>26</v>
      </c>
      <c r="R477" s="4">
        <v>0</v>
      </c>
      <c r="S477" s="4" t="s">
        <v>230</v>
      </c>
      <c r="T477" s="4" t="s">
        <v>391</v>
      </c>
      <c r="U477" s="4">
        <v>0</v>
      </c>
      <c r="V477" s="4">
        <v>16</v>
      </c>
      <c r="W477" s="4">
        <v>54</v>
      </c>
    </row>
    <row r="478" spans="1:23" ht="11.25" customHeight="1" x14ac:dyDescent="0.25">
      <c r="A478" s="4" t="s">
        <v>28</v>
      </c>
      <c r="B478" s="4" t="s">
        <v>41</v>
      </c>
      <c r="C478" s="4" t="s">
        <v>23</v>
      </c>
      <c r="D478" s="4" t="s">
        <v>42</v>
      </c>
      <c r="E478" s="4" t="s">
        <v>25</v>
      </c>
      <c r="F478" s="4" t="s">
        <v>25</v>
      </c>
      <c r="G478" s="4" t="s">
        <v>25</v>
      </c>
      <c r="H478" s="4" t="s">
        <v>25</v>
      </c>
      <c r="I478" s="5">
        <v>44531</v>
      </c>
      <c r="J478" s="6">
        <v>0</v>
      </c>
      <c r="K478" s="6">
        <v>0</v>
      </c>
      <c r="L478" s="6">
        <v>11.968</v>
      </c>
      <c r="M478" s="6">
        <v>11.968</v>
      </c>
      <c r="N478" s="6">
        <v>11.968</v>
      </c>
      <c r="O478" s="6">
        <v>11.968</v>
      </c>
      <c r="P478" s="6">
        <v>13</v>
      </c>
      <c r="Q478" s="4" t="s">
        <v>26</v>
      </c>
      <c r="R478" s="4">
        <v>0</v>
      </c>
      <c r="S478" s="4" t="s">
        <v>230</v>
      </c>
      <c r="T478" s="4" t="s">
        <v>391</v>
      </c>
      <c r="U478" s="4">
        <v>0</v>
      </c>
      <c r="V478" s="4">
        <v>16</v>
      </c>
      <c r="W478" s="4">
        <v>54</v>
      </c>
    </row>
    <row r="479" spans="1:23" ht="11.25" customHeight="1" x14ac:dyDescent="0.25">
      <c r="A479" s="4" t="s">
        <v>21</v>
      </c>
      <c r="B479" s="4" t="s">
        <v>41</v>
      </c>
      <c r="C479" s="4" t="s">
        <v>23</v>
      </c>
      <c r="D479" s="4" t="s">
        <v>42</v>
      </c>
      <c r="E479" s="4" t="s">
        <v>25</v>
      </c>
      <c r="F479" s="4" t="s">
        <v>25</v>
      </c>
      <c r="G479" s="4" t="s">
        <v>25</v>
      </c>
      <c r="H479" s="4" t="s">
        <v>25</v>
      </c>
      <c r="I479" s="5">
        <v>44562</v>
      </c>
      <c r="J479" s="6">
        <v>0</v>
      </c>
      <c r="K479" s="6">
        <v>0</v>
      </c>
      <c r="L479" s="6">
        <v>1030.336</v>
      </c>
      <c r="M479" s="6">
        <v>1030.336</v>
      </c>
      <c r="N479" s="6">
        <v>1030.336</v>
      </c>
      <c r="O479" s="6">
        <v>1030.336</v>
      </c>
      <c r="P479" s="6">
        <v>2487</v>
      </c>
      <c r="Q479" s="4" t="s">
        <v>26</v>
      </c>
      <c r="R479" s="4">
        <v>0</v>
      </c>
      <c r="S479" s="4" t="s">
        <v>231</v>
      </c>
      <c r="T479" s="4" t="s">
        <v>392</v>
      </c>
      <c r="U479" s="4">
        <v>0</v>
      </c>
      <c r="V479" s="4">
        <v>16</v>
      </c>
      <c r="W479" s="4">
        <v>54</v>
      </c>
    </row>
    <row r="480" spans="1:23" ht="11.25" customHeight="1" x14ac:dyDescent="0.25">
      <c r="A480" s="4" t="s">
        <v>28</v>
      </c>
      <c r="B480" s="4" t="s">
        <v>41</v>
      </c>
      <c r="C480" s="4" t="s">
        <v>23</v>
      </c>
      <c r="D480" s="4" t="s">
        <v>42</v>
      </c>
      <c r="E480" s="4" t="s">
        <v>25</v>
      </c>
      <c r="F480" s="4" t="s">
        <v>25</v>
      </c>
      <c r="G480" s="4" t="s">
        <v>25</v>
      </c>
      <c r="H480" s="4" t="s">
        <v>25</v>
      </c>
      <c r="I480" s="5">
        <v>44562</v>
      </c>
      <c r="J480" s="6">
        <v>0</v>
      </c>
      <c r="K480" s="6">
        <v>0</v>
      </c>
      <c r="L480" s="6">
        <v>6.9569999999999999</v>
      </c>
      <c r="M480" s="6">
        <v>6.9569999999999999</v>
      </c>
      <c r="N480" s="6">
        <v>6.9569999999999999</v>
      </c>
      <c r="O480" s="6">
        <v>6.9569999999999999</v>
      </c>
      <c r="P480" s="6">
        <v>17</v>
      </c>
      <c r="Q480" s="4" t="s">
        <v>26</v>
      </c>
      <c r="R480" s="4">
        <v>0</v>
      </c>
      <c r="S480" s="4" t="s">
        <v>231</v>
      </c>
      <c r="T480" s="4" t="s">
        <v>392</v>
      </c>
      <c r="U480" s="4">
        <v>0</v>
      </c>
      <c r="V480" s="4">
        <v>16</v>
      </c>
      <c r="W480" s="4">
        <v>54</v>
      </c>
    </row>
    <row r="481" spans="1:23" ht="11.25" customHeight="1" x14ac:dyDescent="0.25">
      <c r="A481" s="4" t="s">
        <v>21</v>
      </c>
      <c r="B481" s="4" t="s">
        <v>41</v>
      </c>
      <c r="C481" s="4" t="s">
        <v>23</v>
      </c>
      <c r="D481" s="4" t="s">
        <v>42</v>
      </c>
      <c r="E481" s="4" t="s">
        <v>25</v>
      </c>
      <c r="F481" s="4" t="s">
        <v>25</v>
      </c>
      <c r="G481" s="4" t="s">
        <v>25</v>
      </c>
      <c r="H481" s="4" t="s">
        <v>25</v>
      </c>
      <c r="I481" s="5">
        <v>44593</v>
      </c>
      <c r="J481" s="6">
        <v>0</v>
      </c>
      <c r="K481" s="6">
        <v>0</v>
      </c>
      <c r="L481" s="6">
        <v>1003.285</v>
      </c>
      <c r="M481" s="6">
        <v>1003.285</v>
      </c>
      <c r="N481" s="6">
        <v>1003.285</v>
      </c>
      <c r="O481" s="6">
        <v>1003.285</v>
      </c>
      <c r="P481" s="6">
        <v>2481</v>
      </c>
      <c r="Q481" s="4" t="s">
        <v>26</v>
      </c>
      <c r="R481" s="4">
        <v>0</v>
      </c>
      <c r="S481" s="4" t="s">
        <v>232</v>
      </c>
      <c r="T481" s="4" t="s">
        <v>393</v>
      </c>
      <c r="U481" s="4">
        <v>0</v>
      </c>
      <c r="V481" s="4">
        <v>16</v>
      </c>
      <c r="W481" s="4">
        <v>54</v>
      </c>
    </row>
    <row r="482" spans="1:23" ht="11.25" customHeight="1" x14ac:dyDescent="0.25">
      <c r="A482" s="4" t="s">
        <v>27</v>
      </c>
      <c r="B482" s="4" t="s">
        <v>41</v>
      </c>
      <c r="C482" s="4" t="s">
        <v>23</v>
      </c>
      <c r="D482" s="4" t="s">
        <v>42</v>
      </c>
      <c r="E482" s="4" t="s">
        <v>25</v>
      </c>
      <c r="F482" s="4" t="s">
        <v>25</v>
      </c>
      <c r="G482" s="4" t="s">
        <v>25</v>
      </c>
      <c r="H482" s="4" t="s">
        <v>25</v>
      </c>
      <c r="I482" s="5">
        <v>44593</v>
      </c>
      <c r="J482" s="6">
        <v>0</v>
      </c>
      <c r="K482" s="6">
        <v>0</v>
      </c>
      <c r="L482" s="6">
        <v>-2.1040000000000001</v>
      </c>
      <c r="M482" s="6">
        <v>-2.1040000000000001</v>
      </c>
      <c r="N482" s="6">
        <v>-2.1040000000000001</v>
      </c>
      <c r="O482" s="6">
        <v>-2.1040000000000001</v>
      </c>
      <c r="P482" s="6">
        <v>0</v>
      </c>
      <c r="Q482" s="4" t="s">
        <v>26</v>
      </c>
      <c r="R482" s="4">
        <v>0</v>
      </c>
      <c r="S482" s="4" t="s">
        <v>232</v>
      </c>
      <c r="T482" s="4" t="s">
        <v>393</v>
      </c>
      <c r="U482" s="4">
        <v>0</v>
      </c>
      <c r="V482" s="4">
        <v>16</v>
      </c>
      <c r="W482" s="4">
        <v>54</v>
      </c>
    </row>
    <row r="483" spans="1:23" ht="11.25" customHeight="1" x14ac:dyDescent="0.25">
      <c r="A483" s="4" t="s">
        <v>28</v>
      </c>
      <c r="B483" s="4" t="s">
        <v>41</v>
      </c>
      <c r="C483" s="4" t="s">
        <v>23</v>
      </c>
      <c r="D483" s="4" t="s">
        <v>42</v>
      </c>
      <c r="E483" s="4" t="s">
        <v>25</v>
      </c>
      <c r="F483" s="4" t="s">
        <v>25</v>
      </c>
      <c r="G483" s="4" t="s">
        <v>25</v>
      </c>
      <c r="H483" s="4" t="s">
        <v>25</v>
      </c>
      <c r="I483" s="5">
        <v>44593</v>
      </c>
      <c r="J483" s="6">
        <v>0</v>
      </c>
      <c r="K483" s="6">
        <v>0</v>
      </c>
      <c r="L483" s="6">
        <v>15.468</v>
      </c>
      <c r="M483" s="6">
        <v>15.468</v>
      </c>
      <c r="N483" s="6">
        <v>15.468</v>
      </c>
      <c r="O483" s="6">
        <v>15.468</v>
      </c>
      <c r="P483" s="6">
        <v>22</v>
      </c>
      <c r="Q483" s="4" t="s">
        <v>26</v>
      </c>
      <c r="R483" s="4">
        <v>0</v>
      </c>
      <c r="S483" s="4" t="s">
        <v>232</v>
      </c>
      <c r="T483" s="4" t="s">
        <v>393</v>
      </c>
      <c r="U483" s="4">
        <v>0</v>
      </c>
      <c r="V483" s="4">
        <v>16</v>
      </c>
      <c r="W483" s="4">
        <v>54</v>
      </c>
    </row>
    <row r="484" spans="1:23" ht="11.25" customHeight="1" x14ac:dyDescent="0.25">
      <c r="A484" s="4" t="s">
        <v>21</v>
      </c>
      <c r="B484" s="4" t="s">
        <v>41</v>
      </c>
      <c r="C484" s="4" t="s">
        <v>23</v>
      </c>
      <c r="D484" s="4" t="s">
        <v>42</v>
      </c>
      <c r="E484" s="4" t="s">
        <v>25</v>
      </c>
      <c r="F484" s="4" t="s">
        <v>25</v>
      </c>
      <c r="G484" s="4" t="s">
        <v>25</v>
      </c>
      <c r="H484" s="4" t="s">
        <v>25</v>
      </c>
      <c r="I484" s="5">
        <v>44621</v>
      </c>
      <c r="J484" s="6">
        <v>0</v>
      </c>
      <c r="K484" s="6">
        <v>0</v>
      </c>
      <c r="L484" s="6">
        <v>877.62300000000005</v>
      </c>
      <c r="M484" s="6">
        <v>877.62300000000005</v>
      </c>
      <c r="N484" s="6">
        <v>877.62300000000005</v>
      </c>
      <c r="O484" s="6">
        <v>877.62300000000005</v>
      </c>
      <c r="P484" s="6">
        <v>2476</v>
      </c>
      <c r="Q484" s="4" t="s">
        <v>26</v>
      </c>
      <c r="R484" s="4">
        <v>0</v>
      </c>
      <c r="S484" s="4" t="s">
        <v>233</v>
      </c>
      <c r="T484" s="4" t="s">
        <v>394</v>
      </c>
      <c r="U484" s="4">
        <v>0</v>
      </c>
      <c r="V484" s="4">
        <v>16</v>
      </c>
      <c r="W484" s="4">
        <v>54</v>
      </c>
    </row>
    <row r="485" spans="1:23" ht="11.25" customHeight="1" x14ac:dyDescent="0.25">
      <c r="A485" s="4" t="s">
        <v>27</v>
      </c>
      <c r="B485" s="4" t="s">
        <v>41</v>
      </c>
      <c r="C485" s="4" t="s">
        <v>23</v>
      </c>
      <c r="D485" s="4" t="s">
        <v>42</v>
      </c>
      <c r="E485" s="4" t="s">
        <v>25</v>
      </c>
      <c r="F485" s="4" t="s">
        <v>25</v>
      </c>
      <c r="G485" s="4" t="s">
        <v>25</v>
      </c>
      <c r="H485" s="4" t="s">
        <v>25</v>
      </c>
      <c r="I485" s="5">
        <v>44621</v>
      </c>
      <c r="J485" s="6">
        <v>0</v>
      </c>
      <c r="K485" s="6">
        <v>0</v>
      </c>
      <c r="L485" s="6">
        <v>-4.6929999999999996</v>
      </c>
      <c r="M485" s="6">
        <v>-4.6929999999999996</v>
      </c>
      <c r="N485" s="6">
        <v>-4.6929999999999996</v>
      </c>
      <c r="O485" s="6">
        <v>-4.6929999999999996</v>
      </c>
      <c r="P485" s="6">
        <v>0</v>
      </c>
      <c r="Q485" s="4" t="s">
        <v>26</v>
      </c>
      <c r="R485" s="4">
        <v>0</v>
      </c>
      <c r="S485" s="4" t="s">
        <v>233</v>
      </c>
      <c r="T485" s="4" t="s">
        <v>394</v>
      </c>
      <c r="U485" s="4">
        <v>0</v>
      </c>
      <c r="V485" s="4">
        <v>16</v>
      </c>
      <c r="W485" s="4">
        <v>54</v>
      </c>
    </row>
    <row r="486" spans="1:23" ht="11.25" customHeight="1" x14ac:dyDescent="0.25">
      <c r="A486" s="4" t="s">
        <v>28</v>
      </c>
      <c r="B486" s="4" t="s">
        <v>41</v>
      </c>
      <c r="C486" s="4" t="s">
        <v>23</v>
      </c>
      <c r="D486" s="4" t="s">
        <v>42</v>
      </c>
      <c r="E486" s="4" t="s">
        <v>25</v>
      </c>
      <c r="F486" s="4" t="s">
        <v>25</v>
      </c>
      <c r="G486" s="4" t="s">
        <v>25</v>
      </c>
      <c r="H486" s="4" t="s">
        <v>25</v>
      </c>
      <c r="I486" s="5">
        <v>44621</v>
      </c>
      <c r="J486" s="6">
        <v>0</v>
      </c>
      <c r="K486" s="6">
        <v>0</v>
      </c>
      <c r="L486" s="6">
        <v>7.75</v>
      </c>
      <c r="M486" s="6">
        <v>7.75</v>
      </c>
      <c r="N486" s="6">
        <v>7.75</v>
      </c>
      <c r="O486" s="6">
        <v>7.75</v>
      </c>
      <c r="P486" s="6">
        <v>25</v>
      </c>
      <c r="Q486" s="4" t="s">
        <v>26</v>
      </c>
      <c r="R486" s="4">
        <v>0</v>
      </c>
      <c r="S486" s="4" t="s">
        <v>233</v>
      </c>
      <c r="T486" s="4" t="s">
        <v>394</v>
      </c>
      <c r="U486" s="4">
        <v>0</v>
      </c>
      <c r="V486" s="4">
        <v>16</v>
      </c>
      <c r="W486" s="4">
        <v>54</v>
      </c>
    </row>
    <row r="487" spans="1:23" ht="11.25" customHeight="1" x14ac:dyDescent="0.25">
      <c r="A487" s="4" t="s">
        <v>21</v>
      </c>
      <c r="B487" s="4" t="s">
        <v>41</v>
      </c>
      <c r="C487" s="4" t="s">
        <v>23</v>
      </c>
      <c r="D487" s="4" t="s">
        <v>42</v>
      </c>
      <c r="E487" s="4" t="s">
        <v>25</v>
      </c>
      <c r="F487" s="4" t="s">
        <v>25</v>
      </c>
      <c r="G487" s="4" t="s">
        <v>25</v>
      </c>
      <c r="H487" s="4" t="s">
        <v>25</v>
      </c>
      <c r="I487" s="5">
        <v>44652</v>
      </c>
      <c r="J487" s="6">
        <v>0</v>
      </c>
      <c r="K487" s="6">
        <v>0</v>
      </c>
      <c r="L487" s="6">
        <v>767.22</v>
      </c>
      <c r="M487" s="6">
        <v>767.22</v>
      </c>
      <c r="N487" s="6">
        <v>767.22</v>
      </c>
      <c r="O487" s="6">
        <v>767.22</v>
      </c>
      <c r="P487" s="6">
        <v>2460</v>
      </c>
      <c r="Q487" s="4" t="s">
        <v>26</v>
      </c>
      <c r="R487" s="4">
        <v>0</v>
      </c>
      <c r="S487" s="4" t="s">
        <v>234</v>
      </c>
      <c r="T487" s="4" t="s">
        <v>395</v>
      </c>
      <c r="U487" s="4">
        <v>0</v>
      </c>
      <c r="V487" s="4">
        <v>16</v>
      </c>
      <c r="W487" s="4">
        <v>54</v>
      </c>
    </row>
    <row r="488" spans="1:23" ht="11.25" customHeight="1" x14ac:dyDescent="0.25">
      <c r="A488" s="4" t="s">
        <v>27</v>
      </c>
      <c r="B488" s="4" t="s">
        <v>41</v>
      </c>
      <c r="C488" s="4" t="s">
        <v>23</v>
      </c>
      <c r="D488" s="4" t="s">
        <v>42</v>
      </c>
      <c r="E488" s="4" t="s">
        <v>25</v>
      </c>
      <c r="F488" s="4" t="s">
        <v>25</v>
      </c>
      <c r="G488" s="4" t="s">
        <v>25</v>
      </c>
      <c r="H488" s="4" t="s">
        <v>25</v>
      </c>
      <c r="I488" s="5">
        <v>44652</v>
      </c>
      <c r="J488" s="6">
        <v>0</v>
      </c>
      <c r="K488" s="6">
        <v>0</v>
      </c>
      <c r="L488" s="6">
        <v>-0.36599999999999999</v>
      </c>
      <c r="M488" s="6">
        <v>-0.36599999999999999</v>
      </c>
      <c r="N488" s="6">
        <v>-0.36599999999999999</v>
      </c>
      <c r="O488" s="6">
        <v>-0.36599999999999999</v>
      </c>
      <c r="P488" s="6">
        <v>0</v>
      </c>
      <c r="Q488" s="4" t="s">
        <v>26</v>
      </c>
      <c r="R488" s="4">
        <v>0</v>
      </c>
      <c r="S488" s="4" t="s">
        <v>234</v>
      </c>
      <c r="T488" s="4" t="s">
        <v>395</v>
      </c>
      <c r="U488" s="4">
        <v>0</v>
      </c>
      <c r="V488" s="4">
        <v>16</v>
      </c>
      <c r="W488" s="4">
        <v>54</v>
      </c>
    </row>
    <row r="489" spans="1:23" ht="11.25" customHeight="1" x14ac:dyDescent="0.25">
      <c r="A489" s="4" t="s">
        <v>28</v>
      </c>
      <c r="B489" s="4" t="s">
        <v>41</v>
      </c>
      <c r="C489" s="4" t="s">
        <v>23</v>
      </c>
      <c r="D489" s="4" t="s">
        <v>42</v>
      </c>
      <c r="E489" s="4" t="s">
        <v>25</v>
      </c>
      <c r="F489" s="4" t="s">
        <v>25</v>
      </c>
      <c r="G489" s="4" t="s">
        <v>25</v>
      </c>
      <c r="H489" s="4" t="s">
        <v>25</v>
      </c>
      <c r="I489" s="5">
        <v>44652</v>
      </c>
      <c r="J489" s="6">
        <v>0</v>
      </c>
      <c r="K489" s="6">
        <v>0</v>
      </c>
      <c r="L489" s="6">
        <v>9.6259999999999994</v>
      </c>
      <c r="M489" s="6">
        <v>9.6259999999999994</v>
      </c>
      <c r="N489" s="6">
        <v>9.6259999999999994</v>
      </c>
      <c r="O489" s="6">
        <v>9.6259999999999994</v>
      </c>
      <c r="P489" s="6">
        <v>29</v>
      </c>
      <c r="Q489" s="4" t="s">
        <v>26</v>
      </c>
      <c r="R489" s="4">
        <v>0</v>
      </c>
      <c r="S489" s="4" t="s">
        <v>234</v>
      </c>
      <c r="T489" s="4" t="s">
        <v>395</v>
      </c>
      <c r="U489" s="4">
        <v>0</v>
      </c>
      <c r="V489" s="4">
        <v>16</v>
      </c>
      <c r="W489" s="4">
        <v>54</v>
      </c>
    </row>
    <row r="490" spans="1:23" ht="11.25" customHeight="1" x14ac:dyDescent="0.25">
      <c r="A490" s="4" t="s">
        <v>21</v>
      </c>
      <c r="B490" s="4" t="s">
        <v>41</v>
      </c>
      <c r="C490" s="4" t="s">
        <v>23</v>
      </c>
      <c r="D490" s="4" t="s">
        <v>42</v>
      </c>
      <c r="E490" s="4" t="s">
        <v>25</v>
      </c>
      <c r="F490" s="4" t="s">
        <v>25</v>
      </c>
      <c r="G490" s="4" t="s">
        <v>25</v>
      </c>
      <c r="H490" s="4" t="s">
        <v>25</v>
      </c>
      <c r="I490" s="5">
        <v>44682</v>
      </c>
      <c r="J490" s="6">
        <v>0</v>
      </c>
      <c r="K490" s="6">
        <v>0</v>
      </c>
      <c r="L490" s="6">
        <v>757.27300000000002</v>
      </c>
      <c r="M490" s="6">
        <v>757.27300000000002</v>
      </c>
      <c r="N490" s="6">
        <v>757.27300000000002</v>
      </c>
      <c r="O490" s="6">
        <v>757.27300000000002</v>
      </c>
      <c r="P490" s="6">
        <v>2458</v>
      </c>
      <c r="Q490" s="4" t="s">
        <v>26</v>
      </c>
      <c r="R490" s="4">
        <v>0</v>
      </c>
      <c r="S490" s="4" t="s">
        <v>235</v>
      </c>
      <c r="T490" s="4" t="s">
        <v>396</v>
      </c>
      <c r="U490" s="4">
        <v>0</v>
      </c>
      <c r="V490" s="4">
        <v>16</v>
      </c>
      <c r="W490" s="4">
        <v>54</v>
      </c>
    </row>
    <row r="491" spans="1:23" ht="11.25" customHeight="1" x14ac:dyDescent="0.25">
      <c r="A491" s="4" t="s">
        <v>28</v>
      </c>
      <c r="B491" s="4" t="s">
        <v>41</v>
      </c>
      <c r="C491" s="4" t="s">
        <v>23</v>
      </c>
      <c r="D491" s="4" t="s">
        <v>42</v>
      </c>
      <c r="E491" s="4" t="s">
        <v>25</v>
      </c>
      <c r="F491" s="4" t="s">
        <v>25</v>
      </c>
      <c r="G491" s="4" t="s">
        <v>25</v>
      </c>
      <c r="H491" s="4" t="s">
        <v>25</v>
      </c>
      <c r="I491" s="5">
        <v>44682</v>
      </c>
      <c r="J491" s="6">
        <v>0</v>
      </c>
      <c r="K491" s="6">
        <v>0</v>
      </c>
      <c r="L491" s="6">
        <v>14.491</v>
      </c>
      <c r="M491" s="6">
        <v>14.491</v>
      </c>
      <c r="N491" s="6">
        <v>14.491</v>
      </c>
      <c r="O491" s="6">
        <v>14.491</v>
      </c>
      <c r="P491" s="6">
        <v>31</v>
      </c>
      <c r="Q491" s="4" t="s">
        <v>26</v>
      </c>
      <c r="R491" s="4">
        <v>0</v>
      </c>
      <c r="S491" s="4" t="s">
        <v>235</v>
      </c>
      <c r="T491" s="4" t="s">
        <v>396</v>
      </c>
      <c r="U491" s="4">
        <v>0</v>
      </c>
      <c r="V491" s="4">
        <v>16</v>
      </c>
      <c r="W491" s="4">
        <v>54</v>
      </c>
    </row>
    <row r="492" spans="1:23" ht="11.25" customHeight="1" x14ac:dyDescent="0.25">
      <c r="A492" s="4" t="s">
        <v>21</v>
      </c>
      <c r="B492" s="4" t="s">
        <v>41</v>
      </c>
      <c r="C492" s="4" t="s">
        <v>23</v>
      </c>
      <c r="D492" s="4" t="s">
        <v>42</v>
      </c>
      <c r="E492" s="4" t="s">
        <v>25</v>
      </c>
      <c r="F492" s="4" t="s">
        <v>25</v>
      </c>
      <c r="G492" s="4" t="s">
        <v>25</v>
      </c>
      <c r="H492" s="4" t="s">
        <v>25</v>
      </c>
      <c r="I492" s="5">
        <v>44713</v>
      </c>
      <c r="J492" s="6">
        <v>0</v>
      </c>
      <c r="K492" s="6">
        <v>0</v>
      </c>
      <c r="L492" s="6">
        <v>687.50599999999997</v>
      </c>
      <c r="M492" s="6">
        <v>687.50599999999997</v>
      </c>
      <c r="N492" s="6">
        <v>687.50599999999997</v>
      </c>
      <c r="O492" s="6">
        <v>687.50599999999997</v>
      </c>
      <c r="P492" s="6">
        <v>2440</v>
      </c>
      <c r="Q492" s="4" t="s">
        <v>26</v>
      </c>
      <c r="R492" s="4">
        <v>0</v>
      </c>
      <c r="S492" s="4" t="s">
        <v>236</v>
      </c>
      <c r="T492" s="4" t="s">
        <v>397</v>
      </c>
      <c r="U492" s="4">
        <v>0</v>
      </c>
      <c r="V492" s="4">
        <v>16</v>
      </c>
      <c r="W492" s="4">
        <v>54</v>
      </c>
    </row>
    <row r="493" spans="1:23" ht="11.25" customHeight="1" x14ac:dyDescent="0.25">
      <c r="A493" s="4" t="s">
        <v>27</v>
      </c>
      <c r="B493" s="4" t="s">
        <v>41</v>
      </c>
      <c r="C493" s="4" t="s">
        <v>23</v>
      </c>
      <c r="D493" s="4" t="s">
        <v>42</v>
      </c>
      <c r="E493" s="4" t="s">
        <v>25</v>
      </c>
      <c r="F493" s="4" t="s">
        <v>25</v>
      </c>
      <c r="G493" s="4" t="s">
        <v>25</v>
      </c>
      <c r="H493" s="4" t="s">
        <v>25</v>
      </c>
      <c r="I493" s="5">
        <v>44713</v>
      </c>
      <c r="J493" s="6">
        <v>0</v>
      </c>
      <c r="K493" s="6">
        <v>0</v>
      </c>
      <c r="L493" s="6">
        <v>-2.6579999999999999</v>
      </c>
      <c r="M493" s="6">
        <v>-2.6579999999999999</v>
      </c>
      <c r="N493" s="6">
        <v>-2.6579999999999999</v>
      </c>
      <c r="O493" s="6">
        <v>-2.6579999999999999</v>
      </c>
      <c r="P493" s="6">
        <v>0</v>
      </c>
      <c r="Q493" s="4" t="s">
        <v>26</v>
      </c>
      <c r="R493" s="4">
        <v>0</v>
      </c>
      <c r="S493" s="4" t="s">
        <v>236</v>
      </c>
      <c r="T493" s="4" t="s">
        <v>397</v>
      </c>
      <c r="U493" s="4">
        <v>0</v>
      </c>
      <c r="V493" s="4">
        <v>16</v>
      </c>
      <c r="W493" s="4">
        <v>54</v>
      </c>
    </row>
    <row r="494" spans="1:23" ht="11.25" customHeight="1" x14ac:dyDescent="0.25">
      <c r="A494" s="4" t="s">
        <v>28</v>
      </c>
      <c r="B494" s="4" t="s">
        <v>41</v>
      </c>
      <c r="C494" s="4" t="s">
        <v>23</v>
      </c>
      <c r="D494" s="4" t="s">
        <v>42</v>
      </c>
      <c r="E494" s="4" t="s">
        <v>25</v>
      </c>
      <c r="F494" s="4" t="s">
        <v>25</v>
      </c>
      <c r="G494" s="4" t="s">
        <v>25</v>
      </c>
      <c r="H494" s="4" t="s">
        <v>25</v>
      </c>
      <c r="I494" s="5">
        <v>44713</v>
      </c>
      <c r="J494" s="6">
        <v>0</v>
      </c>
      <c r="K494" s="6">
        <v>0</v>
      </c>
      <c r="L494" s="6">
        <v>12.61</v>
      </c>
      <c r="M494" s="6">
        <v>12.61</v>
      </c>
      <c r="N494" s="6">
        <v>12.61</v>
      </c>
      <c r="O494" s="6">
        <v>12.61</v>
      </c>
      <c r="P494" s="6">
        <v>37</v>
      </c>
      <c r="Q494" s="4" t="s">
        <v>26</v>
      </c>
      <c r="R494" s="4">
        <v>0</v>
      </c>
      <c r="S494" s="4" t="s">
        <v>236</v>
      </c>
      <c r="T494" s="4" t="s">
        <v>397</v>
      </c>
      <c r="U494" s="4">
        <v>0</v>
      </c>
      <c r="V494" s="4">
        <v>16</v>
      </c>
      <c r="W494" s="4">
        <v>54</v>
      </c>
    </row>
    <row r="495" spans="1:23" ht="11.25" customHeight="1" x14ac:dyDescent="0.25">
      <c r="A495" s="4" t="s">
        <v>55</v>
      </c>
      <c r="B495" s="4" t="s">
        <v>41</v>
      </c>
      <c r="C495" s="4" t="s">
        <v>23</v>
      </c>
      <c r="D495" s="4" t="s">
        <v>42</v>
      </c>
      <c r="E495" s="4" t="s">
        <v>25</v>
      </c>
      <c r="F495" s="4" t="s">
        <v>25</v>
      </c>
      <c r="G495" s="4" t="s">
        <v>25</v>
      </c>
      <c r="H495" s="4" t="s">
        <v>25</v>
      </c>
      <c r="I495" s="5">
        <v>44743</v>
      </c>
      <c r="J495" s="6">
        <v>0</v>
      </c>
      <c r="K495" s="6">
        <v>0</v>
      </c>
      <c r="L495" s="6">
        <v>687.50599999999997</v>
      </c>
      <c r="M495" s="6">
        <v>687.50599999999997</v>
      </c>
      <c r="N495" s="6">
        <v>687.50599999999997</v>
      </c>
      <c r="O495" s="6">
        <v>687.50599999999997</v>
      </c>
      <c r="P495" s="6">
        <v>2440</v>
      </c>
      <c r="Q495" s="4" t="s">
        <v>26</v>
      </c>
      <c r="R495" s="4">
        <v>0</v>
      </c>
      <c r="S495" s="4" t="s">
        <v>237</v>
      </c>
      <c r="T495" s="4" t="s">
        <v>398</v>
      </c>
      <c r="U495" s="4">
        <v>0</v>
      </c>
      <c r="V495" s="4">
        <v>16</v>
      </c>
      <c r="W495" s="4">
        <v>54</v>
      </c>
    </row>
    <row r="496" spans="1:23" ht="11.25" customHeight="1" x14ac:dyDescent="0.25">
      <c r="A496" s="4" t="s">
        <v>55</v>
      </c>
      <c r="B496" s="4" t="s">
        <v>41</v>
      </c>
      <c r="C496" s="4" t="s">
        <v>23</v>
      </c>
      <c r="D496" s="4" t="s">
        <v>42</v>
      </c>
      <c r="E496" s="4" t="s">
        <v>25</v>
      </c>
      <c r="F496" s="4" t="s">
        <v>25</v>
      </c>
      <c r="G496" s="4" t="s">
        <v>25</v>
      </c>
      <c r="H496" s="4" t="s">
        <v>25</v>
      </c>
      <c r="I496" s="5">
        <v>44743</v>
      </c>
      <c r="J496" s="6">
        <v>0</v>
      </c>
      <c r="K496" s="6">
        <v>0</v>
      </c>
      <c r="L496" s="6">
        <v>-2.6579999999999999</v>
      </c>
      <c r="M496" s="6">
        <v>-2.6579999999999999</v>
      </c>
      <c r="N496" s="6">
        <v>-2.6579999999999999</v>
      </c>
      <c r="O496" s="6">
        <v>-2.6579999999999999</v>
      </c>
      <c r="P496" s="6">
        <v>0</v>
      </c>
      <c r="Q496" s="4" t="s">
        <v>26</v>
      </c>
      <c r="R496" s="4">
        <v>0</v>
      </c>
      <c r="S496" s="4" t="s">
        <v>237</v>
      </c>
      <c r="T496" s="4" t="s">
        <v>398</v>
      </c>
      <c r="U496" s="4">
        <v>0</v>
      </c>
      <c r="V496" s="4">
        <v>16</v>
      </c>
      <c r="W496" s="4">
        <v>54</v>
      </c>
    </row>
    <row r="497" spans="1:23" ht="11.25" customHeight="1" x14ac:dyDescent="0.25">
      <c r="A497" s="4" t="s">
        <v>55</v>
      </c>
      <c r="B497" s="4" t="s">
        <v>41</v>
      </c>
      <c r="C497" s="4" t="s">
        <v>23</v>
      </c>
      <c r="D497" s="4" t="s">
        <v>42</v>
      </c>
      <c r="E497" s="4" t="s">
        <v>25</v>
      </c>
      <c r="F497" s="4" t="s">
        <v>25</v>
      </c>
      <c r="G497" s="4" t="s">
        <v>25</v>
      </c>
      <c r="H497" s="4" t="s">
        <v>25</v>
      </c>
      <c r="I497" s="5">
        <v>44743</v>
      </c>
      <c r="J497" s="6">
        <v>0</v>
      </c>
      <c r="K497" s="6">
        <v>0</v>
      </c>
      <c r="L497" s="6">
        <v>12.61</v>
      </c>
      <c r="M497" s="6">
        <v>12.61</v>
      </c>
      <c r="N497" s="6">
        <v>12.61</v>
      </c>
      <c r="O497" s="6">
        <v>12.61</v>
      </c>
      <c r="P497" s="6">
        <v>37</v>
      </c>
      <c r="Q497" s="4" t="s">
        <v>26</v>
      </c>
      <c r="R497" s="4">
        <v>0</v>
      </c>
      <c r="S497" s="4" t="s">
        <v>237</v>
      </c>
      <c r="T497" s="4" t="s">
        <v>398</v>
      </c>
      <c r="U497" s="4">
        <v>0</v>
      </c>
      <c r="V497" s="4">
        <v>16</v>
      </c>
      <c r="W497" s="4">
        <v>54</v>
      </c>
    </row>
    <row r="498" spans="1:23" ht="11.25" customHeight="1" x14ac:dyDescent="0.25">
      <c r="A498" s="4" t="s">
        <v>21</v>
      </c>
      <c r="B498" s="4" t="s">
        <v>33</v>
      </c>
      <c r="C498" s="4" t="s">
        <v>50</v>
      </c>
      <c r="D498" s="4" t="s">
        <v>49</v>
      </c>
      <c r="E498" s="4" t="s">
        <v>25</v>
      </c>
      <c r="F498" s="4" t="s">
        <v>25</v>
      </c>
      <c r="G498" s="4" t="s">
        <v>25</v>
      </c>
      <c r="H498" s="4" t="s">
        <v>38</v>
      </c>
      <c r="I498" s="5">
        <v>44409</v>
      </c>
      <c r="J498" s="6">
        <v>0</v>
      </c>
      <c r="K498" s="6">
        <v>0</v>
      </c>
      <c r="L498" s="6">
        <v>1.34</v>
      </c>
      <c r="M498" s="6">
        <v>1.34</v>
      </c>
      <c r="N498" s="6">
        <v>1.34</v>
      </c>
      <c r="O498" s="6">
        <v>1.34</v>
      </c>
      <c r="P498" s="6">
        <v>0</v>
      </c>
      <c r="Q498" s="4" t="s">
        <v>26</v>
      </c>
      <c r="R498" s="4">
        <v>0</v>
      </c>
      <c r="S498" s="4" t="s">
        <v>238</v>
      </c>
      <c r="T498" s="4" t="s">
        <v>399</v>
      </c>
      <c r="U498" s="4">
        <v>0</v>
      </c>
      <c r="V498" s="4">
        <v>31</v>
      </c>
      <c r="W498" s="4">
        <v>83</v>
      </c>
    </row>
    <row r="499" spans="1:23" ht="11.25" customHeight="1" x14ac:dyDescent="0.25">
      <c r="A499" s="4" t="s">
        <v>21</v>
      </c>
      <c r="B499" s="4" t="s">
        <v>33</v>
      </c>
      <c r="C499" s="4" t="s">
        <v>50</v>
      </c>
      <c r="D499" s="4" t="s">
        <v>49</v>
      </c>
      <c r="E499" s="4" t="s">
        <v>25</v>
      </c>
      <c r="F499" s="4" t="s">
        <v>25</v>
      </c>
      <c r="G499" s="4" t="s">
        <v>25</v>
      </c>
      <c r="H499" s="4" t="s">
        <v>38</v>
      </c>
      <c r="I499" s="5">
        <v>44440</v>
      </c>
      <c r="J499" s="6">
        <v>0</v>
      </c>
      <c r="K499" s="6">
        <v>0</v>
      </c>
      <c r="L499" s="6">
        <v>1.484</v>
      </c>
      <c r="M499" s="6">
        <v>1.484</v>
      </c>
      <c r="N499" s="6">
        <v>1.484</v>
      </c>
      <c r="O499" s="6">
        <v>1.484</v>
      </c>
      <c r="P499" s="6">
        <v>0</v>
      </c>
      <c r="Q499" s="4" t="s">
        <v>26</v>
      </c>
      <c r="R499" s="4">
        <v>0</v>
      </c>
      <c r="S499" s="4" t="s">
        <v>239</v>
      </c>
      <c r="T499" s="4" t="s">
        <v>400</v>
      </c>
      <c r="U499" s="4">
        <v>0</v>
      </c>
      <c r="V499" s="4">
        <v>31</v>
      </c>
      <c r="W499" s="4">
        <v>83</v>
      </c>
    </row>
    <row r="500" spans="1:23" ht="11.25" customHeight="1" x14ac:dyDescent="0.25">
      <c r="A500" s="4" t="s">
        <v>21</v>
      </c>
      <c r="B500" s="4" t="s">
        <v>33</v>
      </c>
      <c r="C500" s="4" t="s">
        <v>50</v>
      </c>
      <c r="D500" s="4" t="s">
        <v>49</v>
      </c>
      <c r="E500" s="4" t="s">
        <v>25</v>
      </c>
      <c r="F500" s="4" t="s">
        <v>25</v>
      </c>
      <c r="G500" s="4" t="s">
        <v>25</v>
      </c>
      <c r="H500" s="4" t="s">
        <v>38</v>
      </c>
      <c r="I500" s="5">
        <v>44470</v>
      </c>
      <c r="J500" s="6">
        <v>0</v>
      </c>
      <c r="K500" s="6">
        <v>0</v>
      </c>
      <c r="L500" s="6">
        <v>1.3839999999999999</v>
      </c>
      <c r="M500" s="6">
        <v>1.3839999999999999</v>
      </c>
      <c r="N500" s="6">
        <v>1.3839999999999999</v>
      </c>
      <c r="O500" s="6">
        <v>1.3839999999999999</v>
      </c>
      <c r="P500" s="6">
        <v>0</v>
      </c>
      <c r="Q500" s="4" t="s">
        <v>26</v>
      </c>
      <c r="R500" s="4">
        <v>0</v>
      </c>
      <c r="S500" s="4" t="s">
        <v>240</v>
      </c>
      <c r="T500" s="4" t="s">
        <v>401</v>
      </c>
      <c r="U500" s="4">
        <v>0</v>
      </c>
      <c r="V500" s="4">
        <v>31</v>
      </c>
      <c r="W500" s="4">
        <v>83</v>
      </c>
    </row>
    <row r="501" spans="1:23" ht="11.25" customHeight="1" x14ac:dyDescent="0.25">
      <c r="A501" s="4" t="s">
        <v>21</v>
      </c>
      <c r="B501" s="4" t="s">
        <v>33</v>
      </c>
      <c r="C501" s="4" t="s">
        <v>50</v>
      </c>
      <c r="D501" s="4" t="s">
        <v>49</v>
      </c>
      <c r="E501" s="4" t="s">
        <v>25</v>
      </c>
      <c r="F501" s="4" t="s">
        <v>25</v>
      </c>
      <c r="G501" s="4" t="s">
        <v>25</v>
      </c>
      <c r="H501" s="4" t="s">
        <v>38</v>
      </c>
      <c r="I501" s="5">
        <v>44501</v>
      </c>
      <c r="J501" s="6">
        <v>0</v>
      </c>
      <c r="K501" s="6">
        <v>0</v>
      </c>
      <c r="L501" s="6">
        <v>1.597</v>
      </c>
      <c r="M501" s="6">
        <v>1.597</v>
      </c>
      <c r="N501" s="6">
        <v>1.597</v>
      </c>
      <c r="O501" s="6">
        <v>1.597</v>
      </c>
      <c r="P501" s="6">
        <v>0</v>
      </c>
      <c r="Q501" s="4" t="s">
        <v>26</v>
      </c>
      <c r="R501" s="4">
        <v>0</v>
      </c>
      <c r="S501" s="4" t="s">
        <v>241</v>
      </c>
      <c r="T501" s="4" t="s">
        <v>402</v>
      </c>
      <c r="U501" s="4">
        <v>0</v>
      </c>
      <c r="V501" s="4">
        <v>31</v>
      </c>
      <c r="W501" s="4">
        <v>83</v>
      </c>
    </row>
    <row r="502" spans="1:23" ht="11.25" customHeight="1" x14ac:dyDescent="0.25">
      <c r="A502" s="4" t="s">
        <v>21</v>
      </c>
      <c r="B502" s="4" t="s">
        <v>33</v>
      </c>
      <c r="C502" s="4" t="s">
        <v>50</v>
      </c>
      <c r="D502" s="4" t="s">
        <v>49</v>
      </c>
      <c r="E502" s="4" t="s">
        <v>25</v>
      </c>
      <c r="F502" s="4" t="s">
        <v>25</v>
      </c>
      <c r="G502" s="4" t="s">
        <v>25</v>
      </c>
      <c r="H502" s="4" t="s">
        <v>38</v>
      </c>
      <c r="I502" s="5">
        <v>44531</v>
      </c>
      <c r="J502" s="6">
        <v>0</v>
      </c>
      <c r="K502" s="6">
        <v>0</v>
      </c>
      <c r="L502" s="6">
        <v>2.2639999999999998</v>
      </c>
      <c r="M502" s="6">
        <v>2.2639999999999998</v>
      </c>
      <c r="N502" s="6">
        <v>2.2639999999999998</v>
      </c>
      <c r="O502" s="6">
        <v>2.2639999999999998</v>
      </c>
      <c r="P502" s="6">
        <v>0</v>
      </c>
      <c r="Q502" s="4" t="s">
        <v>26</v>
      </c>
      <c r="R502" s="4">
        <v>0</v>
      </c>
      <c r="S502" s="4" t="s">
        <v>242</v>
      </c>
      <c r="T502" s="4" t="s">
        <v>403</v>
      </c>
      <c r="U502" s="4">
        <v>0</v>
      </c>
      <c r="V502" s="4">
        <v>31</v>
      </c>
      <c r="W502" s="4">
        <v>83</v>
      </c>
    </row>
    <row r="503" spans="1:23" ht="11.25" customHeight="1" x14ac:dyDescent="0.25">
      <c r="A503" s="4" t="s">
        <v>21</v>
      </c>
      <c r="B503" s="4" t="s">
        <v>33</v>
      </c>
      <c r="C503" s="4" t="s">
        <v>50</v>
      </c>
      <c r="D503" s="4" t="s">
        <v>49</v>
      </c>
      <c r="E503" s="4" t="s">
        <v>25</v>
      </c>
      <c r="F503" s="4" t="s">
        <v>25</v>
      </c>
      <c r="G503" s="4" t="s">
        <v>25</v>
      </c>
      <c r="H503" s="4" t="s">
        <v>38</v>
      </c>
      <c r="I503" s="5">
        <v>44562</v>
      </c>
      <c r="J503" s="6">
        <v>0</v>
      </c>
      <c r="K503" s="6">
        <v>0</v>
      </c>
      <c r="L503" s="6">
        <v>3.24</v>
      </c>
      <c r="M503" s="6">
        <v>3.24</v>
      </c>
      <c r="N503" s="6">
        <v>3.24</v>
      </c>
      <c r="O503" s="6">
        <v>3.24</v>
      </c>
      <c r="P503" s="6">
        <v>0</v>
      </c>
      <c r="Q503" s="4" t="s">
        <v>26</v>
      </c>
      <c r="R503" s="4">
        <v>0</v>
      </c>
      <c r="S503" s="4" t="s">
        <v>243</v>
      </c>
      <c r="T503" s="4" t="s">
        <v>404</v>
      </c>
      <c r="U503" s="4">
        <v>0</v>
      </c>
      <c r="V503" s="4">
        <v>31</v>
      </c>
      <c r="W503" s="4">
        <v>83</v>
      </c>
    </row>
    <row r="504" spans="1:23" ht="11.25" customHeight="1" x14ac:dyDescent="0.25">
      <c r="A504" s="4" t="s">
        <v>21</v>
      </c>
      <c r="B504" s="4" t="s">
        <v>33</v>
      </c>
      <c r="C504" s="4" t="s">
        <v>50</v>
      </c>
      <c r="D504" s="4" t="s">
        <v>49</v>
      </c>
      <c r="E504" s="4" t="s">
        <v>25</v>
      </c>
      <c r="F504" s="4" t="s">
        <v>25</v>
      </c>
      <c r="G504" s="4" t="s">
        <v>25</v>
      </c>
      <c r="H504" s="4" t="s">
        <v>38</v>
      </c>
      <c r="I504" s="5">
        <v>44593</v>
      </c>
      <c r="J504" s="6">
        <v>0</v>
      </c>
      <c r="K504" s="6">
        <v>0</v>
      </c>
      <c r="L504" s="6">
        <v>4.7839999999999998</v>
      </c>
      <c r="M504" s="6">
        <v>4.7839999999999998</v>
      </c>
      <c r="N504" s="6">
        <v>4.7839999999999998</v>
      </c>
      <c r="O504" s="6">
        <v>4.7839999999999998</v>
      </c>
      <c r="P504" s="6">
        <v>0</v>
      </c>
      <c r="Q504" s="4" t="s">
        <v>26</v>
      </c>
      <c r="R504" s="4">
        <v>0</v>
      </c>
      <c r="S504" s="4" t="s">
        <v>244</v>
      </c>
      <c r="T504" s="4" t="s">
        <v>405</v>
      </c>
      <c r="U504" s="4">
        <v>0</v>
      </c>
      <c r="V504" s="4">
        <v>31</v>
      </c>
      <c r="W504" s="4">
        <v>83</v>
      </c>
    </row>
    <row r="505" spans="1:23" ht="11.25" customHeight="1" x14ac:dyDescent="0.25">
      <c r="A505" s="4" t="s">
        <v>21</v>
      </c>
      <c r="B505" s="4" t="s">
        <v>33</v>
      </c>
      <c r="C505" s="4" t="s">
        <v>50</v>
      </c>
      <c r="D505" s="4" t="s">
        <v>49</v>
      </c>
      <c r="E505" s="4" t="s">
        <v>25</v>
      </c>
      <c r="F505" s="4" t="s">
        <v>25</v>
      </c>
      <c r="G505" s="4" t="s">
        <v>25</v>
      </c>
      <c r="H505" s="4" t="s">
        <v>38</v>
      </c>
      <c r="I505" s="5">
        <v>44621</v>
      </c>
      <c r="J505" s="6">
        <v>0</v>
      </c>
      <c r="K505" s="6">
        <v>0</v>
      </c>
      <c r="L505" s="6">
        <v>3.4209999999999998</v>
      </c>
      <c r="M505" s="6">
        <v>3.4209999999999998</v>
      </c>
      <c r="N505" s="6">
        <v>3.4209999999999998</v>
      </c>
      <c r="O505" s="6">
        <v>3.4209999999999998</v>
      </c>
      <c r="P505" s="6">
        <v>0</v>
      </c>
      <c r="Q505" s="4" t="s">
        <v>26</v>
      </c>
      <c r="R505" s="4">
        <v>0</v>
      </c>
      <c r="S505" s="4" t="s">
        <v>245</v>
      </c>
      <c r="T505" s="4" t="s">
        <v>406</v>
      </c>
      <c r="U505" s="4">
        <v>0</v>
      </c>
      <c r="V505" s="4">
        <v>31</v>
      </c>
      <c r="W505" s="4">
        <v>83</v>
      </c>
    </row>
    <row r="506" spans="1:23" ht="11.25" customHeight="1" x14ac:dyDescent="0.25">
      <c r="A506" s="4" t="s">
        <v>21</v>
      </c>
      <c r="B506" s="4" t="s">
        <v>33</v>
      </c>
      <c r="C506" s="4" t="s">
        <v>50</v>
      </c>
      <c r="D506" s="4" t="s">
        <v>49</v>
      </c>
      <c r="E506" s="4" t="s">
        <v>25</v>
      </c>
      <c r="F506" s="4" t="s">
        <v>25</v>
      </c>
      <c r="G506" s="4" t="s">
        <v>25</v>
      </c>
      <c r="H506" s="4" t="s">
        <v>38</v>
      </c>
      <c r="I506" s="5">
        <v>44652</v>
      </c>
      <c r="J506" s="6">
        <v>0</v>
      </c>
      <c r="K506" s="6">
        <v>0</v>
      </c>
      <c r="L506" s="6">
        <v>3.141</v>
      </c>
      <c r="M506" s="6">
        <v>3.141</v>
      </c>
      <c r="N506" s="6">
        <v>3.141</v>
      </c>
      <c r="O506" s="6">
        <v>3.141</v>
      </c>
      <c r="P506" s="6">
        <v>0</v>
      </c>
      <c r="Q506" s="4" t="s">
        <v>26</v>
      </c>
      <c r="R506" s="4">
        <v>0</v>
      </c>
      <c r="S506" s="4" t="s">
        <v>246</v>
      </c>
      <c r="T506" s="4" t="s">
        <v>407</v>
      </c>
      <c r="U506" s="4">
        <v>0</v>
      </c>
      <c r="V506" s="4">
        <v>31</v>
      </c>
      <c r="W506" s="4">
        <v>83</v>
      </c>
    </row>
    <row r="507" spans="1:23" ht="11.25" customHeight="1" x14ac:dyDescent="0.25">
      <c r="A507" s="4" t="s">
        <v>21</v>
      </c>
      <c r="B507" s="4" t="s">
        <v>33</v>
      </c>
      <c r="C507" s="4" t="s">
        <v>50</v>
      </c>
      <c r="D507" s="4" t="s">
        <v>49</v>
      </c>
      <c r="E507" s="4" t="s">
        <v>25</v>
      </c>
      <c r="F507" s="4" t="s">
        <v>25</v>
      </c>
      <c r="G507" s="4" t="s">
        <v>25</v>
      </c>
      <c r="H507" s="4" t="s">
        <v>38</v>
      </c>
      <c r="I507" s="5">
        <v>44682</v>
      </c>
      <c r="J507" s="6">
        <v>0</v>
      </c>
      <c r="K507" s="6">
        <v>0</v>
      </c>
      <c r="L507" s="6">
        <v>1.8620000000000001</v>
      </c>
      <c r="M507" s="6">
        <v>1.8620000000000001</v>
      </c>
      <c r="N507" s="6">
        <v>1.8620000000000001</v>
      </c>
      <c r="O507" s="6">
        <v>1.8620000000000001</v>
      </c>
      <c r="P507" s="6">
        <v>0</v>
      </c>
      <c r="Q507" s="4" t="s">
        <v>26</v>
      </c>
      <c r="R507" s="4">
        <v>0</v>
      </c>
      <c r="S507" s="4" t="s">
        <v>247</v>
      </c>
      <c r="T507" s="4" t="s">
        <v>408</v>
      </c>
      <c r="U507" s="4">
        <v>0</v>
      </c>
      <c r="V507" s="4">
        <v>31</v>
      </c>
      <c r="W507" s="4">
        <v>83</v>
      </c>
    </row>
    <row r="508" spans="1:23" ht="11.25" customHeight="1" x14ac:dyDescent="0.25">
      <c r="A508" s="4" t="s">
        <v>21</v>
      </c>
      <c r="B508" s="4" t="s">
        <v>33</v>
      </c>
      <c r="C508" s="4" t="s">
        <v>50</v>
      </c>
      <c r="D508" s="4" t="s">
        <v>49</v>
      </c>
      <c r="E508" s="4" t="s">
        <v>25</v>
      </c>
      <c r="F508" s="4" t="s">
        <v>25</v>
      </c>
      <c r="G508" s="4" t="s">
        <v>25</v>
      </c>
      <c r="H508" s="4" t="s">
        <v>38</v>
      </c>
      <c r="I508" s="5">
        <v>44713</v>
      </c>
      <c r="J508" s="6">
        <v>0</v>
      </c>
      <c r="K508" s="6">
        <v>0</v>
      </c>
      <c r="L508" s="6">
        <v>1.3380000000000001</v>
      </c>
      <c r="M508" s="6">
        <v>1.3380000000000001</v>
      </c>
      <c r="N508" s="6">
        <v>1.3380000000000001</v>
      </c>
      <c r="O508" s="6">
        <v>1.3380000000000001</v>
      </c>
      <c r="P508" s="6">
        <v>0</v>
      </c>
      <c r="Q508" s="4" t="s">
        <v>26</v>
      </c>
      <c r="R508" s="4">
        <v>0</v>
      </c>
      <c r="S508" s="4" t="s">
        <v>248</v>
      </c>
      <c r="T508" s="4" t="s">
        <v>409</v>
      </c>
      <c r="U508" s="4">
        <v>0</v>
      </c>
      <c r="V508" s="4">
        <v>31</v>
      </c>
      <c r="W508" s="4">
        <v>83</v>
      </c>
    </row>
    <row r="509" spans="1:23" ht="11.25" customHeight="1" x14ac:dyDescent="0.25">
      <c r="A509" s="4" t="s">
        <v>55</v>
      </c>
      <c r="B509" s="4" t="s">
        <v>33</v>
      </c>
      <c r="C509" s="4" t="s">
        <v>50</v>
      </c>
      <c r="D509" s="4" t="s">
        <v>49</v>
      </c>
      <c r="E509" s="4" t="s">
        <v>25</v>
      </c>
      <c r="F509" s="4" t="s">
        <v>25</v>
      </c>
      <c r="G509" s="4" t="s">
        <v>25</v>
      </c>
      <c r="H509" s="4" t="s">
        <v>38</v>
      </c>
      <c r="I509" s="5">
        <v>44743</v>
      </c>
      <c r="J509" s="6">
        <v>0</v>
      </c>
      <c r="K509" s="6">
        <v>0</v>
      </c>
      <c r="L509" s="6">
        <v>1.3380000000000001</v>
      </c>
      <c r="M509" s="6">
        <v>1.3380000000000001</v>
      </c>
      <c r="N509" s="6">
        <v>1.3380000000000001</v>
      </c>
      <c r="O509" s="6">
        <v>1.3380000000000001</v>
      </c>
      <c r="P509" s="6">
        <v>0</v>
      </c>
      <c r="Q509" s="4" t="s">
        <v>26</v>
      </c>
      <c r="R509" s="4">
        <v>0</v>
      </c>
      <c r="S509" s="4" t="s">
        <v>249</v>
      </c>
      <c r="T509" s="4" t="s">
        <v>410</v>
      </c>
      <c r="U509" s="4">
        <v>0</v>
      </c>
      <c r="V509" s="4">
        <v>31</v>
      </c>
      <c r="W509" s="4">
        <v>83</v>
      </c>
    </row>
    <row r="510" spans="1:23" ht="11.25" customHeight="1" x14ac:dyDescent="0.25">
      <c r="A510" s="4" t="s">
        <v>21</v>
      </c>
      <c r="B510" s="4" t="s">
        <v>33</v>
      </c>
      <c r="C510" s="4" t="s">
        <v>50</v>
      </c>
      <c r="D510" s="4" t="s">
        <v>49</v>
      </c>
      <c r="E510" s="4" t="s">
        <v>25</v>
      </c>
      <c r="F510" s="4" t="s">
        <v>25</v>
      </c>
      <c r="G510" s="4" t="s">
        <v>25</v>
      </c>
      <c r="H510" s="4" t="s">
        <v>51</v>
      </c>
      <c r="I510" s="5">
        <v>44409</v>
      </c>
      <c r="J510" s="6">
        <v>0</v>
      </c>
      <c r="K510" s="6">
        <v>0</v>
      </c>
      <c r="L510" s="6">
        <v>8.7999999999999995E-2</v>
      </c>
      <c r="M510" s="6">
        <v>8.7999999999999995E-2</v>
      </c>
      <c r="N510" s="6">
        <v>8.7999999999999995E-2</v>
      </c>
      <c r="O510" s="6">
        <v>8.7999999999999995E-2</v>
      </c>
      <c r="P510" s="6">
        <v>0</v>
      </c>
      <c r="Q510" s="4" t="s">
        <v>26</v>
      </c>
      <c r="R510" s="4">
        <v>0</v>
      </c>
      <c r="S510" s="4" t="s">
        <v>250</v>
      </c>
      <c r="T510" s="4" t="s">
        <v>411</v>
      </c>
      <c r="U510" s="4">
        <v>0</v>
      </c>
      <c r="V510" s="4">
        <v>81</v>
      </c>
      <c r="W510" s="4">
        <v>55</v>
      </c>
    </row>
    <row r="511" spans="1:23" ht="11.25" customHeight="1" x14ac:dyDescent="0.25">
      <c r="A511" s="4" t="s">
        <v>21</v>
      </c>
      <c r="B511" s="4" t="s">
        <v>33</v>
      </c>
      <c r="C511" s="4" t="s">
        <v>50</v>
      </c>
      <c r="D511" s="4" t="s">
        <v>49</v>
      </c>
      <c r="E511" s="4" t="s">
        <v>25</v>
      </c>
      <c r="F511" s="4" t="s">
        <v>25</v>
      </c>
      <c r="G511" s="4" t="s">
        <v>25</v>
      </c>
      <c r="H511" s="4" t="s">
        <v>51</v>
      </c>
      <c r="I511" s="5">
        <v>44440</v>
      </c>
      <c r="J511" s="6">
        <v>0</v>
      </c>
      <c r="K511" s="6">
        <v>0</v>
      </c>
      <c r="L511" s="6">
        <v>0.10100000000000001</v>
      </c>
      <c r="M511" s="6">
        <v>0.10100000000000001</v>
      </c>
      <c r="N511" s="6">
        <v>0.10100000000000001</v>
      </c>
      <c r="O511" s="6">
        <v>0.10100000000000001</v>
      </c>
      <c r="P511" s="6">
        <v>0</v>
      </c>
      <c r="Q511" s="4" t="s">
        <v>26</v>
      </c>
      <c r="R511" s="4">
        <v>0</v>
      </c>
      <c r="S511" s="4" t="s">
        <v>251</v>
      </c>
      <c r="T511" s="4" t="s">
        <v>412</v>
      </c>
      <c r="U511" s="4">
        <v>0</v>
      </c>
      <c r="V511" s="4">
        <v>81</v>
      </c>
      <c r="W511" s="4">
        <v>55</v>
      </c>
    </row>
    <row r="512" spans="1:23" ht="11.25" customHeight="1" x14ac:dyDescent="0.25">
      <c r="A512" s="4" t="s">
        <v>21</v>
      </c>
      <c r="B512" s="4" t="s">
        <v>33</v>
      </c>
      <c r="C512" s="4" t="s">
        <v>50</v>
      </c>
      <c r="D512" s="4" t="s">
        <v>49</v>
      </c>
      <c r="E512" s="4" t="s">
        <v>25</v>
      </c>
      <c r="F512" s="4" t="s">
        <v>25</v>
      </c>
      <c r="G512" s="4" t="s">
        <v>25</v>
      </c>
      <c r="H512" s="4" t="s">
        <v>51</v>
      </c>
      <c r="I512" s="5">
        <v>44470</v>
      </c>
      <c r="J512" s="6">
        <v>0</v>
      </c>
      <c r="K512" s="6">
        <v>0</v>
      </c>
      <c r="L512" s="6">
        <v>9.0999999999999998E-2</v>
      </c>
      <c r="M512" s="6">
        <v>9.0999999999999998E-2</v>
      </c>
      <c r="N512" s="6">
        <v>9.0999999999999998E-2</v>
      </c>
      <c r="O512" s="6">
        <v>9.0999999999999998E-2</v>
      </c>
      <c r="P512" s="6">
        <v>0</v>
      </c>
      <c r="Q512" s="4" t="s">
        <v>26</v>
      </c>
      <c r="R512" s="4">
        <v>0</v>
      </c>
      <c r="S512" s="4" t="s">
        <v>252</v>
      </c>
      <c r="T512" s="4" t="s">
        <v>413</v>
      </c>
      <c r="U512" s="4">
        <v>0</v>
      </c>
      <c r="V512" s="4">
        <v>81</v>
      </c>
      <c r="W512" s="4">
        <v>55</v>
      </c>
    </row>
    <row r="513" spans="1:23" ht="11.25" customHeight="1" x14ac:dyDescent="0.25">
      <c r="A513" s="4" t="s">
        <v>21</v>
      </c>
      <c r="B513" s="4" t="s">
        <v>33</v>
      </c>
      <c r="C513" s="4" t="s">
        <v>50</v>
      </c>
      <c r="D513" s="4" t="s">
        <v>49</v>
      </c>
      <c r="E513" s="4" t="s">
        <v>25</v>
      </c>
      <c r="F513" s="4" t="s">
        <v>25</v>
      </c>
      <c r="G513" s="4" t="s">
        <v>25</v>
      </c>
      <c r="H513" s="4" t="s">
        <v>51</v>
      </c>
      <c r="I513" s="5">
        <v>44501</v>
      </c>
      <c r="J513" s="6">
        <v>0</v>
      </c>
      <c r="K513" s="6">
        <v>0</v>
      </c>
      <c r="L513" s="6">
        <v>9.8000000000000004E-2</v>
      </c>
      <c r="M513" s="6">
        <v>9.8000000000000004E-2</v>
      </c>
      <c r="N513" s="6">
        <v>9.8000000000000004E-2</v>
      </c>
      <c r="O513" s="6">
        <v>9.8000000000000004E-2</v>
      </c>
      <c r="P513" s="6">
        <v>0</v>
      </c>
      <c r="Q513" s="4" t="s">
        <v>26</v>
      </c>
      <c r="R513" s="4">
        <v>0</v>
      </c>
      <c r="S513" s="4" t="s">
        <v>253</v>
      </c>
      <c r="T513" s="4" t="s">
        <v>414</v>
      </c>
      <c r="U513" s="4">
        <v>0</v>
      </c>
      <c r="V513" s="4">
        <v>81</v>
      </c>
      <c r="W513" s="4">
        <v>55</v>
      </c>
    </row>
    <row r="514" spans="1:23" ht="11.25" customHeight="1" x14ac:dyDescent="0.25">
      <c r="A514" s="4" t="s">
        <v>21</v>
      </c>
      <c r="B514" s="4" t="s">
        <v>33</v>
      </c>
      <c r="C514" s="4" t="s">
        <v>50</v>
      </c>
      <c r="D514" s="4" t="s">
        <v>49</v>
      </c>
      <c r="E514" s="4" t="s">
        <v>25</v>
      </c>
      <c r="F514" s="4" t="s">
        <v>25</v>
      </c>
      <c r="G514" s="4" t="s">
        <v>25</v>
      </c>
      <c r="H514" s="4" t="s">
        <v>51</v>
      </c>
      <c r="I514" s="5">
        <v>44531</v>
      </c>
      <c r="J514" s="6">
        <v>0</v>
      </c>
      <c r="K514" s="6">
        <v>0</v>
      </c>
      <c r="L514" s="6">
        <v>0.107</v>
      </c>
      <c r="M514" s="6">
        <v>0.107</v>
      </c>
      <c r="N514" s="6">
        <v>0.107</v>
      </c>
      <c r="O514" s="6">
        <v>0.107</v>
      </c>
      <c r="P514" s="6">
        <v>0</v>
      </c>
      <c r="Q514" s="4" t="s">
        <v>26</v>
      </c>
      <c r="R514" s="4">
        <v>0</v>
      </c>
      <c r="S514" s="4" t="s">
        <v>254</v>
      </c>
      <c r="T514" s="4" t="s">
        <v>415</v>
      </c>
      <c r="U514" s="4">
        <v>0</v>
      </c>
      <c r="V514" s="4">
        <v>81</v>
      </c>
      <c r="W514" s="4">
        <v>55</v>
      </c>
    </row>
    <row r="515" spans="1:23" ht="11.25" customHeight="1" x14ac:dyDescent="0.25">
      <c r="A515" s="4" t="s">
        <v>21</v>
      </c>
      <c r="B515" s="4" t="s">
        <v>33</v>
      </c>
      <c r="C515" s="4" t="s">
        <v>50</v>
      </c>
      <c r="D515" s="4" t="s">
        <v>49</v>
      </c>
      <c r="E515" s="4" t="s">
        <v>25</v>
      </c>
      <c r="F515" s="4" t="s">
        <v>25</v>
      </c>
      <c r="G515" s="4" t="s">
        <v>25</v>
      </c>
      <c r="H515" s="4" t="s">
        <v>51</v>
      </c>
      <c r="I515" s="5">
        <v>44562</v>
      </c>
      <c r="J515" s="6">
        <v>0</v>
      </c>
      <c r="K515" s="6">
        <v>0</v>
      </c>
      <c r="L515" s="6">
        <v>0.161</v>
      </c>
      <c r="M515" s="6">
        <v>0.161</v>
      </c>
      <c r="N515" s="6">
        <v>0.161</v>
      </c>
      <c r="O515" s="6">
        <v>0.161</v>
      </c>
      <c r="P515" s="6">
        <v>0</v>
      </c>
      <c r="Q515" s="4" t="s">
        <v>26</v>
      </c>
      <c r="R515" s="4">
        <v>0</v>
      </c>
      <c r="S515" s="4" t="s">
        <v>255</v>
      </c>
      <c r="T515" s="4" t="s">
        <v>416</v>
      </c>
      <c r="U515" s="4">
        <v>0</v>
      </c>
      <c r="V515" s="4">
        <v>81</v>
      </c>
      <c r="W515" s="4">
        <v>55</v>
      </c>
    </row>
    <row r="516" spans="1:23" ht="11.25" customHeight="1" x14ac:dyDescent="0.25">
      <c r="A516" s="4" t="s">
        <v>21</v>
      </c>
      <c r="B516" s="4" t="s">
        <v>33</v>
      </c>
      <c r="C516" s="4" t="s">
        <v>50</v>
      </c>
      <c r="D516" s="4" t="s">
        <v>49</v>
      </c>
      <c r="E516" s="4" t="s">
        <v>25</v>
      </c>
      <c r="F516" s="4" t="s">
        <v>25</v>
      </c>
      <c r="G516" s="4" t="s">
        <v>25</v>
      </c>
      <c r="H516" s="4" t="s">
        <v>51</v>
      </c>
      <c r="I516" s="5">
        <v>44593</v>
      </c>
      <c r="J516" s="6">
        <v>0</v>
      </c>
      <c r="K516" s="6">
        <v>0</v>
      </c>
      <c r="L516" s="6">
        <v>0.22700000000000001</v>
      </c>
      <c r="M516" s="6">
        <v>0.22700000000000001</v>
      </c>
      <c r="N516" s="6">
        <v>0.22700000000000001</v>
      </c>
      <c r="O516" s="6">
        <v>0.22700000000000001</v>
      </c>
      <c r="P516" s="6">
        <v>0</v>
      </c>
      <c r="Q516" s="4" t="s">
        <v>26</v>
      </c>
      <c r="R516" s="4">
        <v>0</v>
      </c>
      <c r="S516" s="4" t="s">
        <v>256</v>
      </c>
      <c r="T516" s="4" t="s">
        <v>417</v>
      </c>
      <c r="U516" s="4">
        <v>0</v>
      </c>
      <c r="V516" s="4">
        <v>81</v>
      </c>
      <c r="W516" s="4">
        <v>55</v>
      </c>
    </row>
    <row r="517" spans="1:23" ht="11.25" customHeight="1" x14ac:dyDescent="0.25">
      <c r="A517" s="4" t="s">
        <v>21</v>
      </c>
      <c r="B517" s="4" t="s">
        <v>33</v>
      </c>
      <c r="C517" s="4" t="s">
        <v>50</v>
      </c>
      <c r="D517" s="4" t="s">
        <v>49</v>
      </c>
      <c r="E517" s="4" t="s">
        <v>25</v>
      </c>
      <c r="F517" s="4" t="s">
        <v>25</v>
      </c>
      <c r="G517" s="4" t="s">
        <v>25</v>
      </c>
      <c r="H517" s="4" t="s">
        <v>51</v>
      </c>
      <c r="I517" s="5">
        <v>44621</v>
      </c>
      <c r="J517" s="6">
        <v>0</v>
      </c>
      <c r="K517" s="6">
        <v>0</v>
      </c>
      <c r="L517" s="6">
        <v>0.17899999999999999</v>
      </c>
      <c r="M517" s="6">
        <v>0.17899999999999999</v>
      </c>
      <c r="N517" s="6">
        <v>0.17899999999999999</v>
      </c>
      <c r="O517" s="6">
        <v>0.17899999999999999</v>
      </c>
      <c r="P517" s="6">
        <v>0</v>
      </c>
      <c r="Q517" s="4" t="s">
        <v>26</v>
      </c>
      <c r="R517" s="4">
        <v>0</v>
      </c>
      <c r="S517" s="4" t="s">
        <v>257</v>
      </c>
      <c r="T517" s="4" t="s">
        <v>418</v>
      </c>
      <c r="U517" s="4">
        <v>0</v>
      </c>
      <c r="V517" s="4">
        <v>81</v>
      </c>
      <c r="W517" s="4">
        <v>55</v>
      </c>
    </row>
    <row r="518" spans="1:23" ht="11.25" customHeight="1" x14ac:dyDescent="0.25">
      <c r="A518" s="4" t="s">
        <v>21</v>
      </c>
      <c r="B518" s="4" t="s">
        <v>33</v>
      </c>
      <c r="C518" s="4" t="s">
        <v>50</v>
      </c>
      <c r="D518" s="4" t="s">
        <v>49</v>
      </c>
      <c r="E518" s="4" t="s">
        <v>25</v>
      </c>
      <c r="F518" s="4" t="s">
        <v>25</v>
      </c>
      <c r="G518" s="4" t="s">
        <v>25</v>
      </c>
      <c r="H518" s="4" t="s">
        <v>51</v>
      </c>
      <c r="I518" s="5">
        <v>44652</v>
      </c>
      <c r="J518" s="6">
        <v>0</v>
      </c>
      <c r="K518" s="6">
        <v>0</v>
      </c>
      <c r="L518" s="6">
        <v>0.19</v>
      </c>
      <c r="M518" s="6">
        <v>0.19</v>
      </c>
      <c r="N518" s="6">
        <v>0.19</v>
      </c>
      <c r="O518" s="6">
        <v>0.19</v>
      </c>
      <c r="P518" s="6">
        <v>0</v>
      </c>
      <c r="Q518" s="4" t="s">
        <v>26</v>
      </c>
      <c r="R518" s="4">
        <v>0</v>
      </c>
      <c r="S518" s="4" t="s">
        <v>258</v>
      </c>
      <c r="T518" s="4" t="s">
        <v>419</v>
      </c>
      <c r="U518" s="4">
        <v>0</v>
      </c>
      <c r="V518" s="4">
        <v>81</v>
      </c>
      <c r="W518" s="4">
        <v>55</v>
      </c>
    </row>
    <row r="519" spans="1:23" ht="11.25" customHeight="1" x14ac:dyDescent="0.25">
      <c r="A519" s="4" t="s">
        <v>21</v>
      </c>
      <c r="B519" s="4" t="s">
        <v>33</v>
      </c>
      <c r="C519" s="4" t="s">
        <v>50</v>
      </c>
      <c r="D519" s="4" t="s">
        <v>49</v>
      </c>
      <c r="E519" s="4" t="s">
        <v>25</v>
      </c>
      <c r="F519" s="4" t="s">
        <v>25</v>
      </c>
      <c r="G519" s="4" t="s">
        <v>25</v>
      </c>
      <c r="H519" s="4" t="s">
        <v>51</v>
      </c>
      <c r="I519" s="5">
        <v>44682</v>
      </c>
      <c r="J519" s="6">
        <v>0</v>
      </c>
      <c r="K519" s="6">
        <v>0</v>
      </c>
      <c r="L519" s="6">
        <v>0.11600000000000001</v>
      </c>
      <c r="M519" s="6">
        <v>0.11600000000000001</v>
      </c>
      <c r="N519" s="6">
        <v>0.11600000000000001</v>
      </c>
      <c r="O519" s="6">
        <v>0.11600000000000001</v>
      </c>
      <c r="P519" s="6">
        <v>0</v>
      </c>
      <c r="Q519" s="4" t="s">
        <v>26</v>
      </c>
      <c r="R519" s="4">
        <v>0</v>
      </c>
      <c r="S519" s="4" t="s">
        <v>259</v>
      </c>
      <c r="T519" s="4" t="s">
        <v>420</v>
      </c>
      <c r="U519" s="4">
        <v>0</v>
      </c>
      <c r="V519" s="4">
        <v>81</v>
      </c>
      <c r="W519" s="4">
        <v>55</v>
      </c>
    </row>
    <row r="520" spans="1:23" ht="11.25" customHeight="1" x14ac:dyDescent="0.25">
      <c r="A520" s="4" t="s">
        <v>21</v>
      </c>
      <c r="B520" s="4" t="s">
        <v>33</v>
      </c>
      <c r="C520" s="4" t="s">
        <v>50</v>
      </c>
      <c r="D520" s="4" t="s">
        <v>49</v>
      </c>
      <c r="E520" s="4" t="s">
        <v>25</v>
      </c>
      <c r="F520" s="4" t="s">
        <v>25</v>
      </c>
      <c r="G520" s="4" t="s">
        <v>25</v>
      </c>
      <c r="H520" s="4" t="s">
        <v>51</v>
      </c>
      <c r="I520" s="5">
        <v>44713</v>
      </c>
      <c r="J520" s="6">
        <v>0</v>
      </c>
      <c r="K520" s="6">
        <v>0</v>
      </c>
      <c r="L520" s="6">
        <v>8.7999999999999995E-2</v>
      </c>
      <c r="M520" s="6">
        <v>8.7999999999999995E-2</v>
      </c>
      <c r="N520" s="6">
        <v>8.7999999999999995E-2</v>
      </c>
      <c r="O520" s="6">
        <v>8.7999999999999995E-2</v>
      </c>
      <c r="P520" s="6">
        <v>0</v>
      </c>
      <c r="Q520" s="4" t="s">
        <v>26</v>
      </c>
      <c r="R520" s="4">
        <v>0</v>
      </c>
      <c r="S520" s="4" t="s">
        <v>260</v>
      </c>
      <c r="T520" s="4" t="s">
        <v>421</v>
      </c>
      <c r="U520" s="4">
        <v>0</v>
      </c>
      <c r="V520" s="4">
        <v>81</v>
      </c>
      <c r="W520" s="4">
        <v>55</v>
      </c>
    </row>
    <row r="521" spans="1:23" ht="11.25" customHeight="1" x14ac:dyDescent="0.25">
      <c r="A521" s="4" t="s">
        <v>55</v>
      </c>
      <c r="B521" s="4" t="s">
        <v>33</v>
      </c>
      <c r="C521" s="4" t="s">
        <v>50</v>
      </c>
      <c r="D521" s="4" t="s">
        <v>49</v>
      </c>
      <c r="E521" s="4" t="s">
        <v>25</v>
      </c>
      <c r="F521" s="4" t="s">
        <v>25</v>
      </c>
      <c r="G521" s="4" t="s">
        <v>25</v>
      </c>
      <c r="H521" s="4" t="s">
        <v>51</v>
      </c>
      <c r="I521" s="5">
        <v>44743</v>
      </c>
      <c r="J521" s="6">
        <v>0</v>
      </c>
      <c r="K521" s="6">
        <v>0</v>
      </c>
      <c r="L521" s="6">
        <v>8.7999999999999995E-2</v>
      </c>
      <c r="M521" s="6">
        <v>8.7999999999999995E-2</v>
      </c>
      <c r="N521" s="6">
        <v>8.7999999999999995E-2</v>
      </c>
      <c r="O521" s="6">
        <v>8.7999999999999995E-2</v>
      </c>
      <c r="P521" s="6">
        <v>0</v>
      </c>
      <c r="Q521" s="4" t="s">
        <v>26</v>
      </c>
      <c r="R521" s="4">
        <v>0</v>
      </c>
      <c r="S521" s="4" t="s">
        <v>261</v>
      </c>
      <c r="T521" s="4" t="s">
        <v>422</v>
      </c>
      <c r="U521" s="4">
        <v>0</v>
      </c>
      <c r="V521" s="4">
        <v>81</v>
      </c>
      <c r="W521" s="4">
        <v>55</v>
      </c>
    </row>
    <row r="522" spans="1:23" ht="11.25" customHeight="1" x14ac:dyDescent="0.25">
      <c r="A522" s="4" t="s">
        <v>21</v>
      </c>
      <c r="B522" s="4" t="s">
        <v>33</v>
      </c>
      <c r="C522" s="4" t="s">
        <v>50</v>
      </c>
      <c r="D522" s="4" t="s">
        <v>49</v>
      </c>
      <c r="E522" s="4" t="s">
        <v>25</v>
      </c>
      <c r="F522" s="4" t="s">
        <v>25</v>
      </c>
      <c r="G522" s="4" t="s">
        <v>25</v>
      </c>
      <c r="H522" s="4" t="s">
        <v>37</v>
      </c>
      <c r="I522" s="5">
        <v>44409</v>
      </c>
      <c r="J522" s="6">
        <v>0</v>
      </c>
      <c r="K522" s="6">
        <v>0</v>
      </c>
      <c r="L522" s="6">
        <v>7.0999999999999994E-2</v>
      </c>
      <c r="M522" s="6">
        <v>7.0999999999999994E-2</v>
      </c>
      <c r="N522" s="6">
        <v>7.0999999999999994E-2</v>
      </c>
      <c r="O522" s="6">
        <v>7.0999999999999994E-2</v>
      </c>
      <c r="P522" s="6">
        <v>0</v>
      </c>
      <c r="Q522" s="4" t="s">
        <v>26</v>
      </c>
      <c r="R522" s="4">
        <v>0</v>
      </c>
      <c r="S522" s="4" t="s">
        <v>262</v>
      </c>
      <c r="T522" s="4" t="s">
        <v>423</v>
      </c>
      <c r="U522" s="4">
        <v>0</v>
      </c>
      <c r="V522" s="4">
        <v>42</v>
      </c>
      <c r="W522" s="4">
        <v>60</v>
      </c>
    </row>
    <row r="523" spans="1:23" ht="11.25" customHeight="1" x14ac:dyDescent="0.25">
      <c r="A523" s="4" t="s">
        <v>21</v>
      </c>
      <c r="B523" s="4" t="s">
        <v>33</v>
      </c>
      <c r="C523" s="4" t="s">
        <v>50</v>
      </c>
      <c r="D523" s="4" t="s">
        <v>49</v>
      </c>
      <c r="E523" s="4" t="s">
        <v>25</v>
      </c>
      <c r="F523" s="4" t="s">
        <v>25</v>
      </c>
      <c r="G523" s="4" t="s">
        <v>25</v>
      </c>
      <c r="H523" s="4" t="s">
        <v>37</v>
      </c>
      <c r="I523" s="5">
        <v>44440</v>
      </c>
      <c r="J523" s="6">
        <v>0</v>
      </c>
      <c r="K523" s="6">
        <v>0</v>
      </c>
      <c r="L523" s="6">
        <v>8.5999999999999993E-2</v>
      </c>
      <c r="M523" s="6">
        <v>8.5999999999999993E-2</v>
      </c>
      <c r="N523" s="6">
        <v>8.5999999999999993E-2</v>
      </c>
      <c r="O523" s="6">
        <v>8.5999999999999993E-2</v>
      </c>
      <c r="P523" s="6">
        <v>0</v>
      </c>
      <c r="Q523" s="4" t="s">
        <v>26</v>
      </c>
      <c r="R523" s="4">
        <v>0</v>
      </c>
      <c r="S523" s="4" t="s">
        <v>263</v>
      </c>
      <c r="T523" s="4" t="s">
        <v>424</v>
      </c>
      <c r="U523" s="4">
        <v>0</v>
      </c>
      <c r="V523" s="4">
        <v>42</v>
      </c>
      <c r="W523" s="4">
        <v>60</v>
      </c>
    </row>
    <row r="524" spans="1:23" ht="11.25" customHeight="1" x14ac:dyDescent="0.25">
      <c r="A524" s="4" t="s">
        <v>21</v>
      </c>
      <c r="B524" s="4" t="s">
        <v>33</v>
      </c>
      <c r="C524" s="4" t="s">
        <v>50</v>
      </c>
      <c r="D524" s="4" t="s">
        <v>49</v>
      </c>
      <c r="E524" s="4" t="s">
        <v>25</v>
      </c>
      <c r="F524" s="4" t="s">
        <v>25</v>
      </c>
      <c r="G524" s="4" t="s">
        <v>25</v>
      </c>
      <c r="H524" s="4" t="s">
        <v>37</v>
      </c>
      <c r="I524" s="5">
        <v>44470</v>
      </c>
      <c r="J524" s="6">
        <v>0</v>
      </c>
      <c r="K524" s="6">
        <v>0</v>
      </c>
      <c r="L524" s="6">
        <v>8.7999999999999995E-2</v>
      </c>
      <c r="M524" s="6">
        <v>8.7999999999999995E-2</v>
      </c>
      <c r="N524" s="6">
        <v>8.7999999999999995E-2</v>
      </c>
      <c r="O524" s="6">
        <v>8.7999999999999995E-2</v>
      </c>
      <c r="P524" s="6">
        <v>0</v>
      </c>
      <c r="Q524" s="4" t="s">
        <v>26</v>
      </c>
      <c r="R524" s="4">
        <v>0</v>
      </c>
      <c r="S524" s="4" t="s">
        <v>264</v>
      </c>
      <c r="T524" s="4" t="s">
        <v>425</v>
      </c>
      <c r="U524" s="4">
        <v>0</v>
      </c>
      <c r="V524" s="4">
        <v>42</v>
      </c>
      <c r="W524" s="4">
        <v>60</v>
      </c>
    </row>
    <row r="525" spans="1:23" ht="11.25" customHeight="1" x14ac:dyDescent="0.25">
      <c r="A525" s="4" t="s">
        <v>21</v>
      </c>
      <c r="B525" s="4" t="s">
        <v>33</v>
      </c>
      <c r="C525" s="4" t="s">
        <v>50</v>
      </c>
      <c r="D525" s="4" t="s">
        <v>49</v>
      </c>
      <c r="E525" s="4" t="s">
        <v>25</v>
      </c>
      <c r="F525" s="4" t="s">
        <v>25</v>
      </c>
      <c r="G525" s="4" t="s">
        <v>25</v>
      </c>
      <c r="H525" s="4" t="s">
        <v>37</v>
      </c>
      <c r="I525" s="5">
        <v>44501</v>
      </c>
      <c r="J525" s="6">
        <v>0</v>
      </c>
      <c r="K525" s="6">
        <v>0</v>
      </c>
      <c r="L525" s="6">
        <v>6.4000000000000001E-2</v>
      </c>
      <c r="M525" s="6">
        <v>6.4000000000000001E-2</v>
      </c>
      <c r="N525" s="6">
        <v>6.4000000000000001E-2</v>
      </c>
      <c r="O525" s="6">
        <v>6.4000000000000001E-2</v>
      </c>
      <c r="P525" s="6">
        <v>0</v>
      </c>
      <c r="Q525" s="4" t="s">
        <v>26</v>
      </c>
      <c r="R525" s="4">
        <v>0</v>
      </c>
      <c r="S525" s="4" t="s">
        <v>265</v>
      </c>
      <c r="T525" s="4" t="s">
        <v>426</v>
      </c>
      <c r="U525" s="4">
        <v>0</v>
      </c>
      <c r="V525" s="4">
        <v>42</v>
      </c>
      <c r="W525" s="4">
        <v>60</v>
      </c>
    </row>
    <row r="526" spans="1:23" ht="11.25" customHeight="1" x14ac:dyDescent="0.25">
      <c r="A526" s="4" t="s">
        <v>21</v>
      </c>
      <c r="B526" s="4" t="s">
        <v>33</v>
      </c>
      <c r="C526" s="4" t="s">
        <v>50</v>
      </c>
      <c r="D526" s="4" t="s">
        <v>49</v>
      </c>
      <c r="E526" s="4" t="s">
        <v>25</v>
      </c>
      <c r="F526" s="4" t="s">
        <v>25</v>
      </c>
      <c r="G526" s="4" t="s">
        <v>25</v>
      </c>
      <c r="H526" s="4" t="s">
        <v>37</v>
      </c>
      <c r="I526" s="5">
        <v>44531</v>
      </c>
      <c r="J526" s="6">
        <v>0</v>
      </c>
      <c r="K526" s="6">
        <v>0</v>
      </c>
      <c r="L526" s="6">
        <v>7.1999999999999995E-2</v>
      </c>
      <c r="M526" s="6">
        <v>7.1999999999999995E-2</v>
      </c>
      <c r="N526" s="6">
        <v>7.1999999999999995E-2</v>
      </c>
      <c r="O526" s="6">
        <v>7.1999999999999995E-2</v>
      </c>
      <c r="P526" s="6">
        <v>0</v>
      </c>
      <c r="Q526" s="4" t="s">
        <v>26</v>
      </c>
      <c r="R526" s="4">
        <v>0</v>
      </c>
      <c r="S526" s="4" t="s">
        <v>266</v>
      </c>
      <c r="T526" s="4" t="s">
        <v>427</v>
      </c>
      <c r="U526" s="4">
        <v>0</v>
      </c>
      <c r="V526" s="4">
        <v>42</v>
      </c>
      <c r="W526" s="4">
        <v>60</v>
      </c>
    </row>
    <row r="527" spans="1:23" ht="11.25" customHeight="1" x14ac:dyDescent="0.25">
      <c r="A527" s="4" t="s">
        <v>21</v>
      </c>
      <c r="B527" s="4" t="s">
        <v>33</v>
      </c>
      <c r="C527" s="4" t="s">
        <v>50</v>
      </c>
      <c r="D527" s="4" t="s">
        <v>49</v>
      </c>
      <c r="E527" s="4" t="s">
        <v>25</v>
      </c>
      <c r="F527" s="4" t="s">
        <v>25</v>
      </c>
      <c r="G527" s="4" t="s">
        <v>25</v>
      </c>
      <c r="H527" s="4" t="s">
        <v>37</v>
      </c>
      <c r="I527" s="5">
        <v>44562</v>
      </c>
      <c r="J527" s="6">
        <v>0</v>
      </c>
      <c r="K527" s="6">
        <v>0</v>
      </c>
      <c r="L527" s="6">
        <v>0.13500000000000001</v>
      </c>
      <c r="M527" s="6">
        <v>0.13500000000000001</v>
      </c>
      <c r="N527" s="6">
        <v>0.13500000000000001</v>
      </c>
      <c r="O527" s="6">
        <v>0.13500000000000001</v>
      </c>
      <c r="P527" s="6">
        <v>0</v>
      </c>
      <c r="Q527" s="4" t="s">
        <v>26</v>
      </c>
      <c r="R527" s="4">
        <v>0</v>
      </c>
      <c r="S527" s="4" t="s">
        <v>267</v>
      </c>
      <c r="T527" s="4" t="s">
        <v>428</v>
      </c>
      <c r="U527" s="4">
        <v>0</v>
      </c>
      <c r="V527" s="4">
        <v>42</v>
      </c>
      <c r="W527" s="4">
        <v>60</v>
      </c>
    </row>
    <row r="528" spans="1:23" ht="11.25" customHeight="1" x14ac:dyDescent="0.25">
      <c r="A528" s="4" t="s">
        <v>21</v>
      </c>
      <c r="B528" s="4" t="s">
        <v>33</v>
      </c>
      <c r="C528" s="4" t="s">
        <v>50</v>
      </c>
      <c r="D528" s="4" t="s">
        <v>49</v>
      </c>
      <c r="E528" s="4" t="s">
        <v>25</v>
      </c>
      <c r="F528" s="4" t="s">
        <v>25</v>
      </c>
      <c r="G528" s="4" t="s">
        <v>25</v>
      </c>
      <c r="H528" s="4" t="s">
        <v>37</v>
      </c>
      <c r="I528" s="5">
        <v>44593</v>
      </c>
      <c r="J528" s="6">
        <v>0</v>
      </c>
      <c r="K528" s="6">
        <v>0</v>
      </c>
      <c r="L528" s="6">
        <v>0.107</v>
      </c>
      <c r="M528" s="6">
        <v>0.107</v>
      </c>
      <c r="N528" s="6">
        <v>0.107</v>
      </c>
      <c r="O528" s="6">
        <v>0.107</v>
      </c>
      <c r="P528" s="6">
        <v>0</v>
      </c>
      <c r="Q528" s="4" t="s">
        <v>26</v>
      </c>
      <c r="R528" s="4">
        <v>0</v>
      </c>
      <c r="S528" s="4" t="s">
        <v>268</v>
      </c>
      <c r="T528" s="4" t="s">
        <v>429</v>
      </c>
      <c r="U528" s="4">
        <v>0</v>
      </c>
      <c r="V528" s="4">
        <v>42</v>
      </c>
      <c r="W528" s="4">
        <v>60</v>
      </c>
    </row>
    <row r="529" spans="1:23" ht="11.25" customHeight="1" x14ac:dyDescent="0.25">
      <c r="A529" s="4" t="s">
        <v>21</v>
      </c>
      <c r="B529" s="4" t="s">
        <v>33</v>
      </c>
      <c r="C529" s="4" t="s">
        <v>50</v>
      </c>
      <c r="D529" s="4" t="s">
        <v>49</v>
      </c>
      <c r="E529" s="4" t="s">
        <v>25</v>
      </c>
      <c r="F529" s="4" t="s">
        <v>25</v>
      </c>
      <c r="G529" s="4" t="s">
        <v>25</v>
      </c>
      <c r="H529" s="4" t="s">
        <v>37</v>
      </c>
      <c r="I529" s="5">
        <v>44621</v>
      </c>
      <c r="J529" s="6">
        <v>0</v>
      </c>
      <c r="K529" s="6">
        <v>0</v>
      </c>
      <c r="L529" s="6">
        <v>0.122</v>
      </c>
      <c r="M529" s="6">
        <v>0.122</v>
      </c>
      <c r="N529" s="6">
        <v>0.122</v>
      </c>
      <c r="O529" s="6">
        <v>0.122</v>
      </c>
      <c r="P529" s="6">
        <v>0</v>
      </c>
      <c r="Q529" s="4" t="s">
        <v>26</v>
      </c>
      <c r="R529" s="4">
        <v>0</v>
      </c>
      <c r="S529" s="4" t="s">
        <v>269</v>
      </c>
      <c r="T529" s="4" t="s">
        <v>430</v>
      </c>
      <c r="U529" s="4">
        <v>0</v>
      </c>
      <c r="V529" s="4">
        <v>42</v>
      </c>
      <c r="W529" s="4">
        <v>60</v>
      </c>
    </row>
    <row r="530" spans="1:23" ht="11.25" customHeight="1" x14ac:dyDescent="0.25">
      <c r="A530" s="4" t="s">
        <v>21</v>
      </c>
      <c r="B530" s="4" t="s">
        <v>33</v>
      </c>
      <c r="C530" s="4" t="s">
        <v>50</v>
      </c>
      <c r="D530" s="4" t="s">
        <v>49</v>
      </c>
      <c r="E530" s="4" t="s">
        <v>25</v>
      </c>
      <c r="F530" s="4" t="s">
        <v>25</v>
      </c>
      <c r="G530" s="4" t="s">
        <v>25</v>
      </c>
      <c r="H530" s="4" t="s">
        <v>37</v>
      </c>
      <c r="I530" s="5">
        <v>44652</v>
      </c>
      <c r="J530" s="6">
        <v>0</v>
      </c>
      <c r="K530" s="6">
        <v>0</v>
      </c>
      <c r="L530" s="6">
        <v>0.14899999999999999</v>
      </c>
      <c r="M530" s="6">
        <v>0.14899999999999999</v>
      </c>
      <c r="N530" s="6">
        <v>0.14899999999999999</v>
      </c>
      <c r="O530" s="6">
        <v>0.14899999999999999</v>
      </c>
      <c r="P530" s="6">
        <v>0</v>
      </c>
      <c r="Q530" s="4" t="s">
        <v>26</v>
      </c>
      <c r="R530" s="4">
        <v>0</v>
      </c>
      <c r="S530" s="4" t="s">
        <v>270</v>
      </c>
      <c r="T530" s="4" t="s">
        <v>431</v>
      </c>
      <c r="U530" s="4">
        <v>0</v>
      </c>
      <c r="V530" s="4">
        <v>42</v>
      </c>
      <c r="W530" s="4">
        <v>60</v>
      </c>
    </row>
    <row r="531" spans="1:23" ht="11.25" customHeight="1" x14ac:dyDescent="0.25">
      <c r="A531" s="4" t="s">
        <v>21</v>
      </c>
      <c r="B531" s="4" t="s">
        <v>33</v>
      </c>
      <c r="C531" s="4" t="s">
        <v>50</v>
      </c>
      <c r="D531" s="4" t="s">
        <v>49</v>
      </c>
      <c r="E531" s="4" t="s">
        <v>25</v>
      </c>
      <c r="F531" s="4" t="s">
        <v>25</v>
      </c>
      <c r="G531" s="4" t="s">
        <v>25</v>
      </c>
      <c r="H531" s="4" t="s">
        <v>37</v>
      </c>
      <c r="I531" s="5">
        <v>44682</v>
      </c>
      <c r="J531" s="6">
        <v>0</v>
      </c>
      <c r="K531" s="6">
        <v>0</v>
      </c>
      <c r="L531" s="6">
        <v>9.1999999999999998E-2</v>
      </c>
      <c r="M531" s="6">
        <v>9.1999999999999998E-2</v>
      </c>
      <c r="N531" s="6">
        <v>9.1999999999999998E-2</v>
      </c>
      <c r="O531" s="6">
        <v>9.1999999999999998E-2</v>
      </c>
      <c r="P531" s="6">
        <v>0</v>
      </c>
      <c r="Q531" s="4" t="s">
        <v>26</v>
      </c>
      <c r="R531" s="4">
        <v>0</v>
      </c>
      <c r="S531" s="4" t="s">
        <v>271</v>
      </c>
      <c r="T531" s="4" t="s">
        <v>432</v>
      </c>
      <c r="U531" s="4">
        <v>0</v>
      </c>
      <c r="V531" s="4">
        <v>42</v>
      </c>
      <c r="W531" s="4">
        <v>60</v>
      </c>
    </row>
    <row r="532" spans="1:23" ht="11.25" customHeight="1" x14ac:dyDescent="0.25">
      <c r="A532" s="4" t="s">
        <v>21</v>
      </c>
      <c r="B532" s="4" t="s">
        <v>33</v>
      </c>
      <c r="C532" s="4" t="s">
        <v>50</v>
      </c>
      <c r="D532" s="4" t="s">
        <v>49</v>
      </c>
      <c r="E532" s="4" t="s">
        <v>25</v>
      </c>
      <c r="F532" s="4" t="s">
        <v>25</v>
      </c>
      <c r="G532" s="4" t="s">
        <v>25</v>
      </c>
      <c r="H532" s="4" t="s">
        <v>37</v>
      </c>
      <c r="I532" s="5">
        <v>44713</v>
      </c>
      <c r="J532" s="6">
        <v>0</v>
      </c>
      <c r="K532" s="6">
        <v>0</v>
      </c>
      <c r="L532" s="6">
        <v>7.6999999999999999E-2</v>
      </c>
      <c r="M532" s="6">
        <v>7.6999999999999999E-2</v>
      </c>
      <c r="N532" s="6">
        <v>7.6999999999999999E-2</v>
      </c>
      <c r="O532" s="6">
        <v>7.6999999999999999E-2</v>
      </c>
      <c r="P532" s="6">
        <v>0</v>
      </c>
      <c r="Q532" s="4" t="s">
        <v>26</v>
      </c>
      <c r="R532" s="4">
        <v>0</v>
      </c>
      <c r="S532" s="4" t="s">
        <v>272</v>
      </c>
      <c r="T532" s="4" t="s">
        <v>433</v>
      </c>
      <c r="U532" s="4">
        <v>0</v>
      </c>
      <c r="V532" s="4">
        <v>42</v>
      </c>
      <c r="W532" s="4">
        <v>60</v>
      </c>
    </row>
    <row r="533" spans="1:23" ht="11.25" customHeight="1" x14ac:dyDescent="0.25">
      <c r="A533" s="4" t="s">
        <v>55</v>
      </c>
      <c r="B533" s="4" t="s">
        <v>33</v>
      </c>
      <c r="C533" s="4" t="s">
        <v>50</v>
      </c>
      <c r="D533" s="4" t="s">
        <v>49</v>
      </c>
      <c r="E533" s="4" t="s">
        <v>25</v>
      </c>
      <c r="F533" s="4" t="s">
        <v>25</v>
      </c>
      <c r="G533" s="4" t="s">
        <v>25</v>
      </c>
      <c r="H533" s="4" t="s">
        <v>37</v>
      </c>
      <c r="I533" s="5">
        <v>44743</v>
      </c>
      <c r="J533" s="6">
        <v>0</v>
      </c>
      <c r="K533" s="6">
        <v>0</v>
      </c>
      <c r="L533" s="6">
        <v>7.6999999999999999E-2</v>
      </c>
      <c r="M533" s="6">
        <v>7.6999999999999999E-2</v>
      </c>
      <c r="N533" s="6">
        <v>7.6999999999999999E-2</v>
      </c>
      <c r="O533" s="6">
        <v>7.6999999999999999E-2</v>
      </c>
      <c r="P533" s="6">
        <v>0</v>
      </c>
      <c r="Q533" s="4" t="s">
        <v>26</v>
      </c>
      <c r="R533" s="4">
        <v>0</v>
      </c>
      <c r="S533" s="4" t="s">
        <v>273</v>
      </c>
      <c r="T533" s="4" t="s">
        <v>434</v>
      </c>
      <c r="U533" s="4">
        <v>0</v>
      </c>
      <c r="V533" s="4">
        <v>42</v>
      </c>
      <c r="W533" s="4">
        <v>60</v>
      </c>
    </row>
    <row r="534" spans="1:23" ht="11.25" customHeight="1" x14ac:dyDescent="0.25">
      <c r="A534" s="4" t="s">
        <v>21</v>
      </c>
      <c r="B534" s="4" t="s">
        <v>33</v>
      </c>
      <c r="C534" s="4" t="s">
        <v>23</v>
      </c>
      <c r="D534" s="4" t="s">
        <v>40</v>
      </c>
      <c r="E534" s="4" t="s">
        <v>25</v>
      </c>
      <c r="F534" s="4" t="s">
        <v>25</v>
      </c>
      <c r="G534" s="4" t="s">
        <v>25</v>
      </c>
      <c r="H534" s="4" t="s">
        <v>25</v>
      </c>
      <c r="I534" s="5">
        <v>44409</v>
      </c>
      <c r="J534" s="6">
        <v>0</v>
      </c>
      <c r="K534" s="6">
        <v>0</v>
      </c>
      <c r="L534" s="6">
        <v>1481.481</v>
      </c>
      <c r="M534" s="6">
        <v>1481.481</v>
      </c>
      <c r="N534" s="6">
        <v>1481.481</v>
      </c>
      <c r="O534" s="6">
        <v>1481.481</v>
      </c>
      <c r="P534" s="6">
        <v>2811</v>
      </c>
      <c r="Q534" s="4" t="s">
        <v>26</v>
      </c>
      <c r="R534" s="4">
        <v>0</v>
      </c>
      <c r="S534" s="4" t="s">
        <v>274</v>
      </c>
      <c r="T534" s="4" t="s">
        <v>435</v>
      </c>
      <c r="U534" s="4">
        <v>0</v>
      </c>
      <c r="V534" s="4">
        <v>33</v>
      </c>
      <c r="W534" s="4">
        <v>85</v>
      </c>
    </row>
    <row r="535" spans="1:23" ht="11.25" customHeight="1" x14ac:dyDescent="0.25">
      <c r="A535" s="4" t="s">
        <v>27</v>
      </c>
      <c r="B535" s="4" t="s">
        <v>33</v>
      </c>
      <c r="C535" s="4" t="s">
        <v>23</v>
      </c>
      <c r="D535" s="4" t="s">
        <v>40</v>
      </c>
      <c r="E535" s="4" t="s">
        <v>25</v>
      </c>
      <c r="F535" s="4" t="s">
        <v>25</v>
      </c>
      <c r="G535" s="4" t="s">
        <v>25</v>
      </c>
      <c r="H535" s="4" t="s">
        <v>25</v>
      </c>
      <c r="I535" s="5">
        <v>44409</v>
      </c>
      <c r="J535" s="6">
        <v>0</v>
      </c>
      <c r="K535" s="6">
        <v>0</v>
      </c>
      <c r="L535" s="6">
        <v>-3.5790000000000002</v>
      </c>
      <c r="M535" s="6">
        <v>-3.5790000000000002</v>
      </c>
      <c r="N535" s="6">
        <v>-3.5790000000000002</v>
      </c>
      <c r="O535" s="6">
        <v>-3.5790000000000002</v>
      </c>
      <c r="P535" s="6">
        <v>0</v>
      </c>
      <c r="Q535" s="4" t="s">
        <v>26</v>
      </c>
      <c r="R535" s="4">
        <v>0</v>
      </c>
      <c r="S535" s="4" t="s">
        <v>274</v>
      </c>
      <c r="T535" s="4" t="s">
        <v>435</v>
      </c>
      <c r="U535" s="4">
        <v>0</v>
      </c>
      <c r="V535" s="4">
        <v>33</v>
      </c>
      <c r="W535" s="4">
        <v>85</v>
      </c>
    </row>
    <row r="536" spans="1:23" ht="11.25" customHeight="1" x14ac:dyDescent="0.25">
      <c r="A536" s="4" t="s">
        <v>28</v>
      </c>
      <c r="B536" s="4" t="s">
        <v>33</v>
      </c>
      <c r="C536" s="4" t="s">
        <v>23</v>
      </c>
      <c r="D536" s="4" t="s">
        <v>40</v>
      </c>
      <c r="E536" s="4" t="s">
        <v>25</v>
      </c>
      <c r="F536" s="4" t="s">
        <v>25</v>
      </c>
      <c r="G536" s="4" t="s">
        <v>25</v>
      </c>
      <c r="H536" s="4" t="s">
        <v>25</v>
      </c>
      <c r="I536" s="5">
        <v>44409</v>
      </c>
      <c r="J536" s="6">
        <v>0</v>
      </c>
      <c r="K536" s="6">
        <v>0</v>
      </c>
      <c r="L536" s="6">
        <v>33.616999999999997</v>
      </c>
      <c r="M536" s="6">
        <v>33.616999999999997</v>
      </c>
      <c r="N536" s="6">
        <v>33.616999999999997</v>
      </c>
      <c r="O536" s="6">
        <v>33.616999999999997</v>
      </c>
      <c r="P536" s="6">
        <v>31</v>
      </c>
      <c r="Q536" s="4" t="s">
        <v>26</v>
      </c>
      <c r="R536" s="4">
        <v>0</v>
      </c>
      <c r="S536" s="4" t="s">
        <v>274</v>
      </c>
      <c r="T536" s="4" t="s">
        <v>435</v>
      </c>
      <c r="U536" s="4">
        <v>0</v>
      </c>
      <c r="V536" s="4">
        <v>33</v>
      </c>
      <c r="W536" s="4">
        <v>85</v>
      </c>
    </row>
    <row r="537" spans="1:23" ht="11.25" customHeight="1" x14ac:dyDescent="0.25">
      <c r="A537" s="4" t="s">
        <v>21</v>
      </c>
      <c r="B537" s="4" t="s">
        <v>33</v>
      </c>
      <c r="C537" s="4" t="s">
        <v>23</v>
      </c>
      <c r="D537" s="4" t="s">
        <v>40</v>
      </c>
      <c r="E537" s="4" t="s">
        <v>25</v>
      </c>
      <c r="F537" s="4" t="s">
        <v>25</v>
      </c>
      <c r="G537" s="4" t="s">
        <v>25</v>
      </c>
      <c r="H537" s="4" t="s">
        <v>25</v>
      </c>
      <c r="I537" s="5">
        <v>44440</v>
      </c>
      <c r="J537" s="6">
        <v>0</v>
      </c>
      <c r="K537" s="6">
        <v>0</v>
      </c>
      <c r="L537" s="6">
        <v>1661.9949999999999</v>
      </c>
      <c r="M537" s="6">
        <v>1661.9949999999999</v>
      </c>
      <c r="N537" s="6">
        <v>1661.9949999999999</v>
      </c>
      <c r="O537" s="6">
        <v>1661.9949999999999</v>
      </c>
      <c r="P537" s="6">
        <v>2838</v>
      </c>
      <c r="Q537" s="4" t="s">
        <v>26</v>
      </c>
      <c r="R537" s="4">
        <v>0</v>
      </c>
      <c r="S537" s="4" t="s">
        <v>275</v>
      </c>
      <c r="T537" s="4" t="s">
        <v>436</v>
      </c>
      <c r="U537" s="4">
        <v>0</v>
      </c>
      <c r="V537" s="4">
        <v>33</v>
      </c>
      <c r="W537" s="4">
        <v>85</v>
      </c>
    </row>
    <row r="538" spans="1:23" ht="11.25" customHeight="1" x14ac:dyDescent="0.25">
      <c r="A538" s="4" t="s">
        <v>27</v>
      </c>
      <c r="B538" s="4" t="s">
        <v>33</v>
      </c>
      <c r="C538" s="4" t="s">
        <v>23</v>
      </c>
      <c r="D538" s="4" t="s">
        <v>40</v>
      </c>
      <c r="E538" s="4" t="s">
        <v>25</v>
      </c>
      <c r="F538" s="4" t="s">
        <v>25</v>
      </c>
      <c r="G538" s="4" t="s">
        <v>25</v>
      </c>
      <c r="H538" s="4" t="s">
        <v>25</v>
      </c>
      <c r="I538" s="5">
        <v>44440</v>
      </c>
      <c r="J538" s="6">
        <v>0</v>
      </c>
      <c r="K538" s="6">
        <v>0</v>
      </c>
      <c r="L538" s="6">
        <v>-0.36899999999999999</v>
      </c>
      <c r="M538" s="6">
        <v>-0.36899999999999999</v>
      </c>
      <c r="N538" s="6">
        <v>-0.36899999999999999</v>
      </c>
      <c r="O538" s="6">
        <v>-0.36899999999999999</v>
      </c>
      <c r="P538" s="6">
        <v>0</v>
      </c>
      <c r="Q538" s="4" t="s">
        <v>26</v>
      </c>
      <c r="R538" s="4">
        <v>0</v>
      </c>
      <c r="S538" s="4" t="s">
        <v>275</v>
      </c>
      <c r="T538" s="4" t="s">
        <v>436</v>
      </c>
      <c r="U538" s="4">
        <v>0</v>
      </c>
      <c r="V538" s="4">
        <v>33</v>
      </c>
      <c r="W538" s="4">
        <v>85</v>
      </c>
    </row>
    <row r="539" spans="1:23" ht="11.25" customHeight="1" x14ac:dyDescent="0.25">
      <c r="A539" s="4" t="s">
        <v>28</v>
      </c>
      <c r="B539" s="4" t="s">
        <v>33</v>
      </c>
      <c r="C539" s="4" t="s">
        <v>23</v>
      </c>
      <c r="D539" s="4" t="s">
        <v>40</v>
      </c>
      <c r="E539" s="4" t="s">
        <v>25</v>
      </c>
      <c r="F539" s="4" t="s">
        <v>25</v>
      </c>
      <c r="G539" s="4" t="s">
        <v>25</v>
      </c>
      <c r="H539" s="4" t="s">
        <v>25</v>
      </c>
      <c r="I539" s="5">
        <v>44440</v>
      </c>
      <c r="J539" s="6">
        <v>0</v>
      </c>
      <c r="K539" s="6">
        <v>0</v>
      </c>
      <c r="L539" s="6">
        <v>36.232999999999997</v>
      </c>
      <c r="M539" s="6">
        <v>36.232999999999997</v>
      </c>
      <c r="N539" s="6">
        <v>36.232999999999997</v>
      </c>
      <c r="O539" s="6">
        <v>36.232999999999997</v>
      </c>
      <c r="P539" s="6">
        <v>33</v>
      </c>
      <c r="Q539" s="4" t="s">
        <v>26</v>
      </c>
      <c r="R539" s="4">
        <v>0</v>
      </c>
      <c r="S539" s="4" t="s">
        <v>275</v>
      </c>
      <c r="T539" s="4" t="s">
        <v>436</v>
      </c>
      <c r="U539" s="4">
        <v>0</v>
      </c>
      <c r="V539" s="4">
        <v>33</v>
      </c>
      <c r="W539" s="4">
        <v>85</v>
      </c>
    </row>
    <row r="540" spans="1:23" ht="11.25" customHeight="1" x14ac:dyDescent="0.25">
      <c r="A540" s="4" t="s">
        <v>21</v>
      </c>
      <c r="B540" s="4" t="s">
        <v>33</v>
      </c>
      <c r="C540" s="4" t="s">
        <v>23</v>
      </c>
      <c r="D540" s="4" t="s">
        <v>40</v>
      </c>
      <c r="E540" s="4" t="s">
        <v>25</v>
      </c>
      <c r="F540" s="4" t="s">
        <v>25</v>
      </c>
      <c r="G540" s="4" t="s">
        <v>25</v>
      </c>
      <c r="H540" s="4" t="s">
        <v>25</v>
      </c>
      <c r="I540" s="5">
        <v>44470</v>
      </c>
      <c r="J540" s="6">
        <v>0</v>
      </c>
      <c r="K540" s="6">
        <v>0</v>
      </c>
      <c r="L540" s="6">
        <v>1580.373</v>
      </c>
      <c r="M540" s="6">
        <v>1580.373</v>
      </c>
      <c r="N540" s="6">
        <v>1580.373</v>
      </c>
      <c r="O540" s="6">
        <v>1580.373</v>
      </c>
      <c r="P540" s="6">
        <v>2861</v>
      </c>
      <c r="Q540" s="4" t="s">
        <v>26</v>
      </c>
      <c r="R540" s="4">
        <v>0</v>
      </c>
      <c r="S540" s="4" t="s">
        <v>276</v>
      </c>
      <c r="T540" s="4" t="s">
        <v>437</v>
      </c>
      <c r="U540" s="4">
        <v>0</v>
      </c>
      <c r="V540" s="4">
        <v>33</v>
      </c>
      <c r="W540" s="4">
        <v>85</v>
      </c>
    </row>
    <row r="541" spans="1:23" ht="11.25" customHeight="1" x14ac:dyDescent="0.25">
      <c r="A541" s="4" t="s">
        <v>27</v>
      </c>
      <c r="B541" s="4" t="s">
        <v>33</v>
      </c>
      <c r="C541" s="4" t="s">
        <v>23</v>
      </c>
      <c r="D541" s="4" t="s">
        <v>40</v>
      </c>
      <c r="E541" s="4" t="s">
        <v>25</v>
      </c>
      <c r="F541" s="4" t="s">
        <v>25</v>
      </c>
      <c r="G541" s="4" t="s">
        <v>25</v>
      </c>
      <c r="H541" s="4" t="s">
        <v>25</v>
      </c>
      <c r="I541" s="5">
        <v>44470</v>
      </c>
      <c r="J541" s="6">
        <v>0</v>
      </c>
      <c r="K541" s="6">
        <v>0</v>
      </c>
      <c r="L541" s="6">
        <v>-1.498</v>
      </c>
      <c r="M541" s="6">
        <v>-1.498</v>
      </c>
      <c r="N541" s="6">
        <v>-1.498</v>
      </c>
      <c r="O541" s="6">
        <v>-1.498</v>
      </c>
      <c r="P541" s="6">
        <v>0</v>
      </c>
      <c r="Q541" s="4" t="s">
        <v>26</v>
      </c>
      <c r="R541" s="4">
        <v>0</v>
      </c>
      <c r="S541" s="4" t="s">
        <v>276</v>
      </c>
      <c r="T541" s="4" t="s">
        <v>437</v>
      </c>
      <c r="U541" s="4">
        <v>0</v>
      </c>
      <c r="V541" s="4">
        <v>33</v>
      </c>
      <c r="W541" s="4">
        <v>85</v>
      </c>
    </row>
    <row r="542" spans="1:23" ht="11.25" customHeight="1" x14ac:dyDescent="0.25">
      <c r="A542" s="4" t="s">
        <v>28</v>
      </c>
      <c r="B542" s="4" t="s">
        <v>33</v>
      </c>
      <c r="C542" s="4" t="s">
        <v>23</v>
      </c>
      <c r="D542" s="4" t="s">
        <v>40</v>
      </c>
      <c r="E542" s="4" t="s">
        <v>25</v>
      </c>
      <c r="F542" s="4" t="s">
        <v>25</v>
      </c>
      <c r="G542" s="4" t="s">
        <v>25</v>
      </c>
      <c r="H542" s="4" t="s">
        <v>25</v>
      </c>
      <c r="I542" s="5">
        <v>44470</v>
      </c>
      <c r="J542" s="6">
        <v>0</v>
      </c>
      <c r="K542" s="6">
        <v>0</v>
      </c>
      <c r="L542" s="6">
        <v>32.225000000000001</v>
      </c>
      <c r="M542" s="6">
        <v>32.225000000000001</v>
      </c>
      <c r="N542" s="6">
        <v>32.225000000000001</v>
      </c>
      <c r="O542" s="6">
        <v>32.225000000000001</v>
      </c>
      <c r="P542" s="6">
        <v>36</v>
      </c>
      <c r="Q542" s="4" t="s">
        <v>26</v>
      </c>
      <c r="R542" s="4">
        <v>0</v>
      </c>
      <c r="S542" s="4" t="s">
        <v>276</v>
      </c>
      <c r="T542" s="4" t="s">
        <v>437</v>
      </c>
      <c r="U542" s="4">
        <v>0</v>
      </c>
      <c r="V542" s="4">
        <v>33</v>
      </c>
      <c r="W542" s="4">
        <v>85</v>
      </c>
    </row>
    <row r="543" spans="1:23" ht="11.25" customHeight="1" x14ac:dyDescent="0.25">
      <c r="A543" s="4" t="s">
        <v>21</v>
      </c>
      <c r="B543" s="4" t="s">
        <v>33</v>
      </c>
      <c r="C543" s="4" t="s">
        <v>23</v>
      </c>
      <c r="D543" s="4" t="s">
        <v>40</v>
      </c>
      <c r="E543" s="4" t="s">
        <v>25</v>
      </c>
      <c r="F543" s="4" t="s">
        <v>25</v>
      </c>
      <c r="G543" s="4" t="s">
        <v>25</v>
      </c>
      <c r="H543" s="4" t="s">
        <v>25</v>
      </c>
      <c r="I543" s="5">
        <v>44501</v>
      </c>
      <c r="J543" s="6">
        <v>0</v>
      </c>
      <c r="K543" s="6">
        <v>0</v>
      </c>
      <c r="L543" s="6">
        <v>1949.5609999999999</v>
      </c>
      <c r="M543" s="6">
        <v>1949.5609999999999</v>
      </c>
      <c r="N543" s="6">
        <v>1949.5609999999999</v>
      </c>
      <c r="O543" s="6">
        <v>1949.5609999999999</v>
      </c>
      <c r="P543" s="6">
        <v>2897</v>
      </c>
      <c r="Q543" s="4" t="s">
        <v>26</v>
      </c>
      <c r="R543" s="4">
        <v>0</v>
      </c>
      <c r="S543" s="4" t="s">
        <v>277</v>
      </c>
      <c r="T543" s="4" t="s">
        <v>438</v>
      </c>
      <c r="U543" s="4">
        <v>0</v>
      </c>
      <c r="V543" s="4">
        <v>33</v>
      </c>
      <c r="W543" s="4">
        <v>85</v>
      </c>
    </row>
    <row r="544" spans="1:23" ht="11.25" customHeight="1" x14ac:dyDescent="0.25">
      <c r="A544" s="4" t="s">
        <v>27</v>
      </c>
      <c r="B544" s="4" t="s">
        <v>33</v>
      </c>
      <c r="C544" s="4" t="s">
        <v>23</v>
      </c>
      <c r="D544" s="4" t="s">
        <v>40</v>
      </c>
      <c r="E544" s="4" t="s">
        <v>25</v>
      </c>
      <c r="F544" s="4" t="s">
        <v>25</v>
      </c>
      <c r="G544" s="4" t="s">
        <v>25</v>
      </c>
      <c r="H544" s="4" t="s">
        <v>25</v>
      </c>
      <c r="I544" s="5">
        <v>44501</v>
      </c>
      <c r="J544" s="6">
        <v>0</v>
      </c>
      <c r="K544" s="6">
        <v>0</v>
      </c>
      <c r="L544" s="6">
        <v>-0.27500000000000002</v>
      </c>
      <c r="M544" s="6">
        <v>-0.27500000000000002</v>
      </c>
      <c r="N544" s="6">
        <v>-0.27500000000000002</v>
      </c>
      <c r="O544" s="6">
        <v>-0.27500000000000002</v>
      </c>
      <c r="P544" s="6">
        <v>0</v>
      </c>
      <c r="Q544" s="4" t="s">
        <v>26</v>
      </c>
      <c r="R544" s="4">
        <v>0</v>
      </c>
      <c r="S544" s="4" t="s">
        <v>277</v>
      </c>
      <c r="T544" s="4" t="s">
        <v>438</v>
      </c>
      <c r="U544" s="4">
        <v>0</v>
      </c>
      <c r="V544" s="4">
        <v>33</v>
      </c>
      <c r="W544" s="4">
        <v>85</v>
      </c>
    </row>
    <row r="545" spans="1:23" ht="11.25" customHeight="1" x14ac:dyDescent="0.25">
      <c r="A545" s="4" t="s">
        <v>28</v>
      </c>
      <c r="B545" s="4" t="s">
        <v>33</v>
      </c>
      <c r="C545" s="4" t="s">
        <v>23</v>
      </c>
      <c r="D545" s="4" t="s">
        <v>40</v>
      </c>
      <c r="E545" s="4" t="s">
        <v>25</v>
      </c>
      <c r="F545" s="4" t="s">
        <v>25</v>
      </c>
      <c r="G545" s="4" t="s">
        <v>25</v>
      </c>
      <c r="H545" s="4" t="s">
        <v>25</v>
      </c>
      <c r="I545" s="5">
        <v>44501</v>
      </c>
      <c r="J545" s="6">
        <v>0</v>
      </c>
      <c r="K545" s="6">
        <v>0</v>
      </c>
      <c r="L545" s="6">
        <v>21.347999999999999</v>
      </c>
      <c r="M545" s="6">
        <v>21.347999999999999</v>
      </c>
      <c r="N545" s="6">
        <v>21.347999999999999</v>
      </c>
      <c r="O545" s="6">
        <v>21.347999999999999</v>
      </c>
      <c r="P545" s="6">
        <v>36</v>
      </c>
      <c r="Q545" s="4" t="s">
        <v>26</v>
      </c>
      <c r="R545" s="4">
        <v>0</v>
      </c>
      <c r="S545" s="4" t="s">
        <v>277</v>
      </c>
      <c r="T545" s="4" t="s">
        <v>438</v>
      </c>
      <c r="U545" s="4">
        <v>0</v>
      </c>
      <c r="V545" s="4">
        <v>33</v>
      </c>
      <c r="W545" s="4">
        <v>85</v>
      </c>
    </row>
    <row r="546" spans="1:23" ht="11.25" customHeight="1" x14ac:dyDescent="0.25">
      <c r="A546" s="4" t="s">
        <v>21</v>
      </c>
      <c r="B546" s="4" t="s">
        <v>33</v>
      </c>
      <c r="C546" s="4" t="s">
        <v>23</v>
      </c>
      <c r="D546" s="4" t="s">
        <v>40</v>
      </c>
      <c r="E546" s="4" t="s">
        <v>25</v>
      </c>
      <c r="F546" s="4" t="s">
        <v>25</v>
      </c>
      <c r="G546" s="4" t="s">
        <v>25</v>
      </c>
      <c r="H546" s="4" t="s">
        <v>25</v>
      </c>
      <c r="I546" s="5">
        <v>44531</v>
      </c>
      <c r="J546" s="6">
        <v>0</v>
      </c>
      <c r="K546" s="6">
        <v>0</v>
      </c>
      <c r="L546" s="6">
        <v>1955.549</v>
      </c>
      <c r="M546" s="6">
        <v>1955.549</v>
      </c>
      <c r="N546" s="6">
        <v>1955.549</v>
      </c>
      <c r="O546" s="6">
        <v>1955.549</v>
      </c>
      <c r="P546" s="6">
        <v>2918</v>
      </c>
      <c r="Q546" s="4" t="s">
        <v>26</v>
      </c>
      <c r="R546" s="4">
        <v>0</v>
      </c>
      <c r="S546" s="4" t="s">
        <v>278</v>
      </c>
      <c r="T546" s="4" t="s">
        <v>439</v>
      </c>
      <c r="U546" s="4">
        <v>0</v>
      </c>
      <c r="V546" s="4">
        <v>33</v>
      </c>
      <c r="W546" s="4">
        <v>85</v>
      </c>
    </row>
    <row r="547" spans="1:23" ht="11.25" customHeight="1" x14ac:dyDescent="0.25">
      <c r="A547" s="4" t="s">
        <v>27</v>
      </c>
      <c r="B547" s="4" t="s">
        <v>33</v>
      </c>
      <c r="C547" s="4" t="s">
        <v>23</v>
      </c>
      <c r="D547" s="4" t="s">
        <v>40</v>
      </c>
      <c r="E547" s="4" t="s">
        <v>25</v>
      </c>
      <c r="F547" s="4" t="s">
        <v>25</v>
      </c>
      <c r="G547" s="4" t="s">
        <v>25</v>
      </c>
      <c r="H547" s="4" t="s">
        <v>25</v>
      </c>
      <c r="I547" s="5">
        <v>44531</v>
      </c>
      <c r="J547" s="6">
        <v>0</v>
      </c>
      <c r="K547" s="6">
        <v>0</v>
      </c>
      <c r="L547" s="6">
        <v>-0.54100000000000004</v>
      </c>
      <c r="M547" s="6">
        <v>-0.54100000000000004</v>
      </c>
      <c r="N547" s="6">
        <v>-0.54100000000000004</v>
      </c>
      <c r="O547" s="6">
        <v>-0.54100000000000004</v>
      </c>
      <c r="P547" s="6">
        <v>0</v>
      </c>
      <c r="Q547" s="4" t="s">
        <v>26</v>
      </c>
      <c r="R547" s="4">
        <v>0</v>
      </c>
      <c r="S547" s="4" t="s">
        <v>278</v>
      </c>
      <c r="T547" s="4" t="s">
        <v>439</v>
      </c>
      <c r="U547" s="4">
        <v>0</v>
      </c>
      <c r="V547" s="4">
        <v>33</v>
      </c>
      <c r="W547" s="4">
        <v>85</v>
      </c>
    </row>
    <row r="548" spans="1:23" ht="11.25" customHeight="1" x14ac:dyDescent="0.25">
      <c r="A548" s="4" t="s">
        <v>28</v>
      </c>
      <c r="B548" s="4" t="s">
        <v>33</v>
      </c>
      <c r="C548" s="4" t="s">
        <v>23</v>
      </c>
      <c r="D548" s="4" t="s">
        <v>40</v>
      </c>
      <c r="E548" s="4" t="s">
        <v>25</v>
      </c>
      <c r="F548" s="4" t="s">
        <v>25</v>
      </c>
      <c r="G548" s="4" t="s">
        <v>25</v>
      </c>
      <c r="H548" s="4" t="s">
        <v>25</v>
      </c>
      <c r="I548" s="5">
        <v>44531</v>
      </c>
      <c r="J548" s="6">
        <v>0</v>
      </c>
      <c r="K548" s="6">
        <v>0</v>
      </c>
      <c r="L548" s="6">
        <v>22.797000000000001</v>
      </c>
      <c r="M548" s="6">
        <v>22.797000000000001</v>
      </c>
      <c r="N548" s="6">
        <v>22.797000000000001</v>
      </c>
      <c r="O548" s="6">
        <v>22.797000000000001</v>
      </c>
      <c r="P548" s="6">
        <v>35</v>
      </c>
      <c r="Q548" s="4" t="s">
        <v>26</v>
      </c>
      <c r="R548" s="4">
        <v>0</v>
      </c>
      <c r="S548" s="4" t="s">
        <v>278</v>
      </c>
      <c r="T548" s="4" t="s">
        <v>439</v>
      </c>
      <c r="U548" s="4">
        <v>0</v>
      </c>
      <c r="V548" s="4">
        <v>33</v>
      </c>
      <c r="W548" s="4">
        <v>85</v>
      </c>
    </row>
    <row r="549" spans="1:23" ht="11.25" customHeight="1" x14ac:dyDescent="0.25">
      <c r="A549" s="4" t="s">
        <v>21</v>
      </c>
      <c r="B549" s="4" t="s">
        <v>33</v>
      </c>
      <c r="C549" s="4" t="s">
        <v>23</v>
      </c>
      <c r="D549" s="4" t="s">
        <v>40</v>
      </c>
      <c r="E549" s="4" t="s">
        <v>25</v>
      </c>
      <c r="F549" s="4" t="s">
        <v>25</v>
      </c>
      <c r="G549" s="4" t="s">
        <v>25</v>
      </c>
      <c r="H549" s="4" t="s">
        <v>25</v>
      </c>
      <c r="I549" s="5">
        <v>44562</v>
      </c>
      <c r="J549" s="6">
        <v>0</v>
      </c>
      <c r="K549" s="6">
        <v>0</v>
      </c>
      <c r="L549" s="6">
        <v>2394.1460000000002</v>
      </c>
      <c r="M549" s="6">
        <v>2394.1460000000002</v>
      </c>
      <c r="N549" s="6">
        <v>2394.1460000000002</v>
      </c>
      <c r="O549" s="6">
        <v>2394.1460000000002</v>
      </c>
      <c r="P549" s="6">
        <v>2952</v>
      </c>
      <c r="Q549" s="4" t="s">
        <v>26</v>
      </c>
      <c r="R549" s="4">
        <v>0</v>
      </c>
      <c r="S549" s="4" t="s">
        <v>279</v>
      </c>
      <c r="T549" s="4" t="s">
        <v>440</v>
      </c>
      <c r="U549" s="4">
        <v>0</v>
      </c>
      <c r="V549" s="4">
        <v>33</v>
      </c>
      <c r="W549" s="4">
        <v>85</v>
      </c>
    </row>
    <row r="550" spans="1:23" ht="11.25" customHeight="1" x14ac:dyDescent="0.25">
      <c r="A550" s="4" t="s">
        <v>27</v>
      </c>
      <c r="B550" s="4" t="s">
        <v>33</v>
      </c>
      <c r="C550" s="4" t="s">
        <v>23</v>
      </c>
      <c r="D550" s="4" t="s">
        <v>40</v>
      </c>
      <c r="E550" s="4" t="s">
        <v>25</v>
      </c>
      <c r="F550" s="4" t="s">
        <v>25</v>
      </c>
      <c r="G550" s="4" t="s">
        <v>25</v>
      </c>
      <c r="H550" s="4" t="s">
        <v>25</v>
      </c>
      <c r="I550" s="5">
        <v>44562</v>
      </c>
      <c r="J550" s="6">
        <v>0</v>
      </c>
      <c r="K550" s="6">
        <v>0</v>
      </c>
      <c r="L550" s="6">
        <v>8.0440000000000005</v>
      </c>
      <c r="M550" s="6">
        <v>8.0440000000000005</v>
      </c>
      <c r="N550" s="6">
        <v>8.0440000000000005</v>
      </c>
      <c r="O550" s="6">
        <v>8.0440000000000005</v>
      </c>
      <c r="P550" s="6">
        <v>0</v>
      </c>
      <c r="Q550" s="4" t="s">
        <v>26</v>
      </c>
      <c r="R550" s="4">
        <v>0</v>
      </c>
      <c r="S550" s="4" t="s">
        <v>279</v>
      </c>
      <c r="T550" s="4" t="s">
        <v>440</v>
      </c>
      <c r="U550" s="4">
        <v>0</v>
      </c>
      <c r="V550" s="4">
        <v>33</v>
      </c>
      <c r="W550" s="4">
        <v>85</v>
      </c>
    </row>
    <row r="551" spans="1:23" ht="11.25" customHeight="1" x14ac:dyDescent="0.25">
      <c r="A551" s="4" t="s">
        <v>28</v>
      </c>
      <c r="B551" s="4" t="s">
        <v>33</v>
      </c>
      <c r="C551" s="4" t="s">
        <v>23</v>
      </c>
      <c r="D551" s="4" t="s">
        <v>40</v>
      </c>
      <c r="E551" s="4" t="s">
        <v>25</v>
      </c>
      <c r="F551" s="4" t="s">
        <v>25</v>
      </c>
      <c r="G551" s="4" t="s">
        <v>25</v>
      </c>
      <c r="H551" s="4" t="s">
        <v>25</v>
      </c>
      <c r="I551" s="5">
        <v>44562</v>
      </c>
      <c r="J551" s="6">
        <v>0</v>
      </c>
      <c r="K551" s="6">
        <v>0</v>
      </c>
      <c r="L551" s="6">
        <v>25.462</v>
      </c>
      <c r="M551" s="6">
        <v>25.462</v>
      </c>
      <c r="N551" s="6">
        <v>25.462</v>
      </c>
      <c r="O551" s="6">
        <v>25.462</v>
      </c>
      <c r="P551" s="6">
        <v>37</v>
      </c>
      <c r="Q551" s="4" t="s">
        <v>26</v>
      </c>
      <c r="R551" s="4">
        <v>0</v>
      </c>
      <c r="S551" s="4" t="s">
        <v>279</v>
      </c>
      <c r="T551" s="4" t="s">
        <v>440</v>
      </c>
      <c r="U551" s="4">
        <v>0</v>
      </c>
      <c r="V551" s="4">
        <v>33</v>
      </c>
      <c r="W551" s="4">
        <v>85</v>
      </c>
    </row>
    <row r="552" spans="1:23" ht="11.25" customHeight="1" x14ac:dyDescent="0.25">
      <c r="A552" s="4" t="s">
        <v>21</v>
      </c>
      <c r="B552" s="4" t="s">
        <v>33</v>
      </c>
      <c r="C552" s="4" t="s">
        <v>23</v>
      </c>
      <c r="D552" s="4" t="s">
        <v>40</v>
      </c>
      <c r="E552" s="4" t="s">
        <v>25</v>
      </c>
      <c r="F552" s="4" t="s">
        <v>25</v>
      </c>
      <c r="G552" s="4" t="s">
        <v>25</v>
      </c>
      <c r="H552" s="4" t="s">
        <v>25</v>
      </c>
      <c r="I552" s="5">
        <v>44593</v>
      </c>
      <c r="J552" s="6">
        <v>0</v>
      </c>
      <c r="K552" s="6">
        <v>0</v>
      </c>
      <c r="L552" s="6">
        <v>2488.9639999999999</v>
      </c>
      <c r="M552" s="6">
        <v>2488.9639999999999</v>
      </c>
      <c r="N552" s="6">
        <v>2488.9639999999999</v>
      </c>
      <c r="O552" s="6">
        <v>2488.9639999999999</v>
      </c>
      <c r="P552" s="6">
        <v>2959</v>
      </c>
      <c r="Q552" s="4" t="s">
        <v>26</v>
      </c>
      <c r="R552" s="4">
        <v>0</v>
      </c>
      <c r="S552" s="4" t="s">
        <v>280</v>
      </c>
      <c r="T552" s="4" t="s">
        <v>441</v>
      </c>
      <c r="U552" s="4">
        <v>0</v>
      </c>
      <c r="V552" s="4">
        <v>33</v>
      </c>
      <c r="W552" s="4">
        <v>85</v>
      </c>
    </row>
    <row r="553" spans="1:23" ht="11.25" customHeight="1" x14ac:dyDescent="0.25">
      <c r="A553" s="4" t="s">
        <v>27</v>
      </c>
      <c r="B553" s="4" t="s">
        <v>33</v>
      </c>
      <c r="C553" s="4" t="s">
        <v>23</v>
      </c>
      <c r="D553" s="4" t="s">
        <v>40</v>
      </c>
      <c r="E553" s="4" t="s">
        <v>25</v>
      </c>
      <c r="F553" s="4" t="s">
        <v>25</v>
      </c>
      <c r="G553" s="4" t="s">
        <v>25</v>
      </c>
      <c r="H553" s="4" t="s">
        <v>25</v>
      </c>
      <c r="I553" s="5">
        <v>44593</v>
      </c>
      <c r="J553" s="6">
        <v>0</v>
      </c>
      <c r="K553" s="6">
        <v>0</v>
      </c>
      <c r="L553" s="6">
        <v>1.1240000000000001</v>
      </c>
      <c r="M553" s="6">
        <v>1.1240000000000001</v>
      </c>
      <c r="N553" s="6">
        <v>1.1240000000000001</v>
      </c>
      <c r="O553" s="6">
        <v>1.1240000000000001</v>
      </c>
      <c r="P553" s="6">
        <v>0</v>
      </c>
      <c r="Q553" s="4" t="s">
        <v>26</v>
      </c>
      <c r="R553" s="4">
        <v>0</v>
      </c>
      <c r="S553" s="4" t="s">
        <v>280</v>
      </c>
      <c r="T553" s="4" t="s">
        <v>441</v>
      </c>
      <c r="U553" s="4">
        <v>0</v>
      </c>
      <c r="V553" s="4">
        <v>33</v>
      </c>
      <c r="W553" s="4">
        <v>85</v>
      </c>
    </row>
    <row r="554" spans="1:23" ht="11.25" customHeight="1" x14ac:dyDescent="0.25">
      <c r="A554" s="4" t="s">
        <v>28</v>
      </c>
      <c r="B554" s="4" t="s">
        <v>33</v>
      </c>
      <c r="C554" s="4" t="s">
        <v>23</v>
      </c>
      <c r="D554" s="4" t="s">
        <v>40</v>
      </c>
      <c r="E554" s="4" t="s">
        <v>25</v>
      </c>
      <c r="F554" s="4" t="s">
        <v>25</v>
      </c>
      <c r="G554" s="4" t="s">
        <v>25</v>
      </c>
      <c r="H554" s="4" t="s">
        <v>25</v>
      </c>
      <c r="I554" s="5">
        <v>44593</v>
      </c>
      <c r="J554" s="6">
        <v>0</v>
      </c>
      <c r="K554" s="6">
        <v>0</v>
      </c>
      <c r="L554" s="6">
        <v>33.875999999999998</v>
      </c>
      <c r="M554" s="6">
        <v>33.875999999999998</v>
      </c>
      <c r="N554" s="6">
        <v>33.875999999999998</v>
      </c>
      <c r="O554" s="6">
        <v>33.875999999999998</v>
      </c>
      <c r="P554" s="6">
        <v>40</v>
      </c>
      <c r="Q554" s="4" t="s">
        <v>26</v>
      </c>
      <c r="R554" s="4">
        <v>0</v>
      </c>
      <c r="S554" s="4" t="s">
        <v>280</v>
      </c>
      <c r="T554" s="4" t="s">
        <v>441</v>
      </c>
      <c r="U554" s="4">
        <v>0</v>
      </c>
      <c r="V554" s="4">
        <v>33</v>
      </c>
      <c r="W554" s="4">
        <v>85</v>
      </c>
    </row>
    <row r="555" spans="1:23" ht="11.25" customHeight="1" x14ac:dyDescent="0.25">
      <c r="A555" s="4" t="s">
        <v>21</v>
      </c>
      <c r="B555" s="4" t="s">
        <v>33</v>
      </c>
      <c r="C555" s="4" t="s">
        <v>23</v>
      </c>
      <c r="D555" s="4" t="s">
        <v>40</v>
      </c>
      <c r="E555" s="4" t="s">
        <v>25</v>
      </c>
      <c r="F555" s="4" t="s">
        <v>25</v>
      </c>
      <c r="G555" s="4" t="s">
        <v>25</v>
      </c>
      <c r="H555" s="4" t="s">
        <v>25</v>
      </c>
      <c r="I555" s="5">
        <v>44621</v>
      </c>
      <c r="J555" s="6">
        <v>0</v>
      </c>
      <c r="K555" s="6">
        <v>0</v>
      </c>
      <c r="L555" s="6">
        <v>2283.8829999999998</v>
      </c>
      <c r="M555" s="6">
        <v>2283.8829999999998</v>
      </c>
      <c r="N555" s="6">
        <v>2283.8829999999998</v>
      </c>
      <c r="O555" s="6">
        <v>2283.8829999999998</v>
      </c>
      <c r="P555" s="6">
        <v>2949</v>
      </c>
      <c r="Q555" s="4" t="s">
        <v>26</v>
      </c>
      <c r="R555" s="4">
        <v>0</v>
      </c>
      <c r="S555" s="4" t="s">
        <v>281</v>
      </c>
      <c r="T555" s="4" t="s">
        <v>442</v>
      </c>
      <c r="U555" s="4">
        <v>0</v>
      </c>
      <c r="V555" s="4">
        <v>33</v>
      </c>
      <c r="W555" s="4">
        <v>85</v>
      </c>
    </row>
    <row r="556" spans="1:23" ht="11.25" customHeight="1" x14ac:dyDescent="0.25">
      <c r="A556" s="4" t="s">
        <v>27</v>
      </c>
      <c r="B556" s="4" t="s">
        <v>33</v>
      </c>
      <c r="C556" s="4" t="s">
        <v>23</v>
      </c>
      <c r="D556" s="4" t="s">
        <v>40</v>
      </c>
      <c r="E556" s="4" t="s">
        <v>25</v>
      </c>
      <c r="F556" s="4" t="s">
        <v>25</v>
      </c>
      <c r="G556" s="4" t="s">
        <v>25</v>
      </c>
      <c r="H556" s="4" t="s">
        <v>25</v>
      </c>
      <c r="I556" s="5">
        <v>44621</v>
      </c>
      <c r="J556" s="6">
        <v>0</v>
      </c>
      <c r="K556" s="6">
        <v>0</v>
      </c>
      <c r="L556" s="6">
        <v>1.954</v>
      </c>
      <c r="M556" s="6">
        <v>1.954</v>
      </c>
      <c r="N556" s="6">
        <v>1.954</v>
      </c>
      <c r="O556" s="6">
        <v>1.954</v>
      </c>
      <c r="P556" s="6">
        <v>0</v>
      </c>
      <c r="Q556" s="4" t="s">
        <v>26</v>
      </c>
      <c r="R556" s="4">
        <v>0</v>
      </c>
      <c r="S556" s="4" t="s">
        <v>281</v>
      </c>
      <c r="T556" s="4" t="s">
        <v>442</v>
      </c>
      <c r="U556" s="4">
        <v>0</v>
      </c>
      <c r="V556" s="4">
        <v>33</v>
      </c>
      <c r="W556" s="4">
        <v>85</v>
      </c>
    </row>
    <row r="557" spans="1:23" ht="11.25" customHeight="1" x14ac:dyDescent="0.25">
      <c r="A557" s="4" t="s">
        <v>28</v>
      </c>
      <c r="B557" s="4" t="s">
        <v>33</v>
      </c>
      <c r="C557" s="4" t="s">
        <v>23</v>
      </c>
      <c r="D557" s="4" t="s">
        <v>40</v>
      </c>
      <c r="E557" s="4" t="s">
        <v>25</v>
      </c>
      <c r="F557" s="4" t="s">
        <v>25</v>
      </c>
      <c r="G557" s="4" t="s">
        <v>25</v>
      </c>
      <c r="H557" s="4" t="s">
        <v>25</v>
      </c>
      <c r="I557" s="5">
        <v>44621</v>
      </c>
      <c r="J557" s="6">
        <v>0</v>
      </c>
      <c r="K557" s="6">
        <v>0</v>
      </c>
      <c r="L557" s="6">
        <v>48.832000000000001</v>
      </c>
      <c r="M557" s="6">
        <v>48.832000000000001</v>
      </c>
      <c r="N557" s="6">
        <v>48.832000000000001</v>
      </c>
      <c r="O557" s="6">
        <v>48.832000000000001</v>
      </c>
      <c r="P557" s="6">
        <v>44</v>
      </c>
      <c r="Q557" s="4" t="s">
        <v>26</v>
      </c>
      <c r="R557" s="4">
        <v>0</v>
      </c>
      <c r="S557" s="4" t="s">
        <v>281</v>
      </c>
      <c r="T557" s="4" t="s">
        <v>442</v>
      </c>
      <c r="U557" s="4">
        <v>0</v>
      </c>
      <c r="V557" s="4">
        <v>33</v>
      </c>
      <c r="W557" s="4">
        <v>85</v>
      </c>
    </row>
    <row r="558" spans="1:23" ht="11.25" customHeight="1" x14ac:dyDescent="0.25">
      <c r="A558" s="4" t="s">
        <v>21</v>
      </c>
      <c r="B558" s="4" t="s">
        <v>33</v>
      </c>
      <c r="C558" s="4" t="s">
        <v>23</v>
      </c>
      <c r="D558" s="4" t="s">
        <v>40</v>
      </c>
      <c r="E558" s="4" t="s">
        <v>25</v>
      </c>
      <c r="F558" s="4" t="s">
        <v>25</v>
      </c>
      <c r="G558" s="4" t="s">
        <v>25</v>
      </c>
      <c r="H558" s="4" t="s">
        <v>25</v>
      </c>
      <c r="I558" s="5">
        <v>44652</v>
      </c>
      <c r="J558" s="6">
        <v>0</v>
      </c>
      <c r="K558" s="6">
        <v>0</v>
      </c>
      <c r="L558" s="6">
        <v>2069.9580000000001</v>
      </c>
      <c r="M558" s="6">
        <v>2069.9580000000001</v>
      </c>
      <c r="N558" s="6">
        <v>2069.9580000000001</v>
      </c>
      <c r="O558" s="6">
        <v>2069.9580000000001</v>
      </c>
      <c r="P558" s="6">
        <v>2966</v>
      </c>
      <c r="Q558" s="4" t="s">
        <v>26</v>
      </c>
      <c r="R558" s="4">
        <v>0</v>
      </c>
      <c r="S558" s="4" t="s">
        <v>282</v>
      </c>
      <c r="T558" s="4" t="s">
        <v>443</v>
      </c>
      <c r="U558" s="4">
        <v>0</v>
      </c>
      <c r="V558" s="4">
        <v>33</v>
      </c>
      <c r="W558" s="4">
        <v>85</v>
      </c>
    </row>
    <row r="559" spans="1:23" ht="11.25" customHeight="1" x14ac:dyDescent="0.25">
      <c r="A559" s="4" t="s">
        <v>27</v>
      </c>
      <c r="B559" s="4" t="s">
        <v>33</v>
      </c>
      <c r="C559" s="4" t="s">
        <v>23</v>
      </c>
      <c r="D559" s="4" t="s">
        <v>40</v>
      </c>
      <c r="E559" s="4" t="s">
        <v>25</v>
      </c>
      <c r="F559" s="4" t="s">
        <v>25</v>
      </c>
      <c r="G559" s="4" t="s">
        <v>25</v>
      </c>
      <c r="H559" s="4" t="s">
        <v>25</v>
      </c>
      <c r="I559" s="5">
        <v>44652</v>
      </c>
      <c r="J559" s="6">
        <v>0</v>
      </c>
      <c r="K559" s="6">
        <v>0</v>
      </c>
      <c r="L559" s="6">
        <v>0.53100000000000003</v>
      </c>
      <c r="M559" s="6">
        <v>0.53100000000000003</v>
      </c>
      <c r="N559" s="6">
        <v>0.53100000000000003</v>
      </c>
      <c r="O559" s="6">
        <v>0.53100000000000003</v>
      </c>
      <c r="P559" s="6">
        <v>0</v>
      </c>
      <c r="Q559" s="4" t="s">
        <v>26</v>
      </c>
      <c r="R559" s="4">
        <v>0</v>
      </c>
      <c r="S559" s="4" t="s">
        <v>282</v>
      </c>
      <c r="T559" s="4" t="s">
        <v>443</v>
      </c>
      <c r="U559" s="4">
        <v>0</v>
      </c>
      <c r="V559" s="4">
        <v>33</v>
      </c>
      <c r="W559" s="4">
        <v>85</v>
      </c>
    </row>
    <row r="560" spans="1:23" ht="11.25" customHeight="1" x14ac:dyDescent="0.25">
      <c r="A560" s="4" t="s">
        <v>28</v>
      </c>
      <c r="B560" s="4" t="s">
        <v>33</v>
      </c>
      <c r="C560" s="4" t="s">
        <v>23</v>
      </c>
      <c r="D560" s="4" t="s">
        <v>40</v>
      </c>
      <c r="E560" s="4" t="s">
        <v>25</v>
      </c>
      <c r="F560" s="4" t="s">
        <v>25</v>
      </c>
      <c r="G560" s="4" t="s">
        <v>25</v>
      </c>
      <c r="H560" s="4" t="s">
        <v>25</v>
      </c>
      <c r="I560" s="5">
        <v>44652</v>
      </c>
      <c r="J560" s="6">
        <v>0</v>
      </c>
      <c r="K560" s="6">
        <v>0</v>
      </c>
      <c r="L560" s="6">
        <v>52.225000000000001</v>
      </c>
      <c r="M560" s="6">
        <v>52.225000000000001</v>
      </c>
      <c r="N560" s="6">
        <v>52.225000000000001</v>
      </c>
      <c r="O560" s="6">
        <v>52.225000000000001</v>
      </c>
      <c r="P560" s="6">
        <v>47</v>
      </c>
      <c r="Q560" s="4" t="s">
        <v>26</v>
      </c>
      <c r="R560" s="4">
        <v>0</v>
      </c>
      <c r="S560" s="4" t="s">
        <v>282</v>
      </c>
      <c r="T560" s="4" t="s">
        <v>443</v>
      </c>
      <c r="U560" s="4">
        <v>0</v>
      </c>
      <c r="V560" s="4">
        <v>33</v>
      </c>
      <c r="W560" s="4">
        <v>85</v>
      </c>
    </row>
    <row r="561" spans="1:23" ht="11.25" customHeight="1" x14ac:dyDescent="0.25">
      <c r="A561" s="4" t="s">
        <v>21</v>
      </c>
      <c r="B561" s="4" t="s">
        <v>33</v>
      </c>
      <c r="C561" s="4" t="s">
        <v>23</v>
      </c>
      <c r="D561" s="4" t="s">
        <v>40</v>
      </c>
      <c r="E561" s="4" t="s">
        <v>25</v>
      </c>
      <c r="F561" s="4" t="s">
        <v>25</v>
      </c>
      <c r="G561" s="4" t="s">
        <v>25</v>
      </c>
      <c r="H561" s="4" t="s">
        <v>25</v>
      </c>
      <c r="I561" s="5">
        <v>44682</v>
      </c>
      <c r="J561" s="6">
        <v>0</v>
      </c>
      <c r="K561" s="6">
        <v>0</v>
      </c>
      <c r="L561" s="6">
        <v>1746.81</v>
      </c>
      <c r="M561" s="6">
        <v>1746.81</v>
      </c>
      <c r="N561" s="6">
        <v>1746.81</v>
      </c>
      <c r="O561" s="6">
        <v>1746.81</v>
      </c>
      <c r="P561" s="6">
        <v>2962</v>
      </c>
      <c r="Q561" s="4" t="s">
        <v>26</v>
      </c>
      <c r="R561" s="4">
        <v>0</v>
      </c>
      <c r="S561" s="4" t="s">
        <v>283</v>
      </c>
      <c r="T561" s="4" t="s">
        <v>444</v>
      </c>
      <c r="U561" s="4">
        <v>0</v>
      </c>
      <c r="V561" s="4">
        <v>33</v>
      </c>
      <c r="W561" s="4">
        <v>85</v>
      </c>
    </row>
    <row r="562" spans="1:23" ht="11.25" customHeight="1" x14ac:dyDescent="0.25">
      <c r="A562" s="4" t="s">
        <v>27</v>
      </c>
      <c r="B562" s="4" t="s">
        <v>33</v>
      </c>
      <c r="C562" s="4" t="s">
        <v>23</v>
      </c>
      <c r="D562" s="4" t="s">
        <v>40</v>
      </c>
      <c r="E562" s="4" t="s">
        <v>25</v>
      </c>
      <c r="F562" s="4" t="s">
        <v>25</v>
      </c>
      <c r="G562" s="4" t="s">
        <v>25</v>
      </c>
      <c r="H562" s="4" t="s">
        <v>25</v>
      </c>
      <c r="I562" s="5">
        <v>44682</v>
      </c>
      <c r="J562" s="6">
        <v>0</v>
      </c>
      <c r="K562" s="6">
        <v>0</v>
      </c>
      <c r="L562" s="6">
        <v>-1.7529999999999999</v>
      </c>
      <c r="M562" s="6">
        <v>-1.7529999999999999</v>
      </c>
      <c r="N562" s="6">
        <v>-1.7529999999999999</v>
      </c>
      <c r="O562" s="6">
        <v>-1.7529999999999999</v>
      </c>
      <c r="P562" s="6">
        <v>0</v>
      </c>
      <c r="Q562" s="4" t="s">
        <v>26</v>
      </c>
      <c r="R562" s="4">
        <v>0</v>
      </c>
      <c r="S562" s="4" t="s">
        <v>283</v>
      </c>
      <c r="T562" s="4" t="s">
        <v>444</v>
      </c>
      <c r="U562" s="4">
        <v>0</v>
      </c>
      <c r="V562" s="4">
        <v>33</v>
      </c>
      <c r="W562" s="4">
        <v>85</v>
      </c>
    </row>
    <row r="563" spans="1:23" ht="11.25" customHeight="1" x14ac:dyDescent="0.25">
      <c r="A563" s="4" t="s">
        <v>28</v>
      </c>
      <c r="B563" s="4" t="s">
        <v>33</v>
      </c>
      <c r="C563" s="4" t="s">
        <v>23</v>
      </c>
      <c r="D563" s="4" t="s">
        <v>40</v>
      </c>
      <c r="E563" s="4" t="s">
        <v>25</v>
      </c>
      <c r="F563" s="4" t="s">
        <v>25</v>
      </c>
      <c r="G563" s="4" t="s">
        <v>25</v>
      </c>
      <c r="H563" s="4" t="s">
        <v>25</v>
      </c>
      <c r="I563" s="5">
        <v>44682</v>
      </c>
      <c r="J563" s="6">
        <v>0</v>
      </c>
      <c r="K563" s="6">
        <v>0</v>
      </c>
      <c r="L563" s="6">
        <v>62.741</v>
      </c>
      <c r="M563" s="6">
        <v>62.741</v>
      </c>
      <c r="N563" s="6">
        <v>62.741</v>
      </c>
      <c r="O563" s="6">
        <v>62.741</v>
      </c>
      <c r="P563" s="6">
        <v>52</v>
      </c>
      <c r="Q563" s="4" t="s">
        <v>26</v>
      </c>
      <c r="R563" s="4">
        <v>0</v>
      </c>
      <c r="S563" s="4" t="s">
        <v>283</v>
      </c>
      <c r="T563" s="4" t="s">
        <v>444</v>
      </c>
      <c r="U563" s="4">
        <v>0</v>
      </c>
      <c r="V563" s="4">
        <v>33</v>
      </c>
      <c r="W563" s="4">
        <v>85</v>
      </c>
    </row>
    <row r="564" spans="1:23" ht="11.25" customHeight="1" x14ac:dyDescent="0.25">
      <c r="A564" s="4" t="s">
        <v>21</v>
      </c>
      <c r="B564" s="4" t="s">
        <v>33</v>
      </c>
      <c r="C564" s="4" t="s">
        <v>23</v>
      </c>
      <c r="D564" s="4" t="s">
        <v>40</v>
      </c>
      <c r="E564" s="4" t="s">
        <v>25</v>
      </c>
      <c r="F564" s="4" t="s">
        <v>25</v>
      </c>
      <c r="G564" s="4" t="s">
        <v>25</v>
      </c>
      <c r="H564" s="4" t="s">
        <v>25</v>
      </c>
      <c r="I564" s="5">
        <v>44713</v>
      </c>
      <c r="J564" s="6">
        <v>0</v>
      </c>
      <c r="K564" s="6">
        <v>0</v>
      </c>
      <c r="L564" s="6">
        <v>1601.3679999999999</v>
      </c>
      <c r="M564" s="6">
        <v>1601.3679999999999</v>
      </c>
      <c r="N564" s="6">
        <v>1601.3679999999999</v>
      </c>
      <c r="O564" s="6">
        <v>1601.3679999999999</v>
      </c>
      <c r="P564" s="6">
        <v>2964</v>
      </c>
      <c r="Q564" s="4" t="s">
        <v>26</v>
      </c>
      <c r="R564" s="4">
        <v>0</v>
      </c>
      <c r="S564" s="4" t="s">
        <v>284</v>
      </c>
      <c r="T564" s="4" t="s">
        <v>445</v>
      </c>
      <c r="U564" s="4">
        <v>0</v>
      </c>
      <c r="V564" s="4">
        <v>33</v>
      </c>
      <c r="W564" s="4">
        <v>85</v>
      </c>
    </row>
    <row r="565" spans="1:23" ht="11.25" customHeight="1" x14ac:dyDescent="0.25">
      <c r="A565" s="4" t="s">
        <v>28</v>
      </c>
      <c r="B565" s="4" t="s">
        <v>33</v>
      </c>
      <c r="C565" s="4" t="s">
        <v>23</v>
      </c>
      <c r="D565" s="4" t="s">
        <v>40</v>
      </c>
      <c r="E565" s="4" t="s">
        <v>25</v>
      </c>
      <c r="F565" s="4" t="s">
        <v>25</v>
      </c>
      <c r="G565" s="4" t="s">
        <v>25</v>
      </c>
      <c r="H565" s="4" t="s">
        <v>25</v>
      </c>
      <c r="I565" s="5">
        <v>44713</v>
      </c>
      <c r="J565" s="6">
        <v>0</v>
      </c>
      <c r="K565" s="6">
        <v>0</v>
      </c>
      <c r="L565" s="6">
        <v>77.203999999999994</v>
      </c>
      <c r="M565" s="6">
        <v>77.203999999999994</v>
      </c>
      <c r="N565" s="6">
        <v>77.203999999999994</v>
      </c>
      <c r="O565" s="6">
        <v>77.203999999999994</v>
      </c>
      <c r="P565" s="6">
        <v>57</v>
      </c>
      <c r="Q565" s="4" t="s">
        <v>26</v>
      </c>
      <c r="R565" s="4">
        <v>0</v>
      </c>
      <c r="S565" s="4" t="s">
        <v>284</v>
      </c>
      <c r="T565" s="4" t="s">
        <v>445</v>
      </c>
      <c r="U565" s="4">
        <v>0</v>
      </c>
      <c r="V565" s="4">
        <v>33</v>
      </c>
      <c r="W565" s="4">
        <v>85</v>
      </c>
    </row>
    <row r="566" spans="1:23" ht="11.25" customHeight="1" x14ac:dyDescent="0.25">
      <c r="A566" s="4" t="s">
        <v>55</v>
      </c>
      <c r="B566" s="4" t="s">
        <v>33</v>
      </c>
      <c r="C566" s="4" t="s">
        <v>23</v>
      </c>
      <c r="D566" s="4" t="s">
        <v>40</v>
      </c>
      <c r="E566" s="4" t="s">
        <v>25</v>
      </c>
      <c r="F566" s="4" t="s">
        <v>25</v>
      </c>
      <c r="G566" s="4" t="s">
        <v>25</v>
      </c>
      <c r="H566" s="4" t="s">
        <v>25</v>
      </c>
      <c r="I566" s="5">
        <v>44743</v>
      </c>
      <c r="J566" s="6">
        <v>0</v>
      </c>
      <c r="K566" s="6">
        <v>0</v>
      </c>
      <c r="L566" s="6">
        <v>1601.3679999999999</v>
      </c>
      <c r="M566" s="6">
        <v>1601.3679999999999</v>
      </c>
      <c r="N566" s="6">
        <v>1601.3679999999999</v>
      </c>
      <c r="O566" s="6">
        <v>1601.3679999999999</v>
      </c>
      <c r="P566" s="6">
        <v>2964</v>
      </c>
      <c r="Q566" s="4" t="s">
        <v>26</v>
      </c>
      <c r="R566" s="4">
        <v>0</v>
      </c>
      <c r="S566" s="4" t="s">
        <v>285</v>
      </c>
      <c r="T566" s="4" t="s">
        <v>446</v>
      </c>
      <c r="U566" s="4">
        <v>0</v>
      </c>
      <c r="V566" s="4">
        <v>33</v>
      </c>
      <c r="W566" s="4">
        <v>85</v>
      </c>
    </row>
    <row r="567" spans="1:23" ht="11.25" customHeight="1" x14ac:dyDescent="0.25">
      <c r="A567" s="4" t="s">
        <v>55</v>
      </c>
      <c r="B567" s="4" t="s">
        <v>33</v>
      </c>
      <c r="C567" s="4" t="s">
        <v>23</v>
      </c>
      <c r="D567" s="4" t="s">
        <v>40</v>
      </c>
      <c r="E567" s="4" t="s">
        <v>25</v>
      </c>
      <c r="F567" s="4" t="s">
        <v>25</v>
      </c>
      <c r="G567" s="4" t="s">
        <v>25</v>
      </c>
      <c r="H567" s="4" t="s">
        <v>25</v>
      </c>
      <c r="I567" s="5">
        <v>44743</v>
      </c>
      <c r="J567" s="6">
        <v>0</v>
      </c>
      <c r="K567" s="6">
        <v>0</v>
      </c>
      <c r="L567" s="6">
        <v>77.203999999999994</v>
      </c>
      <c r="M567" s="6">
        <v>77.203999999999994</v>
      </c>
      <c r="N567" s="6">
        <v>77.203999999999994</v>
      </c>
      <c r="O567" s="6">
        <v>77.203999999999994</v>
      </c>
      <c r="P567" s="6">
        <v>57</v>
      </c>
      <c r="Q567" s="4" t="s">
        <v>26</v>
      </c>
      <c r="R567" s="4">
        <v>0</v>
      </c>
      <c r="S567" s="4" t="s">
        <v>285</v>
      </c>
      <c r="T567" s="4" t="s">
        <v>446</v>
      </c>
      <c r="U567" s="4">
        <v>0</v>
      </c>
      <c r="V567" s="4">
        <v>33</v>
      </c>
      <c r="W567" s="4">
        <v>85</v>
      </c>
    </row>
    <row r="568" spans="1:23" ht="11.25" customHeight="1" x14ac:dyDescent="0.25">
      <c r="A568" s="4" t="s">
        <v>21</v>
      </c>
      <c r="B568" s="4" t="s">
        <v>33</v>
      </c>
      <c r="C568" s="4" t="s">
        <v>23</v>
      </c>
      <c r="D568" s="4" t="s">
        <v>49</v>
      </c>
      <c r="E568" s="4" t="s">
        <v>25</v>
      </c>
      <c r="F568" s="4" t="s">
        <v>25</v>
      </c>
      <c r="G568" s="4" t="s">
        <v>25</v>
      </c>
      <c r="H568" s="4" t="s">
        <v>25</v>
      </c>
      <c r="I568" s="5">
        <v>44409</v>
      </c>
      <c r="J568" s="6">
        <v>0</v>
      </c>
      <c r="K568" s="6">
        <v>0</v>
      </c>
      <c r="L568" s="6">
        <v>5.5549999999999997</v>
      </c>
      <c r="M568" s="6">
        <v>5.5549999999999997</v>
      </c>
      <c r="N568" s="6">
        <v>5.5549999999999997</v>
      </c>
      <c r="O568" s="6">
        <v>5.5549999999999997</v>
      </c>
      <c r="P568" s="6">
        <v>4</v>
      </c>
      <c r="Q568" s="4" t="s">
        <v>26</v>
      </c>
      <c r="R568" s="4">
        <v>0</v>
      </c>
      <c r="S568" s="4" t="s">
        <v>274</v>
      </c>
      <c r="T568" s="4" t="s">
        <v>435</v>
      </c>
      <c r="U568" s="4">
        <v>0</v>
      </c>
      <c r="V568" s="4">
        <v>33</v>
      </c>
      <c r="W568" s="4">
        <v>85</v>
      </c>
    </row>
    <row r="569" spans="1:23" ht="11.25" customHeight="1" x14ac:dyDescent="0.25">
      <c r="A569" s="4" t="s">
        <v>21</v>
      </c>
      <c r="B569" s="4" t="s">
        <v>33</v>
      </c>
      <c r="C569" s="4" t="s">
        <v>23</v>
      </c>
      <c r="D569" s="4" t="s">
        <v>49</v>
      </c>
      <c r="E569" s="4" t="s">
        <v>25</v>
      </c>
      <c r="F569" s="4" t="s">
        <v>25</v>
      </c>
      <c r="G569" s="4" t="s">
        <v>25</v>
      </c>
      <c r="H569" s="4" t="s">
        <v>25</v>
      </c>
      <c r="I569" s="5">
        <v>44440</v>
      </c>
      <c r="J569" s="6">
        <v>0</v>
      </c>
      <c r="K569" s="6">
        <v>0</v>
      </c>
      <c r="L569" s="6">
        <v>5.6970000000000001</v>
      </c>
      <c r="M569" s="6">
        <v>5.6970000000000001</v>
      </c>
      <c r="N569" s="6">
        <v>5.6970000000000001</v>
      </c>
      <c r="O569" s="6">
        <v>5.6970000000000001</v>
      </c>
      <c r="P569" s="6">
        <v>4</v>
      </c>
      <c r="Q569" s="4" t="s">
        <v>26</v>
      </c>
      <c r="R569" s="4">
        <v>0</v>
      </c>
      <c r="S569" s="4" t="s">
        <v>275</v>
      </c>
      <c r="T569" s="4" t="s">
        <v>436</v>
      </c>
      <c r="U569" s="4">
        <v>0</v>
      </c>
      <c r="V569" s="4">
        <v>33</v>
      </c>
      <c r="W569" s="4">
        <v>85</v>
      </c>
    </row>
    <row r="570" spans="1:23" ht="11.25" customHeight="1" x14ac:dyDescent="0.25">
      <c r="A570" s="4" t="s">
        <v>21</v>
      </c>
      <c r="B570" s="4" t="s">
        <v>33</v>
      </c>
      <c r="C570" s="4" t="s">
        <v>23</v>
      </c>
      <c r="D570" s="4" t="s">
        <v>49</v>
      </c>
      <c r="E570" s="4" t="s">
        <v>25</v>
      </c>
      <c r="F570" s="4" t="s">
        <v>25</v>
      </c>
      <c r="G570" s="4" t="s">
        <v>25</v>
      </c>
      <c r="H570" s="4" t="s">
        <v>25</v>
      </c>
      <c r="I570" s="5">
        <v>44470</v>
      </c>
      <c r="J570" s="6">
        <v>0</v>
      </c>
      <c r="K570" s="6">
        <v>0</v>
      </c>
      <c r="L570" s="6">
        <v>5.7779999999999996</v>
      </c>
      <c r="M570" s="6">
        <v>5.7779999999999996</v>
      </c>
      <c r="N570" s="6">
        <v>5.7779999999999996</v>
      </c>
      <c r="O570" s="6">
        <v>5.7779999999999996</v>
      </c>
      <c r="P570" s="6">
        <v>4</v>
      </c>
      <c r="Q570" s="4" t="s">
        <v>26</v>
      </c>
      <c r="R570" s="4">
        <v>0</v>
      </c>
      <c r="S570" s="4" t="s">
        <v>276</v>
      </c>
      <c r="T570" s="4" t="s">
        <v>437</v>
      </c>
      <c r="U570" s="4">
        <v>0</v>
      </c>
      <c r="V570" s="4">
        <v>33</v>
      </c>
      <c r="W570" s="4">
        <v>85</v>
      </c>
    </row>
    <row r="571" spans="1:23" ht="11.25" customHeight="1" x14ac:dyDescent="0.25">
      <c r="A571" s="4" t="s">
        <v>21</v>
      </c>
      <c r="B571" s="4" t="s">
        <v>33</v>
      </c>
      <c r="C571" s="4" t="s">
        <v>23</v>
      </c>
      <c r="D571" s="4" t="s">
        <v>49</v>
      </c>
      <c r="E571" s="4" t="s">
        <v>25</v>
      </c>
      <c r="F571" s="4" t="s">
        <v>25</v>
      </c>
      <c r="G571" s="4" t="s">
        <v>25</v>
      </c>
      <c r="H571" s="4" t="s">
        <v>25</v>
      </c>
      <c r="I571" s="5">
        <v>44501</v>
      </c>
      <c r="J571" s="6">
        <v>0</v>
      </c>
      <c r="K571" s="6">
        <v>0</v>
      </c>
      <c r="L571" s="6">
        <v>6.2530000000000001</v>
      </c>
      <c r="M571" s="6">
        <v>6.2530000000000001</v>
      </c>
      <c r="N571" s="6">
        <v>6.2530000000000001</v>
      </c>
      <c r="O571" s="6">
        <v>6.2530000000000001</v>
      </c>
      <c r="P571" s="6">
        <v>4</v>
      </c>
      <c r="Q571" s="4" t="s">
        <v>26</v>
      </c>
      <c r="R571" s="4">
        <v>0</v>
      </c>
      <c r="S571" s="4" t="s">
        <v>277</v>
      </c>
      <c r="T571" s="4" t="s">
        <v>438</v>
      </c>
      <c r="U571" s="4">
        <v>0</v>
      </c>
      <c r="V571" s="4">
        <v>33</v>
      </c>
      <c r="W571" s="4">
        <v>85</v>
      </c>
    </row>
    <row r="572" spans="1:23" ht="11.25" customHeight="1" x14ac:dyDescent="0.25">
      <c r="A572" s="4" t="s">
        <v>21</v>
      </c>
      <c r="B572" s="4" t="s">
        <v>33</v>
      </c>
      <c r="C572" s="4" t="s">
        <v>23</v>
      </c>
      <c r="D572" s="4" t="s">
        <v>49</v>
      </c>
      <c r="E572" s="4" t="s">
        <v>25</v>
      </c>
      <c r="F572" s="4" t="s">
        <v>25</v>
      </c>
      <c r="G572" s="4" t="s">
        <v>25</v>
      </c>
      <c r="H572" s="4" t="s">
        <v>25</v>
      </c>
      <c r="I572" s="5">
        <v>44531</v>
      </c>
      <c r="J572" s="6">
        <v>0</v>
      </c>
      <c r="K572" s="6">
        <v>0</v>
      </c>
      <c r="L572" s="6">
        <v>7.17</v>
      </c>
      <c r="M572" s="6">
        <v>7.17</v>
      </c>
      <c r="N572" s="6">
        <v>7.17</v>
      </c>
      <c r="O572" s="6">
        <v>7.17</v>
      </c>
      <c r="P572" s="6">
        <v>4</v>
      </c>
      <c r="Q572" s="4" t="s">
        <v>26</v>
      </c>
      <c r="R572" s="4">
        <v>0</v>
      </c>
      <c r="S572" s="4" t="s">
        <v>278</v>
      </c>
      <c r="T572" s="4" t="s">
        <v>439</v>
      </c>
      <c r="U572" s="4">
        <v>0</v>
      </c>
      <c r="V572" s="4">
        <v>33</v>
      </c>
      <c r="W572" s="4">
        <v>85</v>
      </c>
    </row>
    <row r="573" spans="1:23" ht="11.25" customHeight="1" x14ac:dyDescent="0.25">
      <c r="A573" s="4" t="s">
        <v>21</v>
      </c>
      <c r="B573" s="4" t="s">
        <v>33</v>
      </c>
      <c r="C573" s="4" t="s">
        <v>23</v>
      </c>
      <c r="D573" s="4" t="s">
        <v>49</v>
      </c>
      <c r="E573" s="4" t="s">
        <v>25</v>
      </c>
      <c r="F573" s="4" t="s">
        <v>25</v>
      </c>
      <c r="G573" s="4" t="s">
        <v>25</v>
      </c>
      <c r="H573" s="4" t="s">
        <v>25</v>
      </c>
      <c r="I573" s="5">
        <v>44562</v>
      </c>
      <c r="J573" s="6">
        <v>0</v>
      </c>
      <c r="K573" s="6">
        <v>0</v>
      </c>
      <c r="L573" s="6">
        <v>10.105</v>
      </c>
      <c r="M573" s="6">
        <v>10.105</v>
      </c>
      <c r="N573" s="6">
        <v>10.105</v>
      </c>
      <c r="O573" s="6">
        <v>10.105</v>
      </c>
      <c r="P573" s="6">
        <v>4</v>
      </c>
      <c r="Q573" s="4" t="s">
        <v>26</v>
      </c>
      <c r="R573" s="4">
        <v>0</v>
      </c>
      <c r="S573" s="4" t="s">
        <v>279</v>
      </c>
      <c r="T573" s="4" t="s">
        <v>440</v>
      </c>
      <c r="U573" s="4">
        <v>0</v>
      </c>
      <c r="V573" s="4">
        <v>33</v>
      </c>
      <c r="W573" s="4">
        <v>85</v>
      </c>
    </row>
    <row r="574" spans="1:23" ht="11.25" customHeight="1" x14ac:dyDescent="0.25">
      <c r="A574" s="4" t="s">
        <v>21</v>
      </c>
      <c r="B574" s="4" t="s">
        <v>33</v>
      </c>
      <c r="C574" s="4" t="s">
        <v>23</v>
      </c>
      <c r="D574" s="4" t="s">
        <v>49</v>
      </c>
      <c r="E574" s="4" t="s">
        <v>25</v>
      </c>
      <c r="F574" s="4" t="s">
        <v>25</v>
      </c>
      <c r="G574" s="4" t="s">
        <v>25</v>
      </c>
      <c r="H574" s="4" t="s">
        <v>25</v>
      </c>
      <c r="I574" s="5">
        <v>44593</v>
      </c>
      <c r="J574" s="6">
        <v>0</v>
      </c>
      <c r="K574" s="6">
        <v>0</v>
      </c>
      <c r="L574" s="6">
        <v>11.499000000000001</v>
      </c>
      <c r="M574" s="6">
        <v>11.499000000000001</v>
      </c>
      <c r="N574" s="6">
        <v>11.499000000000001</v>
      </c>
      <c r="O574" s="6">
        <v>11.499000000000001</v>
      </c>
      <c r="P574" s="6">
        <v>4</v>
      </c>
      <c r="Q574" s="4" t="s">
        <v>26</v>
      </c>
      <c r="R574" s="4">
        <v>0</v>
      </c>
      <c r="S574" s="4" t="s">
        <v>280</v>
      </c>
      <c r="T574" s="4" t="s">
        <v>441</v>
      </c>
      <c r="U574" s="4">
        <v>0</v>
      </c>
      <c r="V574" s="4">
        <v>33</v>
      </c>
      <c r="W574" s="4">
        <v>85</v>
      </c>
    </row>
    <row r="575" spans="1:23" ht="11.25" customHeight="1" x14ac:dyDescent="0.25">
      <c r="A575" s="4" t="s">
        <v>21</v>
      </c>
      <c r="B575" s="4" t="s">
        <v>33</v>
      </c>
      <c r="C575" s="4" t="s">
        <v>23</v>
      </c>
      <c r="D575" s="4" t="s">
        <v>49</v>
      </c>
      <c r="E575" s="4" t="s">
        <v>25</v>
      </c>
      <c r="F575" s="4" t="s">
        <v>25</v>
      </c>
      <c r="G575" s="4" t="s">
        <v>25</v>
      </c>
      <c r="H575" s="4" t="s">
        <v>25</v>
      </c>
      <c r="I575" s="5">
        <v>44621</v>
      </c>
      <c r="J575" s="6">
        <v>0</v>
      </c>
      <c r="K575" s="6">
        <v>0</v>
      </c>
      <c r="L575" s="6">
        <v>11.22</v>
      </c>
      <c r="M575" s="6">
        <v>11.22</v>
      </c>
      <c r="N575" s="6">
        <v>11.22</v>
      </c>
      <c r="O575" s="6">
        <v>11.22</v>
      </c>
      <c r="P575" s="6">
        <v>4</v>
      </c>
      <c r="Q575" s="4" t="s">
        <v>26</v>
      </c>
      <c r="R575" s="4">
        <v>0</v>
      </c>
      <c r="S575" s="4" t="s">
        <v>281</v>
      </c>
      <c r="T575" s="4" t="s">
        <v>442</v>
      </c>
      <c r="U575" s="4">
        <v>0</v>
      </c>
      <c r="V575" s="4">
        <v>33</v>
      </c>
      <c r="W575" s="4">
        <v>85</v>
      </c>
    </row>
    <row r="576" spans="1:23" ht="11.25" customHeight="1" x14ac:dyDescent="0.25">
      <c r="A576" s="4" t="s">
        <v>21</v>
      </c>
      <c r="B576" s="4" t="s">
        <v>33</v>
      </c>
      <c r="C576" s="4" t="s">
        <v>23</v>
      </c>
      <c r="D576" s="4" t="s">
        <v>49</v>
      </c>
      <c r="E576" s="4" t="s">
        <v>25</v>
      </c>
      <c r="F576" s="4" t="s">
        <v>25</v>
      </c>
      <c r="G576" s="4" t="s">
        <v>25</v>
      </c>
      <c r="H576" s="4" t="s">
        <v>25</v>
      </c>
      <c r="I576" s="5">
        <v>44652</v>
      </c>
      <c r="J576" s="6">
        <v>0</v>
      </c>
      <c r="K576" s="6">
        <v>0</v>
      </c>
      <c r="L576" s="6">
        <v>9.36</v>
      </c>
      <c r="M576" s="6">
        <v>9.36</v>
      </c>
      <c r="N576" s="6">
        <v>9.36</v>
      </c>
      <c r="O576" s="6">
        <v>9.36</v>
      </c>
      <c r="P576" s="6">
        <v>4</v>
      </c>
      <c r="Q576" s="4" t="s">
        <v>26</v>
      </c>
      <c r="R576" s="4">
        <v>0</v>
      </c>
      <c r="S576" s="4" t="s">
        <v>282</v>
      </c>
      <c r="T576" s="4" t="s">
        <v>443</v>
      </c>
      <c r="U576" s="4">
        <v>0</v>
      </c>
      <c r="V576" s="4">
        <v>33</v>
      </c>
      <c r="W576" s="4">
        <v>85</v>
      </c>
    </row>
    <row r="577" spans="1:23" ht="11.25" customHeight="1" x14ac:dyDescent="0.25">
      <c r="A577" s="4" t="s">
        <v>21</v>
      </c>
      <c r="B577" s="4" t="s">
        <v>33</v>
      </c>
      <c r="C577" s="4" t="s">
        <v>23</v>
      </c>
      <c r="D577" s="4" t="s">
        <v>49</v>
      </c>
      <c r="E577" s="4" t="s">
        <v>25</v>
      </c>
      <c r="F577" s="4" t="s">
        <v>25</v>
      </c>
      <c r="G577" s="4" t="s">
        <v>25</v>
      </c>
      <c r="H577" s="4" t="s">
        <v>25</v>
      </c>
      <c r="I577" s="5">
        <v>44682</v>
      </c>
      <c r="J577" s="6">
        <v>0</v>
      </c>
      <c r="K577" s="6">
        <v>0</v>
      </c>
      <c r="L577" s="6">
        <v>6.306</v>
      </c>
      <c r="M577" s="6">
        <v>6.306</v>
      </c>
      <c r="N577" s="6">
        <v>6.306</v>
      </c>
      <c r="O577" s="6">
        <v>6.306</v>
      </c>
      <c r="P577" s="6">
        <v>4</v>
      </c>
      <c r="Q577" s="4" t="s">
        <v>26</v>
      </c>
      <c r="R577" s="4">
        <v>0</v>
      </c>
      <c r="S577" s="4" t="s">
        <v>283</v>
      </c>
      <c r="T577" s="4" t="s">
        <v>444</v>
      </c>
      <c r="U577" s="4">
        <v>0</v>
      </c>
      <c r="V577" s="4">
        <v>33</v>
      </c>
      <c r="W577" s="4">
        <v>85</v>
      </c>
    </row>
    <row r="578" spans="1:23" ht="11.25" customHeight="1" x14ac:dyDescent="0.25">
      <c r="A578" s="4" t="s">
        <v>21</v>
      </c>
      <c r="B578" s="4" t="s">
        <v>33</v>
      </c>
      <c r="C578" s="4" t="s">
        <v>23</v>
      </c>
      <c r="D578" s="4" t="s">
        <v>49</v>
      </c>
      <c r="E578" s="4" t="s">
        <v>25</v>
      </c>
      <c r="F578" s="4" t="s">
        <v>25</v>
      </c>
      <c r="G578" s="4" t="s">
        <v>25</v>
      </c>
      <c r="H578" s="4" t="s">
        <v>25</v>
      </c>
      <c r="I578" s="5">
        <v>44713</v>
      </c>
      <c r="J578" s="6">
        <v>0</v>
      </c>
      <c r="K578" s="6">
        <v>0</v>
      </c>
      <c r="L578" s="6">
        <v>5.3730000000000002</v>
      </c>
      <c r="M578" s="6">
        <v>5.3730000000000002</v>
      </c>
      <c r="N578" s="6">
        <v>5.3730000000000002</v>
      </c>
      <c r="O578" s="6">
        <v>5.3730000000000002</v>
      </c>
      <c r="P578" s="6">
        <v>4</v>
      </c>
      <c r="Q578" s="4" t="s">
        <v>26</v>
      </c>
      <c r="R578" s="4">
        <v>0</v>
      </c>
      <c r="S578" s="4" t="s">
        <v>284</v>
      </c>
      <c r="T578" s="4" t="s">
        <v>445</v>
      </c>
      <c r="U578" s="4">
        <v>0</v>
      </c>
      <c r="V578" s="4">
        <v>33</v>
      </c>
      <c r="W578" s="4">
        <v>85</v>
      </c>
    </row>
    <row r="579" spans="1:23" ht="11.25" customHeight="1" x14ac:dyDescent="0.25">
      <c r="A579" s="4" t="s">
        <v>55</v>
      </c>
      <c r="B579" s="4" t="s">
        <v>33</v>
      </c>
      <c r="C579" s="4" t="s">
        <v>23</v>
      </c>
      <c r="D579" s="4" t="s">
        <v>49</v>
      </c>
      <c r="E579" s="4" t="s">
        <v>25</v>
      </c>
      <c r="F579" s="4" t="s">
        <v>25</v>
      </c>
      <c r="G579" s="4" t="s">
        <v>25</v>
      </c>
      <c r="H579" s="4" t="s">
        <v>25</v>
      </c>
      <c r="I579" s="5">
        <v>44743</v>
      </c>
      <c r="J579" s="6">
        <v>0</v>
      </c>
      <c r="K579" s="6">
        <v>0</v>
      </c>
      <c r="L579" s="6">
        <v>5.3730000000000002</v>
      </c>
      <c r="M579" s="6">
        <v>5.3730000000000002</v>
      </c>
      <c r="N579" s="6">
        <v>5.3730000000000002</v>
      </c>
      <c r="O579" s="6">
        <v>5.3730000000000002</v>
      </c>
      <c r="P579" s="6">
        <v>4</v>
      </c>
      <c r="Q579" s="4" t="s">
        <v>26</v>
      </c>
      <c r="R579" s="4">
        <v>0</v>
      </c>
      <c r="S579" s="4" t="s">
        <v>285</v>
      </c>
      <c r="T579" s="4" t="s">
        <v>446</v>
      </c>
      <c r="U579" s="4">
        <v>0</v>
      </c>
      <c r="V579" s="4">
        <v>33</v>
      </c>
      <c r="W579" s="4">
        <v>85</v>
      </c>
    </row>
    <row r="580" spans="1:23" ht="11.25" customHeight="1" x14ac:dyDescent="0.25">
      <c r="A580" s="4" t="s">
        <v>21</v>
      </c>
      <c r="B580" s="4" t="s">
        <v>33</v>
      </c>
      <c r="C580" s="4" t="s">
        <v>23</v>
      </c>
      <c r="D580" s="4" t="s">
        <v>34</v>
      </c>
      <c r="E580" s="4" t="s">
        <v>25</v>
      </c>
      <c r="F580" s="4" t="s">
        <v>25</v>
      </c>
      <c r="G580" s="4" t="s">
        <v>25</v>
      </c>
      <c r="H580" s="4" t="s">
        <v>25</v>
      </c>
      <c r="I580" s="5">
        <v>44409</v>
      </c>
      <c r="J580" s="6">
        <v>0</v>
      </c>
      <c r="K580" s="6">
        <v>0</v>
      </c>
      <c r="L580" s="6">
        <v>302.32299999999998</v>
      </c>
      <c r="M580" s="6">
        <v>302.32299999999998</v>
      </c>
      <c r="N580" s="6">
        <v>302.32299999999998</v>
      </c>
      <c r="O580" s="6">
        <v>302.32299999999998</v>
      </c>
      <c r="P580" s="6">
        <v>125</v>
      </c>
      <c r="Q580" s="4" t="s">
        <v>26</v>
      </c>
      <c r="R580" s="4">
        <v>0</v>
      </c>
      <c r="S580" s="4" t="s">
        <v>274</v>
      </c>
      <c r="T580" s="4" t="s">
        <v>435</v>
      </c>
      <c r="U580" s="4">
        <v>0</v>
      </c>
      <c r="V580" s="4">
        <v>33</v>
      </c>
      <c r="W580" s="4">
        <v>85</v>
      </c>
    </row>
    <row r="581" spans="1:23" ht="11.25" customHeight="1" x14ac:dyDescent="0.25">
      <c r="A581" s="4" t="s">
        <v>28</v>
      </c>
      <c r="B581" s="4" t="s">
        <v>33</v>
      </c>
      <c r="C581" s="4" t="s">
        <v>23</v>
      </c>
      <c r="D581" s="4" t="s">
        <v>34</v>
      </c>
      <c r="E581" s="4" t="s">
        <v>25</v>
      </c>
      <c r="F581" s="4" t="s">
        <v>25</v>
      </c>
      <c r="G581" s="4" t="s">
        <v>25</v>
      </c>
      <c r="H581" s="4" t="s">
        <v>25</v>
      </c>
      <c r="I581" s="5">
        <v>44409</v>
      </c>
      <c r="J581" s="6">
        <v>0</v>
      </c>
      <c r="K581" s="6">
        <v>0</v>
      </c>
      <c r="L581" s="6">
        <v>4.3929999999999998</v>
      </c>
      <c r="M581" s="6">
        <v>4.3929999999999998</v>
      </c>
      <c r="N581" s="6">
        <v>4.3929999999999998</v>
      </c>
      <c r="O581" s="6">
        <v>4.3929999999999998</v>
      </c>
      <c r="P581" s="6">
        <v>3</v>
      </c>
      <c r="Q581" s="4" t="s">
        <v>26</v>
      </c>
      <c r="R581" s="4">
        <v>0</v>
      </c>
      <c r="S581" s="4" t="s">
        <v>274</v>
      </c>
      <c r="T581" s="4" t="s">
        <v>435</v>
      </c>
      <c r="U581" s="4">
        <v>0</v>
      </c>
      <c r="V581" s="4">
        <v>33</v>
      </c>
      <c r="W581" s="4">
        <v>85</v>
      </c>
    </row>
    <row r="582" spans="1:23" ht="11.25" customHeight="1" x14ac:dyDescent="0.25">
      <c r="A582" s="4" t="s">
        <v>21</v>
      </c>
      <c r="B582" s="4" t="s">
        <v>33</v>
      </c>
      <c r="C582" s="4" t="s">
        <v>23</v>
      </c>
      <c r="D582" s="4" t="s">
        <v>34</v>
      </c>
      <c r="E582" s="4" t="s">
        <v>25</v>
      </c>
      <c r="F582" s="4" t="s">
        <v>25</v>
      </c>
      <c r="G582" s="4" t="s">
        <v>25</v>
      </c>
      <c r="H582" s="4" t="s">
        <v>25</v>
      </c>
      <c r="I582" s="5">
        <v>44440</v>
      </c>
      <c r="J582" s="6">
        <v>0</v>
      </c>
      <c r="K582" s="6">
        <v>0</v>
      </c>
      <c r="L582" s="6">
        <v>328.53199999999998</v>
      </c>
      <c r="M582" s="6">
        <v>328.53199999999998</v>
      </c>
      <c r="N582" s="6">
        <v>328.53199999999998</v>
      </c>
      <c r="O582" s="6">
        <v>328.53199999999998</v>
      </c>
      <c r="P582" s="6">
        <v>125</v>
      </c>
      <c r="Q582" s="4" t="s">
        <v>26</v>
      </c>
      <c r="R582" s="4">
        <v>0</v>
      </c>
      <c r="S582" s="4" t="s">
        <v>275</v>
      </c>
      <c r="T582" s="4" t="s">
        <v>436</v>
      </c>
      <c r="U582" s="4">
        <v>0</v>
      </c>
      <c r="V582" s="4">
        <v>33</v>
      </c>
      <c r="W582" s="4">
        <v>85</v>
      </c>
    </row>
    <row r="583" spans="1:23" ht="11.25" customHeight="1" x14ac:dyDescent="0.25">
      <c r="A583" s="4" t="s">
        <v>28</v>
      </c>
      <c r="B583" s="4" t="s">
        <v>33</v>
      </c>
      <c r="C583" s="4" t="s">
        <v>23</v>
      </c>
      <c r="D583" s="4" t="s">
        <v>34</v>
      </c>
      <c r="E583" s="4" t="s">
        <v>25</v>
      </c>
      <c r="F583" s="4" t="s">
        <v>25</v>
      </c>
      <c r="G583" s="4" t="s">
        <v>25</v>
      </c>
      <c r="H583" s="4" t="s">
        <v>25</v>
      </c>
      <c r="I583" s="5">
        <v>44440</v>
      </c>
      <c r="J583" s="6">
        <v>0</v>
      </c>
      <c r="K583" s="6">
        <v>0</v>
      </c>
      <c r="L583" s="6">
        <v>3.1440000000000001</v>
      </c>
      <c r="M583" s="6">
        <v>3.1440000000000001</v>
      </c>
      <c r="N583" s="6">
        <v>3.1440000000000001</v>
      </c>
      <c r="O583" s="6">
        <v>3.1440000000000001</v>
      </c>
      <c r="P583" s="6">
        <v>3</v>
      </c>
      <c r="Q583" s="4" t="s">
        <v>26</v>
      </c>
      <c r="R583" s="4">
        <v>0</v>
      </c>
      <c r="S583" s="4" t="s">
        <v>275</v>
      </c>
      <c r="T583" s="4" t="s">
        <v>436</v>
      </c>
      <c r="U583" s="4">
        <v>0</v>
      </c>
      <c r="V583" s="4">
        <v>33</v>
      </c>
      <c r="W583" s="4">
        <v>85</v>
      </c>
    </row>
    <row r="584" spans="1:23" ht="11.25" customHeight="1" x14ac:dyDescent="0.25">
      <c r="A584" s="4" t="s">
        <v>21</v>
      </c>
      <c r="B584" s="4" t="s">
        <v>33</v>
      </c>
      <c r="C584" s="4" t="s">
        <v>23</v>
      </c>
      <c r="D584" s="4" t="s">
        <v>34</v>
      </c>
      <c r="E584" s="4" t="s">
        <v>25</v>
      </c>
      <c r="F584" s="4" t="s">
        <v>25</v>
      </c>
      <c r="G584" s="4" t="s">
        <v>25</v>
      </c>
      <c r="H584" s="4" t="s">
        <v>25</v>
      </c>
      <c r="I584" s="5">
        <v>44470</v>
      </c>
      <c r="J584" s="6">
        <v>0</v>
      </c>
      <c r="K584" s="6">
        <v>0</v>
      </c>
      <c r="L584" s="6">
        <v>301.72000000000003</v>
      </c>
      <c r="M584" s="6">
        <v>301.72000000000003</v>
      </c>
      <c r="N584" s="6">
        <v>301.72000000000003</v>
      </c>
      <c r="O584" s="6">
        <v>301.72000000000003</v>
      </c>
      <c r="P584" s="6">
        <v>125</v>
      </c>
      <c r="Q584" s="4" t="s">
        <v>26</v>
      </c>
      <c r="R584" s="4">
        <v>0</v>
      </c>
      <c r="S584" s="4" t="s">
        <v>276</v>
      </c>
      <c r="T584" s="4" t="s">
        <v>437</v>
      </c>
      <c r="U584" s="4">
        <v>0</v>
      </c>
      <c r="V584" s="4">
        <v>33</v>
      </c>
      <c r="W584" s="4">
        <v>85</v>
      </c>
    </row>
    <row r="585" spans="1:23" ht="11.25" customHeight="1" x14ac:dyDescent="0.25">
      <c r="A585" s="4" t="s">
        <v>28</v>
      </c>
      <c r="B585" s="4" t="s">
        <v>33</v>
      </c>
      <c r="C585" s="4" t="s">
        <v>23</v>
      </c>
      <c r="D585" s="4" t="s">
        <v>34</v>
      </c>
      <c r="E585" s="4" t="s">
        <v>25</v>
      </c>
      <c r="F585" s="4" t="s">
        <v>25</v>
      </c>
      <c r="G585" s="4" t="s">
        <v>25</v>
      </c>
      <c r="H585" s="4" t="s">
        <v>25</v>
      </c>
      <c r="I585" s="5">
        <v>44470</v>
      </c>
      <c r="J585" s="6">
        <v>0</v>
      </c>
      <c r="K585" s="6">
        <v>0</v>
      </c>
      <c r="L585" s="6">
        <v>1.8009999999999999</v>
      </c>
      <c r="M585" s="6">
        <v>1.8009999999999999</v>
      </c>
      <c r="N585" s="6">
        <v>1.8009999999999999</v>
      </c>
      <c r="O585" s="6">
        <v>1.8009999999999999</v>
      </c>
      <c r="P585" s="6">
        <v>3</v>
      </c>
      <c r="Q585" s="4" t="s">
        <v>26</v>
      </c>
      <c r="R585" s="4">
        <v>0</v>
      </c>
      <c r="S585" s="4" t="s">
        <v>276</v>
      </c>
      <c r="T585" s="4" t="s">
        <v>437</v>
      </c>
      <c r="U585" s="4">
        <v>0</v>
      </c>
      <c r="V585" s="4">
        <v>33</v>
      </c>
      <c r="W585" s="4">
        <v>85</v>
      </c>
    </row>
    <row r="586" spans="1:23" ht="11.25" customHeight="1" x14ac:dyDescent="0.25">
      <c r="A586" s="4" t="s">
        <v>21</v>
      </c>
      <c r="B586" s="4" t="s">
        <v>33</v>
      </c>
      <c r="C586" s="4" t="s">
        <v>23</v>
      </c>
      <c r="D586" s="4" t="s">
        <v>34</v>
      </c>
      <c r="E586" s="4" t="s">
        <v>25</v>
      </c>
      <c r="F586" s="4" t="s">
        <v>25</v>
      </c>
      <c r="G586" s="4" t="s">
        <v>25</v>
      </c>
      <c r="H586" s="4" t="s">
        <v>25</v>
      </c>
      <c r="I586" s="5">
        <v>44501</v>
      </c>
      <c r="J586" s="6">
        <v>0</v>
      </c>
      <c r="K586" s="6">
        <v>0</v>
      </c>
      <c r="L586" s="6">
        <v>306.78500000000003</v>
      </c>
      <c r="M586" s="6">
        <v>306.78500000000003</v>
      </c>
      <c r="N586" s="6">
        <v>306.78500000000003</v>
      </c>
      <c r="O586" s="6">
        <v>306.78500000000003</v>
      </c>
      <c r="P586" s="6">
        <v>126</v>
      </c>
      <c r="Q586" s="4" t="s">
        <v>26</v>
      </c>
      <c r="R586" s="4">
        <v>0</v>
      </c>
      <c r="S586" s="4" t="s">
        <v>277</v>
      </c>
      <c r="T586" s="4" t="s">
        <v>438</v>
      </c>
      <c r="U586" s="4">
        <v>0</v>
      </c>
      <c r="V586" s="4">
        <v>33</v>
      </c>
      <c r="W586" s="4">
        <v>85</v>
      </c>
    </row>
    <row r="587" spans="1:23" ht="11.25" customHeight="1" x14ac:dyDescent="0.25">
      <c r="A587" s="4" t="s">
        <v>28</v>
      </c>
      <c r="B587" s="4" t="s">
        <v>33</v>
      </c>
      <c r="C587" s="4" t="s">
        <v>23</v>
      </c>
      <c r="D587" s="4" t="s">
        <v>34</v>
      </c>
      <c r="E587" s="4" t="s">
        <v>25</v>
      </c>
      <c r="F587" s="4" t="s">
        <v>25</v>
      </c>
      <c r="G587" s="4" t="s">
        <v>25</v>
      </c>
      <c r="H587" s="4" t="s">
        <v>25</v>
      </c>
      <c r="I587" s="5">
        <v>44501</v>
      </c>
      <c r="J587" s="6">
        <v>0</v>
      </c>
      <c r="K587" s="6">
        <v>0</v>
      </c>
      <c r="L587" s="6">
        <v>0.3</v>
      </c>
      <c r="M587" s="6">
        <v>0.3</v>
      </c>
      <c r="N587" s="6">
        <v>0.3</v>
      </c>
      <c r="O587" s="6">
        <v>0.3</v>
      </c>
      <c r="P587" s="6">
        <v>3</v>
      </c>
      <c r="Q587" s="4" t="s">
        <v>26</v>
      </c>
      <c r="R587" s="4">
        <v>0</v>
      </c>
      <c r="S587" s="4" t="s">
        <v>277</v>
      </c>
      <c r="T587" s="4" t="s">
        <v>438</v>
      </c>
      <c r="U587" s="4">
        <v>0</v>
      </c>
      <c r="V587" s="4">
        <v>33</v>
      </c>
      <c r="W587" s="4">
        <v>85</v>
      </c>
    </row>
    <row r="588" spans="1:23" ht="11.25" customHeight="1" x14ac:dyDescent="0.25">
      <c r="A588" s="4" t="s">
        <v>21</v>
      </c>
      <c r="B588" s="4" t="s">
        <v>33</v>
      </c>
      <c r="C588" s="4" t="s">
        <v>23</v>
      </c>
      <c r="D588" s="4" t="s">
        <v>34</v>
      </c>
      <c r="E588" s="4" t="s">
        <v>25</v>
      </c>
      <c r="F588" s="4" t="s">
        <v>25</v>
      </c>
      <c r="G588" s="4" t="s">
        <v>25</v>
      </c>
      <c r="H588" s="4" t="s">
        <v>25</v>
      </c>
      <c r="I588" s="5">
        <v>44531</v>
      </c>
      <c r="J588" s="6">
        <v>0</v>
      </c>
      <c r="K588" s="6">
        <v>0</v>
      </c>
      <c r="L588" s="6">
        <v>287.49400000000003</v>
      </c>
      <c r="M588" s="6">
        <v>287.49400000000003</v>
      </c>
      <c r="N588" s="6">
        <v>287.49400000000003</v>
      </c>
      <c r="O588" s="6">
        <v>287.49400000000003</v>
      </c>
      <c r="P588" s="6">
        <v>126</v>
      </c>
      <c r="Q588" s="4" t="s">
        <v>26</v>
      </c>
      <c r="R588" s="4">
        <v>0</v>
      </c>
      <c r="S588" s="4" t="s">
        <v>278</v>
      </c>
      <c r="T588" s="4" t="s">
        <v>439</v>
      </c>
      <c r="U588" s="4">
        <v>0</v>
      </c>
      <c r="V588" s="4">
        <v>33</v>
      </c>
      <c r="W588" s="4">
        <v>85</v>
      </c>
    </row>
    <row r="589" spans="1:23" ht="11.25" customHeight="1" x14ac:dyDescent="0.25">
      <c r="A589" s="4" t="s">
        <v>28</v>
      </c>
      <c r="B589" s="4" t="s">
        <v>33</v>
      </c>
      <c r="C589" s="4" t="s">
        <v>23</v>
      </c>
      <c r="D589" s="4" t="s">
        <v>34</v>
      </c>
      <c r="E589" s="4" t="s">
        <v>25</v>
      </c>
      <c r="F589" s="4" t="s">
        <v>25</v>
      </c>
      <c r="G589" s="4" t="s">
        <v>25</v>
      </c>
      <c r="H589" s="4" t="s">
        <v>25</v>
      </c>
      <c r="I589" s="5">
        <v>44531</v>
      </c>
      <c r="J589" s="6">
        <v>0</v>
      </c>
      <c r="K589" s="6">
        <v>0</v>
      </c>
      <c r="L589" s="6">
        <v>3.3220000000000001</v>
      </c>
      <c r="M589" s="6">
        <v>3.3220000000000001</v>
      </c>
      <c r="N589" s="6">
        <v>3.3220000000000001</v>
      </c>
      <c r="O589" s="6">
        <v>3.3220000000000001</v>
      </c>
      <c r="P589" s="6">
        <v>3</v>
      </c>
      <c r="Q589" s="4" t="s">
        <v>26</v>
      </c>
      <c r="R589" s="4">
        <v>0</v>
      </c>
      <c r="S589" s="4" t="s">
        <v>278</v>
      </c>
      <c r="T589" s="4" t="s">
        <v>439</v>
      </c>
      <c r="U589" s="4">
        <v>0</v>
      </c>
      <c r="V589" s="4">
        <v>33</v>
      </c>
      <c r="W589" s="4">
        <v>85</v>
      </c>
    </row>
    <row r="590" spans="1:23" ht="11.25" customHeight="1" x14ac:dyDescent="0.25">
      <c r="A590" s="4" t="s">
        <v>21</v>
      </c>
      <c r="B590" s="4" t="s">
        <v>33</v>
      </c>
      <c r="C590" s="4" t="s">
        <v>23</v>
      </c>
      <c r="D590" s="4" t="s">
        <v>34</v>
      </c>
      <c r="E590" s="4" t="s">
        <v>25</v>
      </c>
      <c r="F590" s="4" t="s">
        <v>25</v>
      </c>
      <c r="G590" s="4" t="s">
        <v>25</v>
      </c>
      <c r="H590" s="4" t="s">
        <v>25</v>
      </c>
      <c r="I590" s="5">
        <v>44562</v>
      </c>
      <c r="J590" s="6">
        <v>0</v>
      </c>
      <c r="K590" s="6">
        <v>0</v>
      </c>
      <c r="L590" s="6">
        <v>255.00800000000001</v>
      </c>
      <c r="M590" s="6">
        <v>255.00800000000001</v>
      </c>
      <c r="N590" s="6">
        <v>255.00800000000001</v>
      </c>
      <c r="O590" s="6">
        <v>255.00800000000001</v>
      </c>
      <c r="P590" s="6">
        <v>125</v>
      </c>
      <c r="Q590" s="4" t="s">
        <v>26</v>
      </c>
      <c r="R590" s="4">
        <v>0</v>
      </c>
      <c r="S590" s="4" t="s">
        <v>279</v>
      </c>
      <c r="T590" s="4" t="s">
        <v>440</v>
      </c>
      <c r="U590" s="4">
        <v>0</v>
      </c>
      <c r="V590" s="4">
        <v>33</v>
      </c>
      <c r="W590" s="4">
        <v>85</v>
      </c>
    </row>
    <row r="591" spans="1:23" ht="11.25" customHeight="1" x14ac:dyDescent="0.25">
      <c r="A591" s="4" t="s">
        <v>28</v>
      </c>
      <c r="B591" s="4" t="s">
        <v>33</v>
      </c>
      <c r="C591" s="4" t="s">
        <v>23</v>
      </c>
      <c r="D591" s="4" t="s">
        <v>34</v>
      </c>
      <c r="E591" s="4" t="s">
        <v>25</v>
      </c>
      <c r="F591" s="4" t="s">
        <v>25</v>
      </c>
      <c r="G591" s="4" t="s">
        <v>25</v>
      </c>
      <c r="H591" s="4" t="s">
        <v>25</v>
      </c>
      <c r="I591" s="5">
        <v>44562</v>
      </c>
      <c r="J591" s="6">
        <v>0</v>
      </c>
      <c r="K591" s="6">
        <v>0</v>
      </c>
      <c r="L591" s="6">
        <v>10.545</v>
      </c>
      <c r="M591" s="6">
        <v>10.545</v>
      </c>
      <c r="N591" s="6">
        <v>10.545</v>
      </c>
      <c r="O591" s="6">
        <v>10.545</v>
      </c>
      <c r="P591" s="6">
        <v>5</v>
      </c>
      <c r="Q591" s="4" t="s">
        <v>26</v>
      </c>
      <c r="R591" s="4">
        <v>0</v>
      </c>
      <c r="S591" s="4" t="s">
        <v>279</v>
      </c>
      <c r="T591" s="4" t="s">
        <v>440</v>
      </c>
      <c r="U591" s="4">
        <v>0</v>
      </c>
      <c r="V591" s="4">
        <v>33</v>
      </c>
      <c r="W591" s="4">
        <v>85</v>
      </c>
    </row>
    <row r="592" spans="1:23" ht="11.25" customHeight="1" x14ac:dyDescent="0.25">
      <c r="A592" s="4" t="s">
        <v>21</v>
      </c>
      <c r="B592" s="4" t="s">
        <v>33</v>
      </c>
      <c r="C592" s="4" t="s">
        <v>23</v>
      </c>
      <c r="D592" s="4" t="s">
        <v>34</v>
      </c>
      <c r="E592" s="4" t="s">
        <v>25</v>
      </c>
      <c r="F592" s="4" t="s">
        <v>25</v>
      </c>
      <c r="G592" s="4" t="s">
        <v>25</v>
      </c>
      <c r="H592" s="4" t="s">
        <v>25</v>
      </c>
      <c r="I592" s="5">
        <v>44593</v>
      </c>
      <c r="J592" s="6">
        <v>0</v>
      </c>
      <c r="K592" s="6">
        <v>0</v>
      </c>
      <c r="L592" s="6">
        <v>307.94400000000002</v>
      </c>
      <c r="M592" s="6">
        <v>307.94400000000002</v>
      </c>
      <c r="N592" s="6">
        <v>307.94400000000002</v>
      </c>
      <c r="O592" s="6">
        <v>307.94400000000002</v>
      </c>
      <c r="P592" s="6">
        <v>127</v>
      </c>
      <c r="Q592" s="4" t="s">
        <v>26</v>
      </c>
      <c r="R592" s="4">
        <v>0</v>
      </c>
      <c r="S592" s="4" t="s">
        <v>280</v>
      </c>
      <c r="T592" s="4" t="s">
        <v>441</v>
      </c>
      <c r="U592" s="4">
        <v>0</v>
      </c>
      <c r="V592" s="4">
        <v>33</v>
      </c>
      <c r="W592" s="4">
        <v>85</v>
      </c>
    </row>
    <row r="593" spans="1:23" ht="11.25" customHeight="1" x14ac:dyDescent="0.25">
      <c r="A593" s="4" t="s">
        <v>28</v>
      </c>
      <c r="B593" s="4" t="s">
        <v>33</v>
      </c>
      <c r="C593" s="4" t="s">
        <v>23</v>
      </c>
      <c r="D593" s="4" t="s">
        <v>34</v>
      </c>
      <c r="E593" s="4" t="s">
        <v>25</v>
      </c>
      <c r="F593" s="4" t="s">
        <v>25</v>
      </c>
      <c r="G593" s="4" t="s">
        <v>25</v>
      </c>
      <c r="H593" s="4" t="s">
        <v>25</v>
      </c>
      <c r="I593" s="5">
        <v>44593</v>
      </c>
      <c r="J593" s="6">
        <v>0</v>
      </c>
      <c r="K593" s="6">
        <v>0</v>
      </c>
      <c r="L593" s="6">
        <v>7.2309999999999999</v>
      </c>
      <c r="M593" s="6">
        <v>7.2309999999999999</v>
      </c>
      <c r="N593" s="6">
        <v>7.2309999999999999</v>
      </c>
      <c r="O593" s="6">
        <v>7.2309999999999999</v>
      </c>
      <c r="P593" s="6">
        <v>5</v>
      </c>
      <c r="Q593" s="4" t="s">
        <v>26</v>
      </c>
      <c r="R593" s="4">
        <v>0</v>
      </c>
      <c r="S593" s="4" t="s">
        <v>280</v>
      </c>
      <c r="T593" s="4" t="s">
        <v>441</v>
      </c>
      <c r="U593" s="4">
        <v>0</v>
      </c>
      <c r="V593" s="4">
        <v>33</v>
      </c>
      <c r="W593" s="4">
        <v>85</v>
      </c>
    </row>
    <row r="594" spans="1:23" ht="11.25" customHeight="1" x14ac:dyDescent="0.25">
      <c r="A594" s="4" t="s">
        <v>21</v>
      </c>
      <c r="B594" s="4" t="s">
        <v>33</v>
      </c>
      <c r="C594" s="4" t="s">
        <v>23</v>
      </c>
      <c r="D594" s="4" t="s">
        <v>34</v>
      </c>
      <c r="E594" s="4" t="s">
        <v>25</v>
      </c>
      <c r="F594" s="4" t="s">
        <v>25</v>
      </c>
      <c r="G594" s="4" t="s">
        <v>25</v>
      </c>
      <c r="H594" s="4" t="s">
        <v>25</v>
      </c>
      <c r="I594" s="5">
        <v>44621</v>
      </c>
      <c r="J594" s="6">
        <v>0</v>
      </c>
      <c r="K594" s="6">
        <v>0</v>
      </c>
      <c r="L594" s="6">
        <v>295.77800000000002</v>
      </c>
      <c r="M594" s="6">
        <v>295.77800000000002</v>
      </c>
      <c r="N594" s="6">
        <v>295.77800000000002</v>
      </c>
      <c r="O594" s="6">
        <v>295.77800000000002</v>
      </c>
      <c r="P594" s="6">
        <v>127</v>
      </c>
      <c r="Q594" s="4" t="s">
        <v>26</v>
      </c>
      <c r="R594" s="4">
        <v>0</v>
      </c>
      <c r="S594" s="4" t="s">
        <v>281</v>
      </c>
      <c r="T594" s="4" t="s">
        <v>442</v>
      </c>
      <c r="U594" s="4">
        <v>0</v>
      </c>
      <c r="V594" s="4">
        <v>33</v>
      </c>
      <c r="W594" s="4">
        <v>85</v>
      </c>
    </row>
    <row r="595" spans="1:23" ht="11.25" customHeight="1" x14ac:dyDescent="0.25">
      <c r="A595" s="4" t="s">
        <v>28</v>
      </c>
      <c r="B595" s="4" t="s">
        <v>33</v>
      </c>
      <c r="C595" s="4" t="s">
        <v>23</v>
      </c>
      <c r="D595" s="4" t="s">
        <v>34</v>
      </c>
      <c r="E595" s="4" t="s">
        <v>25</v>
      </c>
      <c r="F595" s="4" t="s">
        <v>25</v>
      </c>
      <c r="G595" s="4" t="s">
        <v>25</v>
      </c>
      <c r="H595" s="4" t="s">
        <v>25</v>
      </c>
      <c r="I595" s="5">
        <v>44621</v>
      </c>
      <c r="J595" s="6">
        <v>0</v>
      </c>
      <c r="K595" s="6">
        <v>0</v>
      </c>
      <c r="L595" s="6">
        <v>9.0220000000000002</v>
      </c>
      <c r="M595" s="6">
        <v>9.0220000000000002</v>
      </c>
      <c r="N595" s="6">
        <v>9.0220000000000002</v>
      </c>
      <c r="O595" s="6">
        <v>9.0220000000000002</v>
      </c>
      <c r="P595" s="6">
        <v>5</v>
      </c>
      <c r="Q595" s="4" t="s">
        <v>26</v>
      </c>
      <c r="R595" s="4">
        <v>0</v>
      </c>
      <c r="S595" s="4" t="s">
        <v>281</v>
      </c>
      <c r="T595" s="4" t="s">
        <v>442</v>
      </c>
      <c r="U595" s="4">
        <v>0</v>
      </c>
      <c r="V595" s="4">
        <v>33</v>
      </c>
      <c r="W595" s="4">
        <v>85</v>
      </c>
    </row>
    <row r="596" spans="1:23" ht="11.25" customHeight="1" x14ac:dyDescent="0.25">
      <c r="A596" s="4" t="s">
        <v>21</v>
      </c>
      <c r="B596" s="4" t="s">
        <v>33</v>
      </c>
      <c r="C596" s="4" t="s">
        <v>23</v>
      </c>
      <c r="D596" s="4" t="s">
        <v>34</v>
      </c>
      <c r="E596" s="4" t="s">
        <v>25</v>
      </c>
      <c r="F596" s="4" t="s">
        <v>25</v>
      </c>
      <c r="G596" s="4" t="s">
        <v>25</v>
      </c>
      <c r="H596" s="4" t="s">
        <v>25</v>
      </c>
      <c r="I596" s="5">
        <v>44652</v>
      </c>
      <c r="J596" s="6">
        <v>0</v>
      </c>
      <c r="K596" s="6">
        <v>0</v>
      </c>
      <c r="L596" s="6">
        <v>281.45699999999999</v>
      </c>
      <c r="M596" s="6">
        <v>281.45699999999999</v>
      </c>
      <c r="N596" s="6">
        <v>281.45699999999999</v>
      </c>
      <c r="O596" s="6">
        <v>281.45699999999999</v>
      </c>
      <c r="P596" s="6">
        <v>126</v>
      </c>
      <c r="Q596" s="4" t="s">
        <v>26</v>
      </c>
      <c r="R596" s="4">
        <v>0</v>
      </c>
      <c r="S596" s="4" t="s">
        <v>282</v>
      </c>
      <c r="T596" s="4" t="s">
        <v>443</v>
      </c>
      <c r="U596" s="4">
        <v>0</v>
      </c>
      <c r="V596" s="4">
        <v>33</v>
      </c>
      <c r="W596" s="4">
        <v>85</v>
      </c>
    </row>
    <row r="597" spans="1:23" ht="11.25" customHeight="1" x14ac:dyDescent="0.25">
      <c r="A597" s="4" t="s">
        <v>28</v>
      </c>
      <c r="B597" s="4" t="s">
        <v>33</v>
      </c>
      <c r="C597" s="4" t="s">
        <v>23</v>
      </c>
      <c r="D597" s="4" t="s">
        <v>34</v>
      </c>
      <c r="E597" s="4" t="s">
        <v>25</v>
      </c>
      <c r="F597" s="4" t="s">
        <v>25</v>
      </c>
      <c r="G597" s="4" t="s">
        <v>25</v>
      </c>
      <c r="H597" s="4" t="s">
        <v>25</v>
      </c>
      <c r="I597" s="5">
        <v>44652</v>
      </c>
      <c r="J597" s="6">
        <v>0</v>
      </c>
      <c r="K597" s="6">
        <v>0</v>
      </c>
      <c r="L597" s="6">
        <v>12.887</v>
      </c>
      <c r="M597" s="6">
        <v>12.887</v>
      </c>
      <c r="N597" s="6">
        <v>12.887</v>
      </c>
      <c r="O597" s="6">
        <v>12.887</v>
      </c>
      <c r="P597" s="6">
        <v>7</v>
      </c>
      <c r="Q597" s="4" t="s">
        <v>26</v>
      </c>
      <c r="R597" s="4">
        <v>0</v>
      </c>
      <c r="S597" s="4" t="s">
        <v>282</v>
      </c>
      <c r="T597" s="4" t="s">
        <v>443</v>
      </c>
      <c r="U597" s="4">
        <v>0</v>
      </c>
      <c r="V597" s="4">
        <v>33</v>
      </c>
      <c r="W597" s="4">
        <v>85</v>
      </c>
    </row>
    <row r="598" spans="1:23" ht="11.25" customHeight="1" x14ac:dyDescent="0.25">
      <c r="A598" s="4" t="s">
        <v>21</v>
      </c>
      <c r="B598" s="4" t="s">
        <v>33</v>
      </c>
      <c r="C598" s="4" t="s">
        <v>23</v>
      </c>
      <c r="D598" s="4" t="s">
        <v>34</v>
      </c>
      <c r="E598" s="4" t="s">
        <v>25</v>
      </c>
      <c r="F598" s="4" t="s">
        <v>25</v>
      </c>
      <c r="G598" s="4" t="s">
        <v>25</v>
      </c>
      <c r="H598" s="4" t="s">
        <v>25</v>
      </c>
      <c r="I598" s="5">
        <v>44682</v>
      </c>
      <c r="J598" s="6">
        <v>0</v>
      </c>
      <c r="K598" s="6">
        <v>0</v>
      </c>
      <c r="L598" s="6">
        <v>273.47300000000001</v>
      </c>
      <c r="M598" s="6">
        <v>273.47300000000001</v>
      </c>
      <c r="N598" s="6">
        <v>273.47300000000001</v>
      </c>
      <c r="O598" s="6">
        <v>273.47300000000001</v>
      </c>
      <c r="P598" s="6">
        <v>125</v>
      </c>
      <c r="Q598" s="4" t="s">
        <v>26</v>
      </c>
      <c r="R598" s="4">
        <v>0</v>
      </c>
      <c r="S598" s="4" t="s">
        <v>283</v>
      </c>
      <c r="T598" s="4" t="s">
        <v>444</v>
      </c>
      <c r="U598" s="4">
        <v>0</v>
      </c>
      <c r="V598" s="4">
        <v>33</v>
      </c>
      <c r="W598" s="4">
        <v>85</v>
      </c>
    </row>
    <row r="599" spans="1:23" ht="11.25" customHeight="1" x14ac:dyDescent="0.25">
      <c r="A599" s="4" t="s">
        <v>28</v>
      </c>
      <c r="B599" s="4" t="s">
        <v>33</v>
      </c>
      <c r="C599" s="4" t="s">
        <v>23</v>
      </c>
      <c r="D599" s="4" t="s">
        <v>34</v>
      </c>
      <c r="E599" s="4" t="s">
        <v>25</v>
      </c>
      <c r="F599" s="4" t="s">
        <v>25</v>
      </c>
      <c r="G599" s="4" t="s">
        <v>25</v>
      </c>
      <c r="H599" s="4" t="s">
        <v>25</v>
      </c>
      <c r="I599" s="5">
        <v>44682</v>
      </c>
      <c r="J599" s="6">
        <v>0</v>
      </c>
      <c r="K599" s="6">
        <v>0</v>
      </c>
      <c r="L599" s="6">
        <v>11.215999999999999</v>
      </c>
      <c r="M599" s="6">
        <v>11.215999999999999</v>
      </c>
      <c r="N599" s="6">
        <v>11.215999999999999</v>
      </c>
      <c r="O599" s="6">
        <v>11.215999999999999</v>
      </c>
      <c r="P599" s="6">
        <v>7</v>
      </c>
      <c r="Q599" s="4" t="s">
        <v>26</v>
      </c>
      <c r="R599" s="4">
        <v>0</v>
      </c>
      <c r="S599" s="4" t="s">
        <v>283</v>
      </c>
      <c r="T599" s="4" t="s">
        <v>444</v>
      </c>
      <c r="U599" s="4">
        <v>0</v>
      </c>
      <c r="V599" s="4">
        <v>33</v>
      </c>
      <c r="W599" s="4">
        <v>85</v>
      </c>
    </row>
    <row r="600" spans="1:23" ht="11.25" customHeight="1" x14ac:dyDescent="0.25">
      <c r="A600" s="4" t="s">
        <v>21</v>
      </c>
      <c r="B600" s="4" t="s">
        <v>33</v>
      </c>
      <c r="C600" s="4" t="s">
        <v>23</v>
      </c>
      <c r="D600" s="4" t="s">
        <v>34</v>
      </c>
      <c r="E600" s="4" t="s">
        <v>25</v>
      </c>
      <c r="F600" s="4" t="s">
        <v>25</v>
      </c>
      <c r="G600" s="4" t="s">
        <v>25</v>
      </c>
      <c r="H600" s="4" t="s">
        <v>25</v>
      </c>
      <c r="I600" s="5">
        <v>44713</v>
      </c>
      <c r="J600" s="6">
        <v>0</v>
      </c>
      <c r="K600" s="6">
        <v>0</v>
      </c>
      <c r="L600" s="6">
        <v>248.10400000000001</v>
      </c>
      <c r="M600" s="6">
        <v>248.10400000000001</v>
      </c>
      <c r="N600" s="6">
        <v>248.10400000000001</v>
      </c>
      <c r="O600" s="6">
        <v>248.10400000000001</v>
      </c>
      <c r="P600" s="6">
        <v>126</v>
      </c>
      <c r="Q600" s="4" t="s">
        <v>26</v>
      </c>
      <c r="R600" s="4">
        <v>0</v>
      </c>
      <c r="S600" s="4" t="s">
        <v>284</v>
      </c>
      <c r="T600" s="4" t="s">
        <v>445</v>
      </c>
      <c r="U600" s="4">
        <v>0</v>
      </c>
      <c r="V600" s="4">
        <v>33</v>
      </c>
      <c r="W600" s="4">
        <v>85</v>
      </c>
    </row>
    <row r="601" spans="1:23" ht="11.25" customHeight="1" x14ac:dyDescent="0.25">
      <c r="A601" s="4" t="s">
        <v>28</v>
      </c>
      <c r="B601" s="4" t="s">
        <v>33</v>
      </c>
      <c r="C601" s="4" t="s">
        <v>23</v>
      </c>
      <c r="D601" s="4" t="s">
        <v>34</v>
      </c>
      <c r="E601" s="4" t="s">
        <v>25</v>
      </c>
      <c r="F601" s="4" t="s">
        <v>25</v>
      </c>
      <c r="G601" s="4" t="s">
        <v>25</v>
      </c>
      <c r="H601" s="4" t="s">
        <v>25</v>
      </c>
      <c r="I601" s="5">
        <v>44713</v>
      </c>
      <c r="J601" s="6">
        <v>0</v>
      </c>
      <c r="K601" s="6">
        <v>0</v>
      </c>
      <c r="L601" s="6">
        <v>12.808999999999999</v>
      </c>
      <c r="M601" s="6">
        <v>12.808999999999999</v>
      </c>
      <c r="N601" s="6">
        <v>12.808999999999999</v>
      </c>
      <c r="O601" s="6">
        <v>12.808999999999999</v>
      </c>
      <c r="P601" s="6">
        <v>7</v>
      </c>
      <c r="Q601" s="4" t="s">
        <v>26</v>
      </c>
      <c r="R601" s="4">
        <v>0</v>
      </c>
      <c r="S601" s="4" t="s">
        <v>284</v>
      </c>
      <c r="T601" s="4" t="s">
        <v>445</v>
      </c>
      <c r="U601" s="4">
        <v>0</v>
      </c>
      <c r="V601" s="4">
        <v>33</v>
      </c>
      <c r="W601" s="4">
        <v>85</v>
      </c>
    </row>
    <row r="602" spans="1:23" ht="11.25" customHeight="1" x14ac:dyDescent="0.25">
      <c r="A602" s="4" t="s">
        <v>55</v>
      </c>
      <c r="B602" s="4" t="s">
        <v>33</v>
      </c>
      <c r="C602" s="4" t="s">
        <v>23</v>
      </c>
      <c r="D602" s="4" t="s">
        <v>34</v>
      </c>
      <c r="E602" s="4" t="s">
        <v>25</v>
      </c>
      <c r="F602" s="4" t="s">
        <v>25</v>
      </c>
      <c r="G602" s="4" t="s">
        <v>25</v>
      </c>
      <c r="H602" s="4" t="s">
        <v>25</v>
      </c>
      <c r="I602" s="5">
        <v>44743</v>
      </c>
      <c r="J602" s="6">
        <v>0</v>
      </c>
      <c r="K602" s="6">
        <v>0</v>
      </c>
      <c r="L602" s="6">
        <v>248.10400000000001</v>
      </c>
      <c r="M602" s="6">
        <v>248.10400000000001</v>
      </c>
      <c r="N602" s="6">
        <v>248.10400000000001</v>
      </c>
      <c r="O602" s="6">
        <v>248.10400000000001</v>
      </c>
      <c r="P602" s="6">
        <v>126</v>
      </c>
      <c r="Q602" s="4" t="s">
        <v>26</v>
      </c>
      <c r="R602" s="4">
        <v>0</v>
      </c>
      <c r="S602" s="4" t="s">
        <v>285</v>
      </c>
      <c r="T602" s="4" t="s">
        <v>446</v>
      </c>
      <c r="U602" s="4">
        <v>0</v>
      </c>
      <c r="V602" s="4">
        <v>33</v>
      </c>
      <c r="W602" s="4">
        <v>85</v>
      </c>
    </row>
    <row r="603" spans="1:23" ht="11.25" customHeight="1" x14ac:dyDescent="0.25">
      <c r="A603" s="4" t="s">
        <v>55</v>
      </c>
      <c r="B603" s="4" t="s">
        <v>33</v>
      </c>
      <c r="C603" s="4" t="s">
        <v>23</v>
      </c>
      <c r="D603" s="4" t="s">
        <v>34</v>
      </c>
      <c r="E603" s="4" t="s">
        <v>25</v>
      </c>
      <c r="F603" s="4" t="s">
        <v>25</v>
      </c>
      <c r="G603" s="4" t="s">
        <v>25</v>
      </c>
      <c r="H603" s="4" t="s">
        <v>25</v>
      </c>
      <c r="I603" s="5">
        <v>44743</v>
      </c>
      <c r="J603" s="6">
        <v>0</v>
      </c>
      <c r="K603" s="6">
        <v>0</v>
      </c>
      <c r="L603" s="6">
        <v>12.808999999999999</v>
      </c>
      <c r="M603" s="6">
        <v>12.808999999999999</v>
      </c>
      <c r="N603" s="6">
        <v>12.808999999999999</v>
      </c>
      <c r="O603" s="6">
        <v>12.808999999999999</v>
      </c>
      <c r="P603" s="6">
        <v>7</v>
      </c>
      <c r="Q603" s="4" t="s">
        <v>26</v>
      </c>
      <c r="R603" s="4">
        <v>0</v>
      </c>
      <c r="S603" s="4" t="s">
        <v>285</v>
      </c>
      <c r="T603" s="4" t="s">
        <v>446</v>
      </c>
      <c r="U603" s="4">
        <v>0</v>
      </c>
      <c r="V603" s="4">
        <v>33</v>
      </c>
      <c r="W603" s="4">
        <v>85</v>
      </c>
    </row>
    <row r="604" spans="1:23" ht="11.25" customHeight="1" x14ac:dyDescent="0.25">
      <c r="A604" s="4" t="s">
        <v>21</v>
      </c>
      <c r="B604" s="4" t="s">
        <v>33</v>
      </c>
      <c r="C604" s="4" t="s">
        <v>23</v>
      </c>
      <c r="D604" s="4" t="s">
        <v>43</v>
      </c>
      <c r="E604" s="4" t="s">
        <v>25</v>
      </c>
      <c r="F604" s="4" t="s">
        <v>25</v>
      </c>
      <c r="G604" s="4" t="s">
        <v>25</v>
      </c>
      <c r="H604" s="4" t="s">
        <v>25</v>
      </c>
      <c r="I604" s="5">
        <v>44409</v>
      </c>
      <c r="J604" s="6">
        <v>0</v>
      </c>
      <c r="K604" s="6">
        <v>0</v>
      </c>
      <c r="L604" s="6">
        <v>93.507999999999996</v>
      </c>
      <c r="M604" s="6">
        <v>93.507999999999996</v>
      </c>
      <c r="N604" s="6">
        <v>93.507999999999996</v>
      </c>
      <c r="O604" s="6">
        <v>93.507999999999996</v>
      </c>
      <c r="P604" s="6">
        <v>208</v>
      </c>
      <c r="Q604" s="4" t="s">
        <v>26</v>
      </c>
      <c r="R604" s="4">
        <v>0</v>
      </c>
      <c r="S604" s="4" t="s">
        <v>274</v>
      </c>
      <c r="T604" s="4" t="s">
        <v>435</v>
      </c>
      <c r="U604" s="4">
        <v>0</v>
      </c>
      <c r="V604" s="4">
        <v>33</v>
      </c>
      <c r="W604" s="4">
        <v>85</v>
      </c>
    </row>
    <row r="605" spans="1:23" ht="11.25" customHeight="1" x14ac:dyDescent="0.25">
      <c r="A605" s="4" t="s">
        <v>27</v>
      </c>
      <c r="B605" s="4" t="s">
        <v>33</v>
      </c>
      <c r="C605" s="4" t="s">
        <v>23</v>
      </c>
      <c r="D605" s="4" t="s">
        <v>43</v>
      </c>
      <c r="E605" s="4" t="s">
        <v>25</v>
      </c>
      <c r="F605" s="4" t="s">
        <v>25</v>
      </c>
      <c r="G605" s="4" t="s">
        <v>25</v>
      </c>
      <c r="H605" s="4" t="s">
        <v>25</v>
      </c>
      <c r="I605" s="5">
        <v>44409</v>
      </c>
      <c r="J605" s="6">
        <v>0</v>
      </c>
      <c r="K605" s="6">
        <v>0</v>
      </c>
      <c r="L605" s="6">
        <v>-2.6</v>
      </c>
      <c r="M605" s="6">
        <v>-2.6</v>
      </c>
      <c r="N605" s="6">
        <v>-2.6</v>
      </c>
      <c r="O605" s="6">
        <v>-2.6</v>
      </c>
      <c r="P605" s="6">
        <v>0</v>
      </c>
      <c r="Q605" s="4" t="s">
        <v>26</v>
      </c>
      <c r="R605" s="4">
        <v>0</v>
      </c>
      <c r="S605" s="4" t="s">
        <v>274</v>
      </c>
      <c r="T605" s="4" t="s">
        <v>435</v>
      </c>
      <c r="U605" s="4">
        <v>0</v>
      </c>
      <c r="V605" s="4">
        <v>33</v>
      </c>
      <c r="W605" s="4">
        <v>85</v>
      </c>
    </row>
    <row r="606" spans="1:23" ht="11.25" customHeight="1" x14ac:dyDescent="0.25">
      <c r="A606" s="4" t="s">
        <v>21</v>
      </c>
      <c r="B606" s="4" t="s">
        <v>33</v>
      </c>
      <c r="C606" s="4" t="s">
        <v>23</v>
      </c>
      <c r="D606" s="4" t="s">
        <v>43</v>
      </c>
      <c r="E606" s="4" t="s">
        <v>25</v>
      </c>
      <c r="F606" s="4" t="s">
        <v>25</v>
      </c>
      <c r="G606" s="4" t="s">
        <v>25</v>
      </c>
      <c r="H606" s="4" t="s">
        <v>25</v>
      </c>
      <c r="I606" s="5">
        <v>44440</v>
      </c>
      <c r="J606" s="6">
        <v>0</v>
      </c>
      <c r="K606" s="6">
        <v>0</v>
      </c>
      <c r="L606" s="6">
        <v>108.642</v>
      </c>
      <c r="M606" s="6">
        <v>108.642</v>
      </c>
      <c r="N606" s="6">
        <v>108.642</v>
      </c>
      <c r="O606" s="6">
        <v>108.642</v>
      </c>
      <c r="P606" s="6">
        <v>203</v>
      </c>
      <c r="Q606" s="4" t="s">
        <v>26</v>
      </c>
      <c r="R606" s="4">
        <v>0</v>
      </c>
      <c r="S606" s="4" t="s">
        <v>275</v>
      </c>
      <c r="T606" s="4" t="s">
        <v>436</v>
      </c>
      <c r="U606" s="4">
        <v>0</v>
      </c>
      <c r="V606" s="4">
        <v>33</v>
      </c>
      <c r="W606" s="4">
        <v>85</v>
      </c>
    </row>
    <row r="607" spans="1:23" ht="11.25" customHeight="1" x14ac:dyDescent="0.25">
      <c r="A607" s="4" t="s">
        <v>21</v>
      </c>
      <c r="B607" s="4" t="s">
        <v>33</v>
      </c>
      <c r="C607" s="4" t="s">
        <v>23</v>
      </c>
      <c r="D607" s="4" t="s">
        <v>43</v>
      </c>
      <c r="E607" s="4" t="s">
        <v>25</v>
      </c>
      <c r="F607" s="4" t="s">
        <v>25</v>
      </c>
      <c r="G607" s="4" t="s">
        <v>25</v>
      </c>
      <c r="H607" s="4" t="s">
        <v>25</v>
      </c>
      <c r="I607" s="5">
        <v>44470</v>
      </c>
      <c r="J607" s="6">
        <v>0</v>
      </c>
      <c r="K607" s="6">
        <v>0</v>
      </c>
      <c r="L607" s="6">
        <v>101.212</v>
      </c>
      <c r="M607" s="6">
        <v>101.212</v>
      </c>
      <c r="N607" s="6">
        <v>101.212</v>
      </c>
      <c r="O607" s="6">
        <v>101.212</v>
      </c>
      <c r="P607" s="6">
        <v>201</v>
      </c>
      <c r="Q607" s="4" t="s">
        <v>26</v>
      </c>
      <c r="R607" s="4">
        <v>0</v>
      </c>
      <c r="S607" s="4" t="s">
        <v>276</v>
      </c>
      <c r="T607" s="4" t="s">
        <v>437</v>
      </c>
      <c r="U607" s="4">
        <v>0</v>
      </c>
      <c r="V607" s="4">
        <v>33</v>
      </c>
      <c r="W607" s="4">
        <v>85</v>
      </c>
    </row>
    <row r="608" spans="1:23" ht="11.25" customHeight="1" x14ac:dyDescent="0.25">
      <c r="A608" s="4" t="s">
        <v>21</v>
      </c>
      <c r="B608" s="4" t="s">
        <v>33</v>
      </c>
      <c r="C608" s="4" t="s">
        <v>23</v>
      </c>
      <c r="D608" s="4" t="s">
        <v>43</v>
      </c>
      <c r="E608" s="4" t="s">
        <v>25</v>
      </c>
      <c r="F608" s="4" t="s">
        <v>25</v>
      </c>
      <c r="G608" s="4" t="s">
        <v>25</v>
      </c>
      <c r="H608" s="4" t="s">
        <v>25</v>
      </c>
      <c r="I608" s="5">
        <v>44501</v>
      </c>
      <c r="J608" s="6">
        <v>0</v>
      </c>
      <c r="K608" s="6">
        <v>0</v>
      </c>
      <c r="L608" s="6">
        <v>121.371</v>
      </c>
      <c r="M608" s="6">
        <v>121.371</v>
      </c>
      <c r="N608" s="6">
        <v>121.371</v>
      </c>
      <c r="O608" s="6">
        <v>121.371</v>
      </c>
      <c r="P608" s="6">
        <v>197</v>
      </c>
      <c r="Q608" s="4" t="s">
        <v>26</v>
      </c>
      <c r="R608" s="4">
        <v>0</v>
      </c>
      <c r="S608" s="4" t="s">
        <v>277</v>
      </c>
      <c r="T608" s="4" t="s">
        <v>438</v>
      </c>
      <c r="U608" s="4">
        <v>0</v>
      </c>
      <c r="V608" s="4">
        <v>33</v>
      </c>
      <c r="W608" s="4">
        <v>85</v>
      </c>
    </row>
    <row r="609" spans="1:23" ht="11.25" customHeight="1" x14ac:dyDescent="0.25">
      <c r="A609" s="4" t="s">
        <v>21</v>
      </c>
      <c r="B609" s="4" t="s">
        <v>33</v>
      </c>
      <c r="C609" s="4" t="s">
        <v>23</v>
      </c>
      <c r="D609" s="4" t="s">
        <v>43</v>
      </c>
      <c r="E609" s="4" t="s">
        <v>25</v>
      </c>
      <c r="F609" s="4" t="s">
        <v>25</v>
      </c>
      <c r="G609" s="4" t="s">
        <v>25</v>
      </c>
      <c r="H609" s="4" t="s">
        <v>25</v>
      </c>
      <c r="I609" s="5">
        <v>44531</v>
      </c>
      <c r="J609" s="6">
        <v>0</v>
      </c>
      <c r="K609" s="6">
        <v>0</v>
      </c>
      <c r="L609" s="6">
        <v>142.059</v>
      </c>
      <c r="M609" s="6">
        <v>142.059</v>
      </c>
      <c r="N609" s="6">
        <v>142.059</v>
      </c>
      <c r="O609" s="6">
        <v>142.059</v>
      </c>
      <c r="P609" s="6">
        <v>195</v>
      </c>
      <c r="Q609" s="4" t="s">
        <v>26</v>
      </c>
      <c r="R609" s="4">
        <v>0</v>
      </c>
      <c r="S609" s="4" t="s">
        <v>278</v>
      </c>
      <c r="T609" s="4" t="s">
        <v>439</v>
      </c>
      <c r="U609" s="4">
        <v>0</v>
      </c>
      <c r="V609" s="4">
        <v>33</v>
      </c>
      <c r="W609" s="4">
        <v>85</v>
      </c>
    </row>
    <row r="610" spans="1:23" ht="11.25" customHeight="1" x14ac:dyDescent="0.25">
      <c r="A610" s="4" t="s">
        <v>21</v>
      </c>
      <c r="B610" s="4" t="s">
        <v>33</v>
      </c>
      <c r="C610" s="4" t="s">
        <v>23</v>
      </c>
      <c r="D610" s="4" t="s">
        <v>43</v>
      </c>
      <c r="E610" s="4" t="s">
        <v>25</v>
      </c>
      <c r="F610" s="4" t="s">
        <v>25</v>
      </c>
      <c r="G610" s="4" t="s">
        <v>25</v>
      </c>
      <c r="H610" s="4" t="s">
        <v>25</v>
      </c>
      <c r="I610" s="5">
        <v>44562</v>
      </c>
      <c r="J610" s="6">
        <v>0</v>
      </c>
      <c r="K610" s="6">
        <v>0</v>
      </c>
      <c r="L610" s="6">
        <v>133.93899999999999</v>
      </c>
      <c r="M610" s="6">
        <v>133.93899999999999</v>
      </c>
      <c r="N610" s="6">
        <v>133.93899999999999</v>
      </c>
      <c r="O610" s="6">
        <v>133.93899999999999</v>
      </c>
      <c r="P610" s="6">
        <v>205</v>
      </c>
      <c r="Q610" s="4" t="s">
        <v>26</v>
      </c>
      <c r="R610" s="4">
        <v>0</v>
      </c>
      <c r="S610" s="4" t="s">
        <v>279</v>
      </c>
      <c r="T610" s="4" t="s">
        <v>440</v>
      </c>
      <c r="U610" s="4">
        <v>0</v>
      </c>
      <c r="V610" s="4">
        <v>33</v>
      </c>
      <c r="W610" s="4">
        <v>85</v>
      </c>
    </row>
    <row r="611" spans="1:23" ht="11.25" customHeight="1" x14ac:dyDescent="0.25">
      <c r="A611" s="4" t="s">
        <v>21</v>
      </c>
      <c r="B611" s="4" t="s">
        <v>33</v>
      </c>
      <c r="C611" s="4" t="s">
        <v>23</v>
      </c>
      <c r="D611" s="4" t="s">
        <v>43</v>
      </c>
      <c r="E611" s="4" t="s">
        <v>25</v>
      </c>
      <c r="F611" s="4" t="s">
        <v>25</v>
      </c>
      <c r="G611" s="4" t="s">
        <v>25</v>
      </c>
      <c r="H611" s="4" t="s">
        <v>25</v>
      </c>
      <c r="I611" s="5">
        <v>44593</v>
      </c>
      <c r="J611" s="6">
        <v>0</v>
      </c>
      <c r="K611" s="6">
        <v>0</v>
      </c>
      <c r="L611" s="6">
        <v>158.751</v>
      </c>
      <c r="M611" s="6">
        <v>158.751</v>
      </c>
      <c r="N611" s="6">
        <v>158.751</v>
      </c>
      <c r="O611" s="6">
        <v>158.751</v>
      </c>
      <c r="P611" s="6">
        <v>207</v>
      </c>
      <c r="Q611" s="4" t="s">
        <v>26</v>
      </c>
      <c r="R611" s="4">
        <v>0</v>
      </c>
      <c r="S611" s="4" t="s">
        <v>280</v>
      </c>
      <c r="T611" s="4" t="s">
        <v>441</v>
      </c>
      <c r="U611" s="4">
        <v>0</v>
      </c>
      <c r="V611" s="4">
        <v>33</v>
      </c>
      <c r="W611" s="4">
        <v>85</v>
      </c>
    </row>
    <row r="612" spans="1:23" ht="11.25" customHeight="1" x14ac:dyDescent="0.25">
      <c r="A612" s="4" t="s">
        <v>21</v>
      </c>
      <c r="B612" s="4" t="s">
        <v>33</v>
      </c>
      <c r="C612" s="4" t="s">
        <v>23</v>
      </c>
      <c r="D612" s="4" t="s">
        <v>43</v>
      </c>
      <c r="E612" s="4" t="s">
        <v>25</v>
      </c>
      <c r="F612" s="4" t="s">
        <v>25</v>
      </c>
      <c r="G612" s="4" t="s">
        <v>25</v>
      </c>
      <c r="H612" s="4" t="s">
        <v>25</v>
      </c>
      <c r="I612" s="5">
        <v>44621</v>
      </c>
      <c r="J612" s="6">
        <v>0</v>
      </c>
      <c r="K612" s="6">
        <v>0</v>
      </c>
      <c r="L612" s="6">
        <v>227.23599999999999</v>
      </c>
      <c r="M612" s="6">
        <v>227.23599999999999</v>
      </c>
      <c r="N612" s="6">
        <v>227.23599999999999</v>
      </c>
      <c r="O612" s="6">
        <v>227.23599999999999</v>
      </c>
      <c r="P612" s="6">
        <v>209</v>
      </c>
      <c r="Q612" s="4" t="s">
        <v>26</v>
      </c>
      <c r="R612" s="4">
        <v>0</v>
      </c>
      <c r="S612" s="4" t="s">
        <v>281</v>
      </c>
      <c r="T612" s="4" t="s">
        <v>442</v>
      </c>
      <c r="U612" s="4">
        <v>0</v>
      </c>
      <c r="V612" s="4">
        <v>33</v>
      </c>
      <c r="W612" s="4">
        <v>85</v>
      </c>
    </row>
    <row r="613" spans="1:23" ht="11.25" customHeight="1" x14ac:dyDescent="0.25">
      <c r="A613" s="4" t="s">
        <v>21</v>
      </c>
      <c r="B613" s="4" t="s">
        <v>33</v>
      </c>
      <c r="C613" s="4" t="s">
        <v>23</v>
      </c>
      <c r="D613" s="4" t="s">
        <v>43</v>
      </c>
      <c r="E613" s="4" t="s">
        <v>25</v>
      </c>
      <c r="F613" s="4" t="s">
        <v>25</v>
      </c>
      <c r="G613" s="4" t="s">
        <v>25</v>
      </c>
      <c r="H613" s="4" t="s">
        <v>25</v>
      </c>
      <c r="I613" s="5">
        <v>44652</v>
      </c>
      <c r="J613" s="6">
        <v>0</v>
      </c>
      <c r="K613" s="6">
        <v>0</v>
      </c>
      <c r="L613" s="6">
        <v>181.58</v>
      </c>
      <c r="M613" s="6">
        <v>181.58</v>
      </c>
      <c r="N613" s="6">
        <v>181.58</v>
      </c>
      <c r="O613" s="6">
        <v>181.58</v>
      </c>
      <c r="P613" s="6">
        <v>207</v>
      </c>
      <c r="Q613" s="4" t="s">
        <v>26</v>
      </c>
      <c r="R613" s="4">
        <v>0</v>
      </c>
      <c r="S613" s="4" t="s">
        <v>282</v>
      </c>
      <c r="T613" s="4" t="s">
        <v>443</v>
      </c>
      <c r="U613" s="4">
        <v>0</v>
      </c>
      <c r="V613" s="4">
        <v>33</v>
      </c>
      <c r="W613" s="4">
        <v>85</v>
      </c>
    </row>
    <row r="614" spans="1:23" ht="11.25" customHeight="1" x14ac:dyDescent="0.25">
      <c r="A614" s="4" t="s">
        <v>21</v>
      </c>
      <c r="B614" s="4" t="s">
        <v>33</v>
      </c>
      <c r="C614" s="4" t="s">
        <v>23</v>
      </c>
      <c r="D614" s="4" t="s">
        <v>43</v>
      </c>
      <c r="E614" s="4" t="s">
        <v>25</v>
      </c>
      <c r="F614" s="4" t="s">
        <v>25</v>
      </c>
      <c r="G614" s="4" t="s">
        <v>25</v>
      </c>
      <c r="H614" s="4" t="s">
        <v>25</v>
      </c>
      <c r="I614" s="5">
        <v>44682</v>
      </c>
      <c r="J614" s="6">
        <v>0</v>
      </c>
      <c r="K614" s="6">
        <v>0</v>
      </c>
      <c r="L614" s="6">
        <v>130.04900000000001</v>
      </c>
      <c r="M614" s="6">
        <v>130.04900000000001</v>
      </c>
      <c r="N614" s="6">
        <v>130.04900000000001</v>
      </c>
      <c r="O614" s="6">
        <v>130.04900000000001</v>
      </c>
      <c r="P614" s="6">
        <v>201</v>
      </c>
      <c r="Q614" s="4" t="s">
        <v>26</v>
      </c>
      <c r="R614" s="4">
        <v>0</v>
      </c>
      <c r="S614" s="4" t="s">
        <v>283</v>
      </c>
      <c r="T614" s="4" t="s">
        <v>444</v>
      </c>
      <c r="U614" s="4">
        <v>0</v>
      </c>
      <c r="V614" s="4">
        <v>33</v>
      </c>
      <c r="W614" s="4">
        <v>85</v>
      </c>
    </row>
    <row r="615" spans="1:23" ht="11.25" customHeight="1" x14ac:dyDescent="0.25">
      <c r="A615" s="4" t="s">
        <v>21</v>
      </c>
      <c r="B615" s="4" t="s">
        <v>33</v>
      </c>
      <c r="C615" s="4" t="s">
        <v>23</v>
      </c>
      <c r="D615" s="4" t="s">
        <v>43</v>
      </c>
      <c r="E615" s="4" t="s">
        <v>25</v>
      </c>
      <c r="F615" s="4" t="s">
        <v>25</v>
      </c>
      <c r="G615" s="4" t="s">
        <v>25</v>
      </c>
      <c r="H615" s="4" t="s">
        <v>25</v>
      </c>
      <c r="I615" s="5">
        <v>44713</v>
      </c>
      <c r="J615" s="6">
        <v>0</v>
      </c>
      <c r="K615" s="6">
        <v>0</v>
      </c>
      <c r="L615" s="6">
        <v>114.00700000000001</v>
      </c>
      <c r="M615" s="6">
        <v>114.00700000000001</v>
      </c>
      <c r="N615" s="6">
        <v>114.00700000000001</v>
      </c>
      <c r="O615" s="6">
        <v>114.00700000000001</v>
      </c>
      <c r="P615" s="6">
        <v>200</v>
      </c>
      <c r="Q615" s="4" t="s">
        <v>26</v>
      </c>
      <c r="R615" s="4">
        <v>0</v>
      </c>
      <c r="S615" s="4" t="s">
        <v>284</v>
      </c>
      <c r="T615" s="4" t="s">
        <v>445</v>
      </c>
      <c r="U615" s="4">
        <v>0</v>
      </c>
      <c r="V615" s="4">
        <v>33</v>
      </c>
      <c r="W615" s="4">
        <v>85</v>
      </c>
    </row>
    <row r="616" spans="1:23" ht="11.25" customHeight="1" x14ac:dyDescent="0.25">
      <c r="A616" s="4" t="s">
        <v>55</v>
      </c>
      <c r="B616" s="4" t="s">
        <v>33</v>
      </c>
      <c r="C616" s="4" t="s">
        <v>23</v>
      </c>
      <c r="D616" s="4" t="s">
        <v>43</v>
      </c>
      <c r="E616" s="4" t="s">
        <v>25</v>
      </c>
      <c r="F616" s="4" t="s">
        <v>25</v>
      </c>
      <c r="G616" s="4" t="s">
        <v>25</v>
      </c>
      <c r="H616" s="4" t="s">
        <v>25</v>
      </c>
      <c r="I616" s="5">
        <v>44743</v>
      </c>
      <c r="J616" s="6">
        <v>0</v>
      </c>
      <c r="K616" s="6">
        <v>0</v>
      </c>
      <c r="L616" s="6">
        <v>114.00700000000001</v>
      </c>
      <c r="M616" s="6">
        <v>114.00700000000001</v>
      </c>
      <c r="N616" s="6">
        <v>114.00700000000001</v>
      </c>
      <c r="O616" s="6">
        <v>114.00700000000001</v>
      </c>
      <c r="P616" s="6">
        <v>200</v>
      </c>
      <c r="Q616" s="4" t="s">
        <v>26</v>
      </c>
      <c r="R616" s="4">
        <v>0</v>
      </c>
      <c r="S616" s="4" t="s">
        <v>285</v>
      </c>
      <c r="T616" s="4" t="s">
        <v>446</v>
      </c>
      <c r="U616" s="4">
        <v>0</v>
      </c>
      <c r="V616" s="4">
        <v>33</v>
      </c>
      <c r="W616" s="4">
        <v>85</v>
      </c>
    </row>
    <row r="617" spans="1:23" ht="11.25" customHeight="1" x14ac:dyDescent="0.25">
      <c r="A617" s="4" t="s">
        <v>21</v>
      </c>
      <c r="B617" s="4" t="s">
        <v>33</v>
      </c>
      <c r="C617" s="4" t="s">
        <v>23</v>
      </c>
      <c r="D617" s="4" t="s">
        <v>47</v>
      </c>
      <c r="E617" s="4" t="s">
        <v>48</v>
      </c>
      <c r="F617" s="4" t="s">
        <v>25</v>
      </c>
      <c r="G617" s="4" t="s">
        <v>25</v>
      </c>
      <c r="H617" s="4" t="s">
        <v>25</v>
      </c>
      <c r="I617" s="5">
        <v>44409</v>
      </c>
      <c r="J617" s="6">
        <v>0</v>
      </c>
      <c r="K617" s="6">
        <v>0</v>
      </c>
      <c r="L617" s="6">
        <v>46.851999999999997</v>
      </c>
      <c r="M617" s="6">
        <v>44.040879999999994</v>
      </c>
      <c r="N617" s="6">
        <v>46.851999999999997</v>
      </c>
      <c r="O617" s="6">
        <v>44.040879999999994</v>
      </c>
      <c r="P617" s="6">
        <v>32</v>
      </c>
      <c r="Q617" s="4" t="s">
        <v>26</v>
      </c>
      <c r="R617" s="4">
        <v>0</v>
      </c>
      <c r="S617" s="4" t="s">
        <v>274</v>
      </c>
      <c r="T617" s="4" t="s">
        <v>435</v>
      </c>
      <c r="U617" s="4">
        <v>0</v>
      </c>
      <c r="V617" s="4">
        <v>33</v>
      </c>
      <c r="W617" s="4">
        <v>85</v>
      </c>
    </row>
    <row r="618" spans="1:23" ht="11.25" customHeight="1" x14ac:dyDescent="0.25">
      <c r="A618" s="4" t="s">
        <v>21</v>
      </c>
      <c r="B618" s="4" t="s">
        <v>33</v>
      </c>
      <c r="C618" s="4" t="s">
        <v>23</v>
      </c>
      <c r="D618" s="4" t="s">
        <v>47</v>
      </c>
      <c r="E618" s="4" t="s">
        <v>48</v>
      </c>
      <c r="F618" s="4" t="s">
        <v>25</v>
      </c>
      <c r="G618" s="4" t="s">
        <v>25</v>
      </c>
      <c r="H618" s="4" t="s">
        <v>25</v>
      </c>
      <c r="I618" s="5">
        <v>44440</v>
      </c>
      <c r="J618" s="6">
        <v>0</v>
      </c>
      <c r="K618" s="6">
        <v>0</v>
      </c>
      <c r="L618" s="6">
        <v>49.296999999999997</v>
      </c>
      <c r="M618" s="6">
        <v>46.339179999999992</v>
      </c>
      <c r="N618" s="6">
        <v>49.296999999999997</v>
      </c>
      <c r="O618" s="6">
        <v>46.339179999999992</v>
      </c>
      <c r="P618" s="6">
        <v>32</v>
      </c>
      <c r="Q618" s="4" t="s">
        <v>26</v>
      </c>
      <c r="R618" s="4">
        <v>0</v>
      </c>
      <c r="S618" s="4" t="s">
        <v>275</v>
      </c>
      <c r="T618" s="4" t="s">
        <v>436</v>
      </c>
      <c r="U618" s="4">
        <v>0</v>
      </c>
      <c r="V618" s="4">
        <v>33</v>
      </c>
      <c r="W618" s="4">
        <v>85</v>
      </c>
    </row>
    <row r="619" spans="1:23" ht="11.25" customHeight="1" x14ac:dyDescent="0.25">
      <c r="A619" s="4" t="s">
        <v>21</v>
      </c>
      <c r="B619" s="4" t="s">
        <v>33</v>
      </c>
      <c r="C619" s="4" t="s">
        <v>23</v>
      </c>
      <c r="D619" s="4" t="s">
        <v>47</v>
      </c>
      <c r="E619" s="4" t="s">
        <v>48</v>
      </c>
      <c r="F619" s="4" t="s">
        <v>25</v>
      </c>
      <c r="G619" s="4" t="s">
        <v>25</v>
      </c>
      <c r="H619" s="4" t="s">
        <v>25</v>
      </c>
      <c r="I619" s="5">
        <v>44470</v>
      </c>
      <c r="J619" s="6">
        <v>0</v>
      </c>
      <c r="K619" s="6">
        <v>0</v>
      </c>
      <c r="L619" s="6">
        <v>45.563000000000002</v>
      </c>
      <c r="M619" s="6">
        <v>42.829219999999999</v>
      </c>
      <c r="N619" s="6">
        <v>45.563000000000002</v>
      </c>
      <c r="O619" s="6">
        <v>42.829219999999999</v>
      </c>
      <c r="P619" s="6">
        <v>32</v>
      </c>
      <c r="Q619" s="4" t="s">
        <v>26</v>
      </c>
      <c r="R619" s="4">
        <v>0</v>
      </c>
      <c r="S619" s="4" t="s">
        <v>276</v>
      </c>
      <c r="T619" s="4" t="s">
        <v>437</v>
      </c>
      <c r="U619" s="4">
        <v>0</v>
      </c>
      <c r="V619" s="4">
        <v>33</v>
      </c>
      <c r="W619" s="4">
        <v>85</v>
      </c>
    </row>
    <row r="620" spans="1:23" ht="11.25" customHeight="1" x14ac:dyDescent="0.25">
      <c r="A620" s="4" t="s">
        <v>21</v>
      </c>
      <c r="B620" s="4" t="s">
        <v>33</v>
      </c>
      <c r="C620" s="4" t="s">
        <v>23</v>
      </c>
      <c r="D620" s="4" t="s">
        <v>47</v>
      </c>
      <c r="E620" s="4" t="s">
        <v>48</v>
      </c>
      <c r="F620" s="4" t="s">
        <v>25</v>
      </c>
      <c r="G620" s="4" t="s">
        <v>25</v>
      </c>
      <c r="H620" s="4" t="s">
        <v>25</v>
      </c>
      <c r="I620" s="5">
        <v>44501</v>
      </c>
      <c r="J620" s="6">
        <v>0</v>
      </c>
      <c r="K620" s="6">
        <v>0</v>
      </c>
      <c r="L620" s="6">
        <v>47.423999999999999</v>
      </c>
      <c r="M620" s="6">
        <v>44.578560000000003</v>
      </c>
      <c r="N620" s="6">
        <v>47.423999999999999</v>
      </c>
      <c r="O620" s="6">
        <v>44.578560000000003</v>
      </c>
      <c r="P620" s="6">
        <v>34</v>
      </c>
      <c r="Q620" s="4" t="s">
        <v>26</v>
      </c>
      <c r="R620" s="4">
        <v>0</v>
      </c>
      <c r="S620" s="4" t="s">
        <v>277</v>
      </c>
      <c r="T620" s="4" t="s">
        <v>438</v>
      </c>
      <c r="U620" s="4">
        <v>0</v>
      </c>
      <c r="V620" s="4">
        <v>33</v>
      </c>
      <c r="W620" s="4">
        <v>85</v>
      </c>
    </row>
    <row r="621" spans="1:23" ht="11.25" customHeight="1" x14ac:dyDescent="0.25">
      <c r="A621" s="4" t="s">
        <v>21</v>
      </c>
      <c r="B621" s="4" t="s">
        <v>33</v>
      </c>
      <c r="C621" s="4" t="s">
        <v>23</v>
      </c>
      <c r="D621" s="4" t="s">
        <v>47</v>
      </c>
      <c r="E621" s="4" t="s">
        <v>48</v>
      </c>
      <c r="F621" s="4" t="s">
        <v>25</v>
      </c>
      <c r="G621" s="4" t="s">
        <v>25</v>
      </c>
      <c r="H621" s="4" t="s">
        <v>25</v>
      </c>
      <c r="I621" s="5">
        <v>44531</v>
      </c>
      <c r="J621" s="6">
        <v>0</v>
      </c>
      <c r="K621" s="6">
        <v>0</v>
      </c>
      <c r="L621" s="6">
        <v>44.262999999999998</v>
      </c>
      <c r="M621" s="6">
        <v>41.607219999999998</v>
      </c>
      <c r="N621" s="6">
        <v>44.262999999999998</v>
      </c>
      <c r="O621" s="6">
        <v>41.607219999999998</v>
      </c>
      <c r="P621" s="6">
        <v>33</v>
      </c>
      <c r="Q621" s="4" t="s">
        <v>26</v>
      </c>
      <c r="R621" s="4">
        <v>0</v>
      </c>
      <c r="S621" s="4" t="s">
        <v>278</v>
      </c>
      <c r="T621" s="4" t="s">
        <v>439</v>
      </c>
      <c r="U621" s="4">
        <v>0</v>
      </c>
      <c r="V621" s="4">
        <v>33</v>
      </c>
      <c r="W621" s="4">
        <v>85</v>
      </c>
    </row>
    <row r="622" spans="1:23" ht="11.25" customHeight="1" x14ac:dyDescent="0.25">
      <c r="A622" s="4" t="s">
        <v>27</v>
      </c>
      <c r="B622" s="4" t="s">
        <v>33</v>
      </c>
      <c r="C622" s="4" t="s">
        <v>23</v>
      </c>
      <c r="D622" s="4" t="s">
        <v>47</v>
      </c>
      <c r="E622" s="4" t="s">
        <v>48</v>
      </c>
      <c r="F622" s="4" t="s">
        <v>25</v>
      </c>
      <c r="G622" s="4" t="s">
        <v>25</v>
      </c>
      <c r="H622" s="4" t="s">
        <v>25</v>
      </c>
      <c r="I622" s="5">
        <v>44531</v>
      </c>
      <c r="J622" s="6">
        <v>0</v>
      </c>
      <c r="K622" s="6">
        <v>0</v>
      </c>
      <c r="L622" s="6">
        <v>-0.307</v>
      </c>
      <c r="M622" s="6">
        <v>-0.28858</v>
      </c>
      <c r="N622" s="6">
        <v>-0.307</v>
      </c>
      <c r="O622" s="6">
        <v>-0.28858</v>
      </c>
      <c r="P622" s="6">
        <v>0</v>
      </c>
      <c r="Q622" s="4" t="s">
        <v>26</v>
      </c>
      <c r="R622" s="4">
        <v>0</v>
      </c>
      <c r="S622" s="4" t="s">
        <v>278</v>
      </c>
      <c r="T622" s="4" t="s">
        <v>439</v>
      </c>
      <c r="U622" s="4">
        <v>0</v>
      </c>
      <c r="V622" s="4">
        <v>33</v>
      </c>
      <c r="W622" s="4">
        <v>85</v>
      </c>
    </row>
    <row r="623" spans="1:23" ht="11.25" customHeight="1" x14ac:dyDescent="0.25">
      <c r="A623" s="4" t="s">
        <v>21</v>
      </c>
      <c r="B623" s="4" t="s">
        <v>33</v>
      </c>
      <c r="C623" s="4" t="s">
        <v>23</v>
      </c>
      <c r="D623" s="4" t="s">
        <v>47</v>
      </c>
      <c r="E623" s="4" t="s">
        <v>48</v>
      </c>
      <c r="F623" s="4" t="s">
        <v>25</v>
      </c>
      <c r="G623" s="4" t="s">
        <v>25</v>
      </c>
      <c r="H623" s="4" t="s">
        <v>25</v>
      </c>
      <c r="I623" s="5">
        <v>44562</v>
      </c>
      <c r="J623" s="6">
        <v>0</v>
      </c>
      <c r="K623" s="6">
        <v>0</v>
      </c>
      <c r="L623" s="6">
        <v>60.606000000000002</v>
      </c>
      <c r="M623" s="6">
        <v>56.969639999999998</v>
      </c>
      <c r="N623" s="6">
        <v>60.606000000000002</v>
      </c>
      <c r="O623" s="6">
        <v>56.969639999999998</v>
      </c>
      <c r="P623" s="6">
        <v>33</v>
      </c>
      <c r="Q623" s="4" t="s">
        <v>26</v>
      </c>
      <c r="R623" s="4">
        <v>0</v>
      </c>
      <c r="S623" s="4" t="s">
        <v>279</v>
      </c>
      <c r="T623" s="4" t="s">
        <v>440</v>
      </c>
      <c r="U623" s="4">
        <v>0</v>
      </c>
      <c r="V623" s="4">
        <v>33</v>
      </c>
      <c r="W623" s="4">
        <v>85</v>
      </c>
    </row>
    <row r="624" spans="1:23" ht="11.25" customHeight="1" x14ac:dyDescent="0.25">
      <c r="A624" s="4" t="s">
        <v>21</v>
      </c>
      <c r="B624" s="4" t="s">
        <v>33</v>
      </c>
      <c r="C624" s="4" t="s">
        <v>23</v>
      </c>
      <c r="D624" s="4" t="s">
        <v>47</v>
      </c>
      <c r="E624" s="4" t="s">
        <v>48</v>
      </c>
      <c r="F624" s="4" t="s">
        <v>25</v>
      </c>
      <c r="G624" s="4" t="s">
        <v>25</v>
      </c>
      <c r="H624" s="4" t="s">
        <v>25</v>
      </c>
      <c r="I624" s="5">
        <v>44593</v>
      </c>
      <c r="J624" s="6">
        <v>0</v>
      </c>
      <c r="K624" s="6">
        <v>0</v>
      </c>
      <c r="L624" s="6">
        <v>47.884999999999998</v>
      </c>
      <c r="M624" s="6">
        <v>45.011899999999997</v>
      </c>
      <c r="N624" s="6">
        <v>47.884999999999998</v>
      </c>
      <c r="O624" s="6">
        <v>45.011899999999997</v>
      </c>
      <c r="P624" s="6">
        <v>33</v>
      </c>
      <c r="Q624" s="4" t="s">
        <v>26</v>
      </c>
      <c r="R624" s="4">
        <v>0</v>
      </c>
      <c r="S624" s="4" t="s">
        <v>280</v>
      </c>
      <c r="T624" s="4" t="s">
        <v>441</v>
      </c>
      <c r="U624" s="4">
        <v>0</v>
      </c>
      <c r="V624" s="4">
        <v>33</v>
      </c>
      <c r="W624" s="4">
        <v>85</v>
      </c>
    </row>
    <row r="625" spans="1:23" ht="11.25" customHeight="1" x14ac:dyDescent="0.25">
      <c r="A625" s="4" t="s">
        <v>21</v>
      </c>
      <c r="B625" s="4" t="s">
        <v>33</v>
      </c>
      <c r="C625" s="4" t="s">
        <v>23</v>
      </c>
      <c r="D625" s="4" t="s">
        <v>47</v>
      </c>
      <c r="E625" s="4" t="s">
        <v>48</v>
      </c>
      <c r="F625" s="4" t="s">
        <v>25</v>
      </c>
      <c r="G625" s="4" t="s">
        <v>25</v>
      </c>
      <c r="H625" s="4" t="s">
        <v>25</v>
      </c>
      <c r="I625" s="5">
        <v>44621</v>
      </c>
      <c r="J625" s="6">
        <v>0</v>
      </c>
      <c r="K625" s="6">
        <v>0</v>
      </c>
      <c r="L625" s="6">
        <v>66.007000000000005</v>
      </c>
      <c r="M625" s="6">
        <v>62.046579999999999</v>
      </c>
      <c r="N625" s="6">
        <v>66.007000000000005</v>
      </c>
      <c r="O625" s="6">
        <v>62.046579999999999</v>
      </c>
      <c r="P625" s="6">
        <v>33</v>
      </c>
      <c r="Q625" s="4" t="s">
        <v>26</v>
      </c>
      <c r="R625" s="4">
        <v>0</v>
      </c>
      <c r="S625" s="4" t="s">
        <v>281</v>
      </c>
      <c r="T625" s="4" t="s">
        <v>442</v>
      </c>
      <c r="U625" s="4">
        <v>0</v>
      </c>
      <c r="V625" s="4">
        <v>33</v>
      </c>
      <c r="W625" s="4">
        <v>85</v>
      </c>
    </row>
    <row r="626" spans="1:23" ht="11.25" customHeight="1" x14ac:dyDescent="0.25">
      <c r="A626" s="4" t="s">
        <v>21</v>
      </c>
      <c r="B626" s="4" t="s">
        <v>33</v>
      </c>
      <c r="C626" s="4" t="s">
        <v>23</v>
      </c>
      <c r="D626" s="4" t="s">
        <v>47</v>
      </c>
      <c r="E626" s="4" t="s">
        <v>48</v>
      </c>
      <c r="F626" s="4" t="s">
        <v>25</v>
      </c>
      <c r="G626" s="4" t="s">
        <v>25</v>
      </c>
      <c r="H626" s="4" t="s">
        <v>25</v>
      </c>
      <c r="I626" s="5">
        <v>44652</v>
      </c>
      <c r="J626" s="6">
        <v>0</v>
      </c>
      <c r="K626" s="6">
        <v>0</v>
      </c>
      <c r="L626" s="6">
        <v>49.927</v>
      </c>
      <c r="M626" s="6">
        <v>46.931379999999997</v>
      </c>
      <c r="N626" s="6">
        <v>49.927</v>
      </c>
      <c r="O626" s="6">
        <v>46.931379999999997</v>
      </c>
      <c r="P626" s="6">
        <v>37</v>
      </c>
      <c r="Q626" s="4" t="s">
        <v>26</v>
      </c>
      <c r="R626" s="4">
        <v>0</v>
      </c>
      <c r="S626" s="4" t="s">
        <v>282</v>
      </c>
      <c r="T626" s="4" t="s">
        <v>443</v>
      </c>
      <c r="U626" s="4">
        <v>0</v>
      </c>
      <c r="V626" s="4">
        <v>33</v>
      </c>
      <c r="W626" s="4">
        <v>85</v>
      </c>
    </row>
    <row r="627" spans="1:23" ht="11.25" customHeight="1" x14ac:dyDescent="0.25">
      <c r="A627" s="4" t="s">
        <v>21</v>
      </c>
      <c r="B627" s="4" t="s">
        <v>33</v>
      </c>
      <c r="C627" s="4" t="s">
        <v>23</v>
      </c>
      <c r="D627" s="4" t="s">
        <v>47</v>
      </c>
      <c r="E627" s="4" t="s">
        <v>48</v>
      </c>
      <c r="F627" s="4" t="s">
        <v>25</v>
      </c>
      <c r="G627" s="4" t="s">
        <v>25</v>
      </c>
      <c r="H627" s="4" t="s">
        <v>25</v>
      </c>
      <c r="I627" s="5">
        <v>44682</v>
      </c>
      <c r="J627" s="6">
        <v>0</v>
      </c>
      <c r="K627" s="6">
        <v>0</v>
      </c>
      <c r="L627" s="6">
        <v>50.348999999999997</v>
      </c>
      <c r="M627" s="6">
        <v>47.328060000000001</v>
      </c>
      <c r="N627" s="6">
        <v>50.348999999999997</v>
      </c>
      <c r="O627" s="6">
        <v>47.328060000000001</v>
      </c>
      <c r="P627" s="6">
        <v>37</v>
      </c>
      <c r="Q627" s="4" t="s">
        <v>26</v>
      </c>
      <c r="R627" s="4">
        <v>0</v>
      </c>
      <c r="S627" s="4" t="s">
        <v>283</v>
      </c>
      <c r="T627" s="4" t="s">
        <v>444</v>
      </c>
      <c r="U627" s="4">
        <v>0</v>
      </c>
      <c r="V627" s="4">
        <v>33</v>
      </c>
      <c r="W627" s="4">
        <v>85</v>
      </c>
    </row>
    <row r="628" spans="1:23" ht="11.25" customHeight="1" x14ac:dyDescent="0.25">
      <c r="A628" s="4" t="s">
        <v>21</v>
      </c>
      <c r="B628" s="4" t="s">
        <v>33</v>
      </c>
      <c r="C628" s="4" t="s">
        <v>23</v>
      </c>
      <c r="D628" s="4" t="s">
        <v>47</v>
      </c>
      <c r="E628" s="4" t="s">
        <v>48</v>
      </c>
      <c r="F628" s="4" t="s">
        <v>25</v>
      </c>
      <c r="G628" s="4" t="s">
        <v>25</v>
      </c>
      <c r="H628" s="4" t="s">
        <v>25</v>
      </c>
      <c r="I628" s="5">
        <v>44713</v>
      </c>
      <c r="J628" s="6">
        <v>0</v>
      </c>
      <c r="K628" s="6">
        <v>0</v>
      </c>
      <c r="L628" s="6">
        <v>45.19</v>
      </c>
      <c r="M628" s="6">
        <v>42.4786</v>
      </c>
      <c r="N628" s="6">
        <v>45.19</v>
      </c>
      <c r="O628" s="6">
        <v>42.4786</v>
      </c>
      <c r="P628" s="6">
        <v>37</v>
      </c>
      <c r="Q628" s="4" t="s">
        <v>26</v>
      </c>
      <c r="R628" s="4">
        <v>0</v>
      </c>
      <c r="S628" s="4" t="s">
        <v>284</v>
      </c>
      <c r="T628" s="4" t="s">
        <v>445</v>
      </c>
      <c r="U628" s="4">
        <v>0</v>
      </c>
      <c r="V628" s="4">
        <v>33</v>
      </c>
      <c r="W628" s="4">
        <v>85</v>
      </c>
    </row>
    <row r="629" spans="1:23" ht="11.25" customHeight="1" x14ac:dyDescent="0.25">
      <c r="A629" s="4" t="s">
        <v>55</v>
      </c>
      <c r="B629" s="4" t="s">
        <v>33</v>
      </c>
      <c r="C629" s="4" t="s">
        <v>23</v>
      </c>
      <c r="D629" s="4" t="s">
        <v>47</v>
      </c>
      <c r="E629" s="4" t="s">
        <v>48</v>
      </c>
      <c r="F629" s="4" t="s">
        <v>25</v>
      </c>
      <c r="G629" s="4" t="s">
        <v>25</v>
      </c>
      <c r="H629" s="4" t="s">
        <v>25</v>
      </c>
      <c r="I629" s="5">
        <v>44743</v>
      </c>
      <c r="J629" s="6">
        <v>0</v>
      </c>
      <c r="K629" s="6">
        <v>0</v>
      </c>
      <c r="L629" s="6">
        <v>45.19</v>
      </c>
      <c r="M629" s="6">
        <v>42.4786</v>
      </c>
      <c r="N629" s="6">
        <v>45.19</v>
      </c>
      <c r="O629" s="6">
        <v>42.4786</v>
      </c>
      <c r="P629" s="6">
        <v>37</v>
      </c>
      <c r="Q629" s="4" t="s">
        <v>26</v>
      </c>
      <c r="R629" s="4">
        <v>0</v>
      </c>
      <c r="S629" s="4" t="s">
        <v>285</v>
      </c>
      <c r="T629" s="4" t="s">
        <v>446</v>
      </c>
      <c r="U629" s="4">
        <v>0</v>
      </c>
      <c r="V629" s="4">
        <v>33</v>
      </c>
      <c r="W629" s="4">
        <v>85</v>
      </c>
    </row>
    <row r="630" spans="1:23" ht="11.25" customHeight="1" x14ac:dyDescent="0.25">
      <c r="A630" s="4" t="s">
        <v>21</v>
      </c>
      <c r="B630" s="4" t="s">
        <v>44</v>
      </c>
      <c r="C630" s="4" t="s">
        <v>23</v>
      </c>
      <c r="D630" s="4" t="s">
        <v>45</v>
      </c>
      <c r="E630" s="4" t="s">
        <v>46</v>
      </c>
      <c r="F630" s="4" t="s">
        <v>25</v>
      </c>
      <c r="G630" s="4" t="s">
        <v>25</v>
      </c>
      <c r="H630" s="4" t="s">
        <v>25</v>
      </c>
      <c r="I630" s="5">
        <v>44409</v>
      </c>
      <c r="J630" s="6">
        <v>0</v>
      </c>
      <c r="K630" s="6">
        <v>0</v>
      </c>
      <c r="L630" s="6">
        <v>1112.021</v>
      </c>
      <c r="M630" s="6">
        <v>1112.021</v>
      </c>
      <c r="N630" s="6">
        <v>1112.021</v>
      </c>
      <c r="O630" s="6">
        <v>1112.021</v>
      </c>
      <c r="P630" s="6">
        <v>4</v>
      </c>
      <c r="Q630" s="4" t="s">
        <v>26</v>
      </c>
      <c r="R630" s="4">
        <v>0</v>
      </c>
      <c r="S630" s="4" t="s">
        <v>286</v>
      </c>
      <c r="T630" s="4" t="s">
        <v>447</v>
      </c>
      <c r="U630" s="4">
        <v>0</v>
      </c>
      <c r="V630" s="4">
        <v>68</v>
      </c>
      <c r="W630" s="4">
        <v>48</v>
      </c>
    </row>
    <row r="631" spans="1:23" ht="11.25" customHeight="1" x14ac:dyDescent="0.25">
      <c r="A631" s="4" t="s">
        <v>21</v>
      </c>
      <c r="B631" s="4" t="s">
        <v>44</v>
      </c>
      <c r="C631" s="4" t="s">
        <v>23</v>
      </c>
      <c r="D631" s="4" t="s">
        <v>45</v>
      </c>
      <c r="E631" s="4" t="s">
        <v>46</v>
      </c>
      <c r="F631" s="4" t="s">
        <v>25</v>
      </c>
      <c r="G631" s="4" t="s">
        <v>25</v>
      </c>
      <c r="H631" s="4" t="s">
        <v>25</v>
      </c>
      <c r="I631" s="5">
        <v>44440</v>
      </c>
      <c r="J631" s="6">
        <v>0</v>
      </c>
      <c r="K631" s="6">
        <v>0</v>
      </c>
      <c r="L631" s="6">
        <v>1013.975</v>
      </c>
      <c r="M631" s="6">
        <v>1013.975</v>
      </c>
      <c r="N631" s="6">
        <v>1013.975</v>
      </c>
      <c r="O631" s="6">
        <v>1013.975</v>
      </c>
      <c r="P631" s="6">
        <v>4</v>
      </c>
      <c r="Q631" s="4" t="s">
        <v>26</v>
      </c>
      <c r="R631" s="4">
        <v>0</v>
      </c>
      <c r="S631" s="4" t="s">
        <v>287</v>
      </c>
      <c r="T631" s="4" t="s">
        <v>448</v>
      </c>
      <c r="U631" s="4">
        <v>0</v>
      </c>
      <c r="V631" s="4">
        <v>68</v>
      </c>
      <c r="W631" s="4">
        <v>48</v>
      </c>
    </row>
    <row r="632" spans="1:23" ht="11.25" customHeight="1" x14ac:dyDescent="0.25">
      <c r="A632" s="4" t="s">
        <v>21</v>
      </c>
      <c r="B632" s="4" t="s">
        <v>44</v>
      </c>
      <c r="C632" s="4" t="s">
        <v>23</v>
      </c>
      <c r="D632" s="4" t="s">
        <v>45</v>
      </c>
      <c r="E632" s="4" t="s">
        <v>46</v>
      </c>
      <c r="F632" s="4" t="s">
        <v>25</v>
      </c>
      <c r="G632" s="4" t="s">
        <v>25</v>
      </c>
      <c r="H632" s="4" t="s">
        <v>25</v>
      </c>
      <c r="I632" s="5">
        <v>44470</v>
      </c>
      <c r="J632" s="6">
        <v>0</v>
      </c>
      <c r="K632" s="6">
        <v>0</v>
      </c>
      <c r="L632" s="6">
        <v>964.84100000000001</v>
      </c>
      <c r="M632" s="6">
        <v>964.84100000000001</v>
      </c>
      <c r="N632" s="6">
        <v>964.84100000000001</v>
      </c>
      <c r="O632" s="6">
        <v>964.84100000000001</v>
      </c>
      <c r="P632" s="6">
        <v>4</v>
      </c>
      <c r="Q632" s="4" t="s">
        <v>26</v>
      </c>
      <c r="R632" s="4">
        <v>0</v>
      </c>
      <c r="S632" s="4" t="s">
        <v>288</v>
      </c>
      <c r="T632" s="4" t="s">
        <v>449</v>
      </c>
      <c r="U632" s="4">
        <v>0</v>
      </c>
      <c r="V632" s="4">
        <v>68</v>
      </c>
      <c r="W632" s="4">
        <v>48</v>
      </c>
    </row>
    <row r="633" spans="1:23" ht="11.25" customHeight="1" x14ac:dyDescent="0.25">
      <c r="A633" s="4" t="s">
        <v>21</v>
      </c>
      <c r="B633" s="4" t="s">
        <v>44</v>
      </c>
      <c r="C633" s="4" t="s">
        <v>23</v>
      </c>
      <c r="D633" s="4" t="s">
        <v>45</v>
      </c>
      <c r="E633" s="4" t="s">
        <v>46</v>
      </c>
      <c r="F633" s="4" t="s">
        <v>25</v>
      </c>
      <c r="G633" s="4" t="s">
        <v>25</v>
      </c>
      <c r="H633" s="4" t="s">
        <v>25</v>
      </c>
      <c r="I633" s="5">
        <v>44501</v>
      </c>
      <c r="J633" s="6">
        <v>0</v>
      </c>
      <c r="K633" s="6">
        <v>0</v>
      </c>
      <c r="L633" s="6">
        <v>890.44100000000003</v>
      </c>
      <c r="M633" s="6">
        <v>890.44100000000003</v>
      </c>
      <c r="N633" s="6">
        <v>890.44100000000003</v>
      </c>
      <c r="O633" s="6">
        <v>890.44100000000003</v>
      </c>
      <c r="P633" s="6">
        <v>4</v>
      </c>
      <c r="Q633" s="4" t="s">
        <v>26</v>
      </c>
      <c r="R633" s="4">
        <v>0</v>
      </c>
      <c r="S633" s="4" t="s">
        <v>289</v>
      </c>
      <c r="T633" s="4" t="s">
        <v>450</v>
      </c>
      <c r="U633" s="4">
        <v>0</v>
      </c>
      <c r="V633" s="4">
        <v>68</v>
      </c>
      <c r="W633" s="4">
        <v>48</v>
      </c>
    </row>
    <row r="634" spans="1:23" ht="11.25" customHeight="1" x14ac:dyDescent="0.25">
      <c r="A634" s="4" t="s">
        <v>21</v>
      </c>
      <c r="B634" s="4" t="s">
        <v>44</v>
      </c>
      <c r="C634" s="4" t="s">
        <v>23</v>
      </c>
      <c r="D634" s="4" t="s">
        <v>45</v>
      </c>
      <c r="E634" s="4" t="s">
        <v>46</v>
      </c>
      <c r="F634" s="4" t="s">
        <v>25</v>
      </c>
      <c r="G634" s="4" t="s">
        <v>25</v>
      </c>
      <c r="H634" s="4" t="s">
        <v>25</v>
      </c>
      <c r="I634" s="5">
        <v>44531</v>
      </c>
      <c r="J634" s="6">
        <v>0</v>
      </c>
      <c r="K634" s="6">
        <v>0</v>
      </c>
      <c r="L634" s="6">
        <v>910.04499999999996</v>
      </c>
      <c r="M634" s="6">
        <v>910.04499999999996</v>
      </c>
      <c r="N634" s="6">
        <v>910.04499999999996</v>
      </c>
      <c r="O634" s="6">
        <v>910.04499999999996</v>
      </c>
      <c r="P634" s="6">
        <v>4</v>
      </c>
      <c r="Q634" s="4" t="s">
        <v>26</v>
      </c>
      <c r="R634" s="4">
        <v>0</v>
      </c>
      <c r="S634" s="4" t="s">
        <v>290</v>
      </c>
      <c r="T634" s="4" t="s">
        <v>451</v>
      </c>
      <c r="U634" s="4">
        <v>0</v>
      </c>
      <c r="V634" s="4">
        <v>68</v>
      </c>
      <c r="W634" s="4">
        <v>48</v>
      </c>
    </row>
    <row r="635" spans="1:23" ht="11.25" customHeight="1" x14ac:dyDescent="0.25">
      <c r="A635" s="4" t="s">
        <v>21</v>
      </c>
      <c r="B635" s="4" t="s">
        <v>44</v>
      </c>
      <c r="C635" s="4" t="s">
        <v>23</v>
      </c>
      <c r="D635" s="4" t="s">
        <v>45</v>
      </c>
      <c r="E635" s="4" t="s">
        <v>46</v>
      </c>
      <c r="F635" s="4" t="s">
        <v>25</v>
      </c>
      <c r="G635" s="4" t="s">
        <v>25</v>
      </c>
      <c r="H635" s="4" t="s">
        <v>25</v>
      </c>
      <c r="I635" s="5">
        <v>44562</v>
      </c>
      <c r="J635" s="6">
        <v>0</v>
      </c>
      <c r="K635" s="6">
        <v>0</v>
      </c>
      <c r="L635" s="6">
        <v>908.553</v>
      </c>
      <c r="M635" s="6">
        <v>908.553</v>
      </c>
      <c r="N635" s="6">
        <v>908.553</v>
      </c>
      <c r="O635" s="6">
        <v>908.553</v>
      </c>
      <c r="P635" s="6">
        <v>4</v>
      </c>
      <c r="Q635" s="4" t="s">
        <v>26</v>
      </c>
      <c r="R635" s="4">
        <v>0</v>
      </c>
      <c r="S635" s="4" t="s">
        <v>291</v>
      </c>
      <c r="T635" s="4" t="s">
        <v>452</v>
      </c>
      <c r="U635" s="4">
        <v>0</v>
      </c>
      <c r="V635" s="4">
        <v>68</v>
      </c>
      <c r="W635" s="4">
        <v>48</v>
      </c>
    </row>
    <row r="636" spans="1:23" ht="11.25" customHeight="1" x14ac:dyDescent="0.25">
      <c r="A636" s="4" t="s">
        <v>21</v>
      </c>
      <c r="B636" s="4" t="s">
        <v>44</v>
      </c>
      <c r="C636" s="4" t="s">
        <v>23</v>
      </c>
      <c r="D636" s="4" t="s">
        <v>45</v>
      </c>
      <c r="E636" s="4" t="s">
        <v>46</v>
      </c>
      <c r="F636" s="4" t="s">
        <v>25</v>
      </c>
      <c r="G636" s="4" t="s">
        <v>25</v>
      </c>
      <c r="H636" s="4" t="s">
        <v>25</v>
      </c>
      <c r="I636" s="5">
        <v>44593</v>
      </c>
      <c r="J636" s="6">
        <v>0</v>
      </c>
      <c r="K636" s="6">
        <v>0</v>
      </c>
      <c r="L636" s="6">
        <v>863.87</v>
      </c>
      <c r="M636" s="6">
        <v>863.87</v>
      </c>
      <c r="N636" s="6">
        <v>863.87</v>
      </c>
      <c r="O636" s="6">
        <v>863.87</v>
      </c>
      <c r="P636" s="6">
        <v>4</v>
      </c>
      <c r="Q636" s="4" t="s">
        <v>26</v>
      </c>
      <c r="R636" s="4">
        <v>0</v>
      </c>
      <c r="S636" s="4" t="s">
        <v>292</v>
      </c>
      <c r="T636" s="4" t="s">
        <v>453</v>
      </c>
      <c r="U636" s="4">
        <v>0</v>
      </c>
      <c r="V636" s="4">
        <v>68</v>
      </c>
      <c r="W636" s="4">
        <v>48</v>
      </c>
    </row>
    <row r="637" spans="1:23" ht="11.25" customHeight="1" x14ac:dyDescent="0.25">
      <c r="A637" s="4" t="s">
        <v>21</v>
      </c>
      <c r="B637" s="4" t="s">
        <v>44</v>
      </c>
      <c r="C637" s="4" t="s">
        <v>23</v>
      </c>
      <c r="D637" s="4" t="s">
        <v>45</v>
      </c>
      <c r="E637" s="4" t="s">
        <v>46</v>
      </c>
      <c r="F637" s="4" t="s">
        <v>25</v>
      </c>
      <c r="G637" s="4" t="s">
        <v>25</v>
      </c>
      <c r="H637" s="4" t="s">
        <v>25</v>
      </c>
      <c r="I637" s="5">
        <v>44621</v>
      </c>
      <c r="J637" s="6">
        <v>0</v>
      </c>
      <c r="K637" s="6">
        <v>0</v>
      </c>
      <c r="L637" s="6">
        <v>943.53700000000003</v>
      </c>
      <c r="M637" s="6">
        <v>943.53700000000003</v>
      </c>
      <c r="N637" s="6">
        <v>943.53700000000003</v>
      </c>
      <c r="O637" s="6">
        <v>943.53700000000003</v>
      </c>
      <c r="P637" s="6">
        <v>4</v>
      </c>
      <c r="Q637" s="4" t="s">
        <v>26</v>
      </c>
      <c r="R637" s="4">
        <v>0</v>
      </c>
      <c r="S637" s="4" t="s">
        <v>293</v>
      </c>
      <c r="T637" s="4" t="s">
        <v>454</v>
      </c>
      <c r="U637" s="4">
        <v>0</v>
      </c>
      <c r="V637" s="4">
        <v>68</v>
      </c>
      <c r="W637" s="4">
        <v>48</v>
      </c>
    </row>
    <row r="638" spans="1:23" ht="11.25" customHeight="1" x14ac:dyDescent="0.25">
      <c r="A638" s="4" t="s">
        <v>21</v>
      </c>
      <c r="B638" s="4" t="s">
        <v>44</v>
      </c>
      <c r="C638" s="4" t="s">
        <v>23</v>
      </c>
      <c r="D638" s="4" t="s">
        <v>45</v>
      </c>
      <c r="E638" s="4" t="s">
        <v>46</v>
      </c>
      <c r="F638" s="4" t="s">
        <v>25</v>
      </c>
      <c r="G638" s="4" t="s">
        <v>25</v>
      </c>
      <c r="H638" s="4" t="s">
        <v>25</v>
      </c>
      <c r="I638" s="5">
        <v>44652</v>
      </c>
      <c r="J638" s="6">
        <v>0</v>
      </c>
      <c r="K638" s="6">
        <v>0</v>
      </c>
      <c r="L638" s="6">
        <v>984.68299999999999</v>
      </c>
      <c r="M638" s="6">
        <v>984.68299999999999</v>
      </c>
      <c r="N638" s="6">
        <v>984.68299999999999</v>
      </c>
      <c r="O638" s="6">
        <v>984.68299999999999</v>
      </c>
      <c r="P638" s="6">
        <v>4</v>
      </c>
      <c r="Q638" s="4" t="s">
        <v>26</v>
      </c>
      <c r="R638" s="4">
        <v>0</v>
      </c>
      <c r="S638" s="4" t="s">
        <v>294</v>
      </c>
      <c r="T638" s="4" t="s">
        <v>455</v>
      </c>
      <c r="U638" s="4">
        <v>0</v>
      </c>
      <c r="V638" s="4">
        <v>68</v>
      </c>
      <c r="W638" s="4">
        <v>48</v>
      </c>
    </row>
    <row r="639" spans="1:23" ht="11.25" customHeight="1" x14ac:dyDescent="0.25">
      <c r="A639" s="4" t="s">
        <v>21</v>
      </c>
      <c r="B639" s="4" t="s">
        <v>44</v>
      </c>
      <c r="C639" s="4" t="s">
        <v>23</v>
      </c>
      <c r="D639" s="4" t="s">
        <v>45</v>
      </c>
      <c r="E639" s="4" t="s">
        <v>46</v>
      </c>
      <c r="F639" s="4" t="s">
        <v>25</v>
      </c>
      <c r="G639" s="4" t="s">
        <v>25</v>
      </c>
      <c r="H639" s="4" t="s">
        <v>25</v>
      </c>
      <c r="I639" s="5">
        <v>44682</v>
      </c>
      <c r="J639" s="6">
        <v>0</v>
      </c>
      <c r="K639" s="6">
        <v>0</v>
      </c>
      <c r="L639" s="6">
        <v>1076.22</v>
      </c>
      <c r="M639" s="6">
        <v>1076.22</v>
      </c>
      <c r="N639" s="6">
        <v>1076.22</v>
      </c>
      <c r="O639" s="6">
        <v>1076.22</v>
      </c>
      <c r="P639" s="6">
        <v>4</v>
      </c>
      <c r="Q639" s="4" t="s">
        <v>26</v>
      </c>
      <c r="R639" s="4">
        <v>0</v>
      </c>
      <c r="S639" s="4" t="s">
        <v>295</v>
      </c>
      <c r="T639" s="4" t="s">
        <v>456</v>
      </c>
      <c r="U639" s="4">
        <v>0</v>
      </c>
      <c r="V639" s="4">
        <v>68</v>
      </c>
      <c r="W639" s="4">
        <v>48</v>
      </c>
    </row>
    <row r="640" spans="1:23" ht="11.25" customHeight="1" x14ac:dyDescent="0.25">
      <c r="A640" s="4" t="s">
        <v>21</v>
      </c>
      <c r="B640" s="4" t="s">
        <v>44</v>
      </c>
      <c r="C640" s="4" t="s">
        <v>23</v>
      </c>
      <c r="D640" s="4" t="s">
        <v>45</v>
      </c>
      <c r="E640" s="4" t="s">
        <v>46</v>
      </c>
      <c r="F640" s="4" t="s">
        <v>25</v>
      </c>
      <c r="G640" s="4" t="s">
        <v>25</v>
      </c>
      <c r="H640" s="4" t="s">
        <v>25</v>
      </c>
      <c r="I640" s="5">
        <v>44713</v>
      </c>
      <c r="J640" s="6">
        <v>0</v>
      </c>
      <c r="K640" s="6">
        <v>0</v>
      </c>
      <c r="L640" s="6">
        <v>1068.528</v>
      </c>
      <c r="M640" s="6">
        <v>1068.528</v>
      </c>
      <c r="N640" s="6">
        <v>1068.528</v>
      </c>
      <c r="O640" s="6">
        <v>1068.528</v>
      </c>
      <c r="P640" s="6">
        <v>4</v>
      </c>
      <c r="Q640" s="4" t="s">
        <v>26</v>
      </c>
      <c r="R640" s="4">
        <v>0</v>
      </c>
      <c r="S640" s="4" t="s">
        <v>296</v>
      </c>
      <c r="T640" s="4" t="s">
        <v>457</v>
      </c>
      <c r="U640" s="4">
        <v>0</v>
      </c>
      <c r="V640" s="4">
        <v>68</v>
      </c>
      <c r="W640" s="4">
        <v>48</v>
      </c>
    </row>
    <row r="641" spans="1:23" ht="11.25" customHeight="1" x14ac:dyDescent="0.25">
      <c r="A641" s="4" t="s">
        <v>55</v>
      </c>
      <c r="B641" s="4" t="s">
        <v>44</v>
      </c>
      <c r="C641" s="4" t="s">
        <v>23</v>
      </c>
      <c r="D641" s="4" t="s">
        <v>45</v>
      </c>
      <c r="E641" s="4" t="s">
        <v>46</v>
      </c>
      <c r="F641" s="4" t="s">
        <v>25</v>
      </c>
      <c r="G641" s="4" t="s">
        <v>25</v>
      </c>
      <c r="H641" s="4" t="s">
        <v>25</v>
      </c>
      <c r="I641" s="5">
        <v>44743</v>
      </c>
      <c r="J641" s="6">
        <v>0</v>
      </c>
      <c r="K641" s="6">
        <v>0</v>
      </c>
      <c r="L641" s="6">
        <v>1068.528</v>
      </c>
      <c r="M641" s="6">
        <v>1068.528</v>
      </c>
      <c r="N641" s="6">
        <v>1068.528</v>
      </c>
      <c r="O641" s="6">
        <v>1068.528</v>
      </c>
      <c r="P641" s="6">
        <v>4</v>
      </c>
      <c r="Q641" s="4" t="s">
        <v>26</v>
      </c>
      <c r="R641" s="4">
        <v>0</v>
      </c>
      <c r="S641" s="4" t="s">
        <v>297</v>
      </c>
      <c r="T641" s="4" t="s">
        <v>458</v>
      </c>
      <c r="U641" s="4">
        <v>0</v>
      </c>
      <c r="V641" s="4">
        <v>68</v>
      </c>
      <c r="W641" s="4">
        <v>48</v>
      </c>
    </row>
  </sheetData>
  <sortState xmlns:xlrd2="http://schemas.microsoft.com/office/spreadsheetml/2017/richdata2" ref="A2:W641">
    <sortCondition ref="B2:B641"/>
    <sortCondition ref="C2:C641"/>
    <sortCondition ref="D2:D641"/>
    <sortCondition ref="E2:E641"/>
    <sortCondition ref="F2:F641"/>
    <sortCondition ref="H2:H641"/>
  </sortState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A2090-AE53-4B78-A6C6-BC250EF2FCCF}">
  <sheetPr codeName="Planilha4"/>
  <dimension ref="A1:H81"/>
  <sheetViews>
    <sheetView showGridLines="0" workbookViewId="0">
      <selection activeCell="H1" sqref="H1"/>
    </sheetView>
  </sheetViews>
  <sheetFormatPr defaultColWidth="9.140625" defaultRowHeight="11.25" customHeight="1" x14ac:dyDescent="0.25"/>
  <cols>
    <col min="1" max="1" width="12.140625" style="8" bestFit="1" customWidth="1"/>
    <col min="2" max="2" width="15.85546875" style="8" bestFit="1" customWidth="1"/>
    <col min="3" max="3" width="4.7109375" style="8" bestFit="1" customWidth="1"/>
    <col min="4" max="4" width="6.42578125" style="8" bestFit="1" customWidth="1"/>
    <col min="5" max="5" width="8.42578125" style="8" bestFit="1" customWidth="1"/>
    <col min="6" max="6" width="9.140625" style="8"/>
    <col min="7" max="7" width="18.5703125" style="8" bestFit="1" customWidth="1"/>
    <col min="8" max="8" width="2" style="8" bestFit="1" customWidth="1"/>
    <col min="9" max="16384" width="9.140625" style="8"/>
  </cols>
  <sheetData>
    <row r="1" spans="1:8" s="7" customFormat="1" ht="11.25" customHeight="1" x14ac:dyDescent="0.25">
      <c r="A1" s="7" t="s">
        <v>58</v>
      </c>
      <c r="B1" s="7" t="s">
        <v>59</v>
      </c>
      <c r="C1" s="7" t="s">
        <v>60</v>
      </c>
      <c r="D1" s="7" t="s">
        <v>61</v>
      </c>
      <c r="E1" s="7" t="s">
        <v>62</v>
      </c>
      <c r="G1" s="7" t="s">
        <v>63</v>
      </c>
      <c r="H1" s="7">
        <f>COUNTA(A:A)</f>
        <v>81</v>
      </c>
    </row>
    <row r="2" spans="1:8" ht="11.25" customHeight="1" x14ac:dyDescent="0.25">
      <c r="A2" s="8" t="s">
        <v>323</v>
      </c>
      <c r="B2" s="8" t="s">
        <v>324</v>
      </c>
      <c r="C2" s="8" t="s">
        <v>325</v>
      </c>
      <c r="D2" s="8">
        <v>82</v>
      </c>
      <c r="E2" s="8" t="s">
        <v>326</v>
      </c>
    </row>
    <row r="3" spans="1:8" ht="11.25" customHeight="1" x14ac:dyDescent="0.25">
      <c r="A3" s="8" t="s">
        <v>323</v>
      </c>
      <c r="B3" s="8" t="s">
        <v>324</v>
      </c>
      <c r="C3" s="8" t="s">
        <v>325</v>
      </c>
      <c r="D3" s="8">
        <v>83</v>
      </c>
      <c r="E3" s="8" t="s">
        <v>326</v>
      </c>
    </row>
    <row r="4" spans="1:8" ht="11.25" customHeight="1" x14ac:dyDescent="0.25">
      <c r="A4" s="8" t="s">
        <v>323</v>
      </c>
      <c r="B4" s="8" t="s">
        <v>324</v>
      </c>
      <c r="C4" s="8" t="s">
        <v>325</v>
      </c>
      <c r="D4" s="8">
        <v>84</v>
      </c>
      <c r="E4" s="8" t="s">
        <v>326</v>
      </c>
    </row>
    <row r="5" spans="1:8" ht="11.25" customHeight="1" x14ac:dyDescent="0.25">
      <c r="A5" s="8" t="s">
        <v>323</v>
      </c>
      <c r="B5" s="8" t="s">
        <v>324</v>
      </c>
      <c r="C5" s="8" t="s">
        <v>325</v>
      </c>
      <c r="D5" s="8">
        <v>85</v>
      </c>
      <c r="E5" s="8" t="s">
        <v>326</v>
      </c>
    </row>
    <row r="6" spans="1:8" ht="11.25" customHeight="1" x14ac:dyDescent="0.25">
      <c r="A6" s="8" t="s">
        <v>323</v>
      </c>
      <c r="B6" s="8" t="s">
        <v>324</v>
      </c>
      <c r="C6" s="8" t="s">
        <v>325</v>
      </c>
      <c r="D6" s="8">
        <v>86</v>
      </c>
      <c r="E6" s="8" t="s">
        <v>326</v>
      </c>
    </row>
    <row r="7" spans="1:8" ht="11.25" customHeight="1" x14ac:dyDescent="0.25">
      <c r="A7" s="8" t="s">
        <v>323</v>
      </c>
      <c r="B7" s="8" t="s">
        <v>324</v>
      </c>
      <c r="C7" s="8" t="s">
        <v>325</v>
      </c>
      <c r="D7" s="8">
        <v>87</v>
      </c>
      <c r="E7" s="8" t="s">
        <v>326</v>
      </c>
    </row>
    <row r="8" spans="1:8" ht="11.25" customHeight="1" x14ac:dyDescent="0.25">
      <c r="A8" s="8" t="s">
        <v>323</v>
      </c>
      <c r="B8" s="8" t="s">
        <v>324</v>
      </c>
      <c r="C8" s="8" t="s">
        <v>325</v>
      </c>
      <c r="D8" s="8">
        <v>88</v>
      </c>
      <c r="E8" s="8" t="s">
        <v>326</v>
      </c>
    </row>
    <row r="9" spans="1:8" ht="11.25" customHeight="1" x14ac:dyDescent="0.25">
      <c r="A9" s="8" t="s">
        <v>323</v>
      </c>
      <c r="B9" s="8" t="s">
        <v>324</v>
      </c>
      <c r="C9" s="8" t="s">
        <v>325</v>
      </c>
      <c r="D9" s="8">
        <v>89</v>
      </c>
      <c r="E9" s="8" t="s">
        <v>326</v>
      </c>
    </row>
    <row r="10" spans="1:8" ht="11.25" customHeight="1" x14ac:dyDescent="0.25">
      <c r="A10" s="8" t="s">
        <v>323</v>
      </c>
      <c r="B10" s="8" t="s">
        <v>324</v>
      </c>
      <c r="C10" s="8" t="s">
        <v>325</v>
      </c>
      <c r="D10" s="8">
        <v>90</v>
      </c>
      <c r="E10" s="8" t="s">
        <v>326</v>
      </c>
    </row>
    <row r="11" spans="1:8" ht="11.25" customHeight="1" x14ac:dyDescent="0.25">
      <c r="A11" s="8" t="s">
        <v>323</v>
      </c>
      <c r="B11" s="8" t="s">
        <v>324</v>
      </c>
      <c r="C11" s="8" t="s">
        <v>325</v>
      </c>
      <c r="D11" s="8">
        <v>91</v>
      </c>
      <c r="E11" s="8" t="s">
        <v>326</v>
      </c>
    </row>
    <row r="12" spans="1:8" ht="11.25" customHeight="1" x14ac:dyDescent="0.25">
      <c r="A12" s="8" t="s">
        <v>323</v>
      </c>
      <c r="B12" s="8" t="s">
        <v>324</v>
      </c>
      <c r="C12" s="8" t="s">
        <v>325</v>
      </c>
      <c r="D12" s="8">
        <v>92</v>
      </c>
      <c r="E12" s="8" t="s">
        <v>326</v>
      </c>
    </row>
    <row r="13" spans="1:8" ht="11.25" customHeight="1" x14ac:dyDescent="0.25">
      <c r="A13" s="8" t="s">
        <v>323</v>
      </c>
      <c r="B13" s="8" t="s">
        <v>324</v>
      </c>
      <c r="C13" s="8" t="s">
        <v>325</v>
      </c>
      <c r="D13" s="8">
        <v>93</v>
      </c>
      <c r="E13" s="8" t="s">
        <v>326</v>
      </c>
    </row>
    <row r="14" spans="1:8" ht="11.25" customHeight="1" x14ac:dyDescent="0.25">
      <c r="A14" s="8" t="s">
        <v>323</v>
      </c>
      <c r="B14" s="8" t="s">
        <v>324</v>
      </c>
      <c r="C14" s="8" t="s">
        <v>325</v>
      </c>
      <c r="D14" s="8">
        <v>94</v>
      </c>
      <c r="E14" s="8" t="s">
        <v>326</v>
      </c>
    </row>
    <row r="15" spans="1:8" ht="11.25" customHeight="1" x14ac:dyDescent="0.25">
      <c r="A15" s="8" t="s">
        <v>323</v>
      </c>
      <c r="B15" s="8" t="s">
        <v>324</v>
      </c>
      <c r="C15" s="8" t="s">
        <v>325</v>
      </c>
      <c r="D15" s="8">
        <v>95</v>
      </c>
      <c r="E15" s="8" t="s">
        <v>326</v>
      </c>
    </row>
    <row r="16" spans="1:8" ht="11.25" customHeight="1" x14ac:dyDescent="0.25">
      <c r="A16" s="8" t="s">
        <v>323</v>
      </c>
      <c r="B16" s="8" t="s">
        <v>324</v>
      </c>
      <c r="C16" s="8" t="s">
        <v>325</v>
      </c>
      <c r="D16" s="8">
        <v>96</v>
      </c>
      <c r="E16" s="8" t="s">
        <v>326</v>
      </c>
    </row>
    <row r="17" spans="1:5" ht="11.25" customHeight="1" x14ac:dyDescent="0.25">
      <c r="A17" s="8" t="s">
        <v>323</v>
      </c>
      <c r="B17" s="8" t="s">
        <v>324</v>
      </c>
      <c r="C17" s="8" t="s">
        <v>325</v>
      </c>
      <c r="D17" s="8">
        <v>97</v>
      </c>
      <c r="E17" s="8" t="s">
        <v>326</v>
      </c>
    </row>
    <row r="18" spans="1:5" ht="11.25" customHeight="1" x14ac:dyDescent="0.25">
      <c r="A18" s="8" t="s">
        <v>323</v>
      </c>
      <c r="B18" s="8" t="s">
        <v>324</v>
      </c>
      <c r="C18" s="8" t="s">
        <v>325</v>
      </c>
      <c r="D18" s="8">
        <v>98</v>
      </c>
      <c r="E18" s="8" t="s">
        <v>326</v>
      </c>
    </row>
    <row r="19" spans="1:5" ht="11.25" customHeight="1" x14ac:dyDescent="0.25">
      <c r="A19" s="8" t="s">
        <v>323</v>
      </c>
      <c r="B19" s="8" t="s">
        <v>324</v>
      </c>
      <c r="C19" s="8" t="s">
        <v>325</v>
      </c>
      <c r="D19" s="8">
        <v>99</v>
      </c>
      <c r="E19" s="8" t="s">
        <v>326</v>
      </c>
    </row>
    <row r="20" spans="1:5" ht="11.25" customHeight="1" x14ac:dyDescent="0.25">
      <c r="A20" s="8" t="s">
        <v>323</v>
      </c>
      <c r="B20" s="8" t="s">
        <v>324</v>
      </c>
      <c r="C20" s="8" t="s">
        <v>325</v>
      </c>
      <c r="D20" s="8">
        <v>100</v>
      </c>
      <c r="E20" s="8" t="s">
        <v>326</v>
      </c>
    </row>
    <row r="21" spans="1:5" ht="11.25" customHeight="1" x14ac:dyDescent="0.25">
      <c r="A21" s="8" t="s">
        <v>323</v>
      </c>
      <c r="B21" s="8" t="s">
        <v>324</v>
      </c>
      <c r="C21" s="8" t="s">
        <v>325</v>
      </c>
      <c r="D21" s="8">
        <v>101</v>
      </c>
      <c r="E21" s="8" t="s">
        <v>326</v>
      </c>
    </row>
    <row r="22" spans="1:5" ht="11.25" customHeight="1" x14ac:dyDescent="0.25">
      <c r="A22" s="8" t="s">
        <v>323</v>
      </c>
      <c r="B22" s="8" t="s">
        <v>324</v>
      </c>
      <c r="C22" s="8" t="s">
        <v>325</v>
      </c>
      <c r="D22" s="8">
        <v>182</v>
      </c>
      <c r="E22" s="8" t="s">
        <v>326</v>
      </c>
    </row>
    <row r="23" spans="1:5" ht="11.25" customHeight="1" x14ac:dyDescent="0.25">
      <c r="A23" s="8" t="s">
        <v>323</v>
      </c>
      <c r="B23" s="8" t="s">
        <v>324</v>
      </c>
      <c r="C23" s="8" t="s">
        <v>325</v>
      </c>
      <c r="D23" s="8">
        <v>183</v>
      </c>
      <c r="E23" s="8" t="s">
        <v>326</v>
      </c>
    </row>
    <row r="24" spans="1:5" ht="11.25" customHeight="1" x14ac:dyDescent="0.25">
      <c r="A24" s="8" t="s">
        <v>323</v>
      </c>
      <c r="B24" s="8" t="s">
        <v>324</v>
      </c>
      <c r="C24" s="8" t="s">
        <v>325</v>
      </c>
      <c r="D24" s="8">
        <v>184</v>
      </c>
      <c r="E24" s="8" t="s">
        <v>326</v>
      </c>
    </row>
    <row r="25" spans="1:5" ht="11.25" customHeight="1" x14ac:dyDescent="0.25">
      <c r="A25" s="8" t="s">
        <v>323</v>
      </c>
      <c r="B25" s="8" t="s">
        <v>324</v>
      </c>
      <c r="C25" s="8" t="s">
        <v>325</v>
      </c>
      <c r="D25" s="8">
        <v>185</v>
      </c>
      <c r="E25" s="8" t="s">
        <v>326</v>
      </c>
    </row>
    <row r="26" spans="1:5" ht="11.25" customHeight="1" x14ac:dyDescent="0.25">
      <c r="A26" s="8" t="s">
        <v>323</v>
      </c>
      <c r="B26" s="8" t="s">
        <v>324</v>
      </c>
      <c r="C26" s="8" t="s">
        <v>325</v>
      </c>
      <c r="D26" s="8">
        <v>186</v>
      </c>
      <c r="E26" s="8" t="s">
        <v>326</v>
      </c>
    </row>
    <row r="27" spans="1:5" ht="11.25" customHeight="1" x14ac:dyDescent="0.25">
      <c r="A27" s="8" t="s">
        <v>323</v>
      </c>
      <c r="B27" s="8" t="s">
        <v>324</v>
      </c>
      <c r="C27" s="8" t="s">
        <v>325</v>
      </c>
      <c r="D27" s="8">
        <v>187</v>
      </c>
      <c r="E27" s="8" t="s">
        <v>326</v>
      </c>
    </row>
    <row r="28" spans="1:5" ht="11.25" customHeight="1" x14ac:dyDescent="0.25">
      <c r="A28" s="8" t="s">
        <v>323</v>
      </c>
      <c r="B28" s="8" t="s">
        <v>324</v>
      </c>
      <c r="C28" s="8" t="s">
        <v>325</v>
      </c>
      <c r="D28" s="8">
        <v>188</v>
      </c>
      <c r="E28" s="8" t="s">
        <v>326</v>
      </c>
    </row>
    <row r="29" spans="1:5" ht="11.25" customHeight="1" x14ac:dyDescent="0.25">
      <c r="A29" s="8" t="s">
        <v>323</v>
      </c>
      <c r="B29" s="8" t="s">
        <v>324</v>
      </c>
      <c r="C29" s="8" t="s">
        <v>325</v>
      </c>
      <c r="D29" s="8">
        <v>189</v>
      </c>
      <c r="E29" s="8" t="s">
        <v>326</v>
      </c>
    </row>
    <row r="30" spans="1:5" ht="11.25" customHeight="1" x14ac:dyDescent="0.25">
      <c r="A30" s="8" t="s">
        <v>323</v>
      </c>
      <c r="B30" s="8" t="s">
        <v>324</v>
      </c>
      <c r="C30" s="8" t="s">
        <v>325</v>
      </c>
      <c r="D30" s="8">
        <v>190</v>
      </c>
      <c r="E30" s="8" t="s">
        <v>326</v>
      </c>
    </row>
    <row r="31" spans="1:5" ht="11.25" customHeight="1" x14ac:dyDescent="0.25">
      <c r="A31" s="8" t="s">
        <v>323</v>
      </c>
      <c r="B31" s="8" t="s">
        <v>324</v>
      </c>
      <c r="C31" s="8" t="s">
        <v>325</v>
      </c>
      <c r="D31" s="8">
        <v>191</v>
      </c>
      <c r="E31" s="8" t="s">
        <v>326</v>
      </c>
    </row>
    <row r="32" spans="1:5" ht="11.25" customHeight="1" x14ac:dyDescent="0.25">
      <c r="A32" s="8" t="s">
        <v>323</v>
      </c>
      <c r="B32" s="8" t="s">
        <v>324</v>
      </c>
      <c r="C32" s="8" t="s">
        <v>325</v>
      </c>
      <c r="D32" s="8">
        <v>192</v>
      </c>
      <c r="E32" s="8" t="s">
        <v>326</v>
      </c>
    </row>
    <row r="33" spans="1:5" ht="11.25" customHeight="1" x14ac:dyDescent="0.25">
      <c r="A33" s="8" t="s">
        <v>323</v>
      </c>
      <c r="B33" s="8" t="s">
        <v>324</v>
      </c>
      <c r="C33" s="8" t="s">
        <v>325</v>
      </c>
      <c r="D33" s="8">
        <v>193</v>
      </c>
      <c r="E33" s="8" t="s">
        <v>326</v>
      </c>
    </row>
    <row r="34" spans="1:5" ht="11.25" customHeight="1" x14ac:dyDescent="0.25">
      <c r="A34" s="8" t="s">
        <v>323</v>
      </c>
      <c r="B34" s="8" t="s">
        <v>324</v>
      </c>
      <c r="C34" s="8" t="s">
        <v>325</v>
      </c>
      <c r="D34" s="8">
        <v>194</v>
      </c>
      <c r="E34" s="8" t="s">
        <v>326</v>
      </c>
    </row>
    <row r="35" spans="1:5" ht="11.25" customHeight="1" x14ac:dyDescent="0.25">
      <c r="A35" s="8" t="s">
        <v>323</v>
      </c>
      <c r="B35" s="8" t="s">
        <v>324</v>
      </c>
      <c r="C35" s="8" t="s">
        <v>325</v>
      </c>
      <c r="D35" s="8">
        <v>195</v>
      </c>
      <c r="E35" s="8" t="s">
        <v>326</v>
      </c>
    </row>
    <row r="36" spans="1:5" ht="11.25" customHeight="1" x14ac:dyDescent="0.25">
      <c r="A36" s="8" t="s">
        <v>323</v>
      </c>
      <c r="B36" s="8" t="s">
        <v>324</v>
      </c>
      <c r="C36" s="8" t="s">
        <v>325</v>
      </c>
      <c r="D36" s="8">
        <v>196</v>
      </c>
      <c r="E36" s="8" t="s">
        <v>326</v>
      </c>
    </row>
    <row r="37" spans="1:5" ht="11.25" customHeight="1" x14ac:dyDescent="0.25">
      <c r="A37" s="8" t="s">
        <v>323</v>
      </c>
      <c r="B37" s="8" t="s">
        <v>324</v>
      </c>
      <c r="C37" s="8" t="s">
        <v>325</v>
      </c>
      <c r="D37" s="8">
        <v>197</v>
      </c>
      <c r="E37" s="8" t="s">
        <v>326</v>
      </c>
    </row>
    <row r="38" spans="1:5" ht="11.25" customHeight="1" x14ac:dyDescent="0.25">
      <c r="A38" s="8" t="s">
        <v>323</v>
      </c>
      <c r="B38" s="8" t="s">
        <v>324</v>
      </c>
      <c r="C38" s="8" t="s">
        <v>325</v>
      </c>
      <c r="D38" s="8">
        <v>198</v>
      </c>
      <c r="E38" s="8" t="s">
        <v>326</v>
      </c>
    </row>
    <row r="39" spans="1:5" ht="11.25" customHeight="1" x14ac:dyDescent="0.25">
      <c r="A39" s="8" t="s">
        <v>323</v>
      </c>
      <c r="B39" s="8" t="s">
        <v>324</v>
      </c>
      <c r="C39" s="8" t="s">
        <v>325</v>
      </c>
      <c r="D39" s="8">
        <v>199</v>
      </c>
      <c r="E39" s="8" t="s">
        <v>326</v>
      </c>
    </row>
    <row r="40" spans="1:5" ht="11.25" customHeight="1" x14ac:dyDescent="0.25">
      <c r="A40" s="8" t="s">
        <v>323</v>
      </c>
      <c r="B40" s="8" t="s">
        <v>324</v>
      </c>
      <c r="C40" s="8" t="s">
        <v>325</v>
      </c>
      <c r="D40" s="8">
        <v>200</v>
      </c>
      <c r="E40" s="8" t="s">
        <v>326</v>
      </c>
    </row>
    <row r="41" spans="1:5" ht="11.25" customHeight="1" x14ac:dyDescent="0.25">
      <c r="A41" s="8" t="s">
        <v>323</v>
      </c>
      <c r="B41" s="8" t="s">
        <v>324</v>
      </c>
      <c r="C41" s="8" t="s">
        <v>325</v>
      </c>
      <c r="D41" s="8">
        <v>201</v>
      </c>
      <c r="E41" s="8" t="s">
        <v>326</v>
      </c>
    </row>
    <row r="42" spans="1:5" ht="11.25" customHeight="1" x14ac:dyDescent="0.25">
      <c r="A42" s="8" t="s">
        <v>323</v>
      </c>
      <c r="B42" s="8" t="s">
        <v>324</v>
      </c>
      <c r="C42" s="8" t="s">
        <v>325</v>
      </c>
      <c r="D42" s="8">
        <v>202</v>
      </c>
      <c r="E42" s="8" t="s">
        <v>326</v>
      </c>
    </row>
    <row r="43" spans="1:5" ht="11.25" customHeight="1" x14ac:dyDescent="0.25">
      <c r="A43" s="8" t="s">
        <v>323</v>
      </c>
      <c r="B43" s="8" t="s">
        <v>324</v>
      </c>
      <c r="C43" s="8" t="s">
        <v>325</v>
      </c>
      <c r="D43" s="8">
        <v>203</v>
      </c>
      <c r="E43" s="8" t="s">
        <v>326</v>
      </c>
    </row>
    <row r="44" spans="1:5" ht="11.25" customHeight="1" x14ac:dyDescent="0.25">
      <c r="A44" s="8" t="s">
        <v>323</v>
      </c>
      <c r="B44" s="8" t="s">
        <v>324</v>
      </c>
      <c r="C44" s="8" t="s">
        <v>325</v>
      </c>
      <c r="D44" s="8">
        <v>204</v>
      </c>
      <c r="E44" s="8" t="s">
        <v>326</v>
      </c>
    </row>
    <row r="45" spans="1:5" ht="11.25" customHeight="1" x14ac:dyDescent="0.25">
      <c r="A45" s="8" t="s">
        <v>323</v>
      </c>
      <c r="B45" s="8" t="s">
        <v>324</v>
      </c>
      <c r="C45" s="8" t="s">
        <v>325</v>
      </c>
      <c r="D45" s="8">
        <v>205</v>
      </c>
      <c r="E45" s="8" t="s">
        <v>326</v>
      </c>
    </row>
    <row r="46" spans="1:5" ht="11.25" customHeight="1" x14ac:dyDescent="0.25">
      <c r="A46" s="8" t="s">
        <v>323</v>
      </c>
      <c r="B46" s="8" t="s">
        <v>324</v>
      </c>
      <c r="C46" s="8" t="s">
        <v>325</v>
      </c>
      <c r="D46" s="8">
        <v>250</v>
      </c>
      <c r="E46" s="8" t="s">
        <v>326</v>
      </c>
    </row>
    <row r="47" spans="1:5" ht="11.25" customHeight="1" x14ac:dyDescent="0.25">
      <c r="A47" s="8" t="s">
        <v>323</v>
      </c>
      <c r="B47" s="8" t="s">
        <v>324</v>
      </c>
      <c r="C47" s="8" t="s">
        <v>325</v>
      </c>
      <c r="D47" s="8">
        <v>251</v>
      </c>
      <c r="E47" s="8" t="s">
        <v>326</v>
      </c>
    </row>
    <row r="48" spans="1:5" ht="11.25" customHeight="1" x14ac:dyDescent="0.25">
      <c r="A48" s="8" t="s">
        <v>323</v>
      </c>
      <c r="B48" s="8" t="s">
        <v>324</v>
      </c>
      <c r="C48" s="8" t="s">
        <v>325</v>
      </c>
      <c r="D48" s="8">
        <v>252</v>
      </c>
      <c r="E48" s="8" t="s">
        <v>326</v>
      </c>
    </row>
    <row r="49" spans="1:5" ht="11.25" customHeight="1" x14ac:dyDescent="0.25">
      <c r="A49" s="8" t="s">
        <v>323</v>
      </c>
      <c r="B49" s="8" t="s">
        <v>324</v>
      </c>
      <c r="C49" s="8" t="s">
        <v>325</v>
      </c>
      <c r="D49" s="8">
        <v>253</v>
      </c>
      <c r="E49" s="8" t="s">
        <v>326</v>
      </c>
    </row>
    <row r="50" spans="1:5" ht="11.25" customHeight="1" x14ac:dyDescent="0.25">
      <c r="A50" s="8" t="s">
        <v>323</v>
      </c>
      <c r="B50" s="8" t="s">
        <v>324</v>
      </c>
      <c r="C50" s="8" t="s">
        <v>325</v>
      </c>
      <c r="D50" s="8">
        <v>254</v>
      </c>
      <c r="E50" s="8" t="s">
        <v>326</v>
      </c>
    </row>
    <row r="51" spans="1:5" ht="11.25" customHeight="1" x14ac:dyDescent="0.25">
      <c r="A51" s="8" t="s">
        <v>323</v>
      </c>
      <c r="B51" s="8" t="s">
        <v>324</v>
      </c>
      <c r="C51" s="8" t="s">
        <v>325</v>
      </c>
      <c r="D51" s="8">
        <v>255</v>
      </c>
      <c r="E51" s="8" t="s">
        <v>326</v>
      </c>
    </row>
    <row r="52" spans="1:5" ht="11.25" customHeight="1" x14ac:dyDescent="0.25">
      <c r="A52" s="8" t="s">
        <v>323</v>
      </c>
      <c r="B52" s="8" t="s">
        <v>324</v>
      </c>
      <c r="C52" s="8" t="s">
        <v>325</v>
      </c>
      <c r="D52" s="8">
        <v>256</v>
      </c>
      <c r="E52" s="8" t="s">
        <v>326</v>
      </c>
    </row>
    <row r="53" spans="1:5" ht="11.25" customHeight="1" x14ac:dyDescent="0.25">
      <c r="A53" s="8" t="s">
        <v>323</v>
      </c>
      <c r="B53" s="8" t="s">
        <v>324</v>
      </c>
      <c r="C53" s="8" t="s">
        <v>325</v>
      </c>
      <c r="D53" s="8">
        <v>257</v>
      </c>
      <c r="E53" s="8" t="s">
        <v>326</v>
      </c>
    </row>
    <row r="54" spans="1:5" ht="11.25" customHeight="1" x14ac:dyDescent="0.25">
      <c r="A54" s="8" t="s">
        <v>323</v>
      </c>
      <c r="B54" s="8" t="s">
        <v>324</v>
      </c>
      <c r="C54" s="8" t="s">
        <v>325</v>
      </c>
      <c r="D54" s="8">
        <v>258</v>
      </c>
      <c r="E54" s="8" t="s">
        <v>326</v>
      </c>
    </row>
    <row r="55" spans="1:5" ht="11.25" customHeight="1" x14ac:dyDescent="0.25">
      <c r="A55" s="8" t="s">
        <v>323</v>
      </c>
      <c r="B55" s="8" t="s">
        <v>324</v>
      </c>
      <c r="C55" s="8" t="s">
        <v>325</v>
      </c>
      <c r="D55" s="8">
        <v>259</v>
      </c>
      <c r="E55" s="8" t="s">
        <v>326</v>
      </c>
    </row>
    <row r="56" spans="1:5" ht="11.25" customHeight="1" x14ac:dyDescent="0.25">
      <c r="A56" s="8" t="s">
        <v>323</v>
      </c>
      <c r="B56" s="8" t="s">
        <v>324</v>
      </c>
      <c r="C56" s="8" t="s">
        <v>325</v>
      </c>
      <c r="D56" s="8">
        <v>260</v>
      </c>
      <c r="E56" s="8" t="s">
        <v>326</v>
      </c>
    </row>
    <row r="57" spans="1:5" ht="11.25" customHeight="1" x14ac:dyDescent="0.25">
      <c r="A57" s="8" t="s">
        <v>323</v>
      </c>
      <c r="B57" s="8" t="s">
        <v>324</v>
      </c>
      <c r="C57" s="8" t="s">
        <v>325</v>
      </c>
      <c r="D57" s="8">
        <v>261</v>
      </c>
      <c r="E57" s="8" t="s">
        <v>326</v>
      </c>
    </row>
    <row r="58" spans="1:5" ht="11.25" customHeight="1" x14ac:dyDescent="0.25">
      <c r="A58" s="8" t="s">
        <v>323</v>
      </c>
      <c r="B58" s="8" t="s">
        <v>324</v>
      </c>
      <c r="C58" s="8" t="s">
        <v>325</v>
      </c>
      <c r="D58" s="8">
        <v>262</v>
      </c>
      <c r="E58" s="8" t="s">
        <v>326</v>
      </c>
    </row>
    <row r="59" spans="1:5" ht="11.25" customHeight="1" x14ac:dyDescent="0.25">
      <c r="A59" s="8" t="s">
        <v>323</v>
      </c>
      <c r="B59" s="8" t="s">
        <v>324</v>
      </c>
      <c r="C59" s="8" t="s">
        <v>325</v>
      </c>
      <c r="D59" s="8">
        <v>263</v>
      </c>
      <c r="E59" s="8" t="s">
        <v>326</v>
      </c>
    </row>
    <row r="60" spans="1:5" ht="11.25" customHeight="1" x14ac:dyDescent="0.25">
      <c r="A60" s="8" t="s">
        <v>323</v>
      </c>
      <c r="B60" s="8" t="s">
        <v>324</v>
      </c>
      <c r="C60" s="8" t="s">
        <v>325</v>
      </c>
      <c r="D60" s="8">
        <v>264</v>
      </c>
      <c r="E60" s="8" t="s">
        <v>326</v>
      </c>
    </row>
    <row r="61" spans="1:5" ht="11.25" customHeight="1" x14ac:dyDescent="0.25">
      <c r="A61" s="8" t="s">
        <v>323</v>
      </c>
      <c r="B61" s="8" t="s">
        <v>324</v>
      </c>
      <c r="C61" s="8" t="s">
        <v>325</v>
      </c>
      <c r="D61" s="8">
        <v>265</v>
      </c>
      <c r="E61" s="8" t="s">
        <v>326</v>
      </c>
    </row>
    <row r="62" spans="1:5" ht="11.25" customHeight="1" x14ac:dyDescent="0.25">
      <c r="A62" s="8" t="s">
        <v>323</v>
      </c>
      <c r="B62" s="8" t="s">
        <v>324</v>
      </c>
      <c r="C62" s="8" t="s">
        <v>325</v>
      </c>
      <c r="D62" s="8">
        <v>266</v>
      </c>
      <c r="E62" s="8" t="s">
        <v>326</v>
      </c>
    </row>
    <row r="63" spans="1:5" ht="11.25" customHeight="1" x14ac:dyDescent="0.25">
      <c r="A63" s="8" t="s">
        <v>323</v>
      </c>
      <c r="B63" s="8" t="s">
        <v>324</v>
      </c>
      <c r="C63" s="8" t="s">
        <v>325</v>
      </c>
      <c r="D63" s="8">
        <v>267</v>
      </c>
      <c r="E63" s="8" t="s">
        <v>326</v>
      </c>
    </row>
    <row r="64" spans="1:5" ht="11.25" customHeight="1" x14ac:dyDescent="0.25">
      <c r="A64" s="8" t="s">
        <v>323</v>
      </c>
      <c r="B64" s="8" t="s">
        <v>324</v>
      </c>
      <c r="C64" s="8" t="s">
        <v>325</v>
      </c>
      <c r="D64" s="8">
        <v>268</v>
      </c>
      <c r="E64" s="8" t="s">
        <v>326</v>
      </c>
    </row>
    <row r="65" spans="1:5" ht="11.25" customHeight="1" x14ac:dyDescent="0.25">
      <c r="A65" s="8" t="s">
        <v>323</v>
      </c>
      <c r="B65" s="8" t="s">
        <v>324</v>
      </c>
      <c r="C65" s="8" t="s">
        <v>325</v>
      </c>
      <c r="D65" s="8">
        <v>269</v>
      </c>
      <c r="E65" s="8" t="s">
        <v>326</v>
      </c>
    </row>
    <row r="66" spans="1:5" ht="11.25" customHeight="1" x14ac:dyDescent="0.25">
      <c r="A66" s="8" t="s">
        <v>323</v>
      </c>
      <c r="B66" s="8" t="s">
        <v>324</v>
      </c>
      <c r="C66" s="8" t="s">
        <v>325</v>
      </c>
      <c r="D66" s="8">
        <v>302</v>
      </c>
      <c r="E66" s="8" t="s">
        <v>326</v>
      </c>
    </row>
    <row r="67" spans="1:5" ht="11.25" customHeight="1" x14ac:dyDescent="0.25">
      <c r="A67" s="8" t="s">
        <v>323</v>
      </c>
      <c r="B67" s="8" t="s">
        <v>324</v>
      </c>
      <c r="C67" s="8" t="s">
        <v>325</v>
      </c>
      <c r="D67" s="8">
        <v>303</v>
      </c>
      <c r="E67" s="8" t="s">
        <v>326</v>
      </c>
    </row>
    <row r="68" spans="1:5" ht="11.25" customHeight="1" x14ac:dyDescent="0.25">
      <c r="A68" s="8" t="s">
        <v>323</v>
      </c>
      <c r="B68" s="8" t="s">
        <v>324</v>
      </c>
      <c r="C68" s="8" t="s">
        <v>325</v>
      </c>
      <c r="D68" s="8">
        <v>304</v>
      </c>
      <c r="E68" s="8" t="s">
        <v>326</v>
      </c>
    </row>
    <row r="69" spans="1:5" ht="11.25" customHeight="1" x14ac:dyDescent="0.25">
      <c r="A69" s="8" t="s">
        <v>323</v>
      </c>
      <c r="B69" s="8" t="s">
        <v>324</v>
      </c>
      <c r="C69" s="8" t="s">
        <v>325</v>
      </c>
      <c r="D69" s="8">
        <v>305</v>
      </c>
      <c r="E69" s="8" t="s">
        <v>326</v>
      </c>
    </row>
    <row r="70" spans="1:5" ht="11.25" customHeight="1" x14ac:dyDescent="0.25">
      <c r="A70" s="8" t="s">
        <v>323</v>
      </c>
      <c r="B70" s="8" t="s">
        <v>324</v>
      </c>
      <c r="C70" s="8" t="s">
        <v>325</v>
      </c>
      <c r="D70" s="8">
        <v>306</v>
      </c>
      <c r="E70" s="8" t="s">
        <v>326</v>
      </c>
    </row>
    <row r="71" spans="1:5" ht="11.25" customHeight="1" x14ac:dyDescent="0.25">
      <c r="A71" s="8" t="s">
        <v>323</v>
      </c>
      <c r="B71" s="8" t="s">
        <v>324</v>
      </c>
      <c r="C71" s="8" t="s">
        <v>325</v>
      </c>
      <c r="D71" s="8">
        <v>307</v>
      </c>
      <c r="E71" s="8" t="s">
        <v>326</v>
      </c>
    </row>
    <row r="72" spans="1:5" ht="11.25" customHeight="1" x14ac:dyDescent="0.25">
      <c r="A72" s="8" t="s">
        <v>323</v>
      </c>
      <c r="B72" s="8" t="s">
        <v>324</v>
      </c>
      <c r="C72" s="8" t="s">
        <v>325</v>
      </c>
      <c r="D72" s="8">
        <v>308</v>
      </c>
      <c r="E72" s="8" t="s">
        <v>326</v>
      </c>
    </row>
    <row r="73" spans="1:5" ht="11.25" customHeight="1" x14ac:dyDescent="0.25">
      <c r="A73" s="8" t="s">
        <v>323</v>
      </c>
      <c r="B73" s="8" t="s">
        <v>324</v>
      </c>
      <c r="C73" s="8" t="s">
        <v>325</v>
      </c>
      <c r="D73" s="8">
        <v>309</v>
      </c>
      <c r="E73" s="8" t="s">
        <v>326</v>
      </c>
    </row>
    <row r="74" spans="1:5" ht="11.25" customHeight="1" x14ac:dyDescent="0.25">
      <c r="A74" s="8" t="s">
        <v>323</v>
      </c>
      <c r="B74" s="8" t="s">
        <v>324</v>
      </c>
      <c r="C74" s="8" t="s">
        <v>325</v>
      </c>
      <c r="D74" s="8">
        <v>310</v>
      </c>
      <c r="E74" s="8" t="s">
        <v>326</v>
      </c>
    </row>
    <row r="75" spans="1:5" ht="11.25" customHeight="1" x14ac:dyDescent="0.25">
      <c r="A75" s="8" t="s">
        <v>323</v>
      </c>
      <c r="B75" s="8" t="s">
        <v>324</v>
      </c>
      <c r="C75" s="8" t="s">
        <v>325</v>
      </c>
      <c r="D75" s="8">
        <v>311</v>
      </c>
      <c r="E75" s="8" t="s">
        <v>326</v>
      </c>
    </row>
    <row r="76" spans="1:5" ht="11.25" customHeight="1" x14ac:dyDescent="0.25">
      <c r="A76" s="8" t="s">
        <v>323</v>
      </c>
      <c r="B76" s="8" t="s">
        <v>324</v>
      </c>
      <c r="C76" s="8" t="s">
        <v>325</v>
      </c>
      <c r="D76" s="8">
        <v>312</v>
      </c>
      <c r="E76" s="8" t="s">
        <v>326</v>
      </c>
    </row>
    <row r="77" spans="1:5" ht="11.25" customHeight="1" x14ac:dyDescent="0.25">
      <c r="A77" s="8" t="s">
        <v>323</v>
      </c>
      <c r="B77" s="8" t="s">
        <v>324</v>
      </c>
      <c r="C77" s="8" t="s">
        <v>325</v>
      </c>
      <c r="D77" s="8">
        <v>313</v>
      </c>
      <c r="E77" s="8" t="s">
        <v>326</v>
      </c>
    </row>
    <row r="78" spans="1:5" ht="11.25" customHeight="1" x14ac:dyDescent="0.25">
      <c r="A78" s="8" t="s">
        <v>323</v>
      </c>
      <c r="C78" s="8" t="s">
        <v>548</v>
      </c>
      <c r="D78" s="8">
        <v>40</v>
      </c>
      <c r="E78" s="8" t="s">
        <v>9</v>
      </c>
    </row>
    <row r="79" spans="1:5" ht="11.25" customHeight="1" x14ac:dyDescent="0.25">
      <c r="A79" s="8" t="s">
        <v>323</v>
      </c>
      <c r="C79" s="8" t="s">
        <v>548</v>
      </c>
      <c r="D79" s="8">
        <v>40</v>
      </c>
      <c r="E79" s="8" t="s">
        <v>9</v>
      </c>
    </row>
    <row r="80" spans="1:5" ht="11.25" customHeight="1" x14ac:dyDescent="0.25">
      <c r="A80" s="8" t="s">
        <v>323</v>
      </c>
      <c r="C80" s="8" t="s">
        <v>548</v>
      </c>
      <c r="D80" s="8">
        <v>40</v>
      </c>
      <c r="E80" s="8" t="s">
        <v>9</v>
      </c>
    </row>
    <row r="81" spans="1:5" ht="11.25" customHeight="1" x14ac:dyDescent="0.25">
      <c r="A81" s="8" t="s">
        <v>323</v>
      </c>
      <c r="C81" s="8" t="s">
        <v>548</v>
      </c>
      <c r="D81" s="8">
        <v>40</v>
      </c>
      <c r="E81" s="8" t="s">
        <v>9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AFC0C-228C-42DF-A201-620C5C4396A3}">
  <dimension ref="A1:AX86"/>
  <sheetViews>
    <sheetView showGridLines="0" workbookViewId="0"/>
  </sheetViews>
  <sheetFormatPr defaultRowHeight="11.25" x14ac:dyDescent="0.25"/>
  <cols>
    <col min="1" max="1" width="4.7109375" style="8" bestFit="1" customWidth="1"/>
    <col min="2" max="2" width="8.85546875" style="8" bestFit="1" customWidth="1"/>
    <col min="3" max="3" width="8.7109375" style="8" bestFit="1" customWidth="1"/>
    <col min="4" max="4" width="27.140625" style="8" bestFit="1" customWidth="1"/>
    <col min="5" max="5" width="13.5703125" style="8" bestFit="1" customWidth="1"/>
    <col min="6" max="6" width="25.140625" style="8" bestFit="1" customWidth="1"/>
    <col min="7" max="9" width="10.28515625" style="8" bestFit="1" customWidth="1"/>
    <col min="10" max="10" width="6.85546875" style="8" bestFit="1" customWidth="1"/>
    <col min="11" max="11" width="4.5703125" style="8" bestFit="1" customWidth="1"/>
    <col min="12" max="12" width="4.42578125" style="8" bestFit="1" customWidth="1"/>
    <col min="13" max="13" width="6.7109375" style="8" bestFit="1" customWidth="1"/>
    <col min="14" max="14" width="6.28515625" style="8" bestFit="1" customWidth="1"/>
    <col min="15" max="15" width="11.140625" style="8" bestFit="1" customWidth="1"/>
    <col min="16" max="16" width="10.42578125" style="8" bestFit="1" customWidth="1"/>
    <col min="17" max="16384" width="9.140625" style="8"/>
  </cols>
  <sheetData>
    <row r="1" spans="1:50" ht="11.25" customHeight="1" x14ac:dyDescent="0.25">
      <c r="A1" s="69" t="s">
        <v>602</v>
      </c>
      <c r="B1" s="69" t="s">
        <v>593</v>
      </c>
      <c r="C1" s="69" t="s">
        <v>1</v>
      </c>
      <c r="D1" s="69" t="s">
        <v>2</v>
      </c>
      <c r="E1" s="69" t="s">
        <v>3</v>
      </c>
      <c r="F1" s="69" t="s">
        <v>4</v>
      </c>
      <c r="G1" s="69" t="s">
        <v>5</v>
      </c>
      <c r="H1" s="69" t="s">
        <v>6</v>
      </c>
      <c r="I1" s="69" t="s">
        <v>7</v>
      </c>
      <c r="J1" s="69" t="s">
        <v>594</v>
      </c>
      <c r="K1" s="69" t="s">
        <v>595</v>
      </c>
      <c r="L1" s="69" t="s">
        <v>596</v>
      </c>
      <c r="M1" s="69" t="s">
        <v>597</v>
      </c>
      <c r="N1" s="69" t="s">
        <v>598</v>
      </c>
      <c r="O1" s="69" t="s">
        <v>480</v>
      </c>
      <c r="P1" s="69" t="s">
        <v>466</v>
      </c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</row>
    <row r="2" spans="1:50" ht="11.25" customHeight="1" x14ac:dyDescent="0.25">
      <c r="A2" s="70">
        <v>1</v>
      </c>
      <c r="B2" s="70" t="s">
        <v>460</v>
      </c>
      <c r="C2" s="70" t="s">
        <v>35</v>
      </c>
      <c r="D2" s="70" t="s">
        <v>36</v>
      </c>
      <c r="E2" s="70" t="s">
        <v>25</v>
      </c>
      <c r="F2" s="70" t="s">
        <v>25</v>
      </c>
      <c r="G2" s="70" t="s">
        <v>25</v>
      </c>
      <c r="H2" s="70" t="s">
        <v>25</v>
      </c>
      <c r="I2" s="70" t="s">
        <v>38</v>
      </c>
      <c r="J2" s="70" t="s">
        <v>599</v>
      </c>
      <c r="K2" s="70" t="s">
        <v>600</v>
      </c>
      <c r="L2" s="70" t="s">
        <v>79</v>
      </c>
      <c r="M2" s="70">
        <v>2021</v>
      </c>
      <c r="N2" s="70">
        <v>0</v>
      </c>
      <c r="O2" s="70">
        <v>22.9</v>
      </c>
      <c r="P2" s="70">
        <v>0</v>
      </c>
    </row>
    <row r="3" spans="1:50" ht="11.25" customHeight="1" x14ac:dyDescent="0.25">
      <c r="A3" s="70">
        <v>2</v>
      </c>
      <c r="B3" s="70" t="s">
        <v>460</v>
      </c>
      <c r="C3" s="70" t="s">
        <v>22</v>
      </c>
      <c r="D3" s="70" t="s">
        <v>23</v>
      </c>
      <c r="E3" s="70" t="s">
        <v>24</v>
      </c>
      <c r="F3" s="70" t="s">
        <v>24</v>
      </c>
      <c r="G3" s="70" t="s">
        <v>25</v>
      </c>
      <c r="H3" s="70" t="s">
        <v>25</v>
      </c>
      <c r="I3" s="70" t="s">
        <v>25</v>
      </c>
      <c r="J3" s="70" t="s">
        <v>601</v>
      </c>
      <c r="K3" s="70" t="s">
        <v>600</v>
      </c>
      <c r="L3" s="70" t="s">
        <v>74</v>
      </c>
      <c r="M3" s="70">
        <v>2021</v>
      </c>
      <c r="N3" s="70">
        <v>0</v>
      </c>
      <c r="O3" s="70">
        <v>338.51</v>
      </c>
      <c r="P3" s="70">
        <v>58.426729069251103</v>
      </c>
    </row>
    <row r="4" spans="1:50" ht="11.25" customHeight="1" x14ac:dyDescent="0.25">
      <c r="A4" s="70">
        <v>3</v>
      </c>
      <c r="B4" s="70" t="s">
        <v>460</v>
      </c>
      <c r="C4" s="70" t="s">
        <v>22</v>
      </c>
      <c r="D4" s="70" t="s">
        <v>50</v>
      </c>
      <c r="E4" s="70" t="s">
        <v>24</v>
      </c>
      <c r="F4" s="70" t="s">
        <v>24</v>
      </c>
      <c r="G4" s="70" t="s">
        <v>25</v>
      </c>
      <c r="H4" s="70" t="s">
        <v>25</v>
      </c>
      <c r="I4" s="70" t="s">
        <v>37</v>
      </c>
      <c r="J4" s="70" t="s">
        <v>601</v>
      </c>
      <c r="K4" s="70" t="s">
        <v>600</v>
      </c>
      <c r="L4" s="70" t="s">
        <v>74</v>
      </c>
      <c r="M4" s="70">
        <v>2021</v>
      </c>
      <c r="N4" s="70">
        <v>0</v>
      </c>
      <c r="O4" s="70">
        <v>704.65</v>
      </c>
      <c r="P4" s="70">
        <v>58.426729069251103</v>
      </c>
    </row>
    <row r="5" spans="1:50" ht="11.25" customHeight="1" x14ac:dyDescent="0.25">
      <c r="A5" s="70">
        <v>4</v>
      </c>
      <c r="B5" s="70" t="s">
        <v>460</v>
      </c>
      <c r="C5" s="70" t="s">
        <v>41</v>
      </c>
      <c r="D5" s="70" t="s">
        <v>50</v>
      </c>
      <c r="E5" s="70" t="s">
        <v>42</v>
      </c>
      <c r="F5" s="70" t="s">
        <v>25</v>
      </c>
      <c r="G5" s="70" t="s">
        <v>25</v>
      </c>
      <c r="H5" s="70" t="s">
        <v>25</v>
      </c>
      <c r="I5" s="70" t="s">
        <v>37</v>
      </c>
      <c r="J5" s="70" t="s">
        <v>601</v>
      </c>
      <c r="K5" s="70" t="s">
        <v>600</v>
      </c>
      <c r="L5" s="70" t="s">
        <v>74</v>
      </c>
      <c r="M5" s="70">
        <v>2021</v>
      </c>
      <c r="N5" s="70">
        <v>0</v>
      </c>
      <c r="O5" s="70">
        <v>770.46</v>
      </c>
      <c r="P5" s="70">
        <v>51.415521580940997</v>
      </c>
    </row>
    <row r="6" spans="1:50" ht="11.25" customHeight="1" x14ac:dyDescent="0.25">
      <c r="A6" s="70">
        <v>5</v>
      </c>
      <c r="B6" s="70" t="s">
        <v>460</v>
      </c>
      <c r="C6" s="70" t="s">
        <v>35</v>
      </c>
      <c r="D6" s="70" t="s">
        <v>39</v>
      </c>
      <c r="E6" s="70" t="s">
        <v>25</v>
      </c>
      <c r="F6" s="70" t="s">
        <v>25</v>
      </c>
      <c r="G6" s="70" t="s">
        <v>25</v>
      </c>
      <c r="H6" s="70" t="s">
        <v>25</v>
      </c>
      <c r="I6" s="70" t="s">
        <v>37</v>
      </c>
      <c r="J6" s="70" t="s">
        <v>601</v>
      </c>
      <c r="K6" s="70" t="s">
        <v>600</v>
      </c>
      <c r="L6" s="70" t="s">
        <v>74</v>
      </c>
      <c r="M6" s="70">
        <v>2021</v>
      </c>
      <c r="N6" s="70">
        <v>0</v>
      </c>
      <c r="O6" s="70">
        <v>1518.97</v>
      </c>
      <c r="P6" s="70">
        <v>50.831254290248502</v>
      </c>
    </row>
    <row r="7" spans="1:50" ht="11.25" customHeight="1" x14ac:dyDescent="0.25">
      <c r="A7" s="70">
        <v>6</v>
      </c>
      <c r="B7" s="70" t="s">
        <v>460</v>
      </c>
      <c r="C7" s="70" t="s">
        <v>22</v>
      </c>
      <c r="D7" s="70" t="s">
        <v>23</v>
      </c>
      <c r="E7" s="70" t="s">
        <v>24</v>
      </c>
      <c r="F7" s="70" t="s">
        <v>32</v>
      </c>
      <c r="G7" s="70" t="s">
        <v>25</v>
      </c>
      <c r="H7" s="70" t="s">
        <v>25</v>
      </c>
      <c r="I7" s="70" t="s">
        <v>25</v>
      </c>
      <c r="J7" s="70" t="s">
        <v>601</v>
      </c>
      <c r="K7" s="70" t="s">
        <v>600</v>
      </c>
      <c r="L7" s="70" t="s">
        <v>74</v>
      </c>
      <c r="M7" s="70">
        <v>2021</v>
      </c>
      <c r="N7" s="70">
        <v>0</v>
      </c>
      <c r="O7" s="70">
        <v>270.13</v>
      </c>
      <c r="P7" s="70">
        <v>0</v>
      </c>
    </row>
    <row r="8" spans="1:50" ht="11.25" customHeight="1" x14ac:dyDescent="0.25">
      <c r="A8" s="70">
        <v>7</v>
      </c>
      <c r="B8" s="70" t="s">
        <v>460</v>
      </c>
      <c r="C8" s="70" t="s">
        <v>35</v>
      </c>
      <c r="D8" s="70" t="s">
        <v>36</v>
      </c>
      <c r="E8" s="70" t="s">
        <v>25</v>
      </c>
      <c r="F8" s="70" t="s">
        <v>25</v>
      </c>
      <c r="G8" s="70" t="s">
        <v>25</v>
      </c>
      <c r="H8" s="70" t="s">
        <v>25</v>
      </c>
      <c r="I8" s="70" t="s">
        <v>37</v>
      </c>
      <c r="J8" s="70" t="s">
        <v>599</v>
      </c>
      <c r="K8" s="70" t="s">
        <v>600</v>
      </c>
      <c r="L8" s="70" t="s">
        <v>79</v>
      </c>
      <c r="M8" s="70">
        <v>2021</v>
      </c>
      <c r="N8" s="70">
        <v>0</v>
      </c>
      <c r="O8" s="70">
        <v>59.47</v>
      </c>
      <c r="P8" s="70">
        <v>0</v>
      </c>
    </row>
    <row r="9" spans="1:50" ht="11.25" customHeight="1" x14ac:dyDescent="0.25">
      <c r="A9" s="70">
        <v>8</v>
      </c>
      <c r="B9" s="70" t="s">
        <v>460</v>
      </c>
      <c r="C9" s="70" t="s">
        <v>22</v>
      </c>
      <c r="D9" s="70" t="s">
        <v>50</v>
      </c>
      <c r="E9" s="70" t="s">
        <v>24</v>
      </c>
      <c r="F9" s="70" t="s">
        <v>24</v>
      </c>
      <c r="G9" s="70" t="s">
        <v>25</v>
      </c>
      <c r="H9" s="70" t="s">
        <v>25</v>
      </c>
      <c r="I9" s="70" t="s">
        <v>51</v>
      </c>
      <c r="J9" s="70" t="s">
        <v>601</v>
      </c>
      <c r="K9" s="70" t="s">
        <v>600</v>
      </c>
      <c r="L9" s="70" t="s">
        <v>74</v>
      </c>
      <c r="M9" s="70">
        <v>2021</v>
      </c>
      <c r="N9" s="70">
        <v>0</v>
      </c>
      <c r="O9" s="70">
        <v>460.56</v>
      </c>
      <c r="P9" s="70">
        <v>58.426729069251103</v>
      </c>
    </row>
    <row r="10" spans="1:50" ht="11.25" customHeight="1" x14ac:dyDescent="0.25">
      <c r="A10" s="70">
        <v>9</v>
      </c>
      <c r="B10" s="70" t="s">
        <v>460</v>
      </c>
      <c r="C10" s="70" t="s">
        <v>35</v>
      </c>
      <c r="D10" s="70" t="s">
        <v>39</v>
      </c>
      <c r="E10" s="70" t="s">
        <v>25</v>
      </c>
      <c r="F10" s="70" t="s">
        <v>25</v>
      </c>
      <c r="G10" s="70" t="s">
        <v>82</v>
      </c>
      <c r="H10" s="70" t="s">
        <v>25</v>
      </c>
      <c r="I10" s="70" t="s">
        <v>37</v>
      </c>
      <c r="J10" s="70" t="s">
        <v>601</v>
      </c>
      <c r="K10" s="70" t="s">
        <v>600</v>
      </c>
      <c r="L10" s="70" t="s">
        <v>74</v>
      </c>
      <c r="M10" s="70">
        <v>2021</v>
      </c>
      <c r="N10" s="70">
        <v>0</v>
      </c>
      <c r="O10" s="70">
        <v>1458.18</v>
      </c>
      <c r="P10" s="70">
        <v>0</v>
      </c>
    </row>
    <row r="11" spans="1:50" ht="11.25" customHeight="1" x14ac:dyDescent="0.25">
      <c r="A11" s="70">
        <v>10</v>
      </c>
      <c r="B11" s="70" t="s">
        <v>460</v>
      </c>
      <c r="C11" s="70" t="s">
        <v>22</v>
      </c>
      <c r="D11" s="70" t="s">
        <v>89</v>
      </c>
      <c r="E11" s="70" t="s">
        <v>24</v>
      </c>
      <c r="F11" s="70" t="s">
        <v>29</v>
      </c>
      <c r="G11" s="70" t="s">
        <v>25</v>
      </c>
      <c r="H11" s="70" t="s">
        <v>25</v>
      </c>
      <c r="I11" s="70" t="s">
        <v>25</v>
      </c>
      <c r="J11" s="70" t="s">
        <v>601</v>
      </c>
      <c r="K11" s="70" t="s">
        <v>600</v>
      </c>
      <c r="L11" s="70" t="s">
        <v>74</v>
      </c>
      <c r="M11" s="70">
        <v>2021</v>
      </c>
      <c r="N11" s="70">
        <v>0</v>
      </c>
      <c r="O11" s="70">
        <v>94.55</v>
      </c>
      <c r="P11" s="70">
        <v>0</v>
      </c>
    </row>
    <row r="12" spans="1:50" ht="11.25" customHeight="1" x14ac:dyDescent="0.25">
      <c r="A12" s="70">
        <v>11</v>
      </c>
      <c r="B12" s="70" t="s">
        <v>460</v>
      </c>
      <c r="C12" s="70" t="s">
        <v>41</v>
      </c>
      <c r="D12" s="70" t="s">
        <v>50</v>
      </c>
      <c r="E12" s="70" t="s">
        <v>42</v>
      </c>
      <c r="F12" s="70" t="s">
        <v>25</v>
      </c>
      <c r="G12" s="70" t="s">
        <v>25</v>
      </c>
      <c r="H12" s="70" t="s">
        <v>25</v>
      </c>
      <c r="I12" s="70" t="s">
        <v>51</v>
      </c>
      <c r="J12" s="70" t="s">
        <v>601</v>
      </c>
      <c r="K12" s="70" t="s">
        <v>600</v>
      </c>
      <c r="L12" s="70" t="s">
        <v>74</v>
      </c>
      <c r="M12" s="70">
        <v>2021</v>
      </c>
      <c r="N12" s="70">
        <v>0</v>
      </c>
      <c r="O12" s="70">
        <v>495.51</v>
      </c>
      <c r="P12" s="70">
        <v>51.415521580940997</v>
      </c>
    </row>
    <row r="13" spans="1:50" ht="11.25" customHeight="1" x14ac:dyDescent="0.25">
      <c r="A13" s="70">
        <v>12</v>
      </c>
      <c r="B13" s="70" t="s">
        <v>460</v>
      </c>
      <c r="C13" s="70" t="s">
        <v>84</v>
      </c>
      <c r="D13" s="70" t="s">
        <v>83</v>
      </c>
      <c r="E13" s="70" t="s">
        <v>25</v>
      </c>
      <c r="F13" s="70" t="s">
        <v>25</v>
      </c>
      <c r="G13" s="70" t="s">
        <v>86</v>
      </c>
      <c r="H13" s="70" t="s">
        <v>25</v>
      </c>
      <c r="I13" s="70" t="s">
        <v>25</v>
      </c>
      <c r="J13" s="70" t="s">
        <v>599</v>
      </c>
      <c r="K13" s="70" t="s">
        <v>600</v>
      </c>
      <c r="L13" s="70" t="s">
        <v>79</v>
      </c>
      <c r="M13" s="70">
        <v>2021</v>
      </c>
      <c r="N13" s="70">
        <v>0</v>
      </c>
      <c r="O13" s="70">
        <v>10.73</v>
      </c>
      <c r="P13" s="70">
        <v>0</v>
      </c>
    </row>
    <row r="14" spans="1:50" ht="11.25" customHeight="1" x14ac:dyDescent="0.25">
      <c r="A14" s="70">
        <v>13</v>
      </c>
      <c r="B14" s="70" t="s">
        <v>460</v>
      </c>
      <c r="C14" s="70" t="s">
        <v>22</v>
      </c>
      <c r="D14" s="70" t="s">
        <v>89</v>
      </c>
      <c r="E14" s="70" t="s">
        <v>24</v>
      </c>
      <c r="F14" s="70" t="s">
        <v>32</v>
      </c>
      <c r="G14" s="70" t="s">
        <v>25</v>
      </c>
      <c r="H14" s="70" t="s">
        <v>25</v>
      </c>
      <c r="I14" s="70" t="s">
        <v>25</v>
      </c>
      <c r="J14" s="70" t="s">
        <v>601</v>
      </c>
      <c r="K14" s="70" t="s">
        <v>600</v>
      </c>
      <c r="L14" s="70" t="s">
        <v>74</v>
      </c>
      <c r="M14" s="70">
        <v>2021</v>
      </c>
      <c r="N14" s="70">
        <v>0</v>
      </c>
      <c r="O14" s="70">
        <v>270.13</v>
      </c>
      <c r="P14" s="70">
        <v>0</v>
      </c>
    </row>
    <row r="15" spans="1:50" ht="11.25" customHeight="1" x14ac:dyDescent="0.25">
      <c r="A15" s="70">
        <v>14</v>
      </c>
      <c r="B15" s="70" t="s">
        <v>460</v>
      </c>
      <c r="C15" s="70" t="s">
        <v>35</v>
      </c>
      <c r="D15" s="70" t="s">
        <v>39</v>
      </c>
      <c r="E15" s="70" t="s">
        <v>25</v>
      </c>
      <c r="F15" s="70" t="s">
        <v>25</v>
      </c>
      <c r="G15" s="70" t="s">
        <v>82</v>
      </c>
      <c r="H15" s="70" t="s">
        <v>25</v>
      </c>
      <c r="I15" s="70" t="s">
        <v>38</v>
      </c>
      <c r="J15" s="70" t="s">
        <v>601</v>
      </c>
      <c r="K15" s="70" t="s">
        <v>600</v>
      </c>
      <c r="L15" s="70" t="s">
        <v>74</v>
      </c>
      <c r="M15" s="70">
        <v>2021</v>
      </c>
      <c r="N15" s="70">
        <v>0</v>
      </c>
      <c r="O15" s="70">
        <v>12.4</v>
      </c>
      <c r="P15" s="70">
        <v>0</v>
      </c>
    </row>
    <row r="16" spans="1:50" ht="11.25" customHeight="1" x14ac:dyDescent="0.25">
      <c r="A16" s="70">
        <v>15</v>
      </c>
      <c r="B16" s="70" t="s">
        <v>460</v>
      </c>
      <c r="C16" s="70" t="s">
        <v>22</v>
      </c>
      <c r="D16" s="70" t="s">
        <v>89</v>
      </c>
      <c r="E16" s="70" t="s">
        <v>24</v>
      </c>
      <c r="F16" s="70" t="s">
        <v>30</v>
      </c>
      <c r="G16" s="70" t="s">
        <v>25</v>
      </c>
      <c r="H16" s="70" t="s">
        <v>25</v>
      </c>
      <c r="I16" s="70" t="s">
        <v>25</v>
      </c>
      <c r="J16" s="70" t="s">
        <v>601</v>
      </c>
      <c r="K16" s="70" t="s">
        <v>600</v>
      </c>
      <c r="L16" s="70" t="s">
        <v>74</v>
      </c>
      <c r="M16" s="70">
        <v>2021</v>
      </c>
      <c r="N16" s="70">
        <v>0</v>
      </c>
      <c r="O16" s="70">
        <v>162.08000000000001</v>
      </c>
      <c r="P16" s="70">
        <v>0</v>
      </c>
    </row>
    <row r="17" spans="1:16" ht="11.25" customHeight="1" x14ac:dyDescent="0.25">
      <c r="A17" s="70">
        <v>16</v>
      </c>
      <c r="B17" s="70" t="s">
        <v>460</v>
      </c>
      <c r="C17" s="70" t="s">
        <v>41</v>
      </c>
      <c r="D17" s="70" t="s">
        <v>23</v>
      </c>
      <c r="E17" s="70" t="s">
        <v>42</v>
      </c>
      <c r="F17" s="70" t="s">
        <v>25</v>
      </c>
      <c r="G17" s="70" t="s">
        <v>25</v>
      </c>
      <c r="H17" s="70" t="s">
        <v>25</v>
      </c>
      <c r="I17" s="70" t="s">
        <v>25</v>
      </c>
      <c r="J17" s="70" t="s">
        <v>601</v>
      </c>
      <c r="K17" s="70" t="s">
        <v>600</v>
      </c>
      <c r="L17" s="70" t="s">
        <v>74</v>
      </c>
      <c r="M17" s="70">
        <v>2021</v>
      </c>
      <c r="N17" s="70">
        <v>0</v>
      </c>
      <c r="O17" s="70">
        <v>297.89</v>
      </c>
      <c r="P17" s="70">
        <v>51.415521580940997</v>
      </c>
    </row>
    <row r="18" spans="1:16" ht="11.25" customHeight="1" x14ac:dyDescent="0.25">
      <c r="A18" s="70">
        <v>17</v>
      </c>
      <c r="B18" s="70" t="s">
        <v>460</v>
      </c>
      <c r="C18" s="70" t="s">
        <v>41</v>
      </c>
      <c r="D18" s="70" t="s">
        <v>50</v>
      </c>
      <c r="E18" s="70" t="s">
        <v>42</v>
      </c>
      <c r="F18" s="70" t="s">
        <v>91</v>
      </c>
      <c r="G18" s="70" t="s">
        <v>25</v>
      </c>
      <c r="H18" s="70" t="s">
        <v>25</v>
      </c>
      <c r="I18" s="70" t="s">
        <v>37</v>
      </c>
      <c r="J18" s="70" t="s">
        <v>601</v>
      </c>
      <c r="K18" s="70" t="s">
        <v>600</v>
      </c>
      <c r="L18" s="70" t="s">
        <v>74</v>
      </c>
      <c r="M18" s="70">
        <v>2021</v>
      </c>
      <c r="N18" s="70">
        <v>0</v>
      </c>
      <c r="O18" s="70">
        <v>735.44</v>
      </c>
      <c r="P18" s="70">
        <v>49.078452418170897</v>
      </c>
    </row>
    <row r="19" spans="1:16" ht="11.25" customHeight="1" x14ac:dyDescent="0.25">
      <c r="A19" s="70">
        <v>18</v>
      </c>
      <c r="B19" s="70" t="s">
        <v>460</v>
      </c>
      <c r="C19" s="70" t="s">
        <v>35</v>
      </c>
      <c r="D19" s="70" t="s">
        <v>39</v>
      </c>
      <c r="E19" s="70" t="s">
        <v>25</v>
      </c>
      <c r="F19" s="70" t="s">
        <v>25</v>
      </c>
      <c r="G19" s="70" t="s">
        <v>25</v>
      </c>
      <c r="H19" s="70" t="s">
        <v>25</v>
      </c>
      <c r="I19" s="70" t="s">
        <v>38</v>
      </c>
      <c r="J19" s="70" t="s">
        <v>601</v>
      </c>
      <c r="K19" s="70" t="s">
        <v>600</v>
      </c>
      <c r="L19" s="70" t="s">
        <v>74</v>
      </c>
      <c r="M19" s="70">
        <v>2021</v>
      </c>
      <c r="N19" s="70">
        <v>0</v>
      </c>
      <c r="O19" s="70">
        <v>73.19</v>
      </c>
      <c r="P19" s="70">
        <v>50.831254290248502</v>
      </c>
    </row>
    <row r="20" spans="1:16" ht="11.25" customHeight="1" x14ac:dyDescent="0.25">
      <c r="A20" s="70">
        <v>19</v>
      </c>
      <c r="B20" s="70" t="s">
        <v>460</v>
      </c>
      <c r="C20" s="70" t="s">
        <v>22</v>
      </c>
      <c r="D20" s="70" t="s">
        <v>89</v>
      </c>
      <c r="E20" s="70" t="s">
        <v>24</v>
      </c>
      <c r="F20" s="70" t="s">
        <v>24</v>
      </c>
      <c r="G20" s="70" t="s">
        <v>25</v>
      </c>
      <c r="H20" s="70" t="s">
        <v>25</v>
      </c>
      <c r="I20" s="70" t="s">
        <v>25</v>
      </c>
      <c r="J20" s="70" t="s">
        <v>601</v>
      </c>
      <c r="K20" s="70" t="s">
        <v>600</v>
      </c>
      <c r="L20" s="70" t="s">
        <v>74</v>
      </c>
      <c r="M20" s="70">
        <v>2021</v>
      </c>
      <c r="N20" s="70">
        <v>0</v>
      </c>
      <c r="O20" s="70">
        <v>338.51</v>
      </c>
      <c r="P20" s="70">
        <v>58.426729069251103</v>
      </c>
    </row>
    <row r="21" spans="1:16" ht="11.25" customHeight="1" x14ac:dyDescent="0.25">
      <c r="A21" s="70">
        <v>20</v>
      </c>
      <c r="B21" s="70" t="s">
        <v>460</v>
      </c>
      <c r="C21" s="70" t="s">
        <v>41</v>
      </c>
      <c r="D21" s="70" t="s">
        <v>89</v>
      </c>
      <c r="E21" s="70" t="s">
        <v>42</v>
      </c>
      <c r="F21" s="70" t="s">
        <v>25</v>
      </c>
      <c r="G21" s="70" t="s">
        <v>25</v>
      </c>
      <c r="H21" s="70" t="s">
        <v>25</v>
      </c>
      <c r="I21" s="70" t="s">
        <v>25</v>
      </c>
      <c r="J21" s="70" t="s">
        <v>601</v>
      </c>
      <c r="K21" s="70" t="s">
        <v>600</v>
      </c>
      <c r="L21" s="70" t="s">
        <v>74</v>
      </c>
      <c r="M21" s="70">
        <v>2021</v>
      </c>
      <c r="N21" s="70">
        <v>0</v>
      </c>
      <c r="O21" s="70">
        <v>297.89</v>
      </c>
      <c r="P21" s="70">
        <v>51.415521580940997</v>
      </c>
    </row>
    <row r="22" spans="1:16" ht="11.25" customHeight="1" x14ac:dyDescent="0.25">
      <c r="A22" s="70">
        <v>21</v>
      </c>
      <c r="B22" s="70" t="s">
        <v>488</v>
      </c>
      <c r="C22" s="70" t="s">
        <v>22</v>
      </c>
      <c r="D22" s="70" t="s">
        <v>73</v>
      </c>
      <c r="E22" s="70" t="s">
        <v>24</v>
      </c>
      <c r="F22" s="70" t="s">
        <v>24</v>
      </c>
      <c r="G22" s="70" t="s">
        <v>25</v>
      </c>
      <c r="H22" s="70" t="s">
        <v>25</v>
      </c>
      <c r="I22" s="70" t="s">
        <v>51</v>
      </c>
      <c r="J22" s="70" t="s">
        <v>601</v>
      </c>
      <c r="K22" s="70" t="s">
        <v>600</v>
      </c>
      <c r="L22" s="70" t="s">
        <v>74</v>
      </c>
      <c r="M22" s="70">
        <v>2021</v>
      </c>
      <c r="N22" s="70">
        <v>0</v>
      </c>
      <c r="O22" s="70">
        <v>211.71</v>
      </c>
      <c r="P22" s="70"/>
    </row>
    <row r="23" spans="1:16" ht="11.25" customHeight="1" x14ac:dyDescent="0.25">
      <c r="A23" s="70">
        <v>22</v>
      </c>
      <c r="B23" s="70" t="s">
        <v>460</v>
      </c>
      <c r="C23" s="70" t="s">
        <v>84</v>
      </c>
      <c r="D23" s="70" t="s">
        <v>83</v>
      </c>
      <c r="E23" s="70" t="s">
        <v>25</v>
      </c>
      <c r="F23" s="70" t="s">
        <v>25</v>
      </c>
      <c r="G23" s="70" t="s">
        <v>85</v>
      </c>
      <c r="H23" s="70" t="s">
        <v>25</v>
      </c>
      <c r="I23" s="70" t="s">
        <v>25</v>
      </c>
      <c r="J23" s="70" t="s">
        <v>599</v>
      </c>
      <c r="K23" s="70" t="s">
        <v>600</v>
      </c>
      <c r="L23" s="70" t="s">
        <v>79</v>
      </c>
      <c r="M23" s="70">
        <v>2021</v>
      </c>
      <c r="N23" s="70">
        <v>0</v>
      </c>
      <c r="O23" s="70">
        <v>6.41</v>
      </c>
      <c r="P23" s="70">
        <v>0</v>
      </c>
    </row>
    <row r="24" spans="1:16" ht="11.25" customHeight="1" x14ac:dyDescent="0.25">
      <c r="A24" s="70">
        <v>23</v>
      </c>
      <c r="B24" s="70" t="s">
        <v>460</v>
      </c>
      <c r="C24" s="70" t="s">
        <v>22</v>
      </c>
      <c r="D24" s="70" t="s">
        <v>89</v>
      </c>
      <c r="E24" s="70" t="s">
        <v>24</v>
      </c>
      <c r="F24" s="70" t="s">
        <v>31</v>
      </c>
      <c r="G24" s="70" t="s">
        <v>25</v>
      </c>
      <c r="H24" s="70" t="s">
        <v>25</v>
      </c>
      <c r="I24" s="70" t="s">
        <v>25</v>
      </c>
      <c r="J24" s="70" t="s">
        <v>601</v>
      </c>
      <c r="K24" s="70" t="s">
        <v>600</v>
      </c>
      <c r="L24" s="70" t="s">
        <v>74</v>
      </c>
      <c r="M24" s="70">
        <v>2021</v>
      </c>
      <c r="N24" s="70">
        <v>0</v>
      </c>
      <c r="O24" s="70">
        <v>243.12</v>
      </c>
      <c r="P24" s="70">
        <v>0</v>
      </c>
    </row>
    <row r="25" spans="1:16" ht="11.25" customHeight="1" x14ac:dyDescent="0.25">
      <c r="A25" s="70">
        <v>24</v>
      </c>
      <c r="B25" s="70" t="s">
        <v>460</v>
      </c>
      <c r="C25" s="70" t="s">
        <v>35</v>
      </c>
      <c r="D25" s="70" t="s">
        <v>39</v>
      </c>
      <c r="E25" s="70" t="s">
        <v>25</v>
      </c>
      <c r="F25" s="70" t="s">
        <v>25</v>
      </c>
      <c r="G25" s="70" t="s">
        <v>25</v>
      </c>
      <c r="H25" s="70" t="s">
        <v>25</v>
      </c>
      <c r="I25" s="70" t="s">
        <v>25</v>
      </c>
      <c r="J25" s="70" t="s">
        <v>599</v>
      </c>
      <c r="K25" s="70" t="s">
        <v>600</v>
      </c>
      <c r="L25" s="70" t="s">
        <v>79</v>
      </c>
      <c r="M25" s="70">
        <v>2021</v>
      </c>
      <c r="N25" s="70">
        <v>0</v>
      </c>
      <c r="O25" s="70">
        <v>22.9</v>
      </c>
      <c r="P25" s="70">
        <v>0</v>
      </c>
    </row>
    <row r="26" spans="1:16" ht="11.25" customHeight="1" x14ac:dyDescent="0.25">
      <c r="A26" s="70">
        <v>25</v>
      </c>
      <c r="B26" s="70" t="s">
        <v>460</v>
      </c>
      <c r="C26" s="70" t="s">
        <v>22</v>
      </c>
      <c r="D26" s="70" t="s">
        <v>50</v>
      </c>
      <c r="E26" s="70" t="s">
        <v>24</v>
      </c>
      <c r="F26" s="70" t="s">
        <v>24</v>
      </c>
      <c r="G26" s="70" t="s">
        <v>25</v>
      </c>
      <c r="H26" s="70" t="s">
        <v>25</v>
      </c>
      <c r="I26" s="70" t="s">
        <v>38</v>
      </c>
      <c r="J26" s="70" t="s">
        <v>601</v>
      </c>
      <c r="K26" s="70" t="s">
        <v>600</v>
      </c>
      <c r="L26" s="70" t="s">
        <v>74</v>
      </c>
      <c r="M26" s="70">
        <v>2021</v>
      </c>
      <c r="N26" s="70">
        <v>0</v>
      </c>
      <c r="O26" s="70">
        <v>216.47</v>
      </c>
      <c r="P26" s="70">
        <v>58.426729069251103</v>
      </c>
    </row>
    <row r="27" spans="1:16" ht="11.25" customHeight="1" x14ac:dyDescent="0.25">
      <c r="A27" s="70">
        <v>26</v>
      </c>
      <c r="B27" s="70" t="s">
        <v>488</v>
      </c>
      <c r="C27" s="70" t="s">
        <v>22</v>
      </c>
      <c r="D27" s="70" t="s">
        <v>73</v>
      </c>
      <c r="E27" s="70" t="s">
        <v>24</v>
      </c>
      <c r="F27" s="70" t="s">
        <v>24</v>
      </c>
      <c r="G27" s="70" t="s">
        <v>25</v>
      </c>
      <c r="H27" s="70" t="s">
        <v>25</v>
      </c>
      <c r="I27" s="70" t="s">
        <v>37</v>
      </c>
      <c r="J27" s="70" t="s">
        <v>601</v>
      </c>
      <c r="K27" s="70" t="s">
        <v>600</v>
      </c>
      <c r="L27" s="70" t="s">
        <v>74</v>
      </c>
      <c r="M27" s="70">
        <v>2021</v>
      </c>
      <c r="N27" s="70">
        <v>0</v>
      </c>
      <c r="O27" s="70">
        <v>359.33</v>
      </c>
      <c r="P27" s="70"/>
    </row>
    <row r="28" spans="1:16" ht="11.25" customHeight="1" x14ac:dyDescent="0.25">
      <c r="A28" s="70">
        <v>27</v>
      </c>
      <c r="B28" s="70" t="s">
        <v>460</v>
      </c>
      <c r="C28" s="70" t="s">
        <v>35</v>
      </c>
      <c r="D28" s="70" t="s">
        <v>36</v>
      </c>
      <c r="E28" s="70" t="s">
        <v>25</v>
      </c>
      <c r="F28" s="70" t="s">
        <v>25</v>
      </c>
      <c r="G28" s="70" t="s">
        <v>25</v>
      </c>
      <c r="H28" s="70" t="s">
        <v>25</v>
      </c>
      <c r="I28" s="70" t="s">
        <v>25</v>
      </c>
      <c r="J28" s="70" t="s">
        <v>601</v>
      </c>
      <c r="K28" s="70" t="s">
        <v>600</v>
      </c>
      <c r="L28" s="70" t="s">
        <v>74</v>
      </c>
      <c r="M28" s="70">
        <v>2021</v>
      </c>
      <c r="N28" s="70">
        <v>0</v>
      </c>
      <c r="O28" s="70">
        <v>73.19</v>
      </c>
      <c r="P28" s="70">
        <v>50.831254290248502</v>
      </c>
    </row>
    <row r="29" spans="1:16" ht="11.25" customHeight="1" x14ac:dyDescent="0.25">
      <c r="A29" s="70">
        <v>28</v>
      </c>
      <c r="B29" s="70" t="s">
        <v>460</v>
      </c>
      <c r="C29" s="70" t="s">
        <v>22</v>
      </c>
      <c r="D29" s="70" t="s">
        <v>23</v>
      </c>
      <c r="E29" s="70" t="s">
        <v>24</v>
      </c>
      <c r="F29" s="70" t="s">
        <v>29</v>
      </c>
      <c r="G29" s="70" t="s">
        <v>25</v>
      </c>
      <c r="H29" s="70" t="s">
        <v>25</v>
      </c>
      <c r="I29" s="70" t="s">
        <v>25</v>
      </c>
      <c r="J29" s="70" t="s">
        <v>601</v>
      </c>
      <c r="K29" s="70" t="s">
        <v>600</v>
      </c>
      <c r="L29" s="70" t="s">
        <v>74</v>
      </c>
      <c r="M29" s="70">
        <v>2021</v>
      </c>
      <c r="N29" s="70">
        <v>0</v>
      </c>
      <c r="O29" s="70">
        <v>94.55</v>
      </c>
      <c r="P29" s="70">
        <v>0</v>
      </c>
    </row>
    <row r="30" spans="1:16" ht="11.25" customHeight="1" x14ac:dyDescent="0.25">
      <c r="A30" s="70">
        <v>29</v>
      </c>
      <c r="B30" s="70" t="s">
        <v>460</v>
      </c>
      <c r="C30" s="70" t="s">
        <v>35</v>
      </c>
      <c r="D30" s="70" t="s">
        <v>83</v>
      </c>
      <c r="E30" s="70" t="s">
        <v>25</v>
      </c>
      <c r="F30" s="70" t="s">
        <v>25</v>
      </c>
      <c r="G30" s="70" t="s">
        <v>25</v>
      </c>
      <c r="H30" s="70" t="s">
        <v>25</v>
      </c>
      <c r="I30" s="70" t="s">
        <v>25</v>
      </c>
      <c r="J30" s="70" t="s">
        <v>599</v>
      </c>
      <c r="K30" s="70" t="s">
        <v>600</v>
      </c>
      <c r="L30" s="70" t="s">
        <v>79</v>
      </c>
      <c r="M30" s="70">
        <v>2021</v>
      </c>
      <c r="N30" s="70">
        <v>0</v>
      </c>
      <c r="O30" s="70">
        <v>10.54</v>
      </c>
      <c r="P30" s="70">
        <v>0</v>
      </c>
    </row>
    <row r="31" spans="1:16" ht="11.25" customHeight="1" x14ac:dyDescent="0.25">
      <c r="A31" s="70">
        <v>30</v>
      </c>
      <c r="B31" s="70" t="s">
        <v>460</v>
      </c>
      <c r="C31" s="70" t="s">
        <v>22</v>
      </c>
      <c r="D31" s="70" t="s">
        <v>23</v>
      </c>
      <c r="E31" s="70" t="s">
        <v>24</v>
      </c>
      <c r="F31" s="70" t="s">
        <v>30</v>
      </c>
      <c r="G31" s="70" t="s">
        <v>25</v>
      </c>
      <c r="H31" s="70" t="s">
        <v>25</v>
      </c>
      <c r="I31" s="70" t="s">
        <v>25</v>
      </c>
      <c r="J31" s="70" t="s">
        <v>601</v>
      </c>
      <c r="K31" s="70" t="s">
        <v>600</v>
      </c>
      <c r="L31" s="70" t="s">
        <v>74</v>
      </c>
      <c r="M31" s="70">
        <v>2021</v>
      </c>
      <c r="N31" s="70">
        <v>0</v>
      </c>
      <c r="O31" s="70">
        <v>162.08000000000001</v>
      </c>
      <c r="P31" s="70">
        <v>0</v>
      </c>
    </row>
    <row r="32" spans="1:16" ht="11.25" customHeight="1" x14ac:dyDescent="0.25">
      <c r="A32" s="70">
        <v>31</v>
      </c>
      <c r="B32" s="70" t="s">
        <v>460</v>
      </c>
      <c r="C32" s="70" t="s">
        <v>33</v>
      </c>
      <c r="D32" s="70" t="s">
        <v>50</v>
      </c>
      <c r="E32" s="70" t="s">
        <v>25</v>
      </c>
      <c r="F32" s="70" t="s">
        <v>25</v>
      </c>
      <c r="G32" s="70" t="s">
        <v>25</v>
      </c>
      <c r="H32" s="70" t="s">
        <v>25</v>
      </c>
      <c r="I32" s="70" t="s">
        <v>38</v>
      </c>
      <c r="J32" s="70" t="s">
        <v>601</v>
      </c>
      <c r="K32" s="70" t="s">
        <v>600</v>
      </c>
      <c r="L32" s="70" t="s">
        <v>74</v>
      </c>
      <c r="M32" s="70">
        <v>2021</v>
      </c>
      <c r="N32" s="70">
        <v>0</v>
      </c>
      <c r="O32" s="70">
        <v>275.05</v>
      </c>
      <c r="P32" s="70">
        <v>58.426729069251103</v>
      </c>
    </row>
    <row r="33" spans="1:16" ht="11.25" customHeight="1" x14ac:dyDescent="0.25">
      <c r="A33" s="70">
        <v>32</v>
      </c>
      <c r="B33" s="70" t="s">
        <v>488</v>
      </c>
      <c r="C33" s="70" t="s">
        <v>22</v>
      </c>
      <c r="D33" s="70" t="s">
        <v>77</v>
      </c>
      <c r="E33" s="70" t="s">
        <v>24</v>
      </c>
      <c r="F33" s="70" t="s">
        <v>30</v>
      </c>
      <c r="G33" s="70" t="s">
        <v>25</v>
      </c>
      <c r="H33" s="70" t="s">
        <v>25</v>
      </c>
      <c r="I33" s="70" t="s">
        <v>25</v>
      </c>
      <c r="J33" s="70" t="s">
        <v>601</v>
      </c>
      <c r="K33" s="70" t="s">
        <v>600</v>
      </c>
      <c r="L33" s="70" t="s">
        <v>74</v>
      </c>
      <c r="M33" s="70">
        <v>2021</v>
      </c>
      <c r="N33" s="70">
        <v>0</v>
      </c>
      <c r="O33" s="70">
        <v>134.4</v>
      </c>
      <c r="P33" s="70"/>
    </row>
    <row r="34" spans="1:16" ht="11.25" customHeight="1" x14ac:dyDescent="0.25">
      <c r="A34" s="70">
        <v>33</v>
      </c>
      <c r="B34" s="70" t="s">
        <v>460</v>
      </c>
      <c r="C34" s="70" t="s">
        <v>33</v>
      </c>
      <c r="D34" s="70" t="s">
        <v>23</v>
      </c>
      <c r="E34" s="70" t="s">
        <v>25</v>
      </c>
      <c r="F34" s="70" t="s">
        <v>25</v>
      </c>
      <c r="G34" s="70" t="s">
        <v>25</v>
      </c>
      <c r="H34" s="70" t="s">
        <v>25</v>
      </c>
      <c r="I34" s="70" t="s">
        <v>25</v>
      </c>
      <c r="J34" s="70" t="s">
        <v>601</v>
      </c>
      <c r="K34" s="70" t="s">
        <v>600</v>
      </c>
      <c r="L34" s="70" t="s">
        <v>74</v>
      </c>
      <c r="M34" s="70">
        <v>2021</v>
      </c>
      <c r="N34" s="70">
        <v>0</v>
      </c>
      <c r="O34" s="70">
        <v>338.51</v>
      </c>
      <c r="P34" s="70">
        <v>58.426729069251103</v>
      </c>
    </row>
    <row r="35" spans="1:16" ht="11.25" customHeight="1" x14ac:dyDescent="0.25">
      <c r="A35" s="70">
        <v>34</v>
      </c>
      <c r="B35" s="70" t="s">
        <v>488</v>
      </c>
      <c r="C35" s="70" t="s">
        <v>22</v>
      </c>
      <c r="D35" s="70" t="s">
        <v>77</v>
      </c>
      <c r="E35" s="70" t="s">
        <v>24</v>
      </c>
      <c r="F35" s="70" t="s">
        <v>32</v>
      </c>
      <c r="G35" s="70" t="s">
        <v>25</v>
      </c>
      <c r="H35" s="70" t="s">
        <v>25</v>
      </c>
      <c r="I35" s="70" t="s">
        <v>25</v>
      </c>
      <c r="J35" s="70" t="s">
        <v>601</v>
      </c>
      <c r="K35" s="70" t="s">
        <v>600</v>
      </c>
      <c r="L35" s="70" t="s">
        <v>74</v>
      </c>
      <c r="M35" s="70">
        <v>2021</v>
      </c>
      <c r="N35" s="70">
        <v>0</v>
      </c>
      <c r="O35" s="70">
        <v>224.01</v>
      </c>
      <c r="P35" s="70"/>
    </row>
    <row r="36" spans="1:16" ht="11.25" customHeight="1" x14ac:dyDescent="0.25">
      <c r="A36" s="70">
        <v>35</v>
      </c>
      <c r="B36" s="70" t="s">
        <v>488</v>
      </c>
      <c r="C36" s="70" t="s">
        <v>41</v>
      </c>
      <c r="D36" s="70" t="s">
        <v>73</v>
      </c>
      <c r="E36" s="70" t="s">
        <v>42</v>
      </c>
      <c r="F36" s="70" t="s">
        <v>25</v>
      </c>
      <c r="G36" s="70" t="s">
        <v>25</v>
      </c>
      <c r="H36" s="70" t="s">
        <v>25</v>
      </c>
      <c r="I36" s="70" t="s">
        <v>51</v>
      </c>
      <c r="J36" s="70" t="s">
        <v>601</v>
      </c>
      <c r="K36" s="70" t="s">
        <v>600</v>
      </c>
      <c r="L36" s="70" t="s">
        <v>74</v>
      </c>
      <c r="M36" s="70">
        <v>2021</v>
      </c>
      <c r="N36" s="70">
        <v>0</v>
      </c>
      <c r="O36" s="70">
        <v>186.3</v>
      </c>
      <c r="P36" s="70"/>
    </row>
    <row r="37" spans="1:16" ht="11.25" customHeight="1" x14ac:dyDescent="0.25">
      <c r="A37" s="70">
        <v>36</v>
      </c>
      <c r="B37" s="70" t="s">
        <v>488</v>
      </c>
      <c r="C37" s="70" t="s">
        <v>41</v>
      </c>
      <c r="D37" s="70" t="s">
        <v>88</v>
      </c>
      <c r="E37" s="70" t="s">
        <v>42</v>
      </c>
      <c r="F37" s="70" t="s">
        <v>91</v>
      </c>
      <c r="G37" s="70" t="s">
        <v>25</v>
      </c>
      <c r="H37" s="70" t="s">
        <v>25</v>
      </c>
      <c r="I37" s="70" t="s">
        <v>25</v>
      </c>
      <c r="J37" s="70" t="s">
        <v>601</v>
      </c>
      <c r="K37" s="70" t="s">
        <v>600</v>
      </c>
      <c r="L37" s="70" t="s">
        <v>74</v>
      </c>
      <c r="M37" s="70">
        <v>2021</v>
      </c>
      <c r="N37" s="70">
        <v>0</v>
      </c>
      <c r="O37" s="70">
        <v>188.17</v>
      </c>
      <c r="P37" s="70"/>
    </row>
    <row r="38" spans="1:16" ht="11.25" customHeight="1" x14ac:dyDescent="0.25">
      <c r="A38" s="70">
        <v>37</v>
      </c>
      <c r="B38" s="70" t="s">
        <v>460</v>
      </c>
      <c r="C38" s="70" t="s">
        <v>22</v>
      </c>
      <c r="D38" s="70" t="s">
        <v>23</v>
      </c>
      <c r="E38" s="70" t="s">
        <v>24</v>
      </c>
      <c r="F38" s="70" t="s">
        <v>31</v>
      </c>
      <c r="G38" s="70" t="s">
        <v>25</v>
      </c>
      <c r="H38" s="70" t="s">
        <v>25</v>
      </c>
      <c r="I38" s="70" t="s">
        <v>25</v>
      </c>
      <c r="J38" s="70" t="s">
        <v>601</v>
      </c>
      <c r="K38" s="70" t="s">
        <v>600</v>
      </c>
      <c r="L38" s="70" t="s">
        <v>74</v>
      </c>
      <c r="M38" s="70">
        <v>2021</v>
      </c>
      <c r="N38" s="70">
        <v>0</v>
      </c>
      <c r="O38" s="70">
        <v>243.12</v>
      </c>
      <c r="P38" s="70">
        <v>0</v>
      </c>
    </row>
    <row r="39" spans="1:16" ht="11.25" customHeight="1" x14ac:dyDescent="0.25">
      <c r="A39" s="70">
        <v>38</v>
      </c>
      <c r="B39" s="70" t="s">
        <v>460</v>
      </c>
      <c r="C39" s="70" t="s">
        <v>33</v>
      </c>
      <c r="D39" s="70" t="s">
        <v>89</v>
      </c>
      <c r="E39" s="70" t="s">
        <v>25</v>
      </c>
      <c r="F39" s="70" t="s">
        <v>25</v>
      </c>
      <c r="G39" s="70" t="s">
        <v>25</v>
      </c>
      <c r="H39" s="70" t="s">
        <v>25</v>
      </c>
      <c r="I39" s="70" t="s">
        <v>25</v>
      </c>
      <c r="J39" s="70" t="s">
        <v>601</v>
      </c>
      <c r="K39" s="70" t="s">
        <v>600</v>
      </c>
      <c r="L39" s="70" t="s">
        <v>74</v>
      </c>
      <c r="M39" s="70">
        <v>2021</v>
      </c>
      <c r="N39" s="70">
        <v>0</v>
      </c>
      <c r="O39" s="70">
        <v>338.51</v>
      </c>
      <c r="P39" s="70">
        <v>58.426729069251103</v>
      </c>
    </row>
    <row r="40" spans="1:16" ht="11.25" customHeight="1" x14ac:dyDescent="0.25">
      <c r="A40" s="70">
        <v>39</v>
      </c>
      <c r="B40" s="70" t="s">
        <v>460</v>
      </c>
      <c r="C40" s="70" t="s">
        <v>35</v>
      </c>
      <c r="D40" s="70" t="s">
        <v>36</v>
      </c>
      <c r="E40" s="70" t="s">
        <v>25</v>
      </c>
      <c r="F40" s="70" t="s">
        <v>25</v>
      </c>
      <c r="G40" s="70" t="s">
        <v>82</v>
      </c>
      <c r="H40" s="70" t="s">
        <v>25</v>
      </c>
      <c r="I40" s="70" t="s">
        <v>25</v>
      </c>
      <c r="J40" s="70" t="s">
        <v>601</v>
      </c>
      <c r="K40" s="70" t="s">
        <v>600</v>
      </c>
      <c r="L40" s="70" t="s">
        <v>74</v>
      </c>
      <c r="M40" s="70">
        <v>2021</v>
      </c>
      <c r="N40" s="70">
        <v>0</v>
      </c>
      <c r="O40" s="70">
        <v>12.4</v>
      </c>
      <c r="P40" s="70">
        <v>0</v>
      </c>
    </row>
    <row r="41" spans="1:16" ht="11.25" customHeight="1" x14ac:dyDescent="0.25">
      <c r="A41" s="70">
        <v>40</v>
      </c>
      <c r="B41" s="70" t="s">
        <v>460</v>
      </c>
      <c r="C41" s="70" t="s">
        <v>41</v>
      </c>
      <c r="D41" s="70" t="s">
        <v>89</v>
      </c>
      <c r="E41" s="70" t="s">
        <v>42</v>
      </c>
      <c r="F41" s="70" t="s">
        <v>91</v>
      </c>
      <c r="G41" s="70" t="s">
        <v>25</v>
      </c>
      <c r="H41" s="70" t="s">
        <v>25</v>
      </c>
      <c r="I41" s="70" t="s">
        <v>25</v>
      </c>
      <c r="J41" s="70" t="s">
        <v>601</v>
      </c>
      <c r="K41" s="70" t="s">
        <v>600</v>
      </c>
      <c r="L41" s="70" t="s">
        <v>74</v>
      </c>
      <c r="M41" s="70">
        <v>2021</v>
      </c>
      <c r="N41" s="70">
        <v>0</v>
      </c>
      <c r="O41" s="70">
        <v>284.35000000000002</v>
      </c>
      <c r="P41" s="70">
        <v>49.078452418170897</v>
      </c>
    </row>
    <row r="42" spans="1:16" ht="11.25" customHeight="1" x14ac:dyDescent="0.25">
      <c r="A42" s="70">
        <v>41</v>
      </c>
      <c r="B42" s="70" t="s">
        <v>488</v>
      </c>
      <c r="C42" s="70" t="s">
        <v>22</v>
      </c>
      <c r="D42" s="70" t="s">
        <v>77</v>
      </c>
      <c r="E42" s="70" t="s">
        <v>24</v>
      </c>
      <c r="F42" s="70" t="s">
        <v>24</v>
      </c>
      <c r="G42" s="70" t="s">
        <v>25</v>
      </c>
      <c r="H42" s="70" t="s">
        <v>25</v>
      </c>
      <c r="I42" s="70" t="s">
        <v>25</v>
      </c>
      <c r="J42" s="70" t="s">
        <v>601</v>
      </c>
      <c r="K42" s="70" t="s">
        <v>600</v>
      </c>
      <c r="L42" s="70" t="s">
        <v>74</v>
      </c>
      <c r="M42" s="70">
        <v>2021</v>
      </c>
      <c r="N42" s="70">
        <v>0</v>
      </c>
      <c r="O42" s="70">
        <v>224.01</v>
      </c>
      <c r="P42" s="70"/>
    </row>
    <row r="43" spans="1:16" ht="11.25" customHeight="1" x14ac:dyDescent="0.25">
      <c r="A43" s="70">
        <v>42</v>
      </c>
      <c r="B43" s="70" t="s">
        <v>460</v>
      </c>
      <c r="C43" s="70" t="s">
        <v>33</v>
      </c>
      <c r="D43" s="70" t="s">
        <v>50</v>
      </c>
      <c r="E43" s="70" t="s">
        <v>25</v>
      </c>
      <c r="F43" s="70" t="s">
        <v>25</v>
      </c>
      <c r="G43" s="70" t="s">
        <v>25</v>
      </c>
      <c r="H43" s="70" t="s">
        <v>25</v>
      </c>
      <c r="I43" s="70" t="s">
        <v>37</v>
      </c>
      <c r="J43" s="70" t="s">
        <v>601</v>
      </c>
      <c r="K43" s="70" t="s">
        <v>600</v>
      </c>
      <c r="L43" s="70" t="s">
        <v>74</v>
      </c>
      <c r="M43" s="70">
        <v>2021</v>
      </c>
      <c r="N43" s="70">
        <v>0</v>
      </c>
      <c r="O43" s="70">
        <v>997.57</v>
      </c>
      <c r="P43" s="70">
        <v>58.426729069251103</v>
      </c>
    </row>
    <row r="44" spans="1:16" ht="11.25" customHeight="1" x14ac:dyDescent="0.25">
      <c r="A44" s="70">
        <v>43</v>
      </c>
      <c r="B44" s="70" t="s">
        <v>460</v>
      </c>
      <c r="C44" s="70" t="s">
        <v>41</v>
      </c>
      <c r="D44" s="70" t="s">
        <v>50</v>
      </c>
      <c r="E44" s="70" t="s">
        <v>42</v>
      </c>
      <c r="F44" s="70" t="s">
        <v>90</v>
      </c>
      <c r="G44" s="70" t="s">
        <v>25</v>
      </c>
      <c r="H44" s="70" t="s">
        <v>25</v>
      </c>
      <c r="I44" s="70" t="s">
        <v>38</v>
      </c>
      <c r="J44" s="70" t="s">
        <v>601</v>
      </c>
      <c r="K44" s="70" t="s">
        <v>600</v>
      </c>
      <c r="L44" s="70" t="s">
        <v>74</v>
      </c>
      <c r="M44" s="70">
        <v>2021</v>
      </c>
      <c r="N44" s="70">
        <v>0</v>
      </c>
      <c r="O44" s="70">
        <v>220.56</v>
      </c>
      <c r="P44" s="70">
        <v>51.415521580940997</v>
      </c>
    </row>
    <row r="45" spans="1:16" ht="11.25" customHeight="1" x14ac:dyDescent="0.25">
      <c r="A45" s="70">
        <v>44</v>
      </c>
      <c r="B45" s="70" t="s">
        <v>460</v>
      </c>
      <c r="C45" s="70" t="s">
        <v>41</v>
      </c>
      <c r="D45" s="70" t="s">
        <v>50</v>
      </c>
      <c r="E45" s="70" t="s">
        <v>42</v>
      </c>
      <c r="F45" s="70" t="s">
        <v>91</v>
      </c>
      <c r="G45" s="70" t="s">
        <v>25</v>
      </c>
      <c r="H45" s="70" t="s">
        <v>25</v>
      </c>
      <c r="I45" s="70" t="s">
        <v>38</v>
      </c>
      <c r="J45" s="70" t="s">
        <v>601</v>
      </c>
      <c r="K45" s="70" t="s">
        <v>600</v>
      </c>
      <c r="L45" s="70" t="s">
        <v>74</v>
      </c>
      <c r="M45" s="70">
        <v>2021</v>
      </c>
      <c r="N45" s="70">
        <v>0</v>
      </c>
      <c r="O45" s="70">
        <v>210.54</v>
      </c>
      <c r="P45" s="70">
        <v>49.078452418170897</v>
      </c>
    </row>
    <row r="46" spans="1:16" ht="11.25" customHeight="1" x14ac:dyDescent="0.25">
      <c r="A46" s="70">
        <v>45</v>
      </c>
      <c r="B46" s="70" t="s">
        <v>460</v>
      </c>
      <c r="C46" s="70" t="s">
        <v>41</v>
      </c>
      <c r="D46" s="70" t="s">
        <v>50</v>
      </c>
      <c r="E46" s="70" t="s">
        <v>42</v>
      </c>
      <c r="F46" s="70" t="s">
        <v>25</v>
      </c>
      <c r="G46" s="70" t="s">
        <v>25</v>
      </c>
      <c r="H46" s="70" t="s">
        <v>25</v>
      </c>
      <c r="I46" s="70" t="s">
        <v>38</v>
      </c>
      <c r="J46" s="70" t="s">
        <v>601</v>
      </c>
      <c r="K46" s="70" t="s">
        <v>600</v>
      </c>
      <c r="L46" s="70" t="s">
        <v>74</v>
      </c>
      <c r="M46" s="70">
        <v>2021</v>
      </c>
      <c r="N46" s="70">
        <v>0</v>
      </c>
      <c r="O46" s="70">
        <v>220.56</v>
      </c>
      <c r="P46" s="70">
        <v>51.415521580940997</v>
      </c>
    </row>
    <row r="47" spans="1:16" ht="11.25" customHeight="1" x14ac:dyDescent="0.25">
      <c r="A47" s="70">
        <v>46</v>
      </c>
      <c r="B47" s="70" t="s">
        <v>460</v>
      </c>
      <c r="C47" s="70" t="s">
        <v>41</v>
      </c>
      <c r="D47" s="70" t="s">
        <v>23</v>
      </c>
      <c r="E47" s="70" t="s">
        <v>42</v>
      </c>
      <c r="F47" s="70" t="s">
        <v>90</v>
      </c>
      <c r="G47" s="70" t="s">
        <v>25</v>
      </c>
      <c r="H47" s="70" t="s">
        <v>25</v>
      </c>
      <c r="I47" s="70" t="s">
        <v>25</v>
      </c>
      <c r="J47" s="70" t="s">
        <v>601</v>
      </c>
      <c r="K47" s="70" t="s">
        <v>600</v>
      </c>
      <c r="L47" s="70" t="s">
        <v>74</v>
      </c>
      <c r="M47" s="70">
        <v>2021</v>
      </c>
      <c r="N47" s="70">
        <v>0</v>
      </c>
      <c r="O47" s="70">
        <v>297.89</v>
      </c>
      <c r="P47" s="70">
        <v>51.415521580940997</v>
      </c>
    </row>
    <row r="48" spans="1:16" ht="11.25" customHeight="1" x14ac:dyDescent="0.25">
      <c r="A48" s="70">
        <v>47</v>
      </c>
      <c r="B48" s="70" t="s">
        <v>488</v>
      </c>
      <c r="C48" s="70" t="s">
        <v>41</v>
      </c>
      <c r="D48" s="70" t="s">
        <v>77</v>
      </c>
      <c r="E48" s="70" t="s">
        <v>42</v>
      </c>
      <c r="F48" s="70" t="s">
        <v>90</v>
      </c>
      <c r="G48" s="70" t="s">
        <v>25</v>
      </c>
      <c r="H48" s="70" t="s">
        <v>25</v>
      </c>
      <c r="I48" s="70" t="s">
        <v>25</v>
      </c>
      <c r="J48" s="70" t="s">
        <v>601</v>
      </c>
      <c r="K48" s="70" t="s">
        <v>600</v>
      </c>
      <c r="L48" s="70" t="s">
        <v>74</v>
      </c>
      <c r="M48" s="70">
        <v>2021</v>
      </c>
      <c r="N48" s="70">
        <v>0</v>
      </c>
      <c r="O48" s="70">
        <v>197.13</v>
      </c>
      <c r="P48" s="70"/>
    </row>
    <row r="49" spans="1:16" ht="11.25" customHeight="1" x14ac:dyDescent="0.25">
      <c r="A49" s="70">
        <v>48</v>
      </c>
      <c r="B49" s="70" t="s">
        <v>488</v>
      </c>
      <c r="C49" s="70" t="s">
        <v>44</v>
      </c>
      <c r="D49" s="70" t="s">
        <v>77</v>
      </c>
      <c r="E49" s="70" t="s">
        <v>45</v>
      </c>
      <c r="F49" s="70" t="s">
        <v>46</v>
      </c>
      <c r="G49" s="70" t="s">
        <v>25</v>
      </c>
      <c r="H49" s="70" t="s">
        <v>25</v>
      </c>
      <c r="I49" s="70" t="s">
        <v>25</v>
      </c>
      <c r="J49" s="70" t="s">
        <v>601</v>
      </c>
      <c r="K49" s="70" t="s">
        <v>600</v>
      </c>
      <c r="L49" s="70" t="s">
        <v>74</v>
      </c>
      <c r="M49" s="70">
        <v>2021</v>
      </c>
      <c r="N49" s="70">
        <v>0</v>
      </c>
      <c r="O49" s="70">
        <v>123.2</v>
      </c>
      <c r="P49" s="70"/>
    </row>
    <row r="50" spans="1:16" ht="11.25" customHeight="1" x14ac:dyDescent="0.25">
      <c r="A50" s="70">
        <v>49</v>
      </c>
      <c r="B50" s="70" t="s">
        <v>460</v>
      </c>
      <c r="C50" s="70" t="s">
        <v>41</v>
      </c>
      <c r="D50" s="70" t="s">
        <v>23</v>
      </c>
      <c r="E50" s="70" t="s">
        <v>42</v>
      </c>
      <c r="F50" s="70" t="s">
        <v>91</v>
      </c>
      <c r="G50" s="70" t="s">
        <v>25</v>
      </c>
      <c r="H50" s="70" t="s">
        <v>25</v>
      </c>
      <c r="I50" s="70" t="s">
        <v>25</v>
      </c>
      <c r="J50" s="70" t="s">
        <v>601</v>
      </c>
      <c r="K50" s="70" t="s">
        <v>600</v>
      </c>
      <c r="L50" s="70" t="s">
        <v>74</v>
      </c>
      <c r="M50" s="70">
        <v>2021</v>
      </c>
      <c r="N50" s="70">
        <v>0</v>
      </c>
      <c r="O50" s="70">
        <v>284.35000000000002</v>
      </c>
      <c r="P50" s="70">
        <v>49.078452418170897</v>
      </c>
    </row>
    <row r="51" spans="1:16" ht="11.25" customHeight="1" x14ac:dyDescent="0.25">
      <c r="A51" s="70">
        <v>50</v>
      </c>
      <c r="B51" s="70" t="s">
        <v>460</v>
      </c>
      <c r="C51" s="70" t="s">
        <v>41</v>
      </c>
      <c r="D51" s="70" t="s">
        <v>89</v>
      </c>
      <c r="E51" s="70" t="s">
        <v>42</v>
      </c>
      <c r="F51" s="70" t="s">
        <v>90</v>
      </c>
      <c r="G51" s="70" t="s">
        <v>25</v>
      </c>
      <c r="H51" s="70" t="s">
        <v>25</v>
      </c>
      <c r="I51" s="70" t="s">
        <v>25</v>
      </c>
      <c r="J51" s="70" t="s">
        <v>601</v>
      </c>
      <c r="K51" s="70" t="s">
        <v>600</v>
      </c>
      <c r="L51" s="70" t="s">
        <v>74</v>
      </c>
      <c r="M51" s="70">
        <v>2021</v>
      </c>
      <c r="N51" s="70">
        <v>0</v>
      </c>
      <c r="O51" s="70">
        <v>297.89</v>
      </c>
      <c r="P51" s="70">
        <v>51.415521580940997</v>
      </c>
    </row>
    <row r="52" spans="1:16" ht="11.25" customHeight="1" x14ac:dyDescent="0.25">
      <c r="A52" s="70">
        <v>51</v>
      </c>
      <c r="B52" s="70" t="s">
        <v>488</v>
      </c>
      <c r="C52" s="70" t="s">
        <v>22</v>
      </c>
      <c r="D52" s="70" t="s">
        <v>73</v>
      </c>
      <c r="E52" s="70" t="s">
        <v>24</v>
      </c>
      <c r="F52" s="70" t="s">
        <v>24</v>
      </c>
      <c r="G52" s="70" t="s">
        <v>25</v>
      </c>
      <c r="H52" s="70" t="s">
        <v>25</v>
      </c>
      <c r="I52" s="70" t="s">
        <v>38</v>
      </c>
      <c r="J52" s="70" t="s">
        <v>601</v>
      </c>
      <c r="K52" s="70" t="s">
        <v>600</v>
      </c>
      <c r="L52" s="70" t="s">
        <v>74</v>
      </c>
      <c r="M52" s="70">
        <v>2021</v>
      </c>
      <c r="N52" s="70">
        <v>0</v>
      </c>
      <c r="O52" s="70">
        <v>211.71</v>
      </c>
      <c r="P52" s="70"/>
    </row>
    <row r="53" spans="1:16" ht="11.25" customHeight="1" x14ac:dyDescent="0.25">
      <c r="A53" s="70">
        <v>52</v>
      </c>
      <c r="B53" s="70" t="s">
        <v>460</v>
      </c>
      <c r="C53" s="70" t="s">
        <v>41</v>
      </c>
      <c r="D53" s="70" t="s">
        <v>50</v>
      </c>
      <c r="E53" s="70" t="s">
        <v>42</v>
      </c>
      <c r="F53" s="70" t="s">
        <v>90</v>
      </c>
      <c r="G53" s="70" t="s">
        <v>25</v>
      </c>
      <c r="H53" s="70" t="s">
        <v>25</v>
      </c>
      <c r="I53" s="70" t="s">
        <v>37</v>
      </c>
      <c r="J53" s="70" t="s">
        <v>601</v>
      </c>
      <c r="K53" s="70" t="s">
        <v>600</v>
      </c>
      <c r="L53" s="70" t="s">
        <v>74</v>
      </c>
      <c r="M53" s="70">
        <v>2021</v>
      </c>
      <c r="N53" s="70">
        <v>0</v>
      </c>
      <c r="O53" s="70">
        <v>770.46</v>
      </c>
      <c r="P53" s="70">
        <v>51.415521580940997</v>
      </c>
    </row>
    <row r="54" spans="1:16" ht="11.25" customHeight="1" x14ac:dyDescent="0.25">
      <c r="A54" s="70">
        <v>53</v>
      </c>
      <c r="B54" s="70" t="s">
        <v>460</v>
      </c>
      <c r="C54" s="70" t="s">
        <v>41</v>
      </c>
      <c r="D54" s="70" t="s">
        <v>50</v>
      </c>
      <c r="E54" s="70" t="s">
        <v>42</v>
      </c>
      <c r="F54" s="70" t="s">
        <v>91</v>
      </c>
      <c r="G54" s="70" t="s">
        <v>25</v>
      </c>
      <c r="H54" s="70" t="s">
        <v>25</v>
      </c>
      <c r="I54" s="70" t="s">
        <v>51</v>
      </c>
      <c r="J54" s="70" t="s">
        <v>601</v>
      </c>
      <c r="K54" s="70" t="s">
        <v>600</v>
      </c>
      <c r="L54" s="70" t="s">
        <v>74</v>
      </c>
      <c r="M54" s="70">
        <v>2021</v>
      </c>
      <c r="N54" s="70">
        <v>0</v>
      </c>
      <c r="O54" s="70">
        <v>472.99</v>
      </c>
      <c r="P54" s="70">
        <v>49.078452418170897</v>
      </c>
    </row>
    <row r="55" spans="1:16" ht="11.25" customHeight="1" x14ac:dyDescent="0.25">
      <c r="A55" s="70">
        <v>54</v>
      </c>
      <c r="B55" s="70" t="s">
        <v>488</v>
      </c>
      <c r="C55" s="70" t="s">
        <v>41</v>
      </c>
      <c r="D55" s="70" t="s">
        <v>77</v>
      </c>
      <c r="E55" s="70" t="s">
        <v>42</v>
      </c>
      <c r="F55" s="70" t="s">
        <v>25</v>
      </c>
      <c r="G55" s="70" t="s">
        <v>25</v>
      </c>
      <c r="H55" s="70" t="s">
        <v>25</v>
      </c>
      <c r="I55" s="70" t="s">
        <v>25</v>
      </c>
      <c r="J55" s="70" t="s">
        <v>601</v>
      </c>
      <c r="K55" s="70" t="s">
        <v>600</v>
      </c>
      <c r="L55" s="70" t="s">
        <v>74</v>
      </c>
      <c r="M55" s="70">
        <v>2021</v>
      </c>
      <c r="N55" s="70">
        <v>0</v>
      </c>
      <c r="O55" s="70">
        <v>197.13</v>
      </c>
      <c r="P55" s="70"/>
    </row>
    <row r="56" spans="1:16" ht="11.25" customHeight="1" x14ac:dyDescent="0.25">
      <c r="A56" s="70">
        <v>55</v>
      </c>
      <c r="B56" s="70" t="s">
        <v>488</v>
      </c>
      <c r="C56" s="70" t="s">
        <v>33</v>
      </c>
      <c r="D56" s="70" t="s">
        <v>73</v>
      </c>
      <c r="E56" s="70" t="s">
        <v>25</v>
      </c>
      <c r="F56" s="70" t="s">
        <v>25</v>
      </c>
      <c r="G56" s="70" t="s">
        <v>25</v>
      </c>
      <c r="H56" s="70" t="s">
        <v>25</v>
      </c>
      <c r="I56" s="70" t="s">
        <v>51</v>
      </c>
      <c r="J56" s="70" t="s">
        <v>601</v>
      </c>
      <c r="K56" s="70" t="s">
        <v>600</v>
      </c>
      <c r="L56" s="70" t="s">
        <v>74</v>
      </c>
      <c r="M56" s="70">
        <v>2021</v>
      </c>
      <c r="N56" s="70">
        <v>0</v>
      </c>
      <c r="O56" s="70">
        <v>211.71</v>
      </c>
      <c r="P56" s="70"/>
    </row>
    <row r="57" spans="1:16" ht="11.25" customHeight="1" x14ac:dyDescent="0.25">
      <c r="A57" s="70">
        <v>56</v>
      </c>
      <c r="B57" s="70" t="s">
        <v>460</v>
      </c>
      <c r="C57" s="70" t="s">
        <v>44</v>
      </c>
      <c r="D57" s="70" t="s">
        <v>23</v>
      </c>
      <c r="E57" s="70" t="s">
        <v>45</v>
      </c>
      <c r="F57" s="70" t="s">
        <v>92</v>
      </c>
      <c r="G57" s="70" t="s">
        <v>25</v>
      </c>
      <c r="H57" s="70" t="s">
        <v>25</v>
      </c>
      <c r="I57" s="70" t="s">
        <v>25</v>
      </c>
      <c r="J57" s="70" t="s">
        <v>601</v>
      </c>
      <c r="K57" s="70" t="s">
        <v>600</v>
      </c>
      <c r="L57" s="70" t="s">
        <v>74</v>
      </c>
      <c r="M57" s="70">
        <v>2021</v>
      </c>
      <c r="N57" s="70">
        <v>0</v>
      </c>
      <c r="O57" s="70">
        <v>203.11</v>
      </c>
      <c r="P57" s="70">
        <v>35.0560374415507</v>
      </c>
    </row>
    <row r="58" spans="1:16" ht="11.25" customHeight="1" x14ac:dyDescent="0.25">
      <c r="A58" s="70">
        <v>57</v>
      </c>
      <c r="B58" s="70" t="s">
        <v>488</v>
      </c>
      <c r="C58" s="70" t="s">
        <v>22</v>
      </c>
      <c r="D58" s="70" t="s">
        <v>88</v>
      </c>
      <c r="E58" s="70" t="s">
        <v>24</v>
      </c>
      <c r="F58" s="70" t="s">
        <v>29</v>
      </c>
      <c r="G58" s="70" t="s">
        <v>25</v>
      </c>
      <c r="H58" s="70" t="s">
        <v>25</v>
      </c>
      <c r="I58" s="70" t="s">
        <v>25</v>
      </c>
      <c r="J58" s="70" t="s">
        <v>601</v>
      </c>
      <c r="K58" s="70" t="s">
        <v>600</v>
      </c>
      <c r="L58" s="70" t="s">
        <v>74</v>
      </c>
      <c r="M58" s="70">
        <v>2021</v>
      </c>
      <c r="N58" s="70">
        <v>0</v>
      </c>
      <c r="O58" s="70">
        <v>78.400000000000006</v>
      </c>
      <c r="P58" s="70"/>
    </row>
    <row r="59" spans="1:16" ht="11.25" customHeight="1" x14ac:dyDescent="0.25">
      <c r="A59" s="70">
        <v>58</v>
      </c>
      <c r="B59" s="70" t="s">
        <v>488</v>
      </c>
      <c r="C59" s="70" t="s">
        <v>22</v>
      </c>
      <c r="D59" s="70" t="s">
        <v>77</v>
      </c>
      <c r="E59" s="70" t="s">
        <v>24</v>
      </c>
      <c r="F59" s="70" t="s">
        <v>31</v>
      </c>
      <c r="G59" s="70" t="s">
        <v>25</v>
      </c>
      <c r="H59" s="70" t="s">
        <v>25</v>
      </c>
      <c r="I59" s="70" t="s">
        <v>25</v>
      </c>
      <c r="J59" s="70" t="s">
        <v>601</v>
      </c>
      <c r="K59" s="70" t="s">
        <v>600</v>
      </c>
      <c r="L59" s="70" t="s">
        <v>74</v>
      </c>
      <c r="M59" s="70">
        <v>2021</v>
      </c>
      <c r="N59" s="70">
        <v>0</v>
      </c>
      <c r="O59" s="70">
        <v>201.61</v>
      </c>
      <c r="P59" s="70"/>
    </row>
    <row r="60" spans="1:16" ht="11.25" customHeight="1" x14ac:dyDescent="0.25">
      <c r="A60" s="70">
        <v>59</v>
      </c>
      <c r="B60" s="70" t="s">
        <v>460</v>
      </c>
      <c r="C60" s="70" t="s">
        <v>41</v>
      </c>
      <c r="D60" s="70" t="s">
        <v>50</v>
      </c>
      <c r="E60" s="70" t="s">
        <v>42</v>
      </c>
      <c r="F60" s="70" t="s">
        <v>90</v>
      </c>
      <c r="G60" s="70" t="s">
        <v>25</v>
      </c>
      <c r="H60" s="70" t="s">
        <v>25</v>
      </c>
      <c r="I60" s="70" t="s">
        <v>51</v>
      </c>
      <c r="J60" s="70" t="s">
        <v>601</v>
      </c>
      <c r="K60" s="70" t="s">
        <v>600</v>
      </c>
      <c r="L60" s="70" t="s">
        <v>74</v>
      </c>
      <c r="M60" s="70">
        <v>2021</v>
      </c>
      <c r="N60" s="70">
        <v>0</v>
      </c>
      <c r="O60" s="70">
        <v>495.51</v>
      </c>
      <c r="P60" s="70">
        <v>51.415521580940997</v>
      </c>
    </row>
    <row r="61" spans="1:16" ht="11.25" customHeight="1" x14ac:dyDescent="0.25">
      <c r="A61" s="70">
        <v>60</v>
      </c>
      <c r="B61" s="70" t="s">
        <v>488</v>
      </c>
      <c r="C61" s="70" t="s">
        <v>33</v>
      </c>
      <c r="D61" s="70" t="s">
        <v>73</v>
      </c>
      <c r="E61" s="70" t="s">
        <v>25</v>
      </c>
      <c r="F61" s="70" t="s">
        <v>25</v>
      </c>
      <c r="G61" s="70" t="s">
        <v>25</v>
      </c>
      <c r="H61" s="70" t="s">
        <v>25</v>
      </c>
      <c r="I61" s="70" t="s">
        <v>37</v>
      </c>
      <c r="J61" s="70" t="s">
        <v>601</v>
      </c>
      <c r="K61" s="70" t="s">
        <v>600</v>
      </c>
      <c r="L61" s="70" t="s">
        <v>74</v>
      </c>
      <c r="M61" s="70">
        <v>2021</v>
      </c>
      <c r="N61" s="70">
        <v>0</v>
      </c>
      <c r="O61" s="70">
        <v>359.33</v>
      </c>
      <c r="P61" s="70"/>
    </row>
    <row r="62" spans="1:16" ht="11.25" customHeight="1" x14ac:dyDescent="0.25">
      <c r="A62" s="70">
        <v>61</v>
      </c>
      <c r="B62" s="70" t="s">
        <v>488</v>
      </c>
      <c r="C62" s="70" t="s">
        <v>35</v>
      </c>
      <c r="D62" s="70" t="s">
        <v>77</v>
      </c>
      <c r="E62" s="70" t="s">
        <v>25</v>
      </c>
      <c r="F62" s="70" t="s">
        <v>25</v>
      </c>
      <c r="G62" s="70" t="s">
        <v>25</v>
      </c>
      <c r="H62" s="70" t="s">
        <v>25</v>
      </c>
      <c r="I62" s="70" t="s">
        <v>25</v>
      </c>
      <c r="J62" s="70" t="s">
        <v>601</v>
      </c>
      <c r="K62" s="70" t="s">
        <v>600</v>
      </c>
      <c r="L62" s="70" t="s">
        <v>74</v>
      </c>
      <c r="M62" s="70">
        <v>2021</v>
      </c>
      <c r="N62" s="70">
        <v>0</v>
      </c>
      <c r="O62" s="70">
        <v>224.01</v>
      </c>
      <c r="P62" s="70"/>
    </row>
    <row r="63" spans="1:16" ht="11.25" customHeight="1" x14ac:dyDescent="0.25">
      <c r="A63" s="70">
        <v>62</v>
      </c>
      <c r="B63" s="70" t="s">
        <v>488</v>
      </c>
      <c r="C63" s="70" t="s">
        <v>22</v>
      </c>
      <c r="D63" s="70" t="s">
        <v>88</v>
      </c>
      <c r="E63" s="70" t="s">
        <v>24</v>
      </c>
      <c r="F63" s="70" t="s">
        <v>32</v>
      </c>
      <c r="G63" s="70" t="s">
        <v>25</v>
      </c>
      <c r="H63" s="70" t="s">
        <v>25</v>
      </c>
      <c r="I63" s="70" t="s">
        <v>25</v>
      </c>
      <c r="J63" s="70" t="s">
        <v>601</v>
      </c>
      <c r="K63" s="70" t="s">
        <v>600</v>
      </c>
      <c r="L63" s="70" t="s">
        <v>74</v>
      </c>
      <c r="M63" s="70">
        <v>2021</v>
      </c>
      <c r="N63" s="70">
        <v>0</v>
      </c>
      <c r="O63" s="70">
        <v>224.01</v>
      </c>
      <c r="P63" s="70"/>
    </row>
    <row r="64" spans="1:16" ht="11.25" customHeight="1" x14ac:dyDescent="0.25">
      <c r="A64" s="70">
        <v>63</v>
      </c>
      <c r="B64" s="70" t="s">
        <v>488</v>
      </c>
      <c r="C64" s="70" t="s">
        <v>41</v>
      </c>
      <c r="D64" s="70" t="s">
        <v>73</v>
      </c>
      <c r="E64" s="70" t="s">
        <v>42</v>
      </c>
      <c r="F64" s="70" t="s">
        <v>25</v>
      </c>
      <c r="G64" s="70" t="s">
        <v>25</v>
      </c>
      <c r="H64" s="70" t="s">
        <v>25</v>
      </c>
      <c r="I64" s="70" t="s">
        <v>37</v>
      </c>
      <c r="J64" s="70" t="s">
        <v>601</v>
      </c>
      <c r="K64" s="70" t="s">
        <v>600</v>
      </c>
      <c r="L64" s="70" t="s">
        <v>74</v>
      </c>
      <c r="M64" s="70">
        <v>2021</v>
      </c>
      <c r="N64" s="70">
        <v>0</v>
      </c>
      <c r="O64" s="70">
        <v>316.20999999999998</v>
      </c>
      <c r="P64" s="70"/>
    </row>
    <row r="65" spans="1:16" ht="11.25" customHeight="1" x14ac:dyDescent="0.25">
      <c r="A65" s="70">
        <v>64</v>
      </c>
      <c r="B65" s="70" t="s">
        <v>488</v>
      </c>
      <c r="C65" s="70" t="s">
        <v>22</v>
      </c>
      <c r="D65" s="70" t="s">
        <v>77</v>
      </c>
      <c r="E65" s="70" t="s">
        <v>24</v>
      </c>
      <c r="F65" s="70" t="s">
        <v>29</v>
      </c>
      <c r="G65" s="70" t="s">
        <v>25</v>
      </c>
      <c r="H65" s="70" t="s">
        <v>25</v>
      </c>
      <c r="I65" s="70" t="s">
        <v>25</v>
      </c>
      <c r="J65" s="70" t="s">
        <v>601</v>
      </c>
      <c r="K65" s="70" t="s">
        <v>600</v>
      </c>
      <c r="L65" s="70" t="s">
        <v>74</v>
      </c>
      <c r="M65" s="70">
        <v>2021</v>
      </c>
      <c r="N65" s="70">
        <v>0</v>
      </c>
      <c r="O65" s="70">
        <v>78.400000000000006</v>
      </c>
      <c r="P65" s="70"/>
    </row>
    <row r="66" spans="1:16" ht="11.25" customHeight="1" x14ac:dyDescent="0.25">
      <c r="A66" s="70">
        <v>65</v>
      </c>
      <c r="B66" s="70" t="s">
        <v>488</v>
      </c>
      <c r="C66" s="70" t="s">
        <v>41</v>
      </c>
      <c r="D66" s="70" t="s">
        <v>73</v>
      </c>
      <c r="E66" s="70" t="s">
        <v>42</v>
      </c>
      <c r="F66" s="70" t="s">
        <v>91</v>
      </c>
      <c r="G66" s="70" t="s">
        <v>25</v>
      </c>
      <c r="H66" s="70" t="s">
        <v>25</v>
      </c>
      <c r="I66" s="70" t="s">
        <v>38</v>
      </c>
      <c r="J66" s="70" t="s">
        <v>601</v>
      </c>
      <c r="K66" s="70" t="s">
        <v>600</v>
      </c>
      <c r="L66" s="70" t="s">
        <v>74</v>
      </c>
      <c r="M66" s="70">
        <v>2021</v>
      </c>
      <c r="N66" s="70">
        <v>0</v>
      </c>
      <c r="O66" s="70">
        <v>177.83</v>
      </c>
      <c r="P66" s="70"/>
    </row>
    <row r="67" spans="1:16" ht="11.25" customHeight="1" x14ac:dyDescent="0.25">
      <c r="A67" s="70">
        <v>66</v>
      </c>
      <c r="B67" s="70" t="s">
        <v>488</v>
      </c>
      <c r="C67" s="70" t="s">
        <v>41</v>
      </c>
      <c r="D67" s="70" t="s">
        <v>88</v>
      </c>
      <c r="E67" s="70" t="s">
        <v>42</v>
      </c>
      <c r="F67" s="70" t="s">
        <v>90</v>
      </c>
      <c r="G67" s="70" t="s">
        <v>25</v>
      </c>
      <c r="H67" s="70" t="s">
        <v>25</v>
      </c>
      <c r="I67" s="70" t="s">
        <v>25</v>
      </c>
      <c r="J67" s="70" t="s">
        <v>601</v>
      </c>
      <c r="K67" s="70" t="s">
        <v>600</v>
      </c>
      <c r="L67" s="70" t="s">
        <v>74</v>
      </c>
      <c r="M67" s="70">
        <v>2021</v>
      </c>
      <c r="N67" s="70">
        <v>0</v>
      </c>
      <c r="O67" s="70">
        <v>197.13</v>
      </c>
      <c r="P67" s="70"/>
    </row>
    <row r="68" spans="1:16" ht="11.25" customHeight="1" x14ac:dyDescent="0.25">
      <c r="A68" s="70">
        <v>67</v>
      </c>
      <c r="B68" s="70" t="s">
        <v>488</v>
      </c>
      <c r="C68" s="70" t="s">
        <v>41</v>
      </c>
      <c r="D68" s="70" t="s">
        <v>88</v>
      </c>
      <c r="E68" s="70" t="s">
        <v>42</v>
      </c>
      <c r="F68" s="70" t="s">
        <v>25</v>
      </c>
      <c r="G68" s="70" t="s">
        <v>25</v>
      </c>
      <c r="H68" s="70" t="s">
        <v>25</v>
      </c>
      <c r="I68" s="70" t="s">
        <v>25</v>
      </c>
      <c r="J68" s="70" t="s">
        <v>601</v>
      </c>
      <c r="K68" s="70" t="s">
        <v>600</v>
      </c>
      <c r="L68" s="70" t="s">
        <v>74</v>
      </c>
      <c r="M68" s="70">
        <v>2021</v>
      </c>
      <c r="N68" s="70">
        <v>0</v>
      </c>
      <c r="O68" s="70">
        <v>197.13</v>
      </c>
      <c r="P68" s="70"/>
    </row>
    <row r="69" spans="1:16" ht="11.25" customHeight="1" x14ac:dyDescent="0.25">
      <c r="A69" s="70">
        <v>68</v>
      </c>
      <c r="B69" s="70" t="s">
        <v>460</v>
      </c>
      <c r="C69" s="70" t="s">
        <v>44</v>
      </c>
      <c r="D69" s="70" t="s">
        <v>23</v>
      </c>
      <c r="E69" s="70" t="s">
        <v>45</v>
      </c>
      <c r="F69" s="70" t="s">
        <v>46</v>
      </c>
      <c r="G69" s="70" t="s">
        <v>25</v>
      </c>
      <c r="H69" s="70" t="s">
        <v>25</v>
      </c>
      <c r="I69" s="70" t="s">
        <v>25</v>
      </c>
      <c r="J69" s="70" t="s">
        <v>601</v>
      </c>
      <c r="K69" s="70" t="s">
        <v>600</v>
      </c>
      <c r="L69" s="70" t="s">
        <v>74</v>
      </c>
      <c r="M69" s="70">
        <v>2021</v>
      </c>
      <c r="N69" s="70">
        <v>0</v>
      </c>
      <c r="O69" s="70">
        <v>186.18</v>
      </c>
      <c r="P69" s="70">
        <v>32.134700988088099</v>
      </c>
    </row>
    <row r="70" spans="1:16" ht="11.25" customHeight="1" x14ac:dyDescent="0.25">
      <c r="A70" s="70">
        <v>69</v>
      </c>
      <c r="B70" s="70" t="s">
        <v>488</v>
      </c>
      <c r="C70" s="70" t="s">
        <v>35</v>
      </c>
      <c r="D70" s="70" t="s">
        <v>73</v>
      </c>
      <c r="E70" s="70" t="s">
        <v>25</v>
      </c>
      <c r="F70" s="70" t="s">
        <v>25</v>
      </c>
      <c r="G70" s="70" t="s">
        <v>25</v>
      </c>
      <c r="H70" s="70" t="s">
        <v>25</v>
      </c>
      <c r="I70" s="70" t="s">
        <v>37</v>
      </c>
      <c r="J70" s="70" t="s">
        <v>601</v>
      </c>
      <c r="K70" s="70" t="s">
        <v>600</v>
      </c>
      <c r="L70" s="70" t="s">
        <v>74</v>
      </c>
      <c r="M70" s="70">
        <v>2021</v>
      </c>
      <c r="N70" s="70">
        <v>0</v>
      </c>
      <c r="O70" s="70">
        <v>359.33</v>
      </c>
      <c r="P70" s="70"/>
    </row>
    <row r="71" spans="1:16" ht="11.25" customHeight="1" x14ac:dyDescent="0.25">
      <c r="A71" s="70">
        <v>70</v>
      </c>
      <c r="B71" s="70" t="s">
        <v>488</v>
      </c>
      <c r="C71" s="70" t="s">
        <v>22</v>
      </c>
      <c r="D71" s="70" t="s">
        <v>88</v>
      </c>
      <c r="E71" s="70" t="s">
        <v>24</v>
      </c>
      <c r="F71" s="70" t="s">
        <v>30</v>
      </c>
      <c r="G71" s="70" t="s">
        <v>25</v>
      </c>
      <c r="H71" s="70" t="s">
        <v>25</v>
      </c>
      <c r="I71" s="70" t="s">
        <v>25</v>
      </c>
      <c r="J71" s="70" t="s">
        <v>601</v>
      </c>
      <c r="K71" s="70" t="s">
        <v>600</v>
      </c>
      <c r="L71" s="70" t="s">
        <v>74</v>
      </c>
      <c r="M71" s="70">
        <v>2021</v>
      </c>
      <c r="N71" s="70">
        <v>0</v>
      </c>
      <c r="O71" s="70">
        <v>134.4</v>
      </c>
      <c r="P71" s="70"/>
    </row>
    <row r="72" spans="1:16" ht="11.25" customHeight="1" x14ac:dyDescent="0.25">
      <c r="A72" s="70">
        <v>71</v>
      </c>
      <c r="B72" s="70" t="s">
        <v>488</v>
      </c>
      <c r="C72" s="70" t="s">
        <v>41</v>
      </c>
      <c r="D72" s="70" t="s">
        <v>73</v>
      </c>
      <c r="E72" s="70" t="s">
        <v>42</v>
      </c>
      <c r="F72" s="70" t="s">
        <v>90</v>
      </c>
      <c r="G72" s="70" t="s">
        <v>25</v>
      </c>
      <c r="H72" s="70" t="s">
        <v>25</v>
      </c>
      <c r="I72" s="70" t="s">
        <v>38</v>
      </c>
      <c r="J72" s="70" t="s">
        <v>601</v>
      </c>
      <c r="K72" s="70" t="s">
        <v>600</v>
      </c>
      <c r="L72" s="70" t="s">
        <v>74</v>
      </c>
      <c r="M72" s="70">
        <v>2021</v>
      </c>
      <c r="N72" s="70">
        <v>0</v>
      </c>
      <c r="O72" s="70">
        <v>186.3</v>
      </c>
      <c r="P72" s="70"/>
    </row>
    <row r="73" spans="1:16" ht="11.25" customHeight="1" x14ac:dyDescent="0.25">
      <c r="A73" s="70">
        <v>72</v>
      </c>
      <c r="B73" s="70" t="s">
        <v>488</v>
      </c>
      <c r="C73" s="70" t="s">
        <v>33</v>
      </c>
      <c r="D73" s="70" t="s">
        <v>88</v>
      </c>
      <c r="E73" s="70" t="s">
        <v>25</v>
      </c>
      <c r="F73" s="70" t="s">
        <v>25</v>
      </c>
      <c r="G73" s="70" t="s">
        <v>25</v>
      </c>
      <c r="H73" s="70" t="s">
        <v>25</v>
      </c>
      <c r="I73" s="70" t="s">
        <v>25</v>
      </c>
      <c r="J73" s="70" t="s">
        <v>601</v>
      </c>
      <c r="K73" s="70" t="s">
        <v>600</v>
      </c>
      <c r="L73" s="70" t="s">
        <v>74</v>
      </c>
      <c r="M73" s="70">
        <v>2021</v>
      </c>
      <c r="N73" s="70">
        <v>0</v>
      </c>
      <c r="O73" s="70">
        <v>224.01</v>
      </c>
      <c r="P73" s="70"/>
    </row>
    <row r="74" spans="1:16" ht="11.25" customHeight="1" x14ac:dyDescent="0.25">
      <c r="A74" s="70">
        <v>73</v>
      </c>
      <c r="B74" s="70" t="s">
        <v>488</v>
      </c>
      <c r="C74" s="70" t="s">
        <v>35</v>
      </c>
      <c r="D74" s="70" t="s">
        <v>73</v>
      </c>
      <c r="E74" s="70" t="s">
        <v>25</v>
      </c>
      <c r="F74" s="70" t="s">
        <v>25</v>
      </c>
      <c r="G74" s="70" t="s">
        <v>25</v>
      </c>
      <c r="H74" s="70" t="s">
        <v>25</v>
      </c>
      <c r="I74" s="70" t="s">
        <v>38</v>
      </c>
      <c r="J74" s="70" t="s">
        <v>601</v>
      </c>
      <c r="K74" s="70" t="s">
        <v>600</v>
      </c>
      <c r="L74" s="70" t="s">
        <v>74</v>
      </c>
      <c r="M74" s="70">
        <v>2021</v>
      </c>
      <c r="N74" s="70">
        <v>0</v>
      </c>
      <c r="O74" s="70">
        <v>211.71</v>
      </c>
      <c r="P74" s="70"/>
    </row>
    <row r="75" spans="1:16" ht="11.25" customHeight="1" x14ac:dyDescent="0.25">
      <c r="A75" s="70">
        <v>74</v>
      </c>
      <c r="B75" s="70" t="s">
        <v>488</v>
      </c>
      <c r="C75" s="70" t="s">
        <v>22</v>
      </c>
      <c r="D75" s="70" t="s">
        <v>88</v>
      </c>
      <c r="E75" s="70" t="s">
        <v>24</v>
      </c>
      <c r="F75" s="70" t="s">
        <v>31</v>
      </c>
      <c r="G75" s="70" t="s">
        <v>25</v>
      </c>
      <c r="H75" s="70" t="s">
        <v>25</v>
      </c>
      <c r="I75" s="70" t="s">
        <v>25</v>
      </c>
      <c r="J75" s="70" t="s">
        <v>601</v>
      </c>
      <c r="K75" s="70" t="s">
        <v>600</v>
      </c>
      <c r="L75" s="70" t="s">
        <v>74</v>
      </c>
      <c r="M75" s="70">
        <v>2021</v>
      </c>
      <c r="N75" s="70">
        <v>0</v>
      </c>
      <c r="O75" s="70">
        <v>201.61</v>
      </c>
      <c r="P75" s="70"/>
    </row>
    <row r="76" spans="1:16" ht="11.25" customHeight="1" x14ac:dyDescent="0.25">
      <c r="A76" s="70">
        <v>75</v>
      </c>
      <c r="B76" s="70" t="s">
        <v>488</v>
      </c>
      <c r="C76" s="70" t="s">
        <v>41</v>
      </c>
      <c r="D76" s="70" t="s">
        <v>77</v>
      </c>
      <c r="E76" s="70" t="s">
        <v>42</v>
      </c>
      <c r="F76" s="70" t="s">
        <v>91</v>
      </c>
      <c r="G76" s="70" t="s">
        <v>25</v>
      </c>
      <c r="H76" s="70" t="s">
        <v>25</v>
      </c>
      <c r="I76" s="70" t="s">
        <v>25</v>
      </c>
      <c r="J76" s="70" t="s">
        <v>601</v>
      </c>
      <c r="K76" s="70" t="s">
        <v>600</v>
      </c>
      <c r="L76" s="70" t="s">
        <v>74</v>
      </c>
      <c r="M76" s="70">
        <v>2021</v>
      </c>
      <c r="N76" s="70">
        <v>0</v>
      </c>
      <c r="O76" s="70">
        <v>188.17</v>
      </c>
      <c r="P76" s="70"/>
    </row>
    <row r="77" spans="1:16" ht="11.25" customHeight="1" x14ac:dyDescent="0.25">
      <c r="A77" s="70">
        <v>76</v>
      </c>
      <c r="B77" s="70" t="s">
        <v>488</v>
      </c>
      <c r="C77" s="70" t="s">
        <v>41</v>
      </c>
      <c r="D77" s="70" t="s">
        <v>73</v>
      </c>
      <c r="E77" s="70" t="s">
        <v>42</v>
      </c>
      <c r="F77" s="70" t="s">
        <v>25</v>
      </c>
      <c r="G77" s="70" t="s">
        <v>25</v>
      </c>
      <c r="H77" s="70" t="s">
        <v>25</v>
      </c>
      <c r="I77" s="70" t="s">
        <v>38</v>
      </c>
      <c r="J77" s="70" t="s">
        <v>601</v>
      </c>
      <c r="K77" s="70" t="s">
        <v>600</v>
      </c>
      <c r="L77" s="70" t="s">
        <v>74</v>
      </c>
      <c r="M77" s="70">
        <v>2021</v>
      </c>
      <c r="N77" s="70">
        <v>0</v>
      </c>
      <c r="O77" s="70">
        <v>186.3</v>
      </c>
      <c r="P77" s="70"/>
    </row>
    <row r="78" spans="1:16" ht="11.25" customHeight="1" x14ac:dyDescent="0.25">
      <c r="A78" s="70">
        <v>77</v>
      </c>
      <c r="B78" s="70" t="s">
        <v>488</v>
      </c>
      <c r="C78" s="70" t="s">
        <v>22</v>
      </c>
      <c r="D78" s="70" t="s">
        <v>88</v>
      </c>
      <c r="E78" s="70" t="s">
        <v>24</v>
      </c>
      <c r="F78" s="70" t="s">
        <v>24</v>
      </c>
      <c r="G78" s="70" t="s">
        <v>25</v>
      </c>
      <c r="H78" s="70" t="s">
        <v>25</v>
      </c>
      <c r="I78" s="70" t="s">
        <v>25</v>
      </c>
      <c r="J78" s="70" t="s">
        <v>601</v>
      </c>
      <c r="K78" s="70" t="s">
        <v>600</v>
      </c>
      <c r="L78" s="70" t="s">
        <v>74</v>
      </c>
      <c r="M78" s="70">
        <v>2021</v>
      </c>
      <c r="N78" s="70">
        <v>0</v>
      </c>
      <c r="O78" s="70">
        <v>224.01</v>
      </c>
      <c r="P78" s="70"/>
    </row>
    <row r="79" spans="1:16" ht="11.25" customHeight="1" x14ac:dyDescent="0.25">
      <c r="A79" s="70">
        <v>78</v>
      </c>
      <c r="B79" s="70" t="s">
        <v>488</v>
      </c>
      <c r="C79" s="70" t="s">
        <v>41</v>
      </c>
      <c r="D79" s="70" t="s">
        <v>73</v>
      </c>
      <c r="E79" s="70" t="s">
        <v>42</v>
      </c>
      <c r="F79" s="70" t="s">
        <v>91</v>
      </c>
      <c r="G79" s="70" t="s">
        <v>25</v>
      </c>
      <c r="H79" s="70" t="s">
        <v>25</v>
      </c>
      <c r="I79" s="70" t="s">
        <v>37</v>
      </c>
      <c r="J79" s="70" t="s">
        <v>601</v>
      </c>
      <c r="K79" s="70" t="s">
        <v>600</v>
      </c>
      <c r="L79" s="70" t="s">
        <v>74</v>
      </c>
      <c r="M79" s="70">
        <v>2021</v>
      </c>
      <c r="N79" s="70">
        <v>0</v>
      </c>
      <c r="O79" s="70">
        <v>301.83999999999997</v>
      </c>
      <c r="P79" s="70"/>
    </row>
    <row r="80" spans="1:16" ht="11.25" customHeight="1" x14ac:dyDescent="0.25">
      <c r="A80" s="70">
        <v>79</v>
      </c>
      <c r="B80" s="70" t="s">
        <v>488</v>
      </c>
      <c r="C80" s="70" t="s">
        <v>44</v>
      </c>
      <c r="D80" s="70" t="s">
        <v>77</v>
      </c>
      <c r="E80" s="70" t="s">
        <v>45</v>
      </c>
      <c r="F80" s="70" t="s">
        <v>92</v>
      </c>
      <c r="G80" s="70" t="s">
        <v>25</v>
      </c>
      <c r="H80" s="70" t="s">
        <v>25</v>
      </c>
      <c r="I80" s="70" t="s">
        <v>25</v>
      </c>
      <c r="J80" s="70" t="s">
        <v>601</v>
      </c>
      <c r="K80" s="70" t="s">
        <v>600</v>
      </c>
      <c r="L80" s="70" t="s">
        <v>74</v>
      </c>
      <c r="M80" s="70">
        <v>2021</v>
      </c>
      <c r="N80" s="70">
        <v>0</v>
      </c>
      <c r="O80" s="70">
        <v>134.4</v>
      </c>
      <c r="P80" s="70"/>
    </row>
    <row r="81" spans="1:16" ht="11.25" customHeight="1" x14ac:dyDescent="0.25">
      <c r="A81" s="70">
        <v>80</v>
      </c>
      <c r="B81" s="70" t="s">
        <v>488</v>
      </c>
      <c r="C81" s="70" t="s">
        <v>41</v>
      </c>
      <c r="D81" s="70" t="s">
        <v>73</v>
      </c>
      <c r="E81" s="70" t="s">
        <v>42</v>
      </c>
      <c r="F81" s="70" t="s">
        <v>91</v>
      </c>
      <c r="G81" s="70" t="s">
        <v>25</v>
      </c>
      <c r="H81" s="70" t="s">
        <v>25</v>
      </c>
      <c r="I81" s="70" t="s">
        <v>51</v>
      </c>
      <c r="J81" s="70" t="s">
        <v>601</v>
      </c>
      <c r="K81" s="70" t="s">
        <v>600</v>
      </c>
      <c r="L81" s="70" t="s">
        <v>74</v>
      </c>
      <c r="M81" s="70">
        <v>2021</v>
      </c>
      <c r="N81" s="70">
        <v>0</v>
      </c>
      <c r="O81" s="70">
        <v>177.83</v>
      </c>
      <c r="P81" s="70"/>
    </row>
    <row r="82" spans="1:16" ht="11.25" customHeight="1" x14ac:dyDescent="0.25">
      <c r="A82" s="70">
        <v>81</v>
      </c>
      <c r="B82" s="70" t="s">
        <v>460</v>
      </c>
      <c r="C82" s="70" t="s">
        <v>33</v>
      </c>
      <c r="D82" s="70" t="s">
        <v>50</v>
      </c>
      <c r="E82" s="70" t="s">
        <v>25</v>
      </c>
      <c r="F82" s="70" t="s">
        <v>25</v>
      </c>
      <c r="G82" s="70" t="s">
        <v>25</v>
      </c>
      <c r="H82" s="70" t="s">
        <v>25</v>
      </c>
      <c r="I82" s="70" t="s">
        <v>51</v>
      </c>
      <c r="J82" s="70" t="s">
        <v>601</v>
      </c>
      <c r="K82" s="70" t="s">
        <v>600</v>
      </c>
      <c r="L82" s="70" t="s">
        <v>74</v>
      </c>
      <c r="M82" s="70">
        <v>2021</v>
      </c>
      <c r="N82" s="70">
        <v>0</v>
      </c>
      <c r="O82" s="70">
        <v>636.30999999999995</v>
      </c>
      <c r="P82" s="70">
        <v>58.426729069251103</v>
      </c>
    </row>
    <row r="83" spans="1:16" ht="11.25" customHeight="1" x14ac:dyDescent="0.25">
      <c r="A83" s="70">
        <v>82</v>
      </c>
      <c r="B83" s="70" t="s">
        <v>488</v>
      </c>
      <c r="C83" s="70" t="s">
        <v>41</v>
      </c>
      <c r="D83" s="70" t="s">
        <v>73</v>
      </c>
      <c r="E83" s="70" t="s">
        <v>42</v>
      </c>
      <c r="F83" s="70" t="s">
        <v>90</v>
      </c>
      <c r="G83" s="70" t="s">
        <v>25</v>
      </c>
      <c r="H83" s="70" t="s">
        <v>25</v>
      </c>
      <c r="I83" s="70" t="s">
        <v>37</v>
      </c>
      <c r="J83" s="70" t="s">
        <v>601</v>
      </c>
      <c r="K83" s="70" t="s">
        <v>600</v>
      </c>
      <c r="L83" s="70" t="s">
        <v>74</v>
      </c>
      <c r="M83" s="70">
        <v>2021</v>
      </c>
      <c r="N83" s="70">
        <v>0</v>
      </c>
      <c r="O83" s="70">
        <v>316.20999999999998</v>
      </c>
      <c r="P83" s="70"/>
    </row>
    <row r="84" spans="1:16" ht="11.25" customHeight="1" x14ac:dyDescent="0.25">
      <c r="A84" s="70">
        <v>83</v>
      </c>
      <c r="B84" s="70" t="s">
        <v>488</v>
      </c>
      <c r="C84" s="70" t="s">
        <v>33</v>
      </c>
      <c r="D84" s="70" t="s">
        <v>73</v>
      </c>
      <c r="E84" s="70" t="s">
        <v>25</v>
      </c>
      <c r="F84" s="70" t="s">
        <v>25</v>
      </c>
      <c r="G84" s="70" t="s">
        <v>25</v>
      </c>
      <c r="H84" s="70" t="s">
        <v>25</v>
      </c>
      <c r="I84" s="70" t="s">
        <v>38</v>
      </c>
      <c r="J84" s="70" t="s">
        <v>601</v>
      </c>
      <c r="K84" s="70" t="s">
        <v>600</v>
      </c>
      <c r="L84" s="70" t="s">
        <v>74</v>
      </c>
      <c r="M84" s="70">
        <v>2021</v>
      </c>
      <c r="N84" s="70">
        <v>0</v>
      </c>
      <c r="O84" s="70">
        <v>211.71</v>
      </c>
      <c r="P84" s="70"/>
    </row>
    <row r="85" spans="1:16" ht="11.25" customHeight="1" x14ac:dyDescent="0.25">
      <c r="A85" s="70">
        <v>84</v>
      </c>
      <c r="B85" s="70" t="s">
        <v>488</v>
      </c>
      <c r="C85" s="70" t="s">
        <v>41</v>
      </c>
      <c r="D85" s="70" t="s">
        <v>73</v>
      </c>
      <c r="E85" s="70" t="s">
        <v>42</v>
      </c>
      <c r="F85" s="70" t="s">
        <v>90</v>
      </c>
      <c r="G85" s="70" t="s">
        <v>25</v>
      </c>
      <c r="H85" s="70" t="s">
        <v>25</v>
      </c>
      <c r="I85" s="70" t="s">
        <v>51</v>
      </c>
      <c r="J85" s="70" t="s">
        <v>601</v>
      </c>
      <c r="K85" s="70" t="s">
        <v>600</v>
      </c>
      <c r="L85" s="70" t="s">
        <v>74</v>
      </c>
      <c r="M85" s="70">
        <v>2021</v>
      </c>
      <c r="N85" s="70">
        <v>0</v>
      </c>
      <c r="O85" s="70">
        <v>186.3</v>
      </c>
      <c r="P85" s="70"/>
    </row>
    <row r="86" spans="1:16" ht="11.25" customHeight="1" x14ac:dyDescent="0.25">
      <c r="A86" s="70">
        <v>85</v>
      </c>
      <c r="B86" s="70" t="s">
        <v>488</v>
      </c>
      <c r="C86" s="70" t="s">
        <v>33</v>
      </c>
      <c r="D86" s="70" t="s">
        <v>77</v>
      </c>
      <c r="E86" s="70" t="s">
        <v>25</v>
      </c>
      <c r="F86" s="70" t="s">
        <v>25</v>
      </c>
      <c r="G86" s="70" t="s">
        <v>25</v>
      </c>
      <c r="H86" s="70" t="s">
        <v>25</v>
      </c>
      <c r="I86" s="70" t="s">
        <v>25</v>
      </c>
      <c r="J86" s="70" t="s">
        <v>601</v>
      </c>
      <c r="K86" s="70" t="s">
        <v>600</v>
      </c>
      <c r="L86" s="70" t="s">
        <v>74</v>
      </c>
      <c r="M86" s="70">
        <v>2021</v>
      </c>
      <c r="N86" s="70">
        <v>0</v>
      </c>
      <c r="O86" s="70">
        <v>224.01</v>
      </c>
      <c r="P86" s="70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ECB93-EC10-43C5-8B4C-755E1E6943A6}">
  <sheetPr codeName="Planilha6"/>
  <dimension ref="A1:AD49"/>
  <sheetViews>
    <sheetView showGridLines="0" workbookViewId="0">
      <selection sqref="A1:W49"/>
    </sheetView>
  </sheetViews>
  <sheetFormatPr defaultColWidth="9.140625"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20" width="7.85546875" style="9" bestFit="1" customWidth="1"/>
    <col min="21" max="21" width="14.140625" style="9" bestFit="1" customWidth="1"/>
    <col min="22" max="16384" width="9.140625" style="9"/>
  </cols>
  <sheetData>
    <row r="1" spans="1:30" ht="11.25" customHeight="1" x14ac:dyDescent="0.25">
      <c r="A1" s="10" t="s">
        <v>64</v>
      </c>
      <c r="B1" s="10" t="s">
        <v>65</v>
      </c>
      <c r="C1" s="10" t="s">
        <v>66</v>
      </c>
      <c r="D1" s="10" t="s">
        <v>67</v>
      </c>
      <c r="E1" s="10" t="s">
        <v>68</v>
      </c>
      <c r="F1" s="10" t="s">
        <v>69</v>
      </c>
      <c r="G1" s="10" t="s">
        <v>70</v>
      </c>
      <c r="H1" s="10" t="s">
        <v>71</v>
      </c>
      <c r="I1" s="11">
        <v>44409</v>
      </c>
      <c r="J1" s="11">
        <v>44440</v>
      </c>
      <c r="K1" s="11">
        <v>44470</v>
      </c>
      <c r="L1" s="11">
        <v>44501</v>
      </c>
      <c r="M1" s="11">
        <v>44531</v>
      </c>
      <c r="N1" s="11">
        <v>44562</v>
      </c>
      <c r="O1" s="11">
        <v>44593</v>
      </c>
      <c r="P1" s="11">
        <v>44621</v>
      </c>
      <c r="Q1" s="11">
        <v>44652</v>
      </c>
      <c r="R1" s="11">
        <v>44682</v>
      </c>
      <c r="S1" s="11">
        <v>44713</v>
      </c>
      <c r="T1" s="11">
        <v>44743</v>
      </c>
      <c r="U1" s="10" t="s">
        <v>72</v>
      </c>
      <c r="V1" s="10"/>
      <c r="W1" s="10"/>
      <c r="X1" s="7"/>
      <c r="Y1" s="7"/>
      <c r="Z1" s="7"/>
      <c r="AA1" s="7"/>
      <c r="AB1" s="7"/>
      <c r="AC1" s="7"/>
      <c r="AD1" s="7"/>
    </row>
    <row r="2" spans="1:30" ht="11.25" customHeight="1" x14ac:dyDescent="0.25">
      <c r="A2" s="130" t="s">
        <v>35</v>
      </c>
      <c r="B2" s="130" t="s">
        <v>36</v>
      </c>
      <c r="C2" s="130" t="s">
        <v>25</v>
      </c>
      <c r="D2" s="130" t="s">
        <v>25</v>
      </c>
      <c r="E2" s="130" t="s">
        <v>25</v>
      </c>
      <c r="F2" s="130" t="s">
        <v>25</v>
      </c>
      <c r="G2" s="13" t="s">
        <v>80</v>
      </c>
      <c r="H2" s="13" t="s">
        <v>79</v>
      </c>
      <c r="I2" s="13">
        <f>SUMIF(Mercado_Receita!$S$2:$S$641,"44409A4AzulNão se aplicaNão se aplicaNão se aplicaNão se aplicaPonta",Mercado_Receita!$J$2:$J$641)+SUMIF(Mercado_Receita!$S$2:$S$641,"44409A4AzulNão se aplicaNão se aplicaAPENão se aplicaPonta",Mercado_Receita!$J$2:$J$641)</f>
        <v>257</v>
      </c>
      <c r="J2" s="13">
        <f>SUMIF(Mercado_Receita!$S$2:$S$641,"44440A4AzulNão se aplicaNão se aplicaNão se aplicaNão se aplicaPonta",Mercado_Receita!$J$2:$J$641)+SUMIF(Mercado_Receita!$S$2:$S$641,"44440A4AzulNão se aplicaNão se aplicaAPENão se aplicaPonta",Mercado_Receita!$J$2:$J$641)</f>
        <v>253</v>
      </c>
      <c r="K2" s="13">
        <f>SUMIF(Mercado_Receita!$S$2:$S$641,"44470A4AzulNão se aplicaNão se aplicaNão se aplicaNão se aplicaPonta",Mercado_Receita!$J$2:$J$641)+SUMIF(Mercado_Receita!$S$2:$S$641,"44470A4AzulNão se aplicaNão se aplicaAPENão se aplicaPonta",Mercado_Receita!$J$2:$J$641)</f>
        <v>245</v>
      </c>
      <c r="L2" s="13">
        <f>SUMIF(Mercado_Receita!$S$2:$S$641,"44501A4AzulNão se aplicaNão se aplicaNão se aplicaNão se aplicaPonta",Mercado_Receita!$J$2:$J$641)+SUMIF(Mercado_Receita!$S$2:$S$641,"44501A4AzulNão se aplicaNão se aplicaAPENão se aplicaPonta",Mercado_Receita!$J$2:$J$641)</f>
        <v>240</v>
      </c>
      <c r="M2" s="13">
        <f>SUMIF(Mercado_Receita!$S$2:$S$641,"44531A4AzulNão se aplicaNão se aplicaNão se aplicaNão se aplicaPonta",Mercado_Receita!$J$2:$J$641)+SUMIF(Mercado_Receita!$S$2:$S$641,"44531A4AzulNão se aplicaNão se aplicaAPENão se aplicaPonta",Mercado_Receita!$J$2:$J$641)</f>
        <v>244</v>
      </c>
      <c r="N2" s="13">
        <f>SUMIF(Mercado_Receita!$S$2:$S$641,"44562A4AzulNão se aplicaNão se aplicaNão se aplicaNão se aplicaPonta",Mercado_Receita!$J$2:$J$641)+SUMIF(Mercado_Receita!$S$2:$S$641,"44562A4AzulNão se aplicaNão se aplicaAPENão se aplicaPonta",Mercado_Receita!$J$2:$J$641)</f>
        <v>243</v>
      </c>
      <c r="O2" s="13">
        <f>SUMIF(Mercado_Receita!$S$2:$S$641,"44593A4AzulNão se aplicaNão se aplicaNão se aplicaNão se aplicaPonta",Mercado_Receita!$J$2:$J$641)+SUMIF(Mercado_Receita!$S$2:$S$641,"44593A4AzulNão se aplicaNão se aplicaAPENão se aplicaPonta",Mercado_Receita!$J$2:$J$641)</f>
        <v>246</v>
      </c>
      <c r="P2" s="13">
        <f>SUMIF(Mercado_Receita!$S$2:$S$641,"44621A4AzulNão se aplicaNão se aplicaNão se aplicaNão se aplicaPonta",Mercado_Receita!$J$2:$J$641)+SUMIF(Mercado_Receita!$S$2:$S$641,"44621A4AzulNão se aplicaNão se aplicaAPENão se aplicaPonta",Mercado_Receita!$J$2:$J$641)</f>
        <v>250</v>
      </c>
      <c r="Q2" s="13">
        <f>SUMIF(Mercado_Receita!$S$2:$S$641,"44652A4AzulNão se aplicaNão se aplicaNão se aplicaNão se aplicaPonta",Mercado_Receita!$J$2:$J$641)+SUMIF(Mercado_Receita!$S$2:$S$641,"44652A4AzulNão se aplicaNão se aplicaAPENão se aplicaPonta",Mercado_Receita!$J$2:$J$641)</f>
        <v>248</v>
      </c>
      <c r="R2" s="13">
        <f>SUMIF(Mercado_Receita!$S$2:$S$641,"44682A4AzulNão se aplicaNão se aplicaNão se aplicaNão se aplicaPonta",Mercado_Receita!$J$2:$J$641)+SUMIF(Mercado_Receita!$S$2:$S$641,"44682A4AzulNão se aplicaNão se aplicaAPENão se aplicaPonta",Mercado_Receita!$J$2:$J$641)</f>
        <v>248</v>
      </c>
      <c r="S2" s="13">
        <f>SUMIF(Mercado_Receita!$S$2:$S$641,"44713A4AzulNão se aplicaNão se aplicaNão se aplicaNão se aplicaPonta",Mercado_Receita!$J$2:$J$641)+SUMIF(Mercado_Receita!$S$2:$S$641,"44713A4AzulNão se aplicaNão se aplicaAPENão se aplicaPonta",Mercado_Receita!$J$2:$J$641)</f>
        <v>246</v>
      </c>
      <c r="T2" s="13">
        <f>SUMIF(Mercado_Receita!$S$2:$S$641,"44743A4AzulNão se aplicaNão se aplicaNão se aplicaNão se aplicaPonta",Mercado_Receita!$J$2:$J$641)+SUMIF(Mercado_Receita!$S$2:$S$641,"44743A4AzulNão se aplicaNão se aplicaAPENão se aplicaPonta",Mercado_Receita!$J$2:$J$641)</f>
        <v>246</v>
      </c>
      <c r="U2" s="13">
        <f t="shared" ref="U2:U48" si="0">SUM(I2:T2)</f>
        <v>2966</v>
      </c>
      <c r="V2" s="13"/>
      <c r="W2" s="13"/>
    </row>
    <row r="3" spans="1:30" ht="11.25" customHeight="1" x14ac:dyDescent="0.25">
      <c r="A3" s="131"/>
      <c r="B3" s="131"/>
      <c r="C3" s="131"/>
      <c r="D3" s="131"/>
      <c r="E3" s="131"/>
      <c r="F3" s="131"/>
      <c r="G3" s="13" t="s">
        <v>81</v>
      </c>
      <c r="H3" s="13" t="s">
        <v>79</v>
      </c>
      <c r="I3" s="13">
        <f>SUMIF(Mercado_Receita!$S$2:$S$641,"44409A4AzulNão se aplicaNão se aplicaNão se aplicaNão se aplicaFora ponta",Mercado_Receita!$J$2:$J$641)+SUMIF(Mercado_Receita!$S$2:$S$641,"44409A4AzulNão se aplicaNão se aplicaAPENão se aplicaFora ponta",Mercado_Receita!$J$2:$J$641)</f>
        <v>2706</v>
      </c>
      <c r="J3" s="13">
        <f>SUMIF(Mercado_Receita!$S$2:$S$641,"44440A4AzulNão se aplicaNão se aplicaNão se aplicaNão se aplicaFora ponta",Mercado_Receita!$J$2:$J$641)+SUMIF(Mercado_Receita!$S$2:$S$641,"44440A4AzulNão se aplicaNão se aplicaAPENão se aplicaFora ponta",Mercado_Receita!$J$2:$J$641)</f>
        <v>2618</v>
      </c>
      <c r="K3" s="13">
        <f>SUMIF(Mercado_Receita!$S$2:$S$641,"44470A4AzulNão se aplicaNão se aplicaNão se aplicaNão se aplicaFora ponta",Mercado_Receita!$J$2:$J$641)+SUMIF(Mercado_Receita!$S$2:$S$641,"44470A4AzulNão se aplicaNão se aplicaAPENão se aplicaFora ponta",Mercado_Receita!$J$2:$J$641)</f>
        <v>2691</v>
      </c>
      <c r="L3" s="13">
        <f>SUMIF(Mercado_Receita!$S$2:$S$641,"44501A4AzulNão se aplicaNão se aplicaNão se aplicaNão se aplicaFora ponta",Mercado_Receita!$J$2:$J$641)+SUMIF(Mercado_Receita!$S$2:$S$641,"44501A4AzulNão se aplicaNão se aplicaAPENão se aplicaFora ponta",Mercado_Receita!$J$2:$J$641)</f>
        <v>2809</v>
      </c>
      <c r="M3" s="13">
        <f>SUMIF(Mercado_Receita!$S$2:$S$641,"44531A4AzulNão se aplicaNão se aplicaNão se aplicaNão se aplicaFora ponta",Mercado_Receita!$J$2:$J$641)+SUMIF(Mercado_Receita!$S$2:$S$641,"44531A4AzulNão se aplicaNão se aplicaAPENão se aplicaFora ponta",Mercado_Receita!$J$2:$J$641)</f>
        <v>2721</v>
      </c>
      <c r="N3" s="13">
        <f>SUMIF(Mercado_Receita!$S$2:$S$641,"44562A4AzulNão se aplicaNão se aplicaNão se aplicaNão se aplicaFora ponta",Mercado_Receita!$J$2:$J$641)+SUMIF(Mercado_Receita!$S$2:$S$641,"44562A4AzulNão se aplicaNão se aplicaAPENão se aplicaFora ponta",Mercado_Receita!$J$2:$J$641)</f>
        <v>2693</v>
      </c>
      <c r="O3" s="13">
        <f>SUMIF(Mercado_Receita!$S$2:$S$641,"44593A4AzulNão se aplicaNão se aplicaNão se aplicaNão se aplicaFora ponta",Mercado_Receita!$J$2:$J$641)+SUMIF(Mercado_Receita!$S$2:$S$641,"44593A4AzulNão se aplicaNão se aplicaAPENão se aplicaFora ponta",Mercado_Receita!$J$2:$J$641)</f>
        <v>2694</v>
      </c>
      <c r="P3" s="13">
        <f>SUMIF(Mercado_Receita!$S$2:$S$641,"44621A4AzulNão se aplicaNão se aplicaNão se aplicaNão se aplicaFora ponta",Mercado_Receita!$J$2:$J$641)+SUMIF(Mercado_Receita!$S$2:$S$641,"44621A4AzulNão se aplicaNão se aplicaAPENão se aplicaFora ponta",Mercado_Receita!$J$2:$J$641)</f>
        <v>2260</v>
      </c>
      <c r="Q3" s="13">
        <f>SUMIF(Mercado_Receita!$S$2:$S$641,"44652A4AzulNão se aplicaNão se aplicaNão se aplicaNão se aplicaFora ponta",Mercado_Receita!$J$2:$J$641)+SUMIF(Mercado_Receita!$S$2:$S$641,"44652A4AzulNão se aplicaNão se aplicaAPENão se aplicaFora ponta",Mercado_Receita!$J$2:$J$641)</f>
        <v>2616</v>
      </c>
      <c r="R3" s="13">
        <f>SUMIF(Mercado_Receita!$S$2:$S$641,"44682A4AzulNão se aplicaNão se aplicaNão se aplicaNão se aplicaFora ponta",Mercado_Receita!$J$2:$J$641)+SUMIF(Mercado_Receita!$S$2:$S$641,"44682A4AzulNão se aplicaNão se aplicaAPENão se aplicaFora ponta",Mercado_Receita!$J$2:$J$641)</f>
        <v>2694</v>
      </c>
      <c r="S3" s="13">
        <f>SUMIF(Mercado_Receita!$S$2:$S$641,"44713A4AzulNão se aplicaNão se aplicaNão se aplicaNão se aplicaFora ponta",Mercado_Receita!$J$2:$J$641)+SUMIF(Mercado_Receita!$S$2:$S$641,"44713A4AzulNão se aplicaNão se aplicaAPENão se aplicaFora ponta",Mercado_Receita!$J$2:$J$641)</f>
        <v>2693</v>
      </c>
      <c r="T3" s="13">
        <f>SUMIF(Mercado_Receita!$S$2:$S$641,"44743A4AzulNão se aplicaNão se aplicaNão se aplicaNão se aplicaFora ponta",Mercado_Receita!$J$2:$J$641)+SUMIF(Mercado_Receita!$S$2:$S$641,"44743A4AzulNão se aplicaNão se aplicaAPENão se aplicaFora ponta",Mercado_Receita!$J$2:$J$641)</f>
        <v>2693</v>
      </c>
      <c r="U3" s="13">
        <f t="shared" si="0"/>
        <v>31888</v>
      </c>
      <c r="V3" s="13"/>
      <c r="W3" s="13"/>
    </row>
    <row r="4" spans="1:30" ht="11.25" customHeight="1" x14ac:dyDescent="0.25">
      <c r="A4" s="131"/>
      <c r="B4" s="131"/>
      <c r="C4" s="131"/>
      <c r="D4" s="131"/>
      <c r="E4" s="131"/>
      <c r="F4" s="131"/>
      <c r="G4" s="13" t="s">
        <v>78</v>
      </c>
      <c r="H4" s="13" t="s">
        <v>74</v>
      </c>
      <c r="I4" s="13">
        <f>SUMIF(Mercado_Receita!$S$2:$S$641,"44409A4AzulNão se aplicaNão se aplicaNão se aplicaNão se aplicaPonta",Mercado_Receita!$L$2:$L$641)+SUMIF(Mercado_Receita!$S$2:$S$641,"44409A4AzulNão se aplicaNão se aplicaNão se aplicaNão se aplicaFora ponta",Mercado_Receita!$L$2:$L$641)+SUMIF(Mercado_Receita!$S$2:$S$641,"44409A4AzulNão se aplicaNão se aplicaNão se aplicaNão se aplicaIntermediário",Mercado_Receita!$L$2:$L$641)+SUMIF(Mercado_Receita!$S$2:$S$641,"44409A4AzulNão se aplicaNão se aplicaNão se aplicaNão se aplicaNão se aplica",Mercado_Receita!$L$2:$L$641)</f>
        <v>1125.3030000000001</v>
      </c>
      <c r="J4" s="13">
        <f>SUMIF(Mercado_Receita!$S$2:$S$641,"44440A4AzulNão se aplicaNão se aplicaNão se aplicaNão se aplicaPonta",Mercado_Receita!$L$2:$L$641)+SUMIF(Mercado_Receita!$S$2:$S$641,"44440A4AzulNão se aplicaNão se aplicaNão se aplicaNão se aplicaFora ponta",Mercado_Receita!$L$2:$L$641)+SUMIF(Mercado_Receita!$S$2:$S$641,"44440A4AzulNão se aplicaNão se aplicaNão se aplicaNão se aplicaIntermediário",Mercado_Receita!$L$2:$L$641)+SUMIF(Mercado_Receita!$S$2:$S$641,"44440A4AzulNão se aplicaNão se aplicaNão se aplicaNão se aplicaNão se aplica",Mercado_Receita!$L$2:$L$641)</f>
        <v>1175.5640000000001</v>
      </c>
      <c r="K4" s="13">
        <f>SUMIF(Mercado_Receita!$S$2:$S$641,"44470A4AzulNão se aplicaNão se aplicaNão se aplicaNão se aplicaPonta",Mercado_Receita!$L$2:$L$641)+SUMIF(Mercado_Receita!$S$2:$S$641,"44470A4AzulNão se aplicaNão se aplicaNão se aplicaNão se aplicaFora ponta",Mercado_Receita!$L$2:$L$641)+SUMIF(Mercado_Receita!$S$2:$S$641,"44470A4AzulNão se aplicaNão se aplicaNão se aplicaNão se aplicaIntermediário",Mercado_Receita!$L$2:$L$641)+SUMIF(Mercado_Receita!$S$2:$S$641,"44470A4AzulNão se aplicaNão se aplicaNão se aplicaNão se aplicaNão se aplica",Mercado_Receita!$L$2:$L$641)</f>
        <v>910.26199999999994</v>
      </c>
      <c r="L4" s="13">
        <f>SUMIF(Mercado_Receita!$S$2:$S$641,"44501A4AzulNão se aplicaNão se aplicaNão se aplicaNão se aplicaPonta",Mercado_Receita!$L$2:$L$641)+SUMIF(Mercado_Receita!$S$2:$S$641,"44501A4AzulNão se aplicaNão se aplicaNão se aplicaNão se aplicaFora ponta",Mercado_Receita!$L$2:$L$641)+SUMIF(Mercado_Receita!$S$2:$S$641,"44501A4AzulNão se aplicaNão se aplicaNão se aplicaNão se aplicaIntermediário",Mercado_Receita!$L$2:$L$641)+SUMIF(Mercado_Receita!$S$2:$S$641,"44501A4AzulNão se aplicaNão se aplicaNão se aplicaNão se aplicaNão se aplica",Mercado_Receita!$L$2:$L$641)</f>
        <v>1218.6509999999998</v>
      </c>
      <c r="M4" s="13">
        <f>SUMIF(Mercado_Receita!$S$2:$S$641,"44531A4AzulNão se aplicaNão se aplicaNão se aplicaNão se aplicaPonta",Mercado_Receita!$L$2:$L$641)+SUMIF(Mercado_Receita!$S$2:$S$641,"44531A4AzulNão se aplicaNão se aplicaNão se aplicaNão se aplicaFora ponta",Mercado_Receita!$L$2:$L$641)+SUMIF(Mercado_Receita!$S$2:$S$641,"44531A4AzulNão se aplicaNão se aplicaNão se aplicaNão se aplicaIntermediário",Mercado_Receita!$L$2:$L$641)+SUMIF(Mercado_Receita!$S$2:$S$641,"44531A4AzulNão se aplicaNão se aplicaNão se aplicaNão se aplicaNão se aplica",Mercado_Receita!$L$2:$L$641)</f>
        <v>1027.7070000000001</v>
      </c>
      <c r="N4" s="13">
        <f>SUMIF(Mercado_Receita!$S$2:$S$641,"44562A4AzulNão se aplicaNão se aplicaNão se aplicaNão se aplicaPonta",Mercado_Receita!$L$2:$L$641)+SUMIF(Mercado_Receita!$S$2:$S$641,"44562A4AzulNão se aplicaNão se aplicaNão se aplicaNão se aplicaFora ponta",Mercado_Receita!$L$2:$L$641)+SUMIF(Mercado_Receita!$S$2:$S$641,"44562A4AzulNão se aplicaNão se aplicaNão se aplicaNão se aplicaIntermediário",Mercado_Receita!$L$2:$L$641)+SUMIF(Mercado_Receita!$S$2:$S$641,"44562A4AzulNão se aplicaNão se aplicaNão se aplicaNão se aplicaNão se aplica",Mercado_Receita!$L$2:$L$641)</f>
        <v>887.69499999999994</v>
      </c>
      <c r="O4" s="13">
        <f>SUMIF(Mercado_Receita!$S$2:$S$641,"44593A4AzulNão se aplicaNão se aplicaNão se aplicaNão se aplicaPonta",Mercado_Receita!$L$2:$L$641)+SUMIF(Mercado_Receita!$S$2:$S$641,"44593A4AzulNão se aplicaNão se aplicaNão se aplicaNão se aplicaFora ponta",Mercado_Receita!$L$2:$L$641)+SUMIF(Mercado_Receita!$S$2:$S$641,"44593A4AzulNão se aplicaNão se aplicaNão se aplicaNão se aplicaIntermediário",Mercado_Receita!$L$2:$L$641)+SUMIF(Mercado_Receita!$S$2:$S$641,"44593A4AzulNão se aplicaNão se aplicaNão se aplicaNão se aplicaNão se aplica",Mercado_Receita!$L$2:$L$641)</f>
        <v>841.86799999999994</v>
      </c>
      <c r="P4" s="13">
        <f>SUMIF(Mercado_Receita!$S$2:$S$641,"44621A4AzulNão se aplicaNão se aplicaNão se aplicaNão se aplicaPonta",Mercado_Receita!$L$2:$L$641)+SUMIF(Mercado_Receita!$S$2:$S$641,"44621A4AzulNão se aplicaNão se aplicaNão se aplicaNão se aplicaFora ponta",Mercado_Receita!$L$2:$L$641)+SUMIF(Mercado_Receita!$S$2:$S$641,"44621A4AzulNão se aplicaNão se aplicaNão se aplicaNão se aplicaIntermediário",Mercado_Receita!$L$2:$L$641)+SUMIF(Mercado_Receita!$S$2:$S$641,"44621A4AzulNão se aplicaNão se aplicaNão se aplicaNão se aplicaNão se aplica",Mercado_Receita!$L$2:$L$641)</f>
        <v>872.52499999999998</v>
      </c>
      <c r="Q4" s="13">
        <f>SUMIF(Mercado_Receita!$S$2:$S$641,"44652A4AzulNão se aplicaNão se aplicaNão se aplicaNão se aplicaPonta",Mercado_Receita!$L$2:$L$641)+SUMIF(Mercado_Receita!$S$2:$S$641,"44652A4AzulNão se aplicaNão se aplicaNão se aplicaNão se aplicaFora ponta",Mercado_Receita!$L$2:$L$641)+SUMIF(Mercado_Receita!$S$2:$S$641,"44652A4AzulNão se aplicaNão se aplicaNão se aplicaNão se aplicaIntermediário",Mercado_Receita!$L$2:$L$641)+SUMIF(Mercado_Receita!$S$2:$S$641,"44652A4AzulNão se aplicaNão se aplicaNão se aplicaNão se aplicaNão se aplica",Mercado_Receita!$L$2:$L$641)</f>
        <v>1023.739</v>
      </c>
      <c r="R4" s="13">
        <f>SUMIF(Mercado_Receita!$S$2:$S$641,"44682A4AzulNão se aplicaNão se aplicaNão se aplicaNão se aplicaPonta",Mercado_Receita!$L$2:$L$641)+SUMIF(Mercado_Receita!$S$2:$S$641,"44682A4AzulNão se aplicaNão se aplicaNão se aplicaNão se aplicaFora ponta",Mercado_Receita!$L$2:$L$641)+SUMIF(Mercado_Receita!$S$2:$S$641,"44682A4AzulNão se aplicaNão se aplicaNão se aplicaNão se aplicaIntermediário",Mercado_Receita!$L$2:$L$641)+SUMIF(Mercado_Receita!$S$2:$S$641,"44682A4AzulNão se aplicaNão se aplicaNão se aplicaNão se aplicaNão se aplica",Mercado_Receita!$L$2:$L$641)</f>
        <v>1149.77</v>
      </c>
      <c r="S4" s="13">
        <f>SUMIF(Mercado_Receita!$S$2:$S$641,"44713A4AzulNão se aplicaNão se aplicaNão se aplicaNão se aplicaPonta",Mercado_Receita!$L$2:$L$641)+SUMIF(Mercado_Receita!$S$2:$S$641,"44713A4AzulNão se aplicaNão se aplicaNão se aplicaNão se aplicaFora ponta",Mercado_Receita!$L$2:$L$641)+SUMIF(Mercado_Receita!$S$2:$S$641,"44713A4AzulNão se aplicaNão se aplicaNão se aplicaNão se aplicaIntermediário",Mercado_Receita!$L$2:$L$641)+SUMIF(Mercado_Receita!$S$2:$S$641,"44713A4AzulNão se aplicaNão se aplicaNão se aplicaNão se aplicaNão se aplica",Mercado_Receita!$L$2:$L$641)</f>
        <v>918.601</v>
      </c>
      <c r="T4" s="13">
        <f>SUMIF(Mercado_Receita!$S$2:$S$641,"44743A4AzulNão se aplicaNão se aplicaNão se aplicaNão se aplicaPonta",Mercado_Receita!$L$2:$L$641)+SUMIF(Mercado_Receita!$S$2:$S$641,"44743A4AzulNão se aplicaNão se aplicaNão se aplicaNão se aplicaFora ponta",Mercado_Receita!$L$2:$L$641)+SUMIF(Mercado_Receita!$S$2:$S$641,"44743A4AzulNão se aplicaNão se aplicaNão se aplicaNão se aplicaIntermediário",Mercado_Receita!$L$2:$L$641)+SUMIF(Mercado_Receita!$S$2:$S$641,"44743A4AzulNão se aplicaNão se aplicaNão se aplicaNão se aplicaNão se aplica",Mercado_Receita!$L$2:$L$641)</f>
        <v>918.601</v>
      </c>
      <c r="U4" s="13">
        <f t="shared" si="0"/>
        <v>12070.286</v>
      </c>
      <c r="V4" s="13"/>
      <c r="W4" s="13"/>
    </row>
    <row r="5" spans="1:30" ht="11.25" customHeight="1" x14ac:dyDescent="0.25">
      <c r="A5" s="131"/>
      <c r="B5" s="131"/>
      <c r="C5" s="131"/>
      <c r="D5" s="131"/>
      <c r="E5" s="12" t="s">
        <v>82</v>
      </c>
      <c r="F5" s="12" t="s">
        <v>25</v>
      </c>
      <c r="G5" s="13" t="s">
        <v>78</v>
      </c>
      <c r="H5" s="13" t="s">
        <v>74</v>
      </c>
      <c r="I5" s="13">
        <f>SUMIF(Mercado_Receita!$S$2:$S$641,"44409A4AzulNão se aplicaNão se aplicaAPENão se aplicaPonta",Mercado_Receita!$L$2:$L$641)+SUMIF(Mercado_Receita!$S$2:$S$641,"44409A4AzulNão se aplicaNão se aplicaAPENão se aplicaFora ponta",Mercado_Receita!$L$2:$L$641)+SUMIF(Mercado_Receita!$S$2:$S$641,"44409A4AzulNão se aplicaNão se aplicaAPENão se aplicaIntermediário",Mercado_Receita!$L$2:$L$641)+SUMIF(Mercado_Receita!$S$2:$S$641,"44409A4AzulNão se aplicaNão se aplicaAPENão se aplicaNão se aplica",Mercado_Receita!$L$2:$L$641)</f>
        <v>0</v>
      </c>
      <c r="J5" s="13">
        <f>SUMIF(Mercado_Receita!$S$2:$S$641,"44440A4AzulNão se aplicaNão se aplicaAPENão se aplicaPonta",Mercado_Receita!$L$2:$L$641)+SUMIF(Mercado_Receita!$S$2:$S$641,"44440A4AzulNão se aplicaNão se aplicaAPENão se aplicaFora ponta",Mercado_Receita!$L$2:$L$641)+SUMIF(Mercado_Receita!$S$2:$S$641,"44440A4AzulNão se aplicaNão se aplicaAPENão se aplicaIntermediário",Mercado_Receita!$L$2:$L$641)+SUMIF(Mercado_Receita!$S$2:$S$641,"44440A4AzulNão se aplicaNão se aplicaAPENão se aplicaNão se aplica",Mercado_Receita!$L$2:$L$641)</f>
        <v>0</v>
      </c>
      <c r="K5" s="13">
        <f>SUMIF(Mercado_Receita!$S$2:$S$641,"44470A4AzulNão se aplicaNão se aplicaAPENão se aplicaPonta",Mercado_Receita!$L$2:$L$641)+SUMIF(Mercado_Receita!$S$2:$S$641,"44470A4AzulNão se aplicaNão se aplicaAPENão se aplicaFora ponta",Mercado_Receita!$L$2:$L$641)+SUMIF(Mercado_Receita!$S$2:$S$641,"44470A4AzulNão se aplicaNão se aplicaAPENão se aplicaIntermediário",Mercado_Receita!$L$2:$L$641)+SUMIF(Mercado_Receita!$S$2:$S$641,"44470A4AzulNão se aplicaNão se aplicaAPENão se aplicaNão se aplica",Mercado_Receita!$L$2:$L$641)</f>
        <v>0</v>
      </c>
      <c r="L5" s="13">
        <f>SUMIF(Mercado_Receita!$S$2:$S$641,"44501A4AzulNão se aplicaNão se aplicaAPENão se aplicaPonta",Mercado_Receita!$L$2:$L$641)+SUMIF(Mercado_Receita!$S$2:$S$641,"44501A4AzulNão se aplicaNão se aplicaAPENão se aplicaFora ponta",Mercado_Receita!$L$2:$L$641)+SUMIF(Mercado_Receita!$S$2:$S$641,"44501A4AzulNão se aplicaNão se aplicaAPENão se aplicaIntermediário",Mercado_Receita!$L$2:$L$641)+SUMIF(Mercado_Receita!$S$2:$S$641,"44501A4AzulNão se aplicaNão se aplicaAPENão se aplicaNão se aplica",Mercado_Receita!$L$2:$L$641)</f>
        <v>0</v>
      </c>
      <c r="M5" s="13">
        <f>SUMIF(Mercado_Receita!$S$2:$S$641,"44531A4AzulNão se aplicaNão se aplicaAPENão se aplicaPonta",Mercado_Receita!$L$2:$L$641)+SUMIF(Mercado_Receita!$S$2:$S$641,"44531A4AzulNão se aplicaNão se aplicaAPENão se aplicaFora ponta",Mercado_Receita!$L$2:$L$641)+SUMIF(Mercado_Receita!$S$2:$S$641,"44531A4AzulNão se aplicaNão se aplicaAPENão se aplicaIntermediário",Mercado_Receita!$L$2:$L$641)+SUMIF(Mercado_Receita!$S$2:$S$641,"44531A4AzulNão se aplicaNão se aplicaAPENão se aplicaNão se aplica",Mercado_Receita!$L$2:$L$641)</f>
        <v>0</v>
      </c>
      <c r="N5" s="13">
        <f>SUMIF(Mercado_Receita!$S$2:$S$641,"44562A4AzulNão se aplicaNão se aplicaAPENão se aplicaPonta",Mercado_Receita!$L$2:$L$641)+SUMIF(Mercado_Receita!$S$2:$S$641,"44562A4AzulNão se aplicaNão se aplicaAPENão se aplicaFora ponta",Mercado_Receita!$L$2:$L$641)+SUMIF(Mercado_Receita!$S$2:$S$641,"44562A4AzulNão se aplicaNão se aplicaAPENão se aplicaIntermediário",Mercado_Receita!$L$2:$L$641)+SUMIF(Mercado_Receita!$S$2:$S$641,"44562A4AzulNão se aplicaNão se aplicaAPENão se aplicaNão se aplica",Mercado_Receita!$L$2:$L$641)</f>
        <v>0</v>
      </c>
      <c r="O5" s="13">
        <f>SUMIF(Mercado_Receita!$S$2:$S$641,"44593A4AzulNão se aplicaNão se aplicaAPENão se aplicaPonta",Mercado_Receita!$L$2:$L$641)+SUMIF(Mercado_Receita!$S$2:$S$641,"44593A4AzulNão se aplicaNão se aplicaAPENão se aplicaFora ponta",Mercado_Receita!$L$2:$L$641)+SUMIF(Mercado_Receita!$S$2:$S$641,"44593A4AzulNão se aplicaNão se aplicaAPENão se aplicaIntermediário",Mercado_Receita!$L$2:$L$641)+SUMIF(Mercado_Receita!$S$2:$S$641,"44593A4AzulNão se aplicaNão se aplicaAPENão se aplicaNão se aplica",Mercado_Receita!$L$2:$L$641)</f>
        <v>0</v>
      </c>
      <c r="P5" s="13">
        <f>SUMIF(Mercado_Receita!$S$2:$S$641,"44621A4AzulNão se aplicaNão se aplicaAPENão se aplicaPonta",Mercado_Receita!$L$2:$L$641)+SUMIF(Mercado_Receita!$S$2:$S$641,"44621A4AzulNão se aplicaNão se aplicaAPENão se aplicaFora ponta",Mercado_Receita!$L$2:$L$641)+SUMIF(Mercado_Receita!$S$2:$S$641,"44621A4AzulNão se aplicaNão se aplicaAPENão se aplicaIntermediário",Mercado_Receita!$L$2:$L$641)+SUMIF(Mercado_Receita!$S$2:$S$641,"44621A4AzulNão se aplicaNão se aplicaAPENão se aplicaNão se aplica",Mercado_Receita!$L$2:$L$641)</f>
        <v>0</v>
      </c>
      <c r="Q5" s="13">
        <f>SUMIF(Mercado_Receita!$S$2:$S$641,"44652A4AzulNão se aplicaNão se aplicaAPENão se aplicaPonta",Mercado_Receita!$L$2:$L$641)+SUMIF(Mercado_Receita!$S$2:$S$641,"44652A4AzulNão se aplicaNão se aplicaAPENão se aplicaFora ponta",Mercado_Receita!$L$2:$L$641)+SUMIF(Mercado_Receita!$S$2:$S$641,"44652A4AzulNão se aplicaNão se aplicaAPENão se aplicaIntermediário",Mercado_Receita!$L$2:$L$641)+SUMIF(Mercado_Receita!$S$2:$S$641,"44652A4AzulNão se aplicaNão se aplicaAPENão se aplicaNão se aplica",Mercado_Receita!$L$2:$L$641)</f>
        <v>0</v>
      </c>
      <c r="R5" s="13">
        <f>SUMIF(Mercado_Receita!$S$2:$S$641,"44682A4AzulNão se aplicaNão se aplicaAPENão se aplicaPonta",Mercado_Receita!$L$2:$L$641)+SUMIF(Mercado_Receita!$S$2:$S$641,"44682A4AzulNão se aplicaNão se aplicaAPENão se aplicaFora ponta",Mercado_Receita!$L$2:$L$641)+SUMIF(Mercado_Receita!$S$2:$S$641,"44682A4AzulNão se aplicaNão se aplicaAPENão se aplicaIntermediário",Mercado_Receita!$L$2:$L$641)+SUMIF(Mercado_Receita!$S$2:$S$641,"44682A4AzulNão se aplicaNão se aplicaAPENão se aplicaNão se aplica",Mercado_Receita!$L$2:$L$641)</f>
        <v>0</v>
      </c>
      <c r="S5" s="13">
        <f>SUMIF(Mercado_Receita!$S$2:$S$641,"44713A4AzulNão se aplicaNão se aplicaAPENão se aplicaPonta",Mercado_Receita!$L$2:$L$641)+SUMIF(Mercado_Receita!$S$2:$S$641,"44713A4AzulNão se aplicaNão se aplicaAPENão se aplicaFora ponta",Mercado_Receita!$L$2:$L$641)+SUMIF(Mercado_Receita!$S$2:$S$641,"44713A4AzulNão se aplicaNão se aplicaAPENão se aplicaIntermediário",Mercado_Receita!$L$2:$L$641)+SUMIF(Mercado_Receita!$S$2:$S$641,"44713A4AzulNão se aplicaNão se aplicaAPENão se aplicaNão se aplica",Mercado_Receita!$L$2:$L$641)</f>
        <v>0</v>
      </c>
      <c r="T5" s="13">
        <f>SUMIF(Mercado_Receita!$S$2:$S$641,"44743A4AzulNão se aplicaNão se aplicaAPENão se aplicaPonta",Mercado_Receita!$L$2:$L$641)+SUMIF(Mercado_Receita!$S$2:$S$641,"44743A4AzulNão se aplicaNão se aplicaAPENão se aplicaFora ponta",Mercado_Receita!$L$2:$L$641)+SUMIF(Mercado_Receita!$S$2:$S$641,"44743A4AzulNão se aplicaNão se aplicaAPENão se aplicaIntermediário",Mercado_Receita!$L$2:$L$641)+SUMIF(Mercado_Receita!$S$2:$S$641,"44743A4AzulNão se aplicaNão se aplicaAPENão se aplicaNão se aplica",Mercado_Receita!$L$2:$L$641)</f>
        <v>0</v>
      </c>
      <c r="U5" s="13">
        <f t="shared" si="0"/>
        <v>0</v>
      </c>
      <c r="V5" s="13"/>
      <c r="W5" s="13"/>
    </row>
    <row r="6" spans="1:30" ht="11.25" customHeight="1" x14ac:dyDescent="0.25">
      <c r="A6" s="131"/>
      <c r="B6" s="12" t="s">
        <v>83</v>
      </c>
      <c r="C6" s="12" t="s">
        <v>25</v>
      </c>
      <c r="D6" s="12" t="s">
        <v>25</v>
      </c>
      <c r="E6" s="12" t="s">
        <v>25</v>
      </c>
      <c r="F6" s="12" t="s">
        <v>25</v>
      </c>
      <c r="G6" s="13" t="s">
        <v>9</v>
      </c>
      <c r="H6" s="13" t="s">
        <v>79</v>
      </c>
      <c r="I6" s="13">
        <f>SUMIF(Mercado_Receita!$S$2:$S$641,"44409A4GeraçãoNão se aplicaNão se aplicaNão se aplicaNão se aplicaNão se aplica",Mercado_Receita!$J$2:$J$641)+SUMIF(Mercado_Receita!$S$2:$S$641,"44409A4GeraçãoNão se aplicaNão se aplicaAPENão se aplicaNão se aplica",Mercado_Receita!$J$2:$J$641)</f>
        <v>0</v>
      </c>
      <c r="J6" s="13">
        <f>SUMIF(Mercado_Receita!$S$2:$S$641,"44440A4GeraçãoNão se aplicaNão se aplicaNão se aplicaNão se aplicaNão se aplica",Mercado_Receita!$J$2:$J$641)+SUMIF(Mercado_Receita!$S$2:$S$641,"44440A4GeraçãoNão se aplicaNão se aplicaAPENão se aplicaNão se aplica",Mercado_Receita!$J$2:$J$641)</f>
        <v>0</v>
      </c>
      <c r="K6" s="13">
        <f>SUMIF(Mercado_Receita!$S$2:$S$641,"44470A4GeraçãoNão se aplicaNão se aplicaNão se aplicaNão se aplicaNão se aplica",Mercado_Receita!$J$2:$J$641)+SUMIF(Mercado_Receita!$S$2:$S$641,"44470A4GeraçãoNão se aplicaNão se aplicaAPENão se aplicaNão se aplica",Mercado_Receita!$J$2:$J$641)</f>
        <v>0</v>
      </c>
      <c r="L6" s="13">
        <f>SUMIF(Mercado_Receita!$S$2:$S$641,"44501A4GeraçãoNão se aplicaNão se aplicaNão se aplicaNão se aplicaNão se aplica",Mercado_Receita!$J$2:$J$641)+SUMIF(Mercado_Receita!$S$2:$S$641,"44501A4GeraçãoNão se aplicaNão se aplicaAPENão se aplicaNão se aplica",Mercado_Receita!$J$2:$J$641)</f>
        <v>0</v>
      </c>
      <c r="M6" s="13">
        <f>SUMIF(Mercado_Receita!$S$2:$S$641,"44531A4GeraçãoNão se aplicaNão se aplicaNão se aplicaNão se aplicaNão se aplica",Mercado_Receita!$J$2:$J$641)+SUMIF(Mercado_Receita!$S$2:$S$641,"44531A4GeraçãoNão se aplicaNão se aplicaAPENão se aplicaNão se aplica",Mercado_Receita!$J$2:$J$641)</f>
        <v>0</v>
      </c>
      <c r="N6" s="13">
        <f>SUMIF(Mercado_Receita!$S$2:$S$641,"44562A4GeraçãoNão se aplicaNão se aplicaNão se aplicaNão se aplicaNão se aplica",Mercado_Receita!$J$2:$J$641)+SUMIF(Mercado_Receita!$S$2:$S$641,"44562A4GeraçãoNão se aplicaNão se aplicaAPENão se aplicaNão se aplica",Mercado_Receita!$J$2:$J$641)</f>
        <v>0</v>
      </c>
      <c r="O6" s="13">
        <f>SUMIF(Mercado_Receita!$S$2:$S$641,"44593A4GeraçãoNão se aplicaNão se aplicaNão se aplicaNão se aplicaNão se aplica",Mercado_Receita!$J$2:$J$641)+SUMIF(Mercado_Receita!$S$2:$S$641,"44593A4GeraçãoNão se aplicaNão se aplicaAPENão se aplicaNão se aplica",Mercado_Receita!$J$2:$J$641)</f>
        <v>0</v>
      </c>
      <c r="P6" s="13">
        <f>SUMIF(Mercado_Receita!$S$2:$S$641,"44621A4GeraçãoNão se aplicaNão se aplicaNão se aplicaNão se aplicaNão se aplica",Mercado_Receita!$J$2:$J$641)+SUMIF(Mercado_Receita!$S$2:$S$641,"44621A4GeraçãoNão se aplicaNão se aplicaAPENão se aplicaNão se aplica",Mercado_Receita!$J$2:$J$641)</f>
        <v>0</v>
      </c>
      <c r="Q6" s="13">
        <f>SUMIF(Mercado_Receita!$S$2:$S$641,"44652A4GeraçãoNão se aplicaNão se aplicaNão se aplicaNão se aplicaNão se aplica",Mercado_Receita!$J$2:$J$641)+SUMIF(Mercado_Receita!$S$2:$S$641,"44652A4GeraçãoNão se aplicaNão se aplicaAPENão se aplicaNão se aplica",Mercado_Receita!$J$2:$J$641)</f>
        <v>0</v>
      </c>
      <c r="R6" s="13">
        <f>SUMIF(Mercado_Receita!$S$2:$S$641,"44682A4GeraçãoNão se aplicaNão se aplicaNão se aplicaNão se aplicaNão se aplica",Mercado_Receita!$J$2:$J$641)+SUMIF(Mercado_Receita!$S$2:$S$641,"44682A4GeraçãoNão se aplicaNão se aplicaAPENão se aplicaNão se aplica",Mercado_Receita!$J$2:$J$641)</f>
        <v>0</v>
      </c>
      <c r="S6" s="13">
        <f>SUMIF(Mercado_Receita!$S$2:$S$641,"44713A4GeraçãoNão se aplicaNão se aplicaNão se aplicaNão se aplicaNão se aplica",Mercado_Receita!$J$2:$J$641)+SUMIF(Mercado_Receita!$S$2:$S$641,"44713A4GeraçãoNão se aplicaNão se aplicaAPENão se aplicaNão se aplica",Mercado_Receita!$J$2:$J$641)</f>
        <v>0</v>
      </c>
      <c r="T6" s="13">
        <f>SUMIF(Mercado_Receita!$S$2:$S$641,"44743A4GeraçãoNão se aplicaNão se aplicaNão se aplicaNão se aplicaNão se aplica",Mercado_Receita!$J$2:$J$641)+SUMIF(Mercado_Receita!$S$2:$S$641,"44743A4GeraçãoNão se aplicaNão se aplicaAPENão se aplicaNão se aplica",Mercado_Receita!$J$2:$J$641)</f>
        <v>0</v>
      </c>
      <c r="U6" s="13">
        <f t="shared" si="0"/>
        <v>0</v>
      </c>
      <c r="V6" s="13"/>
      <c r="W6" s="13"/>
    </row>
    <row r="7" spans="1:30" ht="11.25" customHeight="1" x14ac:dyDescent="0.25">
      <c r="A7" s="131"/>
      <c r="B7" s="130" t="s">
        <v>39</v>
      </c>
      <c r="C7" s="130" t="s">
        <v>25</v>
      </c>
      <c r="D7" s="130" t="s">
        <v>25</v>
      </c>
      <c r="E7" s="130" t="s">
        <v>25</v>
      </c>
      <c r="F7" s="130" t="s">
        <v>25</v>
      </c>
      <c r="G7" s="13" t="s">
        <v>9</v>
      </c>
      <c r="H7" s="13" t="s">
        <v>79</v>
      </c>
      <c r="I7" s="13">
        <f>SUMIF(Mercado_Receita!$S$2:$S$641,"44409A4VerdeNão se aplicaNão se aplicaNão se aplicaNão se aplicaNão se aplica",Mercado_Receita!$J$2:$J$641)+SUMIF(Mercado_Receita!$S$2:$S$641,"44409A4VerdeNão se aplicaNão se aplicaAPENão se aplicaNão se aplica",Mercado_Receita!$J$2:$J$641)</f>
        <v>33929</v>
      </c>
      <c r="J7" s="13">
        <f>SUMIF(Mercado_Receita!$S$2:$S$641,"44440A4VerdeNão se aplicaNão se aplicaNão se aplicaNão se aplicaNão se aplica",Mercado_Receita!$J$2:$J$641)+SUMIF(Mercado_Receita!$S$2:$S$641,"44440A4VerdeNão se aplicaNão se aplicaAPENão se aplicaNão se aplica",Mercado_Receita!$J$2:$J$641)</f>
        <v>34041</v>
      </c>
      <c r="K7" s="13">
        <f>SUMIF(Mercado_Receita!$S$2:$S$641,"44470A4VerdeNão se aplicaNão se aplicaNão se aplicaNão se aplicaNão se aplica",Mercado_Receita!$J$2:$J$641)+SUMIF(Mercado_Receita!$S$2:$S$641,"44470A4VerdeNão se aplicaNão se aplicaAPENão se aplicaNão se aplica",Mercado_Receita!$J$2:$J$641)</f>
        <v>34888</v>
      </c>
      <c r="L7" s="13">
        <f>SUMIF(Mercado_Receita!$S$2:$S$641,"44501A4VerdeNão se aplicaNão se aplicaNão se aplicaNão se aplicaNão se aplica",Mercado_Receita!$J$2:$J$641)+SUMIF(Mercado_Receita!$S$2:$S$641,"44501A4VerdeNão se aplicaNão se aplicaAPENão se aplicaNão se aplica",Mercado_Receita!$J$2:$J$641)</f>
        <v>35137</v>
      </c>
      <c r="M7" s="13">
        <f>SUMIF(Mercado_Receita!$S$2:$S$641,"44531A4VerdeNão se aplicaNão se aplicaNão se aplicaNão se aplicaNão se aplica",Mercado_Receita!$J$2:$J$641)+SUMIF(Mercado_Receita!$S$2:$S$641,"44531A4VerdeNão se aplicaNão se aplicaAPENão se aplicaNão se aplica",Mercado_Receita!$J$2:$J$641)</f>
        <v>35834</v>
      </c>
      <c r="N7" s="13">
        <f>SUMIF(Mercado_Receita!$S$2:$S$641,"44562A4VerdeNão se aplicaNão se aplicaNão se aplicaNão se aplicaNão se aplica",Mercado_Receita!$J$2:$J$641)+SUMIF(Mercado_Receita!$S$2:$S$641,"44562A4VerdeNão se aplicaNão se aplicaAPENão se aplicaNão se aplica",Mercado_Receita!$J$2:$J$641)</f>
        <v>35619</v>
      </c>
      <c r="O7" s="13">
        <f>SUMIF(Mercado_Receita!$S$2:$S$641,"44593A4VerdeNão se aplicaNão se aplicaNão se aplicaNão se aplicaNão se aplica",Mercado_Receita!$J$2:$J$641)+SUMIF(Mercado_Receita!$S$2:$S$641,"44593A4VerdeNão se aplicaNão se aplicaAPENão se aplicaNão se aplica",Mercado_Receita!$J$2:$J$641)</f>
        <v>35946</v>
      </c>
      <c r="P7" s="13">
        <f>SUMIF(Mercado_Receita!$S$2:$S$641,"44621A4VerdeNão se aplicaNão se aplicaNão se aplicaNão se aplicaNão se aplica",Mercado_Receita!$J$2:$J$641)+SUMIF(Mercado_Receita!$S$2:$S$641,"44621A4VerdeNão se aplicaNão se aplicaAPENão se aplicaNão se aplica",Mercado_Receita!$J$2:$J$641)</f>
        <v>36255</v>
      </c>
      <c r="Q7" s="13">
        <f>SUMIF(Mercado_Receita!$S$2:$S$641,"44652A4VerdeNão se aplicaNão se aplicaNão se aplicaNão se aplicaNão se aplica",Mercado_Receita!$J$2:$J$641)+SUMIF(Mercado_Receita!$S$2:$S$641,"44652A4VerdeNão se aplicaNão se aplicaAPENão se aplicaNão se aplica",Mercado_Receita!$J$2:$J$641)</f>
        <v>36120</v>
      </c>
      <c r="R7" s="13">
        <f>SUMIF(Mercado_Receita!$S$2:$S$641,"44682A4VerdeNão se aplicaNão se aplicaNão se aplicaNão se aplicaNão se aplica",Mercado_Receita!$J$2:$J$641)+SUMIF(Mercado_Receita!$S$2:$S$641,"44682A4VerdeNão se aplicaNão se aplicaAPENão se aplicaNão se aplica",Mercado_Receita!$J$2:$J$641)</f>
        <v>36039</v>
      </c>
      <c r="S7" s="13">
        <f>SUMIF(Mercado_Receita!$S$2:$S$641,"44713A4VerdeNão se aplicaNão se aplicaNão se aplicaNão se aplicaNão se aplica",Mercado_Receita!$J$2:$J$641)+SUMIF(Mercado_Receita!$S$2:$S$641,"44713A4VerdeNão se aplicaNão se aplicaAPENão se aplicaNão se aplica",Mercado_Receita!$J$2:$J$641)</f>
        <v>36346</v>
      </c>
      <c r="T7" s="13">
        <f>SUMIF(Mercado_Receita!$S$2:$S$641,"44743A4VerdeNão se aplicaNão se aplicaNão se aplicaNão se aplicaNão se aplica",Mercado_Receita!$J$2:$J$641)+SUMIF(Mercado_Receita!$S$2:$S$641,"44743A4VerdeNão se aplicaNão se aplicaAPENão se aplicaNão se aplica",Mercado_Receita!$J$2:$J$641)</f>
        <v>36346</v>
      </c>
      <c r="U7" s="13">
        <f t="shared" si="0"/>
        <v>426500</v>
      </c>
      <c r="V7" s="13"/>
      <c r="W7" s="13"/>
    </row>
    <row r="8" spans="1:30" ht="11.25" customHeight="1" x14ac:dyDescent="0.25">
      <c r="A8" s="131"/>
      <c r="B8" s="131"/>
      <c r="C8" s="131"/>
      <c r="D8" s="131"/>
      <c r="E8" s="131"/>
      <c r="F8" s="131"/>
      <c r="G8" s="13" t="s">
        <v>75</v>
      </c>
      <c r="H8" s="13" t="s">
        <v>74</v>
      </c>
      <c r="I8" s="13">
        <f>SUMIF(Mercado_Receita!$S$2:$S$641,"44409A4VerdeNão se aplicaNão se aplicaNão se aplicaNão se aplicaPonta",Mercado_Receita!$L$2:$L$641)</f>
        <v>465.84699999999998</v>
      </c>
      <c r="J8" s="13">
        <f>SUMIF(Mercado_Receita!$S$2:$S$641,"44440A4VerdeNão se aplicaNão se aplicaNão se aplicaNão se aplicaPonta",Mercado_Receita!$L$2:$L$641)</f>
        <v>509.98899999999998</v>
      </c>
      <c r="K8" s="13">
        <f>SUMIF(Mercado_Receita!$S$2:$S$641,"44470A4VerdeNão se aplicaNão se aplicaNão se aplicaNão se aplicaPonta",Mercado_Receita!$L$2:$L$641)</f>
        <v>477.16799999999995</v>
      </c>
      <c r="L8" s="13">
        <f>SUMIF(Mercado_Receita!$S$2:$S$641,"44501A4VerdeNão se aplicaNão se aplicaNão se aplicaNão se aplicaPonta",Mercado_Receita!$L$2:$L$641)</f>
        <v>531.69400000000007</v>
      </c>
      <c r="M8" s="13">
        <f>SUMIF(Mercado_Receita!$S$2:$S$641,"44531A4VerdeNão se aplicaNão se aplicaNão se aplicaNão se aplicaPonta",Mercado_Receita!$L$2:$L$641)</f>
        <v>625.51499999999999</v>
      </c>
      <c r="N8" s="13">
        <f>SUMIF(Mercado_Receita!$S$2:$S$641,"44562A4VerdeNão se aplicaNão se aplicaNão se aplicaNão se aplicaPonta",Mercado_Receita!$L$2:$L$641)</f>
        <v>561.68499999999983</v>
      </c>
      <c r="O8" s="13">
        <f>SUMIF(Mercado_Receita!$S$2:$S$641,"44593A4VerdeNão se aplicaNão se aplicaNão se aplicaNão se aplicaPonta",Mercado_Receita!$L$2:$L$641)</f>
        <v>531.61399999999992</v>
      </c>
      <c r="P8" s="13">
        <f>SUMIF(Mercado_Receita!$S$2:$S$641,"44621A4VerdeNão se aplicaNão se aplicaNão se aplicaNão se aplicaPonta",Mercado_Receita!$L$2:$L$641)</f>
        <v>590.09599999999989</v>
      </c>
      <c r="Q8" s="13">
        <f>SUMIF(Mercado_Receita!$S$2:$S$641,"44652A4VerdeNão se aplicaNão se aplicaNão se aplicaNão se aplicaPonta",Mercado_Receita!$L$2:$L$641)</f>
        <v>481.00800000000004</v>
      </c>
      <c r="R8" s="13">
        <f>SUMIF(Mercado_Receita!$S$2:$S$641,"44682A4VerdeNão se aplicaNão se aplicaNão se aplicaNão se aplicaPonta",Mercado_Receita!$L$2:$L$641)</f>
        <v>532.89100000000008</v>
      </c>
      <c r="S8" s="13">
        <f>SUMIF(Mercado_Receita!$S$2:$S$641,"44713A4VerdeNão se aplicaNão se aplicaNão se aplicaNão se aplicaPonta",Mercado_Receita!$L$2:$L$641)</f>
        <v>515.65699999999993</v>
      </c>
      <c r="T8" s="13">
        <f>SUMIF(Mercado_Receita!$S$2:$S$641,"44743A4VerdeNão se aplicaNão se aplicaNão se aplicaNão se aplicaPonta",Mercado_Receita!$L$2:$L$641)</f>
        <v>515.65699999999993</v>
      </c>
      <c r="U8" s="13">
        <f t="shared" si="0"/>
        <v>6338.8209999999999</v>
      </c>
      <c r="V8" s="13"/>
      <c r="W8" s="13"/>
    </row>
    <row r="9" spans="1:30" ht="11.25" customHeight="1" x14ac:dyDescent="0.25">
      <c r="A9" s="131"/>
      <c r="B9" s="131"/>
      <c r="C9" s="131"/>
      <c r="D9" s="131"/>
      <c r="E9" s="131"/>
      <c r="F9" s="131"/>
      <c r="G9" s="13" t="s">
        <v>76</v>
      </c>
      <c r="H9" s="13" t="s">
        <v>74</v>
      </c>
      <c r="I9" s="13">
        <f>SUMIF(Mercado_Receita!$S$2:$S$641,"44409A4VerdeNão se aplicaNão se aplicaNão se aplicaNão se aplicaFora ponta",Mercado_Receita!$L$2:$L$641)</f>
        <v>8763.7340000000004</v>
      </c>
      <c r="J9" s="13">
        <f>SUMIF(Mercado_Receita!$S$2:$S$641,"44440A4VerdeNão se aplicaNão se aplicaNão se aplicaNão se aplicaFora ponta",Mercado_Receita!$L$2:$L$641)</f>
        <v>8801.0410000000011</v>
      </c>
      <c r="K9" s="13">
        <f>SUMIF(Mercado_Receita!$S$2:$S$641,"44470A4VerdeNão se aplicaNão se aplicaNão se aplicaNão se aplicaFora ponta",Mercado_Receita!$L$2:$L$641)</f>
        <v>8791.4320000000007</v>
      </c>
      <c r="L9" s="13">
        <f>SUMIF(Mercado_Receita!$S$2:$S$641,"44501A4VerdeNão se aplicaNão se aplicaNão se aplicaNão se aplicaFora ponta",Mercado_Receita!$L$2:$L$641)</f>
        <v>9254.4130000000005</v>
      </c>
      <c r="M9" s="13">
        <f>SUMIF(Mercado_Receita!$S$2:$S$641,"44531A4VerdeNão se aplicaNão se aplicaNão se aplicaNão se aplicaFora ponta",Mercado_Receita!$L$2:$L$641)</f>
        <v>9238.893</v>
      </c>
      <c r="N9" s="13">
        <f>SUMIF(Mercado_Receita!$S$2:$S$641,"44562A4VerdeNão se aplicaNão se aplicaNão se aplicaNão se aplicaFora ponta",Mercado_Receita!$L$2:$L$641)</f>
        <v>9379.9979999999996</v>
      </c>
      <c r="O9" s="13">
        <f>SUMIF(Mercado_Receita!$S$2:$S$641,"44593A4VerdeNão se aplicaNão se aplicaNão se aplicaNão se aplicaFora ponta",Mercado_Receita!$L$2:$L$641)</f>
        <v>8969.025999999998</v>
      </c>
      <c r="P9" s="13">
        <f>SUMIF(Mercado_Receita!$S$2:$S$641,"44621A4VerdeNão se aplicaNão se aplicaNão se aplicaNão se aplicaFora ponta",Mercado_Receita!$L$2:$L$641)</f>
        <v>9983.1199999999972</v>
      </c>
      <c r="Q9" s="13">
        <f>SUMIF(Mercado_Receita!$S$2:$S$641,"44652A4VerdeNão se aplicaNão se aplicaNão se aplicaNão se aplicaFora ponta",Mercado_Receita!$L$2:$L$641)</f>
        <v>8736.2450000000008</v>
      </c>
      <c r="R9" s="13">
        <f>SUMIF(Mercado_Receita!$S$2:$S$641,"44682A4VerdeNão se aplicaNão se aplicaNão se aplicaNão se aplicaFora ponta",Mercado_Receita!$L$2:$L$641)</f>
        <v>9015.598</v>
      </c>
      <c r="S9" s="13">
        <f>SUMIF(Mercado_Receita!$S$2:$S$641,"44713A4VerdeNão se aplicaNão se aplicaNão se aplicaNão se aplicaFora ponta",Mercado_Receita!$L$2:$L$641)</f>
        <v>8726.58</v>
      </c>
      <c r="T9" s="13">
        <f>SUMIF(Mercado_Receita!$S$2:$S$641,"44743A4VerdeNão se aplicaNão se aplicaNão se aplicaNão se aplicaFora ponta",Mercado_Receita!$L$2:$L$641)</f>
        <v>8726.58</v>
      </c>
      <c r="U9" s="13">
        <f t="shared" si="0"/>
        <v>108386.66</v>
      </c>
      <c r="V9" s="13"/>
      <c r="W9" s="13"/>
    </row>
    <row r="10" spans="1:30" ht="11.25" customHeight="1" x14ac:dyDescent="0.25">
      <c r="A10" s="131"/>
      <c r="B10" s="131"/>
      <c r="C10" s="131"/>
      <c r="D10" s="131"/>
      <c r="E10" s="130" t="s">
        <v>82</v>
      </c>
      <c r="F10" s="130" t="s">
        <v>25</v>
      </c>
      <c r="G10" s="13" t="s">
        <v>75</v>
      </c>
      <c r="H10" s="13" t="s">
        <v>74</v>
      </c>
      <c r="I10" s="13">
        <f>SUMIF(Mercado_Receita!$S$2:$S$641,"44409A4VerdeNão se aplicaNão se aplicaAPENão se aplicaPonta",Mercado_Receita!$L$2:$L$641)</f>
        <v>0</v>
      </c>
      <c r="J10" s="13">
        <f>SUMIF(Mercado_Receita!$S$2:$S$641,"44440A4VerdeNão se aplicaNão se aplicaAPENão se aplicaPonta",Mercado_Receita!$L$2:$L$641)</f>
        <v>0</v>
      </c>
      <c r="K10" s="13">
        <f>SUMIF(Mercado_Receita!$S$2:$S$641,"44470A4VerdeNão se aplicaNão se aplicaAPENão se aplicaPonta",Mercado_Receita!$L$2:$L$641)</f>
        <v>0</v>
      </c>
      <c r="L10" s="13">
        <f>SUMIF(Mercado_Receita!$S$2:$S$641,"44501A4VerdeNão se aplicaNão se aplicaAPENão se aplicaPonta",Mercado_Receita!$L$2:$L$641)</f>
        <v>0</v>
      </c>
      <c r="M10" s="13">
        <f>SUMIF(Mercado_Receita!$S$2:$S$641,"44531A4VerdeNão se aplicaNão se aplicaAPENão se aplicaPonta",Mercado_Receita!$L$2:$L$641)</f>
        <v>0</v>
      </c>
      <c r="N10" s="13">
        <f>SUMIF(Mercado_Receita!$S$2:$S$641,"44562A4VerdeNão se aplicaNão se aplicaAPENão se aplicaPonta",Mercado_Receita!$L$2:$L$641)</f>
        <v>0</v>
      </c>
      <c r="O10" s="13">
        <f>SUMIF(Mercado_Receita!$S$2:$S$641,"44593A4VerdeNão se aplicaNão se aplicaAPENão se aplicaPonta",Mercado_Receita!$L$2:$L$641)</f>
        <v>0</v>
      </c>
      <c r="P10" s="13">
        <f>SUMIF(Mercado_Receita!$S$2:$S$641,"44621A4VerdeNão se aplicaNão se aplicaAPENão se aplicaPonta",Mercado_Receita!$L$2:$L$641)</f>
        <v>0</v>
      </c>
      <c r="Q10" s="13">
        <f>SUMIF(Mercado_Receita!$S$2:$S$641,"44652A4VerdeNão se aplicaNão se aplicaAPENão se aplicaPonta",Mercado_Receita!$L$2:$L$641)</f>
        <v>0</v>
      </c>
      <c r="R10" s="13">
        <f>SUMIF(Mercado_Receita!$S$2:$S$641,"44682A4VerdeNão se aplicaNão se aplicaAPENão se aplicaPonta",Mercado_Receita!$L$2:$L$641)</f>
        <v>0</v>
      </c>
      <c r="S10" s="13">
        <f>SUMIF(Mercado_Receita!$S$2:$S$641,"44713A4VerdeNão se aplicaNão se aplicaAPENão se aplicaPonta",Mercado_Receita!$L$2:$L$641)</f>
        <v>0</v>
      </c>
      <c r="T10" s="13">
        <f>SUMIF(Mercado_Receita!$S$2:$S$641,"44743A4VerdeNão se aplicaNão se aplicaAPENão se aplicaPonta",Mercado_Receita!$L$2:$L$641)</f>
        <v>0</v>
      </c>
      <c r="U10" s="13">
        <f t="shared" si="0"/>
        <v>0</v>
      </c>
      <c r="V10" s="13"/>
      <c r="W10" s="13"/>
    </row>
    <row r="11" spans="1:30" ht="11.25" customHeight="1" x14ac:dyDescent="0.25">
      <c r="A11" s="131"/>
      <c r="B11" s="131"/>
      <c r="C11" s="131"/>
      <c r="D11" s="131"/>
      <c r="E11" s="131"/>
      <c r="F11" s="131"/>
      <c r="G11" s="13" t="s">
        <v>76</v>
      </c>
      <c r="H11" s="13" t="s">
        <v>74</v>
      </c>
      <c r="I11" s="13">
        <f>SUMIF(Mercado_Receita!$S$2:$S$641,"44409A4VerdeNão se aplicaNão se aplicaAPENão se aplicaFora ponta",Mercado_Receita!$L$2:$L$641)</f>
        <v>0</v>
      </c>
      <c r="J11" s="13">
        <f>SUMIF(Mercado_Receita!$S$2:$S$641,"44440A4VerdeNão se aplicaNão se aplicaAPENão se aplicaFora ponta",Mercado_Receita!$L$2:$L$641)</f>
        <v>0</v>
      </c>
      <c r="K11" s="13">
        <f>SUMIF(Mercado_Receita!$S$2:$S$641,"44470A4VerdeNão se aplicaNão se aplicaAPENão se aplicaFora ponta",Mercado_Receita!$L$2:$L$641)</f>
        <v>0</v>
      </c>
      <c r="L11" s="13">
        <f>SUMIF(Mercado_Receita!$S$2:$S$641,"44501A4VerdeNão se aplicaNão se aplicaAPENão se aplicaFora ponta",Mercado_Receita!$L$2:$L$641)</f>
        <v>0</v>
      </c>
      <c r="M11" s="13">
        <f>SUMIF(Mercado_Receita!$S$2:$S$641,"44531A4VerdeNão se aplicaNão se aplicaAPENão se aplicaFora ponta",Mercado_Receita!$L$2:$L$641)</f>
        <v>0</v>
      </c>
      <c r="N11" s="13">
        <f>SUMIF(Mercado_Receita!$S$2:$S$641,"44562A4VerdeNão se aplicaNão se aplicaAPENão se aplicaFora ponta",Mercado_Receita!$L$2:$L$641)</f>
        <v>0</v>
      </c>
      <c r="O11" s="13">
        <f>SUMIF(Mercado_Receita!$S$2:$S$641,"44593A4VerdeNão se aplicaNão se aplicaAPENão se aplicaFora ponta",Mercado_Receita!$L$2:$L$641)</f>
        <v>0</v>
      </c>
      <c r="P11" s="13">
        <f>SUMIF(Mercado_Receita!$S$2:$S$641,"44621A4VerdeNão se aplicaNão se aplicaAPENão se aplicaFora ponta",Mercado_Receita!$L$2:$L$641)</f>
        <v>0</v>
      </c>
      <c r="Q11" s="13">
        <f>SUMIF(Mercado_Receita!$S$2:$S$641,"44652A4VerdeNão se aplicaNão se aplicaAPENão se aplicaFora ponta",Mercado_Receita!$L$2:$L$641)</f>
        <v>0</v>
      </c>
      <c r="R11" s="13">
        <f>SUMIF(Mercado_Receita!$S$2:$S$641,"44682A4VerdeNão se aplicaNão se aplicaAPENão se aplicaFora ponta",Mercado_Receita!$L$2:$L$641)</f>
        <v>0</v>
      </c>
      <c r="S11" s="13">
        <f>SUMIF(Mercado_Receita!$S$2:$S$641,"44713A4VerdeNão se aplicaNão se aplicaAPENão se aplicaFora ponta",Mercado_Receita!$L$2:$L$641)</f>
        <v>0</v>
      </c>
      <c r="T11" s="13">
        <f>SUMIF(Mercado_Receita!$S$2:$S$641,"44743A4VerdeNão se aplicaNão se aplicaAPENão se aplicaFora ponta",Mercado_Receita!$L$2:$L$641)</f>
        <v>0</v>
      </c>
      <c r="U11" s="13">
        <f t="shared" si="0"/>
        <v>0</v>
      </c>
      <c r="V11" s="13"/>
      <c r="W11" s="13"/>
    </row>
    <row r="12" spans="1:30" ht="11.25" customHeight="1" x14ac:dyDescent="0.25">
      <c r="A12" s="130" t="s">
        <v>84</v>
      </c>
      <c r="B12" s="130" t="s">
        <v>83</v>
      </c>
      <c r="C12" s="130" t="s">
        <v>25</v>
      </c>
      <c r="D12" s="130" t="s">
        <v>25</v>
      </c>
      <c r="E12" s="12" t="s">
        <v>85</v>
      </c>
      <c r="F12" s="12" t="s">
        <v>25</v>
      </c>
      <c r="G12" s="13" t="s">
        <v>9</v>
      </c>
      <c r="H12" s="13" t="s">
        <v>79</v>
      </c>
      <c r="I12" s="13">
        <f>SUMIF(Mercado_Receita!$S$2:$S$641,"44409BGeraçãoNão se aplicaNão se aplicaTIPO 01Não se aplicaNão se aplica",Mercado_Receita!$J$2:$J$641)+SUMIF(Mercado_Receita!$S$2:$S$641,"44409BGeraçãoNão se aplicaNão se aplicaAPENão se aplicaNão se aplica",Mercado_Receita!$J$2:$J$641)</f>
        <v>0</v>
      </c>
      <c r="J12" s="13">
        <f>SUMIF(Mercado_Receita!$S$2:$S$641,"44440BGeraçãoNão se aplicaNão se aplicaTIPO 01Não se aplicaNão se aplica",Mercado_Receita!$J$2:$J$641)+SUMIF(Mercado_Receita!$S$2:$S$641,"44440BGeraçãoNão se aplicaNão se aplicaAPENão se aplicaNão se aplica",Mercado_Receita!$J$2:$J$641)</f>
        <v>0</v>
      </c>
      <c r="K12" s="13">
        <f>SUMIF(Mercado_Receita!$S$2:$S$641,"44470BGeraçãoNão se aplicaNão se aplicaTIPO 01Não se aplicaNão se aplica",Mercado_Receita!$J$2:$J$641)+SUMIF(Mercado_Receita!$S$2:$S$641,"44470BGeraçãoNão se aplicaNão se aplicaAPENão se aplicaNão se aplica",Mercado_Receita!$J$2:$J$641)</f>
        <v>0</v>
      </c>
      <c r="L12" s="13">
        <f>SUMIF(Mercado_Receita!$S$2:$S$641,"44501BGeraçãoNão se aplicaNão se aplicaTIPO 01Não se aplicaNão se aplica",Mercado_Receita!$J$2:$J$641)+SUMIF(Mercado_Receita!$S$2:$S$641,"44501BGeraçãoNão se aplicaNão se aplicaAPENão se aplicaNão se aplica",Mercado_Receita!$J$2:$J$641)</f>
        <v>0</v>
      </c>
      <c r="M12" s="13">
        <f>SUMIF(Mercado_Receita!$S$2:$S$641,"44531BGeraçãoNão se aplicaNão se aplicaTIPO 01Não se aplicaNão se aplica",Mercado_Receita!$J$2:$J$641)+SUMIF(Mercado_Receita!$S$2:$S$641,"44531BGeraçãoNão se aplicaNão se aplicaAPENão se aplicaNão se aplica",Mercado_Receita!$J$2:$J$641)</f>
        <v>0</v>
      </c>
      <c r="N12" s="13">
        <f>SUMIF(Mercado_Receita!$S$2:$S$641,"44562BGeraçãoNão se aplicaNão se aplicaTIPO 01Não se aplicaNão se aplica",Mercado_Receita!$J$2:$J$641)+SUMIF(Mercado_Receita!$S$2:$S$641,"44562BGeraçãoNão se aplicaNão se aplicaAPENão se aplicaNão se aplica",Mercado_Receita!$J$2:$J$641)</f>
        <v>0</v>
      </c>
      <c r="O12" s="13">
        <f>SUMIF(Mercado_Receita!$S$2:$S$641,"44593BGeraçãoNão se aplicaNão se aplicaTIPO 01Não se aplicaNão se aplica",Mercado_Receita!$J$2:$J$641)+SUMIF(Mercado_Receita!$S$2:$S$641,"44593BGeraçãoNão se aplicaNão se aplicaAPENão se aplicaNão se aplica",Mercado_Receita!$J$2:$J$641)</f>
        <v>0</v>
      </c>
      <c r="P12" s="13">
        <f>SUMIF(Mercado_Receita!$S$2:$S$641,"44621BGeraçãoNão se aplicaNão se aplicaTIPO 01Não se aplicaNão se aplica",Mercado_Receita!$J$2:$J$641)+SUMIF(Mercado_Receita!$S$2:$S$641,"44621BGeraçãoNão se aplicaNão se aplicaAPENão se aplicaNão se aplica",Mercado_Receita!$J$2:$J$641)</f>
        <v>0</v>
      </c>
      <c r="Q12" s="13">
        <f>SUMIF(Mercado_Receita!$S$2:$S$641,"44652BGeraçãoNão se aplicaNão se aplicaTIPO 01Não se aplicaNão se aplica",Mercado_Receita!$J$2:$J$641)+SUMIF(Mercado_Receita!$S$2:$S$641,"44652BGeraçãoNão se aplicaNão se aplicaAPENão se aplicaNão se aplica",Mercado_Receita!$J$2:$J$641)</f>
        <v>0</v>
      </c>
      <c r="R12" s="13">
        <f>SUMIF(Mercado_Receita!$S$2:$S$641,"44682BGeraçãoNão se aplicaNão se aplicaTIPO 01Não se aplicaNão se aplica",Mercado_Receita!$J$2:$J$641)+SUMIF(Mercado_Receita!$S$2:$S$641,"44682BGeraçãoNão se aplicaNão se aplicaAPENão se aplicaNão se aplica",Mercado_Receita!$J$2:$J$641)</f>
        <v>0</v>
      </c>
      <c r="S12" s="13">
        <f>SUMIF(Mercado_Receita!$S$2:$S$641,"44713BGeraçãoNão se aplicaNão se aplicaTIPO 01Não se aplicaNão se aplica",Mercado_Receita!$J$2:$J$641)+SUMIF(Mercado_Receita!$S$2:$S$641,"44713BGeraçãoNão se aplicaNão se aplicaAPENão se aplicaNão se aplica",Mercado_Receita!$J$2:$J$641)</f>
        <v>0</v>
      </c>
      <c r="T12" s="13">
        <f>SUMIF(Mercado_Receita!$S$2:$S$641,"44743BGeraçãoNão se aplicaNão se aplicaTIPO 01Não se aplicaNão se aplica",Mercado_Receita!$J$2:$J$641)+SUMIF(Mercado_Receita!$S$2:$S$641,"44743BGeraçãoNão se aplicaNão se aplicaAPENão se aplicaNão se aplica",Mercado_Receita!$J$2:$J$641)</f>
        <v>0</v>
      </c>
      <c r="U12" s="13">
        <f t="shared" si="0"/>
        <v>0</v>
      </c>
      <c r="V12" s="13"/>
      <c r="W12" s="13"/>
    </row>
    <row r="13" spans="1:30" ht="11.25" customHeight="1" x14ac:dyDescent="0.25">
      <c r="A13" s="131"/>
      <c r="B13" s="131"/>
      <c r="C13" s="131"/>
      <c r="D13" s="131"/>
      <c r="E13" s="12" t="s">
        <v>86</v>
      </c>
      <c r="F13" s="12" t="s">
        <v>25</v>
      </c>
      <c r="G13" s="13" t="s">
        <v>9</v>
      </c>
      <c r="H13" s="13" t="s">
        <v>79</v>
      </c>
      <c r="I13" s="13">
        <f>SUMIF(Mercado_Receita!$S$2:$S$641,"44409BGeraçãoNão se aplicaNão se aplicaTIPO 02Não se aplicaNão se aplica",Mercado_Receita!$J$2:$J$641)+SUMIF(Mercado_Receita!$S$2:$S$641,"44409BGeraçãoNão se aplicaNão se aplicaAPENão se aplicaNão se aplica",Mercado_Receita!$J$2:$J$641)</f>
        <v>0</v>
      </c>
      <c r="J13" s="13">
        <f>SUMIF(Mercado_Receita!$S$2:$S$641,"44440BGeraçãoNão se aplicaNão se aplicaTIPO 02Não se aplicaNão se aplica",Mercado_Receita!$J$2:$J$641)+SUMIF(Mercado_Receita!$S$2:$S$641,"44440BGeraçãoNão se aplicaNão se aplicaAPENão se aplicaNão se aplica",Mercado_Receita!$J$2:$J$641)</f>
        <v>0</v>
      </c>
      <c r="K13" s="13">
        <f>SUMIF(Mercado_Receita!$S$2:$S$641,"44470BGeraçãoNão se aplicaNão se aplicaTIPO 02Não se aplicaNão se aplica",Mercado_Receita!$J$2:$J$641)+SUMIF(Mercado_Receita!$S$2:$S$641,"44470BGeraçãoNão se aplicaNão se aplicaAPENão se aplicaNão se aplica",Mercado_Receita!$J$2:$J$641)</f>
        <v>0</v>
      </c>
      <c r="L13" s="13">
        <f>SUMIF(Mercado_Receita!$S$2:$S$641,"44501BGeraçãoNão se aplicaNão se aplicaTIPO 02Não se aplicaNão se aplica",Mercado_Receita!$J$2:$J$641)+SUMIF(Mercado_Receita!$S$2:$S$641,"44501BGeraçãoNão se aplicaNão se aplicaAPENão se aplicaNão se aplica",Mercado_Receita!$J$2:$J$641)</f>
        <v>0</v>
      </c>
      <c r="M13" s="13">
        <f>SUMIF(Mercado_Receita!$S$2:$S$641,"44531BGeraçãoNão se aplicaNão se aplicaTIPO 02Não se aplicaNão se aplica",Mercado_Receita!$J$2:$J$641)+SUMIF(Mercado_Receita!$S$2:$S$641,"44531BGeraçãoNão se aplicaNão se aplicaAPENão se aplicaNão se aplica",Mercado_Receita!$J$2:$J$641)</f>
        <v>0</v>
      </c>
      <c r="N13" s="13">
        <f>SUMIF(Mercado_Receita!$S$2:$S$641,"44562BGeraçãoNão se aplicaNão se aplicaTIPO 02Não se aplicaNão se aplica",Mercado_Receita!$J$2:$J$641)+SUMIF(Mercado_Receita!$S$2:$S$641,"44562BGeraçãoNão se aplicaNão se aplicaAPENão se aplicaNão se aplica",Mercado_Receita!$J$2:$J$641)</f>
        <v>0</v>
      </c>
      <c r="O13" s="13">
        <f>SUMIF(Mercado_Receita!$S$2:$S$641,"44593BGeraçãoNão se aplicaNão se aplicaTIPO 02Não se aplicaNão se aplica",Mercado_Receita!$J$2:$J$641)+SUMIF(Mercado_Receita!$S$2:$S$641,"44593BGeraçãoNão se aplicaNão se aplicaAPENão se aplicaNão se aplica",Mercado_Receita!$J$2:$J$641)</f>
        <v>0</v>
      </c>
      <c r="P13" s="13">
        <f>SUMIF(Mercado_Receita!$S$2:$S$641,"44621BGeraçãoNão se aplicaNão se aplicaTIPO 02Não se aplicaNão se aplica",Mercado_Receita!$J$2:$J$641)+SUMIF(Mercado_Receita!$S$2:$S$641,"44621BGeraçãoNão se aplicaNão se aplicaAPENão se aplicaNão se aplica",Mercado_Receita!$J$2:$J$641)</f>
        <v>0</v>
      </c>
      <c r="Q13" s="13">
        <f>SUMIF(Mercado_Receita!$S$2:$S$641,"44652BGeraçãoNão se aplicaNão se aplicaTIPO 02Não se aplicaNão se aplica",Mercado_Receita!$J$2:$J$641)+SUMIF(Mercado_Receita!$S$2:$S$641,"44652BGeraçãoNão se aplicaNão se aplicaAPENão se aplicaNão se aplica",Mercado_Receita!$J$2:$J$641)</f>
        <v>0</v>
      </c>
      <c r="R13" s="13">
        <f>SUMIF(Mercado_Receita!$S$2:$S$641,"44682BGeraçãoNão se aplicaNão se aplicaTIPO 02Não se aplicaNão se aplica",Mercado_Receita!$J$2:$J$641)+SUMIF(Mercado_Receita!$S$2:$S$641,"44682BGeraçãoNão se aplicaNão se aplicaAPENão se aplicaNão se aplica",Mercado_Receita!$J$2:$J$641)</f>
        <v>0</v>
      </c>
      <c r="S13" s="13">
        <f>SUMIF(Mercado_Receita!$S$2:$S$641,"44713BGeraçãoNão se aplicaNão se aplicaTIPO 02Não se aplicaNão se aplica",Mercado_Receita!$J$2:$J$641)+SUMIF(Mercado_Receita!$S$2:$S$641,"44713BGeraçãoNão se aplicaNão se aplicaAPENão se aplicaNão se aplica",Mercado_Receita!$J$2:$J$641)</f>
        <v>0</v>
      </c>
      <c r="T13" s="13">
        <f>SUMIF(Mercado_Receita!$S$2:$S$641,"44743BGeraçãoNão se aplicaNão se aplicaTIPO 02Não se aplicaNão se aplica",Mercado_Receita!$J$2:$J$641)+SUMIF(Mercado_Receita!$S$2:$S$641,"44743BGeraçãoNão se aplicaNão se aplicaAPENão se aplicaNão se aplica",Mercado_Receita!$J$2:$J$641)</f>
        <v>0</v>
      </c>
      <c r="U13" s="13">
        <f t="shared" si="0"/>
        <v>0</v>
      </c>
      <c r="V13" s="13"/>
      <c r="W13" s="13"/>
    </row>
    <row r="14" spans="1:30" ht="11.25" customHeight="1" x14ac:dyDescent="0.25">
      <c r="A14" s="130" t="s">
        <v>22</v>
      </c>
      <c r="B14" s="130" t="s">
        <v>50</v>
      </c>
      <c r="C14" s="130" t="s">
        <v>24</v>
      </c>
      <c r="D14" s="130" t="s">
        <v>24</v>
      </c>
      <c r="E14" s="130" t="s">
        <v>25</v>
      </c>
      <c r="F14" s="130" t="s">
        <v>25</v>
      </c>
      <c r="G14" s="13" t="s">
        <v>75</v>
      </c>
      <c r="H14" s="13" t="s">
        <v>74</v>
      </c>
      <c r="I14" s="13">
        <f>SUMIF(Mercado_Receita!$S$2:$S$641,"44409B1BrancaResidencialResidencialNão se aplicaNão se aplicaPonta",Mercado_Receita!$L$2:$L$641)</f>
        <v>0</v>
      </c>
      <c r="J14" s="13">
        <f>SUMIF(Mercado_Receita!$S$2:$S$641,"44440B1BrancaResidencialResidencialNão se aplicaNão se aplicaPonta",Mercado_Receita!$L$2:$L$641)</f>
        <v>0</v>
      </c>
      <c r="K14" s="13">
        <f>SUMIF(Mercado_Receita!$S$2:$S$641,"44470B1BrancaResidencialResidencialNão se aplicaNão se aplicaPonta",Mercado_Receita!$L$2:$L$641)</f>
        <v>0</v>
      </c>
      <c r="L14" s="13">
        <f>SUMIF(Mercado_Receita!$S$2:$S$641,"44501B1BrancaResidencialResidencialNão se aplicaNão se aplicaPonta",Mercado_Receita!$L$2:$L$641)</f>
        <v>0</v>
      </c>
      <c r="M14" s="13">
        <f>SUMIF(Mercado_Receita!$S$2:$S$641,"44531B1BrancaResidencialResidencialNão se aplicaNão se aplicaPonta",Mercado_Receita!$L$2:$L$641)</f>
        <v>0</v>
      </c>
      <c r="N14" s="13">
        <f>SUMIF(Mercado_Receita!$S$2:$S$641,"44562B1BrancaResidencialResidencialNão se aplicaNão se aplicaPonta",Mercado_Receita!$L$2:$L$641)</f>
        <v>0</v>
      </c>
      <c r="O14" s="13">
        <f>SUMIF(Mercado_Receita!$S$2:$S$641,"44593B1BrancaResidencialResidencialNão se aplicaNão se aplicaPonta",Mercado_Receita!$L$2:$L$641)</f>
        <v>0</v>
      </c>
      <c r="P14" s="13">
        <f>SUMIF(Mercado_Receita!$S$2:$S$641,"44621B1BrancaResidencialResidencialNão se aplicaNão se aplicaPonta",Mercado_Receita!$L$2:$L$641)</f>
        <v>0</v>
      </c>
      <c r="Q14" s="13">
        <f>SUMIF(Mercado_Receita!$S$2:$S$641,"44652B1BrancaResidencialResidencialNão se aplicaNão se aplicaPonta",Mercado_Receita!$L$2:$L$641)</f>
        <v>0</v>
      </c>
      <c r="R14" s="13">
        <f>SUMIF(Mercado_Receita!$S$2:$S$641,"44682B1BrancaResidencialResidencialNão se aplicaNão se aplicaPonta",Mercado_Receita!$L$2:$L$641)</f>
        <v>0</v>
      </c>
      <c r="S14" s="13">
        <f>SUMIF(Mercado_Receita!$S$2:$S$641,"44713B1BrancaResidencialResidencialNão se aplicaNão se aplicaPonta",Mercado_Receita!$L$2:$L$641)</f>
        <v>0</v>
      </c>
      <c r="T14" s="13">
        <f>SUMIF(Mercado_Receita!$S$2:$S$641,"44743B1BrancaResidencialResidencialNão se aplicaNão se aplicaPonta",Mercado_Receita!$L$2:$L$641)</f>
        <v>0</v>
      </c>
      <c r="U14" s="13">
        <f t="shared" si="0"/>
        <v>0</v>
      </c>
      <c r="V14" s="13"/>
      <c r="W14" s="13"/>
    </row>
    <row r="15" spans="1:30" ht="11.25" customHeight="1" x14ac:dyDescent="0.25">
      <c r="A15" s="131"/>
      <c r="B15" s="131"/>
      <c r="C15" s="131"/>
      <c r="D15" s="131"/>
      <c r="E15" s="131"/>
      <c r="F15" s="131"/>
      <c r="G15" s="13" t="s">
        <v>87</v>
      </c>
      <c r="H15" s="13" t="s">
        <v>74</v>
      </c>
      <c r="I15" s="13">
        <f>SUMIF(Mercado_Receita!$S$2:$S$641,"44409B1BrancaResidencialResidencialNão se aplicaNão se aplicaIntermediário",Mercado_Receita!$L$2:$L$641)</f>
        <v>0</v>
      </c>
      <c r="J15" s="13">
        <f>SUMIF(Mercado_Receita!$S$2:$S$641,"44440B1BrancaResidencialResidencialNão se aplicaNão se aplicaIntermediário",Mercado_Receita!$L$2:$L$641)</f>
        <v>0</v>
      </c>
      <c r="K15" s="13">
        <f>SUMIF(Mercado_Receita!$S$2:$S$641,"44470B1BrancaResidencialResidencialNão se aplicaNão se aplicaIntermediário",Mercado_Receita!$L$2:$L$641)</f>
        <v>0</v>
      </c>
      <c r="L15" s="13">
        <f>SUMIF(Mercado_Receita!$S$2:$S$641,"44501B1BrancaResidencialResidencialNão se aplicaNão se aplicaIntermediário",Mercado_Receita!$L$2:$L$641)</f>
        <v>0</v>
      </c>
      <c r="M15" s="13">
        <f>SUMIF(Mercado_Receita!$S$2:$S$641,"44531B1BrancaResidencialResidencialNão se aplicaNão se aplicaIntermediário",Mercado_Receita!$L$2:$L$641)</f>
        <v>0</v>
      </c>
      <c r="N15" s="13">
        <f>SUMIF(Mercado_Receita!$S$2:$S$641,"44562B1BrancaResidencialResidencialNão se aplicaNão se aplicaIntermediário",Mercado_Receita!$L$2:$L$641)</f>
        <v>0</v>
      </c>
      <c r="O15" s="13">
        <f>SUMIF(Mercado_Receita!$S$2:$S$641,"44593B1BrancaResidencialResidencialNão se aplicaNão se aplicaIntermediário",Mercado_Receita!$L$2:$L$641)</f>
        <v>0</v>
      </c>
      <c r="P15" s="13">
        <f>SUMIF(Mercado_Receita!$S$2:$S$641,"44621B1BrancaResidencialResidencialNão se aplicaNão se aplicaIntermediário",Mercado_Receita!$L$2:$L$641)</f>
        <v>0</v>
      </c>
      <c r="Q15" s="13">
        <f>SUMIF(Mercado_Receita!$S$2:$S$641,"44652B1BrancaResidencialResidencialNão se aplicaNão se aplicaIntermediário",Mercado_Receita!$L$2:$L$641)</f>
        <v>0</v>
      </c>
      <c r="R15" s="13">
        <f>SUMIF(Mercado_Receita!$S$2:$S$641,"44682B1BrancaResidencialResidencialNão se aplicaNão se aplicaIntermediário",Mercado_Receita!$L$2:$L$641)</f>
        <v>0</v>
      </c>
      <c r="S15" s="13">
        <f>SUMIF(Mercado_Receita!$S$2:$S$641,"44713B1BrancaResidencialResidencialNão se aplicaNão se aplicaIntermediário",Mercado_Receita!$L$2:$L$641)</f>
        <v>0</v>
      </c>
      <c r="T15" s="13">
        <f>SUMIF(Mercado_Receita!$S$2:$S$641,"44743B1BrancaResidencialResidencialNão se aplicaNão se aplicaIntermediário",Mercado_Receita!$L$2:$L$641)</f>
        <v>0</v>
      </c>
      <c r="U15" s="13">
        <f t="shared" si="0"/>
        <v>0</v>
      </c>
      <c r="V15" s="13"/>
      <c r="W15" s="13"/>
    </row>
    <row r="16" spans="1:30" ht="11.25" customHeight="1" x14ac:dyDescent="0.25">
      <c r="A16" s="131"/>
      <c r="B16" s="131"/>
      <c r="C16" s="131"/>
      <c r="D16" s="131"/>
      <c r="E16" s="131"/>
      <c r="F16" s="131"/>
      <c r="G16" s="13" t="s">
        <v>76</v>
      </c>
      <c r="H16" s="13" t="s">
        <v>74</v>
      </c>
      <c r="I16" s="13">
        <f>SUMIF(Mercado_Receita!$S$2:$S$641,"44409B1BrancaResidencialResidencialNão se aplicaNão se aplicaFora ponta",Mercado_Receita!$L$2:$L$641)</f>
        <v>0</v>
      </c>
      <c r="J16" s="13">
        <f>SUMIF(Mercado_Receita!$S$2:$S$641,"44440B1BrancaResidencialResidencialNão se aplicaNão se aplicaFora ponta",Mercado_Receita!$L$2:$L$641)</f>
        <v>0</v>
      </c>
      <c r="K16" s="13">
        <f>SUMIF(Mercado_Receita!$S$2:$S$641,"44470B1BrancaResidencialResidencialNão se aplicaNão se aplicaFora ponta",Mercado_Receita!$L$2:$L$641)</f>
        <v>0</v>
      </c>
      <c r="L16" s="13">
        <f>SUMIF(Mercado_Receita!$S$2:$S$641,"44501B1BrancaResidencialResidencialNão se aplicaNão se aplicaFora ponta",Mercado_Receita!$L$2:$L$641)</f>
        <v>0</v>
      </c>
      <c r="M16" s="13">
        <f>SUMIF(Mercado_Receita!$S$2:$S$641,"44531B1BrancaResidencialResidencialNão se aplicaNão se aplicaFora ponta",Mercado_Receita!$L$2:$L$641)</f>
        <v>0</v>
      </c>
      <c r="N16" s="13">
        <f>SUMIF(Mercado_Receita!$S$2:$S$641,"44562B1BrancaResidencialResidencialNão se aplicaNão se aplicaFora ponta",Mercado_Receita!$L$2:$L$641)</f>
        <v>0</v>
      </c>
      <c r="O16" s="13">
        <f>SUMIF(Mercado_Receita!$S$2:$S$641,"44593B1BrancaResidencialResidencialNão se aplicaNão se aplicaFora ponta",Mercado_Receita!$L$2:$L$641)</f>
        <v>0</v>
      </c>
      <c r="P16" s="13">
        <f>SUMIF(Mercado_Receita!$S$2:$S$641,"44621B1BrancaResidencialResidencialNão se aplicaNão se aplicaFora ponta",Mercado_Receita!$L$2:$L$641)</f>
        <v>0</v>
      </c>
      <c r="Q16" s="13">
        <f>SUMIF(Mercado_Receita!$S$2:$S$641,"44652B1BrancaResidencialResidencialNão se aplicaNão se aplicaFora ponta",Mercado_Receita!$L$2:$L$641)</f>
        <v>0</v>
      </c>
      <c r="R16" s="13">
        <f>SUMIF(Mercado_Receita!$S$2:$S$641,"44682B1BrancaResidencialResidencialNão se aplicaNão se aplicaFora ponta",Mercado_Receita!$L$2:$L$641)</f>
        <v>0</v>
      </c>
      <c r="S16" s="13">
        <f>SUMIF(Mercado_Receita!$S$2:$S$641,"44713B1BrancaResidencialResidencialNão se aplicaNão se aplicaFora ponta",Mercado_Receita!$L$2:$L$641)</f>
        <v>0</v>
      </c>
      <c r="T16" s="13">
        <f>SUMIF(Mercado_Receita!$S$2:$S$641,"44743B1BrancaResidencialResidencialNão se aplicaNão se aplicaFora ponta",Mercado_Receita!$L$2:$L$641)</f>
        <v>0</v>
      </c>
      <c r="U16" s="13">
        <f t="shared" si="0"/>
        <v>0</v>
      </c>
      <c r="V16" s="13"/>
      <c r="W16" s="13"/>
    </row>
    <row r="17" spans="1:23" ht="11.25" customHeight="1" x14ac:dyDescent="0.25">
      <c r="A17" s="131"/>
      <c r="B17" s="130" t="s">
        <v>23</v>
      </c>
      <c r="C17" s="130" t="s">
        <v>24</v>
      </c>
      <c r="D17" s="12" t="s">
        <v>24</v>
      </c>
      <c r="E17" s="12" t="s">
        <v>25</v>
      </c>
      <c r="F17" s="12" t="s">
        <v>25</v>
      </c>
      <c r="G17" s="13" t="s">
        <v>78</v>
      </c>
      <c r="H17" s="13" t="s">
        <v>74</v>
      </c>
      <c r="I17" s="13">
        <f>SUMIF(Mercado_Receita!$S$2:$S$641,"44409B1ConvencionalResidencialResidencialNão se aplicaNão se aplicaPonta",Mercado_Receita!$L$2:$L$641)+SUMIF(Mercado_Receita!$S$2:$S$641,"44409B1ConvencionalResidencialResidencialNão se aplicaNão se aplicaFora ponta",Mercado_Receita!$L$2:$L$641)+SUMIF(Mercado_Receita!$S$2:$S$641,"44409B1ConvencionalResidencialResidencialNão se aplicaNão se aplicaIntermediário",Mercado_Receita!$L$2:$L$641)+SUMIF(Mercado_Receita!$S$2:$S$641,"44409B1ConvencionalResidencialResidencialNão se aplicaNão se aplicaNão se aplica",Mercado_Receita!$L$2:$L$641)</f>
        <v>4935.9529999999995</v>
      </c>
      <c r="J17" s="13">
        <f>SUMIF(Mercado_Receita!$S$2:$S$641,"44440B1ConvencionalResidencialResidencialNão se aplicaNão se aplicaPonta",Mercado_Receita!$L$2:$L$641)+SUMIF(Mercado_Receita!$S$2:$S$641,"44440B1ConvencionalResidencialResidencialNão se aplicaNão se aplicaFora ponta",Mercado_Receita!$L$2:$L$641)+SUMIF(Mercado_Receita!$S$2:$S$641,"44440B1ConvencionalResidencialResidencialNão se aplicaNão se aplicaIntermediário",Mercado_Receita!$L$2:$L$641)+SUMIF(Mercado_Receita!$S$2:$S$641,"44440B1ConvencionalResidencialResidencialNão se aplicaNão se aplicaNão se aplica",Mercado_Receita!$L$2:$L$641)</f>
        <v>5221.0120000000006</v>
      </c>
      <c r="K17" s="13">
        <f>SUMIF(Mercado_Receita!$S$2:$S$641,"44470B1ConvencionalResidencialResidencialNão se aplicaNão se aplicaPonta",Mercado_Receita!$L$2:$L$641)+SUMIF(Mercado_Receita!$S$2:$S$641,"44470B1ConvencionalResidencialResidencialNão se aplicaNão se aplicaFora ponta",Mercado_Receita!$L$2:$L$641)+SUMIF(Mercado_Receita!$S$2:$S$641,"44470B1ConvencionalResidencialResidencialNão se aplicaNão se aplicaIntermediário",Mercado_Receita!$L$2:$L$641)+SUMIF(Mercado_Receita!$S$2:$S$641,"44470B1ConvencionalResidencialResidencialNão se aplicaNão se aplicaNão se aplica",Mercado_Receita!$L$2:$L$641)</f>
        <v>4936.9520000000002</v>
      </c>
      <c r="L17" s="13">
        <f>SUMIF(Mercado_Receita!$S$2:$S$641,"44501B1ConvencionalResidencialResidencialNão se aplicaNão se aplicaPonta",Mercado_Receita!$L$2:$L$641)+SUMIF(Mercado_Receita!$S$2:$S$641,"44501B1ConvencionalResidencialResidencialNão se aplicaNão se aplicaFora ponta",Mercado_Receita!$L$2:$L$641)+SUMIF(Mercado_Receita!$S$2:$S$641,"44501B1ConvencionalResidencialResidencialNão se aplicaNão se aplicaIntermediário",Mercado_Receita!$L$2:$L$641)+SUMIF(Mercado_Receita!$S$2:$S$641,"44501B1ConvencionalResidencialResidencialNão se aplicaNão se aplicaNão se aplica",Mercado_Receita!$L$2:$L$641)</f>
        <v>5133.5209999999997</v>
      </c>
      <c r="M17" s="13">
        <f>SUMIF(Mercado_Receita!$S$2:$S$641,"44531B1ConvencionalResidencialResidencialNão se aplicaNão se aplicaPonta",Mercado_Receita!$L$2:$L$641)+SUMIF(Mercado_Receita!$S$2:$S$641,"44531B1ConvencionalResidencialResidencialNão se aplicaNão se aplicaFora ponta",Mercado_Receita!$L$2:$L$641)+SUMIF(Mercado_Receita!$S$2:$S$641,"44531B1ConvencionalResidencialResidencialNão se aplicaNão se aplicaIntermediário",Mercado_Receita!$L$2:$L$641)+SUMIF(Mercado_Receita!$S$2:$S$641,"44531B1ConvencionalResidencialResidencialNão se aplicaNão se aplicaNão se aplica",Mercado_Receita!$L$2:$L$641)</f>
        <v>5240.9330000000009</v>
      </c>
      <c r="N17" s="13">
        <f>SUMIF(Mercado_Receita!$S$2:$S$641,"44562B1ConvencionalResidencialResidencialNão se aplicaNão se aplicaPonta",Mercado_Receita!$L$2:$L$641)+SUMIF(Mercado_Receita!$S$2:$S$641,"44562B1ConvencionalResidencialResidencialNão se aplicaNão se aplicaFora ponta",Mercado_Receita!$L$2:$L$641)+SUMIF(Mercado_Receita!$S$2:$S$641,"44562B1ConvencionalResidencialResidencialNão se aplicaNão se aplicaIntermediário",Mercado_Receita!$L$2:$L$641)+SUMIF(Mercado_Receita!$S$2:$S$641,"44562B1ConvencionalResidencialResidencialNão se aplicaNão se aplicaNão se aplica",Mercado_Receita!$L$2:$L$641)</f>
        <v>7864.0610000000006</v>
      </c>
      <c r="O17" s="13">
        <f>SUMIF(Mercado_Receita!$S$2:$S$641,"44593B1ConvencionalResidencialResidencialNão se aplicaNão se aplicaPonta",Mercado_Receita!$L$2:$L$641)+SUMIF(Mercado_Receita!$S$2:$S$641,"44593B1ConvencionalResidencialResidencialNão se aplicaNão se aplicaFora ponta",Mercado_Receita!$L$2:$L$641)+SUMIF(Mercado_Receita!$S$2:$S$641,"44593B1ConvencionalResidencialResidencialNão se aplicaNão se aplicaIntermediário",Mercado_Receita!$L$2:$L$641)+SUMIF(Mercado_Receita!$S$2:$S$641,"44593B1ConvencionalResidencialResidencialNão se aplicaNão se aplicaNão se aplica",Mercado_Receita!$L$2:$L$641)</f>
        <v>7500.9949999999999</v>
      </c>
      <c r="P17" s="13">
        <f>SUMIF(Mercado_Receita!$S$2:$S$641,"44621B1ConvencionalResidencialResidencialNão se aplicaNão se aplicaPonta",Mercado_Receita!$L$2:$L$641)+SUMIF(Mercado_Receita!$S$2:$S$641,"44621B1ConvencionalResidencialResidencialNão se aplicaNão se aplicaFora ponta",Mercado_Receita!$L$2:$L$641)+SUMIF(Mercado_Receita!$S$2:$S$641,"44621B1ConvencionalResidencialResidencialNão se aplicaNão se aplicaIntermediário",Mercado_Receita!$L$2:$L$641)+SUMIF(Mercado_Receita!$S$2:$S$641,"44621B1ConvencionalResidencialResidencialNão se aplicaNão se aplicaNão se aplica",Mercado_Receita!$L$2:$L$641)</f>
        <v>6628.9519999999993</v>
      </c>
      <c r="Q17" s="13">
        <f>SUMIF(Mercado_Receita!$S$2:$S$641,"44652B1ConvencionalResidencialResidencialNão se aplicaNão se aplicaPonta",Mercado_Receita!$L$2:$L$641)+SUMIF(Mercado_Receita!$S$2:$S$641,"44652B1ConvencionalResidencialResidencialNão se aplicaNão se aplicaFora ponta",Mercado_Receita!$L$2:$L$641)+SUMIF(Mercado_Receita!$S$2:$S$641,"44652B1ConvencionalResidencialResidencialNão se aplicaNão se aplicaIntermediário",Mercado_Receita!$L$2:$L$641)+SUMIF(Mercado_Receita!$S$2:$S$641,"44652B1ConvencionalResidencialResidencialNão se aplicaNão se aplicaNão se aplica",Mercado_Receita!$L$2:$L$641)</f>
        <v>5723.0780000000004</v>
      </c>
      <c r="R17" s="13">
        <f>SUMIF(Mercado_Receita!$S$2:$S$641,"44682B1ConvencionalResidencialResidencialNão se aplicaNão se aplicaPonta",Mercado_Receita!$L$2:$L$641)+SUMIF(Mercado_Receita!$S$2:$S$641,"44682B1ConvencionalResidencialResidencialNão se aplicaNão se aplicaFora ponta",Mercado_Receita!$L$2:$L$641)+SUMIF(Mercado_Receita!$S$2:$S$641,"44682B1ConvencionalResidencialResidencialNão se aplicaNão se aplicaIntermediário",Mercado_Receita!$L$2:$L$641)+SUMIF(Mercado_Receita!$S$2:$S$641,"44682B1ConvencionalResidencialResidencialNão se aplicaNão se aplicaNão se aplica",Mercado_Receita!$L$2:$L$641)</f>
        <v>5322.1369999999997</v>
      </c>
      <c r="S17" s="13">
        <f>SUMIF(Mercado_Receita!$S$2:$S$641,"44713B1ConvencionalResidencialResidencialNão se aplicaNão se aplicaPonta",Mercado_Receita!$L$2:$L$641)+SUMIF(Mercado_Receita!$S$2:$S$641,"44713B1ConvencionalResidencialResidencialNão se aplicaNão se aplicaFora ponta",Mercado_Receita!$L$2:$L$641)+SUMIF(Mercado_Receita!$S$2:$S$641,"44713B1ConvencionalResidencialResidencialNão se aplicaNão se aplicaIntermediário",Mercado_Receita!$L$2:$L$641)+SUMIF(Mercado_Receita!$S$2:$S$641,"44713B1ConvencionalResidencialResidencialNão se aplicaNão se aplicaNão se aplica",Mercado_Receita!$L$2:$L$641)</f>
        <v>4708.1080000000011</v>
      </c>
      <c r="T17" s="13">
        <f>SUMIF(Mercado_Receita!$S$2:$S$641,"44743B1ConvencionalResidencialResidencialNão se aplicaNão se aplicaPonta",Mercado_Receita!$L$2:$L$641)+SUMIF(Mercado_Receita!$S$2:$S$641,"44743B1ConvencionalResidencialResidencialNão se aplicaNão se aplicaFora ponta",Mercado_Receita!$L$2:$L$641)+SUMIF(Mercado_Receita!$S$2:$S$641,"44743B1ConvencionalResidencialResidencialNão se aplicaNão se aplicaIntermediário",Mercado_Receita!$L$2:$L$641)+SUMIF(Mercado_Receita!$S$2:$S$641,"44743B1ConvencionalResidencialResidencialNão se aplicaNão se aplicaNão se aplica",Mercado_Receita!$L$2:$L$641)</f>
        <v>4708.1080000000011</v>
      </c>
      <c r="U17" s="13">
        <f t="shared" si="0"/>
        <v>67923.810000000012</v>
      </c>
      <c r="V17" s="13"/>
      <c r="W17" s="13"/>
    </row>
    <row r="18" spans="1:23" ht="11.25" customHeight="1" x14ac:dyDescent="0.25">
      <c r="A18" s="131"/>
      <c r="B18" s="131"/>
      <c r="C18" s="131"/>
      <c r="D18" s="12" t="s">
        <v>29</v>
      </c>
      <c r="E18" s="12" t="s">
        <v>25</v>
      </c>
      <c r="F18" s="12" t="s">
        <v>25</v>
      </c>
      <c r="G18" s="13" t="s">
        <v>78</v>
      </c>
      <c r="H18" s="13" t="s">
        <v>74</v>
      </c>
      <c r="I18" s="13">
        <f>SUMIF(Mercado_Receita!$S$2:$S$641,"44409B1ConvencionalResidencialResidencial baixa renda – faixa 01Não se aplicaNão se aplicaPonta",Mercado_Receita!$L$2:$L$641)+SUMIF(Mercado_Receita!$S$2:$S$641,"44409B1ConvencionalResidencialResidencial baixa renda – faixa 01Não se aplicaNão se aplicaFora ponta",Mercado_Receita!$L$2:$L$641)+SUMIF(Mercado_Receita!$S$2:$S$641,"44409B1ConvencionalResidencialResidencial baixa renda – faixa 01Não se aplicaNão se aplicaIntermediário",Mercado_Receita!$L$2:$L$641)+SUMIF(Mercado_Receita!$S$2:$S$641,"44409B1ConvencionalResidencialResidencial baixa renda – faixa 01Não se aplicaNão se aplicaNão se aplica",Mercado_Receita!$L$2:$L$641)</f>
        <v>39.646000000000001</v>
      </c>
      <c r="J18" s="13">
        <f>SUMIF(Mercado_Receita!$S$2:$S$641,"44440B1ConvencionalResidencialResidencial baixa renda – faixa 01Não se aplicaNão se aplicaPonta",Mercado_Receita!$L$2:$L$641)+SUMIF(Mercado_Receita!$S$2:$S$641,"44440B1ConvencionalResidencialResidencial baixa renda – faixa 01Não se aplicaNão se aplicaFora ponta",Mercado_Receita!$L$2:$L$641)+SUMIF(Mercado_Receita!$S$2:$S$641,"44440B1ConvencionalResidencialResidencial baixa renda – faixa 01Não se aplicaNão se aplicaIntermediário",Mercado_Receita!$L$2:$L$641)+SUMIF(Mercado_Receita!$S$2:$S$641,"44440B1ConvencionalResidencialResidencial baixa renda – faixa 01Não se aplicaNão se aplicaNão se aplica",Mercado_Receita!$L$2:$L$641)</f>
        <v>40.024999999999999</v>
      </c>
      <c r="K18" s="13">
        <f>SUMIF(Mercado_Receita!$S$2:$S$641,"44470B1ConvencionalResidencialResidencial baixa renda – faixa 01Não se aplicaNão se aplicaPonta",Mercado_Receita!$L$2:$L$641)+SUMIF(Mercado_Receita!$S$2:$S$641,"44470B1ConvencionalResidencialResidencial baixa renda – faixa 01Não se aplicaNão se aplicaFora ponta",Mercado_Receita!$L$2:$L$641)+SUMIF(Mercado_Receita!$S$2:$S$641,"44470B1ConvencionalResidencialResidencial baixa renda – faixa 01Não se aplicaNão se aplicaIntermediário",Mercado_Receita!$L$2:$L$641)+SUMIF(Mercado_Receita!$S$2:$S$641,"44470B1ConvencionalResidencialResidencial baixa renda – faixa 01Não se aplicaNão se aplicaNão se aplica",Mercado_Receita!$L$2:$L$641)</f>
        <v>40.651000000000003</v>
      </c>
      <c r="L18" s="13">
        <f>SUMIF(Mercado_Receita!$S$2:$S$641,"44501B1ConvencionalResidencialResidencial baixa renda – faixa 01Não se aplicaNão se aplicaPonta",Mercado_Receita!$L$2:$L$641)+SUMIF(Mercado_Receita!$S$2:$S$641,"44501B1ConvencionalResidencialResidencial baixa renda – faixa 01Não se aplicaNão se aplicaFora ponta",Mercado_Receita!$L$2:$L$641)+SUMIF(Mercado_Receita!$S$2:$S$641,"44501B1ConvencionalResidencialResidencial baixa renda – faixa 01Não se aplicaNão se aplicaIntermediário",Mercado_Receita!$L$2:$L$641)+SUMIF(Mercado_Receita!$S$2:$S$641,"44501B1ConvencionalResidencialResidencial baixa renda – faixa 01Não se aplicaNão se aplicaNão se aplica",Mercado_Receita!$L$2:$L$641)</f>
        <v>40.799999999999997</v>
      </c>
      <c r="M18" s="13">
        <f>SUMIF(Mercado_Receita!$S$2:$S$641,"44531B1ConvencionalResidencialResidencial baixa renda – faixa 01Não se aplicaNão se aplicaPonta",Mercado_Receita!$L$2:$L$641)+SUMIF(Mercado_Receita!$S$2:$S$641,"44531B1ConvencionalResidencialResidencial baixa renda – faixa 01Não se aplicaNão se aplicaFora ponta",Mercado_Receita!$L$2:$L$641)+SUMIF(Mercado_Receita!$S$2:$S$641,"44531B1ConvencionalResidencialResidencial baixa renda – faixa 01Não se aplicaNão se aplicaIntermediário",Mercado_Receita!$L$2:$L$641)+SUMIF(Mercado_Receita!$S$2:$S$641,"44531B1ConvencionalResidencialResidencial baixa renda – faixa 01Não se aplicaNão se aplicaNão se aplica",Mercado_Receita!$L$2:$L$641)</f>
        <v>41.198999999999998</v>
      </c>
      <c r="N18" s="13">
        <f>SUMIF(Mercado_Receita!$S$2:$S$641,"44562B1ConvencionalResidencialResidencial baixa renda – faixa 01Não se aplicaNão se aplicaPonta",Mercado_Receita!$L$2:$L$641)+SUMIF(Mercado_Receita!$S$2:$S$641,"44562B1ConvencionalResidencialResidencial baixa renda – faixa 01Não se aplicaNão se aplicaFora ponta",Mercado_Receita!$L$2:$L$641)+SUMIF(Mercado_Receita!$S$2:$S$641,"44562B1ConvencionalResidencialResidencial baixa renda – faixa 01Não se aplicaNão se aplicaIntermediário",Mercado_Receita!$L$2:$L$641)+SUMIF(Mercado_Receita!$S$2:$S$641,"44562B1ConvencionalResidencialResidencial baixa renda – faixa 01Não se aplicaNão se aplicaNão se aplica",Mercado_Receita!$L$2:$L$641)</f>
        <v>41.094000000000001</v>
      </c>
      <c r="O18" s="13">
        <f>SUMIF(Mercado_Receita!$S$2:$S$641,"44593B1ConvencionalResidencialResidencial baixa renda – faixa 01Não se aplicaNão se aplicaPonta",Mercado_Receita!$L$2:$L$641)+SUMIF(Mercado_Receita!$S$2:$S$641,"44593B1ConvencionalResidencialResidencial baixa renda – faixa 01Não se aplicaNão se aplicaFora ponta",Mercado_Receita!$L$2:$L$641)+SUMIF(Mercado_Receita!$S$2:$S$641,"44593B1ConvencionalResidencialResidencial baixa renda – faixa 01Não se aplicaNão se aplicaIntermediário",Mercado_Receita!$L$2:$L$641)+SUMIF(Mercado_Receita!$S$2:$S$641,"44593B1ConvencionalResidencialResidencial baixa renda – faixa 01Não se aplicaNão se aplicaNão se aplica",Mercado_Receita!$L$2:$L$641)</f>
        <v>41.872999999999998</v>
      </c>
      <c r="P18" s="13">
        <f>SUMIF(Mercado_Receita!$S$2:$S$641,"44621B1ConvencionalResidencialResidencial baixa renda – faixa 01Não se aplicaNão se aplicaPonta",Mercado_Receita!$L$2:$L$641)+SUMIF(Mercado_Receita!$S$2:$S$641,"44621B1ConvencionalResidencialResidencial baixa renda – faixa 01Não se aplicaNão se aplicaFora ponta",Mercado_Receita!$L$2:$L$641)+SUMIF(Mercado_Receita!$S$2:$S$641,"44621B1ConvencionalResidencialResidencial baixa renda – faixa 01Não se aplicaNão se aplicaIntermediário",Mercado_Receita!$L$2:$L$641)+SUMIF(Mercado_Receita!$S$2:$S$641,"44621B1ConvencionalResidencialResidencial baixa renda – faixa 01Não se aplicaNão se aplicaNão se aplica",Mercado_Receita!$L$2:$L$641)</f>
        <v>42.484999999999999</v>
      </c>
      <c r="Q18" s="13">
        <f>SUMIF(Mercado_Receita!$S$2:$S$641,"44652B1ConvencionalResidencialResidencial baixa renda – faixa 01Não se aplicaNão se aplicaPonta",Mercado_Receita!$L$2:$L$641)+SUMIF(Mercado_Receita!$S$2:$S$641,"44652B1ConvencionalResidencialResidencial baixa renda – faixa 01Não se aplicaNão se aplicaFora ponta",Mercado_Receita!$L$2:$L$641)+SUMIF(Mercado_Receita!$S$2:$S$641,"44652B1ConvencionalResidencialResidencial baixa renda – faixa 01Não se aplicaNão se aplicaIntermediário",Mercado_Receita!$L$2:$L$641)+SUMIF(Mercado_Receita!$S$2:$S$641,"44652B1ConvencionalResidencialResidencial baixa renda – faixa 01Não se aplicaNão se aplicaNão se aplica",Mercado_Receita!$L$2:$L$641)</f>
        <v>42.991</v>
      </c>
      <c r="R18" s="13">
        <f>SUMIF(Mercado_Receita!$S$2:$S$641,"44682B1ConvencionalResidencialResidencial baixa renda – faixa 01Não se aplicaNão se aplicaPonta",Mercado_Receita!$L$2:$L$641)+SUMIF(Mercado_Receita!$S$2:$S$641,"44682B1ConvencionalResidencialResidencial baixa renda – faixa 01Não se aplicaNão se aplicaFora ponta",Mercado_Receita!$L$2:$L$641)+SUMIF(Mercado_Receita!$S$2:$S$641,"44682B1ConvencionalResidencialResidencial baixa renda – faixa 01Não se aplicaNão se aplicaIntermediário",Mercado_Receita!$L$2:$L$641)+SUMIF(Mercado_Receita!$S$2:$S$641,"44682B1ConvencionalResidencialResidencial baixa renda – faixa 01Não se aplicaNão se aplicaNão se aplica",Mercado_Receita!$L$2:$L$641)</f>
        <v>44.802999999999997</v>
      </c>
      <c r="S18" s="13">
        <f>SUMIF(Mercado_Receita!$S$2:$S$641,"44713B1ConvencionalResidencialResidencial baixa renda – faixa 01Não se aplicaNão se aplicaPonta",Mercado_Receita!$L$2:$L$641)+SUMIF(Mercado_Receita!$S$2:$S$641,"44713B1ConvencionalResidencialResidencial baixa renda – faixa 01Não se aplicaNão se aplicaFora ponta",Mercado_Receita!$L$2:$L$641)+SUMIF(Mercado_Receita!$S$2:$S$641,"44713B1ConvencionalResidencialResidencial baixa renda – faixa 01Não se aplicaNão se aplicaIntermediário",Mercado_Receita!$L$2:$L$641)+SUMIF(Mercado_Receita!$S$2:$S$641,"44713B1ConvencionalResidencialResidencial baixa renda – faixa 01Não se aplicaNão se aplicaNão se aplica",Mercado_Receita!$L$2:$L$641)</f>
        <v>49.980000000000004</v>
      </c>
      <c r="T18" s="13">
        <f>SUMIF(Mercado_Receita!$S$2:$S$641,"44743B1ConvencionalResidencialResidencial baixa renda – faixa 01Não se aplicaNão se aplicaPonta",Mercado_Receita!$L$2:$L$641)+SUMIF(Mercado_Receita!$S$2:$S$641,"44743B1ConvencionalResidencialResidencial baixa renda – faixa 01Não se aplicaNão se aplicaFora ponta",Mercado_Receita!$L$2:$L$641)+SUMIF(Mercado_Receita!$S$2:$S$641,"44743B1ConvencionalResidencialResidencial baixa renda – faixa 01Não se aplicaNão se aplicaIntermediário",Mercado_Receita!$L$2:$L$641)+SUMIF(Mercado_Receita!$S$2:$S$641,"44743B1ConvencionalResidencialResidencial baixa renda – faixa 01Não se aplicaNão se aplicaNão se aplica",Mercado_Receita!$L$2:$L$641)</f>
        <v>49.980000000000004</v>
      </c>
      <c r="U18" s="13">
        <f t="shared" si="0"/>
        <v>515.52700000000004</v>
      </c>
      <c r="V18" s="13"/>
      <c r="W18" s="13"/>
    </row>
    <row r="19" spans="1:23" ht="11.25" customHeight="1" x14ac:dyDescent="0.25">
      <c r="A19" s="131"/>
      <c r="B19" s="131"/>
      <c r="C19" s="131"/>
      <c r="D19" s="12" t="s">
        <v>30</v>
      </c>
      <c r="E19" s="12" t="s">
        <v>25</v>
      </c>
      <c r="F19" s="12" t="s">
        <v>25</v>
      </c>
      <c r="G19" s="13" t="s">
        <v>78</v>
      </c>
      <c r="H19" s="13" t="s">
        <v>74</v>
      </c>
      <c r="I19" s="13">
        <f>SUMIF(Mercado_Receita!$S$2:$S$641,"44409B1ConvencionalResidencialResidencial baixa renda – faixa 02Não se aplicaNão se aplicaPonta",Mercado_Receita!$L$2:$L$641)+SUMIF(Mercado_Receita!$S$2:$S$641,"44409B1ConvencionalResidencialResidencial baixa renda – faixa 02Não se aplicaNão se aplicaFora ponta",Mercado_Receita!$L$2:$L$641)+SUMIF(Mercado_Receita!$S$2:$S$641,"44409B1ConvencionalResidencialResidencial baixa renda – faixa 02Não se aplicaNão se aplicaIntermediário",Mercado_Receita!$L$2:$L$641)+SUMIF(Mercado_Receita!$S$2:$S$641,"44409B1ConvencionalResidencialResidencial baixa renda – faixa 02Não se aplicaNão se aplicaNão se aplica",Mercado_Receita!$L$2:$L$641)</f>
        <v>79.998000000000005</v>
      </c>
      <c r="J19" s="13">
        <f>SUMIF(Mercado_Receita!$S$2:$S$641,"44440B1ConvencionalResidencialResidencial baixa renda – faixa 02Não se aplicaNão se aplicaPonta",Mercado_Receita!$L$2:$L$641)+SUMIF(Mercado_Receita!$S$2:$S$641,"44440B1ConvencionalResidencialResidencial baixa renda – faixa 02Não se aplicaNão se aplicaFora ponta",Mercado_Receita!$L$2:$L$641)+SUMIF(Mercado_Receita!$S$2:$S$641,"44440B1ConvencionalResidencialResidencial baixa renda – faixa 02Não se aplicaNão se aplicaIntermediário",Mercado_Receita!$L$2:$L$641)+SUMIF(Mercado_Receita!$S$2:$S$641,"44440B1ConvencionalResidencialResidencial baixa renda – faixa 02Não se aplicaNão se aplicaNão se aplica",Mercado_Receita!$L$2:$L$641)</f>
        <v>83.417000000000002</v>
      </c>
      <c r="K19" s="13">
        <f>SUMIF(Mercado_Receita!$S$2:$S$641,"44470B1ConvencionalResidencialResidencial baixa renda – faixa 02Não se aplicaNão se aplicaPonta",Mercado_Receita!$L$2:$L$641)+SUMIF(Mercado_Receita!$S$2:$S$641,"44470B1ConvencionalResidencialResidencial baixa renda – faixa 02Não se aplicaNão se aplicaFora ponta",Mercado_Receita!$L$2:$L$641)+SUMIF(Mercado_Receita!$S$2:$S$641,"44470B1ConvencionalResidencialResidencial baixa renda – faixa 02Não se aplicaNão se aplicaIntermediário",Mercado_Receita!$L$2:$L$641)+SUMIF(Mercado_Receita!$S$2:$S$641,"44470B1ConvencionalResidencialResidencial baixa renda – faixa 02Não se aplicaNão se aplicaNão se aplica",Mercado_Receita!$L$2:$L$641)</f>
        <v>83.251999999999995</v>
      </c>
      <c r="L19" s="13">
        <f>SUMIF(Mercado_Receita!$S$2:$S$641,"44501B1ConvencionalResidencialResidencial baixa renda – faixa 02Não se aplicaNão se aplicaPonta",Mercado_Receita!$L$2:$L$641)+SUMIF(Mercado_Receita!$S$2:$S$641,"44501B1ConvencionalResidencialResidencial baixa renda – faixa 02Não se aplicaNão se aplicaFora ponta",Mercado_Receita!$L$2:$L$641)+SUMIF(Mercado_Receita!$S$2:$S$641,"44501B1ConvencionalResidencialResidencial baixa renda – faixa 02Não se aplicaNão se aplicaIntermediário",Mercado_Receita!$L$2:$L$641)+SUMIF(Mercado_Receita!$S$2:$S$641,"44501B1ConvencionalResidencialResidencial baixa renda – faixa 02Não se aplicaNão se aplicaNão se aplica",Mercado_Receita!$L$2:$L$641)</f>
        <v>84.503</v>
      </c>
      <c r="M19" s="13">
        <f>SUMIF(Mercado_Receita!$S$2:$S$641,"44531B1ConvencionalResidencialResidencial baixa renda – faixa 02Não se aplicaNão se aplicaPonta",Mercado_Receita!$L$2:$L$641)+SUMIF(Mercado_Receita!$S$2:$S$641,"44531B1ConvencionalResidencialResidencial baixa renda – faixa 02Não se aplicaNão se aplicaFora ponta",Mercado_Receita!$L$2:$L$641)+SUMIF(Mercado_Receita!$S$2:$S$641,"44531B1ConvencionalResidencialResidencial baixa renda – faixa 02Não se aplicaNão se aplicaIntermediário",Mercado_Receita!$L$2:$L$641)+SUMIF(Mercado_Receita!$S$2:$S$641,"44531B1ConvencionalResidencialResidencial baixa renda – faixa 02Não se aplicaNão se aplicaNão se aplica",Mercado_Receita!$L$2:$L$641)</f>
        <v>85.739000000000004</v>
      </c>
      <c r="N19" s="13">
        <f>SUMIF(Mercado_Receita!$S$2:$S$641,"44562B1ConvencionalResidencialResidencial baixa renda – faixa 02Não se aplicaNão se aplicaPonta",Mercado_Receita!$L$2:$L$641)+SUMIF(Mercado_Receita!$S$2:$S$641,"44562B1ConvencionalResidencialResidencial baixa renda – faixa 02Não se aplicaNão se aplicaFora ponta",Mercado_Receita!$L$2:$L$641)+SUMIF(Mercado_Receita!$S$2:$S$641,"44562B1ConvencionalResidencialResidencial baixa renda – faixa 02Não se aplicaNão se aplicaIntermediário",Mercado_Receita!$L$2:$L$641)+SUMIF(Mercado_Receita!$S$2:$S$641,"44562B1ConvencionalResidencialResidencial baixa renda – faixa 02Não se aplicaNão se aplicaNão se aplica",Mercado_Receita!$L$2:$L$641)</f>
        <v>89.103000000000009</v>
      </c>
      <c r="O19" s="13">
        <f>SUMIF(Mercado_Receita!$S$2:$S$641,"44593B1ConvencionalResidencialResidencial baixa renda – faixa 02Não se aplicaNão se aplicaPonta",Mercado_Receita!$L$2:$L$641)+SUMIF(Mercado_Receita!$S$2:$S$641,"44593B1ConvencionalResidencialResidencial baixa renda – faixa 02Não se aplicaNão se aplicaFora ponta",Mercado_Receita!$L$2:$L$641)+SUMIF(Mercado_Receita!$S$2:$S$641,"44593B1ConvencionalResidencialResidencial baixa renda – faixa 02Não se aplicaNão se aplicaIntermediário",Mercado_Receita!$L$2:$L$641)+SUMIF(Mercado_Receita!$S$2:$S$641,"44593B1ConvencionalResidencialResidencial baixa renda – faixa 02Não se aplicaNão se aplicaNão se aplica",Mercado_Receita!$L$2:$L$641)</f>
        <v>90.623000000000005</v>
      </c>
      <c r="P19" s="13">
        <f>SUMIF(Mercado_Receita!$S$2:$S$641,"44621B1ConvencionalResidencialResidencial baixa renda – faixa 02Não se aplicaNão se aplicaPonta",Mercado_Receita!$L$2:$L$641)+SUMIF(Mercado_Receita!$S$2:$S$641,"44621B1ConvencionalResidencialResidencial baixa renda – faixa 02Não se aplicaNão se aplicaFora ponta",Mercado_Receita!$L$2:$L$641)+SUMIF(Mercado_Receita!$S$2:$S$641,"44621B1ConvencionalResidencialResidencial baixa renda – faixa 02Não se aplicaNão se aplicaIntermediário",Mercado_Receita!$L$2:$L$641)+SUMIF(Mercado_Receita!$S$2:$S$641,"44621B1ConvencionalResidencialResidencial baixa renda – faixa 02Não se aplicaNão se aplicaNão se aplica",Mercado_Receita!$L$2:$L$641)</f>
        <v>91.774000000000001</v>
      </c>
      <c r="Q19" s="13">
        <f>SUMIF(Mercado_Receita!$S$2:$S$641,"44652B1ConvencionalResidencialResidencial baixa renda – faixa 02Não se aplicaNão se aplicaPonta",Mercado_Receita!$L$2:$L$641)+SUMIF(Mercado_Receita!$S$2:$S$641,"44652B1ConvencionalResidencialResidencial baixa renda – faixa 02Não se aplicaNão se aplicaFora ponta",Mercado_Receita!$L$2:$L$641)+SUMIF(Mercado_Receita!$S$2:$S$641,"44652B1ConvencionalResidencialResidencial baixa renda – faixa 02Não se aplicaNão se aplicaIntermediário",Mercado_Receita!$L$2:$L$641)+SUMIF(Mercado_Receita!$S$2:$S$641,"44652B1ConvencionalResidencialResidencial baixa renda – faixa 02Não se aplicaNão se aplicaNão se aplica",Mercado_Receita!$L$2:$L$641)</f>
        <v>92.381</v>
      </c>
      <c r="R19" s="13">
        <f>SUMIF(Mercado_Receita!$S$2:$S$641,"44682B1ConvencionalResidencialResidencial baixa renda – faixa 02Não se aplicaNão se aplicaPonta",Mercado_Receita!$L$2:$L$641)+SUMIF(Mercado_Receita!$S$2:$S$641,"44682B1ConvencionalResidencialResidencial baixa renda – faixa 02Não se aplicaNão se aplicaFora ponta",Mercado_Receita!$L$2:$L$641)+SUMIF(Mercado_Receita!$S$2:$S$641,"44682B1ConvencionalResidencialResidencial baixa renda – faixa 02Não se aplicaNão se aplicaIntermediário",Mercado_Receita!$L$2:$L$641)+SUMIF(Mercado_Receita!$S$2:$S$641,"44682B1ConvencionalResidencialResidencial baixa renda – faixa 02Não se aplicaNão se aplicaNão se aplica",Mercado_Receita!$L$2:$L$641)</f>
        <v>93.614000000000004</v>
      </c>
      <c r="S19" s="13">
        <f>SUMIF(Mercado_Receita!$S$2:$S$641,"44713B1ConvencionalResidencialResidencial baixa renda – faixa 02Não se aplicaNão se aplicaPonta",Mercado_Receita!$L$2:$L$641)+SUMIF(Mercado_Receita!$S$2:$S$641,"44713B1ConvencionalResidencialResidencial baixa renda – faixa 02Não se aplicaNão se aplicaFora ponta",Mercado_Receita!$L$2:$L$641)+SUMIF(Mercado_Receita!$S$2:$S$641,"44713B1ConvencionalResidencialResidencial baixa renda – faixa 02Não se aplicaNão se aplicaIntermediário",Mercado_Receita!$L$2:$L$641)+SUMIF(Mercado_Receita!$S$2:$S$641,"44713B1ConvencionalResidencialResidencial baixa renda – faixa 02Não se aplicaNão se aplicaNão se aplica",Mercado_Receita!$L$2:$L$641)</f>
        <v>101.914</v>
      </c>
      <c r="T19" s="13">
        <f>SUMIF(Mercado_Receita!$S$2:$S$641,"44743B1ConvencionalResidencialResidencial baixa renda – faixa 02Não se aplicaNão se aplicaPonta",Mercado_Receita!$L$2:$L$641)+SUMIF(Mercado_Receita!$S$2:$S$641,"44743B1ConvencionalResidencialResidencial baixa renda – faixa 02Não se aplicaNão se aplicaFora ponta",Mercado_Receita!$L$2:$L$641)+SUMIF(Mercado_Receita!$S$2:$S$641,"44743B1ConvencionalResidencialResidencial baixa renda – faixa 02Não se aplicaNão se aplicaIntermediário",Mercado_Receita!$L$2:$L$641)+SUMIF(Mercado_Receita!$S$2:$S$641,"44743B1ConvencionalResidencialResidencial baixa renda – faixa 02Não se aplicaNão se aplicaNão se aplica",Mercado_Receita!$L$2:$L$641)</f>
        <v>101.914</v>
      </c>
      <c r="U19" s="13">
        <f t="shared" si="0"/>
        <v>1078.232</v>
      </c>
      <c r="V19" s="13"/>
      <c r="W19" s="13"/>
    </row>
    <row r="20" spans="1:23" ht="11.25" customHeight="1" x14ac:dyDescent="0.25">
      <c r="A20" s="131"/>
      <c r="B20" s="131"/>
      <c r="C20" s="131"/>
      <c r="D20" s="12" t="s">
        <v>31</v>
      </c>
      <c r="E20" s="12" t="s">
        <v>25</v>
      </c>
      <c r="F20" s="12" t="s">
        <v>25</v>
      </c>
      <c r="G20" s="13" t="s">
        <v>78</v>
      </c>
      <c r="H20" s="13" t="s">
        <v>74</v>
      </c>
      <c r="I20" s="13">
        <f>SUMIF(Mercado_Receita!$S$2:$S$641,"44409B1ConvencionalResidencialResidencial baixa renda – faixa 03Não se aplicaNão se aplicaPonta",Mercado_Receita!$L$2:$L$641)+SUMIF(Mercado_Receita!$S$2:$S$641,"44409B1ConvencionalResidencialResidencial baixa renda – faixa 03Não se aplicaNão se aplicaFora ponta",Mercado_Receita!$L$2:$L$641)+SUMIF(Mercado_Receita!$S$2:$S$641,"44409B1ConvencionalResidencialResidencial baixa renda – faixa 03Não se aplicaNão se aplicaIntermediário",Mercado_Receita!$L$2:$L$641)+SUMIF(Mercado_Receita!$S$2:$S$641,"44409B1ConvencionalResidencialResidencial baixa renda – faixa 03Não se aplicaNão se aplicaNão se aplica",Mercado_Receita!$L$2:$L$641)</f>
        <v>76.962000000000003</v>
      </c>
      <c r="J20" s="13">
        <f>SUMIF(Mercado_Receita!$S$2:$S$641,"44440B1ConvencionalResidencialResidencial baixa renda – faixa 03Não se aplicaNão se aplicaPonta",Mercado_Receita!$L$2:$L$641)+SUMIF(Mercado_Receita!$S$2:$S$641,"44440B1ConvencionalResidencialResidencial baixa renda – faixa 03Não se aplicaNão se aplicaFora ponta",Mercado_Receita!$L$2:$L$641)+SUMIF(Mercado_Receita!$S$2:$S$641,"44440B1ConvencionalResidencialResidencial baixa renda – faixa 03Não se aplicaNão se aplicaIntermediário",Mercado_Receita!$L$2:$L$641)+SUMIF(Mercado_Receita!$S$2:$S$641,"44440B1ConvencionalResidencialResidencial baixa renda – faixa 03Não se aplicaNão se aplicaNão se aplica",Mercado_Receita!$L$2:$L$641)</f>
        <v>85.067000000000007</v>
      </c>
      <c r="K20" s="13">
        <f>SUMIF(Mercado_Receita!$S$2:$S$641,"44470B1ConvencionalResidencialResidencial baixa renda – faixa 03Não se aplicaNão se aplicaPonta",Mercado_Receita!$L$2:$L$641)+SUMIF(Mercado_Receita!$S$2:$S$641,"44470B1ConvencionalResidencialResidencial baixa renda – faixa 03Não se aplicaNão se aplicaFora ponta",Mercado_Receita!$L$2:$L$641)+SUMIF(Mercado_Receita!$S$2:$S$641,"44470B1ConvencionalResidencialResidencial baixa renda – faixa 03Não se aplicaNão se aplicaIntermediário",Mercado_Receita!$L$2:$L$641)+SUMIF(Mercado_Receita!$S$2:$S$641,"44470B1ConvencionalResidencialResidencial baixa renda – faixa 03Não se aplicaNão se aplicaNão se aplica",Mercado_Receita!$L$2:$L$641)</f>
        <v>79.495999999999995</v>
      </c>
      <c r="L20" s="13">
        <f>SUMIF(Mercado_Receita!$S$2:$S$641,"44501B1ConvencionalResidencialResidencial baixa renda – faixa 03Não se aplicaNão se aplicaPonta",Mercado_Receita!$L$2:$L$641)+SUMIF(Mercado_Receita!$S$2:$S$641,"44501B1ConvencionalResidencialResidencial baixa renda – faixa 03Não se aplicaNão se aplicaFora ponta",Mercado_Receita!$L$2:$L$641)+SUMIF(Mercado_Receita!$S$2:$S$641,"44501B1ConvencionalResidencialResidencial baixa renda – faixa 03Não se aplicaNão se aplicaIntermediário",Mercado_Receita!$L$2:$L$641)+SUMIF(Mercado_Receita!$S$2:$S$641,"44501B1ConvencionalResidencialResidencial baixa renda – faixa 03Não se aplicaNão se aplicaNão se aplica",Mercado_Receita!$L$2:$L$641)</f>
        <v>82.718000000000004</v>
      </c>
      <c r="M20" s="13">
        <f>SUMIF(Mercado_Receita!$S$2:$S$641,"44531B1ConvencionalResidencialResidencial baixa renda – faixa 03Não se aplicaNão se aplicaPonta",Mercado_Receita!$L$2:$L$641)+SUMIF(Mercado_Receita!$S$2:$S$641,"44531B1ConvencionalResidencialResidencial baixa renda – faixa 03Não se aplicaNão se aplicaFora ponta",Mercado_Receita!$L$2:$L$641)+SUMIF(Mercado_Receita!$S$2:$S$641,"44531B1ConvencionalResidencialResidencial baixa renda – faixa 03Não se aplicaNão se aplicaIntermediário",Mercado_Receita!$L$2:$L$641)+SUMIF(Mercado_Receita!$S$2:$S$641,"44531B1ConvencionalResidencialResidencial baixa renda – faixa 03Não se aplicaNão se aplicaNão se aplica",Mercado_Receita!$L$2:$L$641)</f>
        <v>82.260999999999996</v>
      </c>
      <c r="N20" s="13">
        <f>SUMIF(Mercado_Receita!$S$2:$S$641,"44562B1ConvencionalResidencialResidencial baixa renda – faixa 03Não se aplicaNão se aplicaPonta",Mercado_Receita!$L$2:$L$641)+SUMIF(Mercado_Receita!$S$2:$S$641,"44562B1ConvencionalResidencialResidencial baixa renda – faixa 03Não se aplicaNão se aplicaFora ponta",Mercado_Receita!$L$2:$L$641)+SUMIF(Mercado_Receita!$S$2:$S$641,"44562B1ConvencionalResidencialResidencial baixa renda – faixa 03Não se aplicaNão se aplicaIntermediário",Mercado_Receita!$L$2:$L$641)+SUMIF(Mercado_Receita!$S$2:$S$641,"44562B1ConvencionalResidencialResidencial baixa renda – faixa 03Não se aplicaNão se aplicaNão se aplica",Mercado_Receita!$L$2:$L$641)</f>
        <v>104.33399999999999</v>
      </c>
      <c r="O20" s="13">
        <f>SUMIF(Mercado_Receita!$S$2:$S$641,"44593B1ConvencionalResidencialResidencial baixa renda – faixa 03Não se aplicaNão se aplicaPonta",Mercado_Receita!$L$2:$L$641)+SUMIF(Mercado_Receita!$S$2:$S$641,"44593B1ConvencionalResidencialResidencial baixa renda – faixa 03Não se aplicaNão se aplicaFora ponta",Mercado_Receita!$L$2:$L$641)+SUMIF(Mercado_Receita!$S$2:$S$641,"44593B1ConvencionalResidencialResidencial baixa renda – faixa 03Não se aplicaNão se aplicaIntermediário",Mercado_Receita!$L$2:$L$641)+SUMIF(Mercado_Receita!$S$2:$S$641,"44593B1ConvencionalResidencialResidencial baixa renda – faixa 03Não se aplicaNão se aplicaNão se aplica",Mercado_Receita!$L$2:$L$641)</f>
        <v>105.911</v>
      </c>
      <c r="P20" s="13">
        <f>SUMIF(Mercado_Receita!$S$2:$S$641,"44621B1ConvencionalResidencialResidencial baixa renda – faixa 03Não se aplicaNão se aplicaPonta",Mercado_Receita!$L$2:$L$641)+SUMIF(Mercado_Receita!$S$2:$S$641,"44621B1ConvencionalResidencialResidencial baixa renda – faixa 03Não se aplicaNão se aplicaFora ponta",Mercado_Receita!$L$2:$L$641)+SUMIF(Mercado_Receita!$S$2:$S$641,"44621B1ConvencionalResidencialResidencial baixa renda – faixa 03Não se aplicaNão se aplicaIntermediário",Mercado_Receita!$L$2:$L$641)+SUMIF(Mercado_Receita!$S$2:$S$641,"44621B1ConvencionalResidencialResidencial baixa renda – faixa 03Não se aplicaNão se aplicaNão se aplica",Mercado_Receita!$L$2:$L$641)</f>
        <v>103.68900000000001</v>
      </c>
      <c r="Q20" s="13">
        <f>SUMIF(Mercado_Receita!$S$2:$S$641,"44652B1ConvencionalResidencialResidencial baixa renda – faixa 03Não se aplicaNão se aplicaPonta",Mercado_Receita!$L$2:$L$641)+SUMIF(Mercado_Receita!$S$2:$S$641,"44652B1ConvencionalResidencialResidencial baixa renda – faixa 03Não se aplicaNão se aplicaFora ponta",Mercado_Receita!$L$2:$L$641)+SUMIF(Mercado_Receita!$S$2:$S$641,"44652B1ConvencionalResidencialResidencial baixa renda – faixa 03Não se aplicaNão se aplicaIntermediário",Mercado_Receita!$L$2:$L$641)+SUMIF(Mercado_Receita!$S$2:$S$641,"44652B1ConvencionalResidencialResidencial baixa renda – faixa 03Não se aplicaNão se aplicaNão se aplica",Mercado_Receita!$L$2:$L$641)</f>
        <v>101.081</v>
      </c>
      <c r="R20" s="13">
        <f>SUMIF(Mercado_Receita!$S$2:$S$641,"44682B1ConvencionalResidencialResidencial baixa renda – faixa 03Não se aplicaNão se aplicaPonta",Mercado_Receita!$L$2:$L$641)+SUMIF(Mercado_Receita!$S$2:$S$641,"44682B1ConvencionalResidencialResidencial baixa renda – faixa 03Não se aplicaNão se aplicaFora ponta",Mercado_Receita!$L$2:$L$641)+SUMIF(Mercado_Receita!$S$2:$S$641,"44682B1ConvencionalResidencialResidencial baixa renda – faixa 03Não se aplicaNão se aplicaIntermediário",Mercado_Receita!$L$2:$L$641)+SUMIF(Mercado_Receita!$S$2:$S$641,"44682B1ConvencionalResidencialResidencial baixa renda – faixa 03Não se aplicaNão se aplicaNão se aplica",Mercado_Receita!$L$2:$L$641)</f>
        <v>91.027000000000001</v>
      </c>
      <c r="S20" s="13">
        <f>SUMIF(Mercado_Receita!$S$2:$S$641,"44713B1ConvencionalResidencialResidencial baixa renda – faixa 03Não se aplicaNão se aplicaPonta",Mercado_Receita!$L$2:$L$641)+SUMIF(Mercado_Receita!$S$2:$S$641,"44713B1ConvencionalResidencialResidencial baixa renda – faixa 03Não se aplicaNão se aplicaFora ponta",Mercado_Receita!$L$2:$L$641)+SUMIF(Mercado_Receita!$S$2:$S$641,"44713B1ConvencionalResidencialResidencial baixa renda – faixa 03Não se aplicaNão se aplicaIntermediário",Mercado_Receita!$L$2:$L$641)+SUMIF(Mercado_Receita!$S$2:$S$641,"44713B1ConvencionalResidencialResidencial baixa renda – faixa 03Não se aplicaNão se aplicaNão se aplica",Mercado_Receita!$L$2:$L$641)</f>
        <v>99.652000000000001</v>
      </c>
      <c r="T20" s="13">
        <f>SUMIF(Mercado_Receita!$S$2:$S$641,"44743B1ConvencionalResidencialResidencial baixa renda – faixa 03Não se aplicaNão se aplicaPonta",Mercado_Receita!$L$2:$L$641)+SUMIF(Mercado_Receita!$S$2:$S$641,"44743B1ConvencionalResidencialResidencial baixa renda – faixa 03Não se aplicaNão se aplicaFora ponta",Mercado_Receita!$L$2:$L$641)+SUMIF(Mercado_Receita!$S$2:$S$641,"44743B1ConvencionalResidencialResidencial baixa renda – faixa 03Não se aplicaNão se aplicaIntermediário",Mercado_Receita!$L$2:$L$641)+SUMIF(Mercado_Receita!$S$2:$S$641,"44743B1ConvencionalResidencialResidencial baixa renda – faixa 03Não se aplicaNão se aplicaNão se aplica",Mercado_Receita!$L$2:$L$641)</f>
        <v>99.652000000000001</v>
      </c>
      <c r="U20" s="13">
        <f t="shared" si="0"/>
        <v>1111.8500000000001</v>
      </c>
      <c r="V20" s="13"/>
      <c r="W20" s="13"/>
    </row>
    <row r="21" spans="1:23" ht="11.25" customHeight="1" x14ac:dyDescent="0.25">
      <c r="A21" s="131"/>
      <c r="B21" s="131"/>
      <c r="C21" s="131"/>
      <c r="D21" s="12" t="s">
        <v>32</v>
      </c>
      <c r="E21" s="12" t="s">
        <v>25</v>
      </c>
      <c r="F21" s="12" t="s">
        <v>25</v>
      </c>
      <c r="G21" s="13" t="s">
        <v>78</v>
      </c>
      <c r="H21" s="13" t="s">
        <v>74</v>
      </c>
      <c r="I21" s="13">
        <f>SUMIF(Mercado_Receita!$S$2:$S$641,"44409B1ConvencionalResidencialResidencial baixa renda – faixa 04Não se aplicaNão se aplicaPonta",Mercado_Receita!$L$2:$L$641)+SUMIF(Mercado_Receita!$S$2:$S$641,"44409B1ConvencionalResidencialResidencial baixa renda – faixa 04Não se aplicaNão se aplicaFora ponta",Mercado_Receita!$L$2:$L$641)+SUMIF(Mercado_Receita!$S$2:$S$641,"44409B1ConvencionalResidencialResidencial baixa renda – faixa 04Não se aplicaNão se aplicaIntermediário",Mercado_Receita!$L$2:$L$641)+SUMIF(Mercado_Receita!$S$2:$S$641,"44409B1ConvencionalResidencialResidencial baixa renda – faixa 04Não se aplicaNão se aplicaNão se aplica",Mercado_Receita!$L$2:$L$641)</f>
        <v>25.545999999999999</v>
      </c>
      <c r="J21" s="13">
        <f>SUMIF(Mercado_Receita!$S$2:$S$641,"44440B1ConvencionalResidencialResidencial baixa renda – faixa 04Não se aplicaNão se aplicaPonta",Mercado_Receita!$L$2:$L$641)+SUMIF(Mercado_Receita!$S$2:$S$641,"44440B1ConvencionalResidencialResidencial baixa renda – faixa 04Não se aplicaNão se aplicaFora ponta",Mercado_Receita!$L$2:$L$641)+SUMIF(Mercado_Receita!$S$2:$S$641,"44440B1ConvencionalResidencialResidencial baixa renda – faixa 04Não se aplicaNão se aplicaIntermediário",Mercado_Receita!$L$2:$L$641)+SUMIF(Mercado_Receita!$S$2:$S$641,"44440B1ConvencionalResidencialResidencial baixa renda – faixa 04Não se aplicaNão se aplicaNão se aplica",Mercado_Receita!$L$2:$L$641)</f>
        <v>33.059999999999995</v>
      </c>
      <c r="K21" s="13">
        <f>SUMIF(Mercado_Receita!$S$2:$S$641,"44470B1ConvencionalResidencialResidencial baixa renda – faixa 04Não se aplicaNão se aplicaPonta",Mercado_Receita!$L$2:$L$641)+SUMIF(Mercado_Receita!$S$2:$S$641,"44470B1ConvencionalResidencialResidencial baixa renda – faixa 04Não se aplicaNão se aplicaFora ponta",Mercado_Receita!$L$2:$L$641)+SUMIF(Mercado_Receita!$S$2:$S$641,"44470B1ConvencionalResidencialResidencial baixa renda – faixa 04Não se aplicaNão se aplicaIntermediário",Mercado_Receita!$L$2:$L$641)+SUMIF(Mercado_Receita!$S$2:$S$641,"44470B1ConvencionalResidencialResidencial baixa renda – faixa 04Não se aplicaNão se aplicaNão se aplica",Mercado_Receita!$L$2:$L$641)</f>
        <v>25.251000000000001</v>
      </c>
      <c r="L21" s="13">
        <f>SUMIF(Mercado_Receita!$S$2:$S$641,"44501B1ConvencionalResidencialResidencial baixa renda – faixa 04Não se aplicaNão se aplicaPonta",Mercado_Receita!$L$2:$L$641)+SUMIF(Mercado_Receita!$S$2:$S$641,"44501B1ConvencionalResidencialResidencial baixa renda – faixa 04Não se aplicaNão se aplicaFora ponta",Mercado_Receita!$L$2:$L$641)+SUMIF(Mercado_Receita!$S$2:$S$641,"44501B1ConvencionalResidencialResidencial baixa renda – faixa 04Não se aplicaNão se aplicaIntermediário",Mercado_Receita!$L$2:$L$641)+SUMIF(Mercado_Receita!$S$2:$S$641,"44501B1ConvencionalResidencialResidencial baixa renda – faixa 04Não se aplicaNão se aplicaNão se aplica",Mercado_Receita!$L$2:$L$641)</f>
        <v>24.973000000000003</v>
      </c>
      <c r="M21" s="13">
        <f>SUMIF(Mercado_Receita!$S$2:$S$641,"44531B1ConvencionalResidencialResidencial baixa renda – faixa 04Não se aplicaNão se aplicaPonta",Mercado_Receita!$L$2:$L$641)+SUMIF(Mercado_Receita!$S$2:$S$641,"44531B1ConvencionalResidencialResidencial baixa renda – faixa 04Não se aplicaNão se aplicaFora ponta",Mercado_Receita!$L$2:$L$641)+SUMIF(Mercado_Receita!$S$2:$S$641,"44531B1ConvencionalResidencialResidencial baixa renda – faixa 04Não se aplicaNão se aplicaIntermediário",Mercado_Receita!$L$2:$L$641)+SUMIF(Mercado_Receita!$S$2:$S$641,"44531B1ConvencionalResidencialResidencial baixa renda – faixa 04Não se aplicaNão se aplicaNão se aplica",Mercado_Receita!$L$2:$L$641)</f>
        <v>23.991</v>
      </c>
      <c r="N21" s="13">
        <f>SUMIF(Mercado_Receita!$S$2:$S$641,"44562B1ConvencionalResidencialResidencial baixa renda – faixa 04Não se aplicaNão se aplicaPonta",Mercado_Receita!$L$2:$L$641)+SUMIF(Mercado_Receita!$S$2:$S$641,"44562B1ConvencionalResidencialResidencial baixa renda – faixa 04Não se aplicaNão se aplicaFora ponta",Mercado_Receita!$L$2:$L$641)+SUMIF(Mercado_Receita!$S$2:$S$641,"44562B1ConvencionalResidencialResidencial baixa renda – faixa 04Não se aplicaNão se aplicaIntermediário",Mercado_Receita!$L$2:$L$641)+SUMIF(Mercado_Receita!$S$2:$S$641,"44562B1ConvencionalResidencialResidencial baixa renda – faixa 04Não se aplicaNão se aplicaNão se aplica",Mercado_Receita!$L$2:$L$641)</f>
        <v>54.145000000000003</v>
      </c>
      <c r="O21" s="13">
        <f>SUMIF(Mercado_Receita!$S$2:$S$641,"44593B1ConvencionalResidencialResidencial baixa renda – faixa 04Não se aplicaNão se aplicaPonta",Mercado_Receita!$L$2:$L$641)+SUMIF(Mercado_Receita!$S$2:$S$641,"44593B1ConvencionalResidencialResidencial baixa renda – faixa 04Não se aplicaNão se aplicaFora ponta",Mercado_Receita!$L$2:$L$641)+SUMIF(Mercado_Receita!$S$2:$S$641,"44593B1ConvencionalResidencialResidencial baixa renda – faixa 04Não se aplicaNão se aplicaIntermediário",Mercado_Receita!$L$2:$L$641)+SUMIF(Mercado_Receita!$S$2:$S$641,"44593B1ConvencionalResidencialResidencial baixa renda – faixa 04Não se aplicaNão se aplicaNão se aplica",Mercado_Receita!$L$2:$L$641)</f>
        <v>63.542000000000002</v>
      </c>
      <c r="P21" s="13">
        <f>SUMIF(Mercado_Receita!$S$2:$S$641,"44621B1ConvencionalResidencialResidencial baixa renda – faixa 04Não se aplicaNão se aplicaPonta",Mercado_Receita!$L$2:$L$641)+SUMIF(Mercado_Receita!$S$2:$S$641,"44621B1ConvencionalResidencialResidencial baixa renda – faixa 04Não se aplicaNão se aplicaFora ponta",Mercado_Receita!$L$2:$L$641)+SUMIF(Mercado_Receita!$S$2:$S$641,"44621B1ConvencionalResidencialResidencial baixa renda – faixa 04Não se aplicaNão se aplicaIntermediário",Mercado_Receita!$L$2:$L$641)+SUMIF(Mercado_Receita!$S$2:$S$641,"44621B1ConvencionalResidencialResidencial baixa renda – faixa 04Não se aplicaNão se aplicaNão se aplica",Mercado_Receita!$L$2:$L$641)</f>
        <v>55.092000000000006</v>
      </c>
      <c r="Q21" s="13">
        <f>SUMIF(Mercado_Receita!$S$2:$S$641,"44652B1ConvencionalResidencialResidencial baixa renda – faixa 04Não se aplicaNão se aplicaPonta",Mercado_Receita!$L$2:$L$641)+SUMIF(Mercado_Receita!$S$2:$S$641,"44652B1ConvencionalResidencialResidencial baixa renda – faixa 04Não se aplicaNão se aplicaFora ponta",Mercado_Receita!$L$2:$L$641)+SUMIF(Mercado_Receita!$S$2:$S$641,"44652B1ConvencionalResidencialResidencial baixa renda – faixa 04Não se aplicaNão se aplicaIntermediário",Mercado_Receita!$L$2:$L$641)+SUMIF(Mercado_Receita!$S$2:$S$641,"44652B1ConvencionalResidencialResidencial baixa renda – faixa 04Não se aplicaNão se aplicaNão se aplica",Mercado_Receita!$L$2:$L$641)</f>
        <v>41.746000000000002</v>
      </c>
      <c r="R21" s="13">
        <f>SUMIF(Mercado_Receita!$S$2:$S$641,"44682B1ConvencionalResidencialResidencial baixa renda – faixa 04Não se aplicaNão se aplicaPonta",Mercado_Receita!$L$2:$L$641)+SUMIF(Mercado_Receita!$S$2:$S$641,"44682B1ConvencionalResidencialResidencial baixa renda – faixa 04Não se aplicaNão se aplicaFora ponta",Mercado_Receita!$L$2:$L$641)+SUMIF(Mercado_Receita!$S$2:$S$641,"44682B1ConvencionalResidencialResidencial baixa renda – faixa 04Não se aplicaNão se aplicaIntermediário",Mercado_Receita!$L$2:$L$641)+SUMIF(Mercado_Receita!$S$2:$S$641,"44682B1ConvencionalResidencialResidencial baixa renda – faixa 04Não se aplicaNão se aplicaNão se aplica",Mercado_Receita!$L$2:$L$641)</f>
        <v>29.068999999999999</v>
      </c>
      <c r="S21" s="13">
        <f>SUMIF(Mercado_Receita!$S$2:$S$641,"44713B1ConvencionalResidencialResidencial baixa renda – faixa 04Não se aplicaNão se aplicaPonta",Mercado_Receita!$L$2:$L$641)+SUMIF(Mercado_Receita!$S$2:$S$641,"44713B1ConvencionalResidencialResidencial baixa renda – faixa 04Não se aplicaNão se aplicaFora ponta",Mercado_Receita!$L$2:$L$641)+SUMIF(Mercado_Receita!$S$2:$S$641,"44713B1ConvencionalResidencialResidencial baixa renda – faixa 04Não se aplicaNão se aplicaIntermediário",Mercado_Receita!$L$2:$L$641)+SUMIF(Mercado_Receita!$S$2:$S$641,"44713B1ConvencionalResidencialResidencial baixa renda – faixa 04Não se aplicaNão se aplicaNão se aplica",Mercado_Receita!$L$2:$L$641)</f>
        <v>38.725000000000001</v>
      </c>
      <c r="T21" s="13">
        <f>SUMIF(Mercado_Receita!$S$2:$S$641,"44743B1ConvencionalResidencialResidencial baixa renda – faixa 04Não se aplicaNão se aplicaPonta",Mercado_Receita!$L$2:$L$641)+SUMIF(Mercado_Receita!$S$2:$S$641,"44743B1ConvencionalResidencialResidencial baixa renda – faixa 04Não se aplicaNão se aplicaFora ponta",Mercado_Receita!$L$2:$L$641)+SUMIF(Mercado_Receita!$S$2:$S$641,"44743B1ConvencionalResidencialResidencial baixa renda – faixa 04Não se aplicaNão se aplicaIntermediário",Mercado_Receita!$L$2:$L$641)+SUMIF(Mercado_Receita!$S$2:$S$641,"44743B1ConvencionalResidencialResidencial baixa renda – faixa 04Não se aplicaNão se aplicaNão se aplica",Mercado_Receita!$L$2:$L$641)</f>
        <v>38.725000000000001</v>
      </c>
      <c r="U21" s="13">
        <f t="shared" si="0"/>
        <v>453.86500000000007</v>
      </c>
      <c r="V21" s="13"/>
      <c r="W21" s="13"/>
    </row>
    <row r="22" spans="1:23" ht="11.25" customHeight="1" x14ac:dyDescent="0.25">
      <c r="A22" s="131"/>
      <c r="B22" s="130" t="s">
        <v>89</v>
      </c>
      <c r="C22" s="130" t="s">
        <v>24</v>
      </c>
      <c r="D22" s="12" t="s">
        <v>24</v>
      </c>
      <c r="E22" s="12" t="s">
        <v>25</v>
      </c>
      <c r="F22" s="12" t="s">
        <v>25</v>
      </c>
      <c r="G22" s="13" t="s">
        <v>78</v>
      </c>
      <c r="H22" s="13" t="s">
        <v>74</v>
      </c>
      <c r="I22" s="13">
        <f>SUMIF(Mercado_Receita!$S$2:$S$641,"44409B1Convencional pré-pagamentoResidencialResidencialNão se aplicaNão se aplicaPonta",Mercado_Receita!$L$2:$L$641)+SUMIF(Mercado_Receita!$S$2:$S$641,"44409B1Convencional pré-pagamentoResidencialResidencialNão se aplicaNão se aplicaFora ponta",Mercado_Receita!$L$2:$L$641)+SUMIF(Mercado_Receita!$S$2:$S$641,"44409B1Convencional pré-pagamentoResidencialResidencialNão se aplicaNão se aplicaIntermediário",Mercado_Receita!$L$2:$L$641)+SUMIF(Mercado_Receita!$S$2:$S$641,"44409B1Convencional pré-pagamentoResidencialResidencialNão se aplicaNão se aplicaNão se aplica",Mercado_Receita!$L$2:$L$641)</f>
        <v>0</v>
      </c>
      <c r="J22" s="13">
        <f>SUMIF(Mercado_Receita!$S$2:$S$641,"44440B1Convencional pré-pagamentoResidencialResidencialNão se aplicaNão se aplicaPonta",Mercado_Receita!$L$2:$L$641)+SUMIF(Mercado_Receita!$S$2:$S$641,"44440B1Convencional pré-pagamentoResidencialResidencialNão se aplicaNão se aplicaFora ponta",Mercado_Receita!$L$2:$L$641)+SUMIF(Mercado_Receita!$S$2:$S$641,"44440B1Convencional pré-pagamentoResidencialResidencialNão se aplicaNão se aplicaIntermediário",Mercado_Receita!$L$2:$L$641)+SUMIF(Mercado_Receita!$S$2:$S$641,"44440B1Convencional pré-pagamentoResidencialResidencialNão se aplicaNão se aplicaNão se aplica",Mercado_Receita!$L$2:$L$641)</f>
        <v>0</v>
      </c>
      <c r="K22" s="13">
        <f>SUMIF(Mercado_Receita!$S$2:$S$641,"44470B1Convencional pré-pagamentoResidencialResidencialNão se aplicaNão se aplicaPonta",Mercado_Receita!$L$2:$L$641)+SUMIF(Mercado_Receita!$S$2:$S$641,"44470B1Convencional pré-pagamentoResidencialResidencialNão se aplicaNão se aplicaFora ponta",Mercado_Receita!$L$2:$L$641)+SUMIF(Mercado_Receita!$S$2:$S$641,"44470B1Convencional pré-pagamentoResidencialResidencialNão se aplicaNão se aplicaIntermediário",Mercado_Receita!$L$2:$L$641)+SUMIF(Mercado_Receita!$S$2:$S$641,"44470B1Convencional pré-pagamentoResidencialResidencialNão se aplicaNão se aplicaNão se aplica",Mercado_Receita!$L$2:$L$641)</f>
        <v>0</v>
      </c>
      <c r="L22" s="13">
        <f>SUMIF(Mercado_Receita!$S$2:$S$641,"44501B1Convencional pré-pagamentoResidencialResidencialNão se aplicaNão se aplicaPonta",Mercado_Receita!$L$2:$L$641)+SUMIF(Mercado_Receita!$S$2:$S$641,"44501B1Convencional pré-pagamentoResidencialResidencialNão se aplicaNão se aplicaFora ponta",Mercado_Receita!$L$2:$L$641)+SUMIF(Mercado_Receita!$S$2:$S$641,"44501B1Convencional pré-pagamentoResidencialResidencialNão se aplicaNão se aplicaIntermediário",Mercado_Receita!$L$2:$L$641)+SUMIF(Mercado_Receita!$S$2:$S$641,"44501B1Convencional pré-pagamentoResidencialResidencialNão se aplicaNão se aplicaNão se aplica",Mercado_Receita!$L$2:$L$641)</f>
        <v>0</v>
      </c>
      <c r="M22" s="13">
        <f>SUMIF(Mercado_Receita!$S$2:$S$641,"44531B1Convencional pré-pagamentoResidencialResidencialNão se aplicaNão se aplicaPonta",Mercado_Receita!$L$2:$L$641)+SUMIF(Mercado_Receita!$S$2:$S$641,"44531B1Convencional pré-pagamentoResidencialResidencialNão se aplicaNão se aplicaFora ponta",Mercado_Receita!$L$2:$L$641)+SUMIF(Mercado_Receita!$S$2:$S$641,"44531B1Convencional pré-pagamentoResidencialResidencialNão se aplicaNão se aplicaIntermediário",Mercado_Receita!$L$2:$L$641)+SUMIF(Mercado_Receita!$S$2:$S$641,"44531B1Convencional pré-pagamentoResidencialResidencialNão se aplicaNão se aplicaNão se aplica",Mercado_Receita!$L$2:$L$641)</f>
        <v>0</v>
      </c>
      <c r="N22" s="13">
        <f>SUMIF(Mercado_Receita!$S$2:$S$641,"44562B1Convencional pré-pagamentoResidencialResidencialNão se aplicaNão se aplicaPonta",Mercado_Receita!$L$2:$L$641)+SUMIF(Mercado_Receita!$S$2:$S$641,"44562B1Convencional pré-pagamentoResidencialResidencialNão se aplicaNão se aplicaFora ponta",Mercado_Receita!$L$2:$L$641)+SUMIF(Mercado_Receita!$S$2:$S$641,"44562B1Convencional pré-pagamentoResidencialResidencialNão se aplicaNão se aplicaIntermediário",Mercado_Receita!$L$2:$L$641)+SUMIF(Mercado_Receita!$S$2:$S$641,"44562B1Convencional pré-pagamentoResidencialResidencialNão se aplicaNão se aplicaNão se aplica",Mercado_Receita!$L$2:$L$641)</f>
        <v>0</v>
      </c>
      <c r="O22" s="13">
        <f>SUMIF(Mercado_Receita!$S$2:$S$641,"44593B1Convencional pré-pagamentoResidencialResidencialNão se aplicaNão se aplicaPonta",Mercado_Receita!$L$2:$L$641)+SUMIF(Mercado_Receita!$S$2:$S$641,"44593B1Convencional pré-pagamentoResidencialResidencialNão se aplicaNão se aplicaFora ponta",Mercado_Receita!$L$2:$L$641)+SUMIF(Mercado_Receita!$S$2:$S$641,"44593B1Convencional pré-pagamentoResidencialResidencialNão se aplicaNão se aplicaIntermediário",Mercado_Receita!$L$2:$L$641)+SUMIF(Mercado_Receita!$S$2:$S$641,"44593B1Convencional pré-pagamentoResidencialResidencialNão se aplicaNão se aplicaNão se aplica",Mercado_Receita!$L$2:$L$641)</f>
        <v>0</v>
      </c>
      <c r="P22" s="13">
        <f>SUMIF(Mercado_Receita!$S$2:$S$641,"44621B1Convencional pré-pagamentoResidencialResidencialNão se aplicaNão se aplicaPonta",Mercado_Receita!$L$2:$L$641)+SUMIF(Mercado_Receita!$S$2:$S$641,"44621B1Convencional pré-pagamentoResidencialResidencialNão se aplicaNão se aplicaFora ponta",Mercado_Receita!$L$2:$L$641)+SUMIF(Mercado_Receita!$S$2:$S$641,"44621B1Convencional pré-pagamentoResidencialResidencialNão se aplicaNão se aplicaIntermediário",Mercado_Receita!$L$2:$L$641)+SUMIF(Mercado_Receita!$S$2:$S$641,"44621B1Convencional pré-pagamentoResidencialResidencialNão se aplicaNão se aplicaNão se aplica",Mercado_Receita!$L$2:$L$641)</f>
        <v>0</v>
      </c>
      <c r="Q22" s="13">
        <f>SUMIF(Mercado_Receita!$S$2:$S$641,"44652B1Convencional pré-pagamentoResidencialResidencialNão se aplicaNão se aplicaPonta",Mercado_Receita!$L$2:$L$641)+SUMIF(Mercado_Receita!$S$2:$S$641,"44652B1Convencional pré-pagamentoResidencialResidencialNão se aplicaNão se aplicaFora ponta",Mercado_Receita!$L$2:$L$641)+SUMIF(Mercado_Receita!$S$2:$S$641,"44652B1Convencional pré-pagamentoResidencialResidencialNão se aplicaNão se aplicaIntermediário",Mercado_Receita!$L$2:$L$641)+SUMIF(Mercado_Receita!$S$2:$S$641,"44652B1Convencional pré-pagamentoResidencialResidencialNão se aplicaNão se aplicaNão se aplica",Mercado_Receita!$L$2:$L$641)</f>
        <v>0</v>
      </c>
      <c r="R22" s="13">
        <f>SUMIF(Mercado_Receita!$S$2:$S$641,"44682B1Convencional pré-pagamentoResidencialResidencialNão se aplicaNão se aplicaPonta",Mercado_Receita!$L$2:$L$641)+SUMIF(Mercado_Receita!$S$2:$S$641,"44682B1Convencional pré-pagamentoResidencialResidencialNão se aplicaNão se aplicaFora ponta",Mercado_Receita!$L$2:$L$641)+SUMIF(Mercado_Receita!$S$2:$S$641,"44682B1Convencional pré-pagamentoResidencialResidencialNão se aplicaNão se aplicaIntermediário",Mercado_Receita!$L$2:$L$641)+SUMIF(Mercado_Receita!$S$2:$S$641,"44682B1Convencional pré-pagamentoResidencialResidencialNão se aplicaNão se aplicaNão se aplica",Mercado_Receita!$L$2:$L$641)</f>
        <v>0</v>
      </c>
      <c r="S22" s="13">
        <f>SUMIF(Mercado_Receita!$S$2:$S$641,"44713B1Convencional pré-pagamentoResidencialResidencialNão se aplicaNão se aplicaPonta",Mercado_Receita!$L$2:$L$641)+SUMIF(Mercado_Receita!$S$2:$S$641,"44713B1Convencional pré-pagamentoResidencialResidencialNão se aplicaNão se aplicaFora ponta",Mercado_Receita!$L$2:$L$641)+SUMIF(Mercado_Receita!$S$2:$S$641,"44713B1Convencional pré-pagamentoResidencialResidencialNão se aplicaNão se aplicaIntermediário",Mercado_Receita!$L$2:$L$641)+SUMIF(Mercado_Receita!$S$2:$S$641,"44713B1Convencional pré-pagamentoResidencialResidencialNão se aplicaNão se aplicaNão se aplica",Mercado_Receita!$L$2:$L$641)</f>
        <v>0</v>
      </c>
      <c r="T22" s="13">
        <f>SUMIF(Mercado_Receita!$S$2:$S$641,"44743B1Convencional pré-pagamentoResidencialResidencialNão se aplicaNão se aplicaPonta",Mercado_Receita!$L$2:$L$641)+SUMIF(Mercado_Receita!$S$2:$S$641,"44743B1Convencional pré-pagamentoResidencialResidencialNão se aplicaNão se aplicaFora ponta",Mercado_Receita!$L$2:$L$641)+SUMIF(Mercado_Receita!$S$2:$S$641,"44743B1Convencional pré-pagamentoResidencialResidencialNão se aplicaNão se aplicaIntermediário",Mercado_Receita!$L$2:$L$641)+SUMIF(Mercado_Receita!$S$2:$S$641,"44743B1Convencional pré-pagamentoResidencialResidencialNão se aplicaNão se aplicaNão se aplica",Mercado_Receita!$L$2:$L$641)</f>
        <v>0</v>
      </c>
      <c r="U22" s="13">
        <f t="shared" si="0"/>
        <v>0</v>
      </c>
      <c r="V22" s="13"/>
      <c r="W22" s="13"/>
    </row>
    <row r="23" spans="1:23" ht="11.25" customHeight="1" x14ac:dyDescent="0.25">
      <c r="A23" s="131"/>
      <c r="B23" s="131"/>
      <c r="C23" s="131"/>
      <c r="D23" s="12" t="s">
        <v>29</v>
      </c>
      <c r="E23" s="12" t="s">
        <v>25</v>
      </c>
      <c r="F23" s="12" t="s">
        <v>25</v>
      </c>
      <c r="G23" s="13" t="s">
        <v>78</v>
      </c>
      <c r="H23" s="13" t="s">
        <v>74</v>
      </c>
      <c r="I23" s="13">
        <f>SUMIF(Mercado_Receita!$S$2:$S$641,"44409B1Convencional pré-pagamentoResidencialResidencial baixa renda – faixa 01Não se aplicaNão se aplicaPonta",Mercado_Receita!$L$2:$L$641)+SUMIF(Mercado_Receita!$S$2:$S$641,"44409B1Convencional pré-pagamentoResidencialResidencial baixa renda – faixa 01Não se aplicaNão se aplicaFora ponta",Mercado_Receita!$L$2:$L$641)+SUMIF(Mercado_Receita!$S$2:$S$641,"44409B1Convencional pré-pagamentoResidencialResidencial baixa renda – faixa 01Não se aplicaNão se aplicaIntermediário",Mercado_Receita!$L$2:$L$641)+SUMIF(Mercado_Receita!$S$2:$S$641,"44409B1Convencional pré-pagamentoResidencialResidencial baixa renda – faixa 01Não se aplicaNão se aplicaNão se aplica",Mercado_Receita!$L$2:$L$641)</f>
        <v>0</v>
      </c>
      <c r="J23" s="13">
        <f>SUMIF(Mercado_Receita!$S$2:$S$641,"44440B1Convencional pré-pagamentoResidencialResidencial baixa renda – faixa 01Não se aplicaNão se aplicaPonta",Mercado_Receita!$L$2:$L$641)+SUMIF(Mercado_Receita!$S$2:$S$641,"44440B1Convencional pré-pagamentoResidencialResidencial baixa renda – faixa 01Não se aplicaNão se aplicaFora ponta",Mercado_Receita!$L$2:$L$641)+SUMIF(Mercado_Receita!$S$2:$S$641,"44440B1Convencional pré-pagamentoResidencialResidencial baixa renda – faixa 01Não se aplicaNão se aplicaIntermediário",Mercado_Receita!$L$2:$L$641)+SUMIF(Mercado_Receita!$S$2:$S$641,"44440B1Convencional pré-pagamentoResidencialResidencial baixa renda – faixa 01Não se aplicaNão se aplicaNão se aplica",Mercado_Receita!$L$2:$L$641)</f>
        <v>0</v>
      </c>
      <c r="K23" s="13">
        <f>SUMIF(Mercado_Receita!$S$2:$S$641,"44470B1Convencional pré-pagamentoResidencialResidencial baixa renda – faixa 01Não se aplicaNão se aplicaPonta",Mercado_Receita!$L$2:$L$641)+SUMIF(Mercado_Receita!$S$2:$S$641,"44470B1Convencional pré-pagamentoResidencialResidencial baixa renda – faixa 01Não se aplicaNão se aplicaFora ponta",Mercado_Receita!$L$2:$L$641)+SUMIF(Mercado_Receita!$S$2:$S$641,"44470B1Convencional pré-pagamentoResidencialResidencial baixa renda – faixa 01Não se aplicaNão se aplicaIntermediário",Mercado_Receita!$L$2:$L$641)+SUMIF(Mercado_Receita!$S$2:$S$641,"44470B1Convencional pré-pagamentoResidencialResidencial baixa renda – faixa 01Não se aplicaNão se aplicaNão se aplica",Mercado_Receita!$L$2:$L$641)</f>
        <v>0</v>
      </c>
      <c r="L23" s="13">
        <f>SUMIF(Mercado_Receita!$S$2:$S$641,"44501B1Convencional pré-pagamentoResidencialResidencial baixa renda – faixa 01Não se aplicaNão se aplicaPonta",Mercado_Receita!$L$2:$L$641)+SUMIF(Mercado_Receita!$S$2:$S$641,"44501B1Convencional pré-pagamentoResidencialResidencial baixa renda – faixa 01Não se aplicaNão se aplicaFora ponta",Mercado_Receita!$L$2:$L$641)+SUMIF(Mercado_Receita!$S$2:$S$641,"44501B1Convencional pré-pagamentoResidencialResidencial baixa renda – faixa 01Não se aplicaNão se aplicaIntermediário",Mercado_Receita!$L$2:$L$641)+SUMIF(Mercado_Receita!$S$2:$S$641,"44501B1Convencional pré-pagamentoResidencialResidencial baixa renda – faixa 01Não se aplicaNão se aplicaNão se aplica",Mercado_Receita!$L$2:$L$641)</f>
        <v>0</v>
      </c>
      <c r="M23" s="13">
        <f>SUMIF(Mercado_Receita!$S$2:$S$641,"44531B1Convencional pré-pagamentoResidencialResidencial baixa renda – faixa 01Não se aplicaNão se aplicaPonta",Mercado_Receita!$L$2:$L$641)+SUMIF(Mercado_Receita!$S$2:$S$641,"44531B1Convencional pré-pagamentoResidencialResidencial baixa renda – faixa 01Não se aplicaNão se aplicaFora ponta",Mercado_Receita!$L$2:$L$641)+SUMIF(Mercado_Receita!$S$2:$S$641,"44531B1Convencional pré-pagamentoResidencialResidencial baixa renda – faixa 01Não se aplicaNão se aplicaIntermediário",Mercado_Receita!$L$2:$L$641)+SUMIF(Mercado_Receita!$S$2:$S$641,"44531B1Convencional pré-pagamentoResidencialResidencial baixa renda – faixa 01Não se aplicaNão se aplicaNão se aplica",Mercado_Receita!$L$2:$L$641)</f>
        <v>0</v>
      </c>
      <c r="N23" s="13">
        <f>SUMIF(Mercado_Receita!$S$2:$S$641,"44562B1Convencional pré-pagamentoResidencialResidencial baixa renda – faixa 01Não se aplicaNão se aplicaPonta",Mercado_Receita!$L$2:$L$641)+SUMIF(Mercado_Receita!$S$2:$S$641,"44562B1Convencional pré-pagamentoResidencialResidencial baixa renda – faixa 01Não se aplicaNão se aplicaFora ponta",Mercado_Receita!$L$2:$L$641)+SUMIF(Mercado_Receita!$S$2:$S$641,"44562B1Convencional pré-pagamentoResidencialResidencial baixa renda – faixa 01Não se aplicaNão se aplicaIntermediário",Mercado_Receita!$L$2:$L$641)+SUMIF(Mercado_Receita!$S$2:$S$641,"44562B1Convencional pré-pagamentoResidencialResidencial baixa renda – faixa 01Não se aplicaNão se aplicaNão se aplica",Mercado_Receita!$L$2:$L$641)</f>
        <v>0</v>
      </c>
      <c r="O23" s="13">
        <f>SUMIF(Mercado_Receita!$S$2:$S$641,"44593B1Convencional pré-pagamentoResidencialResidencial baixa renda – faixa 01Não se aplicaNão se aplicaPonta",Mercado_Receita!$L$2:$L$641)+SUMIF(Mercado_Receita!$S$2:$S$641,"44593B1Convencional pré-pagamentoResidencialResidencial baixa renda – faixa 01Não se aplicaNão se aplicaFora ponta",Mercado_Receita!$L$2:$L$641)+SUMIF(Mercado_Receita!$S$2:$S$641,"44593B1Convencional pré-pagamentoResidencialResidencial baixa renda – faixa 01Não se aplicaNão se aplicaIntermediário",Mercado_Receita!$L$2:$L$641)+SUMIF(Mercado_Receita!$S$2:$S$641,"44593B1Convencional pré-pagamentoResidencialResidencial baixa renda – faixa 01Não se aplicaNão se aplicaNão se aplica",Mercado_Receita!$L$2:$L$641)</f>
        <v>0</v>
      </c>
      <c r="P23" s="13">
        <f>SUMIF(Mercado_Receita!$S$2:$S$641,"44621B1Convencional pré-pagamentoResidencialResidencial baixa renda – faixa 01Não se aplicaNão se aplicaPonta",Mercado_Receita!$L$2:$L$641)+SUMIF(Mercado_Receita!$S$2:$S$641,"44621B1Convencional pré-pagamentoResidencialResidencial baixa renda – faixa 01Não se aplicaNão se aplicaFora ponta",Mercado_Receita!$L$2:$L$641)+SUMIF(Mercado_Receita!$S$2:$S$641,"44621B1Convencional pré-pagamentoResidencialResidencial baixa renda – faixa 01Não se aplicaNão se aplicaIntermediário",Mercado_Receita!$L$2:$L$641)+SUMIF(Mercado_Receita!$S$2:$S$641,"44621B1Convencional pré-pagamentoResidencialResidencial baixa renda – faixa 01Não se aplicaNão se aplicaNão se aplica",Mercado_Receita!$L$2:$L$641)</f>
        <v>0</v>
      </c>
      <c r="Q23" s="13">
        <f>SUMIF(Mercado_Receita!$S$2:$S$641,"44652B1Convencional pré-pagamentoResidencialResidencial baixa renda – faixa 01Não se aplicaNão se aplicaPonta",Mercado_Receita!$L$2:$L$641)+SUMIF(Mercado_Receita!$S$2:$S$641,"44652B1Convencional pré-pagamentoResidencialResidencial baixa renda – faixa 01Não se aplicaNão se aplicaFora ponta",Mercado_Receita!$L$2:$L$641)+SUMIF(Mercado_Receita!$S$2:$S$641,"44652B1Convencional pré-pagamentoResidencialResidencial baixa renda – faixa 01Não se aplicaNão se aplicaIntermediário",Mercado_Receita!$L$2:$L$641)+SUMIF(Mercado_Receita!$S$2:$S$641,"44652B1Convencional pré-pagamentoResidencialResidencial baixa renda – faixa 01Não se aplicaNão se aplicaNão se aplica",Mercado_Receita!$L$2:$L$641)</f>
        <v>0</v>
      </c>
      <c r="R23" s="13">
        <f>SUMIF(Mercado_Receita!$S$2:$S$641,"44682B1Convencional pré-pagamentoResidencialResidencial baixa renda – faixa 01Não se aplicaNão se aplicaPonta",Mercado_Receita!$L$2:$L$641)+SUMIF(Mercado_Receita!$S$2:$S$641,"44682B1Convencional pré-pagamentoResidencialResidencial baixa renda – faixa 01Não se aplicaNão se aplicaFora ponta",Mercado_Receita!$L$2:$L$641)+SUMIF(Mercado_Receita!$S$2:$S$641,"44682B1Convencional pré-pagamentoResidencialResidencial baixa renda – faixa 01Não se aplicaNão se aplicaIntermediário",Mercado_Receita!$L$2:$L$641)+SUMIF(Mercado_Receita!$S$2:$S$641,"44682B1Convencional pré-pagamentoResidencialResidencial baixa renda – faixa 01Não se aplicaNão se aplicaNão se aplica",Mercado_Receita!$L$2:$L$641)</f>
        <v>0</v>
      </c>
      <c r="S23" s="13">
        <f>SUMIF(Mercado_Receita!$S$2:$S$641,"44713B1Convencional pré-pagamentoResidencialResidencial baixa renda – faixa 01Não se aplicaNão se aplicaPonta",Mercado_Receita!$L$2:$L$641)+SUMIF(Mercado_Receita!$S$2:$S$641,"44713B1Convencional pré-pagamentoResidencialResidencial baixa renda – faixa 01Não se aplicaNão se aplicaFora ponta",Mercado_Receita!$L$2:$L$641)+SUMIF(Mercado_Receita!$S$2:$S$641,"44713B1Convencional pré-pagamentoResidencialResidencial baixa renda – faixa 01Não se aplicaNão se aplicaIntermediário",Mercado_Receita!$L$2:$L$641)+SUMIF(Mercado_Receita!$S$2:$S$641,"44713B1Convencional pré-pagamentoResidencialResidencial baixa renda – faixa 01Não se aplicaNão se aplicaNão se aplica",Mercado_Receita!$L$2:$L$641)</f>
        <v>0</v>
      </c>
      <c r="T23" s="13">
        <f>SUMIF(Mercado_Receita!$S$2:$S$641,"44743B1Convencional pré-pagamentoResidencialResidencial baixa renda – faixa 01Não se aplicaNão se aplicaPonta",Mercado_Receita!$L$2:$L$641)+SUMIF(Mercado_Receita!$S$2:$S$641,"44743B1Convencional pré-pagamentoResidencialResidencial baixa renda – faixa 01Não se aplicaNão se aplicaFora ponta",Mercado_Receita!$L$2:$L$641)+SUMIF(Mercado_Receita!$S$2:$S$641,"44743B1Convencional pré-pagamentoResidencialResidencial baixa renda – faixa 01Não se aplicaNão se aplicaIntermediário",Mercado_Receita!$L$2:$L$641)+SUMIF(Mercado_Receita!$S$2:$S$641,"44743B1Convencional pré-pagamentoResidencialResidencial baixa renda – faixa 01Não se aplicaNão se aplicaNão se aplica",Mercado_Receita!$L$2:$L$641)</f>
        <v>0</v>
      </c>
      <c r="U23" s="13">
        <f t="shared" si="0"/>
        <v>0</v>
      </c>
      <c r="V23" s="13"/>
      <c r="W23" s="13"/>
    </row>
    <row r="24" spans="1:23" ht="11.25" customHeight="1" x14ac:dyDescent="0.25">
      <c r="A24" s="131"/>
      <c r="B24" s="131"/>
      <c r="C24" s="131"/>
      <c r="D24" s="12" t="s">
        <v>30</v>
      </c>
      <c r="E24" s="12" t="s">
        <v>25</v>
      </c>
      <c r="F24" s="12" t="s">
        <v>25</v>
      </c>
      <c r="G24" s="13" t="s">
        <v>78</v>
      </c>
      <c r="H24" s="13" t="s">
        <v>74</v>
      </c>
      <c r="I24" s="13">
        <f>SUMIF(Mercado_Receita!$S$2:$S$641,"44409B1Convencional pré-pagamentoResidencialResidencial baixa renda – faixa 02Não se aplicaNão se aplicaPonta",Mercado_Receita!$L$2:$L$641)+SUMIF(Mercado_Receita!$S$2:$S$641,"44409B1Convencional pré-pagamentoResidencialResidencial baixa renda – faixa 02Não se aplicaNão se aplicaFora ponta",Mercado_Receita!$L$2:$L$641)+SUMIF(Mercado_Receita!$S$2:$S$641,"44409B1Convencional pré-pagamentoResidencialResidencial baixa renda – faixa 02Não se aplicaNão se aplicaIntermediário",Mercado_Receita!$L$2:$L$641)+SUMIF(Mercado_Receita!$S$2:$S$641,"44409B1Convencional pré-pagamentoResidencialResidencial baixa renda – faixa 02Não se aplicaNão se aplicaNão se aplica",Mercado_Receita!$L$2:$L$641)</f>
        <v>0</v>
      </c>
      <c r="J24" s="13">
        <f>SUMIF(Mercado_Receita!$S$2:$S$641,"44440B1Convencional pré-pagamentoResidencialResidencial baixa renda – faixa 02Não se aplicaNão se aplicaPonta",Mercado_Receita!$L$2:$L$641)+SUMIF(Mercado_Receita!$S$2:$S$641,"44440B1Convencional pré-pagamentoResidencialResidencial baixa renda – faixa 02Não se aplicaNão se aplicaFora ponta",Mercado_Receita!$L$2:$L$641)+SUMIF(Mercado_Receita!$S$2:$S$641,"44440B1Convencional pré-pagamentoResidencialResidencial baixa renda – faixa 02Não se aplicaNão se aplicaIntermediário",Mercado_Receita!$L$2:$L$641)+SUMIF(Mercado_Receita!$S$2:$S$641,"44440B1Convencional pré-pagamentoResidencialResidencial baixa renda – faixa 02Não se aplicaNão se aplicaNão se aplica",Mercado_Receita!$L$2:$L$641)</f>
        <v>0</v>
      </c>
      <c r="K24" s="13">
        <f>SUMIF(Mercado_Receita!$S$2:$S$641,"44470B1Convencional pré-pagamentoResidencialResidencial baixa renda – faixa 02Não se aplicaNão se aplicaPonta",Mercado_Receita!$L$2:$L$641)+SUMIF(Mercado_Receita!$S$2:$S$641,"44470B1Convencional pré-pagamentoResidencialResidencial baixa renda – faixa 02Não se aplicaNão se aplicaFora ponta",Mercado_Receita!$L$2:$L$641)+SUMIF(Mercado_Receita!$S$2:$S$641,"44470B1Convencional pré-pagamentoResidencialResidencial baixa renda – faixa 02Não se aplicaNão se aplicaIntermediário",Mercado_Receita!$L$2:$L$641)+SUMIF(Mercado_Receita!$S$2:$S$641,"44470B1Convencional pré-pagamentoResidencialResidencial baixa renda – faixa 02Não se aplicaNão se aplicaNão se aplica",Mercado_Receita!$L$2:$L$641)</f>
        <v>0</v>
      </c>
      <c r="L24" s="13">
        <f>SUMIF(Mercado_Receita!$S$2:$S$641,"44501B1Convencional pré-pagamentoResidencialResidencial baixa renda – faixa 02Não se aplicaNão se aplicaPonta",Mercado_Receita!$L$2:$L$641)+SUMIF(Mercado_Receita!$S$2:$S$641,"44501B1Convencional pré-pagamentoResidencialResidencial baixa renda – faixa 02Não se aplicaNão se aplicaFora ponta",Mercado_Receita!$L$2:$L$641)+SUMIF(Mercado_Receita!$S$2:$S$641,"44501B1Convencional pré-pagamentoResidencialResidencial baixa renda – faixa 02Não se aplicaNão se aplicaIntermediário",Mercado_Receita!$L$2:$L$641)+SUMIF(Mercado_Receita!$S$2:$S$641,"44501B1Convencional pré-pagamentoResidencialResidencial baixa renda – faixa 02Não se aplicaNão se aplicaNão se aplica",Mercado_Receita!$L$2:$L$641)</f>
        <v>0</v>
      </c>
      <c r="M24" s="13">
        <f>SUMIF(Mercado_Receita!$S$2:$S$641,"44531B1Convencional pré-pagamentoResidencialResidencial baixa renda – faixa 02Não se aplicaNão se aplicaPonta",Mercado_Receita!$L$2:$L$641)+SUMIF(Mercado_Receita!$S$2:$S$641,"44531B1Convencional pré-pagamentoResidencialResidencial baixa renda – faixa 02Não se aplicaNão se aplicaFora ponta",Mercado_Receita!$L$2:$L$641)+SUMIF(Mercado_Receita!$S$2:$S$641,"44531B1Convencional pré-pagamentoResidencialResidencial baixa renda – faixa 02Não se aplicaNão se aplicaIntermediário",Mercado_Receita!$L$2:$L$641)+SUMIF(Mercado_Receita!$S$2:$S$641,"44531B1Convencional pré-pagamentoResidencialResidencial baixa renda – faixa 02Não se aplicaNão se aplicaNão se aplica",Mercado_Receita!$L$2:$L$641)</f>
        <v>0</v>
      </c>
      <c r="N24" s="13">
        <f>SUMIF(Mercado_Receita!$S$2:$S$641,"44562B1Convencional pré-pagamentoResidencialResidencial baixa renda – faixa 02Não se aplicaNão se aplicaPonta",Mercado_Receita!$L$2:$L$641)+SUMIF(Mercado_Receita!$S$2:$S$641,"44562B1Convencional pré-pagamentoResidencialResidencial baixa renda – faixa 02Não se aplicaNão se aplicaFora ponta",Mercado_Receita!$L$2:$L$641)+SUMIF(Mercado_Receita!$S$2:$S$641,"44562B1Convencional pré-pagamentoResidencialResidencial baixa renda – faixa 02Não se aplicaNão se aplicaIntermediário",Mercado_Receita!$L$2:$L$641)+SUMIF(Mercado_Receita!$S$2:$S$641,"44562B1Convencional pré-pagamentoResidencialResidencial baixa renda – faixa 02Não se aplicaNão se aplicaNão se aplica",Mercado_Receita!$L$2:$L$641)</f>
        <v>0</v>
      </c>
      <c r="O24" s="13">
        <f>SUMIF(Mercado_Receita!$S$2:$S$641,"44593B1Convencional pré-pagamentoResidencialResidencial baixa renda – faixa 02Não se aplicaNão se aplicaPonta",Mercado_Receita!$L$2:$L$641)+SUMIF(Mercado_Receita!$S$2:$S$641,"44593B1Convencional pré-pagamentoResidencialResidencial baixa renda – faixa 02Não se aplicaNão se aplicaFora ponta",Mercado_Receita!$L$2:$L$641)+SUMIF(Mercado_Receita!$S$2:$S$641,"44593B1Convencional pré-pagamentoResidencialResidencial baixa renda – faixa 02Não se aplicaNão se aplicaIntermediário",Mercado_Receita!$L$2:$L$641)+SUMIF(Mercado_Receita!$S$2:$S$641,"44593B1Convencional pré-pagamentoResidencialResidencial baixa renda – faixa 02Não se aplicaNão se aplicaNão se aplica",Mercado_Receita!$L$2:$L$641)</f>
        <v>0</v>
      </c>
      <c r="P24" s="13">
        <f>SUMIF(Mercado_Receita!$S$2:$S$641,"44621B1Convencional pré-pagamentoResidencialResidencial baixa renda – faixa 02Não se aplicaNão se aplicaPonta",Mercado_Receita!$L$2:$L$641)+SUMIF(Mercado_Receita!$S$2:$S$641,"44621B1Convencional pré-pagamentoResidencialResidencial baixa renda – faixa 02Não se aplicaNão se aplicaFora ponta",Mercado_Receita!$L$2:$L$641)+SUMIF(Mercado_Receita!$S$2:$S$641,"44621B1Convencional pré-pagamentoResidencialResidencial baixa renda – faixa 02Não se aplicaNão se aplicaIntermediário",Mercado_Receita!$L$2:$L$641)+SUMIF(Mercado_Receita!$S$2:$S$641,"44621B1Convencional pré-pagamentoResidencialResidencial baixa renda – faixa 02Não se aplicaNão se aplicaNão se aplica",Mercado_Receita!$L$2:$L$641)</f>
        <v>0</v>
      </c>
      <c r="Q24" s="13">
        <f>SUMIF(Mercado_Receita!$S$2:$S$641,"44652B1Convencional pré-pagamentoResidencialResidencial baixa renda – faixa 02Não se aplicaNão se aplicaPonta",Mercado_Receita!$L$2:$L$641)+SUMIF(Mercado_Receita!$S$2:$S$641,"44652B1Convencional pré-pagamentoResidencialResidencial baixa renda – faixa 02Não se aplicaNão se aplicaFora ponta",Mercado_Receita!$L$2:$L$641)+SUMIF(Mercado_Receita!$S$2:$S$641,"44652B1Convencional pré-pagamentoResidencialResidencial baixa renda – faixa 02Não se aplicaNão se aplicaIntermediário",Mercado_Receita!$L$2:$L$641)+SUMIF(Mercado_Receita!$S$2:$S$641,"44652B1Convencional pré-pagamentoResidencialResidencial baixa renda – faixa 02Não se aplicaNão se aplicaNão se aplica",Mercado_Receita!$L$2:$L$641)</f>
        <v>0</v>
      </c>
      <c r="R24" s="13">
        <f>SUMIF(Mercado_Receita!$S$2:$S$641,"44682B1Convencional pré-pagamentoResidencialResidencial baixa renda – faixa 02Não se aplicaNão se aplicaPonta",Mercado_Receita!$L$2:$L$641)+SUMIF(Mercado_Receita!$S$2:$S$641,"44682B1Convencional pré-pagamentoResidencialResidencial baixa renda – faixa 02Não se aplicaNão se aplicaFora ponta",Mercado_Receita!$L$2:$L$641)+SUMIF(Mercado_Receita!$S$2:$S$641,"44682B1Convencional pré-pagamentoResidencialResidencial baixa renda – faixa 02Não se aplicaNão se aplicaIntermediário",Mercado_Receita!$L$2:$L$641)+SUMIF(Mercado_Receita!$S$2:$S$641,"44682B1Convencional pré-pagamentoResidencialResidencial baixa renda – faixa 02Não se aplicaNão se aplicaNão se aplica",Mercado_Receita!$L$2:$L$641)</f>
        <v>0</v>
      </c>
      <c r="S24" s="13">
        <f>SUMIF(Mercado_Receita!$S$2:$S$641,"44713B1Convencional pré-pagamentoResidencialResidencial baixa renda – faixa 02Não se aplicaNão se aplicaPonta",Mercado_Receita!$L$2:$L$641)+SUMIF(Mercado_Receita!$S$2:$S$641,"44713B1Convencional pré-pagamentoResidencialResidencial baixa renda – faixa 02Não se aplicaNão se aplicaFora ponta",Mercado_Receita!$L$2:$L$641)+SUMIF(Mercado_Receita!$S$2:$S$641,"44713B1Convencional pré-pagamentoResidencialResidencial baixa renda – faixa 02Não se aplicaNão se aplicaIntermediário",Mercado_Receita!$L$2:$L$641)+SUMIF(Mercado_Receita!$S$2:$S$641,"44713B1Convencional pré-pagamentoResidencialResidencial baixa renda – faixa 02Não se aplicaNão se aplicaNão se aplica",Mercado_Receita!$L$2:$L$641)</f>
        <v>0</v>
      </c>
      <c r="T24" s="13">
        <f>SUMIF(Mercado_Receita!$S$2:$S$641,"44743B1Convencional pré-pagamentoResidencialResidencial baixa renda – faixa 02Não se aplicaNão se aplicaPonta",Mercado_Receita!$L$2:$L$641)+SUMIF(Mercado_Receita!$S$2:$S$641,"44743B1Convencional pré-pagamentoResidencialResidencial baixa renda – faixa 02Não se aplicaNão se aplicaFora ponta",Mercado_Receita!$L$2:$L$641)+SUMIF(Mercado_Receita!$S$2:$S$641,"44743B1Convencional pré-pagamentoResidencialResidencial baixa renda – faixa 02Não se aplicaNão se aplicaIntermediário",Mercado_Receita!$L$2:$L$641)+SUMIF(Mercado_Receita!$S$2:$S$641,"44743B1Convencional pré-pagamentoResidencialResidencial baixa renda – faixa 02Não se aplicaNão se aplicaNão se aplica",Mercado_Receita!$L$2:$L$641)</f>
        <v>0</v>
      </c>
      <c r="U24" s="13">
        <f t="shared" si="0"/>
        <v>0</v>
      </c>
      <c r="V24" s="13"/>
      <c r="W24" s="13"/>
    </row>
    <row r="25" spans="1:23" ht="11.25" customHeight="1" x14ac:dyDescent="0.25">
      <c r="A25" s="131"/>
      <c r="B25" s="131"/>
      <c r="C25" s="131"/>
      <c r="D25" s="12" t="s">
        <v>31</v>
      </c>
      <c r="E25" s="12" t="s">
        <v>25</v>
      </c>
      <c r="F25" s="12" t="s">
        <v>25</v>
      </c>
      <c r="G25" s="13" t="s">
        <v>78</v>
      </c>
      <c r="H25" s="13" t="s">
        <v>74</v>
      </c>
      <c r="I25" s="13">
        <f>SUMIF(Mercado_Receita!$S$2:$S$641,"44409B1Convencional pré-pagamentoResidencialResidencial baixa renda – faixa 03Não se aplicaNão se aplicaPonta",Mercado_Receita!$L$2:$L$641)+SUMIF(Mercado_Receita!$S$2:$S$641,"44409B1Convencional pré-pagamentoResidencialResidencial baixa renda – faixa 03Não se aplicaNão se aplicaFora ponta",Mercado_Receita!$L$2:$L$641)+SUMIF(Mercado_Receita!$S$2:$S$641,"44409B1Convencional pré-pagamentoResidencialResidencial baixa renda – faixa 03Não se aplicaNão se aplicaIntermediário",Mercado_Receita!$L$2:$L$641)+SUMIF(Mercado_Receita!$S$2:$S$641,"44409B1Convencional pré-pagamentoResidencialResidencial baixa renda – faixa 03Não se aplicaNão se aplicaNão se aplica",Mercado_Receita!$L$2:$L$641)</f>
        <v>0</v>
      </c>
      <c r="J25" s="13">
        <f>SUMIF(Mercado_Receita!$S$2:$S$641,"44440B1Convencional pré-pagamentoResidencialResidencial baixa renda – faixa 03Não se aplicaNão se aplicaPonta",Mercado_Receita!$L$2:$L$641)+SUMIF(Mercado_Receita!$S$2:$S$641,"44440B1Convencional pré-pagamentoResidencialResidencial baixa renda – faixa 03Não se aplicaNão se aplicaFora ponta",Mercado_Receita!$L$2:$L$641)+SUMIF(Mercado_Receita!$S$2:$S$641,"44440B1Convencional pré-pagamentoResidencialResidencial baixa renda – faixa 03Não se aplicaNão se aplicaIntermediário",Mercado_Receita!$L$2:$L$641)+SUMIF(Mercado_Receita!$S$2:$S$641,"44440B1Convencional pré-pagamentoResidencialResidencial baixa renda – faixa 03Não se aplicaNão se aplicaNão se aplica",Mercado_Receita!$L$2:$L$641)</f>
        <v>0</v>
      </c>
      <c r="K25" s="13">
        <f>SUMIF(Mercado_Receita!$S$2:$S$641,"44470B1Convencional pré-pagamentoResidencialResidencial baixa renda – faixa 03Não se aplicaNão se aplicaPonta",Mercado_Receita!$L$2:$L$641)+SUMIF(Mercado_Receita!$S$2:$S$641,"44470B1Convencional pré-pagamentoResidencialResidencial baixa renda – faixa 03Não se aplicaNão se aplicaFora ponta",Mercado_Receita!$L$2:$L$641)+SUMIF(Mercado_Receita!$S$2:$S$641,"44470B1Convencional pré-pagamentoResidencialResidencial baixa renda – faixa 03Não se aplicaNão se aplicaIntermediário",Mercado_Receita!$L$2:$L$641)+SUMIF(Mercado_Receita!$S$2:$S$641,"44470B1Convencional pré-pagamentoResidencialResidencial baixa renda – faixa 03Não se aplicaNão se aplicaNão se aplica",Mercado_Receita!$L$2:$L$641)</f>
        <v>0</v>
      </c>
      <c r="L25" s="13">
        <f>SUMIF(Mercado_Receita!$S$2:$S$641,"44501B1Convencional pré-pagamentoResidencialResidencial baixa renda – faixa 03Não se aplicaNão se aplicaPonta",Mercado_Receita!$L$2:$L$641)+SUMIF(Mercado_Receita!$S$2:$S$641,"44501B1Convencional pré-pagamentoResidencialResidencial baixa renda – faixa 03Não se aplicaNão se aplicaFora ponta",Mercado_Receita!$L$2:$L$641)+SUMIF(Mercado_Receita!$S$2:$S$641,"44501B1Convencional pré-pagamentoResidencialResidencial baixa renda – faixa 03Não se aplicaNão se aplicaIntermediário",Mercado_Receita!$L$2:$L$641)+SUMIF(Mercado_Receita!$S$2:$S$641,"44501B1Convencional pré-pagamentoResidencialResidencial baixa renda – faixa 03Não se aplicaNão se aplicaNão se aplica",Mercado_Receita!$L$2:$L$641)</f>
        <v>0</v>
      </c>
      <c r="M25" s="13">
        <f>SUMIF(Mercado_Receita!$S$2:$S$641,"44531B1Convencional pré-pagamentoResidencialResidencial baixa renda – faixa 03Não se aplicaNão se aplicaPonta",Mercado_Receita!$L$2:$L$641)+SUMIF(Mercado_Receita!$S$2:$S$641,"44531B1Convencional pré-pagamentoResidencialResidencial baixa renda – faixa 03Não se aplicaNão se aplicaFora ponta",Mercado_Receita!$L$2:$L$641)+SUMIF(Mercado_Receita!$S$2:$S$641,"44531B1Convencional pré-pagamentoResidencialResidencial baixa renda – faixa 03Não se aplicaNão se aplicaIntermediário",Mercado_Receita!$L$2:$L$641)+SUMIF(Mercado_Receita!$S$2:$S$641,"44531B1Convencional pré-pagamentoResidencialResidencial baixa renda – faixa 03Não se aplicaNão se aplicaNão se aplica",Mercado_Receita!$L$2:$L$641)</f>
        <v>0</v>
      </c>
      <c r="N25" s="13">
        <f>SUMIF(Mercado_Receita!$S$2:$S$641,"44562B1Convencional pré-pagamentoResidencialResidencial baixa renda – faixa 03Não se aplicaNão se aplicaPonta",Mercado_Receita!$L$2:$L$641)+SUMIF(Mercado_Receita!$S$2:$S$641,"44562B1Convencional pré-pagamentoResidencialResidencial baixa renda – faixa 03Não se aplicaNão se aplicaFora ponta",Mercado_Receita!$L$2:$L$641)+SUMIF(Mercado_Receita!$S$2:$S$641,"44562B1Convencional pré-pagamentoResidencialResidencial baixa renda – faixa 03Não se aplicaNão se aplicaIntermediário",Mercado_Receita!$L$2:$L$641)+SUMIF(Mercado_Receita!$S$2:$S$641,"44562B1Convencional pré-pagamentoResidencialResidencial baixa renda – faixa 03Não se aplicaNão se aplicaNão se aplica",Mercado_Receita!$L$2:$L$641)</f>
        <v>0</v>
      </c>
      <c r="O25" s="13">
        <f>SUMIF(Mercado_Receita!$S$2:$S$641,"44593B1Convencional pré-pagamentoResidencialResidencial baixa renda – faixa 03Não se aplicaNão se aplicaPonta",Mercado_Receita!$L$2:$L$641)+SUMIF(Mercado_Receita!$S$2:$S$641,"44593B1Convencional pré-pagamentoResidencialResidencial baixa renda – faixa 03Não se aplicaNão se aplicaFora ponta",Mercado_Receita!$L$2:$L$641)+SUMIF(Mercado_Receita!$S$2:$S$641,"44593B1Convencional pré-pagamentoResidencialResidencial baixa renda – faixa 03Não se aplicaNão se aplicaIntermediário",Mercado_Receita!$L$2:$L$641)+SUMIF(Mercado_Receita!$S$2:$S$641,"44593B1Convencional pré-pagamentoResidencialResidencial baixa renda – faixa 03Não se aplicaNão se aplicaNão se aplica",Mercado_Receita!$L$2:$L$641)</f>
        <v>0</v>
      </c>
      <c r="P25" s="13">
        <f>SUMIF(Mercado_Receita!$S$2:$S$641,"44621B1Convencional pré-pagamentoResidencialResidencial baixa renda – faixa 03Não se aplicaNão se aplicaPonta",Mercado_Receita!$L$2:$L$641)+SUMIF(Mercado_Receita!$S$2:$S$641,"44621B1Convencional pré-pagamentoResidencialResidencial baixa renda – faixa 03Não se aplicaNão se aplicaFora ponta",Mercado_Receita!$L$2:$L$641)+SUMIF(Mercado_Receita!$S$2:$S$641,"44621B1Convencional pré-pagamentoResidencialResidencial baixa renda – faixa 03Não se aplicaNão se aplicaIntermediário",Mercado_Receita!$L$2:$L$641)+SUMIF(Mercado_Receita!$S$2:$S$641,"44621B1Convencional pré-pagamentoResidencialResidencial baixa renda – faixa 03Não se aplicaNão se aplicaNão se aplica",Mercado_Receita!$L$2:$L$641)</f>
        <v>0</v>
      </c>
      <c r="Q25" s="13">
        <f>SUMIF(Mercado_Receita!$S$2:$S$641,"44652B1Convencional pré-pagamentoResidencialResidencial baixa renda – faixa 03Não se aplicaNão se aplicaPonta",Mercado_Receita!$L$2:$L$641)+SUMIF(Mercado_Receita!$S$2:$S$641,"44652B1Convencional pré-pagamentoResidencialResidencial baixa renda – faixa 03Não se aplicaNão se aplicaFora ponta",Mercado_Receita!$L$2:$L$641)+SUMIF(Mercado_Receita!$S$2:$S$641,"44652B1Convencional pré-pagamentoResidencialResidencial baixa renda – faixa 03Não se aplicaNão se aplicaIntermediário",Mercado_Receita!$L$2:$L$641)+SUMIF(Mercado_Receita!$S$2:$S$641,"44652B1Convencional pré-pagamentoResidencialResidencial baixa renda – faixa 03Não se aplicaNão se aplicaNão se aplica",Mercado_Receita!$L$2:$L$641)</f>
        <v>0</v>
      </c>
      <c r="R25" s="13">
        <f>SUMIF(Mercado_Receita!$S$2:$S$641,"44682B1Convencional pré-pagamentoResidencialResidencial baixa renda – faixa 03Não se aplicaNão se aplicaPonta",Mercado_Receita!$L$2:$L$641)+SUMIF(Mercado_Receita!$S$2:$S$641,"44682B1Convencional pré-pagamentoResidencialResidencial baixa renda – faixa 03Não se aplicaNão se aplicaFora ponta",Mercado_Receita!$L$2:$L$641)+SUMIF(Mercado_Receita!$S$2:$S$641,"44682B1Convencional pré-pagamentoResidencialResidencial baixa renda – faixa 03Não se aplicaNão se aplicaIntermediário",Mercado_Receita!$L$2:$L$641)+SUMIF(Mercado_Receita!$S$2:$S$641,"44682B1Convencional pré-pagamentoResidencialResidencial baixa renda – faixa 03Não se aplicaNão se aplicaNão se aplica",Mercado_Receita!$L$2:$L$641)</f>
        <v>0</v>
      </c>
      <c r="S25" s="13">
        <f>SUMIF(Mercado_Receita!$S$2:$S$641,"44713B1Convencional pré-pagamentoResidencialResidencial baixa renda – faixa 03Não se aplicaNão se aplicaPonta",Mercado_Receita!$L$2:$L$641)+SUMIF(Mercado_Receita!$S$2:$S$641,"44713B1Convencional pré-pagamentoResidencialResidencial baixa renda – faixa 03Não se aplicaNão se aplicaFora ponta",Mercado_Receita!$L$2:$L$641)+SUMIF(Mercado_Receita!$S$2:$S$641,"44713B1Convencional pré-pagamentoResidencialResidencial baixa renda – faixa 03Não se aplicaNão se aplicaIntermediário",Mercado_Receita!$L$2:$L$641)+SUMIF(Mercado_Receita!$S$2:$S$641,"44713B1Convencional pré-pagamentoResidencialResidencial baixa renda – faixa 03Não se aplicaNão se aplicaNão se aplica",Mercado_Receita!$L$2:$L$641)</f>
        <v>0</v>
      </c>
      <c r="T25" s="13">
        <f>SUMIF(Mercado_Receita!$S$2:$S$641,"44743B1Convencional pré-pagamentoResidencialResidencial baixa renda – faixa 03Não se aplicaNão se aplicaPonta",Mercado_Receita!$L$2:$L$641)+SUMIF(Mercado_Receita!$S$2:$S$641,"44743B1Convencional pré-pagamentoResidencialResidencial baixa renda – faixa 03Não se aplicaNão se aplicaFora ponta",Mercado_Receita!$L$2:$L$641)+SUMIF(Mercado_Receita!$S$2:$S$641,"44743B1Convencional pré-pagamentoResidencialResidencial baixa renda – faixa 03Não se aplicaNão se aplicaIntermediário",Mercado_Receita!$L$2:$L$641)+SUMIF(Mercado_Receita!$S$2:$S$641,"44743B1Convencional pré-pagamentoResidencialResidencial baixa renda – faixa 03Não se aplicaNão se aplicaNão se aplica",Mercado_Receita!$L$2:$L$641)</f>
        <v>0</v>
      </c>
      <c r="U25" s="13">
        <f t="shared" si="0"/>
        <v>0</v>
      </c>
      <c r="V25" s="13"/>
      <c r="W25" s="13"/>
    </row>
    <row r="26" spans="1:23" ht="11.25" customHeight="1" x14ac:dyDescent="0.25">
      <c r="A26" s="131"/>
      <c r="B26" s="131"/>
      <c r="C26" s="131"/>
      <c r="D26" s="12" t="s">
        <v>32</v>
      </c>
      <c r="E26" s="12" t="s">
        <v>25</v>
      </c>
      <c r="F26" s="12" t="s">
        <v>25</v>
      </c>
      <c r="G26" s="13" t="s">
        <v>78</v>
      </c>
      <c r="H26" s="13" t="s">
        <v>74</v>
      </c>
      <c r="I26" s="13">
        <f>SUMIF(Mercado_Receita!$S$2:$S$641,"44409B1Convencional pré-pagamentoResidencialResidencial baixa renda – faixa 04Não se aplicaNão se aplicaPonta",Mercado_Receita!$L$2:$L$641)+SUMIF(Mercado_Receita!$S$2:$S$641,"44409B1Convencional pré-pagamentoResidencialResidencial baixa renda – faixa 04Não se aplicaNão se aplicaFora ponta",Mercado_Receita!$L$2:$L$641)+SUMIF(Mercado_Receita!$S$2:$S$641,"44409B1Convencional pré-pagamentoResidencialResidencial baixa renda – faixa 04Não se aplicaNão se aplicaIntermediário",Mercado_Receita!$L$2:$L$641)+SUMIF(Mercado_Receita!$S$2:$S$641,"44409B1Convencional pré-pagamentoResidencialResidencial baixa renda – faixa 04Não se aplicaNão se aplicaNão se aplica",Mercado_Receita!$L$2:$L$641)</f>
        <v>0</v>
      </c>
      <c r="J26" s="13">
        <f>SUMIF(Mercado_Receita!$S$2:$S$641,"44440B1Convencional pré-pagamentoResidencialResidencial baixa renda – faixa 04Não se aplicaNão se aplicaPonta",Mercado_Receita!$L$2:$L$641)+SUMIF(Mercado_Receita!$S$2:$S$641,"44440B1Convencional pré-pagamentoResidencialResidencial baixa renda – faixa 04Não se aplicaNão se aplicaFora ponta",Mercado_Receita!$L$2:$L$641)+SUMIF(Mercado_Receita!$S$2:$S$641,"44440B1Convencional pré-pagamentoResidencialResidencial baixa renda – faixa 04Não se aplicaNão se aplicaIntermediário",Mercado_Receita!$L$2:$L$641)+SUMIF(Mercado_Receita!$S$2:$S$641,"44440B1Convencional pré-pagamentoResidencialResidencial baixa renda – faixa 04Não se aplicaNão se aplicaNão se aplica",Mercado_Receita!$L$2:$L$641)</f>
        <v>0</v>
      </c>
      <c r="K26" s="13">
        <f>SUMIF(Mercado_Receita!$S$2:$S$641,"44470B1Convencional pré-pagamentoResidencialResidencial baixa renda – faixa 04Não se aplicaNão se aplicaPonta",Mercado_Receita!$L$2:$L$641)+SUMIF(Mercado_Receita!$S$2:$S$641,"44470B1Convencional pré-pagamentoResidencialResidencial baixa renda – faixa 04Não se aplicaNão se aplicaFora ponta",Mercado_Receita!$L$2:$L$641)+SUMIF(Mercado_Receita!$S$2:$S$641,"44470B1Convencional pré-pagamentoResidencialResidencial baixa renda – faixa 04Não se aplicaNão se aplicaIntermediário",Mercado_Receita!$L$2:$L$641)+SUMIF(Mercado_Receita!$S$2:$S$641,"44470B1Convencional pré-pagamentoResidencialResidencial baixa renda – faixa 04Não se aplicaNão se aplicaNão se aplica",Mercado_Receita!$L$2:$L$641)</f>
        <v>0</v>
      </c>
      <c r="L26" s="13">
        <f>SUMIF(Mercado_Receita!$S$2:$S$641,"44501B1Convencional pré-pagamentoResidencialResidencial baixa renda – faixa 04Não se aplicaNão se aplicaPonta",Mercado_Receita!$L$2:$L$641)+SUMIF(Mercado_Receita!$S$2:$S$641,"44501B1Convencional pré-pagamentoResidencialResidencial baixa renda – faixa 04Não se aplicaNão se aplicaFora ponta",Mercado_Receita!$L$2:$L$641)+SUMIF(Mercado_Receita!$S$2:$S$641,"44501B1Convencional pré-pagamentoResidencialResidencial baixa renda – faixa 04Não se aplicaNão se aplicaIntermediário",Mercado_Receita!$L$2:$L$641)+SUMIF(Mercado_Receita!$S$2:$S$641,"44501B1Convencional pré-pagamentoResidencialResidencial baixa renda – faixa 04Não se aplicaNão se aplicaNão se aplica",Mercado_Receita!$L$2:$L$641)</f>
        <v>0</v>
      </c>
      <c r="M26" s="13">
        <f>SUMIF(Mercado_Receita!$S$2:$S$641,"44531B1Convencional pré-pagamentoResidencialResidencial baixa renda – faixa 04Não se aplicaNão se aplicaPonta",Mercado_Receita!$L$2:$L$641)+SUMIF(Mercado_Receita!$S$2:$S$641,"44531B1Convencional pré-pagamentoResidencialResidencial baixa renda – faixa 04Não se aplicaNão se aplicaFora ponta",Mercado_Receita!$L$2:$L$641)+SUMIF(Mercado_Receita!$S$2:$S$641,"44531B1Convencional pré-pagamentoResidencialResidencial baixa renda – faixa 04Não se aplicaNão se aplicaIntermediário",Mercado_Receita!$L$2:$L$641)+SUMIF(Mercado_Receita!$S$2:$S$641,"44531B1Convencional pré-pagamentoResidencialResidencial baixa renda – faixa 04Não se aplicaNão se aplicaNão se aplica",Mercado_Receita!$L$2:$L$641)</f>
        <v>0</v>
      </c>
      <c r="N26" s="13">
        <f>SUMIF(Mercado_Receita!$S$2:$S$641,"44562B1Convencional pré-pagamentoResidencialResidencial baixa renda – faixa 04Não se aplicaNão se aplicaPonta",Mercado_Receita!$L$2:$L$641)+SUMIF(Mercado_Receita!$S$2:$S$641,"44562B1Convencional pré-pagamentoResidencialResidencial baixa renda – faixa 04Não se aplicaNão se aplicaFora ponta",Mercado_Receita!$L$2:$L$641)+SUMIF(Mercado_Receita!$S$2:$S$641,"44562B1Convencional pré-pagamentoResidencialResidencial baixa renda – faixa 04Não se aplicaNão se aplicaIntermediário",Mercado_Receita!$L$2:$L$641)+SUMIF(Mercado_Receita!$S$2:$S$641,"44562B1Convencional pré-pagamentoResidencialResidencial baixa renda – faixa 04Não se aplicaNão se aplicaNão se aplica",Mercado_Receita!$L$2:$L$641)</f>
        <v>0</v>
      </c>
      <c r="O26" s="13">
        <f>SUMIF(Mercado_Receita!$S$2:$S$641,"44593B1Convencional pré-pagamentoResidencialResidencial baixa renda – faixa 04Não se aplicaNão se aplicaPonta",Mercado_Receita!$L$2:$L$641)+SUMIF(Mercado_Receita!$S$2:$S$641,"44593B1Convencional pré-pagamentoResidencialResidencial baixa renda – faixa 04Não se aplicaNão se aplicaFora ponta",Mercado_Receita!$L$2:$L$641)+SUMIF(Mercado_Receita!$S$2:$S$641,"44593B1Convencional pré-pagamentoResidencialResidencial baixa renda – faixa 04Não se aplicaNão se aplicaIntermediário",Mercado_Receita!$L$2:$L$641)+SUMIF(Mercado_Receita!$S$2:$S$641,"44593B1Convencional pré-pagamentoResidencialResidencial baixa renda – faixa 04Não se aplicaNão se aplicaNão se aplica",Mercado_Receita!$L$2:$L$641)</f>
        <v>0</v>
      </c>
      <c r="P26" s="13">
        <f>SUMIF(Mercado_Receita!$S$2:$S$641,"44621B1Convencional pré-pagamentoResidencialResidencial baixa renda – faixa 04Não se aplicaNão se aplicaPonta",Mercado_Receita!$L$2:$L$641)+SUMIF(Mercado_Receita!$S$2:$S$641,"44621B1Convencional pré-pagamentoResidencialResidencial baixa renda – faixa 04Não se aplicaNão se aplicaFora ponta",Mercado_Receita!$L$2:$L$641)+SUMIF(Mercado_Receita!$S$2:$S$641,"44621B1Convencional pré-pagamentoResidencialResidencial baixa renda – faixa 04Não se aplicaNão se aplicaIntermediário",Mercado_Receita!$L$2:$L$641)+SUMIF(Mercado_Receita!$S$2:$S$641,"44621B1Convencional pré-pagamentoResidencialResidencial baixa renda – faixa 04Não se aplicaNão se aplicaNão se aplica",Mercado_Receita!$L$2:$L$641)</f>
        <v>0</v>
      </c>
      <c r="Q26" s="13">
        <f>SUMIF(Mercado_Receita!$S$2:$S$641,"44652B1Convencional pré-pagamentoResidencialResidencial baixa renda – faixa 04Não se aplicaNão se aplicaPonta",Mercado_Receita!$L$2:$L$641)+SUMIF(Mercado_Receita!$S$2:$S$641,"44652B1Convencional pré-pagamentoResidencialResidencial baixa renda – faixa 04Não se aplicaNão se aplicaFora ponta",Mercado_Receita!$L$2:$L$641)+SUMIF(Mercado_Receita!$S$2:$S$641,"44652B1Convencional pré-pagamentoResidencialResidencial baixa renda – faixa 04Não se aplicaNão se aplicaIntermediário",Mercado_Receita!$L$2:$L$641)+SUMIF(Mercado_Receita!$S$2:$S$641,"44652B1Convencional pré-pagamentoResidencialResidencial baixa renda – faixa 04Não se aplicaNão se aplicaNão se aplica",Mercado_Receita!$L$2:$L$641)</f>
        <v>0</v>
      </c>
      <c r="R26" s="13">
        <f>SUMIF(Mercado_Receita!$S$2:$S$641,"44682B1Convencional pré-pagamentoResidencialResidencial baixa renda – faixa 04Não se aplicaNão se aplicaPonta",Mercado_Receita!$L$2:$L$641)+SUMIF(Mercado_Receita!$S$2:$S$641,"44682B1Convencional pré-pagamentoResidencialResidencial baixa renda – faixa 04Não se aplicaNão se aplicaFora ponta",Mercado_Receita!$L$2:$L$641)+SUMIF(Mercado_Receita!$S$2:$S$641,"44682B1Convencional pré-pagamentoResidencialResidencial baixa renda – faixa 04Não se aplicaNão se aplicaIntermediário",Mercado_Receita!$L$2:$L$641)+SUMIF(Mercado_Receita!$S$2:$S$641,"44682B1Convencional pré-pagamentoResidencialResidencial baixa renda – faixa 04Não se aplicaNão se aplicaNão se aplica",Mercado_Receita!$L$2:$L$641)</f>
        <v>0</v>
      </c>
      <c r="S26" s="13">
        <f>SUMIF(Mercado_Receita!$S$2:$S$641,"44713B1Convencional pré-pagamentoResidencialResidencial baixa renda – faixa 04Não se aplicaNão se aplicaPonta",Mercado_Receita!$L$2:$L$641)+SUMIF(Mercado_Receita!$S$2:$S$641,"44713B1Convencional pré-pagamentoResidencialResidencial baixa renda – faixa 04Não se aplicaNão se aplicaFora ponta",Mercado_Receita!$L$2:$L$641)+SUMIF(Mercado_Receita!$S$2:$S$641,"44713B1Convencional pré-pagamentoResidencialResidencial baixa renda – faixa 04Não se aplicaNão se aplicaIntermediário",Mercado_Receita!$L$2:$L$641)+SUMIF(Mercado_Receita!$S$2:$S$641,"44713B1Convencional pré-pagamentoResidencialResidencial baixa renda – faixa 04Não se aplicaNão se aplicaNão se aplica",Mercado_Receita!$L$2:$L$641)</f>
        <v>0</v>
      </c>
      <c r="T26" s="13">
        <f>SUMIF(Mercado_Receita!$S$2:$S$641,"44743B1Convencional pré-pagamentoResidencialResidencial baixa renda – faixa 04Não se aplicaNão se aplicaPonta",Mercado_Receita!$L$2:$L$641)+SUMIF(Mercado_Receita!$S$2:$S$641,"44743B1Convencional pré-pagamentoResidencialResidencial baixa renda – faixa 04Não se aplicaNão se aplicaFora ponta",Mercado_Receita!$L$2:$L$641)+SUMIF(Mercado_Receita!$S$2:$S$641,"44743B1Convencional pré-pagamentoResidencialResidencial baixa renda – faixa 04Não se aplicaNão se aplicaIntermediário",Mercado_Receita!$L$2:$L$641)+SUMIF(Mercado_Receita!$S$2:$S$641,"44743B1Convencional pré-pagamentoResidencialResidencial baixa renda – faixa 04Não se aplicaNão se aplicaNão se aplica",Mercado_Receita!$L$2:$L$641)</f>
        <v>0</v>
      </c>
      <c r="U26" s="13">
        <f t="shared" si="0"/>
        <v>0</v>
      </c>
      <c r="V26" s="13"/>
      <c r="W26" s="13"/>
    </row>
    <row r="27" spans="1:23" ht="11.25" customHeight="1" x14ac:dyDescent="0.25">
      <c r="A27" s="130" t="s">
        <v>41</v>
      </c>
      <c r="B27" s="130" t="s">
        <v>50</v>
      </c>
      <c r="C27" s="130" t="s">
        <v>42</v>
      </c>
      <c r="D27" s="130" t="s">
        <v>25</v>
      </c>
      <c r="E27" s="130" t="s">
        <v>25</v>
      </c>
      <c r="F27" s="130" t="s">
        <v>25</v>
      </c>
      <c r="G27" s="13" t="s">
        <v>75</v>
      </c>
      <c r="H27" s="13" t="s">
        <v>74</v>
      </c>
      <c r="I27" s="13">
        <f>SUMIF(Mercado_Receita!$S$2:$S$641,"44409B2BrancaRuralNão se aplicaNão se aplicaNão se aplicaPonta",Mercado_Receita!$L$2:$L$641)</f>
        <v>0</v>
      </c>
      <c r="J27" s="13">
        <f>SUMIF(Mercado_Receita!$S$2:$S$641,"44440B2BrancaRuralNão se aplicaNão se aplicaNão se aplicaPonta",Mercado_Receita!$L$2:$L$641)</f>
        <v>0</v>
      </c>
      <c r="K27" s="13">
        <f>SUMIF(Mercado_Receita!$S$2:$S$641,"44470B2BrancaRuralNão se aplicaNão se aplicaNão se aplicaPonta",Mercado_Receita!$L$2:$L$641)</f>
        <v>0</v>
      </c>
      <c r="L27" s="13">
        <f>SUMIF(Mercado_Receita!$S$2:$S$641,"44501B2BrancaRuralNão se aplicaNão se aplicaNão se aplicaPonta",Mercado_Receita!$L$2:$L$641)</f>
        <v>0</v>
      </c>
      <c r="M27" s="13">
        <f>SUMIF(Mercado_Receita!$S$2:$S$641,"44531B2BrancaRuralNão se aplicaNão se aplicaNão se aplicaPonta",Mercado_Receita!$L$2:$L$641)</f>
        <v>0</v>
      </c>
      <c r="N27" s="13">
        <f>SUMIF(Mercado_Receita!$S$2:$S$641,"44562B2BrancaRuralNão se aplicaNão se aplicaNão se aplicaPonta",Mercado_Receita!$L$2:$L$641)</f>
        <v>0</v>
      </c>
      <c r="O27" s="13">
        <f>SUMIF(Mercado_Receita!$S$2:$S$641,"44593B2BrancaRuralNão se aplicaNão se aplicaNão se aplicaPonta",Mercado_Receita!$L$2:$L$641)</f>
        <v>0</v>
      </c>
      <c r="P27" s="13">
        <f>SUMIF(Mercado_Receita!$S$2:$S$641,"44621B2BrancaRuralNão se aplicaNão se aplicaNão se aplicaPonta",Mercado_Receita!$L$2:$L$641)</f>
        <v>0</v>
      </c>
      <c r="Q27" s="13">
        <f>SUMIF(Mercado_Receita!$S$2:$S$641,"44652B2BrancaRuralNão se aplicaNão se aplicaNão se aplicaPonta",Mercado_Receita!$L$2:$L$641)</f>
        <v>0</v>
      </c>
      <c r="R27" s="13">
        <f>SUMIF(Mercado_Receita!$S$2:$S$641,"44682B2BrancaRuralNão se aplicaNão se aplicaNão se aplicaPonta",Mercado_Receita!$L$2:$L$641)</f>
        <v>0</v>
      </c>
      <c r="S27" s="13">
        <f>SUMIF(Mercado_Receita!$S$2:$S$641,"44713B2BrancaRuralNão se aplicaNão se aplicaNão se aplicaPonta",Mercado_Receita!$L$2:$L$641)</f>
        <v>0</v>
      </c>
      <c r="T27" s="13">
        <f>SUMIF(Mercado_Receita!$S$2:$S$641,"44743B2BrancaRuralNão se aplicaNão se aplicaNão se aplicaPonta",Mercado_Receita!$L$2:$L$641)</f>
        <v>0</v>
      </c>
      <c r="U27" s="13">
        <f t="shared" si="0"/>
        <v>0</v>
      </c>
      <c r="V27" s="13"/>
      <c r="W27" s="13"/>
    </row>
    <row r="28" spans="1:23" ht="11.25" customHeight="1" x14ac:dyDescent="0.25">
      <c r="A28" s="131"/>
      <c r="B28" s="131"/>
      <c r="C28" s="131"/>
      <c r="D28" s="131"/>
      <c r="E28" s="131"/>
      <c r="F28" s="131"/>
      <c r="G28" s="13" t="s">
        <v>87</v>
      </c>
      <c r="H28" s="13" t="s">
        <v>74</v>
      </c>
      <c r="I28" s="13">
        <f>SUMIF(Mercado_Receita!$S$2:$S$641,"44409B2BrancaRuralNão se aplicaNão se aplicaNão se aplicaIntermediário",Mercado_Receita!$L$2:$L$641)</f>
        <v>0</v>
      </c>
      <c r="J28" s="13">
        <f>SUMIF(Mercado_Receita!$S$2:$S$641,"44440B2BrancaRuralNão se aplicaNão se aplicaNão se aplicaIntermediário",Mercado_Receita!$L$2:$L$641)</f>
        <v>0</v>
      </c>
      <c r="K28" s="13">
        <f>SUMIF(Mercado_Receita!$S$2:$S$641,"44470B2BrancaRuralNão se aplicaNão se aplicaNão se aplicaIntermediário",Mercado_Receita!$L$2:$L$641)</f>
        <v>0</v>
      </c>
      <c r="L28" s="13">
        <f>SUMIF(Mercado_Receita!$S$2:$S$641,"44501B2BrancaRuralNão se aplicaNão se aplicaNão se aplicaIntermediário",Mercado_Receita!$L$2:$L$641)</f>
        <v>0</v>
      </c>
      <c r="M28" s="13">
        <f>SUMIF(Mercado_Receita!$S$2:$S$641,"44531B2BrancaRuralNão se aplicaNão se aplicaNão se aplicaIntermediário",Mercado_Receita!$L$2:$L$641)</f>
        <v>0</v>
      </c>
      <c r="N28" s="13">
        <f>SUMIF(Mercado_Receita!$S$2:$S$641,"44562B2BrancaRuralNão se aplicaNão se aplicaNão se aplicaIntermediário",Mercado_Receita!$L$2:$L$641)</f>
        <v>0</v>
      </c>
      <c r="O28" s="13">
        <f>SUMIF(Mercado_Receita!$S$2:$S$641,"44593B2BrancaRuralNão se aplicaNão se aplicaNão se aplicaIntermediário",Mercado_Receita!$L$2:$L$641)</f>
        <v>0</v>
      </c>
      <c r="P28" s="13">
        <f>SUMIF(Mercado_Receita!$S$2:$S$641,"44621B2BrancaRuralNão se aplicaNão se aplicaNão se aplicaIntermediário",Mercado_Receita!$L$2:$L$641)</f>
        <v>0</v>
      </c>
      <c r="Q28" s="13">
        <f>SUMIF(Mercado_Receita!$S$2:$S$641,"44652B2BrancaRuralNão se aplicaNão se aplicaNão se aplicaIntermediário",Mercado_Receita!$L$2:$L$641)</f>
        <v>0</v>
      </c>
      <c r="R28" s="13">
        <f>SUMIF(Mercado_Receita!$S$2:$S$641,"44682B2BrancaRuralNão se aplicaNão se aplicaNão se aplicaIntermediário",Mercado_Receita!$L$2:$L$641)</f>
        <v>0</v>
      </c>
      <c r="S28" s="13">
        <f>SUMIF(Mercado_Receita!$S$2:$S$641,"44713B2BrancaRuralNão se aplicaNão se aplicaNão se aplicaIntermediário",Mercado_Receita!$L$2:$L$641)</f>
        <v>0</v>
      </c>
      <c r="T28" s="13">
        <f>SUMIF(Mercado_Receita!$S$2:$S$641,"44743B2BrancaRuralNão se aplicaNão se aplicaNão se aplicaIntermediário",Mercado_Receita!$L$2:$L$641)</f>
        <v>0</v>
      </c>
      <c r="U28" s="13">
        <f t="shared" si="0"/>
        <v>0</v>
      </c>
      <c r="V28" s="13"/>
      <c r="W28" s="13"/>
    </row>
    <row r="29" spans="1:23" ht="11.25" customHeight="1" x14ac:dyDescent="0.25">
      <c r="A29" s="131"/>
      <c r="B29" s="131"/>
      <c r="C29" s="131"/>
      <c r="D29" s="131"/>
      <c r="E29" s="131"/>
      <c r="F29" s="131"/>
      <c r="G29" s="13" t="s">
        <v>76</v>
      </c>
      <c r="H29" s="13" t="s">
        <v>74</v>
      </c>
      <c r="I29" s="13">
        <f>SUMIF(Mercado_Receita!$S$2:$S$641,"44409B2BrancaRuralNão se aplicaNão se aplicaNão se aplicaFora ponta",Mercado_Receita!$L$2:$L$641)</f>
        <v>0</v>
      </c>
      <c r="J29" s="13">
        <f>SUMIF(Mercado_Receita!$S$2:$S$641,"44440B2BrancaRuralNão se aplicaNão se aplicaNão se aplicaFora ponta",Mercado_Receita!$L$2:$L$641)</f>
        <v>0</v>
      </c>
      <c r="K29" s="13">
        <f>SUMIF(Mercado_Receita!$S$2:$S$641,"44470B2BrancaRuralNão se aplicaNão se aplicaNão se aplicaFora ponta",Mercado_Receita!$L$2:$L$641)</f>
        <v>0</v>
      </c>
      <c r="L29" s="13">
        <f>SUMIF(Mercado_Receita!$S$2:$S$641,"44501B2BrancaRuralNão se aplicaNão se aplicaNão se aplicaFora ponta",Mercado_Receita!$L$2:$L$641)</f>
        <v>0</v>
      </c>
      <c r="M29" s="13">
        <f>SUMIF(Mercado_Receita!$S$2:$S$641,"44531B2BrancaRuralNão se aplicaNão se aplicaNão se aplicaFora ponta",Mercado_Receita!$L$2:$L$641)</f>
        <v>0</v>
      </c>
      <c r="N29" s="13">
        <f>SUMIF(Mercado_Receita!$S$2:$S$641,"44562B2BrancaRuralNão se aplicaNão se aplicaNão se aplicaFora ponta",Mercado_Receita!$L$2:$L$641)</f>
        <v>0</v>
      </c>
      <c r="O29" s="13">
        <f>SUMIF(Mercado_Receita!$S$2:$S$641,"44593B2BrancaRuralNão se aplicaNão se aplicaNão se aplicaFora ponta",Mercado_Receita!$L$2:$L$641)</f>
        <v>0</v>
      </c>
      <c r="P29" s="13">
        <f>SUMIF(Mercado_Receita!$S$2:$S$641,"44621B2BrancaRuralNão se aplicaNão se aplicaNão se aplicaFora ponta",Mercado_Receita!$L$2:$L$641)</f>
        <v>0</v>
      </c>
      <c r="Q29" s="13">
        <f>SUMIF(Mercado_Receita!$S$2:$S$641,"44652B2BrancaRuralNão se aplicaNão se aplicaNão se aplicaFora ponta",Mercado_Receita!$L$2:$L$641)</f>
        <v>0</v>
      </c>
      <c r="R29" s="13">
        <f>SUMIF(Mercado_Receita!$S$2:$S$641,"44682B2BrancaRuralNão se aplicaNão se aplicaNão se aplicaFora ponta",Mercado_Receita!$L$2:$L$641)</f>
        <v>0</v>
      </c>
      <c r="S29" s="13">
        <f>SUMIF(Mercado_Receita!$S$2:$S$641,"44713B2BrancaRuralNão se aplicaNão se aplicaNão se aplicaFora ponta",Mercado_Receita!$L$2:$L$641)</f>
        <v>0</v>
      </c>
      <c r="T29" s="13">
        <f>SUMIF(Mercado_Receita!$S$2:$S$641,"44743B2BrancaRuralNão se aplicaNão se aplicaNão se aplicaFora ponta",Mercado_Receita!$L$2:$L$641)</f>
        <v>0</v>
      </c>
      <c r="U29" s="13">
        <f t="shared" si="0"/>
        <v>0</v>
      </c>
      <c r="V29" s="13"/>
      <c r="W29" s="13"/>
    </row>
    <row r="30" spans="1:23" ht="11.25" customHeight="1" x14ac:dyDescent="0.25">
      <c r="A30" s="131"/>
      <c r="B30" s="12" t="s">
        <v>23</v>
      </c>
      <c r="C30" s="12" t="s">
        <v>42</v>
      </c>
      <c r="D30" s="12" t="s">
        <v>25</v>
      </c>
      <c r="E30" s="12" t="s">
        <v>25</v>
      </c>
      <c r="F30" s="12" t="s">
        <v>25</v>
      </c>
      <c r="G30" s="13" t="s">
        <v>78</v>
      </c>
      <c r="H30" s="13" t="s">
        <v>74</v>
      </c>
      <c r="I30" s="13">
        <f>SUMIF(Mercado_Receita!$S$2:$S$641,"44409B2ConvencionalRuralNão se aplicaNão se aplicaNão se aplicaPonta",Mercado_Receita!$L$2:$L$641)+SUMIF(Mercado_Receita!$S$2:$S$641,"44409B2ConvencionalRuralNão se aplicaNão se aplicaNão se aplicaFora ponta",Mercado_Receita!$L$2:$L$641)+SUMIF(Mercado_Receita!$S$2:$S$641,"44409B2ConvencionalRuralNão se aplicaNão se aplicaNão se aplicaIntermediário",Mercado_Receita!$L$2:$L$641)+SUMIF(Mercado_Receita!$S$2:$S$641,"44409B2ConvencionalRuralNão se aplicaNão se aplicaNão se aplicaNão se aplica",Mercado_Receita!$L$2:$L$641)</f>
        <v>759.96699999999998</v>
      </c>
      <c r="J30" s="13">
        <f>SUMIF(Mercado_Receita!$S$2:$S$641,"44440B2ConvencionalRuralNão se aplicaNão se aplicaNão se aplicaPonta",Mercado_Receita!$L$2:$L$641)+SUMIF(Mercado_Receita!$S$2:$S$641,"44440B2ConvencionalRuralNão se aplicaNão se aplicaNão se aplicaFora ponta",Mercado_Receita!$L$2:$L$641)+SUMIF(Mercado_Receita!$S$2:$S$641,"44440B2ConvencionalRuralNão se aplicaNão se aplicaNão se aplicaIntermediário",Mercado_Receita!$L$2:$L$641)+SUMIF(Mercado_Receita!$S$2:$S$641,"44440B2ConvencionalRuralNão se aplicaNão se aplicaNão se aplicaNão se aplica",Mercado_Receita!$L$2:$L$641)</f>
        <v>935.70500000000004</v>
      </c>
      <c r="K30" s="13">
        <f>SUMIF(Mercado_Receita!$S$2:$S$641,"44470B2ConvencionalRuralNão se aplicaNão se aplicaNão se aplicaPonta",Mercado_Receita!$L$2:$L$641)+SUMIF(Mercado_Receita!$S$2:$S$641,"44470B2ConvencionalRuralNão se aplicaNão se aplicaNão se aplicaFora ponta",Mercado_Receita!$L$2:$L$641)+SUMIF(Mercado_Receita!$S$2:$S$641,"44470B2ConvencionalRuralNão se aplicaNão se aplicaNão se aplicaIntermediário",Mercado_Receita!$L$2:$L$641)+SUMIF(Mercado_Receita!$S$2:$S$641,"44470B2ConvencionalRuralNão se aplicaNão se aplicaNão se aplicaNão se aplica",Mercado_Receita!$L$2:$L$641)</f>
        <v>1168.0509999999999</v>
      </c>
      <c r="L30" s="13">
        <f>SUMIF(Mercado_Receita!$S$2:$S$641,"44501B2ConvencionalRuralNão se aplicaNão se aplicaNão se aplicaPonta",Mercado_Receita!$L$2:$L$641)+SUMIF(Mercado_Receita!$S$2:$S$641,"44501B2ConvencionalRuralNão se aplicaNão se aplicaNão se aplicaFora ponta",Mercado_Receita!$L$2:$L$641)+SUMIF(Mercado_Receita!$S$2:$S$641,"44501B2ConvencionalRuralNão se aplicaNão se aplicaNão se aplicaIntermediário",Mercado_Receita!$L$2:$L$641)+SUMIF(Mercado_Receita!$S$2:$S$641,"44501B2ConvencionalRuralNão se aplicaNão se aplicaNão se aplicaNão se aplica",Mercado_Receita!$L$2:$L$641)</f>
        <v>1521.8719999999998</v>
      </c>
      <c r="M30" s="13">
        <f>SUMIF(Mercado_Receita!$S$2:$S$641,"44531B2ConvencionalRuralNão se aplicaNão se aplicaNão se aplicaPonta",Mercado_Receita!$L$2:$L$641)+SUMIF(Mercado_Receita!$S$2:$S$641,"44531B2ConvencionalRuralNão se aplicaNão se aplicaNão se aplicaFora ponta",Mercado_Receita!$L$2:$L$641)+SUMIF(Mercado_Receita!$S$2:$S$641,"44531B2ConvencionalRuralNão se aplicaNão se aplicaNão se aplicaIntermediário",Mercado_Receita!$L$2:$L$641)+SUMIF(Mercado_Receita!$S$2:$S$641,"44531B2ConvencionalRuralNão se aplicaNão se aplicaNão se aplicaNão se aplica",Mercado_Receita!$L$2:$L$641)</f>
        <v>1442.5310000000002</v>
      </c>
      <c r="N30" s="13">
        <f>SUMIF(Mercado_Receita!$S$2:$S$641,"44562B2ConvencionalRuralNão se aplicaNão se aplicaNão se aplicaPonta",Mercado_Receita!$L$2:$L$641)+SUMIF(Mercado_Receita!$S$2:$S$641,"44562B2ConvencionalRuralNão se aplicaNão se aplicaNão se aplicaFora ponta",Mercado_Receita!$L$2:$L$641)+SUMIF(Mercado_Receita!$S$2:$S$641,"44562B2ConvencionalRuralNão se aplicaNão se aplicaNão se aplicaIntermediário",Mercado_Receita!$L$2:$L$641)+SUMIF(Mercado_Receita!$S$2:$S$641,"44562B2ConvencionalRuralNão se aplicaNão se aplicaNão se aplicaNão se aplica",Mercado_Receita!$L$2:$L$641)</f>
        <v>1042.7830000000001</v>
      </c>
      <c r="O30" s="13">
        <f>SUMIF(Mercado_Receita!$S$2:$S$641,"44593B2ConvencionalRuralNão se aplicaNão se aplicaNão se aplicaPonta",Mercado_Receita!$L$2:$L$641)+SUMIF(Mercado_Receita!$S$2:$S$641,"44593B2ConvencionalRuralNão se aplicaNão se aplicaNão se aplicaFora ponta",Mercado_Receita!$L$2:$L$641)+SUMIF(Mercado_Receita!$S$2:$S$641,"44593B2ConvencionalRuralNão se aplicaNão se aplicaNão se aplicaIntermediário",Mercado_Receita!$L$2:$L$641)+SUMIF(Mercado_Receita!$S$2:$S$641,"44593B2ConvencionalRuralNão se aplicaNão se aplicaNão se aplicaNão se aplica",Mercado_Receita!$L$2:$L$641)</f>
        <v>1023.3329999999999</v>
      </c>
      <c r="P30" s="13">
        <f>SUMIF(Mercado_Receita!$S$2:$S$641,"44621B2ConvencionalRuralNão se aplicaNão se aplicaNão se aplicaPonta",Mercado_Receita!$L$2:$L$641)+SUMIF(Mercado_Receita!$S$2:$S$641,"44621B2ConvencionalRuralNão se aplicaNão se aplicaNão se aplicaFora ponta",Mercado_Receita!$L$2:$L$641)+SUMIF(Mercado_Receita!$S$2:$S$641,"44621B2ConvencionalRuralNão se aplicaNão se aplicaNão se aplicaIntermediário",Mercado_Receita!$L$2:$L$641)+SUMIF(Mercado_Receita!$S$2:$S$641,"44621B2ConvencionalRuralNão se aplicaNão se aplicaNão se aplicaNão se aplica",Mercado_Receita!$L$2:$L$641)</f>
        <v>882.59500000000003</v>
      </c>
      <c r="Q30" s="13">
        <f>SUMIF(Mercado_Receita!$S$2:$S$641,"44652B2ConvencionalRuralNão se aplicaNão se aplicaNão se aplicaPonta",Mercado_Receita!$L$2:$L$641)+SUMIF(Mercado_Receita!$S$2:$S$641,"44652B2ConvencionalRuralNão se aplicaNão se aplicaNão se aplicaFora ponta",Mercado_Receita!$L$2:$L$641)+SUMIF(Mercado_Receita!$S$2:$S$641,"44652B2ConvencionalRuralNão se aplicaNão se aplicaNão se aplicaIntermediário",Mercado_Receita!$L$2:$L$641)+SUMIF(Mercado_Receita!$S$2:$S$641,"44652B2ConvencionalRuralNão se aplicaNão se aplicaNão se aplicaNão se aplica",Mercado_Receita!$L$2:$L$641)</f>
        <v>777.69600000000003</v>
      </c>
      <c r="R30" s="13">
        <f>SUMIF(Mercado_Receita!$S$2:$S$641,"44682B2ConvencionalRuralNão se aplicaNão se aplicaNão se aplicaPonta",Mercado_Receita!$L$2:$L$641)+SUMIF(Mercado_Receita!$S$2:$S$641,"44682B2ConvencionalRuralNão se aplicaNão se aplicaNão se aplicaFora ponta",Mercado_Receita!$L$2:$L$641)+SUMIF(Mercado_Receita!$S$2:$S$641,"44682B2ConvencionalRuralNão se aplicaNão se aplicaNão se aplicaIntermediário",Mercado_Receita!$L$2:$L$641)+SUMIF(Mercado_Receita!$S$2:$S$641,"44682B2ConvencionalRuralNão se aplicaNão se aplicaNão se aplicaNão se aplica",Mercado_Receita!$L$2:$L$641)</f>
        <v>771.81799999999998</v>
      </c>
      <c r="S30" s="13">
        <f>SUMIF(Mercado_Receita!$S$2:$S$641,"44713B2ConvencionalRuralNão se aplicaNão se aplicaNão se aplicaPonta",Mercado_Receita!$L$2:$L$641)+SUMIF(Mercado_Receita!$S$2:$S$641,"44713B2ConvencionalRuralNão se aplicaNão se aplicaNão se aplicaFora ponta",Mercado_Receita!$L$2:$L$641)+SUMIF(Mercado_Receita!$S$2:$S$641,"44713B2ConvencionalRuralNão se aplicaNão se aplicaNão se aplicaIntermediário",Mercado_Receita!$L$2:$L$641)+SUMIF(Mercado_Receita!$S$2:$S$641,"44713B2ConvencionalRuralNão se aplicaNão se aplicaNão se aplicaNão se aplica",Mercado_Receita!$L$2:$L$641)</f>
        <v>697.65800000000002</v>
      </c>
      <c r="T30" s="13">
        <f>SUMIF(Mercado_Receita!$S$2:$S$641,"44743B2ConvencionalRuralNão se aplicaNão se aplicaNão se aplicaPonta",Mercado_Receita!$L$2:$L$641)+SUMIF(Mercado_Receita!$S$2:$S$641,"44743B2ConvencionalRuralNão se aplicaNão se aplicaNão se aplicaFora ponta",Mercado_Receita!$L$2:$L$641)+SUMIF(Mercado_Receita!$S$2:$S$641,"44743B2ConvencionalRuralNão se aplicaNão se aplicaNão se aplicaIntermediário",Mercado_Receita!$L$2:$L$641)+SUMIF(Mercado_Receita!$S$2:$S$641,"44743B2ConvencionalRuralNão se aplicaNão se aplicaNão se aplicaNão se aplica",Mercado_Receita!$L$2:$L$641)</f>
        <v>697.65800000000002</v>
      </c>
      <c r="U30" s="13">
        <f t="shared" si="0"/>
        <v>11721.666999999998</v>
      </c>
      <c r="V30" s="13"/>
      <c r="W30" s="13"/>
    </row>
    <row r="31" spans="1:23" ht="11.25" customHeight="1" x14ac:dyDescent="0.25">
      <c r="A31" s="131"/>
      <c r="B31" s="130" t="s">
        <v>50</v>
      </c>
      <c r="C31" s="130" t="s">
        <v>42</v>
      </c>
      <c r="D31" s="130" t="s">
        <v>90</v>
      </c>
      <c r="E31" s="130" t="s">
        <v>25</v>
      </c>
      <c r="F31" s="130" t="s">
        <v>25</v>
      </c>
      <c r="G31" s="13" t="s">
        <v>75</v>
      </c>
      <c r="H31" s="13" t="s">
        <v>74</v>
      </c>
      <c r="I31" s="13">
        <f>SUMIF(Mercado_Receita!$S$2:$S$641,"44409B2BrancaRuralCooperativa de eletrificação ruralNão se aplicaNão se aplicaPonta",Mercado_Receita!$L$2:$L$641)</f>
        <v>0</v>
      </c>
      <c r="J31" s="13">
        <f>SUMIF(Mercado_Receita!$S$2:$S$641,"44440B2BrancaRuralCooperativa de eletrificação ruralNão se aplicaNão se aplicaPonta",Mercado_Receita!$L$2:$L$641)</f>
        <v>0</v>
      </c>
      <c r="K31" s="13">
        <f>SUMIF(Mercado_Receita!$S$2:$S$641,"44470B2BrancaRuralCooperativa de eletrificação ruralNão se aplicaNão se aplicaPonta",Mercado_Receita!$L$2:$L$641)</f>
        <v>0</v>
      </c>
      <c r="L31" s="13">
        <f>SUMIF(Mercado_Receita!$S$2:$S$641,"44501B2BrancaRuralCooperativa de eletrificação ruralNão se aplicaNão se aplicaPonta",Mercado_Receita!$L$2:$L$641)</f>
        <v>0</v>
      </c>
      <c r="M31" s="13">
        <f>SUMIF(Mercado_Receita!$S$2:$S$641,"44531B2BrancaRuralCooperativa de eletrificação ruralNão se aplicaNão se aplicaPonta",Mercado_Receita!$L$2:$L$641)</f>
        <v>0</v>
      </c>
      <c r="N31" s="13">
        <f>SUMIF(Mercado_Receita!$S$2:$S$641,"44562B2BrancaRuralCooperativa de eletrificação ruralNão se aplicaNão se aplicaPonta",Mercado_Receita!$L$2:$L$641)</f>
        <v>0</v>
      </c>
      <c r="O31" s="13">
        <f>SUMIF(Mercado_Receita!$S$2:$S$641,"44593B2BrancaRuralCooperativa de eletrificação ruralNão se aplicaNão se aplicaPonta",Mercado_Receita!$L$2:$L$641)</f>
        <v>0</v>
      </c>
      <c r="P31" s="13">
        <f>SUMIF(Mercado_Receita!$S$2:$S$641,"44621B2BrancaRuralCooperativa de eletrificação ruralNão se aplicaNão se aplicaPonta",Mercado_Receita!$L$2:$L$641)</f>
        <v>0</v>
      </c>
      <c r="Q31" s="13">
        <f>SUMIF(Mercado_Receita!$S$2:$S$641,"44652B2BrancaRuralCooperativa de eletrificação ruralNão se aplicaNão se aplicaPonta",Mercado_Receita!$L$2:$L$641)</f>
        <v>0</v>
      </c>
      <c r="R31" s="13">
        <f>SUMIF(Mercado_Receita!$S$2:$S$641,"44682B2BrancaRuralCooperativa de eletrificação ruralNão se aplicaNão se aplicaPonta",Mercado_Receita!$L$2:$L$641)</f>
        <v>0</v>
      </c>
      <c r="S31" s="13">
        <f>SUMIF(Mercado_Receita!$S$2:$S$641,"44713B2BrancaRuralCooperativa de eletrificação ruralNão se aplicaNão se aplicaPonta",Mercado_Receita!$L$2:$L$641)</f>
        <v>0</v>
      </c>
      <c r="T31" s="13">
        <f>SUMIF(Mercado_Receita!$S$2:$S$641,"44743B2BrancaRuralCooperativa de eletrificação ruralNão se aplicaNão se aplicaPonta",Mercado_Receita!$L$2:$L$641)</f>
        <v>0</v>
      </c>
      <c r="U31" s="13">
        <f t="shared" si="0"/>
        <v>0</v>
      </c>
      <c r="V31" s="13"/>
      <c r="W31" s="13"/>
    </row>
    <row r="32" spans="1:23" ht="11.25" customHeight="1" x14ac:dyDescent="0.25">
      <c r="A32" s="131"/>
      <c r="B32" s="131"/>
      <c r="C32" s="131"/>
      <c r="D32" s="131"/>
      <c r="E32" s="131"/>
      <c r="F32" s="131"/>
      <c r="G32" s="13" t="s">
        <v>87</v>
      </c>
      <c r="H32" s="13" t="s">
        <v>74</v>
      </c>
      <c r="I32" s="13">
        <f>SUMIF(Mercado_Receita!$S$2:$S$641,"44409B2BrancaRuralCooperativa de eletrificação ruralNão se aplicaNão se aplicaIntermediário",Mercado_Receita!$L$2:$L$641)</f>
        <v>0</v>
      </c>
      <c r="J32" s="13">
        <f>SUMIF(Mercado_Receita!$S$2:$S$641,"44440B2BrancaRuralCooperativa de eletrificação ruralNão se aplicaNão se aplicaIntermediário",Mercado_Receita!$L$2:$L$641)</f>
        <v>0</v>
      </c>
      <c r="K32" s="13">
        <f>SUMIF(Mercado_Receita!$S$2:$S$641,"44470B2BrancaRuralCooperativa de eletrificação ruralNão se aplicaNão se aplicaIntermediário",Mercado_Receita!$L$2:$L$641)</f>
        <v>0</v>
      </c>
      <c r="L32" s="13">
        <f>SUMIF(Mercado_Receita!$S$2:$S$641,"44501B2BrancaRuralCooperativa de eletrificação ruralNão se aplicaNão se aplicaIntermediário",Mercado_Receita!$L$2:$L$641)</f>
        <v>0</v>
      </c>
      <c r="M32" s="13">
        <f>SUMIF(Mercado_Receita!$S$2:$S$641,"44531B2BrancaRuralCooperativa de eletrificação ruralNão se aplicaNão se aplicaIntermediário",Mercado_Receita!$L$2:$L$641)</f>
        <v>0</v>
      </c>
      <c r="N32" s="13">
        <f>SUMIF(Mercado_Receita!$S$2:$S$641,"44562B2BrancaRuralCooperativa de eletrificação ruralNão se aplicaNão se aplicaIntermediário",Mercado_Receita!$L$2:$L$641)</f>
        <v>0</v>
      </c>
      <c r="O32" s="13">
        <f>SUMIF(Mercado_Receita!$S$2:$S$641,"44593B2BrancaRuralCooperativa de eletrificação ruralNão se aplicaNão se aplicaIntermediário",Mercado_Receita!$L$2:$L$641)</f>
        <v>0</v>
      </c>
      <c r="P32" s="13">
        <f>SUMIF(Mercado_Receita!$S$2:$S$641,"44621B2BrancaRuralCooperativa de eletrificação ruralNão se aplicaNão se aplicaIntermediário",Mercado_Receita!$L$2:$L$641)</f>
        <v>0</v>
      </c>
      <c r="Q32" s="13">
        <f>SUMIF(Mercado_Receita!$S$2:$S$641,"44652B2BrancaRuralCooperativa de eletrificação ruralNão se aplicaNão se aplicaIntermediário",Mercado_Receita!$L$2:$L$641)</f>
        <v>0</v>
      </c>
      <c r="R32" s="13">
        <f>SUMIF(Mercado_Receita!$S$2:$S$641,"44682B2BrancaRuralCooperativa de eletrificação ruralNão se aplicaNão se aplicaIntermediário",Mercado_Receita!$L$2:$L$641)</f>
        <v>0</v>
      </c>
      <c r="S32" s="13">
        <f>SUMIF(Mercado_Receita!$S$2:$S$641,"44713B2BrancaRuralCooperativa de eletrificação ruralNão se aplicaNão se aplicaIntermediário",Mercado_Receita!$L$2:$L$641)</f>
        <v>0</v>
      </c>
      <c r="T32" s="13">
        <f>SUMIF(Mercado_Receita!$S$2:$S$641,"44743B2BrancaRuralCooperativa de eletrificação ruralNão se aplicaNão se aplicaIntermediário",Mercado_Receita!$L$2:$L$641)</f>
        <v>0</v>
      </c>
      <c r="U32" s="13">
        <f t="shared" si="0"/>
        <v>0</v>
      </c>
      <c r="V32" s="13"/>
      <c r="W32" s="13"/>
    </row>
    <row r="33" spans="1:23" ht="11.25" customHeight="1" x14ac:dyDescent="0.25">
      <c r="A33" s="131"/>
      <c r="B33" s="131"/>
      <c r="C33" s="131"/>
      <c r="D33" s="131"/>
      <c r="E33" s="131"/>
      <c r="F33" s="131"/>
      <c r="G33" s="13" t="s">
        <v>76</v>
      </c>
      <c r="H33" s="13" t="s">
        <v>74</v>
      </c>
      <c r="I33" s="13">
        <f>SUMIF(Mercado_Receita!$S$2:$S$641,"44409B2BrancaRuralCooperativa de eletrificação ruralNão se aplicaNão se aplicaFora ponta",Mercado_Receita!$L$2:$L$641)</f>
        <v>0</v>
      </c>
      <c r="J33" s="13">
        <f>SUMIF(Mercado_Receita!$S$2:$S$641,"44440B2BrancaRuralCooperativa de eletrificação ruralNão se aplicaNão se aplicaFora ponta",Mercado_Receita!$L$2:$L$641)</f>
        <v>0</v>
      </c>
      <c r="K33" s="13">
        <f>SUMIF(Mercado_Receita!$S$2:$S$641,"44470B2BrancaRuralCooperativa de eletrificação ruralNão se aplicaNão se aplicaFora ponta",Mercado_Receita!$L$2:$L$641)</f>
        <v>0</v>
      </c>
      <c r="L33" s="13">
        <f>SUMIF(Mercado_Receita!$S$2:$S$641,"44501B2BrancaRuralCooperativa de eletrificação ruralNão se aplicaNão se aplicaFora ponta",Mercado_Receita!$L$2:$L$641)</f>
        <v>0</v>
      </c>
      <c r="M33" s="13">
        <f>SUMIF(Mercado_Receita!$S$2:$S$641,"44531B2BrancaRuralCooperativa de eletrificação ruralNão se aplicaNão se aplicaFora ponta",Mercado_Receita!$L$2:$L$641)</f>
        <v>0</v>
      </c>
      <c r="N33" s="13">
        <f>SUMIF(Mercado_Receita!$S$2:$S$641,"44562B2BrancaRuralCooperativa de eletrificação ruralNão se aplicaNão se aplicaFora ponta",Mercado_Receita!$L$2:$L$641)</f>
        <v>0</v>
      </c>
      <c r="O33" s="13">
        <f>SUMIF(Mercado_Receita!$S$2:$S$641,"44593B2BrancaRuralCooperativa de eletrificação ruralNão se aplicaNão se aplicaFora ponta",Mercado_Receita!$L$2:$L$641)</f>
        <v>0</v>
      </c>
      <c r="P33" s="13">
        <f>SUMIF(Mercado_Receita!$S$2:$S$641,"44621B2BrancaRuralCooperativa de eletrificação ruralNão se aplicaNão se aplicaFora ponta",Mercado_Receita!$L$2:$L$641)</f>
        <v>0</v>
      </c>
      <c r="Q33" s="13">
        <f>SUMIF(Mercado_Receita!$S$2:$S$641,"44652B2BrancaRuralCooperativa de eletrificação ruralNão se aplicaNão se aplicaFora ponta",Mercado_Receita!$L$2:$L$641)</f>
        <v>0</v>
      </c>
      <c r="R33" s="13">
        <f>SUMIF(Mercado_Receita!$S$2:$S$641,"44682B2BrancaRuralCooperativa de eletrificação ruralNão se aplicaNão se aplicaFora ponta",Mercado_Receita!$L$2:$L$641)</f>
        <v>0</v>
      </c>
      <c r="S33" s="13">
        <f>SUMIF(Mercado_Receita!$S$2:$S$641,"44713B2BrancaRuralCooperativa de eletrificação ruralNão se aplicaNão se aplicaFora ponta",Mercado_Receita!$L$2:$L$641)</f>
        <v>0</v>
      </c>
      <c r="T33" s="13">
        <f>SUMIF(Mercado_Receita!$S$2:$S$641,"44743B2BrancaRuralCooperativa de eletrificação ruralNão se aplicaNão se aplicaFora ponta",Mercado_Receita!$L$2:$L$641)</f>
        <v>0</v>
      </c>
      <c r="U33" s="13">
        <f t="shared" si="0"/>
        <v>0</v>
      </c>
      <c r="V33" s="13"/>
      <c r="W33" s="13"/>
    </row>
    <row r="34" spans="1:23" ht="11.25" customHeight="1" x14ac:dyDescent="0.25">
      <c r="A34" s="131"/>
      <c r="B34" s="12" t="s">
        <v>23</v>
      </c>
      <c r="C34" s="12" t="s">
        <v>42</v>
      </c>
      <c r="D34" s="12" t="s">
        <v>90</v>
      </c>
      <c r="E34" s="12" t="s">
        <v>25</v>
      </c>
      <c r="F34" s="12" t="s">
        <v>25</v>
      </c>
      <c r="G34" s="13" t="s">
        <v>78</v>
      </c>
      <c r="H34" s="13" t="s">
        <v>74</v>
      </c>
      <c r="I34" s="13">
        <f>SUMIF(Mercado_Receita!$S$2:$S$641,"44409B2ConvencionalRuralCooperativa de eletrificação ruralNão se aplicaNão se aplicaPonta",Mercado_Receita!$L$2:$L$641)+SUMIF(Mercado_Receita!$S$2:$S$641,"44409B2ConvencionalRuralCooperativa de eletrificação ruralNão se aplicaNão se aplicaFora ponta",Mercado_Receita!$L$2:$L$641)+SUMIF(Mercado_Receita!$S$2:$S$641,"44409B2ConvencionalRuralCooperativa de eletrificação ruralNão se aplicaNão se aplicaIntermediário",Mercado_Receita!$L$2:$L$641)+SUMIF(Mercado_Receita!$S$2:$S$641,"44409B2ConvencionalRuralCooperativa de eletrificação ruralNão se aplicaNão se aplicaNão se aplica",Mercado_Receita!$L$2:$L$641)</f>
        <v>0</v>
      </c>
      <c r="J34" s="13">
        <f>SUMIF(Mercado_Receita!$S$2:$S$641,"44440B2ConvencionalRuralCooperativa de eletrificação ruralNão se aplicaNão se aplicaPonta",Mercado_Receita!$L$2:$L$641)+SUMIF(Mercado_Receita!$S$2:$S$641,"44440B2ConvencionalRuralCooperativa de eletrificação ruralNão se aplicaNão se aplicaFora ponta",Mercado_Receita!$L$2:$L$641)+SUMIF(Mercado_Receita!$S$2:$S$641,"44440B2ConvencionalRuralCooperativa de eletrificação ruralNão se aplicaNão se aplicaIntermediário",Mercado_Receita!$L$2:$L$641)+SUMIF(Mercado_Receita!$S$2:$S$641,"44440B2ConvencionalRuralCooperativa de eletrificação ruralNão se aplicaNão se aplicaNão se aplica",Mercado_Receita!$L$2:$L$641)</f>
        <v>0</v>
      </c>
      <c r="K34" s="13">
        <f>SUMIF(Mercado_Receita!$S$2:$S$641,"44470B2ConvencionalRuralCooperativa de eletrificação ruralNão se aplicaNão se aplicaPonta",Mercado_Receita!$L$2:$L$641)+SUMIF(Mercado_Receita!$S$2:$S$641,"44470B2ConvencionalRuralCooperativa de eletrificação ruralNão se aplicaNão se aplicaFora ponta",Mercado_Receita!$L$2:$L$641)+SUMIF(Mercado_Receita!$S$2:$S$641,"44470B2ConvencionalRuralCooperativa de eletrificação ruralNão se aplicaNão se aplicaIntermediário",Mercado_Receita!$L$2:$L$641)+SUMIF(Mercado_Receita!$S$2:$S$641,"44470B2ConvencionalRuralCooperativa de eletrificação ruralNão se aplicaNão se aplicaNão se aplica",Mercado_Receita!$L$2:$L$641)</f>
        <v>0</v>
      </c>
      <c r="L34" s="13">
        <f>SUMIF(Mercado_Receita!$S$2:$S$641,"44501B2ConvencionalRuralCooperativa de eletrificação ruralNão se aplicaNão se aplicaPonta",Mercado_Receita!$L$2:$L$641)+SUMIF(Mercado_Receita!$S$2:$S$641,"44501B2ConvencionalRuralCooperativa de eletrificação ruralNão se aplicaNão se aplicaFora ponta",Mercado_Receita!$L$2:$L$641)+SUMIF(Mercado_Receita!$S$2:$S$641,"44501B2ConvencionalRuralCooperativa de eletrificação ruralNão se aplicaNão se aplicaIntermediário",Mercado_Receita!$L$2:$L$641)+SUMIF(Mercado_Receita!$S$2:$S$641,"44501B2ConvencionalRuralCooperativa de eletrificação ruralNão se aplicaNão se aplicaNão se aplica",Mercado_Receita!$L$2:$L$641)</f>
        <v>0</v>
      </c>
      <c r="M34" s="13">
        <f>SUMIF(Mercado_Receita!$S$2:$S$641,"44531B2ConvencionalRuralCooperativa de eletrificação ruralNão se aplicaNão se aplicaPonta",Mercado_Receita!$L$2:$L$641)+SUMIF(Mercado_Receita!$S$2:$S$641,"44531B2ConvencionalRuralCooperativa de eletrificação ruralNão se aplicaNão se aplicaFora ponta",Mercado_Receita!$L$2:$L$641)+SUMIF(Mercado_Receita!$S$2:$S$641,"44531B2ConvencionalRuralCooperativa de eletrificação ruralNão se aplicaNão se aplicaIntermediário",Mercado_Receita!$L$2:$L$641)+SUMIF(Mercado_Receita!$S$2:$S$641,"44531B2ConvencionalRuralCooperativa de eletrificação ruralNão se aplicaNão se aplicaNão se aplica",Mercado_Receita!$L$2:$L$641)</f>
        <v>0</v>
      </c>
      <c r="N34" s="13">
        <f>SUMIF(Mercado_Receita!$S$2:$S$641,"44562B2ConvencionalRuralCooperativa de eletrificação ruralNão se aplicaNão se aplicaPonta",Mercado_Receita!$L$2:$L$641)+SUMIF(Mercado_Receita!$S$2:$S$641,"44562B2ConvencionalRuralCooperativa de eletrificação ruralNão se aplicaNão se aplicaFora ponta",Mercado_Receita!$L$2:$L$641)+SUMIF(Mercado_Receita!$S$2:$S$641,"44562B2ConvencionalRuralCooperativa de eletrificação ruralNão se aplicaNão se aplicaIntermediário",Mercado_Receita!$L$2:$L$641)+SUMIF(Mercado_Receita!$S$2:$S$641,"44562B2ConvencionalRuralCooperativa de eletrificação ruralNão se aplicaNão se aplicaNão se aplica",Mercado_Receita!$L$2:$L$641)</f>
        <v>0</v>
      </c>
      <c r="O34" s="13">
        <f>SUMIF(Mercado_Receita!$S$2:$S$641,"44593B2ConvencionalRuralCooperativa de eletrificação ruralNão se aplicaNão se aplicaPonta",Mercado_Receita!$L$2:$L$641)+SUMIF(Mercado_Receita!$S$2:$S$641,"44593B2ConvencionalRuralCooperativa de eletrificação ruralNão se aplicaNão se aplicaFora ponta",Mercado_Receita!$L$2:$L$641)+SUMIF(Mercado_Receita!$S$2:$S$641,"44593B2ConvencionalRuralCooperativa de eletrificação ruralNão se aplicaNão se aplicaIntermediário",Mercado_Receita!$L$2:$L$641)+SUMIF(Mercado_Receita!$S$2:$S$641,"44593B2ConvencionalRuralCooperativa de eletrificação ruralNão se aplicaNão se aplicaNão se aplica",Mercado_Receita!$L$2:$L$641)</f>
        <v>0</v>
      </c>
      <c r="P34" s="13">
        <f>SUMIF(Mercado_Receita!$S$2:$S$641,"44621B2ConvencionalRuralCooperativa de eletrificação ruralNão se aplicaNão se aplicaPonta",Mercado_Receita!$L$2:$L$641)+SUMIF(Mercado_Receita!$S$2:$S$641,"44621B2ConvencionalRuralCooperativa de eletrificação ruralNão se aplicaNão se aplicaFora ponta",Mercado_Receita!$L$2:$L$641)+SUMIF(Mercado_Receita!$S$2:$S$641,"44621B2ConvencionalRuralCooperativa de eletrificação ruralNão se aplicaNão se aplicaIntermediário",Mercado_Receita!$L$2:$L$641)+SUMIF(Mercado_Receita!$S$2:$S$641,"44621B2ConvencionalRuralCooperativa de eletrificação ruralNão se aplicaNão se aplicaNão se aplica",Mercado_Receita!$L$2:$L$641)</f>
        <v>0</v>
      </c>
      <c r="Q34" s="13">
        <f>SUMIF(Mercado_Receita!$S$2:$S$641,"44652B2ConvencionalRuralCooperativa de eletrificação ruralNão se aplicaNão se aplicaPonta",Mercado_Receita!$L$2:$L$641)+SUMIF(Mercado_Receita!$S$2:$S$641,"44652B2ConvencionalRuralCooperativa de eletrificação ruralNão se aplicaNão se aplicaFora ponta",Mercado_Receita!$L$2:$L$641)+SUMIF(Mercado_Receita!$S$2:$S$641,"44652B2ConvencionalRuralCooperativa de eletrificação ruralNão se aplicaNão se aplicaIntermediário",Mercado_Receita!$L$2:$L$641)+SUMIF(Mercado_Receita!$S$2:$S$641,"44652B2ConvencionalRuralCooperativa de eletrificação ruralNão se aplicaNão se aplicaNão se aplica",Mercado_Receita!$L$2:$L$641)</f>
        <v>0</v>
      </c>
      <c r="R34" s="13">
        <f>SUMIF(Mercado_Receita!$S$2:$S$641,"44682B2ConvencionalRuralCooperativa de eletrificação ruralNão se aplicaNão se aplicaPonta",Mercado_Receita!$L$2:$L$641)+SUMIF(Mercado_Receita!$S$2:$S$641,"44682B2ConvencionalRuralCooperativa de eletrificação ruralNão se aplicaNão se aplicaFora ponta",Mercado_Receita!$L$2:$L$641)+SUMIF(Mercado_Receita!$S$2:$S$641,"44682B2ConvencionalRuralCooperativa de eletrificação ruralNão se aplicaNão se aplicaIntermediário",Mercado_Receita!$L$2:$L$641)+SUMIF(Mercado_Receita!$S$2:$S$641,"44682B2ConvencionalRuralCooperativa de eletrificação ruralNão se aplicaNão se aplicaNão se aplica",Mercado_Receita!$L$2:$L$641)</f>
        <v>0</v>
      </c>
      <c r="S34" s="13">
        <f>SUMIF(Mercado_Receita!$S$2:$S$641,"44713B2ConvencionalRuralCooperativa de eletrificação ruralNão se aplicaNão se aplicaPonta",Mercado_Receita!$L$2:$L$641)+SUMIF(Mercado_Receita!$S$2:$S$641,"44713B2ConvencionalRuralCooperativa de eletrificação ruralNão se aplicaNão se aplicaFora ponta",Mercado_Receita!$L$2:$L$641)+SUMIF(Mercado_Receita!$S$2:$S$641,"44713B2ConvencionalRuralCooperativa de eletrificação ruralNão se aplicaNão se aplicaIntermediário",Mercado_Receita!$L$2:$L$641)+SUMIF(Mercado_Receita!$S$2:$S$641,"44713B2ConvencionalRuralCooperativa de eletrificação ruralNão se aplicaNão se aplicaNão se aplica",Mercado_Receita!$L$2:$L$641)</f>
        <v>0</v>
      </c>
      <c r="T34" s="13">
        <f>SUMIF(Mercado_Receita!$S$2:$S$641,"44743B2ConvencionalRuralCooperativa de eletrificação ruralNão se aplicaNão se aplicaPonta",Mercado_Receita!$L$2:$L$641)+SUMIF(Mercado_Receita!$S$2:$S$641,"44743B2ConvencionalRuralCooperativa de eletrificação ruralNão se aplicaNão se aplicaFora ponta",Mercado_Receita!$L$2:$L$641)+SUMIF(Mercado_Receita!$S$2:$S$641,"44743B2ConvencionalRuralCooperativa de eletrificação ruralNão se aplicaNão se aplicaIntermediário",Mercado_Receita!$L$2:$L$641)+SUMIF(Mercado_Receita!$S$2:$S$641,"44743B2ConvencionalRuralCooperativa de eletrificação ruralNão se aplicaNão se aplicaNão se aplica",Mercado_Receita!$L$2:$L$641)</f>
        <v>0</v>
      </c>
      <c r="U34" s="13">
        <f t="shared" si="0"/>
        <v>0</v>
      </c>
      <c r="V34" s="13"/>
      <c r="W34" s="13"/>
    </row>
    <row r="35" spans="1:23" ht="11.25" customHeight="1" x14ac:dyDescent="0.25">
      <c r="A35" s="131"/>
      <c r="B35" s="130" t="s">
        <v>50</v>
      </c>
      <c r="C35" s="130" t="s">
        <v>42</v>
      </c>
      <c r="D35" s="130" t="s">
        <v>91</v>
      </c>
      <c r="E35" s="130" t="s">
        <v>25</v>
      </c>
      <c r="F35" s="130" t="s">
        <v>25</v>
      </c>
      <c r="G35" s="13" t="s">
        <v>75</v>
      </c>
      <c r="H35" s="13" t="s">
        <v>74</v>
      </c>
      <c r="I35" s="13">
        <f>SUMIF(Mercado_Receita!$S$2:$S$641,"44409B2BrancaRuralServiço público de irrigação ruralNão se aplicaNão se aplicaPonta",Mercado_Receita!$L$2:$L$641)</f>
        <v>0</v>
      </c>
      <c r="J35" s="13">
        <f>SUMIF(Mercado_Receita!$S$2:$S$641,"44440B2BrancaRuralServiço público de irrigação ruralNão se aplicaNão se aplicaPonta",Mercado_Receita!$L$2:$L$641)</f>
        <v>0</v>
      </c>
      <c r="K35" s="13">
        <f>SUMIF(Mercado_Receita!$S$2:$S$641,"44470B2BrancaRuralServiço público de irrigação ruralNão se aplicaNão se aplicaPonta",Mercado_Receita!$L$2:$L$641)</f>
        <v>0</v>
      </c>
      <c r="L35" s="13">
        <f>SUMIF(Mercado_Receita!$S$2:$S$641,"44501B2BrancaRuralServiço público de irrigação ruralNão se aplicaNão se aplicaPonta",Mercado_Receita!$L$2:$L$641)</f>
        <v>0</v>
      </c>
      <c r="M35" s="13">
        <f>SUMIF(Mercado_Receita!$S$2:$S$641,"44531B2BrancaRuralServiço público de irrigação ruralNão se aplicaNão se aplicaPonta",Mercado_Receita!$L$2:$L$641)</f>
        <v>0</v>
      </c>
      <c r="N35" s="13">
        <f>SUMIF(Mercado_Receita!$S$2:$S$641,"44562B2BrancaRuralServiço público de irrigação ruralNão se aplicaNão se aplicaPonta",Mercado_Receita!$L$2:$L$641)</f>
        <v>0</v>
      </c>
      <c r="O35" s="13">
        <f>SUMIF(Mercado_Receita!$S$2:$S$641,"44593B2BrancaRuralServiço público de irrigação ruralNão se aplicaNão se aplicaPonta",Mercado_Receita!$L$2:$L$641)</f>
        <v>0</v>
      </c>
      <c r="P35" s="13">
        <f>SUMIF(Mercado_Receita!$S$2:$S$641,"44621B2BrancaRuralServiço público de irrigação ruralNão se aplicaNão se aplicaPonta",Mercado_Receita!$L$2:$L$641)</f>
        <v>0</v>
      </c>
      <c r="Q35" s="13">
        <f>SUMIF(Mercado_Receita!$S$2:$S$641,"44652B2BrancaRuralServiço público de irrigação ruralNão se aplicaNão se aplicaPonta",Mercado_Receita!$L$2:$L$641)</f>
        <v>0</v>
      </c>
      <c r="R35" s="13">
        <f>SUMIF(Mercado_Receita!$S$2:$S$641,"44682B2BrancaRuralServiço público de irrigação ruralNão se aplicaNão se aplicaPonta",Mercado_Receita!$L$2:$L$641)</f>
        <v>0</v>
      </c>
      <c r="S35" s="13">
        <f>SUMIF(Mercado_Receita!$S$2:$S$641,"44713B2BrancaRuralServiço público de irrigação ruralNão se aplicaNão se aplicaPonta",Mercado_Receita!$L$2:$L$641)</f>
        <v>0</v>
      </c>
      <c r="T35" s="13">
        <f>SUMIF(Mercado_Receita!$S$2:$S$641,"44743B2BrancaRuralServiço público de irrigação ruralNão se aplicaNão se aplicaPonta",Mercado_Receita!$L$2:$L$641)</f>
        <v>0</v>
      </c>
      <c r="U35" s="13">
        <f t="shared" si="0"/>
        <v>0</v>
      </c>
      <c r="V35" s="13"/>
      <c r="W35" s="13"/>
    </row>
    <row r="36" spans="1:23" ht="11.25" customHeight="1" x14ac:dyDescent="0.25">
      <c r="A36" s="131"/>
      <c r="B36" s="131"/>
      <c r="C36" s="131"/>
      <c r="D36" s="131"/>
      <c r="E36" s="131"/>
      <c r="F36" s="131"/>
      <c r="G36" s="13" t="s">
        <v>87</v>
      </c>
      <c r="H36" s="13" t="s">
        <v>74</v>
      </c>
      <c r="I36" s="13">
        <f>SUMIF(Mercado_Receita!$S$2:$S$641,"44409B2BrancaRuralServiço público de irrigação ruralNão se aplicaNão se aplicaIntermediário",Mercado_Receita!$L$2:$L$641)</f>
        <v>0</v>
      </c>
      <c r="J36" s="13">
        <f>SUMIF(Mercado_Receita!$S$2:$S$641,"44440B2BrancaRuralServiço público de irrigação ruralNão se aplicaNão se aplicaIntermediário",Mercado_Receita!$L$2:$L$641)</f>
        <v>0</v>
      </c>
      <c r="K36" s="13">
        <f>SUMIF(Mercado_Receita!$S$2:$S$641,"44470B2BrancaRuralServiço público de irrigação ruralNão se aplicaNão se aplicaIntermediário",Mercado_Receita!$L$2:$L$641)</f>
        <v>0</v>
      </c>
      <c r="L36" s="13">
        <f>SUMIF(Mercado_Receita!$S$2:$S$641,"44501B2BrancaRuralServiço público de irrigação ruralNão se aplicaNão se aplicaIntermediário",Mercado_Receita!$L$2:$L$641)</f>
        <v>0</v>
      </c>
      <c r="M36" s="13">
        <f>SUMIF(Mercado_Receita!$S$2:$S$641,"44531B2BrancaRuralServiço público de irrigação ruralNão se aplicaNão se aplicaIntermediário",Mercado_Receita!$L$2:$L$641)</f>
        <v>0</v>
      </c>
      <c r="N36" s="13">
        <f>SUMIF(Mercado_Receita!$S$2:$S$641,"44562B2BrancaRuralServiço público de irrigação ruralNão se aplicaNão se aplicaIntermediário",Mercado_Receita!$L$2:$L$641)</f>
        <v>0</v>
      </c>
      <c r="O36" s="13">
        <f>SUMIF(Mercado_Receita!$S$2:$S$641,"44593B2BrancaRuralServiço público de irrigação ruralNão se aplicaNão se aplicaIntermediário",Mercado_Receita!$L$2:$L$641)</f>
        <v>0</v>
      </c>
      <c r="P36" s="13">
        <f>SUMIF(Mercado_Receita!$S$2:$S$641,"44621B2BrancaRuralServiço público de irrigação ruralNão se aplicaNão se aplicaIntermediário",Mercado_Receita!$L$2:$L$641)</f>
        <v>0</v>
      </c>
      <c r="Q36" s="13">
        <f>SUMIF(Mercado_Receita!$S$2:$S$641,"44652B2BrancaRuralServiço público de irrigação ruralNão se aplicaNão se aplicaIntermediário",Mercado_Receita!$L$2:$L$641)</f>
        <v>0</v>
      </c>
      <c r="R36" s="13">
        <f>SUMIF(Mercado_Receita!$S$2:$S$641,"44682B2BrancaRuralServiço público de irrigação ruralNão se aplicaNão se aplicaIntermediário",Mercado_Receita!$L$2:$L$641)</f>
        <v>0</v>
      </c>
      <c r="S36" s="13">
        <f>SUMIF(Mercado_Receita!$S$2:$S$641,"44713B2BrancaRuralServiço público de irrigação ruralNão se aplicaNão se aplicaIntermediário",Mercado_Receita!$L$2:$L$641)</f>
        <v>0</v>
      </c>
      <c r="T36" s="13">
        <f>SUMIF(Mercado_Receita!$S$2:$S$641,"44743B2BrancaRuralServiço público de irrigação ruralNão se aplicaNão se aplicaIntermediário",Mercado_Receita!$L$2:$L$641)</f>
        <v>0</v>
      </c>
      <c r="U36" s="13">
        <f t="shared" si="0"/>
        <v>0</v>
      </c>
      <c r="V36" s="13"/>
      <c r="W36" s="13"/>
    </row>
    <row r="37" spans="1:23" ht="11.25" customHeight="1" x14ac:dyDescent="0.25">
      <c r="A37" s="131"/>
      <c r="B37" s="131"/>
      <c r="C37" s="131"/>
      <c r="D37" s="131"/>
      <c r="E37" s="131"/>
      <c r="F37" s="131"/>
      <c r="G37" s="13" t="s">
        <v>76</v>
      </c>
      <c r="H37" s="13" t="s">
        <v>74</v>
      </c>
      <c r="I37" s="13">
        <f>SUMIF(Mercado_Receita!$S$2:$S$641,"44409B2BrancaRuralServiço público de irrigação ruralNão se aplicaNão se aplicaFora ponta",Mercado_Receita!$L$2:$L$641)</f>
        <v>0</v>
      </c>
      <c r="J37" s="13">
        <f>SUMIF(Mercado_Receita!$S$2:$S$641,"44440B2BrancaRuralServiço público de irrigação ruralNão se aplicaNão se aplicaFora ponta",Mercado_Receita!$L$2:$L$641)</f>
        <v>0</v>
      </c>
      <c r="K37" s="13">
        <f>SUMIF(Mercado_Receita!$S$2:$S$641,"44470B2BrancaRuralServiço público de irrigação ruralNão se aplicaNão se aplicaFora ponta",Mercado_Receita!$L$2:$L$641)</f>
        <v>0</v>
      </c>
      <c r="L37" s="13">
        <f>SUMIF(Mercado_Receita!$S$2:$S$641,"44501B2BrancaRuralServiço público de irrigação ruralNão se aplicaNão se aplicaFora ponta",Mercado_Receita!$L$2:$L$641)</f>
        <v>0</v>
      </c>
      <c r="M37" s="13">
        <f>SUMIF(Mercado_Receita!$S$2:$S$641,"44531B2BrancaRuralServiço público de irrigação ruralNão se aplicaNão se aplicaFora ponta",Mercado_Receita!$L$2:$L$641)</f>
        <v>0</v>
      </c>
      <c r="N37" s="13">
        <f>SUMIF(Mercado_Receita!$S$2:$S$641,"44562B2BrancaRuralServiço público de irrigação ruralNão se aplicaNão se aplicaFora ponta",Mercado_Receita!$L$2:$L$641)</f>
        <v>0</v>
      </c>
      <c r="O37" s="13">
        <f>SUMIF(Mercado_Receita!$S$2:$S$641,"44593B2BrancaRuralServiço público de irrigação ruralNão se aplicaNão se aplicaFora ponta",Mercado_Receita!$L$2:$L$641)</f>
        <v>0</v>
      </c>
      <c r="P37" s="13">
        <f>SUMIF(Mercado_Receita!$S$2:$S$641,"44621B2BrancaRuralServiço público de irrigação ruralNão se aplicaNão se aplicaFora ponta",Mercado_Receita!$L$2:$L$641)</f>
        <v>0</v>
      </c>
      <c r="Q37" s="13">
        <f>SUMIF(Mercado_Receita!$S$2:$S$641,"44652B2BrancaRuralServiço público de irrigação ruralNão se aplicaNão se aplicaFora ponta",Mercado_Receita!$L$2:$L$641)</f>
        <v>0</v>
      </c>
      <c r="R37" s="13">
        <f>SUMIF(Mercado_Receita!$S$2:$S$641,"44682B2BrancaRuralServiço público de irrigação ruralNão se aplicaNão se aplicaFora ponta",Mercado_Receita!$L$2:$L$641)</f>
        <v>0</v>
      </c>
      <c r="S37" s="13">
        <f>SUMIF(Mercado_Receita!$S$2:$S$641,"44713B2BrancaRuralServiço público de irrigação ruralNão se aplicaNão se aplicaFora ponta",Mercado_Receita!$L$2:$L$641)</f>
        <v>0</v>
      </c>
      <c r="T37" s="13">
        <f>SUMIF(Mercado_Receita!$S$2:$S$641,"44743B2BrancaRuralServiço público de irrigação ruralNão se aplicaNão se aplicaFora ponta",Mercado_Receita!$L$2:$L$641)</f>
        <v>0</v>
      </c>
      <c r="U37" s="13">
        <f t="shared" si="0"/>
        <v>0</v>
      </c>
      <c r="V37" s="13"/>
      <c r="W37" s="13"/>
    </row>
    <row r="38" spans="1:23" ht="11.25" customHeight="1" x14ac:dyDescent="0.25">
      <c r="A38" s="131"/>
      <c r="B38" s="12" t="s">
        <v>23</v>
      </c>
      <c r="C38" s="12" t="s">
        <v>42</v>
      </c>
      <c r="D38" s="12" t="s">
        <v>91</v>
      </c>
      <c r="E38" s="12" t="s">
        <v>25</v>
      </c>
      <c r="F38" s="12" t="s">
        <v>25</v>
      </c>
      <c r="G38" s="13" t="s">
        <v>78</v>
      </c>
      <c r="H38" s="13" t="s">
        <v>74</v>
      </c>
      <c r="I38" s="13">
        <f>SUMIF(Mercado_Receita!$S$2:$S$641,"44409B2ConvencionalRuralServiço público de irrigação ruralNão se aplicaNão se aplicaPonta",Mercado_Receita!$L$2:$L$641)+SUMIF(Mercado_Receita!$S$2:$S$641,"44409B2ConvencionalRuralServiço público de irrigação ruralNão se aplicaNão se aplicaFora ponta",Mercado_Receita!$L$2:$L$641)+SUMIF(Mercado_Receita!$S$2:$S$641,"44409B2ConvencionalRuralServiço público de irrigação ruralNão se aplicaNão se aplicaIntermediário",Mercado_Receita!$L$2:$L$641)+SUMIF(Mercado_Receita!$S$2:$S$641,"44409B2ConvencionalRuralServiço público de irrigação ruralNão se aplicaNão se aplicaNão se aplica",Mercado_Receita!$L$2:$L$641)</f>
        <v>0</v>
      </c>
      <c r="J38" s="13">
        <f>SUMIF(Mercado_Receita!$S$2:$S$641,"44440B2ConvencionalRuralServiço público de irrigação ruralNão se aplicaNão se aplicaPonta",Mercado_Receita!$L$2:$L$641)+SUMIF(Mercado_Receita!$S$2:$S$641,"44440B2ConvencionalRuralServiço público de irrigação ruralNão se aplicaNão se aplicaFora ponta",Mercado_Receita!$L$2:$L$641)+SUMIF(Mercado_Receita!$S$2:$S$641,"44440B2ConvencionalRuralServiço público de irrigação ruralNão se aplicaNão se aplicaIntermediário",Mercado_Receita!$L$2:$L$641)+SUMIF(Mercado_Receita!$S$2:$S$641,"44440B2ConvencionalRuralServiço público de irrigação ruralNão se aplicaNão se aplicaNão se aplica",Mercado_Receita!$L$2:$L$641)</f>
        <v>0</v>
      </c>
      <c r="K38" s="13">
        <f>SUMIF(Mercado_Receita!$S$2:$S$641,"44470B2ConvencionalRuralServiço público de irrigação ruralNão se aplicaNão se aplicaPonta",Mercado_Receita!$L$2:$L$641)+SUMIF(Mercado_Receita!$S$2:$S$641,"44470B2ConvencionalRuralServiço público de irrigação ruralNão se aplicaNão se aplicaFora ponta",Mercado_Receita!$L$2:$L$641)+SUMIF(Mercado_Receita!$S$2:$S$641,"44470B2ConvencionalRuralServiço público de irrigação ruralNão se aplicaNão se aplicaIntermediário",Mercado_Receita!$L$2:$L$641)+SUMIF(Mercado_Receita!$S$2:$S$641,"44470B2ConvencionalRuralServiço público de irrigação ruralNão se aplicaNão se aplicaNão se aplica",Mercado_Receita!$L$2:$L$641)</f>
        <v>0</v>
      </c>
      <c r="L38" s="13">
        <f>SUMIF(Mercado_Receita!$S$2:$S$641,"44501B2ConvencionalRuralServiço público de irrigação ruralNão se aplicaNão se aplicaPonta",Mercado_Receita!$L$2:$L$641)+SUMIF(Mercado_Receita!$S$2:$S$641,"44501B2ConvencionalRuralServiço público de irrigação ruralNão se aplicaNão se aplicaFora ponta",Mercado_Receita!$L$2:$L$641)+SUMIF(Mercado_Receita!$S$2:$S$641,"44501B2ConvencionalRuralServiço público de irrigação ruralNão se aplicaNão se aplicaIntermediário",Mercado_Receita!$L$2:$L$641)+SUMIF(Mercado_Receita!$S$2:$S$641,"44501B2ConvencionalRuralServiço público de irrigação ruralNão se aplicaNão se aplicaNão se aplica",Mercado_Receita!$L$2:$L$641)</f>
        <v>0</v>
      </c>
      <c r="M38" s="13">
        <f>SUMIF(Mercado_Receita!$S$2:$S$641,"44531B2ConvencionalRuralServiço público de irrigação ruralNão se aplicaNão se aplicaPonta",Mercado_Receita!$L$2:$L$641)+SUMIF(Mercado_Receita!$S$2:$S$641,"44531B2ConvencionalRuralServiço público de irrigação ruralNão se aplicaNão se aplicaFora ponta",Mercado_Receita!$L$2:$L$641)+SUMIF(Mercado_Receita!$S$2:$S$641,"44531B2ConvencionalRuralServiço público de irrigação ruralNão se aplicaNão se aplicaIntermediário",Mercado_Receita!$L$2:$L$641)+SUMIF(Mercado_Receita!$S$2:$S$641,"44531B2ConvencionalRuralServiço público de irrigação ruralNão se aplicaNão se aplicaNão se aplica",Mercado_Receita!$L$2:$L$641)</f>
        <v>0</v>
      </c>
      <c r="N38" s="13">
        <f>SUMIF(Mercado_Receita!$S$2:$S$641,"44562B2ConvencionalRuralServiço público de irrigação ruralNão se aplicaNão se aplicaPonta",Mercado_Receita!$L$2:$L$641)+SUMIF(Mercado_Receita!$S$2:$S$641,"44562B2ConvencionalRuralServiço público de irrigação ruralNão se aplicaNão se aplicaFora ponta",Mercado_Receita!$L$2:$L$641)+SUMIF(Mercado_Receita!$S$2:$S$641,"44562B2ConvencionalRuralServiço público de irrigação ruralNão se aplicaNão se aplicaIntermediário",Mercado_Receita!$L$2:$L$641)+SUMIF(Mercado_Receita!$S$2:$S$641,"44562B2ConvencionalRuralServiço público de irrigação ruralNão se aplicaNão se aplicaNão se aplica",Mercado_Receita!$L$2:$L$641)</f>
        <v>0</v>
      </c>
      <c r="O38" s="13">
        <f>SUMIF(Mercado_Receita!$S$2:$S$641,"44593B2ConvencionalRuralServiço público de irrigação ruralNão se aplicaNão se aplicaPonta",Mercado_Receita!$L$2:$L$641)+SUMIF(Mercado_Receita!$S$2:$S$641,"44593B2ConvencionalRuralServiço público de irrigação ruralNão se aplicaNão se aplicaFora ponta",Mercado_Receita!$L$2:$L$641)+SUMIF(Mercado_Receita!$S$2:$S$641,"44593B2ConvencionalRuralServiço público de irrigação ruralNão se aplicaNão se aplicaIntermediário",Mercado_Receita!$L$2:$L$641)+SUMIF(Mercado_Receita!$S$2:$S$641,"44593B2ConvencionalRuralServiço público de irrigação ruralNão se aplicaNão se aplicaNão se aplica",Mercado_Receita!$L$2:$L$641)</f>
        <v>0</v>
      </c>
      <c r="P38" s="13">
        <f>SUMIF(Mercado_Receita!$S$2:$S$641,"44621B2ConvencionalRuralServiço público de irrigação ruralNão se aplicaNão se aplicaPonta",Mercado_Receita!$L$2:$L$641)+SUMIF(Mercado_Receita!$S$2:$S$641,"44621B2ConvencionalRuralServiço público de irrigação ruralNão se aplicaNão se aplicaFora ponta",Mercado_Receita!$L$2:$L$641)+SUMIF(Mercado_Receita!$S$2:$S$641,"44621B2ConvencionalRuralServiço público de irrigação ruralNão se aplicaNão se aplicaIntermediário",Mercado_Receita!$L$2:$L$641)+SUMIF(Mercado_Receita!$S$2:$S$641,"44621B2ConvencionalRuralServiço público de irrigação ruralNão se aplicaNão se aplicaNão se aplica",Mercado_Receita!$L$2:$L$641)</f>
        <v>0</v>
      </c>
      <c r="Q38" s="13">
        <f>SUMIF(Mercado_Receita!$S$2:$S$641,"44652B2ConvencionalRuralServiço público de irrigação ruralNão se aplicaNão se aplicaPonta",Mercado_Receita!$L$2:$L$641)+SUMIF(Mercado_Receita!$S$2:$S$641,"44652B2ConvencionalRuralServiço público de irrigação ruralNão se aplicaNão se aplicaFora ponta",Mercado_Receita!$L$2:$L$641)+SUMIF(Mercado_Receita!$S$2:$S$641,"44652B2ConvencionalRuralServiço público de irrigação ruralNão se aplicaNão se aplicaIntermediário",Mercado_Receita!$L$2:$L$641)+SUMIF(Mercado_Receita!$S$2:$S$641,"44652B2ConvencionalRuralServiço público de irrigação ruralNão se aplicaNão se aplicaNão se aplica",Mercado_Receita!$L$2:$L$641)</f>
        <v>0</v>
      </c>
      <c r="R38" s="13">
        <f>SUMIF(Mercado_Receita!$S$2:$S$641,"44682B2ConvencionalRuralServiço público de irrigação ruralNão se aplicaNão se aplicaPonta",Mercado_Receita!$L$2:$L$641)+SUMIF(Mercado_Receita!$S$2:$S$641,"44682B2ConvencionalRuralServiço público de irrigação ruralNão se aplicaNão se aplicaFora ponta",Mercado_Receita!$L$2:$L$641)+SUMIF(Mercado_Receita!$S$2:$S$641,"44682B2ConvencionalRuralServiço público de irrigação ruralNão se aplicaNão se aplicaIntermediário",Mercado_Receita!$L$2:$L$641)+SUMIF(Mercado_Receita!$S$2:$S$641,"44682B2ConvencionalRuralServiço público de irrigação ruralNão se aplicaNão se aplicaNão se aplica",Mercado_Receita!$L$2:$L$641)</f>
        <v>0</v>
      </c>
      <c r="S38" s="13">
        <f>SUMIF(Mercado_Receita!$S$2:$S$641,"44713B2ConvencionalRuralServiço público de irrigação ruralNão se aplicaNão se aplicaPonta",Mercado_Receita!$L$2:$L$641)+SUMIF(Mercado_Receita!$S$2:$S$641,"44713B2ConvencionalRuralServiço público de irrigação ruralNão se aplicaNão se aplicaFora ponta",Mercado_Receita!$L$2:$L$641)+SUMIF(Mercado_Receita!$S$2:$S$641,"44713B2ConvencionalRuralServiço público de irrigação ruralNão se aplicaNão se aplicaIntermediário",Mercado_Receita!$L$2:$L$641)+SUMIF(Mercado_Receita!$S$2:$S$641,"44713B2ConvencionalRuralServiço público de irrigação ruralNão se aplicaNão se aplicaNão se aplica",Mercado_Receita!$L$2:$L$641)</f>
        <v>0</v>
      </c>
      <c r="T38" s="13">
        <f>SUMIF(Mercado_Receita!$S$2:$S$641,"44743B2ConvencionalRuralServiço público de irrigação ruralNão se aplicaNão se aplicaPonta",Mercado_Receita!$L$2:$L$641)+SUMIF(Mercado_Receita!$S$2:$S$641,"44743B2ConvencionalRuralServiço público de irrigação ruralNão se aplicaNão se aplicaFora ponta",Mercado_Receita!$L$2:$L$641)+SUMIF(Mercado_Receita!$S$2:$S$641,"44743B2ConvencionalRuralServiço público de irrigação ruralNão se aplicaNão se aplicaIntermediário",Mercado_Receita!$L$2:$L$641)+SUMIF(Mercado_Receita!$S$2:$S$641,"44743B2ConvencionalRuralServiço público de irrigação ruralNão se aplicaNão se aplicaNão se aplica",Mercado_Receita!$L$2:$L$641)</f>
        <v>0</v>
      </c>
      <c r="U38" s="13">
        <f t="shared" si="0"/>
        <v>0</v>
      </c>
      <c r="V38" s="13"/>
      <c r="W38" s="13"/>
    </row>
    <row r="39" spans="1:23" ht="11.25" customHeight="1" x14ac:dyDescent="0.25">
      <c r="A39" s="131"/>
      <c r="B39" s="130" t="s">
        <v>89</v>
      </c>
      <c r="C39" s="130" t="s">
        <v>42</v>
      </c>
      <c r="D39" s="12" t="s">
        <v>25</v>
      </c>
      <c r="E39" s="12" t="s">
        <v>25</v>
      </c>
      <c r="F39" s="12" t="s">
        <v>25</v>
      </c>
      <c r="G39" s="13" t="s">
        <v>78</v>
      </c>
      <c r="H39" s="13" t="s">
        <v>74</v>
      </c>
      <c r="I39" s="13">
        <f>SUMIF(Mercado_Receita!$S$2:$S$641,"44409B2Convencional pré-pagamentoRuralNão se aplicaNão se aplicaNão se aplicaPonta",Mercado_Receita!$L$2:$L$641)+SUMIF(Mercado_Receita!$S$2:$S$641,"44409B2Convencional pré-pagamentoRuralNão se aplicaNão se aplicaNão se aplicaFora ponta",Mercado_Receita!$L$2:$L$641)+SUMIF(Mercado_Receita!$S$2:$S$641,"44409B2Convencional pré-pagamentoRuralNão se aplicaNão se aplicaNão se aplicaIntermediário",Mercado_Receita!$L$2:$L$641)+SUMIF(Mercado_Receita!$S$2:$S$641,"44409B2Convencional pré-pagamentoRuralNão se aplicaNão se aplicaNão se aplicaNão se aplica",Mercado_Receita!$L$2:$L$641)</f>
        <v>0</v>
      </c>
      <c r="J39" s="13">
        <f>SUMIF(Mercado_Receita!$S$2:$S$641,"44440B2Convencional pré-pagamentoRuralNão se aplicaNão se aplicaNão se aplicaPonta",Mercado_Receita!$L$2:$L$641)+SUMIF(Mercado_Receita!$S$2:$S$641,"44440B2Convencional pré-pagamentoRuralNão se aplicaNão se aplicaNão se aplicaFora ponta",Mercado_Receita!$L$2:$L$641)+SUMIF(Mercado_Receita!$S$2:$S$641,"44440B2Convencional pré-pagamentoRuralNão se aplicaNão se aplicaNão se aplicaIntermediário",Mercado_Receita!$L$2:$L$641)+SUMIF(Mercado_Receita!$S$2:$S$641,"44440B2Convencional pré-pagamentoRuralNão se aplicaNão se aplicaNão se aplicaNão se aplica",Mercado_Receita!$L$2:$L$641)</f>
        <v>0</v>
      </c>
      <c r="K39" s="13">
        <f>SUMIF(Mercado_Receita!$S$2:$S$641,"44470B2Convencional pré-pagamentoRuralNão se aplicaNão se aplicaNão se aplicaPonta",Mercado_Receita!$L$2:$L$641)+SUMIF(Mercado_Receita!$S$2:$S$641,"44470B2Convencional pré-pagamentoRuralNão se aplicaNão se aplicaNão se aplicaFora ponta",Mercado_Receita!$L$2:$L$641)+SUMIF(Mercado_Receita!$S$2:$S$641,"44470B2Convencional pré-pagamentoRuralNão se aplicaNão se aplicaNão se aplicaIntermediário",Mercado_Receita!$L$2:$L$641)+SUMIF(Mercado_Receita!$S$2:$S$641,"44470B2Convencional pré-pagamentoRuralNão se aplicaNão se aplicaNão se aplicaNão se aplica",Mercado_Receita!$L$2:$L$641)</f>
        <v>0</v>
      </c>
      <c r="L39" s="13">
        <f>SUMIF(Mercado_Receita!$S$2:$S$641,"44501B2Convencional pré-pagamentoRuralNão se aplicaNão se aplicaNão se aplicaPonta",Mercado_Receita!$L$2:$L$641)+SUMIF(Mercado_Receita!$S$2:$S$641,"44501B2Convencional pré-pagamentoRuralNão se aplicaNão se aplicaNão se aplicaFora ponta",Mercado_Receita!$L$2:$L$641)+SUMIF(Mercado_Receita!$S$2:$S$641,"44501B2Convencional pré-pagamentoRuralNão se aplicaNão se aplicaNão se aplicaIntermediário",Mercado_Receita!$L$2:$L$641)+SUMIF(Mercado_Receita!$S$2:$S$641,"44501B2Convencional pré-pagamentoRuralNão se aplicaNão se aplicaNão se aplicaNão se aplica",Mercado_Receita!$L$2:$L$641)</f>
        <v>0</v>
      </c>
      <c r="M39" s="13">
        <f>SUMIF(Mercado_Receita!$S$2:$S$641,"44531B2Convencional pré-pagamentoRuralNão se aplicaNão se aplicaNão se aplicaPonta",Mercado_Receita!$L$2:$L$641)+SUMIF(Mercado_Receita!$S$2:$S$641,"44531B2Convencional pré-pagamentoRuralNão se aplicaNão se aplicaNão se aplicaFora ponta",Mercado_Receita!$L$2:$L$641)+SUMIF(Mercado_Receita!$S$2:$S$641,"44531B2Convencional pré-pagamentoRuralNão se aplicaNão se aplicaNão se aplicaIntermediário",Mercado_Receita!$L$2:$L$641)+SUMIF(Mercado_Receita!$S$2:$S$641,"44531B2Convencional pré-pagamentoRuralNão se aplicaNão se aplicaNão se aplicaNão se aplica",Mercado_Receita!$L$2:$L$641)</f>
        <v>0</v>
      </c>
      <c r="N39" s="13">
        <f>SUMIF(Mercado_Receita!$S$2:$S$641,"44562B2Convencional pré-pagamentoRuralNão se aplicaNão se aplicaNão se aplicaPonta",Mercado_Receita!$L$2:$L$641)+SUMIF(Mercado_Receita!$S$2:$S$641,"44562B2Convencional pré-pagamentoRuralNão se aplicaNão se aplicaNão se aplicaFora ponta",Mercado_Receita!$L$2:$L$641)+SUMIF(Mercado_Receita!$S$2:$S$641,"44562B2Convencional pré-pagamentoRuralNão se aplicaNão se aplicaNão se aplicaIntermediário",Mercado_Receita!$L$2:$L$641)+SUMIF(Mercado_Receita!$S$2:$S$641,"44562B2Convencional pré-pagamentoRuralNão se aplicaNão se aplicaNão se aplicaNão se aplica",Mercado_Receita!$L$2:$L$641)</f>
        <v>0</v>
      </c>
      <c r="O39" s="13">
        <f>SUMIF(Mercado_Receita!$S$2:$S$641,"44593B2Convencional pré-pagamentoRuralNão se aplicaNão se aplicaNão se aplicaPonta",Mercado_Receita!$L$2:$L$641)+SUMIF(Mercado_Receita!$S$2:$S$641,"44593B2Convencional pré-pagamentoRuralNão se aplicaNão se aplicaNão se aplicaFora ponta",Mercado_Receita!$L$2:$L$641)+SUMIF(Mercado_Receita!$S$2:$S$641,"44593B2Convencional pré-pagamentoRuralNão se aplicaNão se aplicaNão se aplicaIntermediário",Mercado_Receita!$L$2:$L$641)+SUMIF(Mercado_Receita!$S$2:$S$641,"44593B2Convencional pré-pagamentoRuralNão se aplicaNão se aplicaNão se aplicaNão se aplica",Mercado_Receita!$L$2:$L$641)</f>
        <v>0</v>
      </c>
      <c r="P39" s="13">
        <f>SUMIF(Mercado_Receita!$S$2:$S$641,"44621B2Convencional pré-pagamentoRuralNão se aplicaNão se aplicaNão se aplicaPonta",Mercado_Receita!$L$2:$L$641)+SUMIF(Mercado_Receita!$S$2:$S$641,"44621B2Convencional pré-pagamentoRuralNão se aplicaNão se aplicaNão se aplicaFora ponta",Mercado_Receita!$L$2:$L$641)+SUMIF(Mercado_Receita!$S$2:$S$641,"44621B2Convencional pré-pagamentoRuralNão se aplicaNão se aplicaNão se aplicaIntermediário",Mercado_Receita!$L$2:$L$641)+SUMIF(Mercado_Receita!$S$2:$S$641,"44621B2Convencional pré-pagamentoRuralNão se aplicaNão se aplicaNão se aplicaNão se aplica",Mercado_Receita!$L$2:$L$641)</f>
        <v>0</v>
      </c>
      <c r="Q39" s="13">
        <f>SUMIF(Mercado_Receita!$S$2:$S$641,"44652B2Convencional pré-pagamentoRuralNão se aplicaNão se aplicaNão se aplicaPonta",Mercado_Receita!$L$2:$L$641)+SUMIF(Mercado_Receita!$S$2:$S$641,"44652B2Convencional pré-pagamentoRuralNão se aplicaNão se aplicaNão se aplicaFora ponta",Mercado_Receita!$L$2:$L$641)+SUMIF(Mercado_Receita!$S$2:$S$641,"44652B2Convencional pré-pagamentoRuralNão se aplicaNão se aplicaNão se aplicaIntermediário",Mercado_Receita!$L$2:$L$641)+SUMIF(Mercado_Receita!$S$2:$S$641,"44652B2Convencional pré-pagamentoRuralNão se aplicaNão se aplicaNão se aplicaNão se aplica",Mercado_Receita!$L$2:$L$641)</f>
        <v>0</v>
      </c>
      <c r="R39" s="13">
        <f>SUMIF(Mercado_Receita!$S$2:$S$641,"44682B2Convencional pré-pagamentoRuralNão se aplicaNão se aplicaNão se aplicaPonta",Mercado_Receita!$L$2:$L$641)+SUMIF(Mercado_Receita!$S$2:$S$641,"44682B2Convencional pré-pagamentoRuralNão se aplicaNão se aplicaNão se aplicaFora ponta",Mercado_Receita!$L$2:$L$641)+SUMIF(Mercado_Receita!$S$2:$S$641,"44682B2Convencional pré-pagamentoRuralNão se aplicaNão se aplicaNão se aplicaIntermediário",Mercado_Receita!$L$2:$L$641)+SUMIF(Mercado_Receita!$S$2:$S$641,"44682B2Convencional pré-pagamentoRuralNão se aplicaNão se aplicaNão se aplicaNão se aplica",Mercado_Receita!$L$2:$L$641)</f>
        <v>0</v>
      </c>
      <c r="S39" s="13">
        <f>SUMIF(Mercado_Receita!$S$2:$S$641,"44713B2Convencional pré-pagamentoRuralNão se aplicaNão se aplicaNão se aplicaPonta",Mercado_Receita!$L$2:$L$641)+SUMIF(Mercado_Receita!$S$2:$S$641,"44713B2Convencional pré-pagamentoRuralNão se aplicaNão se aplicaNão se aplicaFora ponta",Mercado_Receita!$L$2:$L$641)+SUMIF(Mercado_Receita!$S$2:$S$641,"44713B2Convencional pré-pagamentoRuralNão se aplicaNão se aplicaNão se aplicaIntermediário",Mercado_Receita!$L$2:$L$641)+SUMIF(Mercado_Receita!$S$2:$S$641,"44713B2Convencional pré-pagamentoRuralNão se aplicaNão se aplicaNão se aplicaNão se aplica",Mercado_Receita!$L$2:$L$641)</f>
        <v>0</v>
      </c>
      <c r="T39" s="13">
        <f>SUMIF(Mercado_Receita!$S$2:$S$641,"44743B2Convencional pré-pagamentoRuralNão se aplicaNão se aplicaNão se aplicaPonta",Mercado_Receita!$L$2:$L$641)+SUMIF(Mercado_Receita!$S$2:$S$641,"44743B2Convencional pré-pagamentoRuralNão se aplicaNão se aplicaNão se aplicaFora ponta",Mercado_Receita!$L$2:$L$641)+SUMIF(Mercado_Receita!$S$2:$S$641,"44743B2Convencional pré-pagamentoRuralNão se aplicaNão se aplicaNão se aplicaIntermediário",Mercado_Receita!$L$2:$L$641)+SUMIF(Mercado_Receita!$S$2:$S$641,"44743B2Convencional pré-pagamentoRuralNão se aplicaNão se aplicaNão se aplicaNão se aplica",Mercado_Receita!$L$2:$L$641)</f>
        <v>0</v>
      </c>
      <c r="U39" s="13">
        <f t="shared" si="0"/>
        <v>0</v>
      </c>
      <c r="V39" s="13"/>
      <c r="W39" s="13"/>
    </row>
    <row r="40" spans="1:23" ht="11.25" customHeight="1" x14ac:dyDescent="0.25">
      <c r="A40" s="131"/>
      <c r="B40" s="131"/>
      <c r="C40" s="131"/>
      <c r="D40" s="12" t="s">
        <v>90</v>
      </c>
      <c r="E40" s="12" t="s">
        <v>25</v>
      </c>
      <c r="F40" s="12" t="s">
        <v>25</v>
      </c>
      <c r="G40" s="13" t="s">
        <v>78</v>
      </c>
      <c r="H40" s="13" t="s">
        <v>74</v>
      </c>
      <c r="I40" s="13">
        <f>SUMIF(Mercado_Receita!$S$2:$S$641,"44409B2Convencional pré-pagamentoRuralCooperativa de eletrificação ruralNão se aplicaNão se aplicaPonta",Mercado_Receita!$L$2:$L$641)+SUMIF(Mercado_Receita!$S$2:$S$641,"44409B2Convencional pré-pagamentoRuralCooperativa de eletrificação ruralNão se aplicaNão se aplicaFora ponta",Mercado_Receita!$L$2:$L$641)+SUMIF(Mercado_Receita!$S$2:$S$641,"44409B2Convencional pré-pagamentoRuralCooperativa de eletrificação ruralNão se aplicaNão se aplicaIntermediário",Mercado_Receita!$L$2:$L$641)+SUMIF(Mercado_Receita!$S$2:$S$641,"44409B2Convencional pré-pagamentoRuralCooperativa de eletrificação ruralNão se aplicaNão se aplicaNão se aplica",Mercado_Receita!$L$2:$L$641)</f>
        <v>0</v>
      </c>
      <c r="J40" s="13">
        <f>SUMIF(Mercado_Receita!$S$2:$S$641,"44440B2Convencional pré-pagamentoRuralCooperativa de eletrificação ruralNão se aplicaNão se aplicaPonta",Mercado_Receita!$L$2:$L$641)+SUMIF(Mercado_Receita!$S$2:$S$641,"44440B2Convencional pré-pagamentoRuralCooperativa de eletrificação ruralNão se aplicaNão se aplicaFora ponta",Mercado_Receita!$L$2:$L$641)+SUMIF(Mercado_Receita!$S$2:$S$641,"44440B2Convencional pré-pagamentoRuralCooperativa de eletrificação ruralNão se aplicaNão se aplicaIntermediário",Mercado_Receita!$L$2:$L$641)+SUMIF(Mercado_Receita!$S$2:$S$641,"44440B2Convencional pré-pagamentoRuralCooperativa de eletrificação ruralNão se aplicaNão se aplicaNão se aplica",Mercado_Receita!$L$2:$L$641)</f>
        <v>0</v>
      </c>
      <c r="K40" s="13">
        <f>SUMIF(Mercado_Receita!$S$2:$S$641,"44470B2Convencional pré-pagamentoRuralCooperativa de eletrificação ruralNão se aplicaNão se aplicaPonta",Mercado_Receita!$L$2:$L$641)+SUMIF(Mercado_Receita!$S$2:$S$641,"44470B2Convencional pré-pagamentoRuralCooperativa de eletrificação ruralNão se aplicaNão se aplicaFora ponta",Mercado_Receita!$L$2:$L$641)+SUMIF(Mercado_Receita!$S$2:$S$641,"44470B2Convencional pré-pagamentoRuralCooperativa de eletrificação ruralNão se aplicaNão se aplicaIntermediário",Mercado_Receita!$L$2:$L$641)+SUMIF(Mercado_Receita!$S$2:$S$641,"44470B2Convencional pré-pagamentoRuralCooperativa de eletrificação ruralNão se aplicaNão se aplicaNão se aplica",Mercado_Receita!$L$2:$L$641)</f>
        <v>0</v>
      </c>
      <c r="L40" s="13">
        <f>SUMIF(Mercado_Receita!$S$2:$S$641,"44501B2Convencional pré-pagamentoRuralCooperativa de eletrificação ruralNão se aplicaNão se aplicaPonta",Mercado_Receita!$L$2:$L$641)+SUMIF(Mercado_Receita!$S$2:$S$641,"44501B2Convencional pré-pagamentoRuralCooperativa de eletrificação ruralNão se aplicaNão se aplicaFora ponta",Mercado_Receita!$L$2:$L$641)+SUMIF(Mercado_Receita!$S$2:$S$641,"44501B2Convencional pré-pagamentoRuralCooperativa de eletrificação ruralNão se aplicaNão se aplicaIntermediário",Mercado_Receita!$L$2:$L$641)+SUMIF(Mercado_Receita!$S$2:$S$641,"44501B2Convencional pré-pagamentoRuralCooperativa de eletrificação ruralNão se aplicaNão se aplicaNão se aplica",Mercado_Receita!$L$2:$L$641)</f>
        <v>0</v>
      </c>
      <c r="M40" s="13">
        <f>SUMIF(Mercado_Receita!$S$2:$S$641,"44531B2Convencional pré-pagamentoRuralCooperativa de eletrificação ruralNão se aplicaNão se aplicaPonta",Mercado_Receita!$L$2:$L$641)+SUMIF(Mercado_Receita!$S$2:$S$641,"44531B2Convencional pré-pagamentoRuralCooperativa de eletrificação ruralNão se aplicaNão se aplicaFora ponta",Mercado_Receita!$L$2:$L$641)+SUMIF(Mercado_Receita!$S$2:$S$641,"44531B2Convencional pré-pagamentoRuralCooperativa de eletrificação ruralNão se aplicaNão se aplicaIntermediário",Mercado_Receita!$L$2:$L$641)+SUMIF(Mercado_Receita!$S$2:$S$641,"44531B2Convencional pré-pagamentoRuralCooperativa de eletrificação ruralNão se aplicaNão se aplicaNão se aplica",Mercado_Receita!$L$2:$L$641)</f>
        <v>0</v>
      </c>
      <c r="N40" s="13">
        <f>SUMIF(Mercado_Receita!$S$2:$S$641,"44562B2Convencional pré-pagamentoRuralCooperativa de eletrificação ruralNão se aplicaNão se aplicaPonta",Mercado_Receita!$L$2:$L$641)+SUMIF(Mercado_Receita!$S$2:$S$641,"44562B2Convencional pré-pagamentoRuralCooperativa de eletrificação ruralNão se aplicaNão se aplicaFora ponta",Mercado_Receita!$L$2:$L$641)+SUMIF(Mercado_Receita!$S$2:$S$641,"44562B2Convencional pré-pagamentoRuralCooperativa de eletrificação ruralNão se aplicaNão se aplicaIntermediário",Mercado_Receita!$L$2:$L$641)+SUMIF(Mercado_Receita!$S$2:$S$641,"44562B2Convencional pré-pagamentoRuralCooperativa de eletrificação ruralNão se aplicaNão se aplicaNão se aplica",Mercado_Receita!$L$2:$L$641)</f>
        <v>0</v>
      </c>
      <c r="O40" s="13">
        <f>SUMIF(Mercado_Receita!$S$2:$S$641,"44593B2Convencional pré-pagamentoRuralCooperativa de eletrificação ruralNão se aplicaNão se aplicaPonta",Mercado_Receita!$L$2:$L$641)+SUMIF(Mercado_Receita!$S$2:$S$641,"44593B2Convencional pré-pagamentoRuralCooperativa de eletrificação ruralNão se aplicaNão se aplicaFora ponta",Mercado_Receita!$L$2:$L$641)+SUMIF(Mercado_Receita!$S$2:$S$641,"44593B2Convencional pré-pagamentoRuralCooperativa de eletrificação ruralNão se aplicaNão se aplicaIntermediário",Mercado_Receita!$L$2:$L$641)+SUMIF(Mercado_Receita!$S$2:$S$641,"44593B2Convencional pré-pagamentoRuralCooperativa de eletrificação ruralNão se aplicaNão se aplicaNão se aplica",Mercado_Receita!$L$2:$L$641)</f>
        <v>0</v>
      </c>
      <c r="P40" s="13">
        <f>SUMIF(Mercado_Receita!$S$2:$S$641,"44621B2Convencional pré-pagamentoRuralCooperativa de eletrificação ruralNão se aplicaNão se aplicaPonta",Mercado_Receita!$L$2:$L$641)+SUMIF(Mercado_Receita!$S$2:$S$641,"44621B2Convencional pré-pagamentoRuralCooperativa de eletrificação ruralNão se aplicaNão se aplicaFora ponta",Mercado_Receita!$L$2:$L$641)+SUMIF(Mercado_Receita!$S$2:$S$641,"44621B2Convencional pré-pagamentoRuralCooperativa de eletrificação ruralNão se aplicaNão se aplicaIntermediário",Mercado_Receita!$L$2:$L$641)+SUMIF(Mercado_Receita!$S$2:$S$641,"44621B2Convencional pré-pagamentoRuralCooperativa de eletrificação ruralNão se aplicaNão se aplicaNão se aplica",Mercado_Receita!$L$2:$L$641)</f>
        <v>0</v>
      </c>
      <c r="Q40" s="13">
        <f>SUMIF(Mercado_Receita!$S$2:$S$641,"44652B2Convencional pré-pagamentoRuralCooperativa de eletrificação ruralNão se aplicaNão se aplicaPonta",Mercado_Receita!$L$2:$L$641)+SUMIF(Mercado_Receita!$S$2:$S$641,"44652B2Convencional pré-pagamentoRuralCooperativa de eletrificação ruralNão se aplicaNão se aplicaFora ponta",Mercado_Receita!$L$2:$L$641)+SUMIF(Mercado_Receita!$S$2:$S$641,"44652B2Convencional pré-pagamentoRuralCooperativa de eletrificação ruralNão se aplicaNão se aplicaIntermediário",Mercado_Receita!$L$2:$L$641)+SUMIF(Mercado_Receita!$S$2:$S$641,"44652B2Convencional pré-pagamentoRuralCooperativa de eletrificação ruralNão se aplicaNão se aplicaNão se aplica",Mercado_Receita!$L$2:$L$641)</f>
        <v>0</v>
      </c>
      <c r="R40" s="13">
        <f>SUMIF(Mercado_Receita!$S$2:$S$641,"44682B2Convencional pré-pagamentoRuralCooperativa de eletrificação ruralNão se aplicaNão se aplicaPonta",Mercado_Receita!$L$2:$L$641)+SUMIF(Mercado_Receita!$S$2:$S$641,"44682B2Convencional pré-pagamentoRuralCooperativa de eletrificação ruralNão se aplicaNão se aplicaFora ponta",Mercado_Receita!$L$2:$L$641)+SUMIF(Mercado_Receita!$S$2:$S$641,"44682B2Convencional pré-pagamentoRuralCooperativa de eletrificação ruralNão se aplicaNão se aplicaIntermediário",Mercado_Receita!$L$2:$L$641)+SUMIF(Mercado_Receita!$S$2:$S$641,"44682B2Convencional pré-pagamentoRuralCooperativa de eletrificação ruralNão se aplicaNão se aplicaNão se aplica",Mercado_Receita!$L$2:$L$641)</f>
        <v>0</v>
      </c>
      <c r="S40" s="13">
        <f>SUMIF(Mercado_Receita!$S$2:$S$641,"44713B2Convencional pré-pagamentoRuralCooperativa de eletrificação ruralNão se aplicaNão se aplicaPonta",Mercado_Receita!$L$2:$L$641)+SUMIF(Mercado_Receita!$S$2:$S$641,"44713B2Convencional pré-pagamentoRuralCooperativa de eletrificação ruralNão se aplicaNão se aplicaFora ponta",Mercado_Receita!$L$2:$L$641)+SUMIF(Mercado_Receita!$S$2:$S$641,"44713B2Convencional pré-pagamentoRuralCooperativa de eletrificação ruralNão se aplicaNão se aplicaIntermediário",Mercado_Receita!$L$2:$L$641)+SUMIF(Mercado_Receita!$S$2:$S$641,"44713B2Convencional pré-pagamentoRuralCooperativa de eletrificação ruralNão se aplicaNão se aplicaNão se aplica",Mercado_Receita!$L$2:$L$641)</f>
        <v>0</v>
      </c>
      <c r="T40" s="13">
        <f>SUMIF(Mercado_Receita!$S$2:$S$641,"44743B2Convencional pré-pagamentoRuralCooperativa de eletrificação ruralNão se aplicaNão se aplicaPonta",Mercado_Receita!$L$2:$L$641)+SUMIF(Mercado_Receita!$S$2:$S$641,"44743B2Convencional pré-pagamentoRuralCooperativa de eletrificação ruralNão se aplicaNão se aplicaFora ponta",Mercado_Receita!$L$2:$L$641)+SUMIF(Mercado_Receita!$S$2:$S$641,"44743B2Convencional pré-pagamentoRuralCooperativa de eletrificação ruralNão se aplicaNão se aplicaIntermediário",Mercado_Receita!$L$2:$L$641)+SUMIF(Mercado_Receita!$S$2:$S$641,"44743B2Convencional pré-pagamentoRuralCooperativa de eletrificação ruralNão se aplicaNão se aplicaNão se aplica",Mercado_Receita!$L$2:$L$641)</f>
        <v>0</v>
      </c>
      <c r="U40" s="13">
        <f t="shared" si="0"/>
        <v>0</v>
      </c>
      <c r="V40" s="13"/>
      <c r="W40" s="13"/>
    </row>
    <row r="41" spans="1:23" ht="11.25" customHeight="1" x14ac:dyDescent="0.25">
      <c r="A41" s="131"/>
      <c r="B41" s="131"/>
      <c r="C41" s="131"/>
      <c r="D41" s="12" t="s">
        <v>91</v>
      </c>
      <c r="E41" s="12" t="s">
        <v>25</v>
      </c>
      <c r="F41" s="12" t="s">
        <v>25</v>
      </c>
      <c r="G41" s="13" t="s">
        <v>78</v>
      </c>
      <c r="H41" s="13" t="s">
        <v>74</v>
      </c>
      <c r="I41" s="13">
        <f>SUMIF(Mercado_Receita!$S$2:$S$641,"44409B2Convencional pré-pagamentoRuralServiço público de irrigação ruralNão se aplicaNão se aplicaPonta",Mercado_Receita!$L$2:$L$641)+SUMIF(Mercado_Receita!$S$2:$S$641,"44409B2Convencional pré-pagamentoRuralServiço público de irrigação ruralNão se aplicaNão se aplicaFora ponta",Mercado_Receita!$L$2:$L$641)+SUMIF(Mercado_Receita!$S$2:$S$641,"44409B2Convencional pré-pagamentoRuralServiço público de irrigação ruralNão se aplicaNão se aplicaIntermediário",Mercado_Receita!$L$2:$L$641)+SUMIF(Mercado_Receita!$S$2:$S$641,"44409B2Convencional pré-pagamentoRuralServiço público de irrigação ruralNão se aplicaNão se aplicaNão se aplica",Mercado_Receita!$L$2:$L$641)</f>
        <v>0</v>
      </c>
      <c r="J41" s="13">
        <f>SUMIF(Mercado_Receita!$S$2:$S$641,"44440B2Convencional pré-pagamentoRuralServiço público de irrigação ruralNão se aplicaNão se aplicaPonta",Mercado_Receita!$L$2:$L$641)+SUMIF(Mercado_Receita!$S$2:$S$641,"44440B2Convencional pré-pagamentoRuralServiço público de irrigação ruralNão se aplicaNão se aplicaFora ponta",Mercado_Receita!$L$2:$L$641)+SUMIF(Mercado_Receita!$S$2:$S$641,"44440B2Convencional pré-pagamentoRuralServiço público de irrigação ruralNão se aplicaNão se aplicaIntermediário",Mercado_Receita!$L$2:$L$641)+SUMIF(Mercado_Receita!$S$2:$S$641,"44440B2Convencional pré-pagamentoRuralServiço público de irrigação ruralNão se aplicaNão se aplicaNão se aplica",Mercado_Receita!$L$2:$L$641)</f>
        <v>0</v>
      </c>
      <c r="K41" s="13">
        <f>SUMIF(Mercado_Receita!$S$2:$S$641,"44470B2Convencional pré-pagamentoRuralServiço público de irrigação ruralNão se aplicaNão se aplicaPonta",Mercado_Receita!$L$2:$L$641)+SUMIF(Mercado_Receita!$S$2:$S$641,"44470B2Convencional pré-pagamentoRuralServiço público de irrigação ruralNão se aplicaNão se aplicaFora ponta",Mercado_Receita!$L$2:$L$641)+SUMIF(Mercado_Receita!$S$2:$S$641,"44470B2Convencional pré-pagamentoRuralServiço público de irrigação ruralNão se aplicaNão se aplicaIntermediário",Mercado_Receita!$L$2:$L$641)+SUMIF(Mercado_Receita!$S$2:$S$641,"44470B2Convencional pré-pagamentoRuralServiço público de irrigação ruralNão se aplicaNão se aplicaNão se aplica",Mercado_Receita!$L$2:$L$641)</f>
        <v>0</v>
      </c>
      <c r="L41" s="13">
        <f>SUMIF(Mercado_Receita!$S$2:$S$641,"44501B2Convencional pré-pagamentoRuralServiço público de irrigação ruralNão se aplicaNão se aplicaPonta",Mercado_Receita!$L$2:$L$641)+SUMIF(Mercado_Receita!$S$2:$S$641,"44501B2Convencional pré-pagamentoRuralServiço público de irrigação ruralNão se aplicaNão se aplicaFora ponta",Mercado_Receita!$L$2:$L$641)+SUMIF(Mercado_Receita!$S$2:$S$641,"44501B2Convencional pré-pagamentoRuralServiço público de irrigação ruralNão se aplicaNão se aplicaIntermediário",Mercado_Receita!$L$2:$L$641)+SUMIF(Mercado_Receita!$S$2:$S$641,"44501B2Convencional pré-pagamentoRuralServiço público de irrigação ruralNão se aplicaNão se aplicaNão se aplica",Mercado_Receita!$L$2:$L$641)</f>
        <v>0</v>
      </c>
      <c r="M41" s="13">
        <f>SUMIF(Mercado_Receita!$S$2:$S$641,"44531B2Convencional pré-pagamentoRuralServiço público de irrigação ruralNão se aplicaNão se aplicaPonta",Mercado_Receita!$L$2:$L$641)+SUMIF(Mercado_Receita!$S$2:$S$641,"44531B2Convencional pré-pagamentoRuralServiço público de irrigação ruralNão se aplicaNão se aplicaFora ponta",Mercado_Receita!$L$2:$L$641)+SUMIF(Mercado_Receita!$S$2:$S$641,"44531B2Convencional pré-pagamentoRuralServiço público de irrigação ruralNão se aplicaNão se aplicaIntermediário",Mercado_Receita!$L$2:$L$641)+SUMIF(Mercado_Receita!$S$2:$S$641,"44531B2Convencional pré-pagamentoRuralServiço público de irrigação ruralNão se aplicaNão se aplicaNão se aplica",Mercado_Receita!$L$2:$L$641)</f>
        <v>0</v>
      </c>
      <c r="N41" s="13">
        <f>SUMIF(Mercado_Receita!$S$2:$S$641,"44562B2Convencional pré-pagamentoRuralServiço público de irrigação ruralNão se aplicaNão se aplicaPonta",Mercado_Receita!$L$2:$L$641)+SUMIF(Mercado_Receita!$S$2:$S$641,"44562B2Convencional pré-pagamentoRuralServiço público de irrigação ruralNão se aplicaNão se aplicaFora ponta",Mercado_Receita!$L$2:$L$641)+SUMIF(Mercado_Receita!$S$2:$S$641,"44562B2Convencional pré-pagamentoRuralServiço público de irrigação ruralNão se aplicaNão se aplicaIntermediário",Mercado_Receita!$L$2:$L$641)+SUMIF(Mercado_Receita!$S$2:$S$641,"44562B2Convencional pré-pagamentoRuralServiço público de irrigação ruralNão se aplicaNão se aplicaNão se aplica",Mercado_Receita!$L$2:$L$641)</f>
        <v>0</v>
      </c>
      <c r="O41" s="13">
        <f>SUMIF(Mercado_Receita!$S$2:$S$641,"44593B2Convencional pré-pagamentoRuralServiço público de irrigação ruralNão se aplicaNão se aplicaPonta",Mercado_Receita!$L$2:$L$641)+SUMIF(Mercado_Receita!$S$2:$S$641,"44593B2Convencional pré-pagamentoRuralServiço público de irrigação ruralNão se aplicaNão se aplicaFora ponta",Mercado_Receita!$L$2:$L$641)+SUMIF(Mercado_Receita!$S$2:$S$641,"44593B2Convencional pré-pagamentoRuralServiço público de irrigação ruralNão se aplicaNão se aplicaIntermediário",Mercado_Receita!$L$2:$L$641)+SUMIF(Mercado_Receita!$S$2:$S$641,"44593B2Convencional pré-pagamentoRuralServiço público de irrigação ruralNão se aplicaNão se aplicaNão se aplica",Mercado_Receita!$L$2:$L$641)</f>
        <v>0</v>
      </c>
      <c r="P41" s="13">
        <f>SUMIF(Mercado_Receita!$S$2:$S$641,"44621B2Convencional pré-pagamentoRuralServiço público de irrigação ruralNão se aplicaNão se aplicaPonta",Mercado_Receita!$L$2:$L$641)+SUMIF(Mercado_Receita!$S$2:$S$641,"44621B2Convencional pré-pagamentoRuralServiço público de irrigação ruralNão se aplicaNão se aplicaFora ponta",Mercado_Receita!$L$2:$L$641)+SUMIF(Mercado_Receita!$S$2:$S$641,"44621B2Convencional pré-pagamentoRuralServiço público de irrigação ruralNão se aplicaNão se aplicaIntermediário",Mercado_Receita!$L$2:$L$641)+SUMIF(Mercado_Receita!$S$2:$S$641,"44621B2Convencional pré-pagamentoRuralServiço público de irrigação ruralNão se aplicaNão se aplicaNão se aplica",Mercado_Receita!$L$2:$L$641)</f>
        <v>0</v>
      </c>
      <c r="Q41" s="13">
        <f>SUMIF(Mercado_Receita!$S$2:$S$641,"44652B2Convencional pré-pagamentoRuralServiço público de irrigação ruralNão se aplicaNão se aplicaPonta",Mercado_Receita!$L$2:$L$641)+SUMIF(Mercado_Receita!$S$2:$S$641,"44652B2Convencional pré-pagamentoRuralServiço público de irrigação ruralNão se aplicaNão se aplicaFora ponta",Mercado_Receita!$L$2:$L$641)+SUMIF(Mercado_Receita!$S$2:$S$641,"44652B2Convencional pré-pagamentoRuralServiço público de irrigação ruralNão se aplicaNão se aplicaIntermediário",Mercado_Receita!$L$2:$L$641)+SUMIF(Mercado_Receita!$S$2:$S$641,"44652B2Convencional pré-pagamentoRuralServiço público de irrigação ruralNão se aplicaNão se aplicaNão se aplica",Mercado_Receita!$L$2:$L$641)</f>
        <v>0</v>
      </c>
      <c r="R41" s="13">
        <f>SUMIF(Mercado_Receita!$S$2:$S$641,"44682B2Convencional pré-pagamentoRuralServiço público de irrigação ruralNão se aplicaNão se aplicaPonta",Mercado_Receita!$L$2:$L$641)+SUMIF(Mercado_Receita!$S$2:$S$641,"44682B2Convencional pré-pagamentoRuralServiço público de irrigação ruralNão se aplicaNão se aplicaFora ponta",Mercado_Receita!$L$2:$L$641)+SUMIF(Mercado_Receita!$S$2:$S$641,"44682B2Convencional pré-pagamentoRuralServiço público de irrigação ruralNão se aplicaNão se aplicaIntermediário",Mercado_Receita!$L$2:$L$641)+SUMIF(Mercado_Receita!$S$2:$S$641,"44682B2Convencional pré-pagamentoRuralServiço público de irrigação ruralNão se aplicaNão se aplicaNão se aplica",Mercado_Receita!$L$2:$L$641)</f>
        <v>0</v>
      </c>
      <c r="S41" s="13">
        <f>SUMIF(Mercado_Receita!$S$2:$S$641,"44713B2Convencional pré-pagamentoRuralServiço público de irrigação ruralNão se aplicaNão se aplicaPonta",Mercado_Receita!$L$2:$L$641)+SUMIF(Mercado_Receita!$S$2:$S$641,"44713B2Convencional pré-pagamentoRuralServiço público de irrigação ruralNão se aplicaNão se aplicaFora ponta",Mercado_Receita!$L$2:$L$641)+SUMIF(Mercado_Receita!$S$2:$S$641,"44713B2Convencional pré-pagamentoRuralServiço público de irrigação ruralNão se aplicaNão se aplicaIntermediário",Mercado_Receita!$L$2:$L$641)+SUMIF(Mercado_Receita!$S$2:$S$641,"44713B2Convencional pré-pagamentoRuralServiço público de irrigação ruralNão se aplicaNão se aplicaNão se aplica",Mercado_Receita!$L$2:$L$641)</f>
        <v>0</v>
      </c>
      <c r="T41" s="13">
        <f>SUMIF(Mercado_Receita!$S$2:$S$641,"44743B2Convencional pré-pagamentoRuralServiço público de irrigação ruralNão se aplicaNão se aplicaPonta",Mercado_Receita!$L$2:$L$641)+SUMIF(Mercado_Receita!$S$2:$S$641,"44743B2Convencional pré-pagamentoRuralServiço público de irrigação ruralNão se aplicaNão se aplicaFora ponta",Mercado_Receita!$L$2:$L$641)+SUMIF(Mercado_Receita!$S$2:$S$641,"44743B2Convencional pré-pagamentoRuralServiço público de irrigação ruralNão se aplicaNão se aplicaIntermediário",Mercado_Receita!$L$2:$L$641)+SUMIF(Mercado_Receita!$S$2:$S$641,"44743B2Convencional pré-pagamentoRuralServiço público de irrigação ruralNão se aplicaNão se aplicaNão se aplica",Mercado_Receita!$L$2:$L$641)</f>
        <v>0</v>
      </c>
      <c r="U41" s="13">
        <f t="shared" si="0"/>
        <v>0</v>
      </c>
      <c r="V41" s="13"/>
      <c r="W41" s="13"/>
    </row>
    <row r="42" spans="1:23" ht="11.25" customHeight="1" x14ac:dyDescent="0.25">
      <c r="A42" s="130" t="s">
        <v>33</v>
      </c>
      <c r="B42" s="130" t="s">
        <v>50</v>
      </c>
      <c r="C42" s="130" t="s">
        <v>25</v>
      </c>
      <c r="D42" s="130" t="s">
        <v>25</v>
      </c>
      <c r="E42" s="130" t="s">
        <v>25</v>
      </c>
      <c r="F42" s="130" t="s">
        <v>25</v>
      </c>
      <c r="G42" s="13" t="s">
        <v>75</v>
      </c>
      <c r="H42" s="13" t="s">
        <v>74</v>
      </c>
      <c r="I42" s="13">
        <f>SUMIF(Mercado_Receita!$S$2:$S$641,"44409B3BrancaNão se aplicaNão se aplicaNão se aplicaNão se aplicaPonta",Mercado_Receita!$L$2:$L$641)</f>
        <v>7.0999999999999994E-2</v>
      </c>
      <c r="J42" s="13">
        <f>SUMIF(Mercado_Receita!$S$2:$S$641,"44440B3BrancaNão se aplicaNão se aplicaNão se aplicaNão se aplicaPonta",Mercado_Receita!$L$2:$L$641)</f>
        <v>8.5999999999999993E-2</v>
      </c>
      <c r="K42" s="13">
        <f>SUMIF(Mercado_Receita!$S$2:$S$641,"44470B3BrancaNão se aplicaNão se aplicaNão se aplicaNão se aplicaPonta",Mercado_Receita!$L$2:$L$641)</f>
        <v>8.7999999999999995E-2</v>
      </c>
      <c r="L42" s="13">
        <f>SUMIF(Mercado_Receita!$S$2:$S$641,"44501B3BrancaNão se aplicaNão se aplicaNão se aplicaNão se aplicaPonta",Mercado_Receita!$L$2:$L$641)</f>
        <v>6.4000000000000001E-2</v>
      </c>
      <c r="M42" s="13">
        <f>SUMIF(Mercado_Receita!$S$2:$S$641,"44531B3BrancaNão se aplicaNão se aplicaNão se aplicaNão se aplicaPonta",Mercado_Receita!$L$2:$L$641)</f>
        <v>7.1999999999999995E-2</v>
      </c>
      <c r="N42" s="13">
        <f>SUMIF(Mercado_Receita!$S$2:$S$641,"44562B3BrancaNão se aplicaNão se aplicaNão se aplicaNão se aplicaPonta",Mercado_Receita!$L$2:$L$641)</f>
        <v>0.13500000000000001</v>
      </c>
      <c r="O42" s="13">
        <f>SUMIF(Mercado_Receita!$S$2:$S$641,"44593B3BrancaNão se aplicaNão se aplicaNão se aplicaNão se aplicaPonta",Mercado_Receita!$L$2:$L$641)</f>
        <v>0.107</v>
      </c>
      <c r="P42" s="13">
        <f>SUMIF(Mercado_Receita!$S$2:$S$641,"44621B3BrancaNão se aplicaNão se aplicaNão se aplicaNão se aplicaPonta",Mercado_Receita!$L$2:$L$641)</f>
        <v>0.122</v>
      </c>
      <c r="Q42" s="13">
        <f>SUMIF(Mercado_Receita!$S$2:$S$641,"44652B3BrancaNão se aplicaNão se aplicaNão se aplicaNão se aplicaPonta",Mercado_Receita!$L$2:$L$641)</f>
        <v>0.14899999999999999</v>
      </c>
      <c r="R42" s="13">
        <f>SUMIF(Mercado_Receita!$S$2:$S$641,"44682B3BrancaNão se aplicaNão se aplicaNão se aplicaNão se aplicaPonta",Mercado_Receita!$L$2:$L$641)</f>
        <v>9.1999999999999998E-2</v>
      </c>
      <c r="S42" s="13">
        <f>SUMIF(Mercado_Receita!$S$2:$S$641,"44713B3BrancaNão se aplicaNão se aplicaNão se aplicaNão se aplicaPonta",Mercado_Receita!$L$2:$L$641)</f>
        <v>7.6999999999999999E-2</v>
      </c>
      <c r="T42" s="13">
        <f>SUMIF(Mercado_Receita!$S$2:$S$641,"44743B3BrancaNão se aplicaNão se aplicaNão se aplicaNão se aplicaPonta",Mercado_Receita!$L$2:$L$641)</f>
        <v>7.6999999999999999E-2</v>
      </c>
      <c r="U42" s="13">
        <f t="shared" si="0"/>
        <v>1.1399999999999999</v>
      </c>
      <c r="V42" s="13"/>
      <c r="W42" s="13"/>
    </row>
    <row r="43" spans="1:23" ht="11.25" customHeight="1" x14ac:dyDescent="0.25">
      <c r="A43" s="131"/>
      <c r="B43" s="131"/>
      <c r="C43" s="131"/>
      <c r="D43" s="131"/>
      <c r="E43" s="131"/>
      <c r="F43" s="131"/>
      <c r="G43" s="13" t="s">
        <v>87</v>
      </c>
      <c r="H43" s="13" t="s">
        <v>74</v>
      </c>
      <c r="I43" s="13">
        <f>SUMIF(Mercado_Receita!$S$2:$S$641,"44409B3BrancaNão se aplicaNão se aplicaNão se aplicaNão se aplicaIntermediário",Mercado_Receita!$L$2:$L$641)</f>
        <v>8.7999999999999995E-2</v>
      </c>
      <c r="J43" s="13">
        <f>SUMIF(Mercado_Receita!$S$2:$S$641,"44440B3BrancaNão se aplicaNão se aplicaNão se aplicaNão se aplicaIntermediário",Mercado_Receita!$L$2:$L$641)</f>
        <v>0.10100000000000001</v>
      </c>
      <c r="K43" s="13">
        <f>SUMIF(Mercado_Receita!$S$2:$S$641,"44470B3BrancaNão se aplicaNão se aplicaNão se aplicaNão se aplicaIntermediário",Mercado_Receita!$L$2:$L$641)</f>
        <v>9.0999999999999998E-2</v>
      </c>
      <c r="L43" s="13">
        <f>SUMIF(Mercado_Receita!$S$2:$S$641,"44501B3BrancaNão se aplicaNão se aplicaNão se aplicaNão se aplicaIntermediário",Mercado_Receita!$L$2:$L$641)</f>
        <v>9.8000000000000004E-2</v>
      </c>
      <c r="M43" s="13">
        <f>SUMIF(Mercado_Receita!$S$2:$S$641,"44531B3BrancaNão se aplicaNão se aplicaNão se aplicaNão se aplicaIntermediário",Mercado_Receita!$L$2:$L$641)</f>
        <v>0.107</v>
      </c>
      <c r="N43" s="13">
        <f>SUMIF(Mercado_Receita!$S$2:$S$641,"44562B3BrancaNão se aplicaNão se aplicaNão se aplicaNão se aplicaIntermediário",Mercado_Receita!$L$2:$L$641)</f>
        <v>0.161</v>
      </c>
      <c r="O43" s="13">
        <f>SUMIF(Mercado_Receita!$S$2:$S$641,"44593B3BrancaNão se aplicaNão se aplicaNão se aplicaNão se aplicaIntermediário",Mercado_Receita!$L$2:$L$641)</f>
        <v>0.22700000000000001</v>
      </c>
      <c r="P43" s="13">
        <f>SUMIF(Mercado_Receita!$S$2:$S$641,"44621B3BrancaNão se aplicaNão se aplicaNão se aplicaNão se aplicaIntermediário",Mercado_Receita!$L$2:$L$641)</f>
        <v>0.17899999999999999</v>
      </c>
      <c r="Q43" s="13">
        <f>SUMIF(Mercado_Receita!$S$2:$S$641,"44652B3BrancaNão se aplicaNão se aplicaNão se aplicaNão se aplicaIntermediário",Mercado_Receita!$L$2:$L$641)</f>
        <v>0.19</v>
      </c>
      <c r="R43" s="13">
        <f>SUMIF(Mercado_Receita!$S$2:$S$641,"44682B3BrancaNão se aplicaNão se aplicaNão se aplicaNão se aplicaIntermediário",Mercado_Receita!$L$2:$L$641)</f>
        <v>0.11600000000000001</v>
      </c>
      <c r="S43" s="13">
        <f>SUMIF(Mercado_Receita!$S$2:$S$641,"44713B3BrancaNão se aplicaNão se aplicaNão se aplicaNão se aplicaIntermediário",Mercado_Receita!$L$2:$L$641)</f>
        <v>8.7999999999999995E-2</v>
      </c>
      <c r="T43" s="13">
        <f>SUMIF(Mercado_Receita!$S$2:$S$641,"44743B3BrancaNão se aplicaNão se aplicaNão se aplicaNão se aplicaIntermediário",Mercado_Receita!$L$2:$L$641)</f>
        <v>8.7999999999999995E-2</v>
      </c>
      <c r="U43" s="13">
        <f t="shared" si="0"/>
        <v>1.5340000000000003</v>
      </c>
      <c r="V43" s="13"/>
      <c r="W43" s="13"/>
    </row>
    <row r="44" spans="1:23" ht="11.25" customHeight="1" x14ac:dyDescent="0.25">
      <c r="A44" s="131"/>
      <c r="B44" s="131"/>
      <c r="C44" s="131"/>
      <c r="D44" s="131"/>
      <c r="E44" s="131"/>
      <c r="F44" s="131"/>
      <c r="G44" s="13" t="s">
        <v>76</v>
      </c>
      <c r="H44" s="13" t="s">
        <v>74</v>
      </c>
      <c r="I44" s="13">
        <f>SUMIF(Mercado_Receita!$S$2:$S$641,"44409B3BrancaNão se aplicaNão se aplicaNão se aplicaNão se aplicaFora ponta",Mercado_Receita!$L$2:$L$641)</f>
        <v>1.34</v>
      </c>
      <c r="J44" s="13">
        <f>SUMIF(Mercado_Receita!$S$2:$S$641,"44440B3BrancaNão se aplicaNão se aplicaNão se aplicaNão se aplicaFora ponta",Mercado_Receita!$L$2:$L$641)</f>
        <v>1.484</v>
      </c>
      <c r="K44" s="13">
        <f>SUMIF(Mercado_Receita!$S$2:$S$641,"44470B3BrancaNão se aplicaNão se aplicaNão se aplicaNão se aplicaFora ponta",Mercado_Receita!$L$2:$L$641)</f>
        <v>1.3839999999999999</v>
      </c>
      <c r="L44" s="13">
        <f>SUMIF(Mercado_Receita!$S$2:$S$641,"44501B3BrancaNão se aplicaNão se aplicaNão se aplicaNão se aplicaFora ponta",Mercado_Receita!$L$2:$L$641)</f>
        <v>1.597</v>
      </c>
      <c r="M44" s="13">
        <f>SUMIF(Mercado_Receita!$S$2:$S$641,"44531B3BrancaNão se aplicaNão se aplicaNão se aplicaNão se aplicaFora ponta",Mercado_Receita!$L$2:$L$641)</f>
        <v>2.2639999999999998</v>
      </c>
      <c r="N44" s="13">
        <f>SUMIF(Mercado_Receita!$S$2:$S$641,"44562B3BrancaNão se aplicaNão se aplicaNão se aplicaNão se aplicaFora ponta",Mercado_Receita!$L$2:$L$641)</f>
        <v>3.24</v>
      </c>
      <c r="O44" s="13">
        <f>SUMIF(Mercado_Receita!$S$2:$S$641,"44593B3BrancaNão se aplicaNão se aplicaNão se aplicaNão se aplicaFora ponta",Mercado_Receita!$L$2:$L$641)</f>
        <v>4.7839999999999998</v>
      </c>
      <c r="P44" s="13">
        <f>SUMIF(Mercado_Receita!$S$2:$S$641,"44621B3BrancaNão se aplicaNão se aplicaNão se aplicaNão se aplicaFora ponta",Mercado_Receita!$L$2:$L$641)</f>
        <v>3.4209999999999998</v>
      </c>
      <c r="Q44" s="13">
        <f>SUMIF(Mercado_Receita!$S$2:$S$641,"44652B3BrancaNão se aplicaNão se aplicaNão se aplicaNão se aplicaFora ponta",Mercado_Receita!$L$2:$L$641)</f>
        <v>3.141</v>
      </c>
      <c r="R44" s="13">
        <f>SUMIF(Mercado_Receita!$S$2:$S$641,"44682B3BrancaNão se aplicaNão se aplicaNão se aplicaNão se aplicaFora ponta",Mercado_Receita!$L$2:$L$641)</f>
        <v>1.8620000000000001</v>
      </c>
      <c r="S44" s="13">
        <f>SUMIF(Mercado_Receita!$S$2:$S$641,"44713B3BrancaNão se aplicaNão se aplicaNão se aplicaNão se aplicaFora ponta",Mercado_Receita!$L$2:$L$641)</f>
        <v>1.3380000000000001</v>
      </c>
      <c r="T44" s="13">
        <f>SUMIF(Mercado_Receita!$S$2:$S$641,"44743B3BrancaNão se aplicaNão se aplicaNão se aplicaNão se aplicaFora ponta",Mercado_Receita!$L$2:$L$641)</f>
        <v>1.3380000000000001</v>
      </c>
      <c r="U44" s="13">
        <f t="shared" si="0"/>
        <v>27.193000000000005</v>
      </c>
      <c r="V44" s="13"/>
      <c r="W44" s="13"/>
    </row>
    <row r="45" spans="1:23" ht="11.25" customHeight="1" x14ac:dyDescent="0.25">
      <c r="A45" s="131"/>
      <c r="B45" s="12" t="s">
        <v>23</v>
      </c>
      <c r="C45" s="12" t="s">
        <v>25</v>
      </c>
      <c r="D45" s="12" t="s">
        <v>25</v>
      </c>
      <c r="E45" s="12" t="s">
        <v>25</v>
      </c>
      <c r="F45" s="12" t="s">
        <v>25</v>
      </c>
      <c r="G45" s="13" t="s">
        <v>78</v>
      </c>
      <c r="H45" s="13" t="s">
        <v>74</v>
      </c>
      <c r="I45" s="13">
        <f>SUMIF(Mercado_Receita!$S$2:$S$641,"44409B3ConvencionalNão se aplicaNão se aplicaNão se aplicaNão se aplicaPonta",Mercado_Receita!$L$2:$L$641)+SUMIF(Mercado_Receita!$S$2:$S$641,"44409B3ConvencionalNão se aplicaNão se aplicaNão se aplicaNão se aplicaFora ponta",Mercado_Receita!$L$2:$L$641)+SUMIF(Mercado_Receita!$S$2:$S$641,"44409B3ConvencionalNão se aplicaNão se aplicaNão se aplicaNão se aplicaIntermediário",Mercado_Receita!$L$2:$L$641)+SUMIF(Mercado_Receita!$S$2:$S$641,"44409B3ConvencionalNão se aplicaNão se aplicaNão se aplicaNão se aplicaNão se aplica",Mercado_Receita!$L$2:$L$641)</f>
        <v>1961.5500000000002</v>
      </c>
      <c r="J45" s="13">
        <f>SUMIF(Mercado_Receita!$S$2:$S$641,"44440B3ConvencionalNão se aplicaNão se aplicaNão se aplicaNão se aplicaPonta",Mercado_Receita!$L$2:$L$641)+SUMIF(Mercado_Receita!$S$2:$S$641,"44440B3ConvencionalNão se aplicaNão se aplicaNão se aplicaNão se aplicaFora ponta",Mercado_Receita!$L$2:$L$641)+SUMIF(Mercado_Receita!$S$2:$S$641,"44440B3ConvencionalNão se aplicaNão se aplicaNão se aplicaNão se aplicaIntermediário",Mercado_Receita!$L$2:$L$641)+SUMIF(Mercado_Receita!$S$2:$S$641,"44440B3ConvencionalNão se aplicaNão se aplicaNão se aplicaNão se aplicaNão se aplica",Mercado_Receita!$L$2:$L$641)</f>
        <v>2193.1709999999998</v>
      </c>
      <c r="K45" s="13">
        <f>SUMIF(Mercado_Receita!$S$2:$S$641,"44470B3ConvencionalNão se aplicaNão se aplicaNão se aplicaNão se aplicaPonta",Mercado_Receita!$L$2:$L$641)+SUMIF(Mercado_Receita!$S$2:$S$641,"44470B3ConvencionalNão se aplicaNão se aplicaNão se aplicaNão se aplicaFora ponta",Mercado_Receita!$L$2:$L$641)+SUMIF(Mercado_Receita!$S$2:$S$641,"44470B3ConvencionalNão se aplicaNão se aplicaNão se aplicaNão se aplicaIntermediário",Mercado_Receita!$L$2:$L$641)+SUMIF(Mercado_Receita!$S$2:$S$641,"44470B3ConvencionalNão se aplicaNão se aplicaNão se aplicaNão se aplicaNão se aplica",Mercado_Receita!$L$2:$L$641)</f>
        <v>2067.174</v>
      </c>
      <c r="L45" s="13">
        <f>SUMIF(Mercado_Receita!$S$2:$S$641,"44501B3ConvencionalNão se aplicaNão se aplicaNão se aplicaNão se aplicaPonta",Mercado_Receita!$L$2:$L$641)+SUMIF(Mercado_Receita!$S$2:$S$641,"44501B3ConvencionalNão se aplicaNão se aplicaNão se aplicaNão se aplicaFora ponta",Mercado_Receita!$L$2:$L$641)+SUMIF(Mercado_Receita!$S$2:$S$641,"44501B3ConvencionalNão se aplicaNão se aplicaNão se aplicaNão se aplicaIntermediário",Mercado_Receita!$L$2:$L$641)+SUMIF(Mercado_Receita!$S$2:$S$641,"44501B3ConvencionalNão se aplicaNão se aplicaNão se aplicaNão se aplicaNão se aplica",Mercado_Receita!$L$2:$L$641)</f>
        <v>2452.7669999999998</v>
      </c>
      <c r="M45" s="13">
        <f>SUMIF(Mercado_Receita!$S$2:$S$641,"44531B3ConvencionalNão se aplicaNão se aplicaNão se aplicaNão se aplicaPonta",Mercado_Receita!$L$2:$L$641)+SUMIF(Mercado_Receita!$S$2:$S$641,"44531B3ConvencionalNão se aplicaNão se aplicaNão se aplicaNão se aplicaFora ponta",Mercado_Receita!$L$2:$L$641)+SUMIF(Mercado_Receita!$S$2:$S$641,"44531B3ConvencionalNão se aplicaNão se aplicaNão se aplicaNão se aplicaIntermediário",Mercado_Receita!$L$2:$L$641)+SUMIF(Mercado_Receita!$S$2:$S$641,"44531B3ConvencionalNão se aplicaNão se aplicaNão se aplicaNão se aplicaNão se aplica",Mercado_Receita!$L$2:$L$641)</f>
        <v>2461.8060000000005</v>
      </c>
      <c r="N45" s="13">
        <f>SUMIF(Mercado_Receita!$S$2:$S$641,"44562B3ConvencionalNão se aplicaNão se aplicaNão se aplicaNão se aplicaPonta",Mercado_Receita!$L$2:$L$641)+SUMIF(Mercado_Receita!$S$2:$S$641,"44562B3ConvencionalNão se aplicaNão se aplicaNão se aplicaNão se aplicaFora ponta",Mercado_Receita!$L$2:$L$641)+SUMIF(Mercado_Receita!$S$2:$S$641,"44562B3ConvencionalNão se aplicaNão se aplicaNão se aplicaNão se aplicaIntermediário",Mercado_Receita!$L$2:$L$641)+SUMIF(Mercado_Receita!$S$2:$S$641,"44562B3ConvencionalNão se aplicaNão se aplicaNão se aplicaNão se aplicaNão se aplica",Mercado_Receita!$L$2:$L$641)</f>
        <v>2897.855</v>
      </c>
      <c r="O45" s="13">
        <f>SUMIF(Mercado_Receita!$S$2:$S$641,"44593B3ConvencionalNão se aplicaNão se aplicaNão se aplicaNão se aplicaPonta",Mercado_Receita!$L$2:$L$641)+SUMIF(Mercado_Receita!$S$2:$S$641,"44593B3ConvencionalNão se aplicaNão se aplicaNão se aplicaNão se aplicaFora ponta",Mercado_Receita!$L$2:$L$641)+SUMIF(Mercado_Receita!$S$2:$S$641,"44593B3ConvencionalNão se aplicaNão se aplicaNão se aplicaNão se aplicaIntermediário",Mercado_Receita!$L$2:$L$641)+SUMIF(Mercado_Receita!$S$2:$S$641,"44593B3ConvencionalNão se aplicaNão se aplicaNão se aplicaNão se aplicaNão se aplica",Mercado_Receita!$L$2:$L$641)</f>
        <v>3057.2740000000003</v>
      </c>
      <c r="P45" s="13">
        <f>SUMIF(Mercado_Receita!$S$2:$S$641,"44621B3ConvencionalNão se aplicaNão se aplicaNão se aplicaNão se aplicaPonta",Mercado_Receita!$L$2:$L$641)+SUMIF(Mercado_Receita!$S$2:$S$641,"44621B3ConvencionalNão se aplicaNão se aplicaNão se aplicaNão se aplicaFora ponta",Mercado_Receita!$L$2:$L$641)+SUMIF(Mercado_Receita!$S$2:$S$641,"44621B3ConvencionalNão se aplicaNão se aplicaNão se aplicaNão se aplicaIntermediário",Mercado_Receita!$L$2:$L$641)+SUMIF(Mercado_Receita!$S$2:$S$641,"44621B3ConvencionalNão se aplicaNão se aplicaNão se aplicaNão se aplicaNão se aplica",Mercado_Receita!$L$2:$L$641)</f>
        <v>2943.9319999999993</v>
      </c>
      <c r="Q45" s="13">
        <f>SUMIF(Mercado_Receita!$S$2:$S$641,"44652B3ConvencionalNão se aplicaNão se aplicaNão se aplicaNão se aplicaPonta",Mercado_Receita!$L$2:$L$641)+SUMIF(Mercado_Receita!$S$2:$S$641,"44652B3ConvencionalNão se aplicaNão se aplicaNão se aplicaNão se aplicaFora ponta",Mercado_Receita!$L$2:$L$641)+SUMIF(Mercado_Receita!$S$2:$S$641,"44652B3ConvencionalNão se aplicaNão se aplicaNão se aplicaNão se aplicaIntermediário",Mercado_Receita!$L$2:$L$641)+SUMIF(Mercado_Receita!$S$2:$S$641,"44652B3ConvencionalNão se aplicaNão se aplicaNão se aplicaNão se aplicaNão se aplica",Mercado_Receita!$L$2:$L$641)</f>
        <v>2657.9250000000002</v>
      </c>
      <c r="R45" s="13">
        <f>SUMIF(Mercado_Receita!$S$2:$S$641,"44682B3ConvencionalNão se aplicaNão se aplicaNão se aplicaNão se aplicaPonta",Mercado_Receita!$L$2:$L$641)+SUMIF(Mercado_Receita!$S$2:$S$641,"44682B3ConvencionalNão se aplicaNão se aplicaNão se aplicaNão se aplicaFora ponta",Mercado_Receita!$L$2:$L$641)+SUMIF(Mercado_Receita!$S$2:$S$641,"44682B3ConvencionalNão se aplicaNão se aplicaNão se aplicaNão se aplicaIntermediário",Mercado_Receita!$L$2:$L$641)+SUMIF(Mercado_Receita!$S$2:$S$641,"44682B3ConvencionalNão se aplicaNão se aplicaNão se aplicaNão se aplicaNão se aplica",Mercado_Receita!$L$2:$L$641)</f>
        <v>2279.1910000000003</v>
      </c>
      <c r="S45" s="13">
        <f>SUMIF(Mercado_Receita!$S$2:$S$641,"44713B3ConvencionalNão se aplicaNão se aplicaNão se aplicaNão se aplicaPonta",Mercado_Receita!$L$2:$L$641)+SUMIF(Mercado_Receita!$S$2:$S$641,"44713B3ConvencionalNão se aplicaNão se aplicaNão se aplicaNão se aplicaFora ponta",Mercado_Receita!$L$2:$L$641)+SUMIF(Mercado_Receita!$S$2:$S$641,"44713B3ConvencionalNão se aplicaNão se aplicaNão se aplicaNão se aplicaIntermediário",Mercado_Receita!$L$2:$L$641)+SUMIF(Mercado_Receita!$S$2:$S$641,"44713B3ConvencionalNão se aplicaNão se aplicaNão se aplicaNão se aplicaNão se aplica",Mercado_Receita!$L$2:$L$641)</f>
        <v>2104.0549999999998</v>
      </c>
      <c r="T45" s="13">
        <f>SUMIF(Mercado_Receita!$S$2:$S$641,"44743B3ConvencionalNão se aplicaNão se aplicaNão se aplicaNão se aplicaPonta",Mercado_Receita!$L$2:$L$641)+SUMIF(Mercado_Receita!$S$2:$S$641,"44743B3ConvencionalNão se aplicaNão se aplicaNão se aplicaNão se aplicaFora ponta",Mercado_Receita!$L$2:$L$641)+SUMIF(Mercado_Receita!$S$2:$S$641,"44743B3ConvencionalNão se aplicaNão se aplicaNão se aplicaNão se aplicaIntermediário",Mercado_Receita!$L$2:$L$641)+SUMIF(Mercado_Receita!$S$2:$S$641,"44743B3ConvencionalNão se aplicaNão se aplicaNão se aplicaNão se aplicaNão se aplica",Mercado_Receita!$L$2:$L$641)</f>
        <v>2104.0549999999998</v>
      </c>
      <c r="U45" s="13">
        <f t="shared" si="0"/>
        <v>29180.755000000001</v>
      </c>
      <c r="V45" s="13"/>
      <c r="W45" s="13"/>
    </row>
    <row r="46" spans="1:23" ht="11.25" customHeight="1" x14ac:dyDescent="0.25">
      <c r="A46" s="131"/>
      <c r="B46" s="12" t="s">
        <v>89</v>
      </c>
      <c r="C46" s="12" t="s">
        <v>25</v>
      </c>
      <c r="D46" s="12" t="s">
        <v>25</v>
      </c>
      <c r="E46" s="12" t="s">
        <v>25</v>
      </c>
      <c r="F46" s="12" t="s">
        <v>25</v>
      </c>
      <c r="G46" s="13" t="s">
        <v>78</v>
      </c>
      <c r="H46" s="13" t="s">
        <v>74</v>
      </c>
      <c r="I46" s="13">
        <f>SUMIF(Mercado_Receita!$S$2:$S$641,"44409B3Convencional pré-pagamentoNão se aplicaNão se aplicaNão se aplicaNão se aplicaPonta",Mercado_Receita!$L$2:$L$641)+SUMIF(Mercado_Receita!$S$2:$S$641,"44409B3Convencional pré-pagamentoNão se aplicaNão se aplicaNão se aplicaNão se aplicaFora ponta",Mercado_Receita!$L$2:$L$641)+SUMIF(Mercado_Receita!$S$2:$S$641,"44409B3Convencional pré-pagamentoNão se aplicaNão se aplicaNão se aplicaNão se aplicaIntermediário",Mercado_Receita!$L$2:$L$641)+SUMIF(Mercado_Receita!$S$2:$S$641,"44409B3Convencional pré-pagamentoNão se aplicaNão se aplicaNão se aplicaNão se aplicaNão se aplica",Mercado_Receita!$L$2:$L$641)</f>
        <v>0</v>
      </c>
      <c r="J46" s="13">
        <f>SUMIF(Mercado_Receita!$S$2:$S$641,"44440B3Convencional pré-pagamentoNão se aplicaNão se aplicaNão se aplicaNão se aplicaPonta",Mercado_Receita!$L$2:$L$641)+SUMIF(Mercado_Receita!$S$2:$S$641,"44440B3Convencional pré-pagamentoNão se aplicaNão se aplicaNão se aplicaNão se aplicaFora ponta",Mercado_Receita!$L$2:$L$641)+SUMIF(Mercado_Receita!$S$2:$S$641,"44440B3Convencional pré-pagamentoNão se aplicaNão se aplicaNão se aplicaNão se aplicaIntermediário",Mercado_Receita!$L$2:$L$641)+SUMIF(Mercado_Receita!$S$2:$S$641,"44440B3Convencional pré-pagamentoNão se aplicaNão se aplicaNão se aplicaNão se aplicaNão se aplica",Mercado_Receita!$L$2:$L$641)</f>
        <v>0</v>
      </c>
      <c r="K46" s="13">
        <f>SUMIF(Mercado_Receita!$S$2:$S$641,"44470B3Convencional pré-pagamentoNão se aplicaNão se aplicaNão se aplicaNão se aplicaPonta",Mercado_Receita!$L$2:$L$641)+SUMIF(Mercado_Receita!$S$2:$S$641,"44470B3Convencional pré-pagamentoNão se aplicaNão se aplicaNão se aplicaNão se aplicaFora ponta",Mercado_Receita!$L$2:$L$641)+SUMIF(Mercado_Receita!$S$2:$S$641,"44470B3Convencional pré-pagamentoNão se aplicaNão se aplicaNão se aplicaNão se aplicaIntermediário",Mercado_Receita!$L$2:$L$641)+SUMIF(Mercado_Receita!$S$2:$S$641,"44470B3Convencional pré-pagamentoNão se aplicaNão se aplicaNão se aplicaNão se aplicaNão se aplica",Mercado_Receita!$L$2:$L$641)</f>
        <v>0</v>
      </c>
      <c r="L46" s="13">
        <f>SUMIF(Mercado_Receita!$S$2:$S$641,"44501B3Convencional pré-pagamentoNão se aplicaNão se aplicaNão se aplicaNão se aplicaPonta",Mercado_Receita!$L$2:$L$641)+SUMIF(Mercado_Receita!$S$2:$S$641,"44501B3Convencional pré-pagamentoNão se aplicaNão se aplicaNão se aplicaNão se aplicaFora ponta",Mercado_Receita!$L$2:$L$641)+SUMIF(Mercado_Receita!$S$2:$S$641,"44501B3Convencional pré-pagamentoNão se aplicaNão se aplicaNão se aplicaNão se aplicaIntermediário",Mercado_Receita!$L$2:$L$641)+SUMIF(Mercado_Receita!$S$2:$S$641,"44501B3Convencional pré-pagamentoNão se aplicaNão se aplicaNão se aplicaNão se aplicaNão se aplica",Mercado_Receita!$L$2:$L$641)</f>
        <v>0</v>
      </c>
      <c r="M46" s="13">
        <f>SUMIF(Mercado_Receita!$S$2:$S$641,"44531B3Convencional pré-pagamentoNão se aplicaNão se aplicaNão se aplicaNão se aplicaPonta",Mercado_Receita!$L$2:$L$641)+SUMIF(Mercado_Receita!$S$2:$S$641,"44531B3Convencional pré-pagamentoNão se aplicaNão se aplicaNão se aplicaNão se aplicaFora ponta",Mercado_Receita!$L$2:$L$641)+SUMIF(Mercado_Receita!$S$2:$S$641,"44531B3Convencional pré-pagamentoNão se aplicaNão se aplicaNão se aplicaNão se aplicaIntermediário",Mercado_Receita!$L$2:$L$641)+SUMIF(Mercado_Receita!$S$2:$S$641,"44531B3Convencional pré-pagamentoNão se aplicaNão se aplicaNão se aplicaNão se aplicaNão se aplica",Mercado_Receita!$L$2:$L$641)</f>
        <v>0</v>
      </c>
      <c r="N46" s="13">
        <f>SUMIF(Mercado_Receita!$S$2:$S$641,"44562B3Convencional pré-pagamentoNão se aplicaNão se aplicaNão se aplicaNão se aplicaPonta",Mercado_Receita!$L$2:$L$641)+SUMIF(Mercado_Receita!$S$2:$S$641,"44562B3Convencional pré-pagamentoNão se aplicaNão se aplicaNão se aplicaNão se aplicaFora ponta",Mercado_Receita!$L$2:$L$641)+SUMIF(Mercado_Receita!$S$2:$S$641,"44562B3Convencional pré-pagamentoNão se aplicaNão se aplicaNão se aplicaNão se aplicaIntermediário",Mercado_Receita!$L$2:$L$641)+SUMIF(Mercado_Receita!$S$2:$S$641,"44562B3Convencional pré-pagamentoNão se aplicaNão se aplicaNão se aplicaNão se aplicaNão se aplica",Mercado_Receita!$L$2:$L$641)</f>
        <v>0</v>
      </c>
      <c r="O46" s="13">
        <f>SUMIF(Mercado_Receita!$S$2:$S$641,"44593B3Convencional pré-pagamentoNão se aplicaNão se aplicaNão se aplicaNão se aplicaPonta",Mercado_Receita!$L$2:$L$641)+SUMIF(Mercado_Receita!$S$2:$S$641,"44593B3Convencional pré-pagamentoNão se aplicaNão se aplicaNão se aplicaNão se aplicaFora ponta",Mercado_Receita!$L$2:$L$641)+SUMIF(Mercado_Receita!$S$2:$S$641,"44593B3Convencional pré-pagamentoNão se aplicaNão se aplicaNão se aplicaNão se aplicaIntermediário",Mercado_Receita!$L$2:$L$641)+SUMIF(Mercado_Receita!$S$2:$S$641,"44593B3Convencional pré-pagamentoNão se aplicaNão se aplicaNão se aplicaNão se aplicaNão se aplica",Mercado_Receita!$L$2:$L$641)</f>
        <v>0</v>
      </c>
      <c r="P46" s="13">
        <f>SUMIF(Mercado_Receita!$S$2:$S$641,"44621B3Convencional pré-pagamentoNão se aplicaNão se aplicaNão se aplicaNão se aplicaPonta",Mercado_Receita!$L$2:$L$641)+SUMIF(Mercado_Receita!$S$2:$S$641,"44621B3Convencional pré-pagamentoNão se aplicaNão se aplicaNão se aplicaNão se aplicaFora ponta",Mercado_Receita!$L$2:$L$641)+SUMIF(Mercado_Receita!$S$2:$S$641,"44621B3Convencional pré-pagamentoNão se aplicaNão se aplicaNão se aplicaNão se aplicaIntermediário",Mercado_Receita!$L$2:$L$641)+SUMIF(Mercado_Receita!$S$2:$S$641,"44621B3Convencional pré-pagamentoNão se aplicaNão se aplicaNão se aplicaNão se aplicaNão se aplica",Mercado_Receita!$L$2:$L$641)</f>
        <v>0</v>
      </c>
      <c r="Q46" s="13">
        <f>SUMIF(Mercado_Receita!$S$2:$S$641,"44652B3Convencional pré-pagamentoNão se aplicaNão se aplicaNão se aplicaNão se aplicaPonta",Mercado_Receita!$L$2:$L$641)+SUMIF(Mercado_Receita!$S$2:$S$641,"44652B3Convencional pré-pagamentoNão se aplicaNão se aplicaNão se aplicaNão se aplicaFora ponta",Mercado_Receita!$L$2:$L$641)+SUMIF(Mercado_Receita!$S$2:$S$641,"44652B3Convencional pré-pagamentoNão se aplicaNão se aplicaNão se aplicaNão se aplicaIntermediário",Mercado_Receita!$L$2:$L$641)+SUMIF(Mercado_Receita!$S$2:$S$641,"44652B3Convencional pré-pagamentoNão se aplicaNão se aplicaNão se aplicaNão se aplicaNão se aplica",Mercado_Receita!$L$2:$L$641)</f>
        <v>0</v>
      </c>
      <c r="R46" s="13">
        <f>SUMIF(Mercado_Receita!$S$2:$S$641,"44682B3Convencional pré-pagamentoNão se aplicaNão se aplicaNão se aplicaNão se aplicaPonta",Mercado_Receita!$L$2:$L$641)+SUMIF(Mercado_Receita!$S$2:$S$641,"44682B3Convencional pré-pagamentoNão se aplicaNão se aplicaNão se aplicaNão se aplicaFora ponta",Mercado_Receita!$L$2:$L$641)+SUMIF(Mercado_Receita!$S$2:$S$641,"44682B3Convencional pré-pagamentoNão se aplicaNão se aplicaNão se aplicaNão se aplicaIntermediário",Mercado_Receita!$L$2:$L$641)+SUMIF(Mercado_Receita!$S$2:$S$641,"44682B3Convencional pré-pagamentoNão se aplicaNão se aplicaNão se aplicaNão se aplicaNão se aplica",Mercado_Receita!$L$2:$L$641)</f>
        <v>0</v>
      </c>
      <c r="S46" s="13">
        <f>SUMIF(Mercado_Receita!$S$2:$S$641,"44713B3Convencional pré-pagamentoNão se aplicaNão se aplicaNão se aplicaNão se aplicaPonta",Mercado_Receita!$L$2:$L$641)+SUMIF(Mercado_Receita!$S$2:$S$641,"44713B3Convencional pré-pagamentoNão se aplicaNão se aplicaNão se aplicaNão se aplicaFora ponta",Mercado_Receita!$L$2:$L$641)+SUMIF(Mercado_Receita!$S$2:$S$641,"44713B3Convencional pré-pagamentoNão se aplicaNão se aplicaNão se aplicaNão se aplicaIntermediário",Mercado_Receita!$L$2:$L$641)+SUMIF(Mercado_Receita!$S$2:$S$641,"44713B3Convencional pré-pagamentoNão se aplicaNão se aplicaNão se aplicaNão se aplicaNão se aplica",Mercado_Receita!$L$2:$L$641)</f>
        <v>0</v>
      </c>
      <c r="T46" s="13">
        <f>SUMIF(Mercado_Receita!$S$2:$S$641,"44743B3Convencional pré-pagamentoNão se aplicaNão se aplicaNão se aplicaNão se aplicaPonta",Mercado_Receita!$L$2:$L$641)+SUMIF(Mercado_Receita!$S$2:$S$641,"44743B3Convencional pré-pagamentoNão se aplicaNão se aplicaNão se aplicaNão se aplicaFora ponta",Mercado_Receita!$L$2:$L$641)+SUMIF(Mercado_Receita!$S$2:$S$641,"44743B3Convencional pré-pagamentoNão se aplicaNão se aplicaNão se aplicaNão se aplicaIntermediário",Mercado_Receita!$L$2:$L$641)+SUMIF(Mercado_Receita!$S$2:$S$641,"44743B3Convencional pré-pagamentoNão se aplicaNão se aplicaNão se aplicaNão se aplicaNão se aplica",Mercado_Receita!$L$2:$L$641)</f>
        <v>0</v>
      </c>
      <c r="U46" s="13">
        <f t="shared" si="0"/>
        <v>0</v>
      </c>
      <c r="V46" s="13"/>
      <c r="W46" s="13"/>
    </row>
    <row r="47" spans="1:23" ht="11.25" customHeight="1" x14ac:dyDescent="0.25">
      <c r="A47" s="130" t="s">
        <v>44</v>
      </c>
      <c r="B47" s="130" t="s">
        <v>23</v>
      </c>
      <c r="C47" s="130" t="s">
        <v>45</v>
      </c>
      <c r="D47" s="12" t="s">
        <v>46</v>
      </c>
      <c r="E47" s="12" t="s">
        <v>25</v>
      </c>
      <c r="F47" s="12" t="s">
        <v>25</v>
      </c>
      <c r="G47" s="13" t="s">
        <v>78</v>
      </c>
      <c r="H47" s="13" t="s">
        <v>74</v>
      </c>
      <c r="I47" s="13">
        <f>SUMIF(Mercado_Receita!$S$2:$S$641,"44409B4ConvencionalIluminação públicaIluminação pública – B4aNão se aplicaNão se aplicaPonta",Mercado_Receita!$L$2:$L$641)+SUMIF(Mercado_Receita!$S$2:$S$641,"44409B4ConvencionalIluminação públicaIluminação pública – B4aNão se aplicaNão se aplicaFora ponta",Mercado_Receita!$L$2:$L$641)+SUMIF(Mercado_Receita!$S$2:$S$641,"44409B4ConvencionalIluminação públicaIluminação pública – B4aNão se aplicaNão se aplicaIntermediário",Mercado_Receita!$L$2:$L$641)+SUMIF(Mercado_Receita!$S$2:$S$641,"44409B4ConvencionalIluminação públicaIluminação pública – B4aNão se aplicaNão se aplicaNão se aplica",Mercado_Receita!$L$2:$L$641)</f>
        <v>1112.021</v>
      </c>
      <c r="J47" s="13">
        <f>SUMIF(Mercado_Receita!$S$2:$S$641,"44440B4ConvencionalIluminação públicaIluminação pública – B4aNão se aplicaNão se aplicaPonta",Mercado_Receita!$L$2:$L$641)+SUMIF(Mercado_Receita!$S$2:$S$641,"44440B4ConvencionalIluminação públicaIluminação pública – B4aNão se aplicaNão se aplicaFora ponta",Mercado_Receita!$L$2:$L$641)+SUMIF(Mercado_Receita!$S$2:$S$641,"44440B4ConvencionalIluminação públicaIluminação pública – B4aNão se aplicaNão se aplicaIntermediário",Mercado_Receita!$L$2:$L$641)+SUMIF(Mercado_Receita!$S$2:$S$641,"44440B4ConvencionalIluminação públicaIluminação pública – B4aNão se aplicaNão se aplicaNão se aplica",Mercado_Receita!$L$2:$L$641)</f>
        <v>1013.975</v>
      </c>
      <c r="K47" s="13">
        <f>SUMIF(Mercado_Receita!$S$2:$S$641,"44470B4ConvencionalIluminação públicaIluminação pública – B4aNão se aplicaNão se aplicaPonta",Mercado_Receita!$L$2:$L$641)+SUMIF(Mercado_Receita!$S$2:$S$641,"44470B4ConvencionalIluminação públicaIluminação pública – B4aNão se aplicaNão se aplicaFora ponta",Mercado_Receita!$L$2:$L$641)+SUMIF(Mercado_Receita!$S$2:$S$641,"44470B4ConvencionalIluminação públicaIluminação pública – B4aNão se aplicaNão se aplicaIntermediário",Mercado_Receita!$L$2:$L$641)+SUMIF(Mercado_Receita!$S$2:$S$641,"44470B4ConvencionalIluminação públicaIluminação pública – B4aNão se aplicaNão se aplicaNão se aplica",Mercado_Receita!$L$2:$L$641)</f>
        <v>964.84100000000001</v>
      </c>
      <c r="L47" s="13">
        <f>SUMIF(Mercado_Receita!$S$2:$S$641,"44501B4ConvencionalIluminação públicaIluminação pública – B4aNão se aplicaNão se aplicaPonta",Mercado_Receita!$L$2:$L$641)+SUMIF(Mercado_Receita!$S$2:$S$641,"44501B4ConvencionalIluminação públicaIluminação pública – B4aNão se aplicaNão se aplicaFora ponta",Mercado_Receita!$L$2:$L$641)+SUMIF(Mercado_Receita!$S$2:$S$641,"44501B4ConvencionalIluminação públicaIluminação pública – B4aNão se aplicaNão se aplicaIntermediário",Mercado_Receita!$L$2:$L$641)+SUMIF(Mercado_Receita!$S$2:$S$641,"44501B4ConvencionalIluminação públicaIluminação pública – B4aNão se aplicaNão se aplicaNão se aplica",Mercado_Receita!$L$2:$L$641)</f>
        <v>890.44100000000003</v>
      </c>
      <c r="M47" s="13">
        <f>SUMIF(Mercado_Receita!$S$2:$S$641,"44531B4ConvencionalIluminação públicaIluminação pública – B4aNão se aplicaNão se aplicaPonta",Mercado_Receita!$L$2:$L$641)+SUMIF(Mercado_Receita!$S$2:$S$641,"44531B4ConvencionalIluminação públicaIluminação pública – B4aNão se aplicaNão se aplicaFora ponta",Mercado_Receita!$L$2:$L$641)+SUMIF(Mercado_Receita!$S$2:$S$641,"44531B4ConvencionalIluminação públicaIluminação pública – B4aNão se aplicaNão se aplicaIntermediário",Mercado_Receita!$L$2:$L$641)+SUMIF(Mercado_Receita!$S$2:$S$641,"44531B4ConvencionalIluminação públicaIluminação pública – B4aNão se aplicaNão se aplicaNão se aplica",Mercado_Receita!$L$2:$L$641)</f>
        <v>910.04499999999996</v>
      </c>
      <c r="N47" s="13">
        <f>SUMIF(Mercado_Receita!$S$2:$S$641,"44562B4ConvencionalIluminação públicaIluminação pública – B4aNão se aplicaNão se aplicaPonta",Mercado_Receita!$L$2:$L$641)+SUMIF(Mercado_Receita!$S$2:$S$641,"44562B4ConvencionalIluminação públicaIluminação pública – B4aNão se aplicaNão se aplicaFora ponta",Mercado_Receita!$L$2:$L$641)+SUMIF(Mercado_Receita!$S$2:$S$641,"44562B4ConvencionalIluminação públicaIluminação pública – B4aNão se aplicaNão se aplicaIntermediário",Mercado_Receita!$L$2:$L$641)+SUMIF(Mercado_Receita!$S$2:$S$641,"44562B4ConvencionalIluminação públicaIluminação pública – B4aNão se aplicaNão se aplicaNão se aplica",Mercado_Receita!$L$2:$L$641)</f>
        <v>908.553</v>
      </c>
      <c r="O47" s="13">
        <f>SUMIF(Mercado_Receita!$S$2:$S$641,"44593B4ConvencionalIluminação públicaIluminação pública – B4aNão se aplicaNão se aplicaPonta",Mercado_Receita!$L$2:$L$641)+SUMIF(Mercado_Receita!$S$2:$S$641,"44593B4ConvencionalIluminação públicaIluminação pública – B4aNão se aplicaNão se aplicaFora ponta",Mercado_Receita!$L$2:$L$641)+SUMIF(Mercado_Receita!$S$2:$S$641,"44593B4ConvencionalIluminação públicaIluminação pública – B4aNão se aplicaNão se aplicaIntermediário",Mercado_Receita!$L$2:$L$641)+SUMIF(Mercado_Receita!$S$2:$S$641,"44593B4ConvencionalIluminação públicaIluminação pública – B4aNão se aplicaNão se aplicaNão se aplica",Mercado_Receita!$L$2:$L$641)</f>
        <v>863.87</v>
      </c>
      <c r="P47" s="13">
        <f>SUMIF(Mercado_Receita!$S$2:$S$641,"44621B4ConvencionalIluminação públicaIluminação pública – B4aNão se aplicaNão se aplicaPonta",Mercado_Receita!$L$2:$L$641)+SUMIF(Mercado_Receita!$S$2:$S$641,"44621B4ConvencionalIluminação públicaIluminação pública – B4aNão se aplicaNão se aplicaFora ponta",Mercado_Receita!$L$2:$L$641)+SUMIF(Mercado_Receita!$S$2:$S$641,"44621B4ConvencionalIluminação públicaIluminação pública – B4aNão se aplicaNão se aplicaIntermediário",Mercado_Receita!$L$2:$L$641)+SUMIF(Mercado_Receita!$S$2:$S$641,"44621B4ConvencionalIluminação públicaIluminação pública – B4aNão se aplicaNão se aplicaNão se aplica",Mercado_Receita!$L$2:$L$641)</f>
        <v>943.53700000000003</v>
      </c>
      <c r="Q47" s="13">
        <f>SUMIF(Mercado_Receita!$S$2:$S$641,"44652B4ConvencionalIluminação públicaIluminação pública – B4aNão se aplicaNão se aplicaPonta",Mercado_Receita!$L$2:$L$641)+SUMIF(Mercado_Receita!$S$2:$S$641,"44652B4ConvencionalIluminação públicaIluminação pública – B4aNão se aplicaNão se aplicaFora ponta",Mercado_Receita!$L$2:$L$641)+SUMIF(Mercado_Receita!$S$2:$S$641,"44652B4ConvencionalIluminação públicaIluminação pública – B4aNão se aplicaNão se aplicaIntermediário",Mercado_Receita!$L$2:$L$641)+SUMIF(Mercado_Receita!$S$2:$S$641,"44652B4ConvencionalIluminação públicaIluminação pública – B4aNão se aplicaNão se aplicaNão se aplica",Mercado_Receita!$L$2:$L$641)</f>
        <v>984.68299999999999</v>
      </c>
      <c r="R47" s="13">
        <f>SUMIF(Mercado_Receita!$S$2:$S$641,"44682B4ConvencionalIluminação públicaIluminação pública – B4aNão se aplicaNão se aplicaPonta",Mercado_Receita!$L$2:$L$641)+SUMIF(Mercado_Receita!$S$2:$S$641,"44682B4ConvencionalIluminação públicaIluminação pública – B4aNão se aplicaNão se aplicaFora ponta",Mercado_Receita!$L$2:$L$641)+SUMIF(Mercado_Receita!$S$2:$S$641,"44682B4ConvencionalIluminação públicaIluminação pública – B4aNão se aplicaNão se aplicaIntermediário",Mercado_Receita!$L$2:$L$641)+SUMIF(Mercado_Receita!$S$2:$S$641,"44682B4ConvencionalIluminação públicaIluminação pública – B4aNão se aplicaNão se aplicaNão se aplica",Mercado_Receita!$L$2:$L$641)</f>
        <v>1076.22</v>
      </c>
      <c r="S47" s="13">
        <f>SUMIF(Mercado_Receita!$S$2:$S$641,"44713B4ConvencionalIluminação públicaIluminação pública – B4aNão se aplicaNão se aplicaPonta",Mercado_Receita!$L$2:$L$641)+SUMIF(Mercado_Receita!$S$2:$S$641,"44713B4ConvencionalIluminação públicaIluminação pública – B4aNão se aplicaNão se aplicaFora ponta",Mercado_Receita!$L$2:$L$641)+SUMIF(Mercado_Receita!$S$2:$S$641,"44713B4ConvencionalIluminação públicaIluminação pública – B4aNão se aplicaNão se aplicaIntermediário",Mercado_Receita!$L$2:$L$641)+SUMIF(Mercado_Receita!$S$2:$S$641,"44713B4ConvencionalIluminação públicaIluminação pública – B4aNão se aplicaNão se aplicaNão se aplica",Mercado_Receita!$L$2:$L$641)</f>
        <v>1068.528</v>
      </c>
      <c r="T47" s="13">
        <f>SUMIF(Mercado_Receita!$S$2:$S$641,"44743B4ConvencionalIluminação públicaIluminação pública – B4aNão se aplicaNão se aplicaPonta",Mercado_Receita!$L$2:$L$641)+SUMIF(Mercado_Receita!$S$2:$S$641,"44743B4ConvencionalIluminação públicaIluminação pública – B4aNão se aplicaNão se aplicaFora ponta",Mercado_Receita!$L$2:$L$641)+SUMIF(Mercado_Receita!$S$2:$S$641,"44743B4ConvencionalIluminação públicaIluminação pública – B4aNão se aplicaNão se aplicaIntermediário",Mercado_Receita!$L$2:$L$641)+SUMIF(Mercado_Receita!$S$2:$S$641,"44743B4ConvencionalIluminação públicaIluminação pública – B4aNão se aplicaNão se aplicaNão se aplica",Mercado_Receita!$L$2:$L$641)</f>
        <v>1068.528</v>
      </c>
      <c r="U47" s="13">
        <f t="shared" si="0"/>
        <v>11805.242</v>
      </c>
      <c r="V47" s="13"/>
      <c r="W47" s="13"/>
    </row>
    <row r="48" spans="1:23" ht="11.25" customHeight="1" x14ac:dyDescent="0.25">
      <c r="A48" s="131"/>
      <c r="B48" s="131"/>
      <c r="C48" s="131"/>
      <c r="D48" s="13" t="s">
        <v>92</v>
      </c>
      <c r="E48" s="13" t="s">
        <v>25</v>
      </c>
      <c r="F48" s="13" t="s">
        <v>25</v>
      </c>
      <c r="G48" s="13" t="s">
        <v>78</v>
      </c>
      <c r="H48" s="13" t="s">
        <v>74</v>
      </c>
      <c r="I48" s="13">
        <f>SUMIF(Mercado_Receita!$S$2:$S$641,"44409B4ConvencionalIluminação públicaIluminação pública – B4bNão se aplicaNão se aplicaPonta",Mercado_Receita!$L$2:$L$641)+SUMIF(Mercado_Receita!$S$2:$S$641,"44409B4ConvencionalIluminação públicaIluminação pública – B4bNão se aplicaNão se aplicaFora ponta",Mercado_Receita!$L$2:$L$641)+SUMIF(Mercado_Receita!$S$2:$S$641,"44409B4ConvencionalIluminação públicaIluminação pública – B4bNão se aplicaNão se aplicaIntermediário",Mercado_Receita!$L$2:$L$641)+SUMIF(Mercado_Receita!$S$2:$S$641,"44409B4ConvencionalIluminação públicaIluminação pública – B4bNão se aplicaNão se aplicaNão se aplica",Mercado_Receita!$L$2:$L$641)</f>
        <v>0</v>
      </c>
      <c r="J48" s="13">
        <f>SUMIF(Mercado_Receita!$S$2:$S$641,"44440B4ConvencionalIluminação públicaIluminação pública – B4bNão se aplicaNão se aplicaPonta",Mercado_Receita!$L$2:$L$641)+SUMIF(Mercado_Receita!$S$2:$S$641,"44440B4ConvencionalIluminação públicaIluminação pública – B4bNão se aplicaNão se aplicaFora ponta",Mercado_Receita!$L$2:$L$641)+SUMIF(Mercado_Receita!$S$2:$S$641,"44440B4ConvencionalIluminação públicaIluminação pública – B4bNão se aplicaNão se aplicaIntermediário",Mercado_Receita!$L$2:$L$641)+SUMIF(Mercado_Receita!$S$2:$S$641,"44440B4ConvencionalIluminação públicaIluminação pública – B4bNão se aplicaNão se aplicaNão se aplica",Mercado_Receita!$L$2:$L$641)</f>
        <v>0</v>
      </c>
      <c r="K48" s="13">
        <f>SUMIF(Mercado_Receita!$S$2:$S$641,"44470B4ConvencionalIluminação públicaIluminação pública – B4bNão se aplicaNão se aplicaPonta",Mercado_Receita!$L$2:$L$641)+SUMIF(Mercado_Receita!$S$2:$S$641,"44470B4ConvencionalIluminação públicaIluminação pública – B4bNão se aplicaNão se aplicaFora ponta",Mercado_Receita!$L$2:$L$641)+SUMIF(Mercado_Receita!$S$2:$S$641,"44470B4ConvencionalIluminação públicaIluminação pública – B4bNão se aplicaNão se aplicaIntermediário",Mercado_Receita!$L$2:$L$641)+SUMIF(Mercado_Receita!$S$2:$S$641,"44470B4ConvencionalIluminação públicaIluminação pública – B4bNão se aplicaNão se aplicaNão se aplica",Mercado_Receita!$L$2:$L$641)</f>
        <v>0</v>
      </c>
      <c r="L48" s="13">
        <f>SUMIF(Mercado_Receita!$S$2:$S$641,"44501B4ConvencionalIluminação públicaIluminação pública – B4bNão se aplicaNão se aplicaPonta",Mercado_Receita!$L$2:$L$641)+SUMIF(Mercado_Receita!$S$2:$S$641,"44501B4ConvencionalIluminação públicaIluminação pública – B4bNão se aplicaNão se aplicaFora ponta",Mercado_Receita!$L$2:$L$641)+SUMIF(Mercado_Receita!$S$2:$S$641,"44501B4ConvencionalIluminação públicaIluminação pública – B4bNão se aplicaNão se aplicaIntermediário",Mercado_Receita!$L$2:$L$641)+SUMIF(Mercado_Receita!$S$2:$S$641,"44501B4ConvencionalIluminação públicaIluminação pública – B4bNão se aplicaNão se aplicaNão se aplica",Mercado_Receita!$L$2:$L$641)</f>
        <v>0</v>
      </c>
      <c r="M48" s="13">
        <f>SUMIF(Mercado_Receita!$S$2:$S$641,"44531B4ConvencionalIluminação públicaIluminação pública – B4bNão se aplicaNão se aplicaPonta",Mercado_Receita!$L$2:$L$641)+SUMIF(Mercado_Receita!$S$2:$S$641,"44531B4ConvencionalIluminação públicaIluminação pública – B4bNão se aplicaNão se aplicaFora ponta",Mercado_Receita!$L$2:$L$641)+SUMIF(Mercado_Receita!$S$2:$S$641,"44531B4ConvencionalIluminação públicaIluminação pública – B4bNão se aplicaNão se aplicaIntermediário",Mercado_Receita!$L$2:$L$641)+SUMIF(Mercado_Receita!$S$2:$S$641,"44531B4ConvencionalIluminação públicaIluminação pública – B4bNão se aplicaNão se aplicaNão se aplica",Mercado_Receita!$L$2:$L$641)</f>
        <v>0</v>
      </c>
      <c r="N48" s="13">
        <f>SUMIF(Mercado_Receita!$S$2:$S$641,"44562B4ConvencionalIluminação públicaIluminação pública – B4bNão se aplicaNão se aplicaPonta",Mercado_Receita!$L$2:$L$641)+SUMIF(Mercado_Receita!$S$2:$S$641,"44562B4ConvencionalIluminação públicaIluminação pública – B4bNão se aplicaNão se aplicaFora ponta",Mercado_Receita!$L$2:$L$641)+SUMIF(Mercado_Receita!$S$2:$S$641,"44562B4ConvencionalIluminação públicaIluminação pública – B4bNão se aplicaNão se aplicaIntermediário",Mercado_Receita!$L$2:$L$641)+SUMIF(Mercado_Receita!$S$2:$S$641,"44562B4ConvencionalIluminação públicaIluminação pública – B4bNão se aplicaNão se aplicaNão se aplica",Mercado_Receita!$L$2:$L$641)</f>
        <v>0</v>
      </c>
      <c r="O48" s="13">
        <f>SUMIF(Mercado_Receita!$S$2:$S$641,"44593B4ConvencionalIluminação públicaIluminação pública – B4bNão se aplicaNão se aplicaPonta",Mercado_Receita!$L$2:$L$641)+SUMIF(Mercado_Receita!$S$2:$S$641,"44593B4ConvencionalIluminação públicaIluminação pública – B4bNão se aplicaNão se aplicaFora ponta",Mercado_Receita!$L$2:$L$641)+SUMIF(Mercado_Receita!$S$2:$S$641,"44593B4ConvencionalIluminação públicaIluminação pública – B4bNão se aplicaNão se aplicaIntermediário",Mercado_Receita!$L$2:$L$641)+SUMIF(Mercado_Receita!$S$2:$S$641,"44593B4ConvencionalIluminação públicaIluminação pública – B4bNão se aplicaNão se aplicaNão se aplica",Mercado_Receita!$L$2:$L$641)</f>
        <v>0</v>
      </c>
      <c r="P48" s="13">
        <f>SUMIF(Mercado_Receita!$S$2:$S$641,"44621B4ConvencionalIluminação públicaIluminação pública – B4bNão se aplicaNão se aplicaPonta",Mercado_Receita!$L$2:$L$641)+SUMIF(Mercado_Receita!$S$2:$S$641,"44621B4ConvencionalIluminação públicaIluminação pública – B4bNão se aplicaNão se aplicaFora ponta",Mercado_Receita!$L$2:$L$641)+SUMIF(Mercado_Receita!$S$2:$S$641,"44621B4ConvencionalIluminação públicaIluminação pública – B4bNão se aplicaNão se aplicaIntermediário",Mercado_Receita!$L$2:$L$641)+SUMIF(Mercado_Receita!$S$2:$S$641,"44621B4ConvencionalIluminação públicaIluminação pública – B4bNão se aplicaNão se aplicaNão se aplica",Mercado_Receita!$L$2:$L$641)</f>
        <v>0</v>
      </c>
      <c r="Q48" s="13">
        <f>SUMIF(Mercado_Receita!$S$2:$S$641,"44652B4ConvencionalIluminação públicaIluminação pública – B4bNão se aplicaNão se aplicaPonta",Mercado_Receita!$L$2:$L$641)+SUMIF(Mercado_Receita!$S$2:$S$641,"44652B4ConvencionalIluminação públicaIluminação pública – B4bNão se aplicaNão se aplicaFora ponta",Mercado_Receita!$L$2:$L$641)+SUMIF(Mercado_Receita!$S$2:$S$641,"44652B4ConvencionalIluminação públicaIluminação pública – B4bNão se aplicaNão se aplicaIntermediário",Mercado_Receita!$L$2:$L$641)+SUMIF(Mercado_Receita!$S$2:$S$641,"44652B4ConvencionalIluminação públicaIluminação pública – B4bNão se aplicaNão se aplicaNão se aplica",Mercado_Receita!$L$2:$L$641)</f>
        <v>0</v>
      </c>
      <c r="R48" s="13">
        <f>SUMIF(Mercado_Receita!$S$2:$S$641,"44682B4ConvencionalIluminação públicaIluminação pública – B4bNão se aplicaNão se aplicaPonta",Mercado_Receita!$L$2:$L$641)+SUMIF(Mercado_Receita!$S$2:$S$641,"44682B4ConvencionalIluminação públicaIluminação pública – B4bNão se aplicaNão se aplicaFora ponta",Mercado_Receita!$L$2:$L$641)+SUMIF(Mercado_Receita!$S$2:$S$641,"44682B4ConvencionalIluminação públicaIluminação pública – B4bNão se aplicaNão se aplicaIntermediário",Mercado_Receita!$L$2:$L$641)+SUMIF(Mercado_Receita!$S$2:$S$641,"44682B4ConvencionalIluminação públicaIluminação pública – B4bNão se aplicaNão se aplicaNão se aplica",Mercado_Receita!$L$2:$L$641)</f>
        <v>0</v>
      </c>
      <c r="S48" s="13">
        <f>SUMIF(Mercado_Receita!$S$2:$S$641,"44713B4ConvencionalIluminação públicaIluminação pública – B4bNão se aplicaNão se aplicaPonta",Mercado_Receita!$L$2:$L$641)+SUMIF(Mercado_Receita!$S$2:$S$641,"44713B4ConvencionalIluminação públicaIluminação pública – B4bNão se aplicaNão se aplicaFora ponta",Mercado_Receita!$L$2:$L$641)+SUMIF(Mercado_Receita!$S$2:$S$641,"44713B4ConvencionalIluminação públicaIluminação pública – B4bNão se aplicaNão se aplicaIntermediário",Mercado_Receita!$L$2:$L$641)+SUMIF(Mercado_Receita!$S$2:$S$641,"44713B4ConvencionalIluminação públicaIluminação pública – B4bNão se aplicaNão se aplicaNão se aplica",Mercado_Receita!$L$2:$L$641)</f>
        <v>0</v>
      </c>
      <c r="T48" s="13">
        <f>SUMIF(Mercado_Receita!$S$2:$S$641,"44743B4ConvencionalIluminação públicaIluminação pública – B4bNão se aplicaNão se aplicaPonta",Mercado_Receita!$L$2:$L$641)+SUMIF(Mercado_Receita!$S$2:$S$641,"44743B4ConvencionalIluminação públicaIluminação pública – B4bNão se aplicaNão se aplicaFora ponta",Mercado_Receita!$L$2:$L$641)+SUMIF(Mercado_Receita!$S$2:$S$641,"44743B4ConvencionalIluminação públicaIluminação pública – B4bNão se aplicaNão se aplicaIntermediário",Mercado_Receita!$L$2:$L$641)+SUMIF(Mercado_Receita!$S$2:$S$641,"44743B4ConvencionalIluminação públicaIluminação pública – B4bNão se aplicaNão se aplicaNão se aplica",Mercado_Receita!$L$2:$L$641)</f>
        <v>0</v>
      </c>
      <c r="U48" s="13">
        <f t="shared" si="0"/>
        <v>0</v>
      </c>
      <c r="V48" s="13"/>
      <c r="W48" s="13"/>
    </row>
    <row r="49" spans="1:23" ht="11.25" customHeight="1" x14ac:dyDescent="0.25">
      <c r="A49" s="132" t="s">
        <v>459</v>
      </c>
      <c r="B49" s="133"/>
      <c r="C49" s="133"/>
      <c r="D49" s="133"/>
      <c r="E49" s="133"/>
      <c r="F49" s="133"/>
      <c r="G49" s="133"/>
      <c r="H49" s="133"/>
      <c r="I49" s="133"/>
      <c r="J49" s="133"/>
      <c r="K49" s="133"/>
      <c r="L49" s="133"/>
      <c r="M49" s="133"/>
      <c r="N49" s="133"/>
      <c r="O49" s="133"/>
      <c r="P49" s="133"/>
      <c r="Q49" s="133"/>
      <c r="R49" s="133"/>
      <c r="S49" s="133"/>
      <c r="T49" s="133"/>
      <c r="U49" s="133"/>
      <c r="V49" s="13"/>
      <c r="W49" s="13"/>
    </row>
  </sheetData>
  <mergeCells count="55">
    <mergeCell ref="A47:A48"/>
    <mergeCell ref="B47:B48"/>
    <mergeCell ref="C47:C48"/>
    <mergeCell ref="A49:U49"/>
    <mergeCell ref="C39:C41"/>
    <mergeCell ref="B39:B41"/>
    <mergeCell ref="A27:A41"/>
    <mergeCell ref="F42:F44"/>
    <mergeCell ref="E42:E44"/>
    <mergeCell ref="D42:D44"/>
    <mergeCell ref="C42:C44"/>
    <mergeCell ref="B42:B44"/>
    <mergeCell ref="A42:A46"/>
    <mergeCell ref="F31:F33"/>
    <mergeCell ref="E31:E33"/>
    <mergeCell ref="D31:D33"/>
    <mergeCell ref="C31:C33"/>
    <mergeCell ref="B31:B33"/>
    <mergeCell ref="F35:F37"/>
    <mergeCell ref="E35:E37"/>
    <mergeCell ref="D35:D37"/>
    <mergeCell ref="C35:C37"/>
    <mergeCell ref="B35:B37"/>
    <mergeCell ref="C17:C21"/>
    <mergeCell ref="B17:B21"/>
    <mergeCell ref="C22:C26"/>
    <mergeCell ref="B22:B26"/>
    <mergeCell ref="A14:A26"/>
    <mergeCell ref="F27:F29"/>
    <mergeCell ref="E27:E29"/>
    <mergeCell ref="D27:D29"/>
    <mergeCell ref="C27:C29"/>
    <mergeCell ref="B27:B29"/>
    <mergeCell ref="D12:D13"/>
    <mergeCell ref="C12:C13"/>
    <mergeCell ref="B12:B13"/>
    <mergeCell ref="A12:A13"/>
    <mergeCell ref="F14:F16"/>
    <mergeCell ref="E14:E16"/>
    <mergeCell ref="D14:D16"/>
    <mergeCell ref="C14:C16"/>
    <mergeCell ref="B14:B16"/>
    <mergeCell ref="A2:A11"/>
    <mergeCell ref="F2:F4"/>
    <mergeCell ref="E2:E4"/>
    <mergeCell ref="D2:D5"/>
    <mergeCell ref="C2:C5"/>
    <mergeCell ref="B2:B5"/>
    <mergeCell ref="F7:F9"/>
    <mergeCell ref="E7:E9"/>
    <mergeCell ref="F10:F11"/>
    <mergeCell ref="E10:E11"/>
    <mergeCell ref="D7:D11"/>
    <mergeCell ref="C7:C11"/>
    <mergeCell ref="B7:B11"/>
  </mergeCells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96BC1-D82E-4CBF-BC66-338EAC90D8C2}">
  <sheetPr codeName="Planilha7"/>
  <dimension ref="A1:AD40"/>
  <sheetViews>
    <sheetView showGridLines="0" workbookViewId="0">
      <selection sqref="A1:W40"/>
    </sheetView>
  </sheetViews>
  <sheetFormatPr defaultColWidth="9.140625"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20" width="7" style="9" bestFit="1" customWidth="1"/>
    <col min="21" max="21" width="14.140625" style="9" bestFit="1" customWidth="1"/>
    <col min="22" max="16384" width="9.140625" style="9"/>
  </cols>
  <sheetData>
    <row r="1" spans="1:30" ht="11.25" customHeight="1" x14ac:dyDescent="0.25">
      <c r="A1" s="10" t="s">
        <v>64</v>
      </c>
      <c r="B1" s="10" t="s">
        <v>65</v>
      </c>
      <c r="C1" s="10" t="s">
        <v>66</v>
      </c>
      <c r="D1" s="10" t="s">
        <v>67</v>
      </c>
      <c r="E1" s="10" t="s">
        <v>68</v>
      </c>
      <c r="F1" s="10" t="s">
        <v>69</v>
      </c>
      <c r="G1" s="10" t="s">
        <v>70</v>
      </c>
      <c r="H1" s="10" t="s">
        <v>71</v>
      </c>
      <c r="I1" s="11">
        <v>44409</v>
      </c>
      <c r="J1" s="11">
        <v>44440</v>
      </c>
      <c r="K1" s="11">
        <v>44470</v>
      </c>
      <c r="L1" s="11">
        <v>44501</v>
      </c>
      <c r="M1" s="11">
        <v>44531</v>
      </c>
      <c r="N1" s="11">
        <v>44562</v>
      </c>
      <c r="O1" s="11">
        <v>44593</v>
      </c>
      <c r="P1" s="11">
        <v>44621</v>
      </c>
      <c r="Q1" s="11">
        <v>44652</v>
      </c>
      <c r="R1" s="11">
        <v>44682</v>
      </c>
      <c r="S1" s="11">
        <v>44713</v>
      </c>
      <c r="T1" s="11">
        <v>44743</v>
      </c>
      <c r="U1" s="10" t="s">
        <v>72</v>
      </c>
      <c r="V1" s="10"/>
      <c r="W1" s="10"/>
      <c r="X1" s="7"/>
      <c r="Y1" s="7"/>
      <c r="Z1" s="7"/>
      <c r="AA1" s="7"/>
      <c r="AB1" s="7"/>
      <c r="AC1" s="7"/>
      <c r="AD1" s="7"/>
    </row>
    <row r="2" spans="1:30" ht="11.25" customHeight="1" x14ac:dyDescent="0.25">
      <c r="A2" s="130" t="s">
        <v>35</v>
      </c>
      <c r="B2" s="130" t="s">
        <v>73</v>
      </c>
      <c r="C2" s="130" t="s">
        <v>25</v>
      </c>
      <c r="D2" s="130" t="s">
        <v>25</v>
      </c>
      <c r="E2" s="130" t="s">
        <v>25</v>
      </c>
      <c r="F2" s="130" t="s">
        <v>25</v>
      </c>
      <c r="G2" s="13" t="s">
        <v>75</v>
      </c>
      <c r="H2" s="13" t="s">
        <v>74</v>
      </c>
      <c r="I2" s="13">
        <f>SUMIF(Mercado_Receita!$T$2:$T$641,"44409A4Energia horáriaNão se aplicaNão se aplicaNão se aplicaNão se aplicaPonta",Mercado_Receita!$N$2:$N$641)</f>
        <v>252.29600000000002</v>
      </c>
      <c r="J2" s="13">
        <f>SUMIF(Mercado_Receita!$T$2:$T$641,"44440A4Energia horáriaNão se aplicaNão se aplicaNão se aplicaNão se aplicaPonta",Mercado_Receita!$N$2:$N$641)</f>
        <v>284.11899999999997</v>
      </c>
      <c r="K2" s="13">
        <f>SUMIF(Mercado_Receita!$T$2:$T$641,"44470A4Energia horáriaNão se aplicaNão se aplicaNão se aplicaNão se aplicaPonta",Mercado_Receita!$N$2:$N$641)</f>
        <v>259.54499999999996</v>
      </c>
      <c r="L2" s="13">
        <f>SUMIF(Mercado_Receita!$T$2:$T$641,"44501A4Energia horáriaNão se aplicaNão se aplicaNão se aplicaNão se aplicaPonta",Mercado_Receita!$N$2:$N$641)</f>
        <v>311.541</v>
      </c>
      <c r="M2" s="13">
        <f>SUMIF(Mercado_Receita!$T$2:$T$641,"44531A4Energia horáriaNão se aplicaNão se aplicaNão se aplicaNão se aplicaPonta",Mercado_Receita!$N$2:$N$641)</f>
        <v>385.84800000000001</v>
      </c>
      <c r="N2" s="13">
        <f>SUMIF(Mercado_Receita!$T$2:$T$641,"44562A4Energia horáriaNão se aplicaNão se aplicaNão se aplicaNão se aplicaPonta",Mercado_Receita!$N$2:$N$641)</f>
        <v>338.99900000000002</v>
      </c>
      <c r="O2" s="13">
        <f>SUMIF(Mercado_Receita!$T$2:$T$641,"44593A4Energia horáriaNão se aplicaNão se aplicaNão se aplicaNão se aplicaPonta",Mercado_Receita!$N$2:$N$641)</f>
        <v>326.22999999999996</v>
      </c>
      <c r="P2" s="13">
        <f>SUMIF(Mercado_Receita!$T$2:$T$641,"44621A4Energia horáriaNão se aplicaNão se aplicaNão se aplicaNão se aplicaPonta",Mercado_Receita!$N$2:$N$641)</f>
        <v>369.91899999999993</v>
      </c>
      <c r="Q2" s="13">
        <f>SUMIF(Mercado_Receita!$T$2:$T$641,"44652A4Energia horáriaNão se aplicaNão se aplicaNão se aplicaNão se aplicaPonta",Mercado_Receita!$N$2:$N$641)</f>
        <v>290.06700000000001</v>
      </c>
      <c r="R2" s="13">
        <f>SUMIF(Mercado_Receita!$T$2:$T$641,"44682A4Energia horáriaNão se aplicaNão se aplicaNão se aplicaNão se aplicaPonta",Mercado_Receita!$N$2:$N$641)</f>
        <v>320.53999999999996</v>
      </c>
      <c r="S2" s="13">
        <f>SUMIF(Mercado_Receita!$T$2:$T$641,"44713A4Energia horáriaNão se aplicaNão se aplicaNão se aplicaNão se aplicaPonta",Mercado_Receita!$N$2:$N$641)</f>
        <v>312.58999999999997</v>
      </c>
      <c r="T2" s="13">
        <f>SUMIF(Mercado_Receita!$T$2:$T$641,"44743A4Energia horáriaNão se aplicaNão se aplicaNão se aplicaNão se aplicaPonta",Mercado_Receita!$N$2:$N$641)</f>
        <v>312.58999999999997</v>
      </c>
      <c r="U2" s="13">
        <f t="shared" ref="U2:U39" si="0">SUM(I2:T2)</f>
        <v>3764.2840000000001</v>
      </c>
      <c r="V2" s="13"/>
      <c r="W2" s="13"/>
    </row>
    <row r="3" spans="1:30" ht="11.25" customHeight="1" x14ac:dyDescent="0.25">
      <c r="A3" s="131"/>
      <c r="B3" s="131"/>
      <c r="C3" s="131"/>
      <c r="D3" s="131"/>
      <c r="E3" s="131"/>
      <c r="F3" s="131"/>
      <c r="G3" s="13" t="s">
        <v>76</v>
      </c>
      <c r="H3" s="13" t="s">
        <v>74</v>
      </c>
      <c r="I3" s="13">
        <f>SUMIF(Mercado_Receita!$T$2:$T$641,"44409A4Energia horáriaNão se aplicaNão se aplicaNão se aplicaNão se aplicaFora ponta",Mercado_Receita!$N$2:$N$641)</f>
        <v>6147.701</v>
      </c>
      <c r="J3" s="13">
        <f>SUMIF(Mercado_Receita!$T$2:$T$641,"44440A4Energia horáriaNão se aplicaNão se aplicaNão se aplicaNão se aplicaFora ponta",Mercado_Receita!$N$2:$N$641)</f>
        <v>6132.9559999999992</v>
      </c>
      <c r="K3" s="13">
        <f>SUMIF(Mercado_Receita!$T$2:$T$641,"44470A4Energia horáriaNão se aplicaNão se aplicaNão se aplicaNão se aplicaFora ponta",Mercado_Receita!$N$2:$N$641)</f>
        <v>6148.4510000000009</v>
      </c>
      <c r="L3" s="13">
        <f>SUMIF(Mercado_Receita!$T$2:$T$641,"44501A4Energia horáriaNão se aplicaNão se aplicaNão se aplicaNão se aplicaFora ponta",Mercado_Receita!$N$2:$N$641)</f>
        <v>6618.6459999999997</v>
      </c>
      <c r="M3" s="13">
        <f>SUMIF(Mercado_Receita!$T$2:$T$641,"44531A4Energia horáriaNão se aplicaNão se aplicaNão se aplicaNão se aplicaFora ponta",Mercado_Receita!$N$2:$N$641)</f>
        <v>6636.0069999999987</v>
      </c>
      <c r="N3" s="13">
        <f>SUMIF(Mercado_Receita!$T$2:$T$641,"44562A4Energia horáriaNão se aplicaNão se aplicaNão se aplicaNão se aplicaFora ponta",Mercado_Receita!$N$2:$N$641)</f>
        <v>6797.8120000000008</v>
      </c>
      <c r="O3" s="13">
        <f>SUMIF(Mercado_Receita!$T$2:$T$641,"44593A4Energia horáriaNão se aplicaNão se aplicaNão se aplicaNão se aplicaFora ponta",Mercado_Receita!$N$2:$N$641)</f>
        <v>6596.4319999999998</v>
      </c>
      <c r="P3" s="13">
        <f>SUMIF(Mercado_Receita!$T$2:$T$641,"44621A4Energia horáriaNão se aplicaNão se aplicaNão se aplicaNão se aplicaFora ponta",Mercado_Receita!$N$2:$N$641)</f>
        <v>7215.232</v>
      </c>
      <c r="Q3" s="13">
        <f>SUMIF(Mercado_Receita!$T$2:$T$641,"44652A4Energia horáriaNão se aplicaNão se aplicaNão se aplicaNão se aplicaFora ponta",Mercado_Receita!$N$2:$N$641)</f>
        <v>6264.0080000000007</v>
      </c>
      <c r="R3" s="13">
        <f>SUMIF(Mercado_Receita!$T$2:$T$641,"44682A4Energia horáriaNão se aplicaNão se aplicaNão se aplicaNão se aplicaFora ponta",Mercado_Receita!$N$2:$N$641)</f>
        <v>6344.1509999999998</v>
      </c>
      <c r="S3" s="13">
        <f>SUMIF(Mercado_Receita!$T$2:$T$641,"44713A4Energia horáriaNão se aplicaNão se aplicaNão se aplicaNão se aplicaFora ponta",Mercado_Receita!$N$2:$N$641)</f>
        <v>6079.1539999999995</v>
      </c>
      <c r="T3" s="13">
        <f>SUMIF(Mercado_Receita!$T$2:$T$641,"44743A4Energia horáriaNão se aplicaNão se aplicaNão se aplicaNão se aplicaFora ponta",Mercado_Receita!$N$2:$N$641)</f>
        <v>6079.1539999999995</v>
      </c>
      <c r="U3" s="13">
        <f t="shared" si="0"/>
        <v>77059.703999999983</v>
      </c>
      <c r="V3" s="13"/>
      <c r="W3" s="13"/>
    </row>
    <row r="4" spans="1:30" ht="11.25" customHeight="1" x14ac:dyDescent="0.25">
      <c r="A4" s="131"/>
      <c r="B4" s="12" t="s">
        <v>77</v>
      </c>
      <c r="C4" s="12" t="s">
        <v>25</v>
      </c>
      <c r="D4" s="12" t="s">
        <v>25</v>
      </c>
      <c r="E4" s="12" t="s">
        <v>25</v>
      </c>
      <c r="F4" s="12" t="s">
        <v>25</v>
      </c>
      <c r="G4" s="13" t="s">
        <v>78</v>
      </c>
      <c r="H4" s="13" t="s">
        <v>74</v>
      </c>
      <c r="I4" s="13">
        <f>SUMIF(Mercado_Receita!$T$2:$T$641,"44409A4Energia convencionalNão se aplicaNão se aplicaNão se aplicaNão se aplicaNão se aplica",Mercado_Receita!$N$2:$N$641)</f>
        <v>0</v>
      </c>
      <c r="J4" s="13">
        <f>SUMIF(Mercado_Receita!$T$2:$T$641,"44440A4Energia convencionalNão se aplicaNão se aplicaNão se aplicaNão se aplicaNão se aplica",Mercado_Receita!$N$2:$N$641)</f>
        <v>0</v>
      </c>
      <c r="K4" s="13">
        <f>SUMIF(Mercado_Receita!$T$2:$T$641,"44470A4Energia convencionalNão se aplicaNão se aplicaNão se aplicaNão se aplicaNão se aplica",Mercado_Receita!$N$2:$N$641)</f>
        <v>0</v>
      </c>
      <c r="L4" s="13">
        <f>SUMIF(Mercado_Receita!$T$2:$T$641,"44501A4Energia convencionalNão se aplicaNão se aplicaNão se aplicaNão se aplicaNão se aplica",Mercado_Receita!$N$2:$N$641)</f>
        <v>0</v>
      </c>
      <c r="M4" s="13">
        <f>SUMIF(Mercado_Receita!$T$2:$T$641,"44531A4Energia convencionalNão se aplicaNão se aplicaNão se aplicaNão se aplicaNão se aplica",Mercado_Receita!$N$2:$N$641)</f>
        <v>0</v>
      </c>
      <c r="N4" s="13">
        <f>SUMIF(Mercado_Receita!$T$2:$T$641,"44562A4Energia convencionalNão se aplicaNão se aplicaNão se aplicaNão se aplicaNão se aplica",Mercado_Receita!$N$2:$N$641)</f>
        <v>0</v>
      </c>
      <c r="O4" s="13">
        <f>SUMIF(Mercado_Receita!$T$2:$T$641,"44593A4Energia convencionalNão se aplicaNão se aplicaNão se aplicaNão se aplicaNão se aplica",Mercado_Receita!$N$2:$N$641)</f>
        <v>0</v>
      </c>
      <c r="P4" s="13">
        <f>SUMIF(Mercado_Receita!$T$2:$T$641,"44621A4Energia convencionalNão se aplicaNão se aplicaNão se aplicaNão se aplicaNão se aplica",Mercado_Receita!$N$2:$N$641)</f>
        <v>0</v>
      </c>
      <c r="Q4" s="13">
        <f>SUMIF(Mercado_Receita!$T$2:$T$641,"44652A4Energia convencionalNão se aplicaNão se aplicaNão se aplicaNão se aplicaNão se aplica",Mercado_Receita!$N$2:$N$641)</f>
        <v>0</v>
      </c>
      <c r="R4" s="13">
        <f>SUMIF(Mercado_Receita!$T$2:$T$641,"44682A4Energia convencionalNão se aplicaNão se aplicaNão se aplicaNão se aplicaNão se aplica",Mercado_Receita!$N$2:$N$641)</f>
        <v>0</v>
      </c>
      <c r="S4" s="13">
        <f>SUMIF(Mercado_Receita!$T$2:$T$641,"44713A4Energia convencionalNão se aplicaNão se aplicaNão se aplicaNão se aplicaNão se aplica",Mercado_Receita!$N$2:$N$641)</f>
        <v>0</v>
      </c>
      <c r="T4" s="13">
        <f>SUMIF(Mercado_Receita!$T$2:$T$641,"44743A4Energia convencionalNão se aplicaNão se aplicaNão se aplicaNão se aplicaNão se aplica",Mercado_Receita!$N$2:$N$641)</f>
        <v>0</v>
      </c>
      <c r="U4" s="13">
        <f t="shared" si="0"/>
        <v>0</v>
      </c>
      <c r="V4" s="13"/>
      <c r="W4" s="13"/>
    </row>
    <row r="5" spans="1:30" ht="11.25" customHeight="1" x14ac:dyDescent="0.25">
      <c r="A5" s="130" t="s">
        <v>22</v>
      </c>
      <c r="B5" s="130" t="s">
        <v>73</v>
      </c>
      <c r="C5" s="130" t="s">
        <v>24</v>
      </c>
      <c r="D5" s="130" t="s">
        <v>24</v>
      </c>
      <c r="E5" s="130" t="s">
        <v>25</v>
      </c>
      <c r="F5" s="130" t="s">
        <v>25</v>
      </c>
      <c r="G5" s="13" t="s">
        <v>75</v>
      </c>
      <c r="H5" s="13" t="s">
        <v>74</v>
      </c>
      <c r="I5" s="13">
        <f>SUMIF(Mercado_Receita!$T$2:$T$641,"44409B1Energia horáriaResidencialResidencialNão se aplicaNão se aplicaPonta",Mercado_Receita!$N$2:$N$641)</f>
        <v>0</v>
      </c>
      <c r="J5" s="13">
        <f>SUMIF(Mercado_Receita!$T$2:$T$641,"44440B1Energia horáriaResidencialResidencialNão se aplicaNão se aplicaPonta",Mercado_Receita!$N$2:$N$641)</f>
        <v>0</v>
      </c>
      <c r="K5" s="13">
        <f>SUMIF(Mercado_Receita!$T$2:$T$641,"44470B1Energia horáriaResidencialResidencialNão se aplicaNão se aplicaPonta",Mercado_Receita!$N$2:$N$641)</f>
        <v>0</v>
      </c>
      <c r="L5" s="13">
        <f>SUMIF(Mercado_Receita!$T$2:$T$641,"44501B1Energia horáriaResidencialResidencialNão se aplicaNão se aplicaPonta",Mercado_Receita!$N$2:$N$641)</f>
        <v>0</v>
      </c>
      <c r="M5" s="13">
        <f>SUMIF(Mercado_Receita!$T$2:$T$641,"44531B1Energia horáriaResidencialResidencialNão se aplicaNão se aplicaPonta",Mercado_Receita!$N$2:$N$641)</f>
        <v>0</v>
      </c>
      <c r="N5" s="13">
        <f>SUMIF(Mercado_Receita!$T$2:$T$641,"44562B1Energia horáriaResidencialResidencialNão se aplicaNão se aplicaPonta",Mercado_Receita!$N$2:$N$641)</f>
        <v>0</v>
      </c>
      <c r="O5" s="13">
        <f>SUMIF(Mercado_Receita!$T$2:$T$641,"44593B1Energia horáriaResidencialResidencialNão se aplicaNão se aplicaPonta",Mercado_Receita!$N$2:$N$641)</f>
        <v>0</v>
      </c>
      <c r="P5" s="13">
        <f>SUMIF(Mercado_Receita!$T$2:$T$641,"44621B1Energia horáriaResidencialResidencialNão se aplicaNão se aplicaPonta",Mercado_Receita!$N$2:$N$641)</f>
        <v>0</v>
      </c>
      <c r="Q5" s="13">
        <f>SUMIF(Mercado_Receita!$T$2:$T$641,"44652B1Energia horáriaResidencialResidencialNão se aplicaNão se aplicaPonta",Mercado_Receita!$N$2:$N$641)</f>
        <v>0</v>
      </c>
      <c r="R5" s="13">
        <f>SUMIF(Mercado_Receita!$T$2:$T$641,"44682B1Energia horáriaResidencialResidencialNão se aplicaNão se aplicaPonta",Mercado_Receita!$N$2:$N$641)</f>
        <v>0</v>
      </c>
      <c r="S5" s="13">
        <f>SUMIF(Mercado_Receita!$T$2:$T$641,"44713B1Energia horáriaResidencialResidencialNão se aplicaNão se aplicaPonta",Mercado_Receita!$N$2:$N$641)</f>
        <v>0</v>
      </c>
      <c r="T5" s="13">
        <f>SUMIF(Mercado_Receita!$T$2:$T$641,"44743B1Energia horáriaResidencialResidencialNão se aplicaNão se aplicaPonta",Mercado_Receita!$N$2:$N$641)</f>
        <v>0</v>
      </c>
      <c r="U5" s="13">
        <f t="shared" si="0"/>
        <v>0</v>
      </c>
      <c r="V5" s="13"/>
      <c r="W5" s="13"/>
    </row>
    <row r="6" spans="1:30" ht="11.25" customHeight="1" x14ac:dyDescent="0.25">
      <c r="A6" s="131"/>
      <c r="B6" s="131"/>
      <c r="C6" s="131"/>
      <c r="D6" s="131"/>
      <c r="E6" s="131"/>
      <c r="F6" s="131"/>
      <c r="G6" s="13" t="s">
        <v>87</v>
      </c>
      <c r="H6" s="13" t="s">
        <v>74</v>
      </c>
      <c r="I6" s="13">
        <f>SUMIF(Mercado_Receita!$T$2:$T$641,"44409B1Energia horáriaResidencialResidencialNão se aplicaNão se aplicaIntermediário",Mercado_Receita!$N$2:$N$641)</f>
        <v>0</v>
      </c>
      <c r="J6" s="13">
        <f>SUMIF(Mercado_Receita!$T$2:$T$641,"44440B1Energia horáriaResidencialResidencialNão se aplicaNão se aplicaIntermediário",Mercado_Receita!$N$2:$N$641)</f>
        <v>0</v>
      </c>
      <c r="K6" s="13">
        <f>SUMIF(Mercado_Receita!$T$2:$T$641,"44470B1Energia horáriaResidencialResidencialNão se aplicaNão se aplicaIntermediário",Mercado_Receita!$N$2:$N$641)</f>
        <v>0</v>
      </c>
      <c r="L6" s="13">
        <f>SUMIF(Mercado_Receita!$T$2:$T$641,"44501B1Energia horáriaResidencialResidencialNão se aplicaNão se aplicaIntermediário",Mercado_Receita!$N$2:$N$641)</f>
        <v>0</v>
      </c>
      <c r="M6" s="13">
        <f>SUMIF(Mercado_Receita!$T$2:$T$641,"44531B1Energia horáriaResidencialResidencialNão se aplicaNão se aplicaIntermediário",Mercado_Receita!$N$2:$N$641)</f>
        <v>0</v>
      </c>
      <c r="N6" s="13">
        <f>SUMIF(Mercado_Receita!$T$2:$T$641,"44562B1Energia horáriaResidencialResidencialNão se aplicaNão se aplicaIntermediário",Mercado_Receita!$N$2:$N$641)</f>
        <v>0</v>
      </c>
      <c r="O6" s="13">
        <f>SUMIF(Mercado_Receita!$T$2:$T$641,"44593B1Energia horáriaResidencialResidencialNão se aplicaNão se aplicaIntermediário",Mercado_Receita!$N$2:$N$641)</f>
        <v>0</v>
      </c>
      <c r="P6" s="13">
        <f>SUMIF(Mercado_Receita!$T$2:$T$641,"44621B1Energia horáriaResidencialResidencialNão se aplicaNão se aplicaIntermediário",Mercado_Receita!$N$2:$N$641)</f>
        <v>0</v>
      </c>
      <c r="Q6" s="13">
        <f>SUMIF(Mercado_Receita!$T$2:$T$641,"44652B1Energia horáriaResidencialResidencialNão se aplicaNão se aplicaIntermediário",Mercado_Receita!$N$2:$N$641)</f>
        <v>0</v>
      </c>
      <c r="R6" s="13">
        <f>SUMIF(Mercado_Receita!$T$2:$T$641,"44682B1Energia horáriaResidencialResidencialNão se aplicaNão se aplicaIntermediário",Mercado_Receita!$N$2:$N$641)</f>
        <v>0</v>
      </c>
      <c r="S6" s="13">
        <f>SUMIF(Mercado_Receita!$T$2:$T$641,"44713B1Energia horáriaResidencialResidencialNão se aplicaNão se aplicaIntermediário",Mercado_Receita!$N$2:$N$641)</f>
        <v>0</v>
      </c>
      <c r="T6" s="13">
        <f>SUMIF(Mercado_Receita!$T$2:$T$641,"44743B1Energia horáriaResidencialResidencialNão se aplicaNão se aplicaIntermediário",Mercado_Receita!$N$2:$N$641)</f>
        <v>0</v>
      </c>
      <c r="U6" s="13">
        <f t="shared" si="0"/>
        <v>0</v>
      </c>
      <c r="V6" s="13"/>
      <c r="W6" s="13"/>
    </row>
    <row r="7" spans="1:30" ht="11.25" customHeight="1" x14ac:dyDescent="0.25">
      <c r="A7" s="131"/>
      <c r="B7" s="131"/>
      <c r="C7" s="131"/>
      <c r="D7" s="131"/>
      <c r="E7" s="131"/>
      <c r="F7" s="131"/>
      <c r="G7" s="13" t="s">
        <v>76</v>
      </c>
      <c r="H7" s="13" t="s">
        <v>74</v>
      </c>
      <c r="I7" s="13">
        <f>SUMIF(Mercado_Receita!$T$2:$T$641,"44409B1Energia horáriaResidencialResidencialNão se aplicaNão se aplicaFora ponta",Mercado_Receita!$N$2:$N$641)</f>
        <v>0</v>
      </c>
      <c r="J7" s="13">
        <f>SUMIF(Mercado_Receita!$T$2:$T$641,"44440B1Energia horáriaResidencialResidencialNão se aplicaNão se aplicaFora ponta",Mercado_Receita!$N$2:$N$641)</f>
        <v>0</v>
      </c>
      <c r="K7" s="13">
        <f>SUMIF(Mercado_Receita!$T$2:$T$641,"44470B1Energia horáriaResidencialResidencialNão se aplicaNão se aplicaFora ponta",Mercado_Receita!$N$2:$N$641)</f>
        <v>0</v>
      </c>
      <c r="L7" s="13">
        <f>SUMIF(Mercado_Receita!$T$2:$T$641,"44501B1Energia horáriaResidencialResidencialNão se aplicaNão se aplicaFora ponta",Mercado_Receita!$N$2:$N$641)</f>
        <v>0</v>
      </c>
      <c r="M7" s="13">
        <f>SUMIF(Mercado_Receita!$T$2:$T$641,"44531B1Energia horáriaResidencialResidencialNão se aplicaNão se aplicaFora ponta",Mercado_Receita!$N$2:$N$641)</f>
        <v>0</v>
      </c>
      <c r="N7" s="13">
        <f>SUMIF(Mercado_Receita!$T$2:$T$641,"44562B1Energia horáriaResidencialResidencialNão se aplicaNão se aplicaFora ponta",Mercado_Receita!$N$2:$N$641)</f>
        <v>0</v>
      </c>
      <c r="O7" s="13">
        <f>SUMIF(Mercado_Receita!$T$2:$T$641,"44593B1Energia horáriaResidencialResidencialNão se aplicaNão se aplicaFora ponta",Mercado_Receita!$N$2:$N$641)</f>
        <v>0</v>
      </c>
      <c r="P7" s="13">
        <f>SUMIF(Mercado_Receita!$T$2:$T$641,"44621B1Energia horáriaResidencialResidencialNão se aplicaNão se aplicaFora ponta",Mercado_Receita!$N$2:$N$641)</f>
        <v>0</v>
      </c>
      <c r="Q7" s="13">
        <f>SUMIF(Mercado_Receita!$T$2:$T$641,"44652B1Energia horáriaResidencialResidencialNão se aplicaNão se aplicaFora ponta",Mercado_Receita!$N$2:$N$641)</f>
        <v>0</v>
      </c>
      <c r="R7" s="13">
        <f>SUMIF(Mercado_Receita!$T$2:$T$641,"44682B1Energia horáriaResidencialResidencialNão se aplicaNão se aplicaFora ponta",Mercado_Receita!$N$2:$N$641)</f>
        <v>0</v>
      </c>
      <c r="S7" s="13">
        <f>SUMIF(Mercado_Receita!$T$2:$T$641,"44713B1Energia horáriaResidencialResidencialNão se aplicaNão se aplicaFora ponta",Mercado_Receita!$N$2:$N$641)</f>
        <v>0</v>
      </c>
      <c r="T7" s="13">
        <f>SUMIF(Mercado_Receita!$T$2:$T$641,"44743B1Energia horáriaResidencialResidencialNão se aplicaNão se aplicaFora ponta",Mercado_Receita!$N$2:$N$641)</f>
        <v>0</v>
      </c>
      <c r="U7" s="13">
        <f t="shared" si="0"/>
        <v>0</v>
      </c>
      <c r="V7" s="13"/>
      <c r="W7" s="13"/>
    </row>
    <row r="8" spans="1:30" ht="11.25" customHeight="1" x14ac:dyDescent="0.25">
      <c r="A8" s="131"/>
      <c r="B8" s="130" t="s">
        <v>77</v>
      </c>
      <c r="C8" s="130" t="s">
        <v>24</v>
      </c>
      <c r="D8" s="12" t="s">
        <v>24</v>
      </c>
      <c r="E8" s="12" t="s">
        <v>25</v>
      </c>
      <c r="F8" s="12" t="s">
        <v>25</v>
      </c>
      <c r="G8" s="13" t="s">
        <v>78</v>
      </c>
      <c r="H8" s="13" t="s">
        <v>74</v>
      </c>
      <c r="I8" s="13">
        <f>SUMIF(Mercado_Receita!$T$2:$T$641,"44409B1Energia convencionalResidencialResidencialNão se aplicaNão se aplicaNão se aplica",Mercado_Receita!$N$2:$N$641)</f>
        <v>4935.9529999999995</v>
      </c>
      <c r="J8" s="13">
        <f>SUMIF(Mercado_Receita!$T$2:$T$641,"44440B1Energia convencionalResidencialResidencialNão se aplicaNão se aplicaNão se aplica",Mercado_Receita!$N$2:$N$641)</f>
        <v>5221.0120000000006</v>
      </c>
      <c r="K8" s="13">
        <f>SUMIF(Mercado_Receita!$T$2:$T$641,"44470B1Energia convencionalResidencialResidencialNão se aplicaNão se aplicaNão se aplica",Mercado_Receita!$N$2:$N$641)</f>
        <v>4936.9520000000002</v>
      </c>
      <c r="L8" s="13">
        <f>SUMIF(Mercado_Receita!$T$2:$T$641,"44501B1Energia convencionalResidencialResidencialNão se aplicaNão se aplicaNão se aplica",Mercado_Receita!$N$2:$N$641)</f>
        <v>5133.5209999999997</v>
      </c>
      <c r="M8" s="13">
        <f>SUMIF(Mercado_Receita!$T$2:$T$641,"44531B1Energia convencionalResidencialResidencialNão se aplicaNão se aplicaNão se aplica",Mercado_Receita!$N$2:$N$641)</f>
        <v>5240.9330000000009</v>
      </c>
      <c r="N8" s="13">
        <f>SUMIF(Mercado_Receita!$T$2:$T$641,"44562B1Energia convencionalResidencialResidencialNão se aplicaNão se aplicaNão se aplica",Mercado_Receita!$N$2:$N$641)</f>
        <v>7864.0610000000006</v>
      </c>
      <c r="O8" s="13">
        <f>SUMIF(Mercado_Receita!$T$2:$T$641,"44593B1Energia convencionalResidencialResidencialNão se aplicaNão se aplicaNão se aplica",Mercado_Receita!$N$2:$N$641)</f>
        <v>7500.9949999999999</v>
      </c>
      <c r="P8" s="13">
        <f>SUMIF(Mercado_Receita!$T$2:$T$641,"44621B1Energia convencionalResidencialResidencialNão se aplicaNão se aplicaNão se aplica",Mercado_Receita!$N$2:$N$641)</f>
        <v>6628.9519999999993</v>
      </c>
      <c r="Q8" s="13">
        <f>SUMIF(Mercado_Receita!$T$2:$T$641,"44652B1Energia convencionalResidencialResidencialNão se aplicaNão se aplicaNão se aplica",Mercado_Receita!$N$2:$N$641)</f>
        <v>5723.0780000000004</v>
      </c>
      <c r="R8" s="13">
        <f>SUMIF(Mercado_Receita!$T$2:$T$641,"44682B1Energia convencionalResidencialResidencialNão se aplicaNão se aplicaNão se aplica",Mercado_Receita!$N$2:$N$641)</f>
        <v>5322.1369999999997</v>
      </c>
      <c r="S8" s="13">
        <f>SUMIF(Mercado_Receita!$T$2:$T$641,"44713B1Energia convencionalResidencialResidencialNão se aplicaNão se aplicaNão se aplica",Mercado_Receita!$N$2:$N$641)</f>
        <v>4708.1080000000011</v>
      </c>
      <c r="T8" s="13">
        <f>SUMIF(Mercado_Receita!$T$2:$T$641,"44743B1Energia convencionalResidencialResidencialNão se aplicaNão se aplicaNão se aplica",Mercado_Receita!$N$2:$N$641)</f>
        <v>4708.1080000000011</v>
      </c>
      <c r="U8" s="13">
        <f t="shared" si="0"/>
        <v>67923.810000000012</v>
      </c>
      <c r="V8" s="13"/>
      <c r="W8" s="13"/>
    </row>
    <row r="9" spans="1:30" ht="11.25" customHeight="1" x14ac:dyDescent="0.25">
      <c r="A9" s="131"/>
      <c r="B9" s="131"/>
      <c r="C9" s="131"/>
      <c r="D9" s="12" t="s">
        <v>29</v>
      </c>
      <c r="E9" s="12" t="s">
        <v>25</v>
      </c>
      <c r="F9" s="12" t="s">
        <v>25</v>
      </c>
      <c r="G9" s="13" t="s">
        <v>78</v>
      </c>
      <c r="H9" s="13" t="s">
        <v>74</v>
      </c>
      <c r="I9" s="13">
        <f>SUMIF(Mercado_Receita!$T$2:$T$641,"44409B1Energia convencionalResidencialResidencial baixa renda – faixa 01Não se aplicaNão se aplicaNão se aplica",Mercado_Receita!$N$2:$N$641)</f>
        <v>39.646000000000001</v>
      </c>
      <c r="J9" s="13">
        <f>SUMIF(Mercado_Receita!$T$2:$T$641,"44440B1Energia convencionalResidencialResidencial baixa renda – faixa 01Não se aplicaNão se aplicaNão se aplica",Mercado_Receita!$N$2:$N$641)</f>
        <v>40.024999999999999</v>
      </c>
      <c r="K9" s="13">
        <f>SUMIF(Mercado_Receita!$T$2:$T$641,"44470B1Energia convencionalResidencialResidencial baixa renda – faixa 01Não se aplicaNão se aplicaNão se aplica",Mercado_Receita!$N$2:$N$641)</f>
        <v>40.651000000000003</v>
      </c>
      <c r="L9" s="13">
        <f>SUMIF(Mercado_Receita!$T$2:$T$641,"44501B1Energia convencionalResidencialResidencial baixa renda – faixa 01Não se aplicaNão se aplicaNão se aplica",Mercado_Receita!$N$2:$N$641)</f>
        <v>40.799999999999997</v>
      </c>
      <c r="M9" s="13">
        <f>SUMIF(Mercado_Receita!$T$2:$T$641,"44531B1Energia convencionalResidencialResidencial baixa renda – faixa 01Não se aplicaNão se aplicaNão se aplica",Mercado_Receita!$N$2:$N$641)</f>
        <v>41.198999999999998</v>
      </c>
      <c r="N9" s="13">
        <f>SUMIF(Mercado_Receita!$T$2:$T$641,"44562B1Energia convencionalResidencialResidencial baixa renda – faixa 01Não se aplicaNão se aplicaNão se aplica",Mercado_Receita!$N$2:$N$641)</f>
        <v>41.094000000000001</v>
      </c>
      <c r="O9" s="13">
        <f>SUMIF(Mercado_Receita!$T$2:$T$641,"44593B1Energia convencionalResidencialResidencial baixa renda – faixa 01Não se aplicaNão se aplicaNão se aplica",Mercado_Receita!$N$2:$N$641)</f>
        <v>41.872999999999998</v>
      </c>
      <c r="P9" s="13">
        <f>SUMIF(Mercado_Receita!$T$2:$T$641,"44621B1Energia convencionalResidencialResidencial baixa renda – faixa 01Não se aplicaNão se aplicaNão se aplica",Mercado_Receita!$N$2:$N$641)</f>
        <v>42.484999999999999</v>
      </c>
      <c r="Q9" s="13">
        <f>SUMIF(Mercado_Receita!$T$2:$T$641,"44652B1Energia convencionalResidencialResidencial baixa renda – faixa 01Não se aplicaNão se aplicaNão se aplica",Mercado_Receita!$N$2:$N$641)</f>
        <v>42.991</v>
      </c>
      <c r="R9" s="13">
        <f>SUMIF(Mercado_Receita!$T$2:$T$641,"44682B1Energia convencionalResidencialResidencial baixa renda – faixa 01Não se aplicaNão se aplicaNão se aplica",Mercado_Receita!$N$2:$N$641)</f>
        <v>44.802999999999997</v>
      </c>
      <c r="S9" s="13">
        <f>SUMIF(Mercado_Receita!$T$2:$T$641,"44713B1Energia convencionalResidencialResidencial baixa renda – faixa 01Não se aplicaNão se aplicaNão se aplica",Mercado_Receita!$N$2:$N$641)</f>
        <v>49.980000000000004</v>
      </c>
      <c r="T9" s="13">
        <f>SUMIF(Mercado_Receita!$T$2:$T$641,"44743B1Energia convencionalResidencialResidencial baixa renda – faixa 01Não se aplicaNão se aplicaNão se aplica",Mercado_Receita!$N$2:$N$641)</f>
        <v>49.980000000000004</v>
      </c>
      <c r="U9" s="13">
        <f t="shared" si="0"/>
        <v>515.52700000000004</v>
      </c>
      <c r="V9" s="13"/>
      <c r="W9" s="13"/>
    </row>
    <row r="10" spans="1:30" ht="11.25" customHeight="1" x14ac:dyDescent="0.25">
      <c r="A10" s="131"/>
      <c r="B10" s="131"/>
      <c r="C10" s="131"/>
      <c r="D10" s="12" t="s">
        <v>30</v>
      </c>
      <c r="E10" s="12" t="s">
        <v>25</v>
      </c>
      <c r="F10" s="12" t="s">
        <v>25</v>
      </c>
      <c r="G10" s="13" t="s">
        <v>78</v>
      </c>
      <c r="H10" s="13" t="s">
        <v>74</v>
      </c>
      <c r="I10" s="13">
        <f>SUMIF(Mercado_Receita!$T$2:$T$641,"44409B1Energia convencionalResidencialResidencial baixa renda – faixa 02Não se aplicaNão se aplicaNão se aplica",Mercado_Receita!$N$2:$N$641)</f>
        <v>79.998000000000005</v>
      </c>
      <c r="J10" s="13">
        <f>SUMIF(Mercado_Receita!$T$2:$T$641,"44440B1Energia convencionalResidencialResidencial baixa renda – faixa 02Não se aplicaNão se aplicaNão se aplica",Mercado_Receita!$N$2:$N$641)</f>
        <v>83.417000000000002</v>
      </c>
      <c r="K10" s="13">
        <f>SUMIF(Mercado_Receita!$T$2:$T$641,"44470B1Energia convencionalResidencialResidencial baixa renda – faixa 02Não se aplicaNão se aplicaNão se aplica",Mercado_Receita!$N$2:$N$641)</f>
        <v>83.251999999999995</v>
      </c>
      <c r="L10" s="13">
        <f>SUMIF(Mercado_Receita!$T$2:$T$641,"44501B1Energia convencionalResidencialResidencial baixa renda – faixa 02Não se aplicaNão se aplicaNão se aplica",Mercado_Receita!$N$2:$N$641)</f>
        <v>84.503</v>
      </c>
      <c r="M10" s="13">
        <f>SUMIF(Mercado_Receita!$T$2:$T$641,"44531B1Energia convencionalResidencialResidencial baixa renda – faixa 02Não se aplicaNão se aplicaNão se aplica",Mercado_Receita!$N$2:$N$641)</f>
        <v>85.739000000000004</v>
      </c>
      <c r="N10" s="13">
        <f>SUMIF(Mercado_Receita!$T$2:$T$641,"44562B1Energia convencionalResidencialResidencial baixa renda – faixa 02Não se aplicaNão se aplicaNão se aplica",Mercado_Receita!$N$2:$N$641)</f>
        <v>89.103000000000009</v>
      </c>
      <c r="O10" s="13">
        <f>SUMIF(Mercado_Receita!$T$2:$T$641,"44593B1Energia convencionalResidencialResidencial baixa renda – faixa 02Não se aplicaNão se aplicaNão se aplica",Mercado_Receita!$N$2:$N$641)</f>
        <v>90.623000000000005</v>
      </c>
      <c r="P10" s="13">
        <f>SUMIF(Mercado_Receita!$T$2:$T$641,"44621B1Energia convencionalResidencialResidencial baixa renda – faixa 02Não se aplicaNão se aplicaNão se aplica",Mercado_Receita!$N$2:$N$641)</f>
        <v>91.774000000000001</v>
      </c>
      <c r="Q10" s="13">
        <f>SUMIF(Mercado_Receita!$T$2:$T$641,"44652B1Energia convencionalResidencialResidencial baixa renda – faixa 02Não se aplicaNão se aplicaNão se aplica",Mercado_Receita!$N$2:$N$641)</f>
        <v>92.381</v>
      </c>
      <c r="R10" s="13">
        <f>SUMIF(Mercado_Receita!$T$2:$T$641,"44682B1Energia convencionalResidencialResidencial baixa renda – faixa 02Não se aplicaNão se aplicaNão se aplica",Mercado_Receita!$N$2:$N$641)</f>
        <v>93.614000000000004</v>
      </c>
      <c r="S10" s="13">
        <f>SUMIF(Mercado_Receita!$T$2:$T$641,"44713B1Energia convencionalResidencialResidencial baixa renda – faixa 02Não se aplicaNão se aplicaNão se aplica",Mercado_Receita!$N$2:$N$641)</f>
        <v>101.914</v>
      </c>
      <c r="T10" s="13">
        <f>SUMIF(Mercado_Receita!$T$2:$T$641,"44743B1Energia convencionalResidencialResidencial baixa renda – faixa 02Não se aplicaNão se aplicaNão se aplica",Mercado_Receita!$N$2:$N$641)</f>
        <v>101.914</v>
      </c>
      <c r="U10" s="13">
        <f t="shared" si="0"/>
        <v>1078.232</v>
      </c>
      <c r="V10" s="13"/>
      <c r="W10" s="13"/>
    </row>
    <row r="11" spans="1:30" ht="11.25" customHeight="1" x14ac:dyDescent="0.25">
      <c r="A11" s="131"/>
      <c r="B11" s="131"/>
      <c r="C11" s="131"/>
      <c r="D11" s="12" t="s">
        <v>31</v>
      </c>
      <c r="E11" s="12" t="s">
        <v>25</v>
      </c>
      <c r="F11" s="12" t="s">
        <v>25</v>
      </c>
      <c r="G11" s="13" t="s">
        <v>78</v>
      </c>
      <c r="H11" s="13" t="s">
        <v>74</v>
      </c>
      <c r="I11" s="13">
        <f>SUMIF(Mercado_Receita!$T$2:$T$641,"44409B1Energia convencionalResidencialResidencial baixa renda – faixa 03Não se aplicaNão se aplicaNão se aplica",Mercado_Receita!$N$2:$N$641)</f>
        <v>76.962000000000003</v>
      </c>
      <c r="J11" s="13">
        <f>SUMIF(Mercado_Receita!$T$2:$T$641,"44440B1Energia convencionalResidencialResidencial baixa renda – faixa 03Não se aplicaNão se aplicaNão se aplica",Mercado_Receita!$N$2:$N$641)</f>
        <v>85.067000000000007</v>
      </c>
      <c r="K11" s="13">
        <f>SUMIF(Mercado_Receita!$T$2:$T$641,"44470B1Energia convencionalResidencialResidencial baixa renda – faixa 03Não se aplicaNão se aplicaNão se aplica",Mercado_Receita!$N$2:$N$641)</f>
        <v>79.495999999999995</v>
      </c>
      <c r="L11" s="13">
        <f>SUMIF(Mercado_Receita!$T$2:$T$641,"44501B1Energia convencionalResidencialResidencial baixa renda – faixa 03Não se aplicaNão se aplicaNão se aplica",Mercado_Receita!$N$2:$N$641)</f>
        <v>82.718000000000004</v>
      </c>
      <c r="M11" s="13">
        <f>SUMIF(Mercado_Receita!$T$2:$T$641,"44531B1Energia convencionalResidencialResidencial baixa renda – faixa 03Não se aplicaNão se aplicaNão se aplica",Mercado_Receita!$N$2:$N$641)</f>
        <v>82.260999999999996</v>
      </c>
      <c r="N11" s="13">
        <f>SUMIF(Mercado_Receita!$T$2:$T$641,"44562B1Energia convencionalResidencialResidencial baixa renda – faixa 03Não se aplicaNão se aplicaNão se aplica",Mercado_Receita!$N$2:$N$641)</f>
        <v>104.33399999999999</v>
      </c>
      <c r="O11" s="13">
        <f>SUMIF(Mercado_Receita!$T$2:$T$641,"44593B1Energia convencionalResidencialResidencial baixa renda – faixa 03Não se aplicaNão se aplicaNão se aplica",Mercado_Receita!$N$2:$N$641)</f>
        <v>105.911</v>
      </c>
      <c r="P11" s="13">
        <f>SUMIF(Mercado_Receita!$T$2:$T$641,"44621B1Energia convencionalResidencialResidencial baixa renda – faixa 03Não se aplicaNão se aplicaNão se aplica",Mercado_Receita!$N$2:$N$641)</f>
        <v>103.68900000000001</v>
      </c>
      <c r="Q11" s="13">
        <f>SUMIF(Mercado_Receita!$T$2:$T$641,"44652B1Energia convencionalResidencialResidencial baixa renda – faixa 03Não se aplicaNão se aplicaNão se aplica",Mercado_Receita!$N$2:$N$641)</f>
        <v>101.081</v>
      </c>
      <c r="R11" s="13">
        <f>SUMIF(Mercado_Receita!$T$2:$T$641,"44682B1Energia convencionalResidencialResidencial baixa renda – faixa 03Não se aplicaNão se aplicaNão se aplica",Mercado_Receita!$N$2:$N$641)</f>
        <v>91.027000000000001</v>
      </c>
      <c r="S11" s="13">
        <f>SUMIF(Mercado_Receita!$T$2:$T$641,"44713B1Energia convencionalResidencialResidencial baixa renda – faixa 03Não se aplicaNão se aplicaNão se aplica",Mercado_Receita!$N$2:$N$641)</f>
        <v>99.652000000000001</v>
      </c>
      <c r="T11" s="13">
        <f>SUMIF(Mercado_Receita!$T$2:$T$641,"44743B1Energia convencionalResidencialResidencial baixa renda – faixa 03Não se aplicaNão se aplicaNão se aplica",Mercado_Receita!$N$2:$N$641)</f>
        <v>99.652000000000001</v>
      </c>
      <c r="U11" s="13">
        <f t="shared" si="0"/>
        <v>1111.8500000000001</v>
      </c>
      <c r="V11" s="13"/>
      <c r="W11" s="13"/>
    </row>
    <row r="12" spans="1:30" ht="11.25" customHeight="1" x14ac:dyDescent="0.25">
      <c r="A12" s="131"/>
      <c r="B12" s="131"/>
      <c r="C12" s="131"/>
      <c r="D12" s="12" t="s">
        <v>32</v>
      </c>
      <c r="E12" s="12" t="s">
        <v>25</v>
      </c>
      <c r="F12" s="12" t="s">
        <v>25</v>
      </c>
      <c r="G12" s="13" t="s">
        <v>78</v>
      </c>
      <c r="H12" s="13" t="s">
        <v>74</v>
      </c>
      <c r="I12" s="13">
        <f>SUMIF(Mercado_Receita!$T$2:$T$641,"44409B1Energia convencionalResidencialResidencial baixa renda – faixa 04Não se aplicaNão se aplicaNão se aplica",Mercado_Receita!$N$2:$N$641)</f>
        <v>25.545999999999999</v>
      </c>
      <c r="J12" s="13">
        <f>SUMIF(Mercado_Receita!$T$2:$T$641,"44440B1Energia convencionalResidencialResidencial baixa renda – faixa 04Não se aplicaNão se aplicaNão se aplica",Mercado_Receita!$N$2:$N$641)</f>
        <v>33.059999999999995</v>
      </c>
      <c r="K12" s="13">
        <f>SUMIF(Mercado_Receita!$T$2:$T$641,"44470B1Energia convencionalResidencialResidencial baixa renda – faixa 04Não se aplicaNão se aplicaNão se aplica",Mercado_Receita!$N$2:$N$641)</f>
        <v>25.251000000000001</v>
      </c>
      <c r="L12" s="13">
        <f>SUMIF(Mercado_Receita!$T$2:$T$641,"44501B1Energia convencionalResidencialResidencial baixa renda – faixa 04Não se aplicaNão se aplicaNão se aplica",Mercado_Receita!$N$2:$N$641)</f>
        <v>24.973000000000003</v>
      </c>
      <c r="M12" s="13">
        <f>SUMIF(Mercado_Receita!$T$2:$T$641,"44531B1Energia convencionalResidencialResidencial baixa renda – faixa 04Não se aplicaNão se aplicaNão se aplica",Mercado_Receita!$N$2:$N$641)</f>
        <v>23.991</v>
      </c>
      <c r="N12" s="13">
        <f>SUMIF(Mercado_Receita!$T$2:$T$641,"44562B1Energia convencionalResidencialResidencial baixa renda – faixa 04Não se aplicaNão se aplicaNão se aplica",Mercado_Receita!$N$2:$N$641)</f>
        <v>54.145000000000003</v>
      </c>
      <c r="O12" s="13">
        <f>SUMIF(Mercado_Receita!$T$2:$T$641,"44593B1Energia convencionalResidencialResidencial baixa renda – faixa 04Não se aplicaNão se aplicaNão se aplica",Mercado_Receita!$N$2:$N$641)</f>
        <v>63.542000000000002</v>
      </c>
      <c r="P12" s="13">
        <f>SUMIF(Mercado_Receita!$T$2:$T$641,"44621B1Energia convencionalResidencialResidencial baixa renda – faixa 04Não se aplicaNão se aplicaNão se aplica",Mercado_Receita!$N$2:$N$641)</f>
        <v>55.092000000000006</v>
      </c>
      <c r="Q12" s="13">
        <f>SUMIF(Mercado_Receita!$T$2:$T$641,"44652B1Energia convencionalResidencialResidencial baixa renda – faixa 04Não se aplicaNão se aplicaNão se aplica",Mercado_Receita!$N$2:$N$641)</f>
        <v>41.746000000000002</v>
      </c>
      <c r="R12" s="13">
        <f>SUMIF(Mercado_Receita!$T$2:$T$641,"44682B1Energia convencionalResidencialResidencial baixa renda – faixa 04Não se aplicaNão se aplicaNão se aplica",Mercado_Receita!$N$2:$N$641)</f>
        <v>29.068999999999999</v>
      </c>
      <c r="S12" s="13">
        <f>SUMIF(Mercado_Receita!$T$2:$T$641,"44713B1Energia convencionalResidencialResidencial baixa renda – faixa 04Não se aplicaNão se aplicaNão se aplica",Mercado_Receita!$N$2:$N$641)</f>
        <v>38.725000000000001</v>
      </c>
      <c r="T12" s="13">
        <f>SUMIF(Mercado_Receita!$T$2:$T$641,"44743B1Energia convencionalResidencialResidencial baixa renda – faixa 04Não se aplicaNão se aplicaNão se aplica",Mercado_Receita!$N$2:$N$641)</f>
        <v>38.725000000000001</v>
      </c>
      <c r="U12" s="13">
        <f t="shared" si="0"/>
        <v>453.86500000000007</v>
      </c>
      <c r="V12" s="13"/>
      <c r="W12" s="13"/>
    </row>
    <row r="13" spans="1:30" ht="11.25" customHeight="1" x14ac:dyDescent="0.25">
      <c r="A13" s="131"/>
      <c r="B13" s="130" t="s">
        <v>88</v>
      </c>
      <c r="C13" s="130" t="s">
        <v>24</v>
      </c>
      <c r="D13" s="12" t="s">
        <v>24</v>
      </c>
      <c r="E13" s="12" t="s">
        <v>25</v>
      </c>
      <c r="F13" s="12" t="s">
        <v>25</v>
      </c>
      <c r="G13" s="13" t="s">
        <v>78</v>
      </c>
      <c r="H13" s="13" t="s">
        <v>74</v>
      </c>
      <c r="I13" s="13">
        <f>SUMIF(Mercado_Receita!$T$2:$T$641,"44409B1Energia convencional pré-pagamentoResidencialResidencialNão se aplicaNão se aplicaNão se aplica",Mercado_Receita!$N$2:$N$641)</f>
        <v>0</v>
      </c>
      <c r="J13" s="13">
        <f>SUMIF(Mercado_Receita!$T$2:$T$641,"44440B1Energia convencional pré-pagamentoResidencialResidencialNão se aplicaNão se aplicaNão se aplica",Mercado_Receita!$N$2:$N$641)</f>
        <v>0</v>
      </c>
      <c r="K13" s="13">
        <f>SUMIF(Mercado_Receita!$T$2:$T$641,"44470B1Energia convencional pré-pagamentoResidencialResidencialNão se aplicaNão se aplicaNão se aplica",Mercado_Receita!$N$2:$N$641)</f>
        <v>0</v>
      </c>
      <c r="L13" s="13">
        <f>SUMIF(Mercado_Receita!$T$2:$T$641,"44501B1Energia convencional pré-pagamentoResidencialResidencialNão se aplicaNão se aplicaNão se aplica",Mercado_Receita!$N$2:$N$641)</f>
        <v>0</v>
      </c>
      <c r="M13" s="13">
        <f>SUMIF(Mercado_Receita!$T$2:$T$641,"44531B1Energia convencional pré-pagamentoResidencialResidencialNão se aplicaNão se aplicaNão se aplica",Mercado_Receita!$N$2:$N$641)</f>
        <v>0</v>
      </c>
      <c r="N13" s="13">
        <f>SUMIF(Mercado_Receita!$T$2:$T$641,"44562B1Energia convencional pré-pagamentoResidencialResidencialNão se aplicaNão se aplicaNão se aplica",Mercado_Receita!$N$2:$N$641)</f>
        <v>0</v>
      </c>
      <c r="O13" s="13">
        <f>SUMIF(Mercado_Receita!$T$2:$T$641,"44593B1Energia convencional pré-pagamentoResidencialResidencialNão se aplicaNão se aplicaNão se aplica",Mercado_Receita!$N$2:$N$641)</f>
        <v>0</v>
      </c>
      <c r="P13" s="13">
        <f>SUMIF(Mercado_Receita!$T$2:$T$641,"44621B1Energia convencional pré-pagamentoResidencialResidencialNão se aplicaNão se aplicaNão se aplica",Mercado_Receita!$N$2:$N$641)</f>
        <v>0</v>
      </c>
      <c r="Q13" s="13">
        <f>SUMIF(Mercado_Receita!$T$2:$T$641,"44652B1Energia convencional pré-pagamentoResidencialResidencialNão se aplicaNão se aplicaNão se aplica",Mercado_Receita!$N$2:$N$641)</f>
        <v>0</v>
      </c>
      <c r="R13" s="13">
        <f>SUMIF(Mercado_Receita!$T$2:$T$641,"44682B1Energia convencional pré-pagamentoResidencialResidencialNão se aplicaNão se aplicaNão se aplica",Mercado_Receita!$N$2:$N$641)</f>
        <v>0</v>
      </c>
      <c r="S13" s="13">
        <f>SUMIF(Mercado_Receita!$T$2:$T$641,"44713B1Energia convencional pré-pagamentoResidencialResidencialNão se aplicaNão se aplicaNão se aplica",Mercado_Receita!$N$2:$N$641)</f>
        <v>0</v>
      </c>
      <c r="T13" s="13">
        <f>SUMIF(Mercado_Receita!$T$2:$T$641,"44743B1Energia convencional pré-pagamentoResidencialResidencialNão se aplicaNão se aplicaNão se aplica",Mercado_Receita!$N$2:$N$641)</f>
        <v>0</v>
      </c>
      <c r="U13" s="13">
        <f t="shared" si="0"/>
        <v>0</v>
      </c>
      <c r="V13" s="13"/>
      <c r="W13" s="13"/>
    </row>
    <row r="14" spans="1:30" ht="11.25" customHeight="1" x14ac:dyDescent="0.25">
      <c r="A14" s="131"/>
      <c r="B14" s="131"/>
      <c r="C14" s="131"/>
      <c r="D14" s="12" t="s">
        <v>29</v>
      </c>
      <c r="E14" s="12" t="s">
        <v>25</v>
      </c>
      <c r="F14" s="12" t="s">
        <v>25</v>
      </c>
      <c r="G14" s="13" t="s">
        <v>78</v>
      </c>
      <c r="H14" s="13" t="s">
        <v>74</v>
      </c>
      <c r="I14" s="13">
        <f>SUMIF(Mercado_Receita!$T$2:$T$641,"44409B1Energia convencional pré-pagamentoResidencialResidencial baixa renda – faixa 01Não se aplicaNão se aplicaNão se aplica",Mercado_Receita!$N$2:$N$641)</f>
        <v>0</v>
      </c>
      <c r="J14" s="13">
        <f>SUMIF(Mercado_Receita!$T$2:$T$641,"44440B1Energia convencional pré-pagamentoResidencialResidencial baixa renda – faixa 01Não se aplicaNão se aplicaNão se aplica",Mercado_Receita!$N$2:$N$641)</f>
        <v>0</v>
      </c>
      <c r="K14" s="13">
        <f>SUMIF(Mercado_Receita!$T$2:$T$641,"44470B1Energia convencional pré-pagamentoResidencialResidencial baixa renda – faixa 01Não se aplicaNão se aplicaNão se aplica",Mercado_Receita!$N$2:$N$641)</f>
        <v>0</v>
      </c>
      <c r="L14" s="13">
        <f>SUMIF(Mercado_Receita!$T$2:$T$641,"44501B1Energia convencional pré-pagamentoResidencialResidencial baixa renda – faixa 01Não se aplicaNão se aplicaNão se aplica",Mercado_Receita!$N$2:$N$641)</f>
        <v>0</v>
      </c>
      <c r="M14" s="13">
        <f>SUMIF(Mercado_Receita!$T$2:$T$641,"44531B1Energia convencional pré-pagamentoResidencialResidencial baixa renda – faixa 01Não se aplicaNão se aplicaNão se aplica",Mercado_Receita!$N$2:$N$641)</f>
        <v>0</v>
      </c>
      <c r="N14" s="13">
        <f>SUMIF(Mercado_Receita!$T$2:$T$641,"44562B1Energia convencional pré-pagamentoResidencialResidencial baixa renda – faixa 01Não se aplicaNão se aplicaNão se aplica",Mercado_Receita!$N$2:$N$641)</f>
        <v>0</v>
      </c>
      <c r="O14" s="13">
        <f>SUMIF(Mercado_Receita!$T$2:$T$641,"44593B1Energia convencional pré-pagamentoResidencialResidencial baixa renda – faixa 01Não se aplicaNão se aplicaNão se aplica",Mercado_Receita!$N$2:$N$641)</f>
        <v>0</v>
      </c>
      <c r="P14" s="13">
        <f>SUMIF(Mercado_Receita!$T$2:$T$641,"44621B1Energia convencional pré-pagamentoResidencialResidencial baixa renda – faixa 01Não se aplicaNão se aplicaNão se aplica",Mercado_Receita!$N$2:$N$641)</f>
        <v>0</v>
      </c>
      <c r="Q14" s="13">
        <f>SUMIF(Mercado_Receita!$T$2:$T$641,"44652B1Energia convencional pré-pagamentoResidencialResidencial baixa renda – faixa 01Não se aplicaNão se aplicaNão se aplica",Mercado_Receita!$N$2:$N$641)</f>
        <v>0</v>
      </c>
      <c r="R14" s="13">
        <f>SUMIF(Mercado_Receita!$T$2:$T$641,"44682B1Energia convencional pré-pagamentoResidencialResidencial baixa renda – faixa 01Não se aplicaNão se aplicaNão se aplica",Mercado_Receita!$N$2:$N$641)</f>
        <v>0</v>
      </c>
      <c r="S14" s="13">
        <f>SUMIF(Mercado_Receita!$T$2:$T$641,"44713B1Energia convencional pré-pagamentoResidencialResidencial baixa renda – faixa 01Não se aplicaNão se aplicaNão se aplica",Mercado_Receita!$N$2:$N$641)</f>
        <v>0</v>
      </c>
      <c r="T14" s="13">
        <f>SUMIF(Mercado_Receita!$T$2:$T$641,"44743B1Energia convencional pré-pagamentoResidencialResidencial baixa renda – faixa 01Não se aplicaNão se aplicaNão se aplica",Mercado_Receita!$N$2:$N$641)</f>
        <v>0</v>
      </c>
      <c r="U14" s="13">
        <f t="shared" si="0"/>
        <v>0</v>
      </c>
      <c r="V14" s="13"/>
      <c r="W14" s="13"/>
    </row>
    <row r="15" spans="1:30" ht="11.25" customHeight="1" x14ac:dyDescent="0.25">
      <c r="A15" s="131"/>
      <c r="B15" s="131"/>
      <c r="C15" s="131"/>
      <c r="D15" s="12" t="s">
        <v>30</v>
      </c>
      <c r="E15" s="12" t="s">
        <v>25</v>
      </c>
      <c r="F15" s="12" t="s">
        <v>25</v>
      </c>
      <c r="G15" s="13" t="s">
        <v>78</v>
      </c>
      <c r="H15" s="13" t="s">
        <v>74</v>
      </c>
      <c r="I15" s="13">
        <f>SUMIF(Mercado_Receita!$T$2:$T$641,"44409B1Energia convencional pré-pagamentoResidencialResidencial baixa renda – faixa 02Não se aplicaNão se aplicaNão se aplica",Mercado_Receita!$N$2:$N$641)</f>
        <v>0</v>
      </c>
      <c r="J15" s="13">
        <f>SUMIF(Mercado_Receita!$T$2:$T$641,"44440B1Energia convencional pré-pagamentoResidencialResidencial baixa renda – faixa 02Não se aplicaNão se aplicaNão se aplica",Mercado_Receita!$N$2:$N$641)</f>
        <v>0</v>
      </c>
      <c r="K15" s="13">
        <f>SUMIF(Mercado_Receita!$T$2:$T$641,"44470B1Energia convencional pré-pagamentoResidencialResidencial baixa renda – faixa 02Não se aplicaNão se aplicaNão se aplica",Mercado_Receita!$N$2:$N$641)</f>
        <v>0</v>
      </c>
      <c r="L15" s="13">
        <f>SUMIF(Mercado_Receita!$T$2:$T$641,"44501B1Energia convencional pré-pagamentoResidencialResidencial baixa renda – faixa 02Não se aplicaNão se aplicaNão se aplica",Mercado_Receita!$N$2:$N$641)</f>
        <v>0</v>
      </c>
      <c r="M15" s="13">
        <f>SUMIF(Mercado_Receita!$T$2:$T$641,"44531B1Energia convencional pré-pagamentoResidencialResidencial baixa renda – faixa 02Não se aplicaNão se aplicaNão se aplica",Mercado_Receita!$N$2:$N$641)</f>
        <v>0</v>
      </c>
      <c r="N15" s="13">
        <f>SUMIF(Mercado_Receita!$T$2:$T$641,"44562B1Energia convencional pré-pagamentoResidencialResidencial baixa renda – faixa 02Não se aplicaNão se aplicaNão se aplica",Mercado_Receita!$N$2:$N$641)</f>
        <v>0</v>
      </c>
      <c r="O15" s="13">
        <f>SUMIF(Mercado_Receita!$T$2:$T$641,"44593B1Energia convencional pré-pagamentoResidencialResidencial baixa renda – faixa 02Não se aplicaNão se aplicaNão se aplica",Mercado_Receita!$N$2:$N$641)</f>
        <v>0</v>
      </c>
      <c r="P15" s="13">
        <f>SUMIF(Mercado_Receita!$T$2:$T$641,"44621B1Energia convencional pré-pagamentoResidencialResidencial baixa renda – faixa 02Não se aplicaNão se aplicaNão se aplica",Mercado_Receita!$N$2:$N$641)</f>
        <v>0</v>
      </c>
      <c r="Q15" s="13">
        <f>SUMIF(Mercado_Receita!$T$2:$T$641,"44652B1Energia convencional pré-pagamentoResidencialResidencial baixa renda – faixa 02Não se aplicaNão se aplicaNão se aplica",Mercado_Receita!$N$2:$N$641)</f>
        <v>0</v>
      </c>
      <c r="R15" s="13">
        <f>SUMIF(Mercado_Receita!$T$2:$T$641,"44682B1Energia convencional pré-pagamentoResidencialResidencial baixa renda – faixa 02Não se aplicaNão se aplicaNão se aplica",Mercado_Receita!$N$2:$N$641)</f>
        <v>0</v>
      </c>
      <c r="S15" s="13">
        <f>SUMIF(Mercado_Receita!$T$2:$T$641,"44713B1Energia convencional pré-pagamentoResidencialResidencial baixa renda – faixa 02Não se aplicaNão se aplicaNão se aplica",Mercado_Receita!$N$2:$N$641)</f>
        <v>0</v>
      </c>
      <c r="T15" s="13">
        <f>SUMIF(Mercado_Receita!$T$2:$T$641,"44743B1Energia convencional pré-pagamentoResidencialResidencial baixa renda – faixa 02Não se aplicaNão se aplicaNão se aplica",Mercado_Receita!$N$2:$N$641)</f>
        <v>0</v>
      </c>
      <c r="U15" s="13">
        <f t="shared" si="0"/>
        <v>0</v>
      </c>
      <c r="V15" s="13"/>
      <c r="W15" s="13"/>
    </row>
    <row r="16" spans="1:30" ht="11.25" customHeight="1" x14ac:dyDescent="0.25">
      <c r="A16" s="131"/>
      <c r="B16" s="131"/>
      <c r="C16" s="131"/>
      <c r="D16" s="12" t="s">
        <v>31</v>
      </c>
      <c r="E16" s="12" t="s">
        <v>25</v>
      </c>
      <c r="F16" s="12" t="s">
        <v>25</v>
      </c>
      <c r="G16" s="13" t="s">
        <v>78</v>
      </c>
      <c r="H16" s="13" t="s">
        <v>74</v>
      </c>
      <c r="I16" s="13">
        <f>SUMIF(Mercado_Receita!$T$2:$T$641,"44409B1Energia convencional pré-pagamentoResidencialResidencial baixa renda – faixa 03Não se aplicaNão se aplicaNão se aplica",Mercado_Receita!$N$2:$N$641)</f>
        <v>0</v>
      </c>
      <c r="J16" s="13">
        <f>SUMIF(Mercado_Receita!$T$2:$T$641,"44440B1Energia convencional pré-pagamentoResidencialResidencial baixa renda – faixa 03Não se aplicaNão se aplicaNão se aplica",Mercado_Receita!$N$2:$N$641)</f>
        <v>0</v>
      </c>
      <c r="K16" s="13">
        <f>SUMIF(Mercado_Receita!$T$2:$T$641,"44470B1Energia convencional pré-pagamentoResidencialResidencial baixa renda – faixa 03Não se aplicaNão se aplicaNão se aplica",Mercado_Receita!$N$2:$N$641)</f>
        <v>0</v>
      </c>
      <c r="L16" s="13">
        <f>SUMIF(Mercado_Receita!$T$2:$T$641,"44501B1Energia convencional pré-pagamentoResidencialResidencial baixa renda – faixa 03Não se aplicaNão se aplicaNão se aplica",Mercado_Receita!$N$2:$N$641)</f>
        <v>0</v>
      </c>
      <c r="M16" s="13">
        <f>SUMIF(Mercado_Receita!$T$2:$T$641,"44531B1Energia convencional pré-pagamentoResidencialResidencial baixa renda – faixa 03Não se aplicaNão se aplicaNão se aplica",Mercado_Receita!$N$2:$N$641)</f>
        <v>0</v>
      </c>
      <c r="N16" s="13">
        <f>SUMIF(Mercado_Receita!$T$2:$T$641,"44562B1Energia convencional pré-pagamentoResidencialResidencial baixa renda – faixa 03Não se aplicaNão se aplicaNão se aplica",Mercado_Receita!$N$2:$N$641)</f>
        <v>0</v>
      </c>
      <c r="O16" s="13">
        <f>SUMIF(Mercado_Receita!$T$2:$T$641,"44593B1Energia convencional pré-pagamentoResidencialResidencial baixa renda – faixa 03Não se aplicaNão se aplicaNão se aplica",Mercado_Receita!$N$2:$N$641)</f>
        <v>0</v>
      </c>
      <c r="P16" s="13">
        <f>SUMIF(Mercado_Receita!$T$2:$T$641,"44621B1Energia convencional pré-pagamentoResidencialResidencial baixa renda – faixa 03Não se aplicaNão se aplicaNão se aplica",Mercado_Receita!$N$2:$N$641)</f>
        <v>0</v>
      </c>
      <c r="Q16" s="13">
        <f>SUMIF(Mercado_Receita!$T$2:$T$641,"44652B1Energia convencional pré-pagamentoResidencialResidencial baixa renda – faixa 03Não se aplicaNão se aplicaNão se aplica",Mercado_Receita!$N$2:$N$641)</f>
        <v>0</v>
      </c>
      <c r="R16" s="13">
        <f>SUMIF(Mercado_Receita!$T$2:$T$641,"44682B1Energia convencional pré-pagamentoResidencialResidencial baixa renda – faixa 03Não se aplicaNão se aplicaNão se aplica",Mercado_Receita!$N$2:$N$641)</f>
        <v>0</v>
      </c>
      <c r="S16" s="13">
        <f>SUMIF(Mercado_Receita!$T$2:$T$641,"44713B1Energia convencional pré-pagamentoResidencialResidencial baixa renda – faixa 03Não se aplicaNão se aplicaNão se aplica",Mercado_Receita!$N$2:$N$641)</f>
        <v>0</v>
      </c>
      <c r="T16" s="13">
        <f>SUMIF(Mercado_Receita!$T$2:$T$641,"44743B1Energia convencional pré-pagamentoResidencialResidencial baixa renda – faixa 03Não se aplicaNão se aplicaNão se aplica",Mercado_Receita!$N$2:$N$641)</f>
        <v>0</v>
      </c>
      <c r="U16" s="13">
        <f t="shared" si="0"/>
        <v>0</v>
      </c>
      <c r="V16" s="13"/>
      <c r="W16" s="13"/>
    </row>
    <row r="17" spans="1:23" ht="11.25" customHeight="1" x14ac:dyDescent="0.25">
      <c r="A17" s="131"/>
      <c r="B17" s="131"/>
      <c r="C17" s="131"/>
      <c r="D17" s="12" t="s">
        <v>32</v>
      </c>
      <c r="E17" s="12" t="s">
        <v>25</v>
      </c>
      <c r="F17" s="12" t="s">
        <v>25</v>
      </c>
      <c r="G17" s="13" t="s">
        <v>78</v>
      </c>
      <c r="H17" s="13" t="s">
        <v>74</v>
      </c>
      <c r="I17" s="13">
        <f>SUMIF(Mercado_Receita!$T$2:$T$641,"44409B1Energia convencional pré-pagamentoResidencialResidencial baixa renda – faixa 04Não se aplicaNão se aplicaNão se aplica",Mercado_Receita!$N$2:$N$641)</f>
        <v>0</v>
      </c>
      <c r="J17" s="13">
        <f>SUMIF(Mercado_Receita!$T$2:$T$641,"44440B1Energia convencional pré-pagamentoResidencialResidencial baixa renda – faixa 04Não se aplicaNão se aplicaNão se aplica",Mercado_Receita!$N$2:$N$641)</f>
        <v>0</v>
      </c>
      <c r="K17" s="13">
        <f>SUMIF(Mercado_Receita!$T$2:$T$641,"44470B1Energia convencional pré-pagamentoResidencialResidencial baixa renda – faixa 04Não se aplicaNão se aplicaNão se aplica",Mercado_Receita!$N$2:$N$641)</f>
        <v>0</v>
      </c>
      <c r="L17" s="13">
        <f>SUMIF(Mercado_Receita!$T$2:$T$641,"44501B1Energia convencional pré-pagamentoResidencialResidencial baixa renda – faixa 04Não se aplicaNão se aplicaNão se aplica",Mercado_Receita!$N$2:$N$641)</f>
        <v>0</v>
      </c>
      <c r="M17" s="13">
        <f>SUMIF(Mercado_Receita!$T$2:$T$641,"44531B1Energia convencional pré-pagamentoResidencialResidencial baixa renda – faixa 04Não se aplicaNão se aplicaNão se aplica",Mercado_Receita!$N$2:$N$641)</f>
        <v>0</v>
      </c>
      <c r="N17" s="13">
        <f>SUMIF(Mercado_Receita!$T$2:$T$641,"44562B1Energia convencional pré-pagamentoResidencialResidencial baixa renda – faixa 04Não se aplicaNão se aplicaNão se aplica",Mercado_Receita!$N$2:$N$641)</f>
        <v>0</v>
      </c>
      <c r="O17" s="13">
        <f>SUMIF(Mercado_Receita!$T$2:$T$641,"44593B1Energia convencional pré-pagamentoResidencialResidencial baixa renda – faixa 04Não se aplicaNão se aplicaNão se aplica",Mercado_Receita!$N$2:$N$641)</f>
        <v>0</v>
      </c>
      <c r="P17" s="13">
        <f>SUMIF(Mercado_Receita!$T$2:$T$641,"44621B1Energia convencional pré-pagamentoResidencialResidencial baixa renda – faixa 04Não se aplicaNão se aplicaNão se aplica",Mercado_Receita!$N$2:$N$641)</f>
        <v>0</v>
      </c>
      <c r="Q17" s="13">
        <f>SUMIF(Mercado_Receita!$T$2:$T$641,"44652B1Energia convencional pré-pagamentoResidencialResidencial baixa renda – faixa 04Não se aplicaNão se aplicaNão se aplica",Mercado_Receita!$N$2:$N$641)</f>
        <v>0</v>
      </c>
      <c r="R17" s="13">
        <f>SUMIF(Mercado_Receita!$T$2:$T$641,"44682B1Energia convencional pré-pagamentoResidencialResidencial baixa renda – faixa 04Não se aplicaNão se aplicaNão se aplica",Mercado_Receita!$N$2:$N$641)</f>
        <v>0</v>
      </c>
      <c r="S17" s="13">
        <f>SUMIF(Mercado_Receita!$T$2:$T$641,"44713B1Energia convencional pré-pagamentoResidencialResidencial baixa renda – faixa 04Não se aplicaNão se aplicaNão se aplica",Mercado_Receita!$N$2:$N$641)</f>
        <v>0</v>
      </c>
      <c r="T17" s="13">
        <f>SUMIF(Mercado_Receita!$T$2:$T$641,"44743B1Energia convencional pré-pagamentoResidencialResidencial baixa renda – faixa 04Não se aplicaNão se aplicaNão se aplica",Mercado_Receita!$N$2:$N$641)</f>
        <v>0</v>
      </c>
      <c r="U17" s="13">
        <f t="shared" si="0"/>
        <v>0</v>
      </c>
      <c r="V17" s="13"/>
      <c r="W17" s="13"/>
    </row>
    <row r="18" spans="1:23" ht="11.25" customHeight="1" x14ac:dyDescent="0.25">
      <c r="A18" s="130" t="s">
        <v>41</v>
      </c>
      <c r="B18" s="130" t="s">
        <v>73</v>
      </c>
      <c r="C18" s="130" t="s">
        <v>42</v>
      </c>
      <c r="D18" s="130" t="s">
        <v>25</v>
      </c>
      <c r="E18" s="130" t="s">
        <v>25</v>
      </c>
      <c r="F18" s="130" t="s">
        <v>25</v>
      </c>
      <c r="G18" s="13" t="s">
        <v>75</v>
      </c>
      <c r="H18" s="13" t="s">
        <v>74</v>
      </c>
      <c r="I18" s="13">
        <f>SUMIF(Mercado_Receita!$T$2:$T$641,"44409B2Energia horáriaRuralNão se aplicaNão se aplicaNão se aplicaPonta",Mercado_Receita!$N$2:$N$641)</f>
        <v>0</v>
      </c>
      <c r="J18" s="13">
        <f>SUMIF(Mercado_Receita!$T$2:$T$641,"44440B2Energia horáriaRuralNão se aplicaNão se aplicaNão se aplicaPonta",Mercado_Receita!$N$2:$N$641)</f>
        <v>0</v>
      </c>
      <c r="K18" s="13">
        <f>SUMIF(Mercado_Receita!$T$2:$T$641,"44470B2Energia horáriaRuralNão se aplicaNão se aplicaNão se aplicaPonta",Mercado_Receita!$N$2:$N$641)</f>
        <v>0</v>
      </c>
      <c r="L18" s="13">
        <f>SUMIF(Mercado_Receita!$T$2:$T$641,"44501B2Energia horáriaRuralNão se aplicaNão se aplicaNão se aplicaPonta",Mercado_Receita!$N$2:$N$641)</f>
        <v>0</v>
      </c>
      <c r="M18" s="13">
        <f>SUMIF(Mercado_Receita!$T$2:$T$641,"44531B2Energia horáriaRuralNão se aplicaNão se aplicaNão se aplicaPonta",Mercado_Receita!$N$2:$N$641)</f>
        <v>0</v>
      </c>
      <c r="N18" s="13">
        <f>SUMIF(Mercado_Receita!$T$2:$T$641,"44562B2Energia horáriaRuralNão se aplicaNão se aplicaNão se aplicaPonta",Mercado_Receita!$N$2:$N$641)</f>
        <v>0</v>
      </c>
      <c r="O18" s="13">
        <f>SUMIF(Mercado_Receita!$T$2:$T$641,"44593B2Energia horáriaRuralNão se aplicaNão se aplicaNão se aplicaPonta",Mercado_Receita!$N$2:$N$641)</f>
        <v>0</v>
      </c>
      <c r="P18" s="13">
        <f>SUMIF(Mercado_Receita!$T$2:$T$641,"44621B2Energia horáriaRuralNão se aplicaNão se aplicaNão se aplicaPonta",Mercado_Receita!$N$2:$N$641)</f>
        <v>0</v>
      </c>
      <c r="Q18" s="13">
        <f>SUMIF(Mercado_Receita!$T$2:$T$641,"44652B2Energia horáriaRuralNão se aplicaNão se aplicaNão se aplicaPonta",Mercado_Receita!$N$2:$N$641)</f>
        <v>0</v>
      </c>
      <c r="R18" s="13">
        <f>SUMIF(Mercado_Receita!$T$2:$T$641,"44682B2Energia horáriaRuralNão se aplicaNão se aplicaNão se aplicaPonta",Mercado_Receita!$N$2:$N$641)</f>
        <v>0</v>
      </c>
      <c r="S18" s="13">
        <f>SUMIF(Mercado_Receita!$T$2:$T$641,"44713B2Energia horáriaRuralNão se aplicaNão se aplicaNão se aplicaPonta",Mercado_Receita!$N$2:$N$641)</f>
        <v>0</v>
      </c>
      <c r="T18" s="13">
        <f>SUMIF(Mercado_Receita!$T$2:$T$641,"44743B2Energia horáriaRuralNão se aplicaNão se aplicaNão se aplicaPonta",Mercado_Receita!$N$2:$N$641)</f>
        <v>0</v>
      </c>
      <c r="U18" s="13">
        <f t="shared" si="0"/>
        <v>0</v>
      </c>
      <c r="V18" s="13"/>
      <c r="W18" s="13"/>
    </row>
    <row r="19" spans="1:23" ht="11.25" customHeight="1" x14ac:dyDescent="0.25">
      <c r="A19" s="131"/>
      <c r="B19" s="131"/>
      <c r="C19" s="131"/>
      <c r="D19" s="131"/>
      <c r="E19" s="131"/>
      <c r="F19" s="131"/>
      <c r="G19" s="13" t="s">
        <v>87</v>
      </c>
      <c r="H19" s="13" t="s">
        <v>74</v>
      </c>
      <c r="I19" s="13">
        <f>SUMIF(Mercado_Receita!$T$2:$T$641,"44409B2Energia horáriaRuralNão se aplicaNão se aplicaNão se aplicaIntermediário",Mercado_Receita!$N$2:$N$641)</f>
        <v>0</v>
      </c>
      <c r="J19" s="13">
        <f>SUMIF(Mercado_Receita!$T$2:$T$641,"44440B2Energia horáriaRuralNão se aplicaNão se aplicaNão se aplicaIntermediário",Mercado_Receita!$N$2:$N$641)</f>
        <v>0</v>
      </c>
      <c r="K19" s="13">
        <f>SUMIF(Mercado_Receita!$T$2:$T$641,"44470B2Energia horáriaRuralNão se aplicaNão se aplicaNão se aplicaIntermediário",Mercado_Receita!$N$2:$N$641)</f>
        <v>0</v>
      </c>
      <c r="L19" s="13">
        <f>SUMIF(Mercado_Receita!$T$2:$T$641,"44501B2Energia horáriaRuralNão se aplicaNão se aplicaNão se aplicaIntermediário",Mercado_Receita!$N$2:$N$641)</f>
        <v>0</v>
      </c>
      <c r="M19" s="13">
        <f>SUMIF(Mercado_Receita!$T$2:$T$641,"44531B2Energia horáriaRuralNão se aplicaNão se aplicaNão se aplicaIntermediário",Mercado_Receita!$N$2:$N$641)</f>
        <v>0</v>
      </c>
      <c r="N19" s="13">
        <f>SUMIF(Mercado_Receita!$T$2:$T$641,"44562B2Energia horáriaRuralNão se aplicaNão se aplicaNão se aplicaIntermediário",Mercado_Receita!$N$2:$N$641)</f>
        <v>0</v>
      </c>
      <c r="O19" s="13">
        <f>SUMIF(Mercado_Receita!$T$2:$T$641,"44593B2Energia horáriaRuralNão se aplicaNão se aplicaNão se aplicaIntermediário",Mercado_Receita!$N$2:$N$641)</f>
        <v>0</v>
      </c>
      <c r="P19" s="13">
        <f>SUMIF(Mercado_Receita!$T$2:$T$641,"44621B2Energia horáriaRuralNão se aplicaNão se aplicaNão se aplicaIntermediário",Mercado_Receita!$N$2:$N$641)</f>
        <v>0</v>
      </c>
      <c r="Q19" s="13">
        <f>SUMIF(Mercado_Receita!$T$2:$T$641,"44652B2Energia horáriaRuralNão se aplicaNão se aplicaNão se aplicaIntermediário",Mercado_Receita!$N$2:$N$641)</f>
        <v>0</v>
      </c>
      <c r="R19" s="13">
        <f>SUMIF(Mercado_Receita!$T$2:$T$641,"44682B2Energia horáriaRuralNão se aplicaNão se aplicaNão se aplicaIntermediário",Mercado_Receita!$N$2:$N$641)</f>
        <v>0</v>
      </c>
      <c r="S19" s="13">
        <f>SUMIF(Mercado_Receita!$T$2:$T$641,"44713B2Energia horáriaRuralNão se aplicaNão se aplicaNão se aplicaIntermediário",Mercado_Receita!$N$2:$N$641)</f>
        <v>0</v>
      </c>
      <c r="T19" s="13">
        <f>SUMIF(Mercado_Receita!$T$2:$T$641,"44743B2Energia horáriaRuralNão se aplicaNão se aplicaNão se aplicaIntermediário",Mercado_Receita!$N$2:$N$641)</f>
        <v>0</v>
      </c>
      <c r="U19" s="13">
        <f t="shared" si="0"/>
        <v>0</v>
      </c>
      <c r="V19" s="13"/>
      <c r="W19" s="13"/>
    </row>
    <row r="20" spans="1:23" ht="11.25" customHeight="1" x14ac:dyDescent="0.25">
      <c r="A20" s="131"/>
      <c r="B20" s="131"/>
      <c r="C20" s="131"/>
      <c r="D20" s="131"/>
      <c r="E20" s="131"/>
      <c r="F20" s="131"/>
      <c r="G20" s="13" t="s">
        <v>76</v>
      </c>
      <c r="H20" s="13" t="s">
        <v>74</v>
      </c>
      <c r="I20" s="13">
        <f>SUMIF(Mercado_Receita!$T$2:$T$641,"44409B2Energia horáriaRuralNão se aplicaNão se aplicaNão se aplicaFora ponta",Mercado_Receita!$N$2:$N$641)</f>
        <v>0</v>
      </c>
      <c r="J20" s="13">
        <f>SUMIF(Mercado_Receita!$T$2:$T$641,"44440B2Energia horáriaRuralNão se aplicaNão se aplicaNão se aplicaFora ponta",Mercado_Receita!$N$2:$N$641)</f>
        <v>0</v>
      </c>
      <c r="K20" s="13">
        <f>SUMIF(Mercado_Receita!$T$2:$T$641,"44470B2Energia horáriaRuralNão se aplicaNão se aplicaNão se aplicaFora ponta",Mercado_Receita!$N$2:$N$641)</f>
        <v>0</v>
      </c>
      <c r="L20" s="13">
        <f>SUMIF(Mercado_Receita!$T$2:$T$641,"44501B2Energia horáriaRuralNão se aplicaNão se aplicaNão se aplicaFora ponta",Mercado_Receita!$N$2:$N$641)</f>
        <v>0</v>
      </c>
      <c r="M20" s="13">
        <f>SUMIF(Mercado_Receita!$T$2:$T$641,"44531B2Energia horáriaRuralNão se aplicaNão se aplicaNão se aplicaFora ponta",Mercado_Receita!$N$2:$N$641)</f>
        <v>0</v>
      </c>
      <c r="N20" s="13">
        <f>SUMIF(Mercado_Receita!$T$2:$T$641,"44562B2Energia horáriaRuralNão se aplicaNão se aplicaNão se aplicaFora ponta",Mercado_Receita!$N$2:$N$641)</f>
        <v>0</v>
      </c>
      <c r="O20" s="13">
        <f>SUMIF(Mercado_Receita!$T$2:$T$641,"44593B2Energia horáriaRuralNão se aplicaNão se aplicaNão se aplicaFora ponta",Mercado_Receita!$N$2:$N$641)</f>
        <v>0</v>
      </c>
      <c r="P20" s="13">
        <f>SUMIF(Mercado_Receita!$T$2:$T$641,"44621B2Energia horáriaRuralNão se aplicaNão se aplicaNão se aplicaFora ponta",Mercado_Receita!$N$2:$N$641)</f>
        <v>0</v>
      </c>
      <c r="Q20" s="13">
        <f>SUMIF(Mercado_Receita!$T$2:$T$641,"44652B2Energia horáriaRuralNão se aplicaNão se aplicaNão se aplicaFora ponta",Mercado_Receita!$N$2:$N$641)</f>
        <v>0</v>
      </c>
      <c r="R20" s="13">
        <f>SUMIF(Mercado_Receita!$T$2:$T$641,"44682B2Energia horáriaRuralNão se aplicaNão se aplicaNão se aplicaFora ponta",Mercado_Receita!$N$2:$N$641)</f>
        <v>0</v>
      </c>
      <c r="S20" s="13">
        <f>SUMIF(Mercado_Receita!$T$2:$T$641,"44713B2Energia horáriaRuralNão se aplicaNão se aplicaNão se aplicaFora ponta",Mercado_Receita!$N$2:$N$641)</f>
        <v>0</v>
      </c>
      <c r="T20" s="13">
        <f>SUMIF(Mercado_Receita!$T$2:$T$641,"44743B2Energia horáriaRuralNão se aplicaNão se aplicaNão se aplicaFora ponta",Mercado_Receita!$N$2:$N$641)</f>
        <v>0</v>
      </c>
      <c r="U20" s="13">
        <f t="shared" si="0"/>
        <v>0</v>
      </c>
      <c r="V20" s="13"/>
      <c r="W20" s="13"/>
    </row>
    <row r="21" spans="1:23" ht="11.25" customHeight="1" x14ac:dyDescent="0.25">
      <c r="A21" s="131"/>
      <c r="B21" s="12" t="s">
        <v>77</v>
      </c>
      <c r="C21" s="12" t="s">
        <v>42</v>
      </c>
      <c r="D21" s="12" t="s">
        <v>25</v>
      </c>
      <c r="E21" s="12" t="s">
        <v>25</v>
      </c>
      <c r="F21" s="12" t="s">
        <v>25</v>
      </c>
      <c r="G21" s="13" t="s">
        <v>78</v>
      </c>
      <c r="H21" s="13" t="s">
        <v>74</v>
      </c>
      <c r="I21" s="13">
        <f>SUMIF(Mercado_Receita!$T$2:$T$641,"44409B2Energia convencionalRuralNão se aplicaNão se aplicaNão se aplicaNão se aplica",Mercado_Receita!$N$2:$N$641)</f>
        <v>759.96699999999998</v>
      </c>
      <c r="J21" s="13">
        <f>SUMIF(Mercado_Receita!$T$2:$T$641,"44440B2Energia convencionalRuralNão se aplicaNão se aplicaNão se aplicaNão se aplica",Mercado_Receita!$N$2:$N$641)</f>
        <v>935.70500000000004</v>
      </c>
      <c r="K21" s="13">
        <f>SUMIF(Mercado_Receita!$T$2:$T$641,"44470B2Energia convencionalRuralNão se aplicaNão se aplicaNão se aplicaNão se aplica",Mercado_Receita!$N$2:$N$641)</f>
        <v>1168.0509999999999</v>
      </c>
      <c r="L21" s="13">
        <f>SUMIF(Mercado_Receita!$T$2:$T$641,"44501B2Energia convencionalRuralNão se aplicaNão se aplicaNão se aplicaNão se aplica",Mercado_Receita!$N$2:$N$641)</f>
        <v>1521.8719999999998</v>
      </c>
      <c r="M21" s="13">
        <f>SUMIF(Mercado_Receita!$T$2:$T$641,"44531B2Energia convencionalRuralNão se aplicaNão se aplicaNão se aplicaNão se aplica",Mercado_Receita!$N$2:$N$641)</f>
        <v>1442.5310000000002</v>
      </c>
      <c r="N21" s="13">
        <f>SUMIF(Mercado_Receita!$T$2:$T$641,"44562B2Energia convencionalRuralNão se aplicaNão se aplicaNão se aplicaNão se aplica",Mercado_Receita!$N$2:$N$641)</f>
        <v>1042.7830000000001</v>
      </c>
      <c r="O21" s="13">
        <f>SUMIF(Mercado_Receita!$T$2:$T$641,"44593B2Energia convencionalRuralNão se aplicaNão se aplicaNão se aplicaNão se aplica",Mercado_Receita!$N$2:$N$641)</f>
        <v>1023.3329999999999</v>
      </c>
      <c r="P21" s="13">
        <f>SUMIF(Mercado_Receita!$T$2:$T$641,"44621B2Energia convencionalRuralNão se aplicaNão se aplicaNão se aplicaNão se aplica",Mercado_Receita!$N$2:$N$641)</f>
        <v>882.59500000000003</v>
      </c>
      <c r="Q21" s="13">
        <f>SUMIF(Mercado_Receita!$T$2:$T$641,"44652B2Energia convencionalRuralNão se aplicaNão se aplicaNão se aplicaNão se aplica",Mercado_Receita!$N$2:$N$641)</f>
        <v>777.69600000000003</v>
      </c>
      <c r="R21" s="13">
        <f>SUMIF(Mercado_Receita!$T$2:$T$641,"44682B2Energia convencionalRuralNão se aplicaNão se aplicaNão se aplicaNão se aplica",Mercado_Receita!$N$2:$N$641)</f>
        <v>771.81799999999998</v>
      </c>
      <c r="S21" s="13">
        <f>SUMIF(Mercado_Receita!$T$2:$T$641,"44713B2Energia convencionalRuralNão se aplicaNão se aplicaNão se aplicaNão se aplica",Mercado_Receita!$N$2:$N$641)</f>
        <v>697.65800000000002</v>
      </c>
      <c r="T21" s="13">
        <f>SUMIF(Mercado_Receita!$T$2:$T$641,"44743B2Energia convencionalRuralNão se aplicaNão se aplicaNão se aplicaNão se aplica",Mercado_Receita!$N$2:$N$641)</f>
        <v>697.65800000000002</v>
      </c>
      <c r="U21" s="13">
        <f t="shared" si="0"/>
        <v>11721.666999999998</v>
      </c>
      <c r="V21" s="13"/>
      <c r="W21" s="13"/>
    </row>
    <row r="22" spans="1:23" ht="11.25" customHeight="1" x14ac:dyDescent="0.25">
      <c r="A22" s="131"/>
      <c r="B22" s="130" t="s">
        <v>73</v>
      </c>
      <c r="C22" s="130" t="s">
        <v>42</v>
      </c>
      <c r="D22" s="130" t="s">
        <v>90</v>
      </c>
      <c r="E22" s="130" t="s">
        <v>25</v>
      </c>
      <c r="F22" s="130" t="s">
        <v>25</v>
      </c>
      <c r="G22" s="13" t="s">
        <v>75</v>
      </c>
      <c r="H22" s="13" t="s">
        <v>74</v>
      </c>
      <c r="I22" s="13">
        <f>SUMIF(Mercado_Receita!$T$2:$T$641,"44409B2Energia horáriaRuralCooperativa de eletrificação ruralNão se aplicaNão se aplicaPonta",Mercado_Receita!$N$2:$N$641)</f>
        <v>0</v>
      </c>
      <c r="J22" s="13">
        <f>SUMIF(Mercado_Receita!$T$2:$T$641,"44440B2Energia horáriaRuralCooperativa de eletrificação ruralNão se aplicaNão se aplicaPonta",Mercado_Receita!$N$2:$N$641)</f>
        <v>0</v>
      </c>
      <c r="K22" s="13">
        <f>SUMIF(Mercado_Receita!$T$2:$T$641,"44470B2Energia horáriaRuralCooperativa de eletrificação ruralNão se aplicaNão se aplicaPonta",Mercado_Receita!$N$2:$N$641)</f>
        <v>0</v>
      </c>
      <c r="L22" s="13">
        <f>SUMIF(Mercado_Receita!$T$2:$T$641,"44501B2Energia horáriaRuralCooperativa de eletrificação ruralNão se aplicaNão se aplicaPonta",Mercado_Receita!$N$2:$N$641)</f>
        <v>0</v>
      </c>
      <c r="M22" s="13">
        <f>SUMIF(Mercado_Receita!$T$2:$T$641,"44531B2Energia horáriaRuralCooperativa de eletrificação ruralNão se aplicaNão se aplicaPonta",Mercado_Receita!$N$2:$N$641)</f>
        <v>0</v>
      </c>
      <c r="N22" s="13">
        <f>SUMIF(Mercado_Receita!$T$2:$T$641,"44562B2Energia horáriaRuralCooperativa de eletrificação ruralNão se aplicaNão se aplicaPonta",Mercado_Receita!$N$2:$N$641)</f>
        <v>0</v>
      </c>
      <c r="O22" s="13">
        <f>SUMIF(Mercado_Receita!$T$2:$T$641,"44593B2Energia horáriaRuralCooperativa de eletrificação ruralNão se aplicaNão se aplicaPonta",Mercado_Receita!$N$2:$N$641)</f>
        <v>0</v>
      </c>
      <c r="P22" s="13">
        <f>SUMIF(Mercado_Receita!$T$2:$T$641,"44621B2Energia horáriaRuralCooperativa de eletrificação ruralNão se aplicaNão se aplicaPonta",Mercado_Receita!$N$2:$N$641)</f>
        <v>0</v>
      </c>
      <c r="Q22" s="13">
        <f>SUMIF(Mercado_Receita!$T$2:$T$641,"44652B2Energia horáriaRuralCooperativa de eletrificação ruralNão se aplicaNão se aplicaPonta",Mercado_Receita!$N$2:$N$641)</f>
        <v>0</v>
      </c>
      <c r="R22" s="13">
        <f>SUMIF(Mercado_Receita!$T$2:$T$641,"44682B2Energia horáriaRuralCooperativa de eletrificação ruralNão se aplicaNão se aplicaPonta",Mercado_Receita!$N$2:$N$641)</f>
        <v>0</v>
      </c>
      <c r="S22" s="13">
        <f>SUMIF(Mercado_Receita!$T$2:$T$641,"44713B2Energia horáriaRuralCooperativa de eletrificação ruralNão se aplicaNão se aplicaPonta",Mercado_Receita!$N$2:$N$641)</f>
        <v>0</v>
      </c>
      <c r="T22" s="13">
        <f>SUMIF(Mercado_Receita!$T$2:$T$641,"44743B2Energia horáriaRuralCooperativa de eletrificação ruralNão se aplicaNão se aplicaPonta",Mercado_Receita!$N$2:$N$641)</f>
        <v>0</v>
      </c>
      <c r="U22" s="13">
        <f t="shared" si="0"/>
        <v>0</v>
      </c>
      <c r="V22" s="13"/>
      <c r="W22" s="13"/>
    </row>
    <row r="23" spans="1:23" ht="11.25" customHeight="1" x14ac:dyDescent="0.25">
      <c r="A23" s="131"/>
      <c r="B23" s="131"/>
      <c r="C23" s="131"/>
      <c r="D23" s="131"/>
      <c r="E23" s="131"/>
      <c r="F23" s="131"/>
      <c r="G23" s="13" t="s">
        <v>87</v>
      </c>
      <c r="H23" s="13" t="s">
        <v>74</v>
      </c>
      <c r="I23" s="13">
        <f>SUMIF(Mercado_Receita!$T$2:$T$641,"44409B2Energia horáriaRuralCooperativa de eletrificação ruralNão se aplicaNão se aplicaIntermediário",Mercado_Receita!$N$2:$N$641)</f>
        <v>0</v>
      </c>
      <c r="J23" s="13">
        <f>SUMIF(Mercado_Receita!$T$2:$T$641,"44440B2Energia horáriaRuralCooperativa de eletrificação ruralNão se aplicaNão se aplicaIntermediário",Mercado_Receita!$N$2:$N$641)</f>
        <v>0</v>
      </c>
      <c r="K23" s="13">
        <f>SUMIF(Mercado_Receita!$T$2:$T$641,"44470B2Energia horáriaRuralCooperativa de eletrificação ruralNão se aplicaNão se aplicaIntermediário",Mercado_Receita!$N$2:$N$641)</f>
        <v>0</v>
      </c>
      <c r="L23" s="13">
        <f>SUMIF(Mercado_Receita!$T$2:$T$641,"44501B2Energia horáriaRuralCooperativa de eletrificação ruralNão se aplicaNão se aplicaIntermediário",Mercado_Receita!$N$2:$N$641)</f>
        <v>0</v>
      </c>
      <c r="M23" s="13">
        <f>SUMIF(Mercado_Receita!$T$2:$T$641,"44531B2Energia horáriaRuralCooperativa de eletrificação ruralNão se aplicaNão se aplicaIntermediário",Mercado_Receita!$N$2:$N$641)</f>
        <v>0</v>
      </c>
      <c r="N23" s="13">
        <f>SUMIF(Mercado_Receita!$T$2:$T$641,"44562B2Energia horáriaRuralCooperativa de eletrificação ruralNão se aplicaNão se aplicaIntermediário",Mercado_Receita!$N$2:$N$641)</f>
        <v>0</v>
      </c>
      <c r="O23" s="13">
        <f>SUMIF(Mercado_Receita!$T$2:$T$641,"44593B2Energia horáriaRuralCooperativa de eletrificação ruralNão se aplicaNão se aplicaIntermediário",Mercado_Receita!$N$2:$N$641)</f>
        <v>0</v>
      </c>
      <c r="P23" s="13">
        <f>SUMIF(Mercado_Receita!$T$2:$T$641,"44621B2Energia horáriaRuralCooperativa de eletrificação ruralNão se aplicaNão se aplicaIntermediário",Mercado_Receita!$N$2:$N$641)</f>
        <v>0</v>
      </c>
      <c r="Q23" s="13">
        <f>SUMIF(Mercado_Receita!$T$2:$T$641,"44652B2Energia horáriaRuralCooperativa de eletrificação ruralNão se aplicaNão se aplicaIntermediário",Mercado_Receita!$N$2:$N$641)</f>
        <v>0</v>
      </c>
      <c r="R23" s="13">
        <f>SUMIF(Mercado_Receita!$T$2:$T$641,"44682B2Energia horáriaRuralCooperativa de eletrificação ruralNão se aplicaNão se aplicaIntermediário",Mercado_Receita!$N$2:$N$641)</f>
        <v>0</v>
      </c>
      <c r="S23" s="13">
        <f>SUMIF(Mercado_Receita!$T$2:$T$641,"44713B2Energia horáriaRuralCooperativa de eletrificação ruralNão se aplicaNão se aplicaIntermediário",Mercado_Receita!$N$2:$N$641)</f>
        <v>0</v>
      </c>
      <c r="T23" s="13">
        <f>SUMIF(Mercado_Receita!$T$2:$T$641,"44743B2Energia horáriaRuralCooperativa de eletrificação ruralNão se aplicaNão se aplicaIntermediário",Mercado_Receita!$N$2:$N$641)</f>
        <v>0</v>
      </c>
      <c r="U23" s="13">
        <f t="shared" si="0"/>
        <v>0</v>
      </c>
      <c r="V23" s="13"/>
      <c r="W23" s="13"/>
    </row>
    <row r="24" spans="1:23" ht="11.25" customHeight="1" x14ac:dyDescent="0.25">
      <c r="A24" s="131"/>
      <c r="B24" s="131"/>
      <c r="C24" s="131"/>
      <c r="D24" s="131"/>
      <c r="E24" s="131"/>
      <c r="F24" s="131"/>
      <c r="G24" s="13" t="s">
        <v>76</v>
      </c>
      <c r="H24" s="13" t="s">
        <v>74</v>
      </c>
      <c r="I24" s="13">
        <f>SUMIF(Mercado_Receita!$T$2:$T$641,"44409B2Energia horáriaRuralCooperativa de eletrificação ruralNão se aplicaNão se aplicaFora ponta",Mercado_Receita!$N$2:$N$641)</f>
        <v>0</v>
      </c>
      <c r="J24" s="13">
        <f>SUMIF(Mercado_Receita!$T$2:$T$641,"44440B2Energia horáriaRuralCooperativa de eletrificação ruralNão se aplicaNão se aplicaFora ponta",Mercado_Receita!$N$2:$N$641)</f>
        <v>0</v>
      </c>
      <c r="K24" s="13">
        <f>SUMIF(Mercado_Receita!$T$2:$T$641,"44470B2Energia horáriaRuralCooperativa de eletrificação ruralNão se aplicaNão se aplicaFora ponta",Mercado_Receita!$N$2:$N$641)</f>
        <v>0</v>
      </c>
      <c r="L24" s="13">
        <f>SUMIF(Mercado_Receita!$T$2:$T$641,"44501B2Energia horáriaRuralCooperativa de eletrificação ruralNão se aplicaNão se aplicaFora ponta",Mercado_Receita!$N$2:$N$641)</f>
        <v>0</v>
      </c>
      <c r="M24" s="13">
        <f>SUMIF(Mercado_Receita!$T$2:$T$641,"44531B2Energia horáriaRuralCooperativa de eletrificação ruralNão se aplicaNão se aplicaFora ponta",Mercado_Receita!$N$2:$N$641)</f>
        <v>0</v>
      </c>
      <c r="N24" s="13">
        <f>SUMIF(Mercado_Receita!$T$2:$T$641,"44562B2Energia horáriaRuralCooperativa de eletrificação ruralNão se aplicaNão se aplicaFora ponta",Mercado_Receita!$N$2:$N$641)</f>
        <v>0</v>
      </c>
      <c r="O24" s="13">
        <f>SUMIF(Mercado_Receita!$T$2:$T$641,"44593B2Energia horáriaRuralCooperativa de eletrificação ruralNão se aplicaNão se aplicaFora ponta",Mercado_Receita!$N$2:$N$641)</f>
        <v>0</v>
      </c>
      <c r="P24" s="13">
        <f>SUMIF(Mercado_Receita!$T$2:$T$641,"44621B2Energia horáriaRuralCooperativa de eletrificação ruralNão se aplicaNão se aplicaFora ponta",Mercado_Receita!$N$2:$N$641)</f>
        <v>0</v>
      </c>
      <c r="Q24" s="13">
        <f>SUMIF(Mercado_Receita!$T$2:$T$641,"44652B2Energia horáriaRuralCooperativa de eletrificação ruralNão se aplicaNão se aplicaFora ponta",Mercado_Receita!$N$2:$N$641)</f>
        <v>0</v>
      </c>
      <c r="R24" s="13">
        <f>SUMIF(Mercado_Receita!$T$2:$T$641,"44682B2Energia horáriaRuralCooperativa de eletrificação ruralNão se aplicaNão se aplicaFora ponta",Mercado_Receita!$N$2:$N$641)</f>
        <v>0</v>
      </c>
      <c r="S24" s="13">
        <f>SUMIF(Mercado_Receita!$T$2:$T$641,"44713B2Energia horáriaRuralCooperativa de eletrificação ruralNão se aplicaNão se aplicaFora ponta",Mercado_Receita!$N$2:$N$641)</f>
        <v>0</v>
      </c>
      <c r="T24" s="13">
        <f>SUMIF(Mercado_Receita!$T$2:$T$641,"44743B2Energia horáriaRuralCooperativa de eletrificação ruralNão se aplicaNão se aplicaFora ponta",Mercado_Receita!$N$2:$N$641)</f>
        <v>0</v>
      </c>
      <c r="U24" s="13">
        <f t="shared" si="0"/>
        <v>0</v>
      </c>
      <c r="V24" s="13"/>
      <c r="W24" s="13"/>
    </row>
    <row r="25" spans="1:23" ht="11.25" customHeight="1" x14ac:dyDescent="0.25">
      <c r="A25" s="131"/>
      <c r="B25" s="12" t="s">
        <v>77</v>
      </c>
      <c r="C25" s="12" t="s">
        <v>42</v>
      </c>
      <c r="D25" s="12" t="s">
        <v>90</v>
      </c>
      <c r="E25" s="12" t="s">
        <v>25</v>
      </c>
      <c r="F25" s="12" t="s">
        <v>25</v>
      </c>
      <c r="G25" s="13" t="s">
        <v>78</v>
      </c>
      <c r="H25" s="13" t="s">
        <v>74</v>
      </c>
      <c r="I25" s="13">
        <f>SUMIF(Mercado_Receita!$T$2:$T$641,"44409B2Energia convencionalRuralCooperativa de eletrificação ruralNão se aplicaNão se aplicaNão se aplica",Mercado_Receita!$N$2:$N$641)</f>
        <v>0</v>
      </c>
      <c r="J25" s="13">
        <f>SUMIF(Mercado_Receita!$T$2:$T$641,"44440B2Energia convencionalRuralCooperativa de eletrificação ruralNão se aplicaNão se aplicaNão se aplica",Mercado_Receita!$N$2:$N$641)</f>
        <v>0</v>
      </c>
      <c r="K25" s="13">
        <f>SUMIF(Mercado_Receita!$T$2:$T$641,"44470B2Energia convencionalRuralCooperativa de eletrificação ruralNão se aplicaNão se aplicaNão se aplica",Mercado_Receita!$N$2:$N$641)</f>
        <v>0</v>
      </c>
      <c r="L25" s="13">
        <f>SUMIF(Mercado_Receita!$T$2:$T$641,"44501B2Energia convencionalRuralCooperativa de eletrificação ruralNão se aplicaNão se aplicaNão se aplica",Mercado_Receita!$N$2:$N$641)</f>
        <v>0</v>
      </c>
      <c r="M25" s="13">
        <f>SUMIF(Mercado_Receita!$T$2:$T$641,"44531B2Energia convencionalRuralCooperativa de eletrificação ruralNão se aplicaNão se aplicaNão se aplica",Mercado_Receita!$N$2:$N$641)</f>
        <v>0</v>
      </c>
      <c r="N25" s="13">
        <f>SUMIF(Mercado_Receita!$T$2:$T$641,"44562B2Energia convencionalRuralCooperativa de eletrificação ruralNão se aplicaNão se aplicaNão se aplica",Mercado_Receita!$N$2:$N$641)</f>
        <v>0</v>
      </c>
      <c r="O25" s="13">
        <f>SUMIF(Mercado_Receita!$T$2:$T$641,"44593B2Energia convencionalRuralCooperativa de eletrificação ruralNão se aplicaNão se aplicaNão se aplica",Mercado_Receita!$N$2:$N$641)</f>
        <v>0</v>
      </c>
      <c r="P25" s="13">
        <f>SUMIF(Mercado_Receita!$T$2:$T$641,"44621B2Energia convencionalRuralCooperativa de eletrificação ruralNão se aplicaNão se aplicaNão se aplica",Mercado_Receita!$N$2:$N$641)</f>
        <v>0</v>
      </c>
      <c r="Q25" s="13">
        <f>SUMIF(Mercado_Receita!$T$2:$T$641,"44652B2Energia convencionalRuralCooperativa de eletrificação ruralNão se aplicaNão se aplicaNão se aplica",Mercado_Receita!$N$2:$N$641)</f>
        <v>0</v>
      </c>
      <c r="R25" s="13">
        <f>SUMIF(Mercado_Receita!$T$2:$T$641,"44682B2Energia convencionalRuralCooperativa de eletrificação ruralNão se aplicaNão se aplicaNão se aplica",Mercado_Receita!$N$2:$N$641)</f>
        <v>0</v>
      </c>
      <c r="S25" s="13">
        <f>SUMIF(Mercado_Receita!$T$2:$T$641,"44713B2Energia convencionalRuralCooperativa de eletrificação ruralNão se aplicaNão se aplicaNão se aplica",Mercado_Receita!$N$2:$N$641)</f>
        <v>0</v>
      </c>
      <c r="T25" s="13">
        <f>SUMIF(Mercado_Receita!$T$2:$T$641,"44743B2Energia convencionalRuralCooperativa de eletrificação ruralNão se aplicaNão se aplicaNão se aplica",Mercado_Receita!$N$2:$N$641)</f>
        <v>0</v>
      </c>
      <c r="U25" s="13">
        <f t="shared" si="0"/>
        <v>0</v>
      </c>
      <c r="V25" s="13"/>
      <c r="W25" s="13"/>
    </row>
    <row r="26" spans="1:23" ht="11.25" customHeight="1" x14ac:dyDescent="0.25">
      <c r="A26" s="131"/>
      <c r="B26" s="130" t="s">
        <v>73</v>
      </c>
      <c r="C26" s="130" t="s">
        <v>42</v>
      </c>
      <c r="D26" s="130" t="s">
        <v>91</v>
      </c>
      <c r="E26" s="130" t="s">
        <v>25</v>
      </c>
      <c r="F26" s="130" t="s">
        <v>25</v>
      </c>
      <c r="G26" s="13" t="s">
        <v>75</v>
      </c>
      <c r="H26" s="13" t="s">
        <v>74</v>
      </c>
      <c r="I26" s="13">
        <f>SUMIF(Mercado_Receita!$T$2:$T$641,"44409B2Energia horáriaRuralServiço público de irrigação ruralNão se aplicaNão se aplicaPonta",Mercado_Receita!$N$2:$N$641)</f>
        <v>0</v>
      </c>
      <c r="J26" s="13">
        <f>SUMIF(Mercado_Receita!$T$2:$T$641,"44440B2Energia horáriaRuralServiço público de irrigação ruralNão se aplicaNão se aplicaPonta",Mercado_Receita!$N$2:$N$641)</f>
        <v>0</v>
      </c>
      <c r="K26" s="13">
        <f>SUMIF(Mercado_Receita!$T$2:$T$641,"44470B2Energia horáriaRuralServiço público de irrigação ruralNão se aplicaNão se aplicaPonta",Mercado_Receita!$N$2:$N$641)</f>
        <v>0</v>
      </c>
      <c r="L26" s="13">
        <f>SUMIF(Mercado_Receita!$T$2:$T$641,"44501B2Energia horáriaRuralServiço público de irrigação ruralNão se aplicaNão se aplicaPonta",Mercado_Receita!$N$2:$N$641)</f>
        <v>0</v>
      </c>
      <c r="M26" s="13">
        <f>SUMIF(Mercado_Receita!$T$2:$T$641,"44531B2Energia horáriaRuralServiço público de irrigação ruralNão se aplicaNão se aplicaPonta",Mercado_Receita!$N$2:$N$641)</f>
        <v>0</v>
      </c>
      <c r="N26" s="13">
        <f>SUMIF(Mercado_Receita!$T$2:$T$641,"44562B2Energia horáriaRuralServiço público de irrigação ruralNão se aplicaNão se aplicaPonta",Mercado_Receita!$N$2:$N$641)</f>
        <v>0</v>
      </c>
      <c r="O26" s="13">
        <f>SUMIF(Mercado_Receita!$T$2:$T$641,"44593B2Energia horáriaRuralServiço público de irrigação ruralNão se aplicaNão se aplicaPonta",Mercado_Receita!$N$2:$N$641)</f>
        <v>0</v>
      </c>
      <c r="P26" s="13">
        <f>SUMIF(Mercado_Receita!$T$2:$T$641,"44621B2Energia horáriaRuralServiço público de irrigação ruralNão se aplicaNão se aplicaPonta",Mercado_Receita!$N$2:$N$641)</f>
        <v>0</v>
      </c>
      <c r="Q26" s="13">
        <f>SUMIF(Mercado_Receita!$T$2:$T$641,"44652B2Energia horáriaRuralServiço público de irrigação ruralNão se aplicaNão se aplicaPonta",Mercado_Receita!$N$2:$N$641)</f>
        <v>0</v>
      </c>
      <c r="R26" s="13">
        <f>SUMIF(Mercado_Receita!$T$2:$T$641,"44682B2Energia horáriaRuralServiço público de irrigação ruralNão se aplicaNão se aplicaPonta",Mercado_Receita!$N$2:$N$641)</f>
        <v>0</v>
      </c>
      <c r="S26" s="13">
        <f>SUMIF(Mercado_Receita!$T$2:$T$641,"44713B2Energia horáriaRuralServiço público de irrigação ruralNão se aplicaNão se aplicaPonta",Mercado_Receita!$N$2:$N$641)</f>
        <v>0</v>
      </c>
      <c r="T26" s="13">
        <f>SUMIF(Mercado_Receita!$T$2:$T$641,"44743B2Energia horáriaRuralServiço público de irrigação ruralNão se aplicaNão se aplicaPonta",Mercado_Receita!$N$2:$N$641)</f>
        <v>0</v>
      </c>
      <c r="U26" s="13">
        <f t="shared" si="0"/>
        <v>0</v>
      </c>
      <c r="V26" s="13"/>
      <c r="W26" s="13"/>
    </row>
    <row r="27" spans="1:23" ht="11.25" customHeight="1" x14ac:dyDescent="0.25">
      <c r="A27" s="131"/>
      <c r="B27" s="131"/>
      <c r="C27" s="131"/>
      <c r="D27" s="131"/>
      <c r="E27" s="131"/>
      <c r="F27" s="131"/>
      <c r="G27" s="13" t="s">
        <v>87</v>
      </c>
      <c r="H27" s="13" t="s">
        <v>74</v>
      </c>
      <c r="I27" s="13">
        <f>SUMIF(Mercado_Receita!$T$2:$T$641,"44409B2Energia horáriaRuralServiço público de irrigação ruralNão se aplicaNão se aplicaIntermediário",Mercado_Receita!$N$2:$N$641)</f>
        <v>0</v>
      </c>
      <c r="J27" s="13">
        <f>SUMIF(Mercado_Receita!$T$2:$T$641,"44440B2Energia horáriaRuralServiço público de irrigação ruralNão se aplicaNão se aplicaIntermediário",Mercado_Receita!$N$2:$N$641)</f>
        <v>0</v>
      </c>
      <c r="K27" s="13">
        <f>SUMIF(Mercado_Receita!$T$2:$T$641,"44470B2Energia horáriaRuralServiço público de irrigação ruralNão se aplicaNão se aplicaIntermediário",Mercado_Receita!$N$2:$N$641)</f>
        <v>0</v>
      </c>
      <c r="L27" s="13">
        <f>SUMIF(Mercado_Receita!$T$2:$T$641,"44501B2Energia horáriaRuralServiço público de irrigação ruralNão se aplicaNão se aplicaIntermediário",Mercado_Receita!$N$2:$N$641)</f>
        <v>0</v>
      </c>
      <c r="M27" s="13">
        <f>SUMIF(Mercado_Receita!$T$2:$T$641,"44531B2Energia horáriaRuralServiço público de irrigação ruralNão se aplicaNão se aplicaIntermediário",Mercado_Receita!$N$2:$N$641)</f>
        <v>0</v>
      </c>
      <c r="N27" s="13">
        <f>SUMIF(Mercado_Receita!$T$2:$T$641,"44562B2Energia horáriaRuralServiço público de irrigação ruralNão se aplicaNão se aplicaIntermediário",Mercado_Receita!$N$2:$N$641)</f>
        <v>0</v>
      </c>
      <c r="O27" s="13">
        <f>SUMIF(Mercado_Receita!$T$2:$T$641,"44593B2Energia horáriaRuralServiço público de irrigação ruralNão se aplicaNão se aplicaIntermediário",Mercado_Receita!$N$2:$N$641)</f>
        <v>0</v>
      </c>
      <c r="P27" s="13">
        <f>SUMIF(Mercado_Receita!$T$2:$T$641,"44621B2Energia horáriaRuralServiço público de irrigação ruralNão se aplicaNão se aplicaIntermediário",Mercado_Receita!$N$2:$N$641)</f>
        <v>0</v>
      </c>
      <c r="Q27" s="13">
        <f>SUMIF(Mercado_Receita!$T$2:$T$641,"44652B2Energia horáriaRuralServiço público de irrigação ruralNão se aplicaNão se aplicaIntermediário",Mercado_Receita!$N$2:$N$641)</f>
        <v>0</v>
      </c>
      <c r="R27" s="13">
        <f>SUMIF(Mercado_Receita!$T$2:$T$641,"44682B2Energia horáriaRuralServiço público de irrigação ruralNão se aplicaNão se aplicaIntermediário",Mercado_Receita!$N$2:$N$641)</f>
        <v>0</v>
      </c>
      <c r="S27" s="13">
        <f>SUMIF(Mercado_Receita!$T$2:$T$641,"44713B2Energia horáriaRuralServiço público de irrigação ruralNão se aplicaNão se aplicaIntermediário",Mercado_Receita!$N$2:$N$641)</f>
        <v>0</v>
      </c>
      <c r="T27" s="13">
        <f>SUMIF(Mercado_Receita!$T$2:$T$641,"44743B2Energia horáriaRuralServiço público de irrigação ruralNão se aplicaNão se aplicaIntermediário",Mercado_Receita!$N$2:$N$641)</f>
        <v>0</v>
      </c>
      <c r="U27" s="13">
        <f t="shared" si="0"/>
        <v>0</v>
      </c>
      <c r="V27" s="13"/>
      <c r="W27" s="13"/>
    </row>
    <row r="28" spans="1:23" ht="11.25" customHeight="1" x14ac:dyDescent="0.25">
      <c r="A28" s="131"/>
      <c r="B28" s="131"/>
      <c r="C28" s="131"/>
      <c r="D28" s="131"/>
      <c r="E28" s="131"/>
      <c r="F28" s="131"/>
      <c r="G28" s="13" t="s">
        <v>76</v>
      </c>
      <c r="H28" s="13" t="s">
        <v>74</v>
      </c>
      <c r="I28" s="13">
        <f>SUMIF(Mercado_Receita!$T$2:$T$641,"44409B2Energia horáriaRuralServiço público de irrigação ruralNão se aplicaNão se aplicaFora ponta",Mercado_Receita!$N$2:$N$641)</f>
        <v>0</v>
      </c>
      <c r="J28" s="13">
        <f>SUMIF(Mercado_Receita!$T$2:$T$641,"44440B2Energia horáriaRuralServiço público de irrigação ruralNão se aplicaNão se aplicaFora ponta",Mercado_Receita!$N$2:$N$641)</f>
        <v>0</v>
      </c>
      <c r="K28" s="13">
        <f>SUMIF(Mercado_Receita!$T$2:$T$641,"44470B2Energia horáriaRuralServiço público de irrigação ruralNão se aplicaNão se aplicaFora ponta",Mercado_Receita!$N$2:$N$641)</f>
        <v>0</v>
      </c>
      <c r="L28" s="13">
        <f>SUMIF(Mercado_Receita!$T$2:$T$641,"44501B2Energia horáriaRuralServiço público de irrigação ruralNão se aplicaNão se aplicaFora ponta",Mercado_Receita!$N$2:$N$641)</f>
        <v>0</v>
      </c>
      <c r="M28" s="13">
        <f>SUMIF(Mercado_Receita!$T$2:$T$641,"44531B2Energia horáriaRuralServiço público de irrigação ruralNão se aplicaNão se aplicaFora ponta",Mercado_Receita!$N$2:$N$641)</f>
        <v>0</v>
      </c>
      <c r="N28" s="13">
        <f>SUMIF(Mercado_Receita!$T$2:$T$641,"44562B2Energia horáriaRuralServiço público de irrigação ruralNão se aplicaNão se aplicaFora ponta",Mercado_Receita!$N$2:$N$641)</f>
        <v>0</v>
      </c>
      <c r="O28" s="13">
        <f>SUMIF(Mercado_Receita!$T$2:$T$641,"44593B2Energia horáriaRuralServiço público de irrigação ruralNão se aplicaNão se aplicaFora ponta",Mercado_Receita!$N$2:$N$641)</f>
        <v>0</v>
      </c>
      <c r="P28" s="13">
        <f>SUMIF(Mercado_Receita!$T$2:$T$641,"44621B2Energia horáriaRuralServiço público de irrigação ruralNão se aplicaNão se aplicaFora ponta",Mercado_Receita!$N$2:$N$641)</f>
        <v>0</v>
      </c>
      <c r="Q28" s="13">
        <f>SUMIF(Mercado_Receita!$T$2:$T$641,"44652B2Energia horáriaRuralServiço público de irrigação ruralNão se aplicaNão se aplicaFora ponta",Mercado_Receita!$N$2:$N$641)</f>
        <v>0</v>
      </c>
      <c r="R28" s="13">
        <f>SUMIF(Mercado_Receita!$T$2:$T$641,"44682B2Energia horáriaRuralServiço público de irrigação ruralNão se aplicaNão se aplicaFora ponta",Mercado_Receita!$N$2:$N$641)</f>
        <v>0</v>
      </c>
      <c r="S28" s="13">
        <f>SUMIF(Mercado_Receita!$T$2:$T$641,"44713B2Energia horáriaRuralServiço público de irrigação ruralNão se aplicaNão se aplicaFora ponta",Mercado_Receita!$N$2:$N$641)</f>
        <v>0</v>
      </c>
      <c r="T28" s="13">
        <f>SUMIF(Mercado_Receita!$T$2:$T$641,"44743B2Energia horáriaRuralServiço público de irrigação ruralNão se aplicaNão se aplicaFora ponta",Mercado_Receita!$N$2:$N$641)</f>
        <v>0</v>
      </c>
      <c r="U28" s="13">
        <f t="shared" si="0"/>
        <v>0</v>
      </c>
      <c r="V28" s="13"/>
      <c r="W28" s="13"/>
    </row>
    <row r="29" spans="1:23" ht="11.25" customHeight="1" x14ac:dyDescent="0.25">
      <c r="A29" s="131"/>
      <c r="B29" s="12" t="s">
        <v>77</v>
      </c>
      <c r="C29" s="12" t="s">
        <v>42</v>
      </c>
      <c r="D29" s="12" t="s">
        <v>91</v>
      </c>
      <c r="E29" s="12" t="s">
        <v>25</v>
      </c>
      <c r="F29" s="12" t="s">
        <v>25</v>
      </c>
      <c r="G29" s="13" t="s">
        <v>78</v>
      </c>
      <c r="H29" s="13" t="s">
        <v>74</v>
      </c>
      <c r="I29" s="13">
        <f>SUMIF(Mercado_Receita!$T$2:$T$641,"44409B2Energia convencionalRuralServiço público de irrigação ruralNão se aplicaNão se aplicaNão se aplica",Mercado_Receita!$N$2:$N$641)</f>
        <v>0</v>
      </c>
      <c r="J29" s="13">
        <f>SUMIF(Mercado_Receita!$T$2:$T$641,"44440B2Energia convencionalRuralServiço público de irrigação ruralNão se aplicaNão se aplicaNão se aplica",Mercado_Receita!$N$2:$N$641)</f>
        <v>0</v>
      </c>
      <c r="K29" s="13">
        <f>SUMIF(Mercado_Receita!$T$2:$T$641,"44470B2Energia convencionalRuralServiço público de irrigação ruralNão se aplicaNão se aplicaNão se aplica",Mercado_Receita!$N$2:$N$641)</f>
        <v>0</v>
      </c>
      <c r="L29" s="13">
        <f>SUMIF(Mercado_Receita!$T$2:$T$641,"44501B2Energia convencionalRuralServiço público de irrigação ruralNão se aplicaNão se aplicaNão se aplica",Mercado_Receita!$N$2:$N$641)</f>
        <v>0</v>
      </c>
      <c r="M29" s="13">
        <f>SUMIF(Mercado_Receita!$T$2:$T$641,"44531B2Energia convencionalRuralServiço público de irrigação ruralNão se aplicaNão se aplicaNão se aplica",Mercado_Receita!$N$2:$N$641)</f>
        <v>0</v>
      </c>
      <c r="N29" s="13">
        <f>SUMIF(Mercado_Receita!$T$2:$T$641,"44562B2Energia convencionalRuralServiço público de irrigação ruralNão se aplicaNão se aplicaNão se aplica",Mercado_Receita!$N$2:$N$641)</f>
        <v>0</v>
      </c>
      <c r="O29" s="13">
        <f>SUMIF(Mercado_Receita!$T$2:$T$641,"44593B2Energia convencionalRuralServiço público de irrigação ruralNão se aplicaNão se aplicaNão se aplica",Mercado_Receita!$N$2:$N$641)</f>
        <v>0</v>
      </c>
      <c r="P29" s="13">
        <f>SUMIF(Mercado_Receita!$T$2:$T$641,"44621B2Energia convencionalRuralServiço público de irrigação ruralNão se aplicaNão se aplicaNão se aplica",Mercado_Receita!$N$2:$N$641)</f>
        <v>0</v>
      </c>
      <c r="Q29" s="13">
        <f>SUMIF(Mercado_Receita!$T$2:$T$641,"44652B2Energia convencionalRuralServiço público de irrigação ruralNão se aplicaNão se aplicaNão se aplica",Mercado_Receita!$N$2:$N$641)</f>
        <v>0</v>
      </c>
      <c r="R29" s="13">
        <f>SUMIF(Mercado_Receita!$T$2:$T$641,"44682B2Energia convencionalRuralServiço público de irrigação ruralNão se aplicaNão se aplicaNão se aplica",Mercado_Receita!$N$2:$N$641)</f>
        <v>0</v>
      </c>
      <c r="S29" s="13">
        <f>SUMIF(Mercado_Receita!$T$2:$T$641,"44713B2Energia convencionalRuralServiço público de irrigação ruralNão se aplicaNão se aplicaNão se aplica",Mercado_Receita!$N$2:$N$641)</f>
        <v>0</v>
      </c>
      <c r="T29" s="13">
        <f>SUMIF(Mercado_Receita!$T$2:$T$641,"44743B2Energia convencionalRuralServiço público de irrigação ruralNão se aplicaNão se aplicaNão se aplica",Mercado_Receita!$N$2:$N$641)</f>
        <v>0</v>
      </c>
      <c r="U29" s="13">
        <f t="shared" si="0"/>
        <v>0</v>
      </c>
      <c r="V29" s="13"/>
      <c r="W29" s="13"/>
    </row>
    <row r="30" spans="1:23" ht="11.25" customHeight="1" x14ac:dyDescent="0.25">
      <c r="A30" s="131"/>
      <c r="B30" s="130" t="s">
        <v>88</v>
      </c>
      <c r="C30" s="130" t="s">
        <v>42</v>
      </c>
      <c r="D30" s="12" t="s">
        <v>25</v>
      </c>
      <c r="E30" s="12" t="s">
        <v>25</v>
      </c>
      <c r="F30" s="12" t="s">
        <v>25</v>
      </c>
      <c r="G30" s="13" t="s">
        <v>78</v>
      </c>
      <c r="H30" s="13" t="s">
        <v>74</v>
      </c>
      <c r="I30" s="13">
        <f>SUMIF(Mercado_Receita!$T$2:$T$641,"44409B2Energia convencional pré-pagamentoRuralNão se aplicaNão se aplicaNão se aplicaNão se aplica",Mercado_Receita!$N$2:$N$641)</f>
        <v>0</v>
      </c>
      <c r="J30" s="13">
        <f>SUMIF(Mercado_Receita!$T$2:$T$641,"44440B2Energia convencional pré-pagamentoRuralNão se aplicaNão se aplicaNão se aplicaNão se aplica",Mercado_Receita!$N$2:$N$641)</f>
        <v>0</v>
      </c>
      <c r="K30" s="13">
        <f>SUMIF(Mercado_Receita!$T$2:$T$641,"44470B2Energia convencional pré-pagamentoRuralNão se aplicaNão se aplicaNão se aplicaNão se aplica",Mercado_Receita!$N$2:$N$641)</f>
        <v>0</v>
      </c>
      <c r="L30" s="13">
        <f>SUMIF(Mercado_Receita!$T$2:$T$641,"44501B2Energia convencional pré-pagamentoRuralNão se aplicaNão se aplicaNão se aplicaNão se aplica",Mercado_Receita!$N$2:$N$641)</f>
        <v>0</v>
      </c>
      <c r="M30" s="13">
        <f>SUMIF(Mercado_Receita!$T$2:$T$641,"44531B2Energia convencional pré-pagamentoRuralNão se aplicaNão se aplicaNão se aplicaNão se aplica",Mercado_Receita!$N$2:$N$641)</f>
        <v>0</v>
      </c>
      <c r="N30" s="13">
        <f>SUMIF(Mercado_Receita!$T$2:$T$641,"44562B2Energia convencional pré-pagamentoRuralNão se aplicaNão se aplicaNão se aplicaNão se aplica",Mercado_Receita!$N$2:$N$641)</f>
        <v>0</v>
      </c>
      <c r="O30" s="13">
        <f>SUMIF(Mercado_Receita!$T$2:$T$641,"44593B2Energia convencional pré-pagamentoRuralNão se aplicaNão se aplicaNão se aplicaNão se aplica",Mercado_Receita!$N$2:$N$641)</f>
        <v>0</v>
      </c>
      <c r="P30" s="13">
        <f>SUMIF(Mercado_Receita!$T$2:$T$641,"44621B2Energia convencional pré-pagamentoRuralNão se aplicaNão se aplicaNão se aplicaNão se aplica",Mercado_Receita!$N$2:$N$641)</f>
        <v>0</v>
      </c>
      <c r="Q30" s="13">
        <f>SUMIF(Mercado_Receita!$T$2:$T$641,"44652B2Energia convencional pré-pagamentoRuralNão se aplicaNão se aplicaNão se aplicaNão se aplica",Mercado_Receita!$N$2:$N$641)</f>
        <v>0</v>
      </c>
      <c r="R30" s="13">
        <f>SUMIF(Mercado_Receita!$T$2:$T$641,"44682B2Energia convencional pré-pagamentoRuralNão se aplicaNão se aplicaNão se aplicaNão se aplica",Mercado_Receita!$N$2:$N$641)</f>
        <v>0</v>
      </c>
      <c r="S30" s="13">
        <f>SUMIF(Mercado_Receita!$T$2:$T$641,"44713B2Energia convencional pré-pagamentoRuralNão se aplicaNão se aplicaNão se aplicaNão se aplica",Mercado_Receita!$N$2:$N$641)</f>
        <v>0</v>
      </c>
      <c r="T30" s="13">
        <f>SUMIF(Mercado_Receita!$T$2:$T$641,"44743B2Energia convencional pré-pagamentoRuralNão se aplicaNão se aplicaNão se aplicaNão se aplica",Mercado_Receita!$N$2:$N$641)</f>
        <v>0</v>
      </c>
      <c r="U30" s="13">
        <f t="shared" si="0"/>
        <v>0</v>
      </c>
      <c r="V30" s="13"/>
      <c r="W30" s="13"/>
    </row>
    <row r="31" spans="1:23" ht="11.25" customHeight="1" x14ac:dyDescent="0.25">
      <c r="A31" s="131"/>
      <c r="B31" s="131"/>
      <c r="C31" s="131"/>
      <c r="D31" s="12" t="s">
        <v>90</v>
      </c>
      <c r="E31" s="12" t="s">
        <v>25</v>
      </c>
      <c r="F31" s="12" t="s">
        <v>25</v>
      </c>
      <c r="G31" s="13" t="s">
        <v>78</v>
      </c>
      <c r="H31" s="13" t="s">
        <v>74</v>
      </c>
      <c r="I31" s="13">
        <f>SUMIF(Mercado_Receita!$T$2:$T$641,"44409B2Energia convencional pré-pagamentoRuralCooperativa de eletrificação ruralNão se aplicaNão se aplicaNão se aplica",Mercado_Receita!$N$2:$N$641)</f>
        <v>0</v>
      </c>
      <c r="J31" s="13">
        <f>SUMIF(Mercado_Receita!$T$2:$T$641,"44440B2Energia convencional pré-pagamentoRuralCooperativa de eletrificação ruralNão se aplicaNão se aplicaNão se aplica",Mercado_Receita!$N$2:$N$641)</f>
        <v>0</v>
      </c>
      <c r="K31" s="13">
        <f>SUMIF(Mercado_Receita!$T$2:$T$641,"44470B2Energia convencional pré-pagamentoRuralCooperativa de eletrificação ruralNão se aplicaNão se aplicaNão se aplica",Mercado_Receita!$N$2:$N$641)</f>
        <v>0</v>
      </c>
      <c r="L31" s="13">
        <f>SUMIF(Mercado_Receita!$T$2:$T$641,"44501B2Energia convencional pré-pagamentoRuralCooperativa de eletrificação ruralNão se aplicaNão se aplicaNão se aplica",Mercado_Receita!$N$2:$N$641)</f>
        <v>0</v>
      </c>
      <c r="M31" s="13">
        <f>SUMIF(Mercado_Receita!$T$2:$T$641,"44531B2Energia convencional pré-pagamentoRuralCooperativa de eletrificação ruralNão se aplicaNão se aplicaNão se aplica",Mercado_Receita!$N$2:$N$641)</f>
        <v>0</v>
      </c>
      <c r="N31" s="13">
        <f>SUMIF(Mercado_Receita!$T$2:$T$641,"44562B2Energia convencional pré-pagamentoRuralCooperativa de eletrificação ruralNão se aplicaNão se aplicaNão se aplica",Mercado_Receita!$N$2:$N$641)</f>
        <v>0</v>
      </c>
      <c r="O31" s="13">
        <f>SUMIF(Mercado_Receita!$T$2:$T$641,"44593B2Energia convencional pré-pagamentoRuralCooperativa de eletrificação ruralNão se aplicaNão se aplicaNão se aplica",Mercado_Receita!$N$2:$N$641)</f>
        <v>0</v>
      </c>
      <c r="P31" s="13">
        <f>SUMIF(Mercado_Receita!$T$2:$T$641,"44621B2Energia convencional pré-pagamentoRuralCooperativa de eletrificação ruralNão se aplicaNão se aplicaNão se aplica",Mercado_Receita!$N$2:$N$641)</f>
        <v>0</v>
      </c>
      <c r="Q31" s="13">
        <f>SUMIF(Mercado_Receita!$T$2:$T$641,"44652B2Energia convencional pré-pagamentoRuralCooperativa de eletrificação ruralNão se aplicaNão se aplicaNão se aplica",Mercado_Receita!$N$2:$N$641)</f>
        <v>0</v>
      </c>
      <c r="R31" s="13">
        <f>SUMIF(Mercado_Receita!$T$2:$T$641,"44682B2Energia convencional pré-pagamentoRuralCooperativa de eletrificação ruralNão se aplicaNão se aplicaNão se aplica",Mercado_Receita!$N$2:$N$641)</f>
        <v>0</v>
      </c>
      <c r="S31" s="13">
        <f>SUMIF(Mercado_Receita!$T$2:$T$641,"44713B2Energia convencional pré-pagamentoRuralCooperativa de eletrificação ruralNão se aplicaNão se aplicaNão se aplica",Mercado_Receita!$N$2:$N$641)</f>
        <v>0</v>
      </c>
      <c r="T31" s="13">
        <f>SUMIF(Mercado_Receita!$T$2:$T$641,"44743B2Energia convencional pré-pagamentoRuralCooperativa de eletrificação ruralNão se aplicaNão se aplicaNão se aplica",Mercado_Receita!$N$2:$N$641)</f>
        <v>0</v>
      </c>
      <c r="U31" s="13">
        <f t="shared" si="0"/>
        <v>0</v>
      </c>
      <c r="V31" s="13"/>
      <c r="W31" s="13"/>
    </row>
    <row r="32" spans="1:23" ht="11.25" customHeight="1" x14ac:dyDescent="0.25">
      <c r="A32" s="131"/>
      <c r="B32" s="131"/>
      <c r="C32" s="131"/>
      <c r="D32" s="12" t="s">
        <v>91</v>
      </c>
      <c r="E32" s="12" t="s">
        <v>25</v>
      </c>
      <c r="F32" s="12" t="s">
        <v>25</v>
      </c>
      <c r="G32" s="13" t="s">
        <v>78</v>
      </c>
      <c r="H32" s="13" t="s">
        <v>74</v>
      </c>
      <c r="I32" s="13">
        <f>SUMIF(Mercado_Receita!$T$2:$T$641,"44409B2Energia convencional pré-pagamentoRuralServiço público de irrigação ruralNão se aplicaNão se aplicaNão se aplica",Mercado_Receita!$N$2:$N$641)</f>
        <v>0</v>
      </c>
      <c r="J32" s="13">
        <f>SUMIF(Mercado_Receita!$T$2:$T$641,"44440B2Energia convencional pré-pagamentoRuralServiço público de irrigação ruralNão se aplicaNão se aplicaNão se aplica",Mercado_Receita!$N$2:$N$641)</f>
        <v>0</v>
      </c>
      <c r="K32" s="13">
        <f>SUMIF(Mercado_Receita!$T$2:$T$641,"44470B2Energia convencional pré-pagamentoRuralServiço público de irrigação ruralNão se aplicaNão se aplicaNão se aplica",Mercado_Receita!$N$2:$N$641)</f>
        <v>0</v>
      </c>
      <c r="L32" s="13">
        <f>SUMIF(Mercado_Receita!$T$2:$T$641,"44501B2Energia convencional pré-pagamentoRuralServiço público de irrigação ruralNão se aplicaNão se aplicaNão se aplica",Mercado_Receita!$N$2:$N$641)</f>
        <v>0</v>
      </c>
      <c r="M32" s="13">
        <f>SUMIF(Mercado_Receita!$T$2:$T$641,"44531B2Energia convencional pré-pagamentoRuralServiço público de irrigação ruralNão se aplicaNão se aplicaNão se aplica",Mercado_Receita!$N$2:$N$641)</f>
        <v>0</v>
      </c>
      <c r="N32" s="13">
        <f>SUMIF(Mercado_Receita!$T$2:$T$641,"44562B2Energia convencional pré-pagamentoRuralServiço público de irrigação ruralNão se aplicaNão se aplicaNão se aplica",Mercado_Receita!$N$2:$N$641)</f>
        <v>0</v>
      </c>
      <c r="O32" s="13">
        <f>SUMIF(Mercado_Receita!$T$2:$T$641,"44593B2Energia convencional pré-pagamentoRuralServiço público de irrigação ruralNão se aplicaNão se aplicaNão se aplica",Mercado_Receita!$N$2:$N$641)</f>
        <v>0</v>
      </c>
      <c r="P32" s="13">
        <f>SUMIF(Mercado_Receita!$T$2:$T$641,"44621B2Energia convencional pré-pagamentoRuralServiço público de irrigação ruralNão se aplicaNão se aplicaNão se aplica",Mercado_Receita!$N$2:$N$641)</f>
        <v>0</v>
      </c>
      <c r="Q32" s="13">
        <f>SUMIF(Mercado_Receita!$T$2:$T$641,"44652B2Energia convencional pré-pagamentoRuralServiço público de irrigação ruralNão se aplicaNão se aplicaNão se aplica",Mercado_Receita!$N$2:$N$641)</f>
        <v>0</v>
      </c>
      <c r="R32" s="13">
        <f>SUMIF(Mercado_Receita!$T$2:$T$641,"44682B2Energia convencional pré-pagamentoRuralServiço público de irrigação ruralNão se aplicaNão se aplicaNão se aplica",Mercado_Receita!$N$2:$N$641)</f>
        <v>0</v>
      </c>
      <c r="S32" s="13">
        <f>SUMIF(Mercado_Receita!$T$2:$T$641,"44713B2Energia convencional pré-pagamentoRuralServiço público de irrigação ruralNão se aplicaNão se aplicaNão se aplica",Mercado_Receita!$N$2:$N$641)</f>
        <v>0</v>
      </c>
      <c r="T32" s="13">
        <f>SUMIF(Mercado_Receita!$T$2:$T$641,"44743B2Energia convencional pré-pagamentoRuralServiço público de irrigação ruralNão se aplicaNão se aplicaNão se aplica",Mercado_Receita!$N$2:$N$641)</f>
        <v>0</v>
      </c>
      <c r="U32" s="13">
        <f t="shared" si="0"/>
        <v>0</v>
      </c>
      <c r="V32" s="13"/>
      <c r="W32" s="13"/>
    </row>
    <row r="33" spans="1:23" ht="11.25" customHeight="1" x14ac:dyDescent="0.25">
      <c r="A33" s="130" t="s">
        <v>33</v>
      </c>
      <c r="B33" s="130" t="s">
        <v>73</v>
      </c>
      <c r="C33" s="130" t="s">
        <v>25</v>
      </c>
      <c r="D33" s="130" t="s">
        <v>25</v>
      </c>
      <c r="E33" s="130" t="s">
        <v>25</v>
      </c>
      <c r="F33" s="130" t="s">
        <v>25</v>
      </c>
      <c r="G33" s="13" t="s">
        <v>75</v>
      </c>
      <c r="H33" s="13" t="s">
        <v>74</v>
      </c>
      <c r="I33" s="13">
        <f>SUMIF(Mercado_Receita!$T$2:$T$641,"44409B3Energia horáriaNão se aplicaNão se aplicaNão se aplicaNão se aplicaPonta",Mercado_Receita!$N$2:$N$641)</f>
        <v>7.0999999999999994E-2</v>
      </c>
      <c r="J33" s="13">
        <f>SUMIF(Mercado_Receita!$T$2:$T$641,"44440B3Energia horáriaNão se aplicaNão se aplicaNão se aplicaNão se aplicaPonta",Mercado_Receita!$N$2:$N$641)</f>
        <v>8.5999999999999993E-2</v>
      </c>
      <c r="K33" s="13">
        <f>SUMIF(Mercado_Receita!$T$2:$T$641,"44470B3Energia horáriaNão se aplicaNão se aplicaNão se aplicaNão se aplicaPonta",Mercado_Receita!$N$2:$N$641)</f>
        <v>8.7999999999999995E-2</v>
      </c>
      <c r="L33" s="13">
        <f>SUMIF(Mercado_Receita!$T$2:$T$641,"44501B3Energia horáriaNão se aplicaNão se aplicaNão se aplicaNão se aplicaPonta",Mercado_Receita!$N$2:$N$641)</f>
        <v>6.4000000000000001E-2</v>
      </c>
      <c r="M33" s="13">
        <f>SUMIF(Mercado_Receita!$T$2:$T$641,"44531B3Energia horáriaNão se aplicaNão se aplicaNão se aplicaNão se aplicaPonta",Mercado_Receita!$N$2:$N$641)</f>
        <v>7.1999999999999995E-2</v>
      </c>
      <c r="N33" s="13">
        <f>SUMIF(Mercado_Receita!$T$2:$T$641,"44562B3Energia horáriaNão se aplicaNão se aplicaNão se aplicaNão se aplicaPonta",Mercado_Receita!$N$2:$N$641)</f>
        <v>0.13500000000000001</v>
      </c>
      <c r="O33" s="13">
        <f>SUMIF(Mercado_Receita!$T$2:$T$641,"44593B3Energia horáriaNão se aplicaNão se aplicaNão se aplicaNão se aplicaPonta",Mercado_Receita!$N$2:$N$641)</f>
        <v>0.107</v>
      </c>
      <c r="P33" s="13">
        <f>SUMIF(Mercado_Receita!$T$2:$T$641,"44621B3Energia horáriaNão se aplicaNão se aplicaNão se aplicaNão se aplicaPonta",Mercado_Receita!$N$2:$N$641)</f>
        <v>0.122</v>
      </c>
      <c r="Q33" s="13">
        <f>SUMIF(Mercado_Receita!$T$2:$T$641,"44652B3Energia horáriaNão se aplicaNão se aplicaNão se aplicaNão se aplicaPonta",Mercado_Receita!$N$2:$N$641)</f>
        <v>0.14899999999999999</v>
      </c>
      <c r="R33" s="13">
        <f>SUMIF(Mercado_Receita!$T$2:$T$641,"44682B3Energia horáriaNão se aplicaNão se aplicaNão se aplicaNão se aplicaPonta",Mercado_Receita!$N$2:$N$641)</f>
        <v>9.1999999999999998E-2</v>
      </c>
      <c r="S33" s="13">
        <f>SUMIF(Mercado_Receita!$T$2:$T$641,"44713B3Energia horáriaNão se aplicaNão se aplicaNão se aplicaNão se aplicaPonta",Mercado_Receita!$N$2:$N$641)</f>
        <v>7.6999999999999999E-2</v>
      </c>
      <c r="T33" s="13">
        <f>SUMIF(Mercado_Receita!$T$2:$T$641,"44743B3Energia horáriaNão se aplicaNão se aplicaNão se aplicaNão se aplicaPonta",Mercado_Receita!$N$2:$N$641)</f>
        <v>7.6999999999999999E-2</v>
      </c>
      <c r="U33" s="13">
        <f t="shared" si="0"/>
        <v>1.1399999999999999</v>
      </c>
      <c r="V33" s="13"/>
      <c r="W33" s="13"/>
    </row>
    <row r="34" spans="1:23" ht="11.25" customHeight="1" x14ac:dyDescent="0.25">
      <c r="A34" s="131"/>
      <c r="B34" s="131"/>
      <c r="C34" s="131"/>
      <c r="D34" s="131"/>
      <c r="E34" s="131"/>
      <c r="F34" s="131"/>
      <c r="G34" s="13" t="s">
        <v>87</v>
      </c>
      <c r="H34" s="13" t="s">
        <v>74</v>
      </c>
      <c r="I34" s="13">
        <f>SUMIF(Mercado_Receita!$T$2:$T$641,"44409B3Energia horáriaNão se aplicaNão se aplicaNão se aplicaNão se aplicaIntermediário",Mercado_Receita!$N$2:$N$641)</f>
        <v>8.7999999999999995E-2</v>
      </c>
      <c r="J34" s="13">
        <f>SUMIF(Mercado_Receita!$T$2:$T$641,"44440B3Energia horáriaNão se aplicaNão se aplicaNão se aplicaNão se aplicaIntermediário",Mercado_Receita!$N$2:$N$641)</f>
        <v>0.10100000000000001</v>
      </c>
      <c r="K34" s="13">
        <f>SUMIF(Mercado_Receita!$T$2:$T$641,"44470B3Energia horáriaNão se aplicaNão se aplicaNão se aplicaNão se aplicaIntermediário",Mercado_Receita!$N$2:$N$641)</f>
        <v>9.0999999999999998E-2</v>
      </c>
      <c r="L34" s="13">
        <f>SUMIF(Mercado_Receita!$T$2:$T$641,"44501B3Energia horáriaNão se aplicaNão se aplicaNão se aplicaNão se aplicaIntermediário",Mercado_Receita!$N$2:$N$641)</f>
        <v>9.8000000000000004E-2</v>
      </c>
      <c r="M34" s="13">
        <f>SUMIF(Mercado_Receita!$T$2:$T$641,"44531B3Energia horáriaNão se aplicaNão se aplicaNão se aplicaNão se aplicaIntermediário",Mercado_Receita!$N$2:$N$641)</f>
        <v>0.107</v>
      </c>
      <c r="N34" s="13">
        <f>SUMIF(Mercado_Receita!$T$2:$T$641,"44562B3Energia horáriaNão se aplicaNão se aplicaNão se aplicaNão se aplicaIntermediário",Mercado_Receita!$N$2:$N$641)</f>
        <v>0.161</v>
      </c>
      <c r="O34" s="13">
        <f>SUMIF(Mercado_Receita!$T$2:$T$641,"44593B3Energia horáriaNão se aplicaNão se aplicaNão se aplicaNão se aplicaIntermediário",Mercado_Receita!$N$2:$N$641)</f>
        <v>0.22700000000000001</v>
      </c>
      <c r="P34" s="13">
        <f>SUMIF(Mercado_Receita!$T$2:$T$641,"44621B3Energia horáriaNão se aplicaNão se aplicaNão se aplicaNão se aplicaIntermediário",Mercado_Receita!$N$2:$N$641)</f>
        <v>0.17899999999999999</v>
      </c>
      <c r="Q34" s="13">
        <f>SUMIF(Mercado_Receita!$T$2:$T$641,"44652B3Energia horáriaNão se aplicaNão se aplicaNão se aplicaNão se aplicaIntermediário",Mercado_Receita!$N$2:$N$641)</f>
        <v>0.19</v>
      </c>
      <c r="R34" s="13">
        <f>SUMIF(Mercado_Receita!$T$2:$T$641,"44682B3Energia horáriaNão se aplicaNão se aplicaNão se aplicaNão se aplicaIntermediário",Mercado_Receita!$N$2:$N$641)</f>
        <v>0.11600000000000001</v>
      </c>
      <c r="S34" s="13">
        <f>SUMIF(Mercado_Receita!$T$2:$T$641,"44713B3Energia horáriaNão se aplicaNão se aplicaNão se aplicaNão se aplicaIntermediário",Mercado_Receita!$N$2:$N$641)</f>
        <v>8.7999999999999995E-2</v>
      </c>
      <c r="T34" s="13">
        <f>SUMIF(Mercado_Receita!$T$2:$T$641,"44743B3Energia horáriaNão se aplicaNão se aplicaNão se aplicaNão se aplicaIntermediário",Mercado_Receita!$N$2:$N$641)</f>
        <v>8.7999999999999995E-2</v>
      </c>
      <c r="U34" s="13">
        <f t="shared" si="0"/>
        <v>1.5340000000000003</v>
      </c>
      <c r="V34" s="13"/>
      <c r="W34" s="13"/>
    </row>
    <row r="35" spans="1:23" ht="11.25" customHeight="1" x14ac:dyDescent="0.25">
      <c r="A35" s="131"/>
      <c r="B35" s="131"/>
      <c r="C35" s="131"/>
      <c r="D35" s="131"/>
      <c r="E35" s="131"/>
      <c r="F35" s="131"/>
      <c r="G35" s="13" t="s">
        <v>76</v>
      </c>
      <c r="H35" s="13" t="s">
        <v>74</v>
      </c>
      <c r="I35" s="13">
        <f>SUMIF(Mercado_Receita!$T$2:$T$641,"44409B3Energia horáriaNão se aplicaNão se aplicaNão se aplicaNão se aplicaFora ponta",Mercado_Receita!$N$2:$N$641)</f>
        <v>1.34</v>
      </c>
      <c r="J35" s="13">
        <f>SUMIF(Mercado_Receita!$T$2:$T$641,"44440B3Energia horáriaNão se aplicaNão se aplicaNão se aplicaNão se aplicaFora ponta",Mercado_Receita!$N$2:$N$641)</f>
        <v>1.484</v>
      </c>
      <c r="K35" s="13">
        <f>SUMIF(Mercado_Receita!$T$2:$T$641,"44470B3Energia horáriaNão se aplicaNão se aplicaNão se aplicaNão se aplicaFora ponta",Mercado_Receita!$N$2:$N$641)</f>
        <v>1.3839999999999999</v>
      </c>
      <c r="L35" s="13">
        <f>SUMIF(Mercado_Receita!$T$2:$T$641,"44501B3Energia horáriaNão se aplicaNão se aplicaNão se aplicaNão se aplicaFora ponta",Mercado_Receita!$N$2:$N$641)</f>
        <v>1.597</v>
      </c>
      <c r="M35" s="13">
        <f>SUMIF(Mercado_Receita!$T$2:$T$641,"44531B3Energia horáriaNão se aplicaNão se aplicaNão se aplicaNão se aplicaFora ponta",Mercado_Receita!$N$2:$N$641)</f>
        <v>2.2639999999999998</v>
      </c>
      <c r="N35" s="13">
        <f>SUMIF(Mercado_Receita!$T$2:$T$641,"44562B3Energia horáriaNão se aplicaNão se aplicaNão se aplicaNão se aplicaFora ponta",Mercado_Receita!$N$2:$N$641)</f>
        <v>3.24</v>
      </c>
      <c r="O35" s="13">
        <f>SUMIF(Mercado_Receita!$T$2:$T$641,"44593B3Energia horáriaNão se aplicaNão se aplicaNão se aplicaNão se aplicaFora ponta",Mercado_Receita!$N$2:$N$641)</f>
        <v>4.7839999999999998</v>
      </c>
      <c r="P35" s="13">
        <f>SUMIF(Mercado_Receita!$T$2:$T$641,"44621B3Energia horáriaNão se aplicaNão se aplicaNão se aplicaNão se aplicaFora ponta",Mercado_Receita!$N$2:$N$641)</f>
        <v>3.4209999999999998</v>
      </c>
      <c r="Q35" s="13">
        <f>SUMIF(Mercado_Receita!$T$2:$T$641,"44652B3Energia horáriaNão se aplicaNão se aplicaNão se aplicaNão se aplicaFora ponta",Mercado_Receita!$N$2:$N$641)</f>
        <v>3.141</v>
      </c>
      <c r="R35" s="13">
        <f>SUMIF(Mercado_Receita!$T$2:$T$641,"44682B3Energia horáriaNão se aplicaNão se aplicaNão se aplicaNão se aplicaFora ponta",Mercado_Receita!$N$2:$N$641)</f>
        <v>1.8620000000000001</v>
      </c>
      <c r="S35" s="13">
        <f>SUMIF(Mercado_Receita!$T$2:$T$641,"44713B3Energia horáriaNão se aplicaNão se aplicaNão se aplicaNão se aplicaFora ponta",Mercado_Receita!$N$2:$N$641)</f>
        <v>1.3380000000000001</v>
      </c>
      <c r="T35" s="13">
        <f>SUMIF(Mercado_Receita!$T$2:$T$641,"44743B3Energia horáriaNão se aplicaNão se aplicaNão se aplicaNão se aplicaFora ponta",Mercado_Receita!$N$2:$N$641)</f>
        <v>1.3380000000000001</v>
      </c>
      <c r="U35" s="13">
        <f t="shared" si="0"/>
        <v>27.193000000000005</v>
      </c>
      <c r="V35" s="13"/>
      <c r="W35" s="13"/>
    </row>
    <row r="36" spans="1:23" ht="11.25" customHeight="1" x14ac:dyDescent="0.25">
      <c r="A36" s="131"/>
      <c r="B36" s="12" t="s">
        <v>77</v>
      </c>
      <c r="C36" s="12" t="s">
        <v>25</v>
      </c>
      <c r="D36" s="12" t="s">
        <v>25</v>
      </c>
      <c r="E36" s="12" t="s">
        <v>25</v>
      </c>
      <c r="F36" s="12" t="s">
        <v>25</v>
      </c>
      <c r="G36" s="13" t="s">
        <v>78</v>
      </c>
      <c r="H36" s="13" t="s">
        <v>74</v>
      </c>
      <c r="I36" s="13">
        <f>SUMIF(Mercado_Receita!$T$2:$T$641,"44409B3Energia convencionalNão se aplicaNão se aplicaNão se aplicaNão se aplicaNão se aplica",Mercado_Receita!$N$2:$N$641)</f>
        <v>1961.5500000000002</v>
      </c>
      <c r="J36" s="13">
        <f>SUMIF(Mercado_Receita!$T$2:$T$641,"44440B3Energia convencionalNão se aplicaNão se aplicaNão se aplicaNão se aplicaNão se aplica",Mercado_Receita!$N$2:$N$641)</f>
        <v>2193.1709999999998</v>
      </c>
      <c r="K36" s="13">
        <f>SUMIF(Mercado_Receita!$T$2:$T$641,"44470B3Energia convencionalNão se aplicaNão se aplicaNão se aplicaNão se aplicaNão se aplica",Mercado_Receita!$N$2:$N$641)</f>
        <v>2067.174</v>
      </c>
      <c r="L36" s="13">
        <f>SUMIF(Mercado_Receita!$T$2:$T$641,"44501B3Energia convencionalNão se aplicaNão se aplicaNão se aplicaNão se aplicaNão se aplica",Mercado_Receita!$N$2:$N$641)</f>
        <v>2452.7669999999998</v>
      </c>
      <c r="M36" s="13">
        <f>SUMIF(Mercado_Receita!$T$2:$T$641,"44531B3Energia convencionalNão se aplicaNão se aplicaNão se aplicaNão se aplicaNão se aplica",Mercado_Receita!$N$2:$N$641)</f>
        <v>2461.8060000000005</v>
      </c>
      <c r="N36" s="13">
        <f>SUMIF(Mercado_Receita!$T$2:$T$641,"44562B3Energia convencionalNão se aplicaNão se aplicaNão se aplicaNão se aplicaNão se aplica",Mercado_Receita!$N$2:$N$641)</f>
        <v>2897.855</v>
      </c>
      <c r="O36" s="13">
        <f>SUMIF(Mercado_Receita!$T$2:$T$641,"44593B3Energia convencionalNão se aplicaNão se aplicaNão se aplicaNão se aplicaNão se aplica",Mercado_Receita!$N$2:$N$641)</f>
        <v>3057.2740000000003</v>
      </c>
      <c r="P36" s="13">
        <f>SUMIF(Mercado_Receita!$T$2:$T$641,"44621B3Energia convencionalNão se aplicaNão se aplicaNão se aplicaNão se aplicaNão se aplica",Mercado_Receita!$N$2:$N$641)</f>
        <v>2943.9319999999993</v>
      </c>
      <c r="Q36" s="13">
        <f>SUMIF(Mercado_Receita!$T$2:$T$641,"44652B3Energia convencionalNão se aplicaNão se aplicaNão se aplicaNão se aplicaNão se aplica",Mercado_Receita!$N$2:$N$641)</f>
        <v>2657.9250000000002</v>
      </c>
      <c r="R36" s="13">
        <f>SUMIF(Mercado_Receita!$T$2:$T$641,"44682B3Energia convencionalNão se aplicaNão se aplicaNão se aplicaNão se aplicaNão se aplica",Mercado_Receita!$N$2:$N$641)</f>
        <v>2279.1910000000003</v>
      </c>
      <c r="S36" s="13">
        <f>SUMIF(Mercado_Receita!$T$2:$T$641,"44713B3Energia convencionalNão se aplicaNão se aplicaNão se aplicaNão se aplicaNão se aplica",Mercado_Receita!$N$2:$N$641)</f>
        <v>2104.0549999999998</v>
      </c>
      <c r="T36" s="13">
        <f>SUMIF(Mercado_Receita!$T$2:$T$641,"44743B3Energia convencionalNão se aplicaNão se aplicaNão se aplicaNão se aplicaNão se aplica",Mercado_Receita!$N$2:$N$641)</f>
        <v>2104.0549999999998</v>
      </c>
      <c r="U36" s="13">
        <f t="shared" si="0"/>
        <v>29180.755000000001</v>
      </c>
      <c r="V36" s="13"/>
      <c r="W36" s="13"/>
    </row>
    <row r="37" spans="1:23" ht="11.25" customHeight="1" x14ac:dyDescent="0.25">
      <c r="A37" s="131"/>
      <c r="B37" s="12" t="s">
        <v>88</v>
      </c>
      <c r="C37" s="12" t="s">
        <v>25</v>
      </c>
      <c r="D37" s="12" t="s">
        <v>25</v>
      </c>
      <c r="E37" s="12" t="s">
        <v>25</v>
      </c>
      <c r="F37" s="12" t="s">
        <v>25</v>
      </c>
      <c r="G37" s="13" t="s">
        <v>78</v>
      </c>
      <c r="H37" s="13" t="s">
        <v>74</v>
      </c>
      <c r="I37" s="13">
        <f>SUMIF(Mercado_Receita!$T$2:$T$641,"44409B3Energia convencional pré-pagamentoNão se aplicaNão se aplicaNão se aplicaNão se aplicaNão se aplica",Mercado_Receita!$N$2:$N$641)</f>
        <v>0</v>
      </c>
      <c r="J37" s="13">
        <f>SUMIF(Mercado_Receita!$T$2:$T$641,"44440B3Energia convencional pré-pagamentoNão se aplicaNão se aplicaNão se aplicaNão se aplicaNão se aplica",Mercado_Receita!$N$2:$N$641)</f>
        <v>0</v>
      </c>
      <c r="K37" s="13">
        <f>SUMIF(Mercado_Receita!$T$2:$T$641,"44470B3Energia convencional pré-pagamentoNão se aplicaNão se aplicaNão se aplicaNão se aplicaNão se aplica",Mercado_Receita!$N$2:$N$641)</f>
        <v>0</v>
      </c>
      <c r="L37" s="13">
        <f>SUMIF(Mercado_Receita!$T$2:$T$641,"44501B3Energia convencional pré-pagamentoNão se aplicaNão se aplicaNão se aplicaNão se aplicaNão se aplica",Mercado_Receita!$N$2:$N$641)</f>
        <v>0</v>
      </c>
      <c r="M37" s="13">
        <f>SUMIF(Mercado_Receita!$T$2:$T$641,"44531B3Energia convencional pré-pagamentoNão se aplicaNão se aplicaNão se aplicaNão se aplicaNão se aplica",Mercado_Receita!$N$2:$N$641)</f>
        <v>0</v>
      </c>
      <c r="N37" s="13">
        <f>SUMIF(Mercado_Receita!$T$2:$T$641,"44562B3Energia convencional pré-pagamentoNão se aplicaNão se aplicaNão se aplicaNão se aplicaNão se aplica",Mercado_Receita!$N$2:$N$641)</f>
        <v>0</v>
      </c>
      <c r="O37" s="13">
        <f>SUMIF(Mercado_Receita!$T$2:$T$641,"44593B3Energia convencional pré-pagamentoNão se aplicaNão se aplicaNão se aplicaNão se aplicaNão se aplica",Mercado_Receita!$N$2:$N$641)</f>
        <v>0</v>
      </c>
      <c r="P37" s="13">
        <f>SUMIF(Mercado_Receita!$T$2:$T$641,"44621B3Energia convencional pré-pagamentoNão se aplicaNão se aplicaNão se aplicaNão se aplicaNão se aplica",Mercado_Receita!$N$2:$N$641)</f>
        <v>0</v>
      </c>
      <c r="Q37" s="13">
        <f>SUMIF(Mercado_Receita!$T$2:$T$641,"44652B3Energia convencional pré-pagamentoNão se aplicaNão se aplicaNão se aplicaNão se aplicaNão se aplica",Mercado_Receita!$N$2:$N$641)</f>
        <v>0</v>
      </c>
      <c r="R37" s="13">
        <f>SUMIF(Mercado_Receita!$T$2:$T$641,"44682B3Energia convencional pré-pagamentoNão se aplicaNão se aplicaNão se aplicaNão se aplicaNão se aplica",Mercado_Receita!$N$2:$N$641)</f>
        <v>0</v>
      </c>
      <c r="S37" s="13">
        <f>SUMIF(Mercado_Receita!$T$2:$T$641,"44713B3Energia convencional pré-pagamentoNão se aplicaNão se aplicaNão se aplicaNão se aplicaNão se aplica",Mercado_Receita!$N$2:$N$641)</f>
        <v>0</v>
      </c>
      <c r="T37" s="13">
        <f>SUMIF(Mercado_Receita!$T$2:$T$641,"44743B3Energia convencional pré-pagamentoNão se aplicaNão se aplicaNão se aplicaNão se aplicaNão se aplica",Mercado_Receita!$N$2:$N$641)</f>
        <v>0</v>
      </c>
      <c r="U37" s="13">
        <f t="shared" si="0"/>
        <v>0</v>
      </c>
      <c r="V37" s="13"/>
      <c r="W37" s="13"/>
    </row>
    <row r="38" spans="1:23" ht="11.25" customHeight="1" x14ac:dyDescent="0.25">
      <c r="A38" s="130" t="s">
        <v>44</v>
      </c>
      <c r="B38" s="130" t="s">
        <v>77</v>
      </c>
      <c r="C38" s="130" t="s">
        <v>45</v>
      </c>
      <c r="D38" s="12" t="s">
        <v>46</v>
      </c>
      <c r="E38" s="12" t="s">
        <v>25</v>
      </c>
      <c r="F38" s="12" t="s">
        <v>25</v>
      </c>
      <c r="G38" s="13" t="s">
        <v>78</v>
      </c>
      <c r="H38" s="13" t="s">
        <v>74</v>
      </c>
      <c r="I38" s="13">
        <f>SUMIF(Mercado_Receita!$T$2:$T$641,"44409B4Energia convencionalIluminação públicaIluminação pública – B4aNão se aplicaNão se aplicaNão se aplica",Mercado_Receita!$N$2:$N$641)</f>
        <v>1112.021</v>
      </c>
      <c r="J38" s="13">
        <f>SUMIF(Mercado_Receita!$T$2:$T$641,"44440B4Energia convencionalIluminação públicaIluminação pública – B4aNão se aplicaNão se aplicaNão se aplica",Mercado_Receita!$N$2:$N$641)</f>
        <v>1013.975</v>
      </c>
      <c r="K38" s="13">
        <f>SUMIF(Mercado_Receita!$T$2:$T$641,"44470B4Energia convencionalIluminação públicaIluminação pública – B4aNão se aplicaNão se aplicaNão se aplica",Mercado_Receita!$N$2:$N$641)</f>
        <v>964.84100000000001</v>
      </c>
      <c r="L38" s="13">
        <f>SUMIF(Mercado_Receita!$T$2:$T$641,"44501B4Energia convencionalIluminação públicaIluminação pública – B4aNão se aplicaNão se aplicaNão se aplica",Mercado_Receita!$N$2:$N$641)</f>
        <v>890.44100000000003</v>
      </c>
      <c r="M38" s="13">
        <f>SUMIF(Mercado_Receita!$T$2:$T$641,"44531B4Energia convencionalIluminação públicaIluminação pública – B4aNão se aplicaNão se aplicaNão se aplica",Mercado_Receita!$N$2:$N$641)</f>
        <v>910.04499999999996</v>
      </c>
      <c r="N38" s="13">
        <f>SUMIF(Mercado_Receita!$T$2:$T$641,"44562B4Energia convencionalIluminação públicaIluminação pública – B4aNão se aplicaNão se aplicaNão se aplica",Mercado_Receita!$N$2:$N$641)</f>
        <v>908.553</v>
      </c>
      <c r="O38" s="13">
        <f>SUMIF(Mercado_Receita!$T$2:$T$641,"44593B4Energia convencionalIluminação públicaIluminação pública – B4aNão se aplicaNão se aplicaNão se aplica",Mercado_Receita!$N$2:$N$641)</f>
        <v>863.87</v>
      </c>
      <c r="P38" s="13">
        <f>SUMIF(Mercado_Receita!$T$2:$T$641,"44621B4Energia convencionalIluminação públicaIluminação pública – B4aNão se aplicaNão se aplicaNão se aplica",Mercado_Receita!$N$2:$N$641)</f>
        <v>943.53700000000003</v>
      </c>
      <c r="Q38" s="13">
        <f>SUMIF(Mercado_Receita!$T$2:$T$641,"44652B4Energia convencionalIluminação públicaIluminação pública – B4aNão se aplicaNão se aplicaNão se aplica",Mercado_Receita!$N$2:$N$641)</f>
        <v>984.68299999999999</v>
      </c>
      <c r="R38" s="13">
        <f>SUMIF(Mercado_Receita!$T$2:$T$641,"44682B4Energia convencionalIluminação públicaIluminação pública – B4aNão se aplicaNão se aplicaNão se aplica",Mercado_Receita!$N$2:$N$641)</f>
        <v>1076.22</v>
      </c>
      <c r="S38" s="13">
        <f>SUMIF(Mercado_Receita!$T$2:$T$641,"44713B4Energia convencionalIluminação públicaIluminação pública – B4aNão se aplicaNão se aplicaNão se aplica",Mercado_Receita!$N$2:$N$641)</f>
        <v>1068.528</v>
      </c>
      <c r="T38" s="13">
        <f>SUMIF(Mercado_Receita!$T$2:$T$641,"44743B4Energia convencionalIluminação públicaIluminação pública – B4aNão se aplicaNão se aplicaNão se aplica",Mercado_Receita!$N$2:$N$641)</f>
        <v>1068.528</v>
      </c>
      <c r="U38" s="13">
        <f t="shared" si="0"/>
        <v>11805.242</v>
      </c>
      <c r="V38" s="13"/>
      <c r="W38" s="13"/>
    </row>
    <row r="39" spans="1:23" ht="11.25" customHeight="1" x14ac:dyDescent="0.25">
      <c r="A39" s="131"/>
      <c r="B39" s="131"/>
      <c r="C39" s="131"/>
      <c r="D39" s="13" t="s">
        <v>92</v>
      </c>
      <c r="E39" s="13" t="s">
        <v>25</v>
      </c>
      <c r="F39" s="13" t="s">
        <v>25</v>
      </c>
      <c r="G39" s="13" t="s">
        <v>78</v>
      </c>
      <c r="H39" s="13" t="s">
        <v>74</v>
      </c>
      <c r="I39" s="13">
        <f>SUMIF(Mercado_Receita!$T$2:$T$641,"44409B4Energia convencionalIluminação públicaIluminação pública – B4bNão se aplicaNão se aplicaNão se aplica",Mercado_Receita!$N$2:$N$641)</f>
        <v>0</v>
      </c>
      <c r="J39" s="13">
        <f>SUMIF(Mercado_Receita!$T$2:$T$641,"44440B4Energia convencionalIluminação públicaIluminação pública – B4bNão se aplicaNão se aplicaNão se aplica",Mercado_Receita!$N$2:$N$641)</f>
        <v>0</v>
      </c>
      <c r="K39" s="13">
        <f>SUMIF(Mercado_Receita!$T$2:$T$641,"44470B4Energia convencionalIluminação públicaIluminação pública – B4bNão se aplicaNão se aplicaNão se aplica",Mercado_Receita!$N$2:$N$641)</f>
        <v>0</v>
      </c>
      <c r="L39" s="13">
        <f>SUMIF(Mercado_Receita!$T$2:$T$641,"44501B4Energia convencionalIluminação públicaIluminação pública – B4bNão se aplicaNão se aplicaNão se aplica",Mercado_Receita!$N$2:$N$641)</f>
        <v>0</v>
      </c>
      <c r="M39" s="13">
        <f>SUMIF(Mercado_Receita!$T$2:$T$641,"44531B4Energia convencionalIluminação públicaIluminação pública – B4bNão se aplicaNão se aplicaNão se aplica",Mercado_Receita!$N$2:$N$641)</f>
        <v>0</v>
      </c>
      <c r="N39" s="13">
        <f>SUMIF(Mercado_Receita!$T$2:$T$641,"44562B4Energia convencionalIluminação públicaIluminação pública – B4bNão se aplicaNão se aplicaNão se aplica",Mercado_Receita!$N$2:$N$641)</f>
        <v>0</v>
      </c>
      <c r="O39" s="13">
        <f>SUMIF(Mercado_Receita!$T$2:$T$641,"44593B4Energia convencionalIluminação públicaIluminação pública – B4bNão se aplicaNão se aplicaNão se aplica",Mercado_Receita!$N$2:$N$641)</f>
        <v>0</v>
      </c>
      <c r="P39" s="13">
        <f>SUMIF(Mercado_Receita!$T$2:$T$641,"44621B4Energia convencionalIluminação públicaIluminação pública – B4bNão se aplicaNão se aplicaNão se aplica",Mercado_Receita!$N$2:$N$641)</f>
        <v>0</v>
      </c>
      <c r="Q39" s="13">
        <f>SUMIF(Mercado_Receita!$T$2:$T$641,"44652B4Energia convencionalIluminação públicaIluminação pública – B4bNão se aplicaNão se aplicaNão se aplica",Mercado_Receita!$N$2:$N$641)</f>
        <v>0</v>
      </c>
      <c r="R39" s="13">
        <f>SUMIF(Mercado_Receita!$T$2:$T$641,"44682B4Energia convencionalIluminação públicaIluminação pública – B4bNão se aplicaNão se aplicaNão se aplica",Mercado_Receita!$N$2:$N$641)</f>
        <v>0</v>
      </c>
      <c r="S39" s="13">
        <f>SUMIF(Mercado_Receita!$T$2:$T$641,"44713B4Energia convencionalIluminação públicaIluminação pública – B4bNão se aplicaNão se aplicaNão se aplica",Mercado_Receita!$N$2:$N$641)</f>
        <v>0</v>
      </c>
      <c r="T39" s="13">
        <f>SUMIF(Mercado_Receita!$T$2:$T$641,"44743B4Energia convencionalIluminação públicaIluminação pública – B4bNão se aplicaNão se aplicaNão se aplica",Mercado_Receita!$N$2:$N$641)</f>
        <v>0</v>
      </c>
      <c r="U39" s="13">
        <f t="shared" si="0"/>
        <v>0</v>
      </c>
      <c r="V39" s="13"/>
      <c r="W39" s="13"/>
    </row>
    <row r="40" spans="1:23" ht="11.25" customHeight="1" x14ac:dyDescent="0.25">
      <c r="A40" s="132" t="s">
        <v>459</v>
      </c>
      <c r="B40" s="133"/>
      <c r="C40" s="133"/>
      <c r="D40" s="133"/>
      <c r="E40" s="133"/>
      <c r="F40" s="133"/>
      <c r="G40" s="133"/>
      <c r="H40" s="133"/>
      <c r="I40" s="133"/>
      <c r="J40" s="133"/>
      <c r="K40" s="133"/>
      <c r="L40" s="133"/>
      <c r="M40" s="133"/>
      <c r="N40" s="133"/>
      <c r="O40" s="133"/>
      <c r="P40" s="133"/>
      <c r="Q40" s="133"/>
      <c r="R40" s="133"/>
      <c r="S40" s="133"/>
      <c r="T40" s="133"/>
      <c r="U40" s="133"/>
      <c r="V40" s="13"/>
      <c r="W40" s="13"/>
    </row>
  </sheetData>
  <mergeCells count="44">
    <mergeCell ref="A2:A4"/>
    <mergeCell ref="F2:F3"/>
    <mergeCell ref="E2:E3"/>
    <mergeCell ref="D2:D3"/>
    <mergeCell ref="C2:C3"/>
    <mergeCell ref="B2:B3"/>
    <mergeCell ref="C13:C17"/>
    <mergeCell ref="B13:B17"/>
    <mergeCell ref="A5:A17"/>
    <mergeCell ref="F18:F20"/>
    <mergeCell ref="E18:E20"/>
    <mergeCell ref="D18:D20"/>
    <mergeCell ref="C18:C20"/>
    <mergeCell ref="B18:B20"/>
    <mergeCell ref="F5:F7"/>
    <mergeCell ref="E5:E7"/>
    <mergeCell ref="D5:D7"/>
    <mergeCell ref="C5:C7"/>
    <mergeCell ref="B5:B7"/>
    <mergeCell ref="C8:C12"/>
    <mergeCell ref="B8:B12"/>
    <mergeCell ref="C22:C24"/>
    <mergeCell ref="B22:B24"/>
    <mergeCell ref="F26:F28"/>
    <mergeCell ref="E26:E28"/>
    <mergeCell ref="D26:D28"/>
    <mergeCell ref="C26:C28"/>
    <mergeCell ref="B26:B28"/>
    <mergeCell ref="A38:A39"/>
    <mergeCell ref="B38:B39"/>
    <mergeCell ref="C38:C39"/>
    <mergeCell ref="A40:U40"/>
    <mergeCell ref="C30:C32"/>
    <mergeCell ref="B30:B32"/>
    <mergeCell ref="A18:A32"/>
    <mergeCell ref="F33:F35"/>
    <mergeCell ref="E33:E35"/>
    <mergeCell ref="D33:D35"/>
    <mergeCell ref="C33:C35"/>
    <mergeCell ref="B33:B35"/>
    <mergeCell ref="A33:A37"/>
    <mergeCell ref="F22:F24"/>
    <mergeCell ref="E22:E24"/>
    <mergeCell ref="D22:D24"/>
  </mergeCell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C39AF-0108-4D73-8CE0-EE80153F4C6B}">
  <sheetPr codeName="Planilha8"/>
  <dimension ref="A1:AD200"/>
  <sheetViews>
    <sheetView showGridLines="0" topLeftCell="J77" workbookViewId="0">
      <selection activeCell="O100" sqref="O100:AD200"/>
    </sheetView>
  </sheetViews>
  <sheetFormatPr defaultColWidth="9.140625" defaultRowHeight="12" customHeight="1" x14ac:dyDescent="0.2"/>
  <cols>
    <col min="1" max="1" width="10.5703125" style="14" bestFit="1" customWidth="1"/>
    <col min="2" max="2" width="14.42578125" style="14" bestFit="1" customWidth="1"/>
    <col min="3" max="3" width="18.42578125" style="14" bestFit="1" customWidth="1"/>
    <col min="4" max="4" width="15" style="14" bestFit="1" customWidth="1"/>
    <col min="5" max="5" width="14.5703125" style="14" bestFit="1" customWidth="1"/>
    <col min="6" max="6" width="10" style="14" bestFit="1" customWidth="1"/>
    <col min="7" max="7" width="9.140625" style="14"/>
    <col min="8" max="8" width="6.28515625" style="14" bestFit="1" customWidth="1"/>
    <col min="9" max="11" width="9.140625" style="14"/>
    <col min="12" max="12" width="34.140625" style="14" bestFit="1" customWidth="1"/>
    <col min="13" max="13" width="10.85546875" style="14" bestFit="1" customWidth="1"/>
    <col min="14" max="14" width="36.140625" style="14" bestFit="1" customWidth="1"/>
    <col min="15" max="15" width="30.7109375" style="14" customWidth="1"/>
    <col min="16" max="16" width="13.140625" style="14" bestFit="1" customWidth="1"/>
    <col min="17" max="17" width="9.28515625" style="14" bestFit="1" customWidth="1"/>
    <col min="18" max="18" width="9.42578125" style="14" bestFit="1" customWidth="1"/>
    <col min="19" max="19" width="12.5703125" style="14" bestFit="1" customWidth="1"/>
    <col min="20" max="20" width="15.42578125" style="14" bestFit="1" customWidth="1"/>
    <col min="21" max="21" width="10.85546875" style="14" bestFit="1" customWidth="1"/>
    <col min="22" max="22" width="13.28515625" style="14" bestFit="1" customWidth="1"/>
    <col min="23" max="23" width="5" style="14" bestFit="1" customWidth="1"/>
    <col min="24" max="24" width="51.7109375" style="14" bestFit="1" customWidth="1"/>
    <col min="25" max="26" width="5" style="14" bestFit="1" customWidth="1"/>
    <col min="27" max="27" width="2" style="14" bestFit="1" customWidth="1"/>
    <col min="28" max="16384" width="9.140625" style="14"/>
  </cols>
  <sheetData>
    <row r="1" spans="1:30" ht="12" customHeight="1" x14ac:dyDescent="0.2">
      <c r="A1" s="10" t="s">
        <v>499</v>
      </c>
      <c r="B1" s="10" t="s">
        <v>500</v>
      </c>
      <c r="C1" s="10" t="s">
        <v>501</v>
      </c>
      <c r="D1" s="10" t="s">
        <v>502</v>
      </c>
      <c r="E1" s="10" t="s">
        <v>503</v>
      </c>
      <c r="F1" s="10" t="s">
        <v>504</v>
      </c>
      <c r="G1" s="7"/>
      <c r="H1" s="7"/>
      <c r="I1" s="7"/>
      <c r="J1" s="7"/>
      <c r="K1" s="7"/>
      <c r="L1" s="144" t="s">
        <v>505</v>
      </c>
      <c r="M1" s="144"/>
      <c r="N1" s="7"/>
      <c r="O1" s="141" t="s">
        <v>586</v>
      </c>
      <c r="P1" s="142"/>
      <c r="Q1" s="142"/>
      <c r="R1" s="142"/>
      <c r="S1" s="142"/>
      <c r="T1" s="142"/>
      <c r="U1" s="142"/>
      <c r="V1" s="7"/>
      <c r="W1" s="7"/>
      <c r="X1" s="7"/>
      <c r="Y1" s="7"/>
      <c r="Z1" s="7"/>
      <c r="AA1" s="7"/>
      <c r="AB1" s="7"/>
      <c r="AC1" s="7"/>
      <c r="AD1" s="7"/>
    </row>
    <row r="2" spans="1:30" ht="12" customHeight="1" x14ac:dyDescent="0.2">
      <c r="A2" s="134" t="s">
        <v>460</v>
      </c>
      <c r="B2" s="134" t="s">
        <v>461</v>
      </c>
      <c r="C2" s="16" t="s">
        <v>546</v>
      </c>
      <c r="D2" s="13">
        <v>0</v>
      </c>
      <c r="E2" s="13">
        <v>0</v>
      </c>
      <c r="F2" s="13">
        <v>0</v>
      </c>
      <c r="G2" s="15"/>
      <c r="H2" s="15"/>
      <c r="I2" s="15"/>
      <c r="J2" s="15"/>
      <c r="K2" s="15"/>
      <c r="L2" s="62" t="s">
        <v>506</v>
      </c>
      <c r="M2" s="100">
        <v>0.11047014000899247</v>
      </c>
      <c r="N2" s="15"/>
      <c r="O2" s="67" t="s">
        <v>587</v>
      </c>
      <c r="P2" s="67" t="s">
        <v>588</v>
      </c>
      <c r="Q2" s="67" t="s">
        <v>589</v>
      </c>
      <c r="R2" s="67" t="s">
        <v>35</v>
      </c>
      <c r="S2" s="67" t="s">
        <v>590</v>
      </c>
      <c r="T2" s="67" t="s">
        <v>84</v>
      </c>
      <c r="U2" s="67"/>
      <c r="V2" s="15"/>
      <c r="W2" s="15"/>
      <c r="X2" s="62" t="s">
        <v>559</v>
      </c>
      <c r="Y2" s="15"/>
      <c r="Z2" s="15"/>
      <c r="AA2" s="15" t="s">
        <v>598</v>
      </c>
      <c r="AB2" s="15"/>
      <c r="AC2" s="15"/>
      <c r="AD2" s="15"/>
    </row>
    <row r="3" spans="1:30" ht="12" customHeight="1" x14ac:dyDescent="0.2">
      <c r="A3" s="135"/>
      <c r="B3" s="135"/>
      <c r="C3" s="16" t="s">
        <v>462</v>
      </c>
      <c r="D3" s="13">
        <v>132162.35381336641</v>
      </c>
      <c r="E3" s="13">
        <v>-5095.3742162426397</v>
      </c>
      <c r="F3" s="13">
        <v>0</v>
      </c>
      <c r="G3" s="15"/>
      <c r="H3" s="15"/>
      <c r="I3" s="15"/>
      <c r="J3" s="15"/>
      <c r="K3" s="15"/>
      <c r="L3" s="62" t="s">
        <v>507</v>
      </c>
      <c r="M3" s="100"/>
      <c r="N3" s="15"/>
      <c r="O3" s="68">
        <v>1</v>
      </c>
      <c r="P3" s="68">
        <v>1</v>
      </c>
      <c r="Q3" s="68">
        <v>1</v>
      </c>
      <c r="R3" s="68">
        <v>1</v>
      </c>
      <c r="S3" s="68">
        <v>1</v>
      </c>
      <c r="T3" s="68">
        <v>1</v>
      </c>
      <c r="U3" s="68" t="s">
        <v>591</v>
      </c>
      <c r="V3" s="15"/>
      <c r="W3" s="15"/>
      <c r="X3" s="62" t="s">
        <v>560</v>
      </c>
      <c r="Y3" s="15"/>
      <c r="Z3" s="15"/>
      <c r="AA3" s="15">
        <v>0</v>
      </c>
      <c r="AB3" s="15"/>
      <c r="AC3" s="15"/>
      <c r="AD3" s="15"/>
    </row>
    <row r="4" spans="1:30" ht="12" customHeight="1" x14ac:dyDescent="0.2">
      <c r="A4" s="135"/>
      <c r="B4" s="135"/>
      <c r="C4" s="16" t="s">
        <v>463</v>
      </c>
      <c r="D4" s="13">
        <f>$M$22-D$30</f>
        <v>624527.40973006445</v>
      </c>
      <c r="E4" s="13">
        <f>IF((D4+D$30)&lt;&gt;0,$M$20*D4/(D4+D$30),0)</f>
        <v>-2.1461305651778182</v>
      </c>
      <c r="F4" s="13">
        <f>IF((D4+D$30)&lt;&gt;0,$M$21*D4/(D4+D$30),0)</f>
        <v>0</v>
      </c>
      <c r="G4" s="15"/>
      <c r="H4" s="15"/>
      <c r="I4" s="15"/>
      <c r="J4" s="15"/>
      <c r="K4" s="15"/>
      <c r="L4" s="62" t="s">
        <v>508</v>
      </c>
      <c r="M4" s="100">
        <v>0.10076792163048442</v>
      </c>
      <c r="N4" s="15"/>
      <c r="O4" s="68">
        <v>1</v>
      </c>
      <c r="P4" s="68">
        <v>1</v>
      </c>
      <c r="Q4" s="68">
        <v>1</v>
      </c>
      <c r="R4" s="68">
        <v>1</v>
      </c>
      <c r="S4" s="68">
        <v>1</v>
      </c>
      <c r="T4" s="68">
        <v>1</v>
      </c>
      <c r="U4" s="68" t="s">
        <v>83</v>
      </c>
      <c r="V4" s="15"/>
      <c r="W4" s="15"/>
      <c r="X4" s="15"/>
      <c r="Y4" s="15"/>
      <c r="Z4" s="15"/>
      <c r="AA4" s="15"/>
      <c r="AB4" s="15"/>
      <c r="AC4" s="15"/>
      <c r="AD4" s="15"/>
    </row>
    <row r="5" spans="1:30" ht="12" customHeight="1" x14ac:dyDescent="0.2">
      <c r="A5" s="135"/>
      <c r="B5" s="135"/>
      <c r="C5" s="16" t="s">
        <v>464</v>
      </c>
      <c r="D5" s="13">
        <v>0</v>
      </c>
      <c r="E5" s="13">
        <v>0</v>
      </c>
      <c r="F5" s="13">
        <v>0</v>
      </c>
      <c r="G5" s="15"/>
      <c r="H5" s="15"/>
      <c r="I5" s="15"/>
      <c r="J5" s="15"/>
      <c r="K5" s="15"/>
      <c r="L5" s="62" t="s">
        <v>509</v>
      </c>
      <c r="M5" s="100">
        <v>0.01</v>
      </c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</row>
    <row r="6" spans="1:30" ht="12" customHeight="1" x14ac:dyDescent="0.2">
      <c r="A6" s="135"/>
      <c r="B6" s="135"/>
      <c r="C6" s="16" t="s">
        <v>465</v>
      </c>
      <c r="D6" s="13">
        <v>0</v>
      </c>
      <c r="E6" s="13">
        <v>0</v>
      </c>
      <c r="F6" s="13">
        <v>0</v>
      </c>
      <c r="G6" s="15"/>
      <c r="H6" s="15"/>
      <c r="I6" s="15"/>
      <c r="J6" s="15"/>
      <c r="K6" s="15"/>
      <c r="L6" s="62" t="s">
        <v>510</v>
      </c>
      <c r="M6" s="100">
        <v>0</v>
      </c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</row>
    <row r="7" spans="1:30" ht="12" customHeight="1" x14ac:dyDescent="0.2">
      <c r="A7" s="135"/>
      <c r="B7" s="135"/>
      <c r="C7" s="16" t="s">
        <v>466</v>
      </c>
      <c r="D7" s="13">
        <v>19906891.243956644</v>
      </c>
      <c r="E7" s="13">
        <v>-606637.6309529962</v>
      </c>
      <c r="F7" s="13">
        <v>4533213.0837000003</v>
      </c>
      <c r="G7" s="15"/>
      <c r="H7" s="15"/>
      <c r="I7" s="15"/>
      <c r="J7" s="15"/>
      <c r="K7" s="15"/>
      <c r="L7" s="62" t="s">
        <v>511</v>
      </c>
      <c r="M7" s="62">
        <f>M8+M9+M10+M11</f>
        <v>22658.877474738332</v>
      </c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</row>
    <row r="8" spans="1:30" ht="12" customHeight="1" x14ac:dyDescent="0.2">
      <c r="A8" s="135"/>
      <c r="B8" s="135"/>
      <c r="C8" s="16" t="s">
        <v>467</v>
      </c>
      <c r="D8" s="13">
        <v>3322148.6522549647</v>
      </c>
      <c r="E8" s="13">
        <v>-114045.2171573909</v>
      </c>
      <c r="F8" s="13">
        <v>940817.59369999997</v>
      </c>
      <c r="G8" s="15"/>
      <c r="H8" s="15"/>
      <c r="I8" s="15"/>
      <c r="J8" s="15"/>
      <c r="K8" s="15"/>
      <c r="L8" s="101" t="s">
        <v>512</v>
      </c>
      <c r="M8" s="62">
        <v>17590.19639765369</v>
      </c>
      <c r="N8" s="15"/>
      <c r="O8" s="62" t="s">
        <v>545</v>
      </c>
      <c r="P8" s="68">
        <v>0</v>
      </c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</row>
    <row r="9" spans="1:30" ht="12" customHeight="1" x14ac:dyDescent="0.2">
      <c r="A9" s="135"/>
      <c r="B9" s="135"/>
      <c r="C9" s="16" t="s">
        <v>468</v>
      </c>
      <c r="D9" s="13"/>
      <c r="E9" s="13"/>
      <c r="F9" s="13"/>
      <c r="G9" s="15"/>
      <c r="H9" s="15"/>
      <c r="I9" s="15"/>
      <c r="J9" s="15"/>
      <c r="K9" s="15"/>
      <c r="L9" s="102" t="s">
        <v>513</v>
      </c>
      <c r="M9" s="62">
        <v>345.83836041797798</v>
      </c>
      <c r="N9" s="15"/>
      <c r="O9" s="62" t="s">
        <v>550</v>
      </c>
      <c r="P9" s="68">
        <f>SUM(Mercado_Receita!$J$2:$J$641)</f>
        <v>461354</v>
      </c>
      <c r="Q9" s="68">
        <v>461354</v>
      </c>
      <c r="R9" s="68" t="str">
        <f>IF(ABS(P9-Q9)&gt;1,"ERRO BADNET","OK BADNET")</f>
        <v>OK BADNET</v>
      </c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</row>
    <row r="10" spans="1:30" ht="12" customHeight="1" x14ac:dyDescent="0.2">
      <c r="A10" s="135"/>
      <c r="B10" s="136"/>
      <c r="C10" s="16" t="s">
        <v>469</v>
      </c>
      <c r="D10" s="13">
        <f>SUM(D$2:D9)</f>
        <v>23985729.65975504</v>
      </c>
      <c r="E10" s="13">
        <f>SUM(E$2:E9)</f>
        <v>-725780.36845719488</v>
      </c>
      <c r="F10" s="13">
        <f>SUM(F$2:F9)</f>
        <v>5474030.6774000004</v>
      </c>
      <c r="G10" s="15"/>
      <c r="H10" s="15"/>
      <c r="I10" s="15"/>
      <c r="J10" s="15"/>
      <c r="K10" s="15"/>
      <c r="L10" s="101" t="s">
        <v>514</v>
      </c>
      <c r="M10" s="62">
        <v>380.57665689582512</v>
      </c>
      <c r="N10" s="15"/>
      <c r="O10" s="62" t="s">
        <v>551</v>
      </c>
      <c r="P10" s="68">
        <f>SUM(Mercado_Receita!$L$2:$L$641)</f>
        <v>250616.58199999973</v>
      </c>
      <c r="Q10" s="68">
        <v>250616.58199999999</v>
      </c>
      <c r="R10" s="68" t="str">
        <f>IF(ABS(P10-Q10)&gt;1,"ERRO BADNET","OK BADNET")</f>
        <v>OK BADNET</v>
      </c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</row>
    <row r="11" spans="1:30" ht="12" customHeight="1" x14ac:dyDescent="0.2">
      <c r="A11" s="135"/>
      <c r="B11" s="134" t="s">
        <v>470</v>
      </c>
      <c r="C11" s="16" t="s">
        <v>471</v>
      </c>
      <c r="D11" s="13">
        <v>0</v>
      </c>
      <c r="E11" s="13">
        <v>0</v>
      </c>
      <c r="F11" s="13">
        <f>IF((+$D$11+$D$12+$D$16+$D$17+$D$39)&lt;&gt;0,$M$19*$D$11/(+$D$11+$D$12+$D$16+$D$17+$D$39),0)</f>
        <v>0</v>
      </c>
      <c r="G11" s="15"/>
      <c r="H11" s="15"/>
      <c r="I11" s="15"/>
      <c r="J11" s="15"/>
      <c r="K11" s="15"/>
      <c r="L11" s="101" t="s">
        <v>515</v>
      </c>
      <c r="M11" s="62">
        <v>4342.2660597708409</v>
      </c>
      <c r="N11" s="15"/>
      <c r="O11" s="62" t="s">
        <v>552</v>
      </c>
      <c r="P11" s="68">
        <f>SUM(Mercado_Receita!$N$2:$N$641)</f>
        <v>204644.80299999981</v>
      </c>
      <c r="Q11" s="68">
        <v>204644.80300000001</v>
      </c>
      <c r="R11" s="68" t="str">
        <f>IF(ABS(P11-Q11)&gt;1,"ERRO BADNET","OK BADNET")</f>
        <v>OK BADNET</v>
      </c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</row>
    <row r="12" spans="1:30" ht="12" customHeight="1" x14ac:dyDescent="0.2">
      <c r="A12" s="135"/>
      <c r="B12" s="135"/>
      <c r="C12" s="16" t="s">
        <v>472</v>
      </c>
      <c r="D12" s="13">
        <v>0</v>
      </c>
      <c r="E12" s="13">
        <v>0</v>
      </c>
      <c r="F12" s="13">
        <f>IF((+$D$11+$D$12+$D$16+$D$17+$D$39)&lt;&gt;0,$M$19*$D$12/(+$D$11+$D$12+$D$16+$D$17+$D$39),0)</f>
        <v>0</v>
      </c>
      <c r="G12" s="15"/>
      <c r="H12" s="15"/>
      <c r="I12" s="15"/>
      <c r="J12" s="15"/>
      <c r="K12" s="15"/>
      <c r="L12" s="62" t="s">
        <v>516</v>
      </c>
      <c r="M12" s="62">
        <v>227303.6804747383</v>
      </c>
      <c r="N12" s="15"/>
      <c r="O12" s="62" t="s">
        <v>553</v>
      </c>
      <c r="P12" s="68">
        <f>SUMIF('MERCADO TUSD'!$H$2:$H$48,"kW",'MERCADO TUSD'!$U$2:$U$48)</f>
        <v>461354</v>
      </c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</row>
    <row r="13" spans="1:30" ht="12" customHeight="1" x14ac:dyDescent="0.2">
      <c r="A13" s="135"/>
      <c r="B13" s="135"/>
      <c r="C13" s="16" t="s">
        <v>473</v>
      </c>
      <c r="D13" s="13">
        <f>-$M$51+0</f>
        <v>0</v>
      </c>
      <c r="E13" s="13">
        <v>0</v>
      </c>
      <c r="F13" s="13">
        <v>0</v>
      </c>
      <c r="G13" s="15"/>
      <c r="H13" s="15"/>
      <c r="I13" s="15"/>
      <c r="J13" s="15"/>
      <c r="K13" s="15"/>
      <c r="L13" s="62" t="s">
        <v>517</v>
      </c>
      <c r="M13" s="62">
        <v>4864.3462680729153</v>
      </c>
      <c r="N13" s="15"/>
      <c r="O13" s="62" t="s">
        <v>554</v>
      </c>
      <c r="P13" s="68">
        <f>SUMIF('MERCADO TUSD'!$H$2:$H$48,"MWh",'MERCADO TUSD'!$U$2:$U$48)</f>
        <v>250616.58200000002</v>
      </c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</row>
    <row r="14" spans="1:30" ht="12" customHeight="1" x14ac:dyDescent="0.2">
      <c r="A14" s="135"/>
      <c r="B14" s="135"/>
      <c r="C14" s="16" t="s">
        <v>474</v>
      </c>
      <c r="D14" s="13">
        <v>0</v>
      </c>
      <c r="E14" s="13">
        <v>0</v>
      </c>
      <c r="F14" s="13">
        <v>0</v>
      </c>
      <c r="G14" s="15"/>
      <c r="H14" s="15"/>
      <c r="I14" s="15"/>
      <c r="J14" s="15"/>
      <c r="K14" s="15"/>
      <c r="L14" s="62" t="s">
        <v>518</v>
      </c>
      <c r="M14" s="62">
        <v>185.48491268663713</v>
      </c>
      <c r="N14" s="15"/>
      <c r="O14" s="62" t="s">
        <v>555</v>
      </c>
      <c r="P14" s="68">
        <f>SUMIF('MERCADO TE'!$H$2:$H$39,"MWh",'MERCADO TE'!$U$2:$U$39)</f>
        <v>204644.80300000001</v>
      </c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</row>
    <row r="15" spans="1:30" ht="12" customHeight="1" x14ac:dyDescent="0.2">
      <c r="A15" s="135"/>
      <c r="B15" s="135"/>
      <c r="C15" s="16" t="s">
        <v>475</v>
      </c>
      <c r="D15" s="13">
        <v>23028775.62164</v>
      </c>
      <c r="E15" s="13">
        <v>89260.421168354311</v>
      </c>
      <c r="F15" s="13">
        <v>0</v>
      </c>
      <c r="G15" s="15"/>
      <c r="H15" s="15"/>
      <c r="I15" s="15"/>
      <c r="J15" s="15"/>
      <c r="K15" s="15"/>
      <c r="L15" s="62" t="s">
        <v>519</v>
      </c>
      <c r="M15" s="62">
        <f>M14*M12</f>
        <v>42161403.3262081</v>
      </c>
      <c r="N15" s="15"/>
      <c r="O15" s="62" t="s">
        <v>556</v>
      </c>
      <c r="P15" s="68" t="str">
        <f>IF(ABS(P9-P12)&gt;1,"ERRO","OK")</f>
        <v>OK</v>
      </c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</row>
    <row r="16" spans="1:30" ht="12" customHeight="1" x14ac:dyDescent="0.2">
      <c r="A16" s="135"/>
      <c r="B16" s="135"/>
      <c r="C16" s="16" t="s">
        <v>476</v>
      </c>
      <c r="D16" s="13">
        <v>0</v>
      </c>
      <c r="E16" s="13">
        <v>0</v>
      </c>
      <c r="F16" s="13">
        <f>IF((+$D$11+$D$12+$D$16+$D$17+$D$39)&lt;&gt;0,$M$19*$D$16/(+$D$11+$D$12+$D$16+$D$17+$D$39),0)</f>
        <v>0</v>
      </c>
      <c r="G16" s="15"/>
      <c r="H16" s="15"/>
      <c r="I16" s="15"/>
      <c r="J16" s="15"/>
      <c r="K16" s="15"/>
      <c r="L16" s="62" t="s">
        <v>520</v>
      </c>
      <c r="M16" s="62">
        <v>3017690.5400506053</v>
      </c>
      <c r="N16" s="15"/>
      <c r="O16" s="62" t="s">
        <v>557</v>
      </c>
      <c r="P16" s="68" t="str">
        <f>IF(ABS(P10-P13)&gt;1,"ERRO","OK")</f>
        <v>OK</v>
      </c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</row>
    <row r="17" spans="1:30" ht="12" customHeight="1" x14ac:dyDescent="0.2">
      <c r="A17" s="135"/>
      <c r="B17" s="135"/>
      <c r="C17" s="16" t="s">
        <v>477</v>
      </c>
      <c r="D17" s="13">
        <v>0</v>
      </c>
      <c r="E17" s="13">
        <v>0</v>
      </c>
      <c r="F17" s="13">
        <f>IF((+$D$11+$D$12+$D$16+$D$17+$D$39)&lt;&gt;0,$M$19*$D$17/(+$D$11+$D$12+$D$16+$D$17+$D$39),0)</f>
        <v>0</v>
      </c>
      <c r="G17" s="15"/>
      <c r="H17" s="15"/>
      <c r="I17" s="15"/>
      <c r="J17" s="15"/>
      <c r="K17" s="15"/>
      <c r="L17" s="62" t="s">
        <v>521</v>
      </c>
      <c r="M17" s="62">
        <v>-92523.945899999992</v>
      </c>
      <c r="N17" s="15"/>
      <c r="O17" s="62" t="s">
        <v>558</v>
      </c>
      <c r="P17" s="68" t="str">
        <f>IF(ABS(P11-P14)&gt;1,"ERRO","OK")</f>
        <v>OK</v>
      </c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</row>
    <row r="18" spans="1:30" ht="12" customHeight="1" x14ac:dyDescent="0.2">
      <c r="A18" s="135"/>
      <c r="B18" s="136"/>
      <c r="C18" s="16" t="s">
        <v>469</v>
      </c>
      <c r="D18" s="13">
        <f>SUM(D$11:D17)</f>
        <v>23028775.62164</v>
      </c>
      <c r="E18" s="13">
        <f>SUM(E$11:E17)</f>
        <v>89260.421168354311</v>
      </c>
      <c r="F18" s="13">
        <f>SUM(F$11:F17)</f>
        <v>0</v>
      </c>
      <c r="G18" s="15"/>
      <c r="H18" s="15"/>
      <c r="I18" s="15"/>
      <c r="J18" s="15"/>
      <c r="K18" s="15"/>
      <c r="L18" s="62" t="s">
        <v>522</v>
      </c>
      <c r="M18" s="62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</row>
    <row r="19" spans="1:30" ht="12" customHeight="1" x14ac:dyDescent="0.2">
      <c r="A19" s="135"/>
      <c r="B19" s="134" t="s">
        <v>478</v>
      </c>
      <c r="C19" s="16" t="s">
        <v>479</v>
      </c>
      <c r="D19" s="13">
        <v>27669405.247148588</v>
      </c>
      <c r="E19" s="13">
        <v>-348853.91761998099</v>
      </c>
      <c r="F19" s="13">
        <v>0</v>
      </c>
      <c r="G19" s="15"/>
      <c r="H19" s="15"/>
      <c r="I19" s="15"/>
      <c r="J19" s="15"/>
      <c r="K19" s="15"/>
      <c r="L19" s="62" t="s">
        <v>523</v>
      </c>
      <c r="M19" s="62">
        <v>352805.95</v>
      </c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</row>
    <row r="20" spans="1:30" ht="12" customHeight="1" x14ac:dyDescent="0.2">
      <c r="A20" s="135"/>
      <c r="B20" s="136"/>
      <c r="C20" s="16" t="s">
        <v>469</v>
      </c>
      <c r="D20" s="13">
        <f>SUM(D$19:D19)</f>
        <v>27669405.247148588</v>
      </c>
      <c r="E20" s="13">
        <f>SUM(E$19:E19)</f>
        <v>-348853.91761998099</v>
      </c>
      <c r="F20" s="13">
        <f>SUM(F$19:F19)</f>
        <v>0</v>
      </c>
      <c r="G20" s="15"/>
      <c r="H20" s="15"/>
      <c r="I20" s="15"/>
      <c r="J20" s="15"/>
      <c r="K20" s="15"/>
      <c r="L20" s="62" t="s">
        <v>524</v>
      </c>
      <c r="M20" s="62">
        <v>-3.6716475225714476</v>
      </c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</row>
    <row r="21" spans="1:30" ht="12" customHeight="1" x14ac:dyDescent="0.2">
      <c r="A21" s="135"/>
      <c r="B21" s="134" t="s">
        <v>480</v>
      </c>
      <c r="C21" s="16" t="s">
        <v>481</v>
      </c>
      <c r="D21" s="13"/>
      <c r="E21" s="13">
        <f>IF($D$47&lt;&gt;0,(1-$D$46/$D$47)*0,0)+0</f>
        <v>0</v>
      </c>
      <c r="F21" s="13"/>
      <c r="G21" s="15"/>
      <c r="H21" s="15"/>
      <c r="I21" s="15"/>
      <c r="J21" s="15"/>
      <c r="K21" s="15"/>
      <c r="L21" s="62" t="s">
        <v>525</v>
      </c>
      <c r="M21" s="62">
        <v>0</v>
      </c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</row>
    <row r="22" spans="1:30" ht="12" customHeight="1" x14ac:dyDescent="0.2">
      <c r="A22" s="135"/>
      <c r="B22" s="135"/>
      <c r="C22" s="16" t="s">
        <v>482</v>
      </c>
      <c r="D22" s="13"/>
      <c r="E22" s="13"/>
      <c r="F22" s="13"/>
      <c r="G22" s="15"/>
      <c r="H22" s="15"/>
      <c r="I22" s="15"/>
      <c r="J22" s="15"/>
      <c r="K22" s="15"/>
      <c r="L22" s="62" t="s">
        <v>547</v>
      </c>
      <c r="M22" s="62">
        <v>1068455.2719761315</v>
      </c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</row>
    <row r="23" spans="1:30" ht="12" customHeight="1" x14ac:dyDescent="0.2">
      <c r="A23" s="135"/>
      <c r="B23" s="136"/>
      <c r="C23" s="16" t="s">
        <v>469</v>
      </c>
      <c r="D23" s="13">
        <f>SUM(D$21:D22)</f>
        <v>0</v>
      </c>
      <c r="E23" s="13">
        <f>SUM(E$21:E22)</f>
        <v>0</v>
      </c>
      <c r="F23" s="13">
        <f>SUM(F$21:F22)</f>
        <v>0</v>
      </c>
      <c r="G23" s="15"/>
      <c r="H23" s="15"/>
      <c r="I23" s="15"/>
      <c r="J23" s="15"/>
      <c r="K23" s="15"/>
      <c r="L23" s="62" t="s">
        <v>526</v>
      </c>
      <c r="M23" s="62">
        <v>22</v>
      </c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</row>
    <row r="24" spans="1:30" ht="12" customHeight="1" x14ac:dyDescent="0.2">
      <c r="A24" s="135"/>
      <c r="B24" s="134" t="s">
        <v>483</v>
      </c>
      <c r="C24" s="16" t="s">
        <v>484</v>
      </c>
      <c r="D24" s="13">
        <f>$M$14*$M$8</f>
        <v>3262716.0429595937</v>
      </c>
      <c r="E24" s="13">
        <f>$M$16*$M$8/$M$12</f>
        <v>233527.97964365163</v>
      </c>
      <c r="F24" s="13">
        <f>$M$17*$M$8/$M$12</f>
        <v>-7160.0881097381116</v>
      </c>
      <c r="G24" s="15"/>
      <c r="H24" s="15"/>
      <c r="I24" s="15"/>
      <c r="J24" s="15"/>
      <c r="K24" s="15"/>
      <c r="L24" s="62" t="s">
        <v>527</v>
      </c>
      <c r="M24" s="62">
        <v>0</v>
      </c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</row>
    <row r="25" spans="1:30" ht="12" customHeight="1" x14ac:dyDescent="0.2">
      <c r="A25" s="135"/>
      <c r="B25" s="135"/>
      <c r="C25" s="16" t="s">
        <v>485</v>
      </c>
      <c r="D25" s="13">
        <f>$M$14*$M$10</f>
        <v>70591.227974894384</v>
      </c>
      <c r="E25" s="13">
        <f>$M$16*$M$10/$M$12</f>
        <v>5052.5472129618793</v>
      </c>
      <c r="F25" s="13">
        <f>$M$17*$M$10/$M$12</f>
        <v>-154.91369932897135</v>
      </c>
      <c r="G25" s="15"/>
      <c r="H25" s="15"/>
      <c r="I25" s="15"/>
      <c r="J25" s="15"/>
      <c r="K25" s="15"/>
      <c r="L25" s="62" t="s">
        <v>528</v>
      </c>
      <c r="M25" s="62">
        <v>0</v>
      </c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</row>
    <row r="26" spans="1:30" ht="12" customHeight="1" x14ac:dyDescent="0.2">
      <c r="A26" s="135"/>
      <c r="B26" s="135"/>
      <c r="C26" s="16" t="s">
        <v>486</v>
      </c>
      <c r="D26" s="13">
        <f>$M$14*$M$9</f>
        <v>64147.798085818387</v>
      </c>
      <c r="E26" s="13">
        <f>$M$16*$M$9/$M$12</f>
        <v>4591.3605377627373</v>
      </c>
      <c r="F26" s="13">
        <f>$M$17*$M$9/$M$12</f>
        <v>-140.77347838199159</v>
      </c>
      <c r="G26" s="15"/>
      <c r="H26" s="15"/>
      <c r="I26" s="15"/>
      <c r="J26" s="15"/>
      <c r="K26" s="15"/>
      <c r="L26" s="62" t="s">
        <v>529</v>
      </c>
      <c r="M26" s="62">
        <v>0</v>
      </c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</row>
    <row r="27" spans="1:30" ht="12" customHeight="1" x14ac:dyDescent="0.2">
      <c r="A27" s="135"/>
      <c r="B27" s="135"/>
      <c r="C27" s="16" t="s">
        <v>487</v>
      </c>
      <c r="D27" s="13">
        <v>67351.050553161942</v>
      </c>
      <c r="E27" s="13">
        <v>7594.7065493083364</v>
      </c>
      <c r="F27" s="13">
        <v>0</v>
      </c>
      <c r="G27" s="15"/>
      <c r="H27" s="15"/>
      <c r="I27" s="15"/>
      <c r="J27" s="15"/>
      <c r="K27" s="15"/>
      <c r="L27" s="62" t="s">
        <v>530</v>
      </c>
      <c r="M27" s="62">
        <v>0</v>
      </c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</row>
    <row r="28" spans="1:30" ht="12" customHeight="1" x14ac:dyDescent="0.2">
      <c r="A28" s="135"/>
      <c r="B28" s="136"/>
      <c r="C28" s="16" t="s">
        <v>469</v>
      </c>
      <c r="D28" s="13">
        <f>SUM(D$24:D27)</f>
        <v>3464806.1195734688</v>
      </c>
      <c r="E28" s="13">
        <f>SUM(E$24:E27)</f>
        <v>250766.59394368459</v>
      </c>
      <c r="F28" s="13">
        <f>SUM(F$24:F27)</f>
        <v>-7455.7752874490743</v>
      </c>
      <c r="G28" s="15"/>
      <c r="H28" s="15"/>
      <c r="I28" s="15"/>
      <c r="J28" s="15"/>
      <c r="K28" s="15"/>
      <c r="L28" s="62" t="s">
        <v>531</v>
      </c>
      <c r="M28" s="62">
        <v>0</v>
      </c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</row>
    <row r="29" spans="1:30" ht="12" customHeight="1" x14ac:dyDescent="0.2">
      <c r="A29" s="136"/>
      <c r="B29" s="139" t="s">
        <v>469</v>
      </c>
      <c r="C29" s="140"/>
      <c r="D29" s="13">
        <f>SUMIF(C$2:C28,"SUBTOTAL",D$2:D28)</f>
        <v>78148716.648117095</v>
      </c>
      <c r="E29" s="13">
        <f>SUMIF(C$2:C28,"SUBTOTAL",E$2:E28)</f>
        <v>-734607.27096513694</v>
      </c>
      <c r="F29" s="13">
        <f>SUMIF(C$2:C28,"SUBTOTAL",F$2:F28)</f>
        <v>5466574.902112551</v>
      </c>
      <c r="G29" s="15"/>
      <c r="H29" s="15"/>
      <c r="I29" s="15"/>
      <c r="J29" s="15"/>
      <c r="K29" s="15"/>
      <c r="L29" s="62" t="s">
        <v>532</v>
      </c>
      <c r="M29" s="62">
        <v>0</v>
      </c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</row>
    <row r="30" spans="1:30" ht="12" customHeight="1" x14ac:dyDescent="0.2">
      <c r="A30" s="134" t="s">
        <v>488</v>
      </c>
      <c r="B30" s="134" t="s">
        <v>461</v>
      </c>
      <c r="C30" s="16" t="s">
        <v>463</v>
      </c>
      <c r="D30" s="13">
        <f>IFERROR($M$5*(+D$31+D$32+D$33+D$34+D$36+D$38+D$39+D$40+D$44)+($M$5^2)*(+D$31+D$32+D$33+D$34+D$36+D$38+D$39+D$40+D$44)/$M$22*(+$E$2+$F$2+$E$3+$F$3+$E$8+$F$8+$E$9+$F$9+$E$11+$F$11+$E$12+$F$12+$E$13+$F$13+$E$14+$F$14+$E$15+$F$15+$E$16+$F$16+$E$17+$F$17+$E$19+$F$19+$E$22+$F$22+$E$24+$F$24+$E$25+$F$25+$E$26+$F$26+$E$27+$F$27+$E$31+$F$31+$E$32+$F$32+$E$33+$F$33+$E$34+$F$34+$E$36+$F$36+$E$38+$F$38+$E$39+$F$39+$E$40+$F$40+$E$44+$F$44),0)</f>
        <v>443927.86224606709</v>
      </c>
      <c r="E30" s="13">
        <f>IF((D30+D$4)&lt;&gt;0,$M$20*D30/(D30+D$4),0)</f>
        <v>-1.5255169573936296</v>
      </c>
      <c r="F30" s="13">
        <f>IF((D30+D$4)&lt;&gt;0,$M$21*D30/(D30+D$4),0)</f>
        <v>0</v>
      </c>
      <c r="G30" s="15"/>
      <c r="H30" s="15"/>
      <c r="I30" s="15"/>
      <c r="J30" s="15"/>
      <c r="K30" s="15"/>
      <c r="L30" s="62" t="s">
        <v>533</v>
      </c>
      <c r="M30" s="62">
        <v>0</v>
      </c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</row>
    <row r="31" spans="1:30" ht="12" customHeight="1" x14ac:dyDescent="0.2">
      <c r="A31" s="135"/>
      <c r="B31" s="135"/>
      <c r="C31" s="16" t="s">
        <v>489</v>
      </c>
      <c r="D31" s="13">
        <v>5567368.1052542813</v>
      </c>
      <c r="E31" s="13">
        <v>-1223431.7781012561</v>
      </c>
      <c r="F31" s="13">
        <v>821097.77469999995</v>
      </c>
      <c r="G31" s="15"/>
      <c r="H31" s="15"/>
      <c r="I31" s="15"/>
      <c r="J31" s="15"/>
      <c r="K31" s="15"/>
      <c r="L31" s="62" t="s">
        <v>534</v>
      </c>
      <c r="M31" s="62">
        <v>0</v>
      </c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</row>
    <row r="32" spans="1:30" ht="12" customHeight="1" x14ac:dyDescent="0.2">
      <c r="A32" s="135"/>
      <c r="B32" s="135"/>
      <c r="C32" s="16" t="s">
        <v>490</v>
      </c>
      <c r="D32" s="13">
        <v>0</v>
      </c>
      <c r="E32" s="13">
        <v>0</v>
      </c>
      <c r="F32" s="13">
        <v>0</v>
      </c>
      <c r="G32" s="15"/>
      <c r="H32" s="15"/>
      <c r="I32" s="15"/>
      <c r="J32" s="15"/>
      <c r="K32" s="15"/>
      <c r="L32" s="62" t="s">
        <v>535</v>
      </c>
      <c r="M32" s="62">
        <v>0.45</v>
      </c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</row>
    <row r="33" spans="1:30" ht="12" customHeight="1" x14ac:dyDescent="0.2">
      <c r="A33" s="135"/>
      <c r="B33" s="135"/>
      <c r="C33" s="16" t="s">
        <v>549</v>
      </c>
      <c r="D33" s="30">
        <v>0</v>
      </c>
      <c r="E33" s="30">
        <v>-1.0710678681994937E-5</v>
      </c>
      <c r="F33" s="13">
        <v>0</v>
      </c>
      <c r="G33" s="15"/>
      <c r="H33" s="15"/>
      <c r="I33" s="15"/>
      <c r="J33" s="15"/>
      <c r="K33" s="15"/>
      <c r="L33" s="62" t="s">
        <v>536</v>
      </c>
      <c r="M33" s="62">
        <v>0.4</v>
      </c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</row>
    <row r="34" spans="1:30" ht="12" customHeight="1" x14ac:dyDescent="0.2">
      <c r="A34" s="135"/>
      <c r="B34" s="135"/>
      <c r="C34" s="16" t="s">
        <v>491</v>
      </c>
      <c r="D34" s="13">
        <v>-2509999.9999999995</v>
      </c>
      <c r="E34" s="13">
        <v>0</v>
      </c>
      <c r="F34" s="13">
        <v>0</v>
      </c>
      <c r="G34" s="15"/>
      <c r="H34" s="15"/>
      <c r="I34" s="15"/>
      <c r="J34" s="15"/>
      <c r="K34" s="15"/>
      <c r="L34" s="62" t="s">
        <v>537</v>
      </c>
      <c r="M34" s="62">
        <v>0.65</v>
      </c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</row>
    <row r="35" spans="1:30" ht="12" customHeight="1" x14ac:dyDescent="0.2">
      <c r="A35" s="135"/>
      <c r="B35" s="136"/>
      <c r="C35" s="16" t="s">
        <v>469</v>
      </c>
      <c r="D35" s="13">
        <f>SUM(D$30:D34)</f>
        <v>3501295.967500349</v>
      </c>
      <c r="E35" s="13">
        <f>SUM(E$30:E34)</f>
        <v>-1223433.3036289241</v>
      </c>
      <c r="F35" s="13">
        <f>SUM(F$30:F34)</f>
        <v>821097.77469999995</v>
      </c>
      <c r="G35" s="15"/>
      <c r="H35" s="15"/>
      <c r="I35" s="15"/>
      <c r="J35" s="15"/>
      <c r="K35" s="15"/>
      <c r="L35" s="62" t="s">
        <v>538</v>
      </c>
      <c r="M35" s="62">
        <v>0.4</v>
      </c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</row>
    <row r="36" spans="1:30" ht="12" customHeight="1" x14ac:dyDescent="0.2">
      <c r="A36" s="135"/>
      <c r="B36" s="134" t="s">
        <v>492</v>
      </c>
      <c r="C36" s="16" t="s">
        <v>493</v>
      </c>
      <c r="D36" s="13">
        <f>$M$14*($M$12-$M$7)</f>
        <v>37958523.416229047</v>
      </c>
      <c r="E36" s="13">
        <f>$M$16*($M$12-$M$7)/$M$12</f>
        <v>2716870.5970524414</v>
      </c>
      <c r="F36" s="13">
        <f>$M$17*($M$12-$M$7)/$M$12</f>
        <v>-83300.651542210588</v>
      </c>
      <c r="G36" s="15"/>
      <c r="H36" s="15"/>
      <c r="I36" s="15"/>
      <c r="J36" s="15"/>
      <c r="K36" s="15"/>
      <c r="L36" s="62" t="s">
        <v>539</v>
      </c>
      <c r="M36" s="62">
        <v>0.1</v>
      </c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</row>
    <row r="37" spans="1:30" ht="12" customHeight="1" x14ac:dyDescent="0.2">
      <c r="A37" s="135"/>
      <c r="B37" s="136"/>
      <c r="C37" s="16" t="s">
        <v>469</v>
      </c>
      <c r="D37" s="13">
        <f>SUM(D$36:D36)</f>
        <v>37958523.416229047</v>
      </c>
      <c r="E37" s="13">
        <f>SUM(E$36:E36)</f>
        <v>2716870.5970524414</v>
      </c>
      <c r="F37" s="13">
        <f>SUM(F$36:F36)</f>
        <v>-83300.651542210588</v>
      </c>
      <c r="G37" s="15"/>
      <c r="H37" s="15"/>
      <c r="I37" s="15"/>
      <c r="J37" s="15"/>
      <c r="K37" s="15"/>
      <c r="L37" s="62" t="s">
        <v>540</v>
      </c>
      <c r="M37" s="62">
        <v>0</v>
      </c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</row>
    <row r="38" spans="1:30" ht="12" customHeight="1" x14ac:dyDescent="0.2">
      <c r="A38" s="135"/>
      <c r="B38" s="134" t="s">
        <v>470</v>
      </c>
      <c r="C38" s="16" t="s">
        <v>494</v>
      </c>
      <c r="D38" s="13">
        <v>598524.71113621967</v>
      </c>
      <c r="E38" s="13">
        <v>0</v>
      </c>
      <c r="F38" s="13">
        <v>436375.19709999999</v>
      </c>
      <c r="G38" s="15"/>
      <c r="H38" s="15"/>
      <c r="I38" s="15"/>
      <c r="J38" s="15"/>
      <c r="K38" s="15"/>
      <c r="L38" s="62" t="s">
        <v>541</v>
      </c>
      <c r="M38" s="62">
        <f>IFERROR(VLOOKUP("Convencional1RuralNão se aplicaRURALB2",Descontos!B1:U88,VLOOKUP("Convencional1RuralNão se aplicaRURALB2",Descontos!B1:U88,20,FALSE)+12,FALSE),100)</f>
        <v>0.06</v>
      </c>
      <c r="N38" s="15" t="s">
        <v>592</v>
      </c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</row>
    <row r="39" spans="1:30" ht="12" customHeight="1" x14ac:dyDescent="0.2">
      <c r="A39" s="135"/>
      <c r="B39" s="135"/>
      <c r="C39" s="16" t="s">
        <v>495</v>
      </c>
      <c r="D39" s="13">
        <v>416696.1793310651</v>
      </c>
      <c r="E39" s="13">
        <v>0</v>
      </c>
      <c r="F39" s="13">
        <f>IF((+$D$11+$D$12+$D$16+$D$17+$D$39)&lt;&gt;0,$M$19*$D$39/(+$D$11+$D$12+$D$16+$D$17+$D$39),0)</f>
        <v>352805.95</v>
      </c>
      <c r="G39" s="15"/>
      <c r="H39" s="15"/>
      <c r="I39" s="15"/>
      <c r="J39" s="15"/>
      <c r="K39" s="15"/>
      <c r="L39" s="62" t="s">
        <v>542</v>
      </c>
      <c r="M39" s="62">
        <f>IFERROR(VLOOKUP("Convencional1RuralCooperativa de eletrificação ruralPlanilha CUSTOB2",Descontos!B1:U88,VLOOKUP("Convencional1RuralCooperativa de eletrificação ruralPlanilha CUSTOB2",Descontos!B1:U88,20,FALSE)+12,FALSE),100)</f>
        <v>0.06</v>
      </c>
      <c r="N39" s="15">
        <v>0.06</v>
      </c>
      <c r="O39" s="15" t="s">
        <v>609</v>
      </c>
      <c r="P39" s="15" t="s">
        <v>610</v>
      </c>
      <c r="Q39" s="15" t="s">
        <v>611</v>
      </c>
      <c r="R39" s="15" t="s">
        <v>612</v>
      </c>
      <c r="S39" s="15" t="s">
        <v>1</v>
      </c>
      <c r="T39" s="15" t="s">
        <v>613</v>
      </c>
      <c r="U39" s="15"/>
      <c r="V39" s="15"/>
      <c r="W39" s="15"/>
      <c r="X39" s="15"/>
      <c r="Y39" s="15"/>
      <c r="Z39" s="15"/>
      <c r="AA39" s="15"/>
      <c r="AB39" s="15"/>
      <c r="AC39" s="15"/>
      <c r="AD39" s="15"/>
    </row>
    <row r="40" spans="1:30" ht="12" customHeight="1" x14ac:dyDescent="0.25">
      <c r="A40" s="135"/>
      <c r="B40" s="135"/>
      <c r="C40" s="16" t="s">
        <v>496</v>
      </c>
      <c r="D40" s="13"/>
      <c r="E40" s="13">
        <v>0</v>
      </c>
      <c r="F40" s="13">
        <v>0</v>
      </c>
      <c r="G40" s="15"/>
      <c r="H40" s="15"/>
      <c r="I40" s="15"/>
      <c r="J40" s="15"/>
      <c r="K40" s="15"/>
      <c r="L40" s="62" t="s">
        <v>543</v>
      </c>
      <c r="M40" s="62">
        <f>IFERROR(VLOOKUP("Convencional1RuralServiço público de irrigação ruralPlanilha CUSTOB2",Descontos!B1:U88,VLOOKUP("Convencional1RuralServiço público de irrigação ruralPlanilha CUSTOB2",Descontos!B1:U88,20,FALSE)+12,FALSE),100)</f>
        <v>0.08</v>
      </c>
      <c r="N40" s="15">
        <v>0.08</v>
      </c>
      <c r="O40" s="72"/>
      <c r="P40" s="72"/>
      <c r="Q40" s="72"/>
      <c r="R40" s="72"/>
      <c r="S40" s="72"/>
      <c r="T40" s="72"/>
      <c r="U40" s="15"/>
      <c r="V40" s="15"/>
      <c r="W40" s="15"/>
      <c r="X40" s="15"/>
      <c r="Y40" s="15"/>
      <c r="Z40" s="15"/>
      <c r="AA40" s="15"/>
      <c r="AB40" s="15"/>
      <c r="AC40" s="15"/>
      <c r="AD40" s="15"/>
    </row>
    <row r="41" spans="1:30" ht="12" customHeight="1" x14ac:dyDescent="0.25">
      <c r="A41" s="135"/>
      <c r="B41" s="136"/>
      <c r="C41" s="16" t="s">
        <v>469</v>
      </c>
      <c r="D41" s="13">
        <f>SUM(D$38:D40)</f>
        <v>1015220.8904672847</v>
      </c>
      <c r="E41" s="13">
        <f>SUM(E$38:E40)</f>
        <v>0</v>
      </c>
      <c r="F41" s="13">
        <f>SUM(F$38:F40)</f>
        <v>789181.14709999994</v>
      </c>
      <c r="G41" s="15"/>
      <c r="H41" s="15"/>
      <c r="I41" s="15"/>
      <c r="J41" s="15"/>
      <c r="K41" s="15"/>
      <c r="L41" s="15"/>
      <c r="M41" s="15"/>
      <c r="N41" s="15"/>
      <c r="O41" s="72"/>
      <c r="P41" s="72"/>
      <c r="Q41" s="72"/>
      <c r="R41" s="72"/>
      <c r="S41" s="72"/>
      <c r="T41" s="72"/>
      <c r="U41" s="15"/>
      <c r="V41" s="15"/>
      <c r="W41" s="15"/>
      <c r="X41" s="15"/>
      <c r="Y41" s="15"/>
      <c r="Z41" s="15"/>
      <c r="AA41" s="15"/>
      <c r="AB41" s="15"/>
      <c r="AC41" s="15"/>
      <c r="AD41" s="15"/>
    </row>
    <row r="42" spans="1:30" ht="12" customHeight="1" x14ac:dyDescent="0.25">
      <c r="A42" s="135"/>
      <c r="B42" s="134" t="s">
        <v>480</v>
      </c>
      <c r="C42" s="16" t="s">
        <v>481</v>
      </c>
      <c r="D42" s="13"/>
      <c r="E42" s="13">
        <f>IF($D$47&lt;&gt;0,($D$46/$D$47)* 0,0)+0</f>
        <v>0</v>
      </c>
      <c r="F42" s="13"/>
      <c r="G42" s="15"/>
      <c r="H42" s="15"/>
      <c r="I42" s="15"/>
      <c r="J42" s="15"/>
      <c r="K42" s="15"/>
      <c r="L42" s="15"/>
      <c r="M42" s="15"/>
      <c r="N42" s="15"/>
      <c r="O42" s="72"/>
      <c r="P42" s="72"/>
      <c r="Q42" s="72"/>
      <c r="R42" s="72"/>
      <c r="S42" s="72"/>
      <c r="T42" s="72"/>
      <c r="U42" s="15"/>
      <c r="V42" s="15"/>
      <c r="W42" s="15"/>
      <c r="X42" s="15"/>
      <c r="Y42" s="15"/>
      <c r="Z42" s="15"/>
      <c r="AA42" s="15"/>
      <c r="AB42" s="15"/>
      <c r="AC42" s="15"/>
      <c r="AD42" s="15"/>
    </row>
    <row r="43" spans="1:30" ht="12" customHeight="1" x14ac:dyDescent="0.25">
      <c r="A43" s="135"/>
      <c r="B43" s="136"/>
      <c r="C43" s="16" t="s">
        <v>469</v>
      </c>
      <c r="D43" s="13">
        <f>SUM(D$42:D42)</f>
        <v>0</v>
      </c>
      <c r="E43" s="13">
        <f>SUM(E$42:E42)</f>
        <v>0</v>
      </c>
      <c r="F43" s="13">
        <f>SUM(F$42:F42)</f>
        <v>0</v>
      </c>
      <c r="G43" s="15"/>
      <c r="H43" s="15"/>
      <c r="I43" s="15"/>
      <c r="J43" s="15"/>
      <c r="K43" s="15"/>
      <c r="L43" s="15"/>
      <c r="M43" s="15"/>
      <c r="N43" s="15"/>
      <c r="O43" s="72"/>
      <c r="P43" s="72"/>
      <c r="Q43" s="72"/>
      <c r="R43" s="72"/>
      <c r="S43" s="72"/>
      <c r="T43" s="72"/>
      <c r="U43" s="15"/>
      <c r="V43" s="15"/>
      <c r="W43" s="15"/>
      <c r="X43" s="15"/>
      <c r="Y43" s="15"/>
      <c r="Z43" s="15"/>
      <c r="AA43" s="15"/>
      <c r="AB43" s="15"/>
      <c r="AC43" s="15"/>
      <c r="AD43" s="15"/>
    </row>
    <row r="44" spans="1:30" ht="12" customHeight="1" x14ac:dyDescent="0.25">
      <c r="A44" s="135"/>
      <c r="B44" s="134" t="s">
        <v>483</v>
      </c>
      <c r="C44" s="16" t="s">
        <v>497</v>
      </c>
      <c r="D44" s="13">
        <f>$M$14*$M$11</f>
        <v>805424.84095874231</v>
      </c>
      <c r="E44" s="13">
        <f>$M$16*$M$11/$M$12</f>
        <v>57648.055603787601</v>
      </c>
      <c r="F44" s="13">
        <f>$M$17*$M$11/$M$12</f>
        <v>-1767.5190703403237</v>
      </c>
      <c r="G44" s="15"/>
      <c r="H44" s="15"/>
      <c r="I44" s="15"/>
      <c r="J44" s="15"/>
      <c r="K44" s="15"/>
      <c r="L44" s="15"/>
      <c r="M44" s="15"/>
      <c r="N44" s="15"/>
      <c r="O44" s="72"/>
      <c r="P44" s="72"/>
      <c r="Q44" s="72"/>
      <c r="R44" s="72"/>
      <c r="S44" s="72"/>
      <c r="T44" s="72"/>
      <c r="U44" s="15"/>
      <c r="V44" s="15"/>
      <c r="W44" s="15"/>
      <c r="X44" s="15"/>
      <c r="Y44" s="15"/>
      <c r="Z44" s="15"/>
      <c r="AA44" s="15"/>
      <c r="AB44" s="15"/>
      <c r="AC44" s="15"/>
      <c r="AD44" s="15"/>
    </row>
    <row r="45" spans="1:30" ht="12" customHeight="1" x14ac:dyDescent="0.25">
      <c r="A45" s="135"/>
      <c r="B45" s="136"/>
      <c r="C45" s="16" t="s">
        <v>469</v>
      </c>
      <c r="D45" s="13">
        <f>SUM(D$44:D44)</f>
        <v>805424.84095874231</v>
      </c>
      <c r="E45" s="13">
        <f>SUM(E$44:E44)</f>
        <v>57648.055603787601</v>
      </c>
      <c r="F45" s="13">
        <f>SUM(F$44:F44)</f>
        <v>-1767.5190703403237</v>
      </c>
      <c r="G45" s="15"/>
      <c r="H45" s="15"/>
      <c r="I45" s="15"/>
      <c r="J45" s="15"/>
      <c r="K45" s="15"/>
      <c r="L45" s="15"/>
      <c r="M45" s="15"/>
      <c r="N45" s="15"/>
      <c r="O45" s="72"/>
      <c r="P45" s="72"/>
      <c r="Q45" s="72"/>
      <c r="R45" s="72"/>
      <c r="S45" s="72"/>
      <c r="T45" s="72"/>
      <c r="U45" s="15"/>
      <c r="V45" s="15"/>
      <c r="W45" s="15"/>
      <c r="X45" s="15"/>
      <c r="Y45" s="15"/>
      <c r="Z45" s="15"/>
      <c r="AA45" s="15"/>
      <c r="AB45" s="15"/>
      <c r="AC45" s="15"/>
      <c r="AD45" s="15"/>
    </row>
    <row r="46" spans="1:30" ht="12" customHeight="1" x14ac:dyDescent="0.25">
      <c r="A46" s="136"/>
      <c r="B46" s="139" t="s">
        <v>469</v>
      </c>
      <c r="C46" s="140"/>
      <c r="D46" s="13">
        <f>SUMIF(C$30:C45,"SUBTOTAL",D$30:D45)</f>
        <v>43280465.115155429</v>
      </c>
      <c r="E46" s="13">
        <f>SUMIF(C$30:C45,"SUBTOTAL",E$30:E45)</f>
        <v>1551085.3490273049</v>
      </c>
      <c r="F46" s="13">
        <f>SUMIF(C$30:C45,"SUBTOTAL",F$30:F45)</f>
        <v>1525210.7511874489</v>
      </c>
      <c r="G46" s="15"/>
      <c r="H46" s="15"/>
      <c r="I46" s="15"/>
      <c r="J46" s="15"/>
      <c r="K46" s="15"/>
      <c r="L46" s="15"/>
      <c r="M46" s="15"/>
      <c r="N46" s="15"/>
      <c r="O46" s="72"/>
      <c r="P46" s="72"/>
      <c r="Q46" s="72"/>
      <c r="R46" s="72"/>
      <c r="S46" s="72"/>
      <c r="T46" s="72"/>
      <c r="U46" s="15"/>
      <c r="V46" s="15"/>
      <c r="W46" s="15"/>
      <c r="X46" s="15"/>
      <c r="Y46" s="15"/>
      <c r="Z46" s="15"/>
      <c r="AA46" s="15"/>
      <c r="AB46" s="15"/>
      <c r="AC46" s="15"/>
      <c r="AD46" s="15"/>
    </row>
    <row r="47" spans="1:30" ht="12" customHeight="1" x14ac:dyDescent="0.25">
      <c r="A47" s="139" t="s">
        <v>498</v>
      </c>
      <c r="B47" s="143"/>
      <c r="C47" s="140"/>
      <c r="D47" s="13">
        <f>SUMIF(C$2:C46,"SUBTOTAL",D$2:D46)</f>
        <v>121429181.76327252</v>
      </c>
      <c r="E47" s="13">
        <f>SUMIF(C$2:C46,"SUBTOTAL",E$2:E46)</f>
        <v>816478.07806216821</v>
      </c>
      <c r="F47" s="13">
        <f>SUMIF(C$2:C46,"SUBTOTAL",F$2:F46)</f>
        <v>6991785.6532999994</v>
      </c>
      <c r="G47" s="15"/>
      <c r="H47" s="15"/>
      <c r="I47" s="15"/>
      <c r="J47" s="15"/>
      <c r="K47" s="15"/>
      <c r="L47" s="15"/>
      <c r="M47" s="15"/>
      <c r="N47" s="15"/>
      <c r="O47" s="72"/>
      <c r="P47" s="72"/>
      <c r="Q47" s="72"/>
      <c r="R47" s="72"/>
      <c r="S47" s="72"/>
      <c r="T47" s="72"/>
      <c r="U47" s="15"/>
      <c r="V47" s="15"/>
      <c r="W47" s="15"/>
      <c r="X47" s="15"/>
      <c r="Y47" s="15"/>
      <c r="Z47" s="15"/>
      <c r="AA47" s="15"/>
      <c r="AB47" s="15"/>
      <c r="AC47" s="15"/>
      <c r="AD47" s="15"/>
    </row>
    <row r="48" spans="1:30" ht="12" customHeight="1" x14ac:dyDescent="0.25">
      <c r="A48" s="137" t="s">
        <v>584</v>
      </c>
      <c r="B48" s="138"/>
      <c r="C48" s="138"/>
      <c r="D48" s="65">
        <f ca="1">'TUSD BE'!$AM$53+'TUSD BE'!$AM$57+'TE BE'!$AB$44</f>
        <v>121429181.76327249</v>
      </c>
      <c r="E48" s="65">
        <f ca="1">'TUSD BF'!$AM$53+'TE BF'!$AB$44</f>
        <v>816478.07807287865</v>
      </c>
      <c r="F48" s="65">
        <f ca="1">'TUSD CVA'!$AM$53+'TE CVA'!$AB$44</f>
        <v>6991785.6532999994</v>
      </c>
      <c r="L48" s="99"/>
      <c r="M48" s="62"/>
      <c r="O48" s="72"/>
      <c r="P48" s="72"/>
      <c r="Q48" s="72"/>
      <c r="R48" s="72"/>
      <c r="S48" s="72"/>
      <c r="T48" s="72"/>
    </row>
    <row r="49" spans="1:20" ht="12" customHeight="1" x14ac:dyDescent="0.25">
      <c r="A49" s="137" t="s">
        <v>585</v>
      </c>
      <c r="B49" s="138"/>
      <c r="C49" s="138"/>
      <c r="D49" s="66" t="str">
        <f ca="1">IF(ABS(D48-D47)&gt;1,"ERRO","OK")</f>
        <v>OK</v>
      </c>
      <c r="E49" s="66" t="str">
        <f ca="1">IF(ABS(E48-E47)&gt;1,"ERRO","OK")</f>
        <v>OK</v>
      </c>
      <c r="F49" s="66" t="str">
        <f ca="1">IF(ABS(F48-F47)&gt;1,"ERRO","OK")</f>
        <v>OK</v>
      </c>
      <c r="L49" s="99"/>
      <c r="M49" s="62"/>
      <c r="O49" s="72"/>
      <c r="P49" s="72"/>
      <c r="Q49" s="72"/>
      <c r="R49" s="72"/>
      <c r="S49" s="72"/>
      <c r="T49" s="72"/>
    </row>
    <row r="50" spans="1:20" ht="12" customHeight="1" x14ac:dyDescent="0.25">
      <c r="L50" s="99"/>
      <c r="M50" s="62"/>
      <c r="O50" s="72"/>
      <c r="P50" s="72"/>
      <c r="Q50" s="72"/>
      <c r="R50" s="72"/>
      <c r="S50" s="72"/>
      <c r="T50" s="72"/>
    </row>
    <row r="51" spans="1:20" ht="12" customHeight="1" x14ac:dyDescent="0.25">
      <c r="D51" s="14">
        <v>121429184.94300467</v>
      </c>
      <c r="E51" s="14">
        <v>7808263.7313621677</v>
      </c>
      <c r="L51" s="77" t="s">
        <v>544</v>
      </c>
      <c r="M51" s="81">
        <v>0</v>
      </c>
      <c r="O51" s="72"/>
      <c r="P51" s="72"/>
      <c r="Q51" s="72"/>
      <c r="R51" s="72"/>
      <c r="S51" s="72"/>
      <c r="T51" s="72"/>
    </row>
    <row r="52" spans="1:20" ht="12" customHeight="1" x14ac:dyDescent="0.25">
      <c r="D52" s="97">
        <f ca="1">D51-D48</f>
        <v>3.1797321736812592</v>
      </c>
      <c r="E52" s="97">
        <f ca="1">E51-E48-F48</f>
        <v>-1.0710209608078003E-5</v>
      </c>
      <c r="O52" s="72"/>
      <c r="P52" s="72"/>
      <c r="Q52" s="72"/>
      <c r="R52" s="72"/>
      <c r="S52" s="72"/>
      <c r="T52" s="72"/>
    </row>
    <row r="53" spans="1:20" ht="12" customHeight="1" x14ac:dyDescent="0.25">
      <c r="O53" s="72"/>
      <c r="P53" s="72"/>
      <c r="Q53" s="72"/>
      <c r="R53" s="72"/>
      <c r="S53" s="72"/>
      <c r="T53" s="72"/>
    </row>
    <row r="54" spans="1:20" ht="12" customHeight="1" x14ac:dyDescent="0.25">
      <c r="O54" s="72"/>
      <c r="P54" s="72"/>
      <c r="Q54" s="72"/>
      <c r="R54" s="72"/>
      <c r="S54" s="72"/>
      <c r="T54" s="72"/>
    </row>
    <row r="55" spans="1:20" ht="12" customHeight="1" x14ac:dyDescent="0.25">
      <c r="O55" s="72"/>
      <c r="P55" s="72"/>
      <c r="Q55" s="72"/>
      <c r="R55" s="72"/>
      <c r="S55" s="72"/>
      <c r="T55" s="72"/>
    </row>
    <row r="56" spans="1:20" ht="12" customHeight="1" x14ac:dyDescent="0.25">
      <c r="O56" s="72"/>
      <c r="P56" s="72"/>
      <c r="Q56" s="72"/>
      <c r="R56" s="72"/>
      <c r="S56" s="72"/>
      <c r="T56" s="72"/>
    </row>
    <row r="57" spans="1:20" ht="12" customHeight="1" x14ac:dyDescent="0.25">
      <c r="C57" s="14" t="s">
        <v>1230</v>
      </c>
      <c r="D57" s="18" t="e">
        <f>#REF!</f>
        <v>#REF!</v>
      </c>
      <c r="O57" s="72"/>
      <c r="P57" s="72"/>
      <c r="Q57" s="72"/>
      <c r="R57" s="72"/>
      <c r="S57" s="72"/>
      <c r="T57" s="72"/>
    </row>
    <row r="58" spans="1:20" ht="12" customHeight="1" x14ac:dyDescent="0.25">
      <c r="C58" s="14" t="s">
        <v>1231</v>
      </c>
      <c r="D58" s="18" t="e">
        <f>SUM(#REF!)</f>
        <v>#REF!</v>
      </c>
      <c r="O58" s="72"/>
      <c r="P58" s="72"/>
      <c r="Q58" s="72"/>
      <c r="R58" s="72"/>
      <c r="S58" s="72"/>
      <c r="T58" s="72"/>
    </row>
    <row r="59" spans="1:20" ht="12" customHeight="1" x14ac:dyDescent="0.25">
      <c r="C59" s="104" t="s">
        <v>1232</v>
      </c>
      <c r="D59" s="105" t="e">
        <f>#REF!-#REF!</f>
        <v>#REF!</v>
      </c>
      <c r="O59" s="72"/>
      <c r="P59" s="72"/>
      <c r="Q59" s="72"/>
      <c r="R59" s="72"/>
      <c r="S59" s="72"/>
      <c r="T59" s="72"/>
    </row>
    <row r="60" spans="1:20" ht="12" customHeight="1" x14ac:dyDescent="0.25">
      <c r="C60" s="14" t="s">
        <v>1233</v>
      </c>
      <c r="D60" s="97" t="e">
        <f>D57+D58+D59</f>
        <v>#REF!</v>
      </c>
      <c r="O60" s="72"/>
      <c r="P60" s="72"/>
      <c r="Q60" s="72"/>
      <c r="R60" s="72"/>
      <c r="S60" s="72"/>
      <c r="T60" s="72"/>
    </row>
    <row r="61" spans="1:20" ht="12" customHeight="1" x14ac:dyDescent="0.25">
      <c r="C61" s="14" t="s">
        <v>1228</v>
      </c>
      <c r="D61" s="103">
        <v>129237445.49463469</v>
      </c>
      <c r="O61" s="72"/>
      <c r="P61" s="72"/>
      <c r="Q61" s="72"/>
      <c r="R61" s="72"/>
      <c r="S61" s="72"/>
      <c r="T61" s="72"/>
    </row>
    <row r="62" spans="1:20" ht="12" customHeight="1" x14ac:dyDescent="0.25">
      <c r="C62" s="14" t="s">
        <v>1229</v>
      </c>
      <c r="D62" s="97">
        <f ca="1">D48+E48+F48</f>
        <v>129237445.49464537</v>
      </c>
      <c r="O62" s="72"/>
      <c r="P62" s="72"/>
      <c r="Q62" s="72"/>
      <c r="R62" s="72"/>
      <c r="S62" s="72"/>
      <c r="T62" s="72"/>
    </row>
    <row r="63" spans="1:20" ht="12" customHeight="1" x14ac:dyDescent="0.25">
      <c r="D63" s="97"/>
      <c r="O63" s="72"/>
      <c r="P63" s="72"/>
      <c r="Q63" s="72"/>
      <c r="R63" s="72"/>
      <c r="S63" s="72"/>
      <c r="T63" s="72"/>
    </row>
    <row r="64" spans="1:20" ht="12" customHeight="1" x14ac:dyDescent="0.25">
      <c r="O64" s="72"/>
      <c r="P64" s="72"/>
      <c r="Q64" s="72"/>
      <c r="R64" s="72"/>
      <c r="S64" s="72"/>
      <c r="T64" s="72"/>
    </row>
    <row r="65" spans="15:20" ht="12" customHeight="1" x14ac:dyDescent="0.25">
      <c r="O65" s="72"/>
      <c r="P65" s="72"/>
      <c r="Q65" s="72"/>
      <c r="R65" s="72"/>
      <c r="S65" s="72"/>
      <c r="T65" s="72"/>
    </row>
    <row r="66" spans="15:20" ht="12" customHeight="1" x14ac:dyDescent="0.25">
      <c r="O66" s="72"/>
      <c r="P66" s="72"/>
      <c r="Q66" s="72"/>
      <c r="R66" s="72"/>
      <c r="S66" s="72"/>
      <c r="T66" s="72"/>
    </row>
    <row r="67" spans="15:20" ht="12" customHeight="1" x14ac:dyDescent="0.25">
      <c r="O67" s="72"/>
      <c r="P67" s="72"/>
      <c r="Q67" s="72"/>
      <c r="R67" s="72"/>
      <c r="S67" s="72"/>
      <c r="T67" s="72"/>
    </row>
    <row r="68" spans="15:20" ht="12" customHeight="1" x14ac:dyDescent="0.25">
      <c r="O68" s="72"/>
      <c r="P68" s="72"/>
      <c r="Q68" s="72"/>
      <c r="R68" s="72"/>
      <c r="S68" s="72"/>
      <c r="T68" s="72"/>
    </row>
    <row r="69" spans="15:20" ht="12" customHeight="1" x14ac:dyDescent="0.25">
      <c r="O69" s="72"/>
      <c r="P69" s="72"/>
      <c r="Q69" s="72"/>
      <c r="R69" s="72"/>
      <c r="S69" s="72"/>
      <c r="T69" s="72"/>
    </row>
    <row r="70" spans="15:20" ht="12" customHeight="1" x14ac:dyDescent="0.25">
      <c r="O70" s="72"/>
      <c r="P70" s="72"/>
      <c r="Q70" s="72"/>
      <c r="R70" s="72"/>
      <c r="S70" s="72"/>
      <c r="T70" s="72"/>
    </row>
    <row r="71" spans="15:20" ht="12" customHeight="1" x14ac:dyDescent="0.25">
      <c r="O71" s="72"/>
      <c r="P71" s="72"/>
      <c r="Q71" s="72"/>
      <c r="R71" s="72"/>
      <c r="S71" s="72"/>
      <c r="T71" s="72"/>
    </row>
    <row r="72" spans="15:20" ht="12" customHeight="1" x14ac:dyDescent="0.25">
      <c r="O72" s="72"/>
      <c r="P72" s="72"/>
      <c r="Q72" s="72"/>
      <c r="R72" s="72"/>
      <c r="S72" s="72"/>
      <c r="T72" s="72"/>
    </row>
    <row r="73" spans="15:20" ht="12" customHeight="1" x14ac:dyDescent="0.25">
      <c r="O73" s="72"/>
      <c r="P73" s="72"/>
      <c r="Q73" s="72"/>
      <c r="R73" s="72"/>
      <c r="S73" s="72"/>
      <c r="T73" s="72"/>
    </row>
    <row r="74" spans="15:20" ht="12" customHeight="1" x14ac:dyDescent="0.25">
      <c r="O74" s="72"/>
      <c r="P74" s="72"/>
      <c r="Q74" s="72"/>
      <c r="R74" s="72"/>
      <c r="S74" s="72"/>
      <c r="T74" s="72"/>
    </row>
    <row r="75" spans="15:20" ht="12" customHeight="1" x14ac:dyDescent="0.25">
      <c r="O75" s="72"/>
      <c r="P75" s="72"/>
      <c r="Q75" s="72"/>
      <c r="R75" s="72"/>
      <c r="S75" s="72"/>
      <c r="T75" s="72"/>
    </row>
    <row r="76" spans="15:20" ht="12" customHeight="1" x14ac:dyDescent="0.25">
      <c r="O76" s="72"/>
      <c r="P76" s="72"/>
      <c r="Q76" s="72"/>
      <c r="R76" s="72"/>
      <c r="S76" s="72"/>
      <c r="T76" s="72"/>
    </row>
    <row r="77" spans="15:20" ht="12" customHeight="1" x14ac:dyDescent="0.25">
      <c r="O77" s="72"/>
      <c r="P77" s="72"/>
      <c r="Q77" s="72"/>
      <c r="R77" s="72"/>
      <c r="S77" s="72"/>
      <c r="T77" s="72"/>
    </row>
    <row r="78" spans="15:20" ht="12" customHeight="1" x14ac:dyDescent="0.25">
      <c r="O78" s="72"/>
      <c r="P78" s="72"/>
      <c r="Q78" s="72"/>
      <c r="R78" s="72"/>
      <c r="S78" s="72"/>
      <c r="T78" s="72"/>
    </row>
    <row r="79" spans="15:20" ht="12" customHeight="1" x14ac:dyDescent="0.25">
      <c r="O79" s="72"/>
      <c r="P79" s="72"/>
      <c r="Q79" s="72"/>
      <c r="R79" s="72"/>
      <c r="S79" s="72"/>
      <c r="T79" s="72"/>
    </row>
    <row r="80" spans="15:20" ht="12" customHeight="1" x14ac:dyDescent="0.25">
      <c r="O80" s="72"/>
      <c r="P80" s="72"/>
      <c r="Q80" s="72"/>
      <c r="R80" s="72"/>
      <c r="S80" s="72"/>
      <c r="T80" s="72"/>
    </row>
    <row r="81" spans="15:20" ht="12" customHeight="1" x14ac:dyDescent="0.25">
      <c r="O81" s="72"/>
      <c r="P81" s="72"/>
      <c r="Q81" s="72"/>
      <c r="R81" s="72"/>
      <c r="S81" s="72"/>
      <c r="T81" s="72"/>
    </row>
    <row r="82" spans="15:20" ht="12" customHeight="1" x14ac:dyDescent="0.25">
      <c r="O82" s="72"/>
      <c r="P82" s="72"/>
      <c r="Q82" s="72"/>
      <c r="R82" s="72"/>
      <c r="S82" s="72"/>
      <c r="T82" s="72"/>
    </row>
    <row r="83" spans="15:20" ht="12" customHeight="1" x14ac:dyDescent="0.25">
      <c r="O83" s="72"/>
      <c r="P83" s="72"/>
      <c r="Q83" s="72"/>
      <c r="R83" s="72"/>
      <c r="S83" s="72"/>
      <c r="T83" s="72"/>
    </row>
    <row r="84" spans="15:20" ht="12" customHeight="1" x14ac:dyDescent="0.25">
      <c r="O84" s="72"/>
      <c r="P84" s="72"/>
      <c r="Q84" s="72"/>
      <c r="R84" s="72"/>
      <c r="S84" s="72"/>
      <c r="T84" s="72"/>
    </row>
    <row r="85" spans="15:20" ht="12" customHeight="1" x14ac:dyDescent="0.25">
      <c r="O85" s="72"/>
      <c r="P85" s="72"/>
      <c r="Q85" s="72"/>
      <c r="R85" s="72"/>
      <c r="S85" s="72"/>
      <c r="T85" s="72"/>
    </row>
    <row r="86" spans="15:20" ht="12" customHeight="1" x14ac:dyDescent="0.25">
      <c r="O86" s="72"/>
      <c r="P86" s="72"/>
      <c r="Q86" s="72"/>
      <c r="R86" s="72"/>
      <c r="S86" s="72"/>
      <c r="T86" s="72"/>
    </row>
    <row r="87" spans="15:20" ht="12" customHeight="1" x14ac:dyDescent="0.25">
      <c r="O87" s="72"/>
      <c r="P87" s="72"/>
      <c r="Q87" s="72"/>
      <c r="R87" s="72"/>
      <c r="S87" s="72"/>
      <c r="T87" s="72"/>
    </row>
    <row r="88" spans="15:20" ht="12" customHeight="1" x14ac:dyDescent="0.25">
      <c r="O88" s="72"/>
      <c r="P88" s="72"/>
      <c r="Q88" s="72"/>
      <c r="R88" s="72"/>
      <c r="S88" s="72"/>
      <c r="T88" s="72"/>
    </row>
    <row r="89" spans="15:20" ht="12" customHeight="1" x14ac:dyDescent="0.25">
      <c r="O89" s="72"/>
      <c r="P89" s="72"/>
      <c r="Q89" s="72"/>
      <c r="R89" s="72"/>
      <c r="S89" s="72"/>
      <c r="T89" s="72"/>
    </row>
    <row r="90" spans="15:20" ht="12" customHeight="1" x14ac:dyDescent="0.25">
      <c r="O90" s="72"/>
      <c r="P90" s="72"/>
      <c r="Q90" s="72"/>
      <c r="R90" s="72"/>
      <c r="S90" s="72"/>
      <c r="T90" s="72"/>
    </row>
    <row r="91" spans="15:20" ht="12" customHeight="1" x14ac:dyDescent="0.25">
      <c r="O91" s="72"/>
      <c r="P91" s="72"/>
      <c r="Q91" s="72"/>
      <c r="R91" s="72"/>
      <c r="S91" s="72"/>
      <c r="T91" s="72"/>
    </row>
    <row r="92" spans="15:20" ht="12" customHeight="1" x14ac:dyDescent="0.25">
      <c r="O92" s="72"/>
      <c r="P92" s="72"/>
      <c r="Q92" s="72"/>
      <c r="R92" s="72"/>
      <c r="S92" s="72"/>
      <c r="T92" s="72"/>
    </row>
    <row r="93" spans="15:20" ht="12" customHeight="1" x14ac:dyDescent="0.25">
      <c r="O93" s="72"/>
      <c r="P93" s="72"/>
      <c r="Q93" s="72"/>
      <c r="R93" s="72"/>
      <c r="S93" s="72"/>
      <c r="T93" s="72"/>
    </row>
    <row r="94" spans="15:20" ht="12" customHeight="1" x14ac:dyDescent="0.25">
      <c r="O94" s="72"/>
      <c r="P94" s="72"/>
      <c r="Q94" s="72"/>
      <c r="R94" s="72"/>
      <c r="S94" s="72"/>
      <c r="T94" s="72"/>
    </row>
    <row r="95" spans="15:20" ht="12" customHeight="1" x14ac:dyDescent="0.25">
      <c r="O95" s="72"/>
      <c r="P95" s="72"/>
      <c r="Q95" s="72"/>
      <c r="R95" s="72"/>
      <c r="S95" s="72"/>
      <c r="T95" s="72"/>
    </row>
    <row r="96" spans="15:20" ht="12" customHeight="1" x14ac:dyDescent="0.25">
      <c r="O96" s="72"/>
      <c r="P96" s="72"/>
      <c r="Q96" s="72"/>
      <c r="R96" s="72"/>
      <c r="S96" s="72"/>
      <c r="T96" s="72"/>
    </row>
    <row r="97" spans="15:30" ht="12" customHeight="1" x14ac:dyDescent="0.25">
      <c r="O97" s="72"/>
      <c r="P97" s="72"/>
      <c r="Q97" s="72"/>
      <c r="R97" s="72"/>
      <c r="S97" s="72"/>
      <c r="T97" s="72"/>
    </row>
    <row r="98" spans="15:30" ht="12" customHeight="1" x14ac:dyDescent="0.25">
      <c r="O98" s="72"/>
      <c r="P98" s="72"/>
      <c r="Q98" s="72"/>
      <c r="R98" s="72"/>
      <c r="S98" s="72"/>
      <c r="T98" s="72"/>
    </row>
    <row r="99" spans="15:30" ht="12" customHeight="1" x14ac:dyDescent="0.25">
      <c r="O99" s="71"/>
      <c r="P99" s="71"/>
      <c r="Q99" s="71"/>
      <c r="R99" s="71"/>
      <c r="S99" s="71"/>
      <c r="T99" s="71"/>
    </row>
    <row r="100" spans="15:30" ht="12" customHeight="1" x14ac:dyDescent="0.25">
      <c r="O100" s="72"/>
      <c r="P100" s="72"/>
      <c r="Q100" s="72"/>
      <c r="R100" s="72"/>
      <c r="S100" s="72"/>
      <c r="T100" s="72"/>
      <c r="U100" s="72"/>
      <c r="V100" s="72"/>
      <c r="W100" s="72"/>
      <c r="X100" s="72"/>
      <c r="Y100" s="72"/>
      <c r="Z100" s="72"/>
      <c r="AA100" s="72"/>
      <c r="AB100" s="72"/>
      <c r="AC100" s="72"/>
      <c r="AD100" s="72"/>
    </row>
    <row r="101" spans="15:30" ht="12" customHeight="1" x14ac:dyDescent="0.25">
      <c r="O101" s="72" t="s">
        <v>609</v>
      </c>
      <c r="P101" s="72" t="s">
        <v>614</v>
      </c>
      <c r="Q101" s="72" t="s">
        <v>615</v>
      </c>
      <c r="R101" s="72" t="s">
        <v>616</v>
      </c>
      <c r="S101" s="72" t="s">
        <v>617</v>
      </c>
      <c r="T101" s="72" t="s">
        <v>618</v>
      </c>
      <c r="U101" s="72" t="s">
        <v>619</v>
      </c>
      <c r="V101" s="72" t="s">
        <v>620</v>
      </c>
      <c r="W101" s="72"/>
      <c r="X101" s="72"/>
      <c r="Y101" s="72"/>
      <c r="Z101" s="72"/>
      <c r="AA101" s="72"/>
      <c r="AB101" s="72"/>
      <c r="AC101" s="72"/>
      <c r="AD101" s="72"/>
    </row>
    <row r="102" spans="15:30" ht="12" customHeight="1" x14ac:dyDescent="0.25">
      <c r="O102" s="72" t="s">
        <v>34</v>
      </c>
      <c r="P102" s="72" t="s">
        <v>23</v>
      </c>
      <c r="Q102" s="72" t="s">
        <v>41</v>
      </c>
      <c r="R102" s="72" t="s">
        <v>42</v>
      </c>
      <c r="S102" s="72" t="s">
        <v>25</v>
      </c>
      <c r="T102" s="72" t="s">
        <v>42</v>
      </c>
      <c r="U102" s="72">
        <v>4</v>
      </c>
      <c r="V102" s="72">
        <v>0.3</v>
      </c>
      <c r="W102" s="72">
        <v>0.24</v>
      </c>
      <c r="X102" s="72">
        <v>0.18</v>
      </c>
      <c r="Y102" s="72">
        <v>0.12</v>
      </c>
      <c r="Z102" s="72">
        <v>0.06</v>
      </c>
      <c r="AA102" s="72">
        <v>0</v>
      </c>
      <c r="AB102" s="72"/>
      <c r="AC102" s="72"/>
      <c r="AD102" s="72"/>
    </row>
    <row r="103" spans="15:30" ht="12" customHeight="1" x14ac:dyDescent="0.25">
      <c r="O103" s="72"/>
      <c r="P103" s="72"/>
      <c r="Q103" s="72"/>
      <c r="R103" s="72"/>
      <c r="S103" s="72"/>
      <c r="T103" s="72"/>
      <c r="U103" s="72"/>
      <c r="V103" s="72"/>
      <c r="W103" s="72"/>
      <c r="X103" s="72"/>
      <c r="Y103" s="72"/>
      <c r="Z103" s="72"/>
      <c r="AA103" s="72"/>
      <c r="AB103" s="72"/>
      <c r="AC103" s="72"/>
      <c r="AD103" s="72"/>
    </row>
    <row r="104" spans="15:30" ht="12" customHeight="1" x14ac:dyDescent="0.25">
      <c r="O104" s="72"/>
      <c r="P104" s="72"/>
      <c r="Q104" s="72"/>
      <c r="R104" s="72"/>
      <c r="S104" s="72"/>
      <c r="T104" s="72"/>
      <c r="U104" s="72"/>
      <c r="V104" s="72"/>
      <c r="W104" s="72"/>
      <c r="X104" s="72"/>
      <c r="Y104" s="72"/>
      <c r="Z104" s="72"/>
      <c r="AA104" s="72"/>
      <c r="AB104" s="72"/>
      <c r="AC104" s="72"/>
      <c r="AD104" s="72"/>
    </row>
    <row r="105" spans="15:30" ht="12" customHeight="1" x14ac:dyDescent="0.25">
      <c r="O105" s="72"/>
      <c r="P105" s="72"/>
      <c r="Q105" s="72"/>
      <c r="R105" s="72"/>
      <c r="S105" s="72"/>
      <c r="T105" s="72"/>
      <c r="U105" s="72"/>
      <c r="V105" s="72"/>
      <c r="W105" s="72"/>
      <c r="X105" s="72"/>
      <c r="Y105" s="72"/>
      <c r="Z105" s="72"/>
      <c r="AA105" s="72"/>
      <c r="AB105" s="72"/>
      <c r="AC105" s="72"/>
      <c r="AD105" s="72"/>
    </row>
    <row r="106" spans="15:30" ht="12" customHeight="1" x14ac:dyDescent="0.25">
      <c r="O106" s="72"/>
      <c r="P106" s="72"/>
      <c r="Q106" s="72"/>
      <c r="R106" s="72"/>
      <c r="S106" s="72"/>
      <c r="T106" s="72"/>
      <c r="U106" s="72"/>
      <c r="V106" s="72"/>
      <c r="W106" s="72"/>
      <c r="X106" s="72"/>
      <c r="Y106" s="72"/>
      <c r="Z106" s="72"/>
      <c r="AA106" s="72"/>
      <c r="AB106" s="72"/>
      <c r="AC106" s="72"/>
      <c r="AD106" s="72"/>
    </row>
    <row r="107" spans="15:30" ht="12" customHeight="1" x14ac:dyDescent="0.25">
      <c r="O107" s="72"/>
      <c r="P107" s="72"/>
      <c r="Q107" s="72"/>
      <c r="R107" s="72"/>
      <c r="S107" s="72"/>
      <c r="T107" s="72"/>
      <c r="U107" s="72"/>
      <c r="V107" s="72"/>
      <c r="W107" s="72"/>
      <c r="X107" s="72"/>
      <c r="Y107" s="72"/>
      <c r="Z107" s="72"/>
      <c r="AA107" s="72"/>
      <c r="AB107" s="72"/>
      <c r="AC107" s="72"/>
      <c r="AD107" s="72"/>
    </row>
    <row r="108" spans="15:30" ht="12" customHeight="1" x14ac:dyDescent="0.25">
      <c r="O108" s="72"/>
      <c r="P108" s="72"/>
      <c r="Q108" s="72"/>
      <c r="R108" s="72"/>
      <c r="S108" s="72"/>
      <c r="T108" s="72"/>
      <c r="U108" s="72"/>
      <c r="V108" s="72"/>
      <c r="W108" s="72"/>
      <c r="X108" s="72"/>
      <c r="Y108" s="72"/>
      <c r="Z108" s="72"/>
      <c r="AA108" s="72"/>
      <c r="AB108" s="72"/>
      <c r="AC108" s="72"/>
      <c r="AD108" s="72"/>
    </row>
    <row r="109" spans="15:30" ht="12" customHeight="1" x14ac:dyDescent="0.25">
      <c r="O109" s="72"/>
      <c r="P109" s="72"/>
      <c r="Q109" s="72"/>
      <c r="R109" s="72"/>
      <c r="S109" s="72"/>
      <c r="T109" s="72"/>
      <c r="U109" s="72"/>
      <c r="V109" s="72"/>
      <c r="W109" s="72"/>
      <c r="X109" s="72"/>
      <c r="Y109" s="72"/>
      <c r="Z109" s="72"/>
      <c r="AA109" s="72"/>
      <c r="AB109" s="72"/>
      <c r="AC109" s="72"/>
      <c r="AD109" s="72"/>
    </row>
    <row r="110" spans="15:30" ht="12" customHeight="1" x14ac:dyDescent="0.25">
      <c r="O110" s="72"/>
      <c r="P110" s="72"/>
      <c r="Q110" s="72"/>
      <c r="R110" s="72"/>
      <c r="S110" s="72"/>
      <c r="T110" s="72"/>
      <c r="U110" s="72"/>
      <c r="V110" s="72"/>
      <c r="W110" s="72"/>
      <c r="X110" s="72"/>
      <c r="Y110" s="72"/>
      <c r="Z110" s="72"/>
      <c r="AA110" s="72"/>
      <c r="AB110" s="72"/>
      <c r="AC110" s="72"/>
      <c r="AD110" s="72"/>
    </row>
    <row r="111" spans="15:30" ht="12" customHeight="1" x14ac:dyDescent="0.25">
      <c r="O111" s="72"/>
      <c r="P111" s="72"/>
      <c r="Q111" s="72"/>
      <c r="R111" s="72"/>
      <c r="S111" s="72"/>
      <c r="T111" s="72"/>
      <c r="U111" s="72"/>
      <c r="V111" s="72"/>
      <c r="W111" s="72"/>
      <c r="X111" s="72"/>
      <c r="Y111" s="72"/>
      <c r="Z111" s="72"/>
      <c r="AA111" s="72"/>
      <c r="AB111" s="72"/>
      <c r="AC111" s="72"/>
      <c r="AD111" s="72"/>
    </row>
    <row r="112" spans="15:30" ht="12" customHeight="1" x14ac:dyDescent="0.25">
      <c r="O112" s="72"/>
      <c r="P112" s="72"/>
      <c r="Q112" s="72"/>
      <c r="R112" s="72"/>
      <c r="S112" s="72"/>
      <c r="T112" s="72"/>
      <c r="U112" s="72"/>
      <c r="V112" s="72"/>
      <c r="W112" s="72"/>
      <c r="X112" s="72"/>
      <c r="Y112" s="72"/>
      <c r="Z112" s="72"/>
      <c r="AA112" s="72"/>
      <c r="AB112" s="72"/>
      <c r="AC112" s="72"/>
      <c r="AD112" s="72"/>
    </row>
    <row r="113" spans="15:30" ht="12" customHeight="1" x14ac:dyDescent="0.25">
      <c r="O113" s="72"/>
      <c r="P113" s="72"/>
      <c r="Q113" s="72"/>
      <c r="R113" s="72"/>
      <c r="S113" s="72"/>
      <c r="T113" s="72"/>
      <c r="U113" s="72"/>
      <c r="V113" s="72"/>
      <c r="W113" s="72"/>
      <c r="X113" s="72"/>
      <c r="Y113" s="72"/>
      <c r="Z113" s="72"/>
      <c r="AA113" s="72"/>
      <c r="AB113" s="72"/>
      <c r="AC113" s="72"/>
      <c r="AD113" s="72"/>
    </row>
    <row r="114" spans="15:30" ht="12" customHeight="1" x14ac:dyDescent="0.25">
      <c r="O114" s="72"/>
      <c r="P114" s="72"/>
      <c r="Q114" s="72"/>
      <c r="R114" s="72"/>
      <c r="S114" s="72"/>
      <c r="T114" s="72"/>
      <c r="U114" s="72"/>
      <c r="V114" s="72"/>
      <c r="W114" s="72"/>
      <c r="X114" s="72"/>
      <c r="Y114" s="72"/>
      <c r="Z114" s="72"/>
      <c r="AA114" s="72"/>
      <c r="AB114" s="72"/>
      <c r="AC114" s="72"/>
      <c r="AD114" s="72"/>
    </row>
    <row r="115" spans="15:30" ht="12" customHeight="1" x14ac:dyDescent="0.25">
      <c r="O115" s="72"/>
      <c r="P115" s="72"/>
      <c r="Q115" s="72"/>
      <c r="R115" s="72"/>
      <c r="S115" s="72"/>
      <c r="T115" s="72"/>
      <c r="U115" s="72"/>
      <c r="V115" s="72"/>
      <c r="W115" s="72"/>
      <c r="X115" s="72"/>
      <c r="Y115" s="72"/>
      <c r="Z115" s="72"/>
      <c r="AA115" s="72"/>
      <c r="AB115" s="72"/>
      <c r="AC115" s="72"/>
      <c r="AD115" s="72"/>
    </row>
    <row r="116" spans="15:30" ht="12" customHeight="1" x14ac:dyDescent="0.25">
      <c r="O116" s="72"/>
      <c r="P116" s="72"/>
      <c r="Q116" s="72"/>
      <c r="R116" s="72"/>
      <c r="S116" s="72"/>
      <c r="T116" s="72"/>
      <c r="U116" s="72"/>
      <c r="V116" s="72"/>
      <c r="W116" s="72"/>
      <c r="X116" s="72"/>
      <c r="Y116" s="72"/>
      <c r="Z116" s="72"/>
      <c r="AA116" s="72"/>
      <c r="AB116" s="72"/>
      <c r="AC116" s="72"/>
      <c r="AD116" s="72"/>
    </row>
    <row r="117" spans="15:30" ht="12" customHeight="1" x14ac:dyDescent="0.25">
      <c r="O117" s="72"/>
      <c r="P117" s="72"/>
      <c r="Q117" s="72"/>
      <c r="R117" s="72"/>
      <c r="S117" s="72"/>
      <c r="T117" s="72"/>
      <c r="U117" s="72"/>
      <c r="V117" s="72"/>
      <c r="W117" s="72"/>
      <c r="X117" s="72"/>
      <c r="Y117" s="72"/>
      <c r="Z117" s="72"/>
      <c r="AA117" s="72"/>
      <c r="AB117" s="72"/>
      <c r="AC117" s="72"/>
      <c r="AD117" s="72"/>
    </row>
    <row r="118" spans="15:30" ht="12" customHeight="1" x14ac:dyDescent="0.25">
      <c r="O118" s="72"/>
      <c r="P118" s="72"/>
      <c r="Q118" s="72"/>
      <c r="R118" s="72"/>
      <c r="S118" s="72"/>
      <c r="T118" s="72"/>
      <c r="U118" s="72"/>
      <c r="V118" s="72"/>
      <c r="W118" s="72"/>
      <c r="X118" s="72"/>
      <c r="Y118" s="72"/>
      <c r="Z118" s="72"/>
      <c r="AA118" s="72"/>
      <c r="AB118" s="72"/>
      <c r="AC118" s="72"/>
      <c r="AD118" s="72"/>
    </row>
    <row r="119" spans="15:30" ht="12" customHeight="1" x14ac:dyDescent="0.25">
      <c r="O119" s="72"/>
      <c r="P119" s="72"/>
      <c r="Q119" s="72"/>
      <c r="R119" s="72"/>
      <c r="S119" s="72"/>
      <c r="T119" s="72"/>
      <c r="U119" s="72"/>
      <c r="V119" s="72"/>
      <c r="W119" s="72"/>
      <c r="X119" s="72"/>
      <c r="Y119" s="72"/>
      <c r="Z119" s="72"/>
      <c r="AA119" s="72"/>
      <c r="AB119" s="72"/>
      <c r="AC119" s="72"/>
      <c r="AD119" s="72"/>
    </row>
    <row r="120" spans="15:30" ht="12" customHeight="1" x14ac:dyDescent="0.25">
      <c r="O120" s="72"/>
      <c r="P120" s="72"/>
      <c r="Q120" s="72"/>
      <c r="R120" s="72"/>
      <c r="S120" s="72"/>
      <c r="T120" s="72"/>
      <c r="U120" s="72"/>
      <c r="V120" s="72"/>
      <c r="W120" s="72"/>
      <c r="X120" s="72"/>
      <c r="Y120" s="72"/>
      <c r="Z120" s="72"/>
      <c r="AA120" s="72"/>
      <c r="AB120" s="72"/>
      <c r="AC120" s="72"/>
      <c r="AD120" s="72"/>
    </row>
    <row r="121" spans="15:30" ht="12" customHeight="1" x14ac:dyDescent="0.25">
      <c r="O121" s="72"/>
      <c r="P121" s="72"/>
      <c r="Q121" s="72"/>
      <c r="R121" s="72"/>
      <c r="S121" s="72"/>
      <c r="T121" s="72"/>
      <c r="U121" s="72"/>
      <c r="V121" s="72"/>
      <c r="W121" s="72"/>
      <c r="X121" s="72"/>
      <c r="Y121" s="72"/>
      <c r="Z121" s="72"/>
      <c r="AA121" s="72"/>
      <c r="AB121" s="72"/>
      <c r="AC121" s="72"/>
      <c r="AD121" s="72"/>
    </row>
    <row r="122" spans="15:30" ht="12" customHeight="1" x14ac:dyDescent="0.25">
      <c r="O122" s="72"/>
      <c r="P122" s="72"/>
      <c r="Q122" s="72"/>
      <c r="R122" s="72"/>
      <c r="S122" s="72"/>
      <c r="T122" s="72"/>
      <c r="U122" s="72"/>
      <c r="V122" s="72"/>
      <c r="W122" s="72"/>
      <c r="X122" s="72"/>
      <c r="Y122" s="72"/>
      <c r="Z122" s="72"/>
      <c r="AA122" s="72"/>
      <c r="AB122" s="72"/>
      <c r="AC122" s="72"/>
      <c r="AD122" s="72"/>
    </row>
    <row r="123" spans="15:30" ht="12" customHeight="1" x14ac:dyDescent="0.25">
      <c r="O123" s="72"/>
      <c r="P123" s="72"/>
      <c r="Q123" s="72"/>
      <c r="R123" s="72"/>
      <c r="S123" s="72"/>
      <c r="T123" s="72"/>
      <c r="U123" s="72"/>
      <c r="V123" s="72"/>
      <c r="W123" s="72"/>
      <c r="X123" s="72"/>
      <c r="Y123" s="72"/>
      <c r="Z123" s="72"/>
      <c r="AA123" s="72"/>
      <c r="AB123" s="72"/>
      <c r="AC123" s="72"/>
      <c r="AD123" s="72"/>
    </row>
    <row r="124" spans="15:30" ht="12" customHeight="1" x14ac:dyDescent="0.25">
      <c r="O124" s="72"/>
      <c r="P124" s="72"/>
      <c r="Q124" s="72"/>
      <c r="R124" s="72"/>
      <c r="S124" s="72"/>
      <c r="T124" s="72"/>
      <c r="U124" s="72"/>
      <c r="V124" s="72"/>
      <c r="W124" s="72"/>
      <c r="X124" s="72"/>
      <c r="Y124" s="72"/>
      <c r="Z124" s="72"/>
      <c r="AA124" s="72"/>
      <c r="AB124" s="72"/>
      <c r="AC124" s="72"/>
      <c r="AD124" s="72"/>
    </row>
    <row r="125" spans="15:30" ht="12" customHeight="1" x14ac:dyDescent="0.25">
      <c r="O125" s="72"/>
      <c r="P125" s="72"/>
      <c r="Q125" s="72"/>
      <c r="R125" s="72"/>
      <c r="S125" s="72"/>
      <c r="T125" s="72"/>
      <c r="U125" s="72"/>
      <c r="V125" s="72"/>
      <c r="W125" s="72"/>
      <c r="X125" s="72"/>
      <c r="Y125" s="72"/>
      <c r="Z125" s="72"/>
      <c r="AA125" s="72"/>
      <c r="AB125" s="72"/>
      <c r="AC125" s="72"/>
      <c r="AD125" s="72"/>
    </row>
    <row r="126" spans="15:30" ht="12" customHeight="1" x14ac:dyDescent="0.25">
      <c r="O126" s="72"/>
      <c r="P126" s="72"/>
      <c r="Q126" s="72"/>
      <c r="R126" s="72"/>
      <c r="S126" s="72"/>
      <c r="T126" s="72"/>
      <c r="U126" s="72"/>
      <c r="V126" s="72"/>
      <c r="W126" s="72"/>
      <c r="X126" s="72"/>
      <c r="Y126" s="72"/>
      <c r="Z126" s="72"/>
      <c r="AA126" s="72"/>
      <c r="AB126" s="72"/>
      <c r="AC126" s="72"/>
      <c r="AD126" s="72"/>
    </row>
    <row r="127" spans="15:30" ht="12" customHeight="1" x14ac:dyDescent="0.25">
      <c r="O127" s="72"/>
      <c r="P127" s="72"/>
      <c r="Q127" s="72"/>
      <c r="R127" s="72"/>
      <c r="S127" s="72"/>
      <c r="T127" s="72"/>
      <c r="U127" s="72"/>
      <c r="V127" s="72"/>
      <c r="W127" s="72"/>
      <c r="X127" s="72"/>
      <c r="Y127" s="72"/>
      <c r="Z127" s="72"/>
      <c r="AA127" s="72"/>
      <c r="AB127" s="72"/>
      <c r="AC127" s="72"/>
      <c r="AD127" s="72"/>
    </row>
    <row r="128" spans="15:30" ht="12" customHeight="1" x14ac:dyDescent="0.25">
      <c r="O128" s="72"/>
      <c r="P128" s="72"/>
      <c r="Q128" s="72"/>
      <c r="R128" s="72"/>
      <c r="S128" s="72"/>
      <c r="T128" s="72"/>
      <c r="U128" s="72"/>
      <c r="V128" s="72"/>
      <c r="W128" s="72"/>
      <c r="X128" s="72"/>
      <c r="Y128" s="72"/>
      <c r="Z128" s="72"/>
      <c r="AA128" s="72"/>
      <c r="AB128" s="72"/>
      <c r="AC128" s="72"/>
      <c r="AD128" s="72"/>
    </row>
    <row r="129" spans="15:30" ht="12" customHeight="1" x14ac:dyDescent="0.25">
      <c r="O129" s="72"/>
      <c r="P129" s="72"/>
      <c r="Q129" s="72"/>
      <c r="R129" s="72"/>
      <c r="S129" s="72"/>
      <c r="T129" s="72"/>
      <c r="U129" s="72"/>
      <c r="V129" s="72"/>
      <c r="W129" s="72"/>
      <c r="X129" s="72"/>
      <c r="Y129" s="72"/>
      <c r="Z129" s="72"/>
      <c r="AA129" s="72"/>
      <c r="AB129" s="72"/>
      <c r="AC129" s="72"/>
      <c r="AD129" s="72"/>
    </row>
    <row r="130" spans="15:30" ht="12" customHeight="1" x14ac:dyDescent="0.25">
      <c r="O130" s="72"/>
      <c r="P130" s="72"/>
      <c r="Q130" s="72"/>
      <c r="R130" s="72"/>
      <c r="S130" s="72"/>
      <c r="T130" s="72"/>
      <c r="U130" s="72"/>
      <c r="V130" s="72"/>
      <c r="W130" s="72"/>
      <c r="X130" s="72"/>
      <c r="Y130" s="72"/>
      <c r="Z130" s="72"/>
      <c r="AA130" s="72"/>
      <c r="AB130" s="72"/>
      <c r="AC130" s="72"/>
      <c r="AD130" s="72"/>
    </row>
    <row r="131" spans="15:30" ht="12" customHeight="1" x14ac:dyDescent="0.25">
      <c r="O131" s="72"/>
      <c r="P131" s="72"/>
      <c r="Q131" s="72"/>
      <c r="R131" s="72"/>
      <c r="S131" s="72"/>
      <c r="T131" s="72"/>
      <c r="U131" s="72"/>
      <c r="V131" s="72"/>
      <c r="W131" s="72"/>
      <c r="X131" s="72"/>
      <c r="Y131" s="72"/>
      <c r="Z131" s="72"/>
      <c r="AA131" s="72"/>
      <c r="AB131" s="72"/>
      <c r="AC131" s="72"/>
      <c r="AD131" s="72"/>
    </row>
    <row r="132" spans="15:30" ht="12" customHeight="1" x14ac:dyDescent="0.25">
      <c r="O132" s="72"/>
      <c r="P132" s="72"/>
      <c r="Q132" s="72"/>
      <c r="R132" s="72"/>
      <c r="S132" s="72"/>
      <c r="T132" s="72"/>
      <c r="U132" s="72"/>
      <c r="V132" s="72"/>
      <c r="W132" s="72"/>
      <c r="X132" s="72"/>
      <c r="Y132" s="72"/>
      <c r="Z132" s="72"/>
      <c r="AA132" s="72"/>
      <c r="AB132" s="72"/>
      <c r="AC132" s="72"/>
      <c r="AD132" s="72"/>
    </row>
    <row r="133" spans="15:30" ht="12" customHeight="1" x14ac:dyDescent="0.25">
      <c r="O133" s="72"/>
      <c r="P133" s="72"/>
      <c r="Q133" s="72"/>
      <c r="R133" s="72"/>
      <c r="S133" s="72"/>
      <c r="T133" s="72"/>
      <c r="U133" s="72"/>
      <c r="V133" s="72"/>
      <c r="W133" s="72"/>
      <c r="X133" s="72"/>
      <c r="Y133" s="72"/>
      <c r="Z133" s="72"/>
      <c r="AA133" s="72"/>
      <c r="AB133" s="72"/>
      <c r="AC133" s="72"/>
      <c r="AD133" s="72"/>
    </row>
    <row r="134" spans="15:30" ht="12" customHeight="1" x14ac:dyDescent="0.25">
      <c r="O134" s="72"/>
      <c r="P134" s="72"/>
      <c r="Q134" s="72"/>
      <c r="R134" s="72"/>
      <c r="S134" s="72"/>
      <c r="T134" s="72"/>
      <c r="U134" s="72"/>
      <c r="V134" s="72"/>
      <c r="W134" s="72"/>
      <c r="X134" s="72"/>
      <c r="Y134" s="72"/>
      <c r="Z134" s="72"/>
      <c r="AA134" s="72"/>
      <c r="AB134" s="72"/>
      <c r="AC134" s="72"/>
      <c r="AD134" s="72"/>
    </row>
    <row r="135" spans="15:30" ht="12" customHeight="1" x14ac:dyDescent="0.25">
      <c r="O135" s="72"/>
      <c r="P135" s="72"/>
      <c r="Q135" s="72"/>
      <c r="R135" s="72"/>
      <c r="S135" s="72"/>
      <c r="T135" s="72"/>
      <c r="U135" s="72"/>
      <c r="V135" s="72"/>
      <c r="W135" s="72"/>
      <c r="X135" s="72"/>
      <c r="Y135" s="72"/>
      <c r="Z135" s="72"/>
      <c r="AA135" s="72"/>
      <c r="AB135" s="72"/>
      <c r="AC135" s="72"/>
      <c r="AD135" s="72"/>
    </row>
    <row r="136" spans="15:30" ht="12" customHeight="1" x14ac:dyDescent="0.25">
      <c r="O136" s="72"/>
      <c r="P136" s="72"/>
      <c r="Q136" s="72"/>
      <c r="R136" s="72"/>
      <c r="S136" s="72"/>
      <c r="T136" s="72"/>
      <c r="U136" s="72"/>
      <c r="V136" s="72"/>
      <c r="W136" s="72"/>
      <c r="X136" s="72"/>
      <c r="Y136" s="72"/>
      <c r="Z136" s="72"/>
      <c r="AA136" s="72"/>
      <c r="AB136" s="72"/>
      <c r="AC136" s="72"/>
      <c r="AD136" s="72"/>
    </row>
    <row r="137" spans="15:30" ht="12" customHeight="1" x14ac:dyDescent="0.25">
      <c r="O137" s="72"/>
      <c r="P137" s="72"/>
      <c r="Q137" s="72"/>
      <c r="R137" s="72"/>
      <c r="S137" s="72"/>
      <c r="T137" s="72"/>
      <c r="U137" s="72"/>
      <c r="V137" s="72"/>
      <c r="W137" s="72"/>
      <c r="X137" s="72"/>
      <c r="Y137" s="72"/>
      <c r="Z137" s="72"/>
      <c r="AA137" s="72"/>
      <c r="AB137" s="72"/>
      <c r="AC137" s="72"/>
      <c r="AD137" s="72"/>
    </row>
    <row r="138" spans="15:30" ht="12" customHeight="1" x14ac:dyDescent="0.25">
      <c r="O138" s="72"/>
      <c r="P138" s="72"/>
      <c r="Q138" s="72"/>
      <c r="R138" s="72"/>
      <c r="S138" s="72"/>
      <c r="T138" s="72"/>
      <c r="U138" s="72"/>
      <c r="V138" s="72"/>
      <c r="W138" s="72"/>
      <c r="X138" s="72"/>
      <c r="Y138" s="72"/>
      <c r="Z138" s="72"/>
      <c r="AA138" s="72"/>
      <c r="AB138" s="72"/>
      <c r="AC138" s="72"/>
      <c r="AD138" s="72"/>
    </row>
    <row r="139" spans="15:30" ht="12" customHeight="1" x14ac:dyDescent="0.25">
      <c r="O139" s="72"/>
      <c r="P139" s="72"/>
      <c r="Q139" s="72"/>
      <c r="R139" s="72"/>
      <c r="S139" s="72"/>
      <c r="T139" s="72"/>
      <c r="U139" s="72"/>
      <c r="V139" s="72"/>
      <c r="W139" s="72"/>
      <c r="X139" s="72"/>
      <c r="Y139" s="72"/>
      <c r="Z139" s="72"/>
      <c r="AA139" s="72"/>
      <c r="AB139" s="72"/>
      <c r="AC139" s="72"/>
      <c r="AD139" s="72"/>
    </row>
    <row r="140" spans="15:30" ht="12" customHeight="1" x14ac:dyDescent="0.25">
      <c r="O140" s="72"/>
      <c r="P140" s="72"/>
      <c r="Q140" s="72"/>
      <c r="R140" s="72"/>
      <c r="S140" s="72"/>
      <c r="T140" s="72"/>
      <c r="U140" s="72"/>
      <c r="V140" s="72"/>
      <c r="W140" s="72"/>
      <c r="X140" s="72"/>
      <c r="Y140" s="72"/>
      <c r="Z140" s="72"/>
      <c r="AA140" s="72"/>
      <c r="AB140" s="72"/>
      <c r="AC140" s="72"/>
      <c r="AD140" s="72"/>
    </row>
    <row r="141" spans="15:30" ht="12" customHeight="1" x14ac:dyDescent="0.25">
      <c r="O141" s="72"/>
      <c r="P141" s="72"/>
      <c r="Q141" s="72"/>
      <c r="R141" s="72"/>
      <c r="S141" s="72"/>
      <c r="T141" s="72"/>
      <c r="U141" s="72"/>
      <c r="V141" s="72"/>
      <c r="W141" s="72"/>
      <c r="X141" s="72"/>
      <c r="Y141" s="72"/>
      <c r="Z141" s="72"/>
      <c r="AA141" s="72"/>
      <c r="AB141" s="72"/>
      <c r="AC141" s="72"/>
      <c r="AD141" s="72"/>
    </row>
    <row r="142" spans="15:30" ht="12" customHeight="1" x14ac:dyDescent="0.25">
      <c r="O142" s="72"/>
      <c r="P142" s="72"/>
      <c r="Q142" s="72"/>
      <c r="R142" s="72"/>
      <c r="S142" s="72"/>
      <c r="T142" s="72"/>
      <c r="U142" s="72"/>
      <c r="V142" s="72"/>
      <c r="W142" s="72"/>
      <c r="X142" s="72"/>
      <c r="Y142" s="72"/>
      <c r="Z142" s="72"/>
      <c r="AA142" s="72"/>
      <c r="AB142" s="72"/>
      <c r="AC142" s="72"/>
      <c r="AD142" s="72"/>
    </row>
    <row r="143" spans="15:30" ht="12" customHeight="1" x14ac:dyDescent="0.25">
      <c r="O143" s="72"/>
      <c r="P143" s="72"/>
      <c r="Q143" s="72"/>
      <c r="R143" s="72"/>
      <c r="S143" s="72"/>
      <c r="T143" s="72"/>
      <c r="U143" s="72"/>
      <c r="V143" s="72"/>
      <c r="W143" s="72"/>
      <c r="X143" s="72"/>
      <c r="Y143" s="72"/>
      <c r="Z143" s="72"/>
      <c r="AA143" s="72"/>
      <c r="AB143" s="72"/>
      <c r="AC143" s="72"/>
      <c r="AD143" s="72"/>
    </row>
    <row r="144" spans="15:30" ht="12" customHeight="1" x14ac:dyDescent="0.25">
      <c r="O144" s="72"/>
      <c r="P144" s="72"/>
      <c r="Q144" s="72"/>
      <c r="R144" s="72"/>
      <c r="S144" s="72"/>
      <c r="T144" s="72"/>
      <c r="U144" s="72"/>
      <c r="V144" s="72"/>
      <c r="W144" s="72"/>
      <c r="X144" s="72"/>
      <c r="Y144" s="72"/>
      <c r="Z144" s="72"/>
      <c r="AA144" s="72"/>
      <c r="AB144" s="72"/>
      <c r="AC144" s="72"/>
      <c r="AD144" s="72"/>
    </row>
    <row r="145" spans="15:30" ht="12" customHeight="1" x14ac:dyDescent="0.25">
      <c r="O145" s="72"/>
      <c r="P145" s="72"/>
      <c r="Q145" s="72"/>
      <c r="R145" s="72"/>
      <c r="S145" s="72"/>
      <c r="T145" s="72"/>
      <c r="U145" s="72"/>
      <c r="V145" s="72"/>
      <c r="W145" s="72"/>
      <c r="X145" s="72"/>
      <c r="Y145" s="72"/>
      <c r="Z145" s="72"/>
      <c r="AA145" s="72"/>
      <c r="AB145" s="72"/>
      <c r="AC145" s="72"/>
      <c r="AD145" s="72"/>
    </row>
    <row r="146" spans="15:30" ht="12" customHeight="1" x14ac:dyDescent="0.25">
      <c r="O146" s="72"/>
      <c r="P146" s="72"/>
      <c r="Q146" s="72"/>
      <c r="R146" s="72"/>
      <c r="S146" s="72"/>
      <c r="T146" s="72"/>
      <c r="U146" s="72"/>
      <c r="V146" s="72"/>
      <c r="W146" s="72"/>
      <c r="X146" s="72"/>
      <c r="Y146" s="72"/>
      <c r="Z146" s="72"/>
      <c r="AA146" s="72"/>
      <c r="AB146" s="72"/>
      <c r="AC146" s="72"/>
      <c r="AD146" s="72"/>
    </row>
    <row r="147" spans="15:30" ht="12" customHeight="1" x14ac:dyDescent="0.25">
      <c r="O147" s="72"/>
      <c r="P147" s="72"/>
      <c r="Q147" s="72"/>
      <c r="R147" s="72"/>
      <c r="S147" s="72"/>
      <c r="T147" s="72"/>
      <c r="U147" s="72"/>
      <c r="V147" s="72"/>
      <c r="W147" s="72"/>
      <c r="X147" s="72"/>
      <c r="Y147" s="72"/>
      <c r="Z147" s="72"/>
      <c r="AA147" s="72"/>
      <c r="AB147" s="72"/>
      <c r="AC147" s="72"/>
      <c r="AD147" s="72"/>
    </row>
    <row r="148" spans="15:30" ht="12" customHeight="1" x14ac:dyDescent="0.25">
      <c r="O148" s="72"/>
      <c r="P148" s="72"/>
      <c r="Q148" s="72"/>
      <c r="R148" s="72"/>
      <c r="S148" s="72"/>
      <c r="T148" s="72"/>
      <c r="U148" s="72"/>
      <c r="V148" s="72"/>
      <c r="W148" s="72"/>
      <c r="X148" s="72"/>
      <c r="Y148" s="72"/>
      <c r="Z148" s="72"/>
      <c r="AA148" s="72"/>
      <c r="AB148" s="72"/>
      <c r="AC148" s="72"/>
      <c r="AD148" s="72"/>
    </row>
    <row r="149" spans="15:30" ht="12" customHeight="1" x14ac:dyDescent="0.25">
      <c r="O149" s="72"/>
      <c r="P149" s="72"/>
      <c r="Q149" s="72"/>
      <c r="R149" s="72"/>
      <c r="S149" s="72"/>
      <c r="T149" s="72"/>
      <c r="U149" s="72"/>
      <c r="V149" s="72"/>
      <c r="W149" s="72"/>
      <c r="X149" s="72"/>
      <c r="Y149" s="72"/>
      <c r="Z149" s="72"/>
      <c r="AA149" s="72"/>
      <c r="AB149" s="72"/>
      <c r="AC149" s="72"/>
      <c r="AD149" s="72"/>
    </row>
    <row r="150" spans="15:30" ht="12" customHeight="1" x14ac:dyDescent="0.25">
      <c r="O150" s="72"/>
      <c r="P150" s="72"/>
      <c r="Q150" s="72"/>
      <c r="R150" s="72"/>
      <c r="S150" s="72"/>
      <c r="T150" s="72"/>
      <c r="U150" s="72"/>
      <c r="V150" s="72"/>
      <c r="W150" s="72"/>
      <c r="X150" s="72"/>
      <c r="Y150" s="72"/>
      <c r="Z150" s="72"/>
      <c r="AA150" s="72"/>
      <c r="AB150" s="72"/>
      <c r="AC150" s="72"/>
      <c r="AD150" s="72"/>
    </row>
    <row r="151" spans="15:30" ht="12" customHeight="1" x14ac:dyDescent="0.25">
      <c r="O151" s="72"/>
      <c r="P151" s="72"/>
      <c r="Q151" s="72"/>
      <c r="R151" s="72"/>
      <c r="S151" s="72"/>
      <c r="T151" s="72"/>
      <c r="U151" s="72"/>
      <c r="V151" s="72"/>
      <c r="W151" s="72"/>
      <c r="X151" s="72"/>
      <c r="Y151" s="72"/>
      <c r="Z151" s="72"/>
      <c r="AA151" s="72"/>
      <c r="AB151" s="72"/>
      <c r="AC151" s="72"/>
      <c r="AD151" s="72"/>
    </row>
    <row r="152" spans="15:30" ht="12" customHeight="1" x14ac:dyDescent="0.25">
      <c r="O152" s="72"/>
      <c r="P152" s="72"/>
      <c r="Q152" s="72"/>
      <c r="R152" s="72"/>
      <c r="S152" s="72"/>
      <c r="T152" s="72"/>
      <c r="U152" s="72"/>
      <c r="V152" s="72"/>
      <c r="W152" s="72"/>
      <c r="X152" s="72"/>
      <c r="Y152" s="72"/>
      <c r="Z152" s="72"/>
      <c r="AA152" s="72"/>
      <c r="AB152" s="72"/>
      <c r="AC152" s="72"/>
      <c r="AD152" s="72"/>
    </row>
    <row r="153" spans="15:30" ht="12" customHeight="1" x14ac:dyDescent="0.25">
      <c r="O153" s="72"/>
      <c r="P153" s="72"/>
      <c r="Q153" s="72"/>
      <c r="R153" s="72"/>
      <c r="S153" s="72"/>
      <c r="T153" s="72"/>
      <c r="U153" s="72"/>
      <c r="V153" s="72"/>
      <c r="W153" s="72"/>
      <c r="X153" s="72"/>
      <c r="Y153" s="72"/>
      <c r="Z153" s="72"/>
      <c r="AA153" s="72"/>
      <c r="AB153" s="72"/>
      <c r="AC153" s="72"/>
      <c r="AD153" s="72"/>
    </row>
    <row r="154" spans="15:30" ht="12" customHeight="1" x14ac:dyDescent="0.25">
      <c r="O154" s="72"/>
      <c r="P154" s="72"/>
      <c r="Q154" s="72"/>
      <c r="R154" s="72"/>
      <c r="S154" s="72"/>
      <c r="T154" s="72"/>
      <c r="U154" s="72"/>
      <c r="V154" s="72"/>
      <c r="W154" s="72"/>
      <c r="X154" s="72"/>
      <c r="Y154" s="72"/>
      <c r="Z154" s="72"/>
      <c r="AA154" s="72"/>
      <c r="AB154" s="72"/>
      <c r="AC154" s="72"/>
      <c r="AD154" s="72"/>
    </row>
    <row r="155" spans="15:30" ht="12" customHeight="1" x14ac:dyDescent="0.25">
      <c r="O155" s="72"/>
      <c r="P155" s="72"/>
      <c r="Q155" s="72"/>
      <c r="R155" s="72"/>
      <c r="S155" s="72"/>
      <c r="T155" s="72"/>
      <c r="U155" s="72"/>
      <c r="V155" s="72"/>
      <c r="W155" s="72"/>
      <c r="X155" s="72"/>
      <c r="Y155" s="72"/>
      <c r="Z155" s="72"/>
      <c r="AA155" s="72"/>
      <c r="AB155" s="72"/>
      <c r="AC155" s="72"/>
      <c r="AD155" s="72"/>
    </row>
    <row r="156" spans="15:30" ht="12" customHeight="1" x14ac:dyDescent="0.25">
      <c r="O156" s="72"/>
      <c r="P156" s="72"/>
      <c r="Q156" s="72"/>
      <c r="R156" s="72"/>
      <c r="S156" s="72"/>
      <c r="T156" s="72"/>
      <c r="U156" s="72"/>
      <c r="V156" s="72"/>
      <c r="W156" s="72"/>
      <c r="X156" s="72"/>
      <c r="Y156" s="72"/>
      <c r="Z156" s="72"/>
      <c r="AA156" s="72"/>
      <c r="AB156" s="72"/>
      <c r="AC156" s="72"/>
      <c r="AD156" s="72"/>
    </row>
    <row r="157" spans="15:30" ht="12" customHeight="1" x14ac:dyDescent="0.25">
      <c r="O157" s="72"/>
      <c r="P157" s="72"/>
      <c r="Q157" s="72"/>
      <c r="R157" s="72"/>
      <c r="S157" s="72"/>
      <c r="T157" s="72"/>
      <c r="U157" s="72"/>
      <c r="V157" s="72"/>
      <c r="W157" s="72"/>
      <c r="X157" s="72"/>
      <c r="Y157" s="72"/>
      <c r="Z157" s="72"/>
      <c r="AA157" s="72"/>
      <c r="AB157" s="72"/>
      <c r="AC157" s="72"/>
      <c r="AD157" s="72"/>
    </row>
    <row r="158" spans="15:30" ht="12" customHeight="1" x14ac:dyDescent="0.25">
      <c r="O158" s="72"/>
      <c r="P158" s="72"/>
      <c r="Q158" s="72"/>
      <c r="R158" s="72"/>
      <c r="S158" s="72"/>
      <c r="T158" s="72"/>
      <c r="U158" s="72"/>
      <c r="V158" s="72"/>
      <c r="W158" s="72"/>
      <c r="X158" s="72"/>
      <c r="Y158" s="72"/>
      <c r="Z158" s="72"/>
      <c r="AA158" s="72"/>
      <c r="AB158" s="72"/>
      <c r="AC158" s="72"/>
      <c r="AD158" s="72"/>
    </row>
    <row r="159" spans="15:30" ht="12" customHeight="1" x14ac:dyDescent="0.25">
      <c r="O159" s="72"/>
      <c r="P159" s="72"/>
      <c r="Q159" s="72"/>
      <c r="R159" s="72"/>
      <c r="S159" s="72"/>
      <c r="T159" s="72"/>
      <c r="U159" s="72"/>
      <c r="V159" s="72"/>
      <c r="W159" s="72"/>
      <c r="X159" s="72"/>
      <c r="Y159" s="72"/>
      <c r="Z159" s="72"/>
      <c r="AA159" s="72"/>
      <c r="AB159" s="72"/>
      <c r="AC159" s="72"/>
      <c r="AD159" s="72"/>
    </row>
    <row r="160" spans="15:30" ht="12" customHeight="1" x14ac:dyDescent="0.25">
      <c r="O160" s="72"/>
      <c r="P160" s="72"/>
      <c r="Q160" s="72"/>
      <c r="R160" s="72"/>
      <c r="S160" s="72"/>
      <c r="T160" s="72"/>
      <c r="U160" s="72"/>
      <c r="V160" s="72"/>
      <c r="W160" s="72"/>
      <c r="X160" s="72"/>
      <c r="Y160" s="72"/>
      <c r="Z160" s="72"/>
      <c r="AA160" s="72"/>
      <c r="AB160" s="72"/>
      <c r="AC160" s="72"/>
      <c r="AD160" s="72"/>
    </row>
    <row r="161" spans="15:30" ht="12" customHeight="1" x14ac:dyDescent="0.25">
      <c r="O161" s="72"/>
      <c r="P161" s="72"/>
      <c r="Q161" s="72"/>
      <c r="R161" s="72"/>
      <c r="S161" s="72"/>
      <c r="T161" s="72"/>
      <c r="U161" s="72"/>
      <c r="V161" s="72"/>
      <c r="W161" s="72"/>
      <c r="X161" s="72"/>
      <c r="Y161" s="72"/>
      <c r="Z161" s="72"/>
      <c r="AA161" s="72"/>
      <c r="AB161" s="72"/>
      <c r="AC161" s="72"/>
      <c r="AD161" s="72"/>
    </row>
    <row r="162" spans="15:30" ht="12" customHeight="1" x14ac:dyDescent="0.25">
      <c r="O162" s="72"/>
      <c r="P162" s="72"/>
      <c r="Q162" s="72"/>
      <c r="R162" s="72"/>
      <c r="S162" s="72"/>
      <c r="T162" s="72"/>
      <c r="U162" s="72"/>
      <c r="V162" s="72"/>
      <c r="W162" s="72"/>
      <c r="X162" s="72"/>
      <c r="Y162" s="72"/>
      <c r="Z162" s="72"/>
      <c r="AA162" s="72"/>
      <c r="AB162" s="72"/>
      <c r="AC162" s="72"/>
      <c r="AD162" s="72"/>
    </row>
    <row r="163" spans="15:30" ht="12" customHeight="1" x14ac:dyDescent="0.25">
      <c r="O163" s="72"/>
      <c r="P163" s="72"/>
      <c r="Q163" s="72"/>
      <c r="R163" s="72"/>
      <c r="S163" s="72"/>
      <c r="T163" s="72"/>
      <c r="U163" s="72"/>
      <c r="V163" s="72"/>
      <c r="W163" s="72"/>
      <c r="X163" s="72"/>
      <c r="Y163" s="72"/>
      <c r="Z163" s="72"/>
      <c r="AA163" s="72"/>
      <c r="AB163" s="72"/>
      <c r="AC163" s="72"/>
      <c r="AD163" s="72"/>
    </row>
    <row r="164" spans="15:30" ht="12" customHeight="1" x14ac:dyDescent="0.25">
      <c r="O164" s="72"/>
      <c r="P164" s="72"/>
      <c r="Q164" s="72"/>
      <c r="R164" s="72"/>
      <c r="S164" s="72"/>
      <c r="T164" s="72"/>
      <c r="U164" s="72"/>
      <c r="V164" s="72"/>
      <c r="W164" s="72"/>
      <c r="X164" s="72"/>
      <c r="Y164" s="72"/>
      <c r="Z164" s="72"/>
      <c r="AA164" s="72"/>
      <c r="AB164" s="72"/>
      <c r="AC164" s="72"/>
      <c r="AD164" s="72"/>
    </row>
    <row r="165" spans="15:30" ht="12" customHeight="1" x14ac:dyDescent="0.25">
      <c r="O165" s="72"/>
      <c r="P165" s="72"/>
      <c r="Q165" s="72"/>
      <c r="R165" s="72"/>
      <c r="S165" s="72"/>
      <c r="T165" s="72"/>
      <c r="U165" s="72"/>
      <c r="V165" s="72"/>
      <c r="W165" s="72"/>
      <c r="X165" s="72"/>
      <c r="Y165" s="72"/>
      <c r="Z165" s="72"/>
      <c r="AA165" s="72"/>
      <c r="AB165" s="72"/>
      <c r="AC165" s="72"/>
      <c r="AD165" s="72"/>
    </row>
    <row r="166" spans="15:30" ht="12" customHeight="1" x14ac:dyDescent="0.25">
      <c r="O166" s="72"/>
      <c r="P166" s="72"/>
      <c r="Q166" s="72"/>
      <c r="R166" s="72"/>
      <c r="S166" s="72"/>
      <c r="T166" s="72"/>
      <c r="U166" s="72"/>
      <c r="V166" s="72"/>
      <c r="W166" s="72"/>
      <c r="X166" s="72"/>
      <c r="Y166" s="72"/>
      <c r="Z166" s="72"/>
      <c r="AA166" s="72"/>
      <c r="AB166" s="72"/>
      <c r="AC166" s="72"/>
      <c r="AD166" s="72"/>
    </row>
    <row r="167" spans="15:30" ht="12" customHeight="1" x14ac:dyDescent="0.25">
      <c r="O167" s="72"/>
      <c r="P167" s="72"/>
      <c r="Q167" s="72"/>
      <c r="R167" s="72"/>
      <c r="S167" s="72"/>
      <c r="T167" s="72"/>
      <c r="U167" s="72"/>
      <c r="V167" s="72"/>
      <c r="W167" s="72"/>
      <c r="X167" s="72"/>
      <c r="Y167" s="72"/>
      <c r="Z167" s="72"/>
      <c r="AA167" s="72"/>
      <c r="AB167" s="72"/>
      <c r="AC167" s="72"/>
      <c r="AD167" s="72"/>
    </row>
    <row r="168" spans="15:30" ht="12" customHeight="1" x14ac:dyDescent="0.25">
      <c r="O168" s="72"/>
      <c r="P168" s="72"/>
      <c r="Q168" s="72"/>
      <c r="R168" s="72"/>
      <c r="S168" s="72"/>
      <c r="T168" s="72"/>
      <c r="U168" s="72"/>
      <c r="V168" s="72"/>
      <c r="W168" s="72"/>
      <c r="X168" s="72"/>
      <c r="Y168" s="72"/>
      <c r="Z168" s="72"/>
      <c r="AA168" s="72"/>
      <c r="AB168" s="72"/>
      <c r="AC168" s="72"/>
      <c r="AD168" s="72"/>
    </row>
    <row r="169" spans="15:30" ht="12" customHeight="1" x14ac:dyDescent="0.25">
      <c r="O169" s="72"/>
      <c r="P169" s="72"/>
      <c r="Q169" s="72"/>
      <c r="R169" s="72"/>
      <c r="S169" s="72"/>
      <c r="T169" s="72"/>
      <c r="U169" s="72"/>
      <c r="V169" s="72"/>
      <c r="W169" s="72"/>
      <c r="X169" s="72"/>
      <c r="Y169" s="72"/>
      <c r="Z169" s="72"/>
      <c r="AA169" s="72"/>
      <c r="AB169" s="72"/>
      <c r="AC169" s="72"/>
      <c r="AD169" s="72"/>
    </row>
    <row r="170" spans="15:30" ht="12" customHeight="1" x14ac:dyDescent="0.25">
      <c r="O170" s="72"/>
      <c r="P170" s="72"/>
      <c r="Q170" s="72"/>
      <c r="R170" s="72"/>
      <c r="S170" s="72"/>
      <c r="T170" s="72"/>
      <c r="U170" s="72"/>
      <c r="V170" s="72"/>
      <c r="W170" s="72"/>
      <c r="X170" s="72"/>
      <c r="Y170" s="72"/>
      <c r="Z170" s="72"/>
      <c r="AA170" s="72"/>
      <c r="AB170" s="72"/>
      <c r="AC170" s="72"/>
      <c r="AD170" s="72"/>
    </row>
    <row r="171" spans="15:30" ht="12" customHeight="1" x14ac:dyDescent="0.25">
      <c r="O171" s="72"/>
      <c r="P171" s="72"/>
      <c r="Q171" s="72"/>
      <c r="R171" s="72"/>
      <c r="S171" s="72"/>
      <c r="T171" s="72"/>
      <c r="U171" s="72"/>
      <c r="V171" s="72"/>
      <c r="W171" s="72"/>
      <c r="X171" s="72"/>
      <c r="Y171" s="72"/>
      <c r="Z171" s="72"/>
      <c r="AA171" s="72"/>
      <c r="AB171" s="72"/>
      <c r="AC171" s="72"/>
      <c r="AD171" s="72"/>
    </row>
    <row r="172" spans="15:30" ht="12" customHeight="1" x14ac:dyDescent="0.25">
      <c r="O172" s="72"/>
      <c r="P172" s="72"/>
      <c r="Q172" s="72"/>
      <c r="R172" s="72"/>
      <c r="S172" s="72"/>
      <c r="T172" s="72"/>
      <c r="U172" s="72"/>
      <c r="V172" s="72"/>
      <c r="W172" s="72"/>
      <c r="X172" s="72"/>
      <c r="Y172" s="72"/>
      <c r="Z172" s="72"/>
      <c r="AA172" s="72"/>
      <c r="AB172" s="72"/>
      <c r="AC172" s="72"/>
      <c r="AD172" s="72"/>
    </row>
    <row r="173" spans="15:30" ht="12" customHeight="1" x14ac:dyDescent="0.25">
      <c r="O173" s="72"/>
      <c r="P173" s="72"/>
      <c r="Q173" s="72"/>
      <c r="R173" s="72"/>
      <c r="S173" s="72"/>
      <c r="T173" s="72"/>
      <c r="U173" s="72"/>
      <c r="V173" s="72"/>
      <c r="W173" s="72"/>
      <c r="X173" s="72"/>
      <c r="Y173" s="72"/>
      <c r="Z173" s="72"/>
      <c r="AA173" s="72"/>
      <c r="AB173" s="72"/>
      <c r="AC173" s="72"/>
      <c r="AD173" s="72"/>
    </row>
    <row r="174" spans="15:30" ht="12" customHeight="1" x14ac:dyDescent="0.25">
      <c r="O174" s="72"/>
      <c r="P174" s="72"/>
      <c r="Q174" s="72"/>
      <c r="R174" s="72"/>
      <c r="S174" s="72"/>
      <c r="T174" s="72"/>
      <c r="U174" s="72"/>
      <c r="V174" s="72"/>
      <c r="W174" s="72"/>
      <c r="X174" s="72"/>
      <c r="Y174" s="72"/>
      <c r="Z174" s="72"/>
      <c r="AA174" s="72"/>
      <c r="AB174" s="72"/>
      <c r="AC174" s="72"/>
      <c r="AD174" s="72"/>
    </row>
    <row r="175" spans="15:30" ht="12" customHeight="1" x14ac:dyDescent="0.25">
      <c r="O175" s="72"/>
      <c r="P175" s="72"/>
      <c r="Q175" s="72"/>
      <c r="R175" s="72"/>
      <c r="S175" s="72"/>
      <c r="T175" s="72"/>
      <c r="U175" s="72"/>
      <c r="V175" s="72"/>
      <c r="W175" s="72"/>
      <c r="X175" s="72"/>
      <c r="Y175" s="72"/>
      <c r="Z175" s="72"/>
      <c r="AA175" s="72"/>
      <c r="AB175" s="72"/>
      <c r="AC175" s="72"/>
      <c r="AD175" s="72"/>
    </row>
    <row r="176" spans="15:30" ht="12" customHeight="1" x14ac:dyDescent="0.25">
      <c r="O176" s="72"/>
      <c r="P176" s="72"/>
      <c r="Q176" s="72"/>
      <c r="R176" s="72"/>
      <c r="S176" s="72"/>
      <c r="T176" s="72"/>
      <c r="U176" s="72"/>
      <c r="V176" s="72"/>
      <c r="W176" s="72"/>
      <c r="X176" s="72"/>
      <c r="Y176" s="72"/>
      <c r="Z176" s="72"/>
      <c r="AA176" s="72"/>
      <c r="AB176" s="72"/>
      <c r="AC176" s="72"/>
      <c r="AD176" s="72"/>
    </row>
    <row r="177" spans="15:30" ht="12" customHeight="1" x14ac:dyDescent="0.25">
      <c r="O177" s="72"/>
      <c r="P177" s="72"/>
      <c r="Q177" s="72"/>
      <c r="R177" s="72"/>
      <c r="S177" s="72"/>
      <c r="T177" s="72"/>
      <c r="U177" s="72"/>
      <c r="V177" s="72"/>
      <c r="W177" s="72"/>
      <c r="X177" s="72"/>
      <c r="Y177" s="72"/>
      <c r="Z177" s="72"/>
      <c r="AA177" s="72"/>
      <c r="AB177" s="72"/>
      <c r="AC177" s="72"/>
      <c r="AD177" s="72"/>
    </row>
    <row r="178" spans="15:30" ht="12" customHeight="1" x14ac:dyDescent="0.25">
      <c r="O178" s="72"/>
      <c r="P178" s="72"/>
      <c r="Q178" s="72"/>
      <c r="R178" s="72"/>
      <c r="S178" s="72"/>
      <c r="T178" s="72"/>
      <c r="U178" s="72"/>
      <c r="V178" s="72"/>
      <c r="W178" s="72"/>
      <c r="X178" s="72"/>
      <c r="Y178" s="72"/>
      <c r="Z178" s="72"/>
      <c r="AA178" s="72"/>
      <c r="AB178" s="72"/>
      <c r="AC178" s="72"/>
      <c r="AD178" s="72"/>
    </row>
    <row r="179" spans="15:30" ht="12" customHeight="1" x14ac:dyDescent="0.25">
      <c r="O179" s="72"/>
      <c r="P179" s="72"/>
      <c r="Q179" s="72"/>
      <c r="R179" s="72"/>
      <c r="S179" s="72"/>
      <c r="T179" s="72"/>
      <c r="U179" s="72"/>
      <c r="V179" s="72"/>
      <c r="W179" s="72"/>
      <c r="X179" s="72"/>
      <c r="Y179" s="72"/>
      <c r="Z179" s="72"/>
      <c r="AA179" s="72"/>
      <c r="AB179" s="72"/>
      <c r="AC179" s="72"/>
      <c r="AD179" s="72"/>
    </row>
    <row r="180" spans="15:30" ht="12" customHeight="1" x14ac:dyDescent="0.25">
      <c r="O180" s="72"/>
      <c r="P180" s="72"/>
      <c r="Q180" s="72"/>
      <c r="R180" s="72"/>
      <c r="S180" s="72"/>
      <c r="T180" s="72"/>
      <c r="U180" s="72"/>
      <c r="V180" s="72"/>
      <c r="W180" s="72"/>
      <c r="X180" s="72"/>
      <c r="Y180" s="72"/>
      <c r="Z180" s="72"/>
      <c r="AA180" s="72"/>
      <c r="AB180" s="72"/>
      <c r="AC180" s="72"/>
      <c r="AD180" s="72"/>
    </row>
    <row r="181" spans="15:30" ht="12" customHeight="1" x14ac:dyDescent="0.25">
      <c r="O181" s="72"/>
      <c r="P181" s="72"/>
      <c r="Q181" s="72"/>
      <c r="R181" s="72"/>
      <c r="S181" s="72"/>
      <c r="T181" s="72"/>
      <c r="U181" s="72"/>
      <c r="V181" s="72"/>
      <c r="W181" s="72"/>
      <c r="X181" s="72"/>
      <c r="Y181" s="72"/>
      <c r="Z181" s="72"/>
      <c r="AA181" s="72"/>
      <c r="AB181" s="72"/>
      <c r="AC181" s="72"/>
      <c r="AD181" s="72"/>
    </row>
    <row r="182" spans="15:30" ht="12" customHeight="1" x14ac:dyDescent="0.25">
      <c r="O182" s="72"/>
      <c r="P182" s="72"/>
      <c r="Q182" s="72"/>
      <c r="R182" s="72"/>
      <c r="S182" s="72"/>
      <c r="T182" s="72"/>
      <c r="U182" s="72"/>
      <c r="V182" s="72"/>
      <c r="W182" s="72"/>
      <c r="X182" s="72"/>
      <c r="Y182" s="72"/>
      <c r="Z182" s="72"/>
      <c r="AA182" s="72"/>
      <c r="AB182" s="72"/>
      <c r="AC182" s="72"/>
      <c r="AD182" s="72"/>
    </row>
    <row r="183" spans="15:30" ht="12" customHeight="1" x14ac:dyDescent="0.25">
      <c r="O183" s="72"/>
      <c r="P183" s="72"/>
      <c r="Q183" s="72"/>
      <c r="R183" s="72"/>
      <c r="S183" s="72"/>
      <c r="T183" s="72"/>
      <c r="U183" s="72"/>
      <c r="V183" s="72"/>
      <c r="W183" s="72"/>
      <c r="X183" s="72"/>
      <c r="Y183" s="72"/>
      <c r="Z183" s="72"/>
      <c r="AA183" s="72"/>
      <c r="AB183" s="72"/>
      <c r="AC183" s="72"/>
      <c r="AD183" s="72"/>
    </row>
    <row r="184" spans="15:30" ht="12" customHeight="1" x14ac:dyDescent="0.25">
      <c r="O184" s="72"/>
      <c r="P184" s="72"/>
      <c r="Q184" s="72"/>
      <c r="R184" s="72"/>
      <c r="S184" s="72"/>
      <c r="T184" s="72"/>
      <c r="U184" s="72"/>
      <c r="V184" s="72"/>
      <c r="W184" s="72"/>
      <c r="X184" s="72"/>
      <c r="Y184" s="72"/>
      <c r="Z184" s="72"/>
      <c r="AA184" s="72"/>
      <c r="AB184" s="72"/>
      <c r="AC184" s="72"/>
      <c r="AD184" s="72"/>
    </row>
    <row r="185" spans="15:30" ht="12" customHeight="1" x14ac:dyDescent="0.25">
      <c r="O185" s="72"/>
      <c r="P185" s="72"/>
      <c r="Q185" s="72"/>
      <c r="R185" s="72"/>
      <c r="S185" s="72"/>
      <c r="T185" s="72"/>
      <c r="U185" s="72"/>
      <c r="V185" s="72"/>
      <c r="W185" s="72"/>
      <c r="X185" s="72"/>
      <c r="Y185" s="72"/>
      <c r="Z185" s="72"/>
      <c r="AA185" s="72"/>
      <c r="AB185" s="72"/>
      <c r="AC185" s="72"/>
      <c r="AD185" s="72"/>
    </row>
    <row r="186" spans="15:30" ht="12" customHeight="1" x14ac:dyDescent="0.25">
      <c r="O186" s="72"/>
      <c r="P186" s="72"/>
      <c r="Q186" s="72"/>
      <c r="R186" s="72"/>
      <c r="S186" s="72"/>
      <c r="T186" s="72"/>
      <c r="U186" s="72"/>
      <c r="V186" s="72"/>
      <c r="W186" s="72"/>
      <c r="X186" s="72"/>
      <c r="Y186" s="72"/>
      <c r="Z186" s="72"/>
      <c r="AA186" s="72"/>
      <c r="AB186" s="72"/>
      <c r="AC186" s="72"/>
      <c r="AD186" s="72"/>
    </row>
    <row r="187" spans="15:30" ht="12" customHeight="1" x14ac:dyDescent="0.25">
      <c r="O187" s="72"/>
      <c r="P187" s="72"/>
      <c r="Q187" s="72"/>
      <c r="R187" s="72"/>
      <c r="S187" s="72"/>
      <c r="T187" s="72"/>
      <c r="U187" s="72"/>
      <c r="V187" s="72"/>
      <c r="W187" s="72"/>
      <c r="X187" s="72"/>
      <c r="Y187" s="72"/>
      <c r="Z187" s="72"/>
      <c r="AA187" s="72"/>
      <c r="AB187" s="72"/>
      <c r="AC187" s="72"/>
      <c r="AD187" s="72"/>
    </row>
    <row r="188" spans="15:30" ht="12" customHeight="1" x14ac:dyDescent="0.25">
      <c r="O188" s="72"/>
      <c r="P188" s="72"/>
      <c r="Q188" s="72"/>
      <c r="R188" s="72"/>
      <c r="S188" s="72"/>
      <c r="T188" s="72"/>
      <c r="U188" s="72"/>
      <c r="V188" s="72"/>
      <c r="W188" s="72"/>
      <c r="X188" s="72"/>
      <c r="Y188" s="72"/>
      <c r="Z188" s="72"/>
      <c r="AA188" s="72"/>
      <c r="AB188" s="72"/>
      <c r="AC188" s="72"/>
      <c r="AD188" s="72"/>
    </row>
    <row r="189" spans="15:30" ht="12" customHeight="1" x14ac:dyDescent="0.25">
      <c r="O189" s="72"/>
      <c r="P189" s="72"/>
      <c r="Q189" s="72"/>
      <c r="R189" s="72"/>
      <c r="S189" s="72"/>
      <c r="T189" s="72"/>
      <c r="U189" s="72"/>
      <c r="V189" s="72"/>
      <c r="W189" s="72"/>
      <c r="X189" s="72"/>
      <c r="Y189" s="72"/>
      <c r="Z189" s="72"/>
      <c r="AA189" s="72"/>
      <c r="AB189" s="72"/>
      <c r="AC189" s="72"/>
      <c r="AD189" s="72"/>
    </row>
    <row r="190" spans="15:30" ht="12" customHeight="1" x14ac:dyDescent="0.25">
      <c r="O190" s="72"/>
      <c r="P190" s="72"/>
      <c r="Q190" s="72"/>
      <c r="R190" s="72"/>
      <c r="S190" s="72"/>
      <c r="T190" s="72"/>
      <c r="U190" s="72"/>
      <c r="V190" s="72"/>
      <c r="W190" s="72"/>
      <c r="X190" s="72"/>
      <c r="Y190" s="72"/>
      <c r="Z190" s="72"/>
      <c r="AA190" s="72"/>
      <c r="AB190" s="72"/>
      <c r="AC190" s="72"/>
      <c r="AD190" s="72"/>
    </row>
    <row r="191" spans="15:30" ht="12" customHeight="1" x14ac:dyDescent="0.25">
      <c r="O191" s="72"/>
      <c r="P191" s="72"/>
      <c r="Q191" s="72"/>
      <c r="R191" s="72"/>
      <c r="S191" s="72"/>
      <c r="T191" s="72"/>
      <c r="U191" s="72"/>
      <c r="V191" s="72"/>
      <c r="W191" s="72"/>
      <c r="X191" s="72"/>
      <c r="Y191" s="72"/>
      <c r="Z191" s="72"/>
      <c r="AA191" s="72"/>
      <c r="AB191" s="72"/>
      <c r="AC191" s="72"/>
      <c r="AD191" s="72"/>
    </row>
    <row r="192" spans="15:30" ht="12" customHeight="1" x14ac:dyDescent="0.25">
      <c r="O192" s="72"/>
      <c r="P192" s="72"/>
      <c r="Q192" s="72"/>
      <c r="R192" s="72"/>
      <c r="S192" s="72"/>
      <c r="T192" s="72"/>
      <c r="U192" s="72"/>
      <c r="V192" s="72"/>
      <c r="W192" s="72"/>
      <c r="X192" s="72"/>
      <c r="Y192" s="72"/>
      <c r="Z192" s="72"/>
      <c r="AA192" s="72"/>
      <c r="AB192" s="72"/>
      <c r="AC192" s="72"/>
      <c r="AD192" s="72"/>
    </row>
    <row r="193" spans="15:30" ht="12" customHeight="1" x14ac:dyDescent="0.25">
      <c r="O193" s="72"/>
      <c r="P193" s="72"/>
      <c r="Q193" s="72"/>
      <c r="R193" s="72"/>
      <c r="S193" s="72"/>
      <c r="T193" s="72"/>
      <c r="U193" s="72"/>
      <c r="V193" s="72"/>
      <c r="W193" s="72"/>
      <c r="X193" s="72"/>
      <c r="Y193" s="72"/>
      <c r="Z193" s="72"/>
      <c r="AA193" s="72"/>
      <c r="AB193" s="72"/>
      <c r="AC193" s="72"/>
      <c r="AD193" s="72"/>
    </row>
    <row r="194" spans="15:30" ht="12" customHeight="1" x14ac:dyDescent="0.25">
      <c r="O194" s="72"/>
      <c r="P194" s="72"/>
      <c r="Q194" s="72"/>
      <c r="R194" s="72"/>
      <c r="S194" s="72"/>
      <c r="T194" s="72"/>
      <c r="U194" s="72"/>
      <c r="V194" s="72"/>
      <c r="W194" s="72"/>
      <c r="X194" s="72"/>
      <c r="Y194" s="72"/>
      <c r="Z194" s="72"/>
      <c r="AA194" s="72"/>
      <c r="AB194" s="72"/>
      <c r="AC194" s="72"/>
      <c r="AD194" s="72"/>
    </row>
    <row r="195" spans="15:30" ht="12" customHeight="1" x14ac:dyDescent="0.25">
      <c r="O195" s="72"/>
      <c r="P195" s="72"/>
      <c r="Q195" s="72"/>
      <c r="R195" s="72"/>
      <c r="S195" s="72"/>
      <c r="T195" s="72"/>
      <c r="U195" s="72"/>
      <c r="V195" s="72"/>
      <c r="W195" s="72"/>
      <c r="X195" s="72"/>
      <c r="Y195" s="72"/>
      <c r="Z195" s="72"/>
      <c r="AA195" s="72"/>
      <c r="AB195" s="72"/>
      <c r="AC195" s="72"/>
      <c r="AD195" s="72"/>
    </row>
    <row r="196" spans="15:30" ht="12" customHeight="1" x14ac:dyDescent="0.25">
      <c r="O196" s="72"/>
      <c r="P196" s="72"/>
      <c r="Q196" s="72"/>
      <c r="R196" s="72"/>
      <c r="S196" s="72"/>
      <c r="T196" s="72"/>
      <c r="U196" s="72"/>
      <c r="V196" s="72"/>
      <c r="W196" s="72"/>
      <c r="X196" s="72"/>
      <c r="Y196" s="72"/>
      <c r="Z196" s="72"/>
      <c r="AA196" s="72"/>
      <c r="AB196" s="72"/>
      <c r="AC196" s="72"/>
      <c r="AD196" s="72"/>
    </row>
    <row r="197" spans="15:30" ht="12" customHeight="1" x14ac:dyDescent="0.25">
      <c r="O197" s="72"/>
      <c r="P197" s="72"/>
      <c r="Q197" s="72"/>
      <c r="R197" s="72"/>
      <c r="S197" s="72"/>
      <c r="T197" s="72"/>
      <c r="U197" s="72"/>
      <c r="V197" s="72"/>
      <c r="W197" s="72"/>
      <c r="X197" s="72"/>
      <c r="Y197" s="72"/>
      <c r="Z197" s="72"/>
      <c r="AA197" s="72"/>
      <c r="AB197" s="72"/>
      <c r="AC197" s="72"/>
      <c r="AD197" s="72"/>
    </row>
    <row r="198" spans="15:30" ht="12" customHeight="1" x14ac:dyDescent="0.25">
      <c r="O198" s="72"/>
      <c r="P198" s="72"/>
      <c r="Q198" s="72"/>
      <c r="R198" s="72"/>
      <c r="S198" s="72"/>
      <c r="T198" s="72"/>
      <c r="U198" s="72"/>
      <c r="V198" s="72"/>
      <c r="W198" s="72"/>
      <c r="X198" s="72"/>
      <c r="Y198" s="72"/>
      <c r="Z198" s="72"/>
      <c r="AA198" s="72"/>
      <c r="AB198" s="72"/>
      <c r="AC198" s="72"/>
      <c r="AD198" s="72"/>
    </row>
    <row r="199" spans="15:30" ht="12" customHeight="1" x14ac:dyDescent="0.25">
      <c r="O199" s="72"/>
      <c r="P199" s="72"/>
      <c r="Q199" s="72"/>
      <c r="R199" s="72"/>
      <c r="S199" s="72"/>
      <c r="T199" s="72"/>
      <c r="U199" s="72"/>
      <c r="V199" s="72"/>
      <c r="W199" s="72"/>
      <c r="X199" s="72"/>
      <c r="Y199" s="72"/>
      <c r="Z199" s="72"/>
      <c r="AA199" s="72"/>
      <c r="AB199" s="72"/>
      <c r="AC199" s="72"/>
      <c r="AD199" s="72"/>
    </row>
    <row r="200" spans="15:30" ht="12" customHeight="1" x14ac:dyDescent="0.25">
      <c r="O200" s="72"/>
      <c r="P200" s="72"/>
      <c r="Q200" s="72"/>
      <c r="R200" s="72"/>
      <c r="S200" s="72"/>
      <c r="T200" s="72"/>
      <c r="U200" s="72"/>
      <c r="V200" s="72"/>
      <c r="W200" s="72"/>
      <c r="X200" s="72"/>
      <c r="Y200" s="72"/>
      <c r="Z200" s="72"/>
      <c r="AA200" s="72"/>
      <c r="AB200" s="72"/>
      <c r="AC200" s="72"/>
      <c r="AD200" s="72"/>
    </row>
  </sheetData>
  <mergeCells count="19">
    <mergeCell ref="O1:U1"/>
    <mergeCell ref="A47:C47"/>
    <mergeCell ref="L1:M1"/>
    <mergeCell ref="A2:A29"/>
    <mergeCell ref="A30:A46"/>
    <mergeCell ref="B2:B10"/>
    <mergeCell ref="B11:B18"/>
    <mergeCell ref="B19:B20"/>
    <mergeCell ref="B21:B23"/>
    <mergeCell ref="B24:B28"/>
    <mergeCell ref="B29:C29"/>
    <mergeCell ref="B30:B35"/>
    <mergeCell ref="B36:B37"/>
    <mergeCell ref="B38:B41"/>
    <mergeCell ref="B42:B43"/>
    <mergeCell ref="B44:B45"/>
    <mergeCell ref="A48:C48"/>
    <mergeCell ref="A49:C49"/>
    <mergeCell ref="B46:C46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5E424-6699-4F6F-B869-C3BE8AE51416}">
  <sheetPr codeName="Planilha9"/>
  <dimension ref="A1:AP51"/>
  <sheetViews>
    <sheetView showGridLines="0" topLeftCell="D35" workbookViewId="0">
      <selection activeCell="K62" sqref="K62:P62"/>
    </sheetView>
  </sheetViews>
  <sheetFormatPr defaultColWidth="9.140625"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10.42578125" style="9" bestFit="1" customWidth="1"/>
    <col min="14" max="14" width="11.7109375" style="9" bestFit="1" customWidth="1"/>
    <col min="15" max="16" width="9" style="9" bestFit="1" customWidth="1"/>
    <col min="17" max="17" width="10.85546875" style="9" bestFit="1" customWidth="1"/>
    <col min="18" max="18" width="10" style="9" bestFit="1" customWidth="1"/>
    <col min="19" max="19" width="8.7109375" style="9" bestFit="1" customWidth="1"/>
    <col min="20" max="20" width="10.85546875" style="9" bestFit="1" customWidth="1"/>
    <col min="21" max="21" width="7.42578125" style="9" bestFit="1" customWidth="1"/>
    <col min="22" max="22" width="7.28515625" style="9" bestFit="1" customWidth="1"/>
    <col min="23" max="24" width="9.85546875" style="9" bestFit="1" customWidth="1"/>
    <col min="25" max="25" width="10.85546875" style="9" bestFit="1" customWidth="1"/>
    <col min="26" max="26" width="7.7109375" style="9" bestFit="1" customWidth="1"/>
    <col min="27" max="27" width="9.85546875" style="9" bestFit="1" customWidth="1"/>
    <col min="28" max="28" width="10.85546875" style="9" bestFit="1" customWidth="1"/>
    <col min="29" max="29" width="11.7109375" style="9" bestFit="1" customWidth="1"/>
    <col min="30" max="30" width="10.85546875" style="9" bestFit="1" customWidth="1"/>
    <col min="31" max="31" width="8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7.85546875" style="9" bestFit="1" customWidth="1"/>
    <col min="38" max="38" width="10" style="9" bestFit="1" customWidth="1"/>
    <col min="39" max="39" width="10.85546875" style="9" bestFit="1" customWidth="1"/>
    <col min="40" max="41" width="9.140625" style="9"/>
    <col min="42" max="42" width="7.85546875" style="9" bestFit="1" customWidth="1"/>
    <col min="43" max="16384" width="9.140625" style="9"/>
  </cols>
  <sheetData>
    <row r="1" spans="1:42" ht="11.25" customHeight="1" x14ac:dyDescent="0.25">
      <c r="A1" s="145" t="s">
        <v>64</v>
      </c>
      <c r="B1" s="145" t="s">
        <v>65</v>
      </c>
      <c r="C1" s="145" t="s">
        <v>66</v>
      </c>
      <c r="D1" s="145" t="s">
        <v>67</v>
      </c>
      <c r="E1" s="145" t="s">
        <v>68</v>
      </c>
      <c r="F1" s="145" t="s">
        <v>15</v>
      </c>
      <c r="G1" s="145" t="s">
        <v>70</v>
      </c>
      <c r="H1" s="145" t="s">
        <v>71</v>
      </c>
      <c r="I1" s="145" t="s">
        <v>561</v>
      </c>
      <c r="J1" s="141"/>
      <c r="L1" s="146" t="s">
        <v>562</v>
      </c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  <c r="AA1" s="146"/>
      <c r="AB1" s="146"/>
      <c r="AC1" s="146"/>
      <c r="AD1" s="146"/>
      <c r="AE1" s="146"/>
      <c r="AF1" s="146"/>
      <c r="AG1" s="146"/>
      <c r="AH1" s="146"/>
      <c r="AI1" s="146"/>
      <c r="AJ1" s="146"/>
      <c r="AK1" s="146"/>
      <c r="AL1" s="146"/>
      <c r="AM1" s="146"/>
      <c r="AP1" s="146" t="s">
        <v>563</v>
      </c>
    </row>
    <row r="2" spans="1:42" ht="11.25" customHeight="1" x14ac:dyDescent="0.25">
      <c r="A2" s="145"/>
      <c r="B2" s="145"/>
      <c r="C2" s="145"/>
      <c r="D2" s="145"/>
      <c r="E2" s="145"/>
      <c r="F2" s="145"/>
      <c r="G2" s="145"/>
      <c r="H2" s="145"/>
      <c r="I2" s="145"/>
      <c r="J2" s="141"/>
      <c r="L2" s="146" t="s">
        <v>460</v>
      </c>
      <c r="M2" s="146"/>
      <c r="N2" s="146"/>
      <c r="O2" s="146"/>
      <c r="P2" s="146"/>
      <c r="Q2" s="146"/>
      <c r="R2" s="146"/>
      <c r="S2" s="146"/>
      <c r="T2" s="146"/>
      <c r="U2" s="146"/>
      <c r="V2" s="146"/>
      <c r="W2" s="146"/>
      <c r="X2" s="146"/>
      <c r="Y2" s="146"/>
      <c r="Z2" s="146"/>
      <c r="AA2" s="146"/>
      <c r="AB2" s="146"/>
      <c r="AC2" s="146"/>
      <c r="AD2" s="146"/>
      <c r="AE2" s="146"/>
      <c r="AF2" s="146"/>
      <c r="AG2" s="146"/>
      <c r="AH2" s="146"/>
      <c r="AI2" s="146"/>
      <c r="AJ2" s="146"/>
      <c r="AK2" s="146"/>
      <c r="AL2" s="146"/>
      <c r="AM2" s="146"/>
      <c r="AP2" s="147"/>
    </row>
    <row r="3" spans="1:42" ht="11.25" customHeight="1" x14ac:dyDescent="0.25">
      <c r="A3" s="145"/>
      <c r="B3" s="145"/>
      <c r="C3" s="145"/>
      <c r="D3" s="145"/>
      <c r="E3" s="145"/>
      <c r="F3" s="145"/>
      <c r="G3" s="145"/>
      <c r="H3" s="145"/>
      <c r="I3" s="145"/>
      <c r="J3" s="141"/>
      <c r="L3" s="146" t="s">
        <v>461</v>
      </c>
      <c r="M3" s="146"/>
      <c r="N3" s="146"/>
      <c r="O3" s="146"/>
      <c r="P3" s="146"/>
      <c r="Q3" s="146"/>
      <c r="R3" s="146"/>
      <c r="S3" s="146"/>
      <c r="T3" s="146"/>
      <c r="U3" s="146" t="s">
        <v>470</v>
      </c>
      <c r="V3" s="146"/>
      <c r="W3" s="146"/>
      <c r="X3" s="146"/>
      <c r="Y3" s="146"/>
      <c r="Z3" s="146"/>
      <c r="AA3" s="146"/>
      <c r="AB3" s="146"/>
      <c r="AC3" s="146" t="s">
        <v>478</v>
      </c>
      <c r="AD3" s="146"/>
      <c r="AE3" s="146" t="s">
        <v>480</v>
      </c>
      <c r="AF3" s="146"/>
      <c r="AG3" s="146"/>
      <c r="AH3" s="146" t="s">
        <v>483</v>
      </c>
      <c r="AI3" s="146"/>
      <c r="AJ3" s="146"/>
      <c r="AK3" s="146"/>
      <c r="AL3" s="146"/>
      <c r="AM3" s="146" t="s">
        <v>469</v>
      </c>
      <c r="AP3" s="147"/>
    </row>
    <row r="4" spans="1:42" ht="11.25" customHeight="1" x14ac:dyDescent="0.25">
      <c r="A4" s="145"/>
      <c r="B4" s="145"/>
      <c r="C4" s="145"/>
      <c r="D4" s="145"/>
      <c r="E4" s="145"/>
      <c r="F4" s="145"/>
      <c r="G4" s="145"/>
      <c r="H4" s="145"/>
      <c r="I4" s="145"/>
      <c r="J4" s="141"/>
      <c r="L4" s="32" t="s">
        <v>546</v>
      </c>
      <c r="M4" s="32" t="s">
        <v>462</v>
      </c>
      <c r="N4" s="32" t="s">
        <v>463</v>
      </c>
      <c r="O4" s="32" t="s">
        <v>464</v>
      </c>
      <c r="P4" s="32" t="s">
        <v>465</v>
      </c>
      <c r="Q4" s="32" t="s">
        <v>466</v>
      </c>
      <c r="R4" s="32" t="s">
        <v>467</v>
      </c>
      <c r="S4" s="32" t="s">
        <v>468</v>
      </c>
      <c r="T4" s="32" t="s">
        <v>469</v>
      </c>
      <c r="U4" s="32" t="s">
        <v>471</v>
      </c>
      <c r="V4" s="32" t="s">
        <v>472</v>
      </c>
      <c r="W4" s="32" t="s">
        <v>473</v>
      </c>
      <c r="X4" s="32" t="s">
        <v>474</v>
      </c>
      <c r="Y4" s="32" t="s">
        <v>475</v>
      </c>
      <c r="Z4" s="32" t="s">
        <v>476</v>
      </c>
      <c r="AA4" s="32" t="s">
        <v>477</v>
      </c>
      <c r="AB4" s="32" t="s">
        <v>469</v>
      </c>
      <c r="AC4" s="32" t="s">
        <v>479</v>
      </c>
      <c r="AD4" s="32" t="s">
        <v>469</v>
      </c>
      <c r="AE4" s="32" t="s">
        <v>481</v>
      </c>
      <c r="AF4" s="32" t="s">
        <v>482</v>
      </c>
      <c r="AG4" s="32" t="s">
        <v>469</v>
      </c>
      <c r="AH4" s="32" t="s">
        <v>484</v>
      </c>
      <c r="AI4" s="32" t="s">
        <v>485</v>
      </c>
      <c r="AJ4" s="32" t="s">
        <v>486</v>
      </c>
      <c r="AK4" s="32" t="s">
        <v>487</v>
      </c>
      <c r="AL4" s="32" t="s">
        <v>469</v>
      </c>
      <c r="AM4" s="148"/>
      <c r="AP4" s="147"/>
    </row>
    <row r="5" spans="1:42" ht="11.25" customHeight="1" x14ac:dyDescent="0.25">
      <c r="A5" s="149" t="s">
        <v>35</v>
      </c>
      <c r="B5" s="149" t="s">
        <v>36</v>
      </c>
      <c r="C5" s="149" t="s">
        <v>25</v>
      </c>
      <c r="D5" s="149" t="s">
        <v>25</v>
      </c>
      <c r="E5" s="149" t="s">
        <v>25</v>
      </c>
      <c r="F5" s="149" t="s">
        <v>25</v>
      </c>
      <c r="G5" s="57" t="s">
        <v>80</v>
      </c>
      <c r="H5" s="57" t="s">
        <v>79</v>
      </c>
      <c r="I5" s="57">
        <f>'MERCADO TUSD'!$U$2</f>
        <v>2966</v>
      </c>
      <c r="J5" s="15"/>
      <c r="L5" s="31"/>
      <c r="M5" s="31"/>
      <c r="N5" s="31"/>
      <c r="O5" s="31"/>
      <c r="P5" s="31"/>
      <c r="Q5" s="31"/>
      <c r="R5" s="31"/>
      <c r="S5" s="31"/>
      <c r="T5" s="31"/>
      <c r="U5" s="31">
        <v>0</v>
      </c>
      <c r="V5" s="31">
        <v>0</v>
      </c>
      <c r="W5" s="31">
        <v>0</v>
      </c>
      <c r="X5" s="31">
        <v>0</v>
      </c>
      <c r="Y5" s="31">
        <v>28.648399999999999</v>
      </c>
      <c r="Z5" s="31">
        <v>0</v>
      </c>
      <c r="AA5" s="31">
        <v>0</v>
      </c>
      <c r="AB5" s="31"/>
      <c r="AC5" s="31">
        <v>23.25</v>
      </c>
      <c r="AD5" s="31"/>
      <c r="AE5" s="31"/>
      <c r="AF5" s="31"/>
      <c r="AG5" s="31"/>
      <c r="AH5" s="31"/>
      <c r="AI5" s="31"/>
      <c r="AJ5" s="31"/>
      <c r="AK5" s="31"/>
      <c r="AL5" s="31"/>
      <c r="AM5" s="31"/>
      <c r="AP5" s="31">
        <v>1</v>
      </c>
    </row>
    <row r="6" spans="1:42" ht="11.25" customHeight="1" x14ac:dyDescent="0.25">
      <c r="A6" s="149"/>
      <c r="B6" s="149"/>
      <c r="C6" s="149"/>
      <c r="D6" s="149"/>
      <c r="E6" s="149"/>
      <c r="F6" s="149"/>
      <c r="G6" s="57" t="s">
        <v>81</v>
      </c>
      <c r="H6" s="57" t="s">
        <v>79</v>
      </c>
      <c r="I6" s="57">
        <f>'MERCADO TUSD'!$U$3</f>
        <v>31888</v>
      </c>
      <c r="J6" s="15"/>
      <c r="L6" s="31"/>
      <c r="M6" s="31"/>
      <c r="N6" s="31"/>
      <c r="O6" s="31"/>
      <c r="P6" s="31"/>
      <c r="Q6" s="31"/>
      <c r="R6" s="31"/>
      <c r="S6" s="31"/>
      <c r="T6" s="31"/>
      <c r="U6" s="31">
        <v>0</v>
      </c>
      <c r="V6" s="31">
        <v>0</v>
      </c>
      <c r="W6" s="31">
        <v>0</v>
      </c>
      <c r="X6" s="31">
        <v>0</v>
      </c>
      <c r="Y6" s="31">
        <v>11.0527</v>
      </c>
      <c r="Z6" s="31">
        <v>0</v>
      </c>
      <c r="AA6" s="31">
        <v>0</v>
      </c>
      <c r="AB6" s="31"/>
      <c r="AC6" s="31">
        <v>8.9143000000000008</v>
      </c>
      <c r="AD6" s="31"/>
      <c r="AE6" s="31"/>
      <c r="AF6" s="31"/>
      <c r="AG6" s="31"/>
      <c r="AH6" s="31"/>
      <c r="AI6" s="31"/>
      <c r="AJ6" s="31"/>
      <c r="AK6" s="31"/>
      <c r="AL6" s="31"/>
      <c r="AM6" s="31"/>
      <c r="AP6" s="31">
        <v>1</v>
      </c>
    </row>
    <row r="7" spans="1:42" ht="11.25" customHeight="1" x14ac:dyDescent="0.25">
      <c r="A7" s="149"/>
      <c r="B7" s="149"/>
      <c r="C7" s="149"/>
      <c r="D7" s="149"/>
      <c r="E7" s="149"/>
      <c r="F7" s="149"/>
      <c r="G7" s="57" t="s">
        <v>78</v>
      </c>
      <c r="H7" s="57" t="s">
        <v>74</v>
      </c>
      <c r="I7" s="57">
        <f>'MERCADO TUSD'!$U$4</f>
        <v>12070.286</v>
      </c>
      <c r="J7" s="15"/>
      <c r="L7" s="31"/>
      <c r="M7" s="31"/>
      <c r="N7" s="31"/>
      <c r="O7" s="31"/>
      <c r="P7" s="31"/>
      <c r="Q7" s="31"/>
      <c r="R7" s="31"/>
      <c r="S7" s="31"/>
      <c r="T7" s="31"/>
      <c r="U7" s="31">
        <v>0</v>
      </c>
      <c r="V7" s="31">
        <v>0</v>
      </c>
      <c r="W7" s="31">
        <v>0</v>
      </c>
      <c r="X7" s="31">
        <v>0</v>
      </c>
      <c r="Y7" s="31">
        <v>0</v>
      </c>
      <c r="Z7" s="31">
        <v>0</v>
      </c>
      <c r="AA7" s="31">
        <v>0</v>
      </c>
      <c r="AB7" s="31"/>
      <c r="AC7" s="31">
        <v>0</v>
      </c>
      <c r="AD7" s="31"/>
      <c r="AE7" s="31"/>
      <c r="AF7" s="31"/>
      <c r="AG7" s="31"/>
      <c r="AH7" s="31"/>
      <c r="AI7" s="31"/>
      <c r="AJ7" s="31"/>
      <c r="AK7" s="31"/>
      <c r="AL7" s="31"/>
      <c r="AM7" s="31"/>
      <c r="AP7" s="31">
        <v>1</v>
      </c>
    </row>
    <row r="8" spans="1:42" ht="11.25" customHeight="1" x14ac:dyDescent="0.25">
      <c r="A8" s="149"/>
      <c r="B8" s="149"/>
      <c r="C8" s="149"/>
      <c r="D8" s="149"/>
      <c r="E8" s="56" t="s">
        <v>82</v>
      </c>
      <c r="F8" s="56" t="s">
        <v>25</v>
      </c>
      <c r="G8" s="57" t="s">
        <v>78</v>
      </c>
      <c r="H8" s="57" t="s">
        <v>74</v>
      </c>
      <c r="I8" s="57">
        <f>'MERCADO TUSD'!$U$5</f>
        <v>0</v>
      </c>
      <c r="J8" s="15"/>
      <c r="L8" s="31"/>
      <c r="M8" s="31"/>
      <c r="N8" s="31"/>
      <c r="O8" s="31"/>
      <c r="P8" s="31"/>
      <c r="Q8" s="31"/>
      <c r="R8" s="31"/>
      <c r="S8" s="31"/>
      <c r="T8" s="31"/>
      <c r="U8" s="31">
        <v>0</v>
      </c>
      <c r="V8" s="31">
        <v>0</v>
      </c>
      <c r="W8" s="31">
        <v>0</v>
      </c>
      <c r="X8" s="31">
        <v>0</v>
      </c>
      <c r="Y8" s="31">
        <v>0</v>
      </c>
      <c r="Z8" s="31">
        <v>0</v>
      </c>
      <c r="AA8" s="31">
        <v>0</v>
      </c>
      <c r="AB8" s="31"/>
      <c r="AC8" s="31">
        <v>0</v>
      </c>
      <c r="AD8" s="31"/>
      <c r="AE8" s="31"/>
      <c r="AF8" s="31"/>
      <c r="AG8" s="31"/>
      <c r="AH8" s="31"/>
      <c r="AI8" s="31"/>
      <c r="AJ8" s="31"/>
      <c r="AK8" s="31"/>
      <c r="AL8" s="31"/>
      <c r="AM8" s="31"/>
      <c r="AP8" s="31">
        <v>1</v>
      </c>
    </row>
    <row r="9" spans="1:42" ht="11.25" customHeight="1" x14ac:dyDescent="0.25">
      <c r="A9" s="149"/>
      <c r="B9" s="56" t="s">
        <v>83</v>
      </c>
      <c r="C9" s="56" t="s">
        <v>25</v>
      </c>
      <c r="D9" s="56" t="s">
        <v>25</v>
      </c>
      <c r="E9" s="56" t="s">
        <v>25</v>
      </c>
      <c r="F9" s="56" t="s">
        <v>25</v>
      </c>
      <c r="G9" s="57" t="s">
        <v>9</v>
      </c>
      <c r="H9" s="57" t="s">
        <v>79</v>
      </c>
      <c r="I9" s="57">
        <f>'MERCADO TUSD'!$U$6</f>
        <v>0</v>
      </c>
      <c r="J9" s="15"/>
      <c r="L9" s="31"/>
      <c r="M9" s="31"/>
      <c r="N9" s="31"/>
      <c r="O9" s="31"/>
      <c r="P9" s="31"/>
      <c r="Q9" s="31"/>
      <c r="R9" s="31"/>
      <c r="S9" s="31"/>
      <c r="T9" s="31"/>
      <c r="U9" s="31">
        <v>0</v>
      </c>
      <c r="V9" s="31">
        <v>0</v>
      </c>
      <c r="W9" s="31">
        <v>0</v>
      </c>
      <c r="X9" s="31">
        <v>0</v>
      </c>
      <c r="Y9" s="31">
        <v>0</v>
      </c>
      <c r="Z9" s="31">
        <v>0</v>
      </c>
      <c r="AA9" s="31">
        <v>0</v>
      </c>
      <c r="AB9" s="31"/>
      <c r="AC9" s="31">
        <v>8.7477999999999998</v>
      </c>
      <c r="AD9" s="31"/>
      <c r="AE9" s="31"/>
      <c r="AF9" s="31"/>
      <c r="AG9" s="31"/>
      <c r="AH9" s="31"/>
      <c r="AI9" s="31"/>
      <c r="AJ9" s="31"/>
      <c r="AK9" s="31"/>
      <c r="AL9" s="31"/>
      <c r="AM9" s="31"/>
      <c r="AP9" s="31"/>
    </row>
    <row r="10" spans="1:42" ht="11.25" customHeight="1" x14ac:dyDescent="0.25">
      <c r="A10" s="149"/>
      <c r="B10" s="149" t="s">
        <v>39</v>
      </c>
      <c r="C10" s="149" t="s">
        <v>25</v>
      </c>
      <c r="D10" s="149" t="s">
        <v>25</v>
      </c>
      <c r="E10" s="149" t="s">
        <v>25</v>
      </c>
      <c r="F10" s="149" t="s">
        <v>25</v>
      </c>
      <c r="G10" s="57" t="s">
        <v>9</v>
      </c>
      <c r="H10" s="57" t="s">
        <v>79</v>
      </c>
      <c r="I10" s="57">
        <f>'MERCADO TUSD'!$U$7</f>
        <v>426500</v>
      </c>
      <c r="J10" s="15"/>
      <c r="L10" s="31"/>
      <c r="M10" s="31"/>
      <c r="N10" s="31"/>
      <c r="O10" s="31"/>
      <c r="P10" s="31"/>
      <c r="Q10" s="31"/>
      <c r="R10" s="31"/>
      <c r="S10" s="31"/>
      <c r="T10" s="31"/>
      <c r="U10" s="31">
        <v>0</v>
      </c>
      <c r="V10" s="31">
        <v>0</v>
      </c>
      <c r="W10" s="31">
        <v>0</v>
      </c>
      <c r="X10" s="31">
        <v>0</v>
      </c>
      <c r="Y10" s="31">
        <v>11.0527</v>
      </c>
      <c r="Z10" s="31">
        <v>0</v>
      </c>
      <c r="AA10" s="31">
        <v>0</v>
      </c>
      <c r="AB10" s="31"/>
      <c r="AC10" s="31">
        <v>8.9143000000000008</v>
      </c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P10" s="31">
        <v>1</v>
      </c>
    </row>
    <row r="11" spans="1:42" ht="11.25" customHeight="1" x14ac:dyDescent="0.25">
      <c r="A11" s="149"/>
      <c r="B11" s="149"/>
      <c r="C11" s="149"/>
      <c r="D11" s="149"/>
      <c r="E11" s="149"/>
      <c r="F11" s="149"/>
      <c r="G11" s="57" t="s">
        <v>75</v>
      </c>
      <c r="H11" s="57" t="s">
        <v>74</v>
      </c>
      <c r="I11" s="57">
        <f>'MERCADO TUSD'!$U$8</f>
        <v>6338.8209999999999</v>
      </c>
      <c r="J11" s="15"/>
      <c r="L11" s="31"/>
      <c r="M11" s="31"/>
      <c r="N11" s="31"/>
      <c r="O11" s="31"/>
      <c r="P11" s="31"/>
      <c r="Q11" s="31"/>
      <c r="R11" s="31"/>
      <c r="S11" s="31"/>
      <c r="T11" s="31"/>
      <c r="U11" s="31">
        <v>0</v>
      </c>
      <c r="V11" s="31">
        <v>0</v>
      </c>
      <c r="W11" s="31">
        <v>0</v>
      </c>
      <c r="X11" s="31">
        <v>0</v>
      </c>
      <c r="Y11" s="31">
        <v>688.99480000000005</v>
      </c>
      <c r="Z11" s="31">
        <v>0</v>
      </c>
      <c r="AA11" s="31">
        <v>0</v>
      </c>
      <c r="AB11" s="31"/>
      <c r="AC11" s="31">
        <v>559.16219999999998</v>
      </c>
      <c r="AD11" s="31"/>
      <c r="AE11" s="31"/>
      <c r="AF11" s="31"/>
      <c r="AG11" s="31"/>
      <c r="AH11" s="31"/>
      <c r="AI11" s="31"/>
      <c r="AJ11" s="31"/>
      <c r="AK11" s="31"/>
      <c r="AL11" s="31"/>
      <c r="AM11" s="31"/>
      <c r="AP11" s="31">
        <v>1</v>
      </c>
    </row>
    <row r="12" spans="1:42" ht="11.25" customHeight="1" x14ac:dyDescent="0.25">
      <c r="A12" s="149"/>
      <c r="B12" s="149"/>
      <c r="C12" s="149"/>
      <c r="D12" s="149"/>
      <c r="E12" s="149"/>
      <c r="F12" s="149"/>
      <c r="G12" s="57" t="s">
        <v>76</v>
      </c>
      <c r="H12" s="57" t="s">
        <v>74</v>
      </c>
      <c r="I12" s="57">
        <f>'MERCADO TUSD'!$U$9</f>
        <v>108386.66</v>
      </c>
      <c r="J12" s="15"/>
      <c r="L12" s="31"/>
      <c r="M12" s="31"/>
      <c r="N12" s="31"/>
      <c r="O12" s="31"/>
      <c r="P12" s="31"/>
      <c r="Q12" s="31"/>
      <c r="R12" s="31"/>
      <c r="S12" s="31"/>
      <c r="T12" s="31"/>
      <c r="U12" s="31">
        <v>0</v>
      </c>
      <c r="V12" s="31">
        <v>0</v>
      </c>
      <c r="W12" s="31">
        <v>0</v>
      </c>
      <c r="X12" s="31">
        <v>0</v>
      </c>
      <c r="Y12" s="31">
        <v>0</v>
      </c>
      <c r="Z12" s="31">
        <v>0</v>
      </c>
      <c r="AA12" s="31">
        <v>0</v>
      </c>
      <c r="AB12" s="31"/>
      <c r="AC12" s="31">
        <v>0</v>
      </c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P12" s="31">
        <v>1</v>
      </c>
    </row>
    <row r="13" spans="1:42" ht="11.25" customHeight="1" x14ac:dyDescent="0.25">
      <c r="A13" s="149"/>
      <c r="B13" s="149"/>
      <c r="C13" s="149"/>
      <c r="D13" s="149"/>
      <c r="E13" s="149" t="s">
        <v>82</v>
      </c>
      <c r="F13" s="149" t="s">
        <v>25</v>
      </c>
      <c r="G13" s="57" t="s">
        <v>75</v>
      </c>
      <c r="H13" s="57" t="s">
        <v>74</v>
      </c>
      <c r="I13" s="57">
        <f>'MERCADO TUSD'!$U$10</f>
        <v>0</v>
      </c>
      <c r="J13" s="15"/>
      <c r="L13" s="31"/>
      <c r="M13" s="31"/>
      <c r="N13" s="31"/>
      <c r="O13" s="31"/>
      <c r="P13" s="31"/>
      <c r="Q13" s="31"/>
      <c r="R13" s="31"/>
      <c r="S13" s="31"/>
      <c r="T13" s="31"/>
      <c r="U13" s="31">
        <v>0</v>
      </c>
      <c r="V13" s="31">
        <v>0</v>
      </c>
      <c r="W13" s="31">
        <v>0</v>
      </c>
      <c r="X13" s="31">
        <v>0</v>
      </c>
      <c r="Y13" s="31">
        <v>688.99480000000005</v>
      </c>
      <c r="Z13" s="31">
        <v>0</v>
      </c>
      <c r="AA13" s="31">
        <v>0</v>
      </c>
      <c r="AB13" s="31"/>
      <c r="AC13" s="31">
        <v>559.16219999999998</v>
      </c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P13" s="31">
        <v>1</v>
      </c>
    </row>
    <row r="14" spans="1:42" ht="11.25" customHeight="1" x14ac:dyDescent="0.25">
      <c r="A14" s="149"/>
      <c r="B14" s="149"/>
      <c r="C14" s="149"/>
      <c r="D14" s="149"/>
      <c r="E14" s="149"/>
      <c r="F14" s="149"/>
      <c r="G14" s="57" t="s">
        <v>76</v>
      </c>
      <c r="H14" s="57" t="s">
        <v>74</v>
      </c>
      <c r="I14" s="57">
        <f>'MERCADO TUSD'!$U$11</f>
        <v>0</v>
      </c>
      <c r="J14" s="15"/>
      <c r="L14" s="31"/>
      <c r="M14" s="31"/>
      <c r="N14" s="31"/>
      <c r="O14" s="31"/>
      <c r="P14" s="31"/>
      <c r="Q14" s="31"/>
      <c r="R14" s="31"/>
      <c r="S14" s="31"/>
      <c r="T14" s="31"/>
      <c r="U14" s="31">
        <v>0</v>
      </c>
      <c r="V14" s="31">
        <v>0</v>
      </c>
      <c r="W14" s="31">
        <v>0</v>
      </c>
      <c r="X14" s="31">
        <v>0</v>
      </c>
      <c r="Y14" s="31">
        <v>0</v>
      </c>
      <c r="Z14" s="31">
        <v>0</v>
      </c>
      <c r="AA14" s="31">
        <v>0</v>
      </c>
      <c r="AB14" s="31"/>
      <c r="AC14" s="31">
        <v>0</v>
      </c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P14" s="31">
        <v>1</v>
      </c>
    </row>
    <row r="15" spans="1:42" ht="11.25" customHeight="1" x14ac:dyDescent="0.25">
      <c r="A15" s="149" t="s">
        <v>84</v>
      </c>
      <c r="B15" s="149" t="s">
        <v>83</v>
      </c>
      <c r="C15" s="149" t="s">
        <v>25</v>
      </c>
      <c r="D15" s="149" t="s">
        <v>25</v>
      </c>
      <c r="E15" s="56" t="s">
        <v>85</v>
      </c>
      <c r="F15" s="56" t="s">
        <v>25</v>
      </c>
      <c r="G15" s="57" t="s">
        <v>9</v>
      </c>
      <c r="H15" s="57" t="s">
        <v>79</v>
      </c>
      <c r="I15" s="57">
        <f>'MERCADO TUSD'!$U$12+0.00000001</f>
        <v>1E-8</v>
      </c>
      <c r="J15" s="15"/>
      <c r="L15" s="31"/>
      <c r="M15" s="31"/>
      <c r="N15" s="31"/>
      <c r="O15" s="31"/>
      <c r="P15" s="31"/>
      <c r="Q15" s="31"/>
      <c r="R15" s="31"/>
      <c r="S15" s="31"/>
      <c r="T15" s="31"/>
      <c r="U15" s="31">
        <v>0</v>
      </c>
      <c r="V15" s="31">
        <v>0</v>
      </c>
      <c r="W15" s="31">
        <v>0</v>
      </c>
      <c r="X15" s="31">
        <v>0</v>
      </c>
      <c r="Y15" s="31">
        <v>0</v>
      </c>
      <c r="Z15" s="31">
        <v>0</v>
      </c>
      <c r="AA15" s="31">
        <v>0</v>
      </c>
      <c r="AB15" s="31"/>
      <c r="AC15" s="31">
        <v>8.8839000000000006</v>
      </c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P15" s="31"/>
    </row>
    <row r="16" spans="1:42" ht="11.25" customHeight="1" x14ac:dyDescent="0.25">
      <c r="A16" s="149"/>
      <c r="B16" s="149"/>
      <c r="C16" s="149"/>
      <c r="D16" s="149"/>
      <c r="E16" s="56" t="s">
        <v>86</v>
      </c>
      <c r="F16" s="56" t="s">
        <v>25</v>
      </c>
      <c r="G16" s="57" t="s">
        <v>9</v>
      </c>
      <c r="H16" s="57" t="s">
        <v>79</v>
      </c>
      <c r="I16" s="57">
        <f>'MERCADO TUSD'!$U$13+0.00000001</f>
        <v>1E-8</v>
      </c>
      <c r="J16" s="15"/>
      <c r="L16" s="31"/>
      <c r="M16" s="31"/>
      <c r="N16" s="31"/>
      <c r="O16" s="31"/>
      <c r="P16" s="31"/>
      <c r="Q16" s="31"/>
      <c r="R16" s="31"/>
      <c r="S16" s="31"/>
      <c r="T16" s="31"/>
      <c r="U16" s="31">
        <v>0</v>
      </c>
      <c r="V16" s="31">
        <v>0</v>
      </c>
      <c r="W16" s="31">
        <v>0</v>
      </c>
      <c r="X16" s="31">
        <v>0</v>
      </c>
      <c r="Y16" s="31">
        <v>0</v>
      </c>
      <c r="Z16" s="31">
        <v>0</v>
      </c>
      <c r="AA16" s="31">
        <v>0</v>
      </c>
      <c r="AB16" s="31"/>
      <c r="AC16" s="31">
        <v>14.1538</v>
      </c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P16" s="31"/>
    </row>
    <row r="17" spans="1:42" ht="11.25" customHeight="1" x14ac:dyDescent="0.25">
      <c r="A17" s="149" t="s">
        <v>22</v>
      </c>
      <c r="B17" s="149" t="s">
        <v>50</v>
      </c>
      <c r="C17" s="149" t="s">
        <v>24</v>
      </c>
      <c r="D17" s="149" t="s">
        <v>24</v>
      </c>
      <c r="E17" s="149" t="s">
        <v>25</v>
      </c>
      <c r="F17" s="149" t="s">
        <v>25</v>
      </c>
      <c r="G17" s="57" t="s">
        <v>75</v>
      </c>
      <c r="H17" s="57" t="s">
        <v>74</v>
      </c>
      <c r="I17" s="57">
        <f>'MERCADO TUSD'!$U$14</f>
        <v>0</v>
      </c>
      <c r="J17" s="15"/>
      <c r="L17" s="31"/>
      <c r="M17" s="31"/>
      <c r="N17" s="31"/>
      <c r="O17" s="31"/>
      <c r="P17" s="31"/>
      <c r="Q17" s="31"/>
      <c r="R17" s="31"/>
      <c r="S17" s="31"/>
      <c r="T17" s="31"/>
      <c r="U17" s="31">
        <v>0</v>
      </c>
      <c r="V17" s="31">
        <v>0</v>
      </c>
      <c r="W17" s="31">
        <v>0</v>
      </c>
      <c r="X17" s="31">
        <v>0</v>
      </c>
      <c r="Y17" s="31">
        <v>256.77949999999998</v>
      </c>
      <c r="Z17" s="31">
        <v>0</v>
      </c>
      <c r="AA17" s="31">
        <v>0</v>
      </c>
      <c r="AB17" s="31"/>
      <c r="AC17" s="31">
        <v>459.7586</v>
      </c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P17" s="31">
        <v>1</v>
      </c>
    </row>
    <row r="18" spans="1:42" ht="11.25" customHeight="1" x14ac:dyDescent="0.25">
      <c r="A18" s="149"/>
      <c r="B18" s="149"/>
      <c r="C18" s="149"/>
      <c r="D18" s="149"/>
      <c r="E18" s="149"/>
      <c r="F18" s="149"/>
      <c r="G18" s="57" t="s">
        <v>87</v>
      </c>
      <c r="H18" s="57" t="s">
        <v>74</v>
      </c>
      <c r="I18" s="57">
        <f>'MERCADO TUSD'!$U$15</f>
        <v>0</v>
      </c>
      <c r="J18" s="15"/>
      <c r="L18" s="31"/>
      <c r="M18" s="31"/>
      <c r="N18" s="31"/>
      <c r="O18" s="31"/>
      <c r="P18" s="31"/>
      <c r="Q18" s="31"/>
      <c r="R18" s="31"/>
      <c r="S18" s="31"/>
      <c r="T18" s="31"/>
      <c r="U18" s="31">
        <v>0</v>
      </c>
      <c r="V18" s="31">
        <v>0</v>
      </c>
      <c r="W18" s="31">
        <v>0</v>
      </c>
      <c r="X18" s="31">
        <v>0</v>
      </c>
      <c r="Y18" s="31">
        <v>154.0677</v>
      </c>
      <c r="Z18" s="31">
        <v>0</v>
      </c>
      <c r="AA18" s="31">
        <v>0</v>
      </c>
      <c r="AB18" s="31"/>
      <c r="AC18" s="31">
        <v>275.85520000000002</v>
      </c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P18" s="31">
        <v>1</v>
      </c>
    </row>
    <row r="19" spans="1:42" ht="11.25" customHeight="1" x14ac:dyDescent="0.25">
      <c r="A19" s="149"/>
      <c r="B19" s="149"/>
      <c r="C19" s="149"/>
      <c r="D19" s="149"/>
      <c r="E19" s="149"/>
      <c r="F19" s="149"/>
      <c r="G19" s="57" t="s">
        <v>76</v>
      </c>
      <c r="H19" s="57" t="s">
        <v>74</v>
      </c>
      <c r="I19" s="57">
        <f>'MERCADO TUSD'!$U$16</f>
        <v>0</v>
      </c>
      <c r="J19" s="15"/>
      <c r="L19" s="31"/>
      <c r="M19" s="31"/>
      <c r="N19" s="31"/>
      <c r="O19" s="31"/>
      <c r="P19" s="31"/>
      <c r="Q19" s="31"/>
      <c r="R19" s="31"/>
      <c r="S19" s="31"/>
      <c r="T19" s="31"/>
      <c r="U19" s="31">
        <v>0</v>
      </c>
      <c r="V19" s="31">
        <v>0</v>
      </c>
      <c r="W19" s="31">
        <v>0</v>
      </c>
      <c r="X19" s="31">
        <v>0</v>
      </c>
      <c r="Y19" s="31">
        <v>51.355899999999998</v>
      </c>
      <c r="Z19" s="31">
        <v>0</v>
      </c>
      <c r="AA19" s="31">
        <v>0</v>
      </c>
      <c r="AB19" s="31"/>
      <c r="AC19" s="31">
        <v>91.951700000000002</v>
      </c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P19" s="31">
        <v>1</v>
      </c>
    </row>
    <row r="20" spans="1:42" ht="11.25" customHeight="1" x14ac:dyDescent="0.25">
      <c r="A20" s="149"/>
      <c r="B20" s="149" t="s">
        <v>23</v>
      </c>
      <c r="C20" s="149" t="s">
        <v>24</v>
      </c>
      <c r="D20" s="56" t="s">
        <v>24</v>
      </c>
      <c r="E20" s="56" t="s">
        <v>25</v>
      </c>
      <c r="F20" s="56" t="s">
        <v>25</v>
      </c>
      <c r="G20" s="57" t="s">
        <v>78</v>
      </c>
      <c r="H20" s="57" t="s">
        <v>74</v>
      </c>
      <c r="I20" s="57">
        <f>'MERCADO TUSD'!$U$17</f>
        <v>67923.810000000012</v>
      </c>
      <c r="J20" s="15"/>
      <c r="L20" s="31"/>
      <c r="M20" s="31"/>
      <c r="N20" s="31"/>
      <c r="O20" s="31"/>
      <c r="P20" s="31"/>
      <c r="Q20" s="31"/>
      <c r="R20" s="31"/>
      <c r="S20" s="31"/>
      <c r="T20" s="31"/>
      <c r="U20" s="31">
        <v>0</v>
      </c>
      <c r="V20" s="31">
        <v>0</v>
      </c>
      <c r="W20" s="31">
        <v>0</v>
      </c>
      <c r="X20" s="31">
        <v>0</v>
      </c>
      <c r="Y20" s="31">
        <v>90.098100000000002</v>
      </c>
      <c r="Z20" s="31">
        <v>0</v>
      </c>
      <c r="AA20" s="31">
        <v>0</v>
      </c>
      <c r="AB20" s="31"/>
      <c r="AC20" s="31">
        <v>161.31880000000001</v>
      </c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P20" s="31">
        <v>1</v>
      </c>
    </row>
    <row r="21" spans="1:42" ht="11.25" customHeight="1" x14ac:dyDescent="0.25">
      <c r="A21" s="149"/>
      <c r="B21" s="149"/>
      <c r="C21" s="149"/>
      <c r="D21" s="56" t="s">
        <v>29</v>
      </c>
      <c r="E21" s="56" t="s">
        <v>25</v>
      </c>
      <c r="F21" s="56" t="s">
        <v>25</v>
      </c>
      <c r="G21" s="57" t="s">
        <v>78</v>
      </c>
      <c r="H21" s="57" t="s">
        <v>74</v>
      </c>
      <c r="I21" s="57">
        <f>'MERCADO TUSD'!$U$18</f>
        <v>515.52700000000004</v>
      </c>
      <c r="J21" s="15"/>
      <c r="L21" s="31"/>
      <c r="M21" s="31"/>
      <c r="N21" s="31"/>
      <c r="O21" s="31"/>
      <c r="P21" s="31"/>
      <c r="Q21" s="31"/>
      <c r="R21" s="31"/>
      <c r="S21" s="31"/>
      <c r="T21" s="31"/>
      <c r="U21" s="31">
        <v>0</v>
      </c>
      <c r="V21" s="31">
        <v>0</v>
      </c>
      <c r="W21" s="31">
        <v>0</v>
      </c>
      <c r="X21" s="31">
        <v>0</v>
      </c>
      <c r="Y21" s="31">
        <f>(1 - CUSTOS!$M$24)*90.0981</f>
        <v>90.098100000000002</v>
      </c>
      <c r="Z21" s="31">
        <v>0</v>
      </c>
      <c r="AA21" s="31">
        <v>0</v>
      </c>
      <c r="AB21" s="31"/>
      <c r="AC21" s="31">
        <f>(1 - CUSTOS!$M$24)*161.3188</f>
        <v>161.31880000000001</v>
      </c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P21" s="31">
        <f>IF((1 - CUSTOS!$M$24)&lt;&gt;0,1/(1 - CUSTOS!$M$24),1)</f>
        <v>1</v>
      </c>
    </row>
    <row r="22" spans="1:42" ht="11.25" customHeight="1" x14ac:dyDescent="0.25">
      <c r="A22" s="149"/>
      <c r="B22" s="149"/>
      <c r="C22" s="149"/>
      <c r="D22" s="56" t="s">
        <v>30</v>
      </c>
      <c r="E22" s="56" t="s">
        <v>25</v>
      </c>
      <c r="F22" s="56" t="s">
        <v>25</v>
      </c>
      <c r="G22" s="57" t="s">
        <v>78</v>
      </c>
      <c r="H22" s="57" t="s">
        <v>74</v>
      </c>
      <c r="I22" s="57">
        <f>'MERCADO TUSD'!$U$19</f>
        <v>1078.232</v>
      </c>
      <c r="J22" s="15"/>
      <c r="L22" s="31"/>
      <c r="M22" s="31"/>
      <c r="N22" s="31"/>
      <c r="O22" s="31"/>
      <c r="P22" s="31"/>
      <c r="Q22" s="31"/>
      <c r="R22" s="31"/>
      <c r="S22" s="31"/>
      <c r="T22" s="31"/>
      <c r="U22" s="31">
        <v>0</v>
      </c>
      <c r="V22" s="31">
        <v>0</v>
      </c>
      <c r="W22" s="31">
        <v>0</v>
      </c>
      <c r="X22" s="31">
        <v>0</v>
      </c>
      <c r="Y22" s="31">
        <f>(1 - CUSTOS!$M$25)*90.0981</f>
        <v>90.098100000000002</v>
      </c>
      <c r="Z22" s="31">
        <v>0</v>
      </c>
      <c r="AA22" s="31">
        <v>0</v>
      </c>
      <c r="AB22" s="31"/>
      <c r="AC22" s="31">
        <f>(1 - CUSTOS!$M$25)*161.3188</f>
        <v>161.31880000000001</v>
      </c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P22" s="31">
        <f>IF((1 - CUSTOS!$M$25)&lt;&gt;0,1/(1 - CUSTOS!$M$25),1)</f>
        <v>1</v>
      </c>
    </row>
    <row r="23" spans="1:42" ht="11.25" customHeight="1" x14ac:dyDescent="0.25">
      <c r="A23" s="149"/>
      <c r="B23" s="149"/>
      <c r="C23" s="149"/>
      <c r="D23" s="56" t="s">
        <v>31</v>
      </c>
      <c r="E23" s="56" t="s">
        <v>25</v>
      </c>
      <c r="F23" s="56" t="s">
        <v>25</v>
      </c>
      <c r="G23" s="57" t="s">
        <v>78</v>
      </c>
      <c r="H23" s="57" t="s">
        <v>74</v>
      </c>
      <c r="I23" s="57">
        <f>'MERCADO TUSD'!$U$20</f>
        <v>1111.8500000000001</v>
      </c>
      <c r="J23" s="15"/>
      <c r="L23" s="31"/>
      <c r="M23" s="31"/>
      <c r="N23" s="31"/>
      <c r="O23" s="31"/>
      <c r="P23" s="31"/>
      <c r="Q23" s="31"/>
      <c r="R23" s="31"/>
      <c r="S23" s="31"/>
      <c r="T23" s="31"/>
      <c r="U23" s="31">
        <v>0</v>
      </c>
      <c r="V23" s="31">
        <v>0</v>
      </c>
      <c r="W23" s="31">
        <v>0</v>
      </c>
      <c r="X23" s="31">
        <v>0</v>
      </c>
      <c r="Y23" s="31">
        <f>(1 - CUSTOS!$M$26)*90.0981</f>
        <v>90.098100000000002</v>
      </c>
      <c r="Z23" s="31">
        <v>0</v>
      </c>
      <c r="AA23" s="31">
        <v>0</v>
      </c>
      <c r="AB23" s="31"/>
      <c r="AC23" s="31">
        <f>(1 - CUSTOS!$M$26)*161.3188</f>
        <v>161.31880000000001</v>
      </c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P23" s="31">
        <f>IF((1 - CUSTOS!$M$26)&lt;&gt;0,1/(1 - CUSTOS!$M$26),1)</f>
        <v>1</v>
      </c>
    </row>
    <row r="24" spans="1:42" ht="11.25" customHeight="1" x14ac:dyDescent="0.25">
      <c r="A24" s="149"/>
      <c r="B24" s="149"/>
      <c r="C24" s="149"/>
      <c r="D24" s="56" t="s">
        <v>32</v>
      </c>
      <c r="E24" s="56" t="s">
        <v>25</v>
      </c>
      <c r="F24" s="56" t="s">
        <v>25</v>
      </c>
      <c r="G24" s="57" t="s">
        <v>78</v>
      </c>
      <c r="H24" s="57" t="s">
        <v>74</v>
      </c>
      <c r="I24" s="57">
        <f>'MERCADO TUSD'!$U$21</f>
        <v>453.86500000000007</v>
      </c>
      <c r="J24" s="15"/>
      <c r="L24" s="31"/>
      <c r="M24" s="31"/>
      <c r="N24" s="31"/>
      <c r="O24" s="31"/>
      <c r="P24" s="31"/>
      <c r="Q24" s="31"/>
      <c r="R24" s="31"/>
      <c r="S24" s="31"/>
      <c r="T24" s="31"/>
      <c r="U24" s="31">
        <v>0</v>
      </c>
      <c r="V24" s="31">
        <v>0</v>
      </c>
      <c r="W24" s="31">
        <v>0</v>
      </c>
      <c r="X24" s="31">
        <v>0</v>
      </c>
      <c r="Y24" s="31">
        <f>(1 - CUSTOS!$M$27)*90.0981</f>
        <v>90.098100000000002</v>
      </c>
      <c r="Z24" s="31">
        <v>0</v>
      </c>
      <c r="AA24" s="31">
        <v>0</v>
      </c>
      <c r="AB24" s="31"/>
      <c r="AC24" s="31">
        <f>(1 - CUSTOS!$M$27)*161.3188</f>
        <v>161.31880000000001</v>
      </c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P24" s="31">
        <f>IF((1 - CUSTOS!$M$27)&lt;&gt;0,1/(1 - CUSTOS!$M$27),1)</f>
        <v>1</v>
      </c>
    </row>
    <row r="25" spans="1:42" ht="11.25" customHeight="1" x14ac:dyDescent="0.25">
      <c r="A25" s="149"/>
      <c r="B25" s="149" t="s">
        <v>89</v>
      </c>
      <c r="C25" s="149" t="s">
        <v>24</v>
      </c>
      <c r="D25" s="56" t="s">
        <v>24</v>
      </c>
      <c r="E25" s="56" t="s">
        <v>25</v>
      </c>
      <c r="F25" s="56" t="s">
        <v>25</v>
      </c>
      <c r="G25" s="57" t="s">
        <v>78</v>
      </c>
      <c r="H25" s="57" t="s">
        <v>74</v>
      </c>
      <c r="I25" s="57">
        <f>'MERCADO TUSD'!$U$22</f>
        <v>0</v>
      </c>
      <c r="J25" s="15"/>
      <c r="L25" s="31"/>
      <c r="M25" s="31"/>
      <c r="N25" s="31"/>
      <c r="O25" s="31"/>
      <c r="P25" s="31"/>
      <c r="Q25" s="31"/>
      <c r="R25" s="31"/>
      <c r="S25" s="31"/>
      <c r="T25" s="31"/>
      <c r="U25" s="31">
        <v>0</v>
      </c>
      <c r="V25" s="31">
        <v>0</v>
      </c>
      <c r="W25" s="31">
        <v>0</v>
      </c>
      <c r="X25" s="31">
        <v>0</v>
      </c>
      <c r="Y25" s="31">
        <v>90.098100000000002</v>
      </c>
      <c r="Z25" s="31">
        <v>0</v>
      </c>
      <c r="AA25" s="31">
        <v>0</v>
      </c>
      <c r="AB25" s="31"/>
      <c r="AC25" s="31">
        <v>161.31880000000001</v>
      </c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P25" s="31">
        <v>1</v>
      </c>
    </row>
    <row r="26" spans="1:42" ht="11.25" customHeight="1" x14ac:dyDescent="0.25">
      <c r="A26" s="149"/>
      <c r="B26" s="149"/>
      <c r="C26" s="149"/>
      <c r="D26" s="56" t="s">
        <v>29</v>
      </c>
      <c r="E26" s="56" t="s">
        <v>25</v>
      </c>
      <c r="F26" s="56" t="s">
        <v>25</v>
      </c>
      <c r="G26" s="57" t="s">
        <v>78</v>
      </c>
      <c r="H26" s="57" t="s">
        <v>74</v>
      </c>
      <c r="I26" s="57">
        <f>'MERCADO TUSD'!$U$23</f>
        <v>0</v>
      </c>
      <c r="J26" s="15"/>
      <c r="L26" s="31"/>
      <c r="M26" s="31"/>
      <c r="N26" s="31"/>
      <c r="O26" s="31"/>
      <c r="P26" s="31"/>
      <c r="Q26" s="31"/>
      <c r="R26" s="31"/>
      <c r="S26" s="31"/>
      <c r="T26" s="31"/>
      <c r="U26" s="31">
        <v>0</v>
      </c>
      <c r="V26" s="31">
        <v>0</v>
      </c>
      <c r="W26" s="31">
        <v>0</v>
      </c>
      <c r="X26" s="31">
        <v>0</v>
      </c>
      <c r="Y26" s="31">
        <f>(1 - CUSTOS!$M$24)*90.0981</f>
        <v>90.098100000000002</v>
      </c>
      <c r="Z26" s="31">
        <v>0</v>
      </c>
      <c r="AA26" s="31">
        <v>0</v>
      </c>
      <c r="AB26" s="31"/>
      <c r="AC26" s="31">
        <f>(1 - CUSTOS!$M$24)*161.3188</f>
        <v>161.31880000000001</v>
      </c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P26" s="31">
        <f>IF((1 - CUSTOS!$M$24)&lt;&gt;0,1/(1 - CUSTOS!$M$24),1)</f>
        <v>1</v>
      </c>
    </row>
    <row r="27" spans="1:42" ht="11.25" customHeight="1" x14ac:dyDescent="0.25">
      <c r="A27" s="149"/>
      <c r="B27" s="149"/>
      <c r="C27" s="149"/>
      <c r="D27" s="56" t="s">
        <v>30</v>
      </c>
      <c r="E27" s="56" t="s">
        <v>25</v>
      </c>
      <c r="F27" s="56" t="s">
        <v>25</v>
      </c>
      <c r="G27" s="57" t="s">
        <v>78</v>
      </c>
      <c r="H27" s="57" t="s">
        <v>74</v>
      </c>
      <c r="I27" s="57">
        <f>'MERCADO TUSD'!$U$24</f>
        <v>0</v>
      </c>
      <c r="J27" s="15"/>
      <c r="L27" s="31"/>
      <c r="M27" s="31"/>
      <c r="N27" s="31"/>
      <c r="O27" s="31"/>
      <c r="P27" s="31"/>
      <c r="Q27" s="31"/>
      <c r="R27" s="31"/>
      <c r="S27" s="31"/>
      <c r="T27" s="31"/>
      <c r="U27" s="31">
        <v>0</v>
      </c>
      <c r="V27" s="31">
        <v>0</v>
      </c>
      <c r="W27" s="31">
        <v>0</v>
      </c>
      <c r="X27" s="31">
        <v>0</v>
      </c>
      <c r="Y27" s="31">
        <f>(1 - CUSTOS!$M$25)*90.0981</f>
        <v>90.098100000000002</v>
      </c>
      <c r="Z27" s="31">
        <v>0</v>
      </c>
      <c r="AA27" s="31">
        <v>0</v>
      </c>
      <c r="AB27" s="31"/>
      <c r="AC27" s="31">
        <f>(1 - CUSTOS!$M$25)*161.3188</f>
        <v>161.31880000000001</v>
      </c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P27" s="31">
        <f>IF((1 - CUSTOS!$M$25)&lt;&gt;0,1/(1 - CUSTOS!$M$25),1)</f>
        <v>1</v>
      </c>
    </row>
    <row r="28" spans="1:42" ht="11.25" customHeight="1" x14ac:dyDescent="0.25">
      <c r="A28" s="149"/>
      <c r="B28" s="149"/>
      <c r="C28" s="149"/>
      <c r="D28" s="56" t="s">
        <v>31</v>
      </c>
      <c r="E28" s="56" t="s">
        <v>25</v>
      </c>
      <c r="F28" s="56" t="s">
        <v>25</v>
      </c>
      <c r="G28" s="57" t="s">
        <v>78</v>
      </c>
      <c r="H28" s="57" t="s">
        <v>74</v>
      </c>
      <c r="I28" s="57">
        <f>'MERCADO TUSD'!$U$25</f>
        <v>0</v>
      </c>
      <c r="J28" s="15"/>
      <c r="L28" s="31"/>
      <c r="M28" s="31"/>
      <c r="N28" s="31"/>
      <c r="O28" s="31"/>
      <c r="P28" s="31"/>
      <c r="Q28" s="31"/>
      <c r="R28" s="31"/>
      <c r="S28" s="31"/>
      <c r="T28" s="31"/>
      <c r="U28" s="31">
        <v>0</v>
      </c>
      <c r="V28" s="31">
        <v>0</v>
      </c>
      <c r="W28" s="31">
        <v>0</v>
      </c>
      <c r="X28" s="31">
        <v>0</v>
      </c>
      <c r="Y28" s="31">
        <f>(1 - CUSTOS!$M$26)*90.0981</f>
        <v>90.098100000000002</v>
      </c>
      <c r="Z28" s="31">
        <v>0</v>
      </c>
      <c r="AA28" s="31">
        <v>0</v>
      </c>
      <c r="AB28" s="31"/>
      <c r="AC28" s="31">
        <f>(1 - CUSTOS!$M$26)*161.3188</f>
        <v>161.31880000000001</v>
      </c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P28" s="31">
        <f>IF((1 - CUSTOS!$M$26)&lt;&gt;0,1/(1 - CUSTOS!$M$26),1)</f>
        <v>1</v>
      </c>
    </row>
    <row r="29" spans="1:42" ht="11.25" customHeight="1" x14ac:dyDescent="0.25">
      <c r="A29" s="149"/>
      <c r="B29" s="149"/>
      <c r="C29" s="149"/>
      <c r="D29" s="56" t="s">
        <v>32</v>
      </c>
      <c r="E29" s="56" t="s">
        <v>25</v>
      </c>
      <c r="F29" s="56" t="s">
        <v>25</v>
      </c>
      <c r="G29" s="57" t="s">
        <v>78</v>
      </c>
      <c r="H29" s="57" t="s">
        <v>74</v>
      </c>
      <c r="I29" s="57">
        <f>'MERCADO TUSD'!$U$26</f>
        <v>0</v>
      </c>
      <c r="J29" s="15"/>
      <c r="L29" s="31"/>
      <c r="M29" s="31"/>
      <c r="N29" s="31"/>
      <c r="O29" s="31"/>
      <c r="P29" s="31"/>
      <c r="Q29" s="31"/>
      <c r="R29" s="31"/>
      <c r="S29" s="31"/>
      <c r="T29" s="31"/>
      <c r="U29" s="31">
        <v>0</v>
      </c>
      <c r="V29" s="31">
        <v>0</v>
      </c>
      <c r="W29" s="31">
        <v>0</v>
      </c>
      <c r="X29" s="31">
        <v>0</v>
      </c>
      <c r="Y29" s="31">
        <f>(1 - CUSTOS!$M$27)*90.0981</f>
        <v>90.098100000000002</v>
      </c>
      <c r="Z29" s="31">
        <v>0</v>
      </c>
      <c r="AA29" s="31">
        <v>0</v>
      </c>
      <c r="AB29" s="31"/>
      <c r="AC29" s="31">
        <f>(1 - CUSTOS!$M$27)*161.3188</f>
        <v>161.31880000000001</v>
      </c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P29" s="31">
        <f>IF((1 - CUSTOS!$M$27)&lt;&gt;0,1/(1 - CUSTOS!$M$27),1)</f>
        <v>1</v>
      </c>
    </row>
    <row r="30" spans="1:42" ht="11.25" customHeight="1" x14ac:dyDescent="0.25">
      <c r="A30" s="149" t="s">
        <v>41</v>
      </c>
      <c r="B30" s="149" t="s">
        <v>50</v>
      </c>
      <c r="C30" s="149" t="s">
        <v>42</v>
      </c>
      <c r="D30" s="149" t="s">
        <v>25</v>
      </c>
      <c r="E30" s="149" t="s">
        <v>25</v>
      </c>
      <c r="F30" s="149" t="s">
        <v>25</v>
      </c>
      <c r="G30" s="57" t="s">
        <v>75</v>
      </c>
      <c r="H30" s="57" t="s">
        <v>74</v>
      </c>
      <c r="I30" s="57">
        <f>'MERCADO TUSD'!$U$27</f>
        <v>0</v>
      </c>
      <c r="J30" s="15"/>
      <c r="L30" s="31"/>
      <c r="M30" s="31"/>
      <c r="N30" s="31"/>
      <c r="O30" s="31"/>
      <c r="P30" s="31"/>
      <c r="Q30" s="31"/>
      <c r="R30" s="31"/>
      <c r="S30" s="31"/>
      <c r="T30" s="31"/>
      <c r="U30" s="31">
        <v>0</v>
      </c>
      <c r="V30" s="31">
        <v>0</v>
      </c>
      <c r="W30" s="31">
        <v>0</v>
      </c>
      <c r="X30" s="31">
        <v>0</v>
      </c>
      <c r="Y30" s="31">
        <f>(1 - CUSTOS!$M$28)*279.304</f>
        <v>279.30399999999997</v>
      </c>
      <c r="Z30" s="31">
        <v>0</v>
      </c>
      <c r="AA30" s="31">
        <v>0</v>
      </c>
      <c r="AB30" s="31"/>
      <c r="AC30" s="31">
        <f>(1 - CUSTOS!$M$28)*500.0883</f>
        <v>500.0883</v>
      </c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P30" s="31">
        <f>IF((1 - CUSTOS!$M$28)&lt;&gt;0,1/(1 - CUSTOS!$M$28),1)</f>
        <v>1</v>
      </c>
    </row>
    <row r="31" spans="1:42" ht="11.25" customHeight="1" x14ac:dyDescent="0.25">
      <c r="A31" s="149"/>
      <c r="B31" s="149"/>
      <c r="C31" s="149"/>
      <c r="D31" s="149"/>
      <c r="E31" s="149"/>
      <c r="F31" s="149"/>
      <c r="G31" s="57" t="s">
        <v>87</v>
      </c>
      <c r="H31" s="57" t="s">
        <v>74</v>
      </c>
      <c r="I31" s="57">
        <f>'MERCADO TUSD'!$U$28</f>
        <v>0</v>
      </c>
      <c r="J31" s="15"/>
      <c r="L31" s="31"/>
      <c r="M31" s="31"/>
      <c r="N31" s="31"/>
      <c r="O31" s="31"/>
      <c r="P31" s="31"/>
      <c r="Q31" s="31"/>
      <c r="R31" s="31"/>
      <c r="S31" s="31"/>
      <c r="T31" s="31"/>
      <c r="U31" s="31">
        <v>0</v>
      </c>
      <c r="V31" s="31">
        <v>0</v>
      </c>
      <c r="W31" s="31">
        <v>0</v>
      </c>
      <c r="X31" s="31">
        <v>0</v>
      </c>
      <c r="Y31" s="31">
        <f>(1 - CUSTOS!$M$28)*167.5824</f>
        <v>167.58240000000001</v>
      </c>
      <c r="Z31" s="31">
        <v>0</v>
      </c>
      <c r="AA31" s="31">
        <v>0</v>
      </c>
      <c r="AB31" s="31"/>
      <c r="AC31" s="31">
        <f>(1 - CUSTOS!$M$28)*300.053</f>
        <v>300.053</v>
      </c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P31" s="31">
        <f>IF((1 - CUSTOS!$M$28)&lt;&gt;0,1/(1 - CUSTOS!$M$28),1)</f>
        <v>1</v>
      </c>
    </row>
    <row r="32" spans="1:42" ht="11.25" customHeight="1" x14ac:dyDescent="0.25">
      <c r="A32" s="149"/>
      <c r="B32" s="149"/>
      <c r="C32" s="149"/>
      <c r="D32" s="149"/>
      <c r="E32" s="149"/>
      <c r="F32" s="149"/>
      <c r="G32" s="57" t="s">
        <v>76</v>
      </c>
      <c r="H32" s="57" t="s">
        <v>74</v>
      </c>
      <c r="I32" s="57">
        <f>'MERCADO TUSD'!$U$29</f>
        <v>0</v>
      </c>
      <c r="J32" s="15"/>
      <c r="L32" s="31"/>
      <c r="M32" s="31"/>
      <c r="N32" s="31"/>
      <c r="O32" s="31"/>
      <c r="P32" s="31"/>
      <c r="Q32" s="31"/>
      <c r="R32" s="31"/>
      <c r="S32" s="31"/>
      <c r="T32" s="31"/>
      <c r="U32" s="31">
        <v>0</v>
      </c>
      <c r="V32" s="31">
        <v>0</v>
      </c>
      <c r="W32" s="31">
        <v>0</v>
      </c>
      <c r="X32" s="31">
        <v>0</v>
      </c>
      <c r="Y32" s="31">
        <f>(1 - CUSTOS!$M$28)*55.8608</f>
        <v>55.860799999999998</v>
      </c>
      <c r="Z32" s="31">
        <v>0</v>
      </c>
      <c r="AA32" s="31">
        <v>0</v>
      </c>
      <c r="AB32" s="31"/>
      <c r="AC32" s="31">
        <f>(1 - CUSTOS!$M$28)*100.0177</f>
        <v>100.0177</v>
      </c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P32" s="31">
        <f>IF((1 - CUSTOS!$M$28)&lt;&gt;0,1/(1 - CUSTOS!$M$28),1)</f>
        <v>1</v>
      </c>
    </row>
    <row r="33" spans="1:42" ht="11.25" customHeight="1" x14ac:dyDescent="0.25">
      <c r="A33" s="149"/>
      <c r="B33" s="56" t="s">
        <v>23</v>
      </c>
      <c r="C33" s="56" t="s">
        <v>42</v>
      </c>
      <c r="D33" s="56" t="s">
        <v>25</v>
      </c>
      <c r="E33" s="56" t="s">
        <v>25</v>
      </c>
      <c r="F33" s="56" t="s">
        <v>25</v>
      </c>
      <c r="G33" s="57" t="s">
        <v>78</v>
      </c>
      <c r="H33" s="57" t="s">
        <v>74</v>
      </c>
      <c r="I33" s="57">
        <f>'MERCADO TUSD'!$U$30</f>
        <v>11721.666999999998</v>
      </c>
      <c r="J33" s="15"/>
      <c r="L33" s="31"/>
      <c r="M33" s="31"/>
      <c r="N33" s="31"/>
      <c r="O33" s="31"/>
      <c r="P33" s="31"/>
      <c r="Q33" s="31"/>
      <c r="R33" s="31"/>
      <c r="S33" s="31"/>
      <c r="T33" s="31"/>
      <c r="U33" s="31">
        <v>0</v>
      </c>
      <c r="V33" s="31">
        <v>0</v>
      </c>
      <c r="W33" s="31">
        <v>0</v>
      </c>
      <c r="X33" s="31">
        <v>0</v>
      </c>
      <c r="Y33" s="31">
        <f>(1 - CUSTOS!$M$28)*90.0981</f>
        <v>90.098100000000002</v>
      </c>
      <c r="Z33" s="31">
        <v>0</v>
      </c>
      <c r="AA33" s="31">
        <v>0</v>
      </c>
      <c r="AB33" s="31"/>
      <c r="AC33" s="31">
        <f>(1 - CUSTOS!$M$28)*161.3188</f>
        <v>161.31880000000001</v>
      </c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P33" s="31">
        <f>IF((1 - CUSTOS!$M$28)&lt;&gt;0,1/(1 - CUSTOS!$M$28),1)</f>
        <v>1</v>
      </c>
    </row>
    <row r="34" spans="1:42" ht="11.25" customHeight="1" x14ac:dyDescent="0.25">
      <c r="A34" s="149"/>
      <c r="B34" s="149" t="s">
        <v>50</v>
      </c>
      <c r="C34" s="149" t="s">
        <v>42</v>
      </c>
      <c r="D34" s="149" t="s">
        <v>90</v>
      </c>
      <c r="E34" s="149" t="s">
        <v>25</v>
      </c>
      <c r="F34" s="149" t="s">
        <v>25</v>
      </c>
      <c r="G34" s="57" t="s">
        <v>75</v>
      </c>
      <c r="H34" s="57" t="s">
        <v>74</v>
      </c>
      <c r="I34" s="57">
        <f>'MERCADO TUSD'!$U$31</f>
        <v>0</v>
      </c>
      <c r="J34" s="15"/>
      <c r="L34" s="31"/>
      <c r="M34" s="31"/>
      <c r="N34" s="31"/>
      <c r="O34" s="31"/>
      <c r="P34" s="31"/>
      <c r="Q34" s="31"/>
      <c r="R34" s="31"/>
      <c r="S34" s="31"/>
      <c r="T34" s="31"/>
      <c r="U34" s="31">
        <v>0</v>
      </c>
      <c r="V34" s="31">
        <v>0</v>
      </c>
      <c r="W34" s="31">
        <v>0</v>
      </c>
      <c r="X34" s="31">
        <v>0</v>
      </c>
      <c r="Y34" s="31">
        <f>(1 - CUSTOS!$M$29)*279.304</f>
        <v>279.30399999999997</v>
      </c>
      <c r="Z34" s="31">
        <v>0</v>
      </c>
      <c r="AA34" s="31">
        <v>0</v>
      </c>
      <c r="AB34" s="31"/>
      <c r="AC34" s="31">
        <f>(1 - CUSTOS!$M$29)*500.0883</f>
        <v>500.0883</v>
      </c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P34" s="31">
        <f>IF((1 - CUSTOS!$M$29)&lt;&gt;0,1/(1 - CUSTOS!$M$29),1)</f>
        <v>1</v>
      </c>
    </row>
    <row r="35" spans="1:42" ht="11.25" customHeight="1" x14ac:dyDescent="0.25">
      <c r="A35" s="149"/>
      <c r="B35" s="149"/>
      <c r="C35" s="149"/>
      <c r="D35" s="149"/>
      <c r="E35" s="149"/>
      <c r="F35" s="149"/>
      <c r="G35" s="57" t="s">
        <v>87</v>
      </c>
      <c r="H35" s="57" t="s">
        <v>74</v>
      </c>
      <c r="I35" s="57">
        <f>'MERCADO TUSD'!$U$32</f>
        <v>0</v>
      </c>
      <c r="J35" s="15"/>
      <c r="L35" s="31"/>
      <c r="M35" s="31"/>
      <c r="N35" s="31"/>
      <c r="O35" s="31"/>
      <c r="P35" s="31"/>
      <c r="Q35" s="31"/>
      <c r="R35" s="31"/>
      <c r="S35" s="31"/>
      <c r="T35" s="31"/>
      <c r="U35" s="31">
        <v>0</v>
      </c>
      <c r="V35" s="31">
        <v>0</v>
      </c>
      <c r="W35" s="31">
        <v>0</v>
      </c>
      <c r="X35" s="31">
        <v>0</v>
      </c>
      <c r="Y35" s="31">
        <f>(1 - CUSTOS!$M$29)*167.5824</f>
        <v>167.58240000000001</v>
      </c>
      <c r="Z35" s="31">
        <v>0</v>
      </c>
      <c r="AA35" s="31">
        <v>0</v>
      </c>
      <c r="AB35" s="31"/>
      <c r="AC35" s="31">
        <f>(1 - CUSTOS!$M$29)*300.053</f>
        <v>300.053</v>
      </c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P35" s="31">
        <f>IF((1 - CUSTOS!$M$29)&lt;&gt;0,1/(1 - CUSTOS!$M$29),1)</f>
        <v>1</v>
      </c>
    </row>
    <row r="36" spans="1:42" ht="11.25" customHeight="1" x14ac:dyDescent="0.25">
      <c r="A36" s="149"/>
      <c r="B36" s="149"/>
      <c r="C36" s="149"/>
      <c r="D36" s="149"/>
      <c r="E36" s="149"/>
      <c r="F36" s="149"/>
      <c r="G36" s="57" t="s">
        <v>76</v>
      </c>
      <c r="H36" s="57" t="s">
        <v>74</v>
      </c>
      <c r="I36" s="57">
        <f>'MERCADO TUSD'!$U$33</f>
        <v>0</v>
      </c>
      <c r="J36" s="15"/>
      <c r="L36" s="31"/>
      <c r="M36" s="31"/>
      <c r="N36" s="31"/>
      <c r="O36" s="31"/>
      <c r="P36" s="31"/>
      <c r="Q36" s="31"/>
      <c r="R36" s="31"/>
      <c r="S36" s="31"/>
      <c r="T36" s="31"/>
      <c r="U36" s="31">
        <v>0</v>
      </c>
      <c r="V36" s="31">
        <v>0</v>
      </c>
      <c r="W36" s="31">
        <v>0</v>
      </c>
      <c r="X36" s="31">
        <v>0</v>
      </c>
      <c r="Y36" s="31">
        <f>(1 - CUSTOS!$M$29)*55.8608</f>
        <v>55.860799999999998</v>
      </c>
      <c r="Z36" s="31">
        <v>0</v>
      </c>
      <c r="AA36" s="31">
        <v>0</v>
      </c>
      <c r="AB36" s="31"/>
      <c r="AC36" s="31">
        <f>(1 - CUSTOS!$M$29)*100.0177</f>
        <v>100.0177</v>
      </c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P36" s="31">
        <f>IF((1 - CUSTOS!$M$29)&lt;&gt;0,1/(1 - CUSTOS!$M$29),1)</f>
        <v>1</v>
      </c>
    </row>
    <row r="37" spans="1:42" ht="11.25" customHeight="1" x14ac:dyDescent="0.25">
      <c r="A37" s="149"/>
      <c r="B37" s="56" t="s">
        <v>23</v>
      </c>
      <c r="C37" s="56" t="s">
        <v>42</v>
      </c>
      <c r="D37" s="56" t="s">
        <v>90</v>
      </c>
      <c r="E37" s="56" t="s">
        <v>25</v>
      </c>
      <c r="F37" s="56" t="s">
        <v>25</v>
      </c>
      <c r="G37" s="57" t="s">
        <v>78</v>
      </c>
      <c r="H37" s="57" t="s">
        <v>74</v>
      </c>
      <c r="I37" s="57">
        <f>'MERCADO TUSD'!$U$34</f>
        <v>0</v>
      </c>
      <c r="J37" s="15"/>
      <c r="L37" s="31"/>
      <c r="M37" s="31"/>
      <c r="N37" s="31"/>
      <c r="O37" s="31"/>
      <c r="P37" s="31"/>
      <c r="Q37" s="31"/>
      <c r="R37" s="31"/>
      <c r="S37" s="31"/>
      <c r="T37" s="31"/>
      <c r="U37" s="31">
        <v>0</v>
      </c>
      <c r="V37" s="31">
        <v>0</v>
      </c>
      <c r="W37" s="31">
        <v>0</v>
      </c>
      <c r="X37" s="31">
        <v>0</v>
      </c>
      <c r="Y37" s="31">
        <f>(1 - CUSTOS!$M$29)*90.0981</f>
        <v>90.098100000000002</v>
      </c>
      <c r="Z37" s="31">
        <v>0</v>
      </c>
      <c r="AA37" s="31">
        <v>0</v>
      </c>
      <c r="AB37" s="31"/>
      <c r="AC37" s="31">
        <f>(1 - CUSTOS!$M$29)*161.3188</f>
        <v>161.31880000000001</v>
      </c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P37" s="31">
        <f>IF((1 - CUSTOS!$M$29)&lt;&gt;0,1/(1 - CUSTOS!$M$29),1)</f>
        <v>1</v>
      </c>
    </row>
    <row r="38" spans="1:42" ht="11.25" customHeight="1" x14ac:dyDescent="0.25">
      <c r="A38" s="149"/>
      <c r="B38" s="149" t="s">
        <v>50</v>
      </c>
      <c r="C38" s="149" t="s">
        <v>42</v>
      </c>
      <c r="D38" s="149" t="s">
        <v>91</v>
      </c>
      <c r="E38" s="149" t="s">
        <v>25</v>
      </c>
      <c r="F38" s="149" t="s">
        <v>25</v>
      </c>
      <c r="G38" s="57" t="s">
        <v>75</v>
      </c>
      <c r="H38" s="57" t="s">
        <v>74</v>
      </c>
      <c r="I38" s="57">
        <f>'MERCADO TUSD'!$U$35</f>
        <v>0</v>
      </c>
      <c r="J38" s="15"/>
      <c r="L38" s="31"/>
      <c r="M38" s="31"/>
      <c r="N38" s="31"/>
      <c r="O38" s="31"/>
      <c r="P38" s="31"/>
      <c r="Q38" s="31"/>
      <c r="R38" s="31"/>
      <c r="S38" s="31"/>
      <c r="T38" s="31"/>
      <c r="U38" s="31">
        <v>0</v>
      </c>
      <c r="V38" s="31">
        <v>0</v>
      </c>
      <c r="W38" s="31">
        <v>0</v>
      </c>
      <c r="X38" s="31">
        <v>0</v>
      </c>
      <c r="Y38" s="31">
        <f>(1 - CUSTOS!$M$30)*279.304</f>
        <v>279.30399999999997</v>
      </c>
      <c r="Z38" s="31">
        <v>0</v>
      </c>
      <c r="AA38" s="31">
        <v>0</v>
      </c>
      <c r="AB38" s="31"/>
      <c r="AC38" s="31">
        <f>(1 - CUSTOS!$M$30)*500.0883</f>
        <v>500.0883</v>
      </c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P38" s="31">
        <f>IF((1 - CUSTOS!$M$30)&lt;&gt;0,1/(1 - CUSTOS!$M$30),1)</f>
        <v>1</v>
      </c>
    </row>
    <row r="39" spans="1:42" ht="11.25" customHeight="1" x14ac:dyDescent="0.25">
      <c r="A39" s="149"/>
      <c r="B39" s="149"/>
      <c r="C39" s="149"/>
      <c r="D39" s="149"/>
      <c r="E39" s="149"/>
      <c r="F39" s="149"/>
      <c r="G39" s="57" t="s">
        <v>87</v>
      </c>
      <c r="H39" s="57" t="s">
        <v>74</v>
      </c>
      <c r="I39" s="57">
        <f>'MERCADO TUSD'!$U$36</f>
        <v>0</v>
      </c>
      <c r="J39" s="15"/>
      <c r="L39" s="31"/>
      <c r="M39" s="31"/>
      <c r="N39" s="31"/>
      <c r="O39" s="31"/>
      <c r="P39" s="31"/>
      <c r="Q39" s="31"/>
      <c r="R39" s="31"/>
      <c r="S39" s="31"/>
      <c r="T39" s="31"/>
      <c r="U39" s="31">
        <v>0</v>
      </c>
      <c r="V39" s="31">
        <v>0</v>
      </c>
      <c r="W39" s="31">
        <v>0</v>
      </c>
      <c r="X39" s="31">
        <v>0</v>
      </c>
      <c r="Y39" s="31">
        <f>(1 - CUSTOS!$M$30)*167.5824</f>
        <v>167.58240000000001</v>
      </c>
      <c r="Z39" s="31">
        <v>0</v>
      </c>
      <c r="AA39" s="31">
        <v>0</v>
      </c>
      <c r="AB39" s="31"/>
      <c r="AC39" s="31">
        <f>(1 - CUSTOS!$M$30)*300.053</f>
        <v>300.053</v>
      </c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P39" s="31">
        <f>IF((1 - CUSTOS!$M$30)&lt;&gt;0,1/(1 - CUSTOS!$M$30),1)</f>
        <v>1</v>
      </c>
    </row>
    <row r="40" spans="1:42" ht="11.25" customHeight="1" x14ac:dyDescent="0.25">
      <c r="A40" s="149"/>
      <c r="B40" s="149"/>
      <c r="C40" s="149"/>
      <c r="D40" s="149"/>
      <c r="E40" s="149"/>
      <c r="F40" s="149"/>
      <c r="G40" s="57" t="s">
        <v>76</v>
      </c>
      <c r="H40" s="57" t="s">
        <v>74</v>
      </c>
      <c r="I40" s="57">
        <f>'MERCADO TUSD'!$U$37</f>
        <v>0</v>
      </c>
      <c r="J40" s="15"/>
      <c r="L40" s="31"/>
      <c r="M40" s="31"/>
      <c r="N40" s="31"/>
      <c r="O40" s="31"/>
      <c r="P40" s="31"/>
      <c r="Q40" s="31"/>
      <c r="R40" s="31"/>
      <c r="S40" s="31"/>
      <c r="T40" s="31"/>
      <c r="U40" s="31">
        <v>0</v>
      </c>
      <c r="V40" s="31">
        <v>0</v>
      </c>
      <c r="W40" s="31">
        <v>0</v>
      </c>
      <c r="X40" s="31">
        <v>0</v>
      </c>
      <c r="Y40" s="31">
        <f>(1 - CUSTOS!$M$30)*55.8608</f>
        <v>55.860799999999998</v>
      </c>
      <c r="Z40" s="31">
        <v>0</v>
      </c>
      <c r="AA40" s="31">
        <v>0</v>
      </c>
      <c r="AB40" s="31"/>
      <c r="AC40" s="31">
        <f>(1 - CUSTOS!$M$30)*100.0177</f>
        <v>100.0177</v>
      </c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P40" s="31">
        <f>IF((1 - CUSTOS!$M$30)&lt;&gt;0,1/(1 - CUSTOS!$M$30),1)</f>
        <v>1</v>
      </c>
    </row>
    <row r="41" spans="1:42" ht="11.25" customHeight="1" x14ac:dyDescent="0.25">
      <c r="A41" s="149"/>
      <c r="B41" s="56" t="s">
        <v>23</v>
      </c>
      <c r="C41" s="56" t="s">
        <v>42</v>
      </c>
      <c r="D41" s="56" t="s">
        <v>91</v>
      </c>
      <c r="E41" s="56" t="s">
        <v>25</v>
      </c>
      <c r="F41" s="56" t="s">
        <v>25</v>
      </c>
      <c r="G41" s="57" t="s">
        <v>78</v>
      </c>
      <c r="H41" s="57" t="s">
        <v>74</v>
      </c>
      <c r="I41" s="57">
        <f>'MERCADO TUSD'!$U$38</f>
        <v>0</v>
      </c>
      <c r="J41" s="15"/>
      <c r="L41" s="31"/>
      <c r="M41" s="31"/>
      <c r="N41" s="31"/>
      <c r="O41" s="31"/>
      <c r="P41" s="31"/>
      <c r="Q41" s="31"/>
      <c r="R41" s="31"/>
      <c r="S41" s="31"/>
      <c r="T41" s="31"/>
      <c r="U41" s="31">
        <v>0</v>
      </c>
      <c r="V41" s="31">
        <v>0</v>
      </c>
      <c r="W41" s="31">
        <v>0</v>
      </c>
      <c r="X41" s="31">
        <v>0</v>
      </c>
      <c r="Y41" s="31">
        <f>(1 - CUSTOS!$M$30)*90.0981</f>
        <v>90.098100000000002</v>
      </c>
      <c r="Z41" s="31">
        <v>0</v>
      </c>
      <c r="AA41" s="31">
        <v>0</v>
      </c>
      <c r="AB41" s="31"/>
      <c r="AC41" s="31">
        <f>(1 - CUSTOS!$M$30)*161.3188</f>
        <v>161.31880000000001</v>
      </c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P41" s="31">
        <f>IF((1 - CUSTOS!$M$30)&lt;&gt;0,1/(1 - CUSTOS!$M$30),1)</f>
        <v>1</v>
      </c>
    </row>
    <row r="42" spans="1:42" ht="11.25" customHeight="1" x14ac:dyDescent="0.25">
      <c r="A42" s="149"/>
      <c r="B42" s="149" t="s">
        <v>89</v>
      </c>
      <c r="C42" s="149" t="s">
        <v>42</v>
      </c>
      <c r="D42" s="56" t="s">
        <v>25</v>
      </c>
      <c r="E42" s="56" t="s">
        <v>25</v>
      </c>
      <c r="F42" s="56" t="s">
        <v>25</v>
      </c>
      <c r="G42" s="57" t="s">
        <v>78</v>
      </c>
      <c r="H42" s="57" t="s">
        <v>74</v>
      </c>
      <c r="I42" s="57">
        <f>'MERCADO TUSD'!$U$39</f>
        <v>0</v>
      </c>
      <c r="J42" s="15"/>
      <c r="L42" s="31"/>
      <c r="M42" s="31"/>
      <c r="N42" s="31"/>
      <c r="O42" s="31"/>
      <c r="P42" s="31"/>
      <c r="Q42" s="31"/>
      <c r="R42" s="31"/>
      <c r="S42" s="31"/>
      <c r="T42" s="31"/>
      <c r="U42" s="31">
        <v>0</v>
      </c>
      <c r="V42" s="31">
        <v>0</v>
      </c>
      <c r="W42" s="31">
        <v>0</v>
      </c>
      <c r="X42" s="31">
        <v>0</v>
      </c>
      <c r="Y42" s="31">
        <f>(1 - CUSTOS!$M$28)*90.0981</f>
        <v>90.098100000000002</v>
      </c>
      <c r="Z42" s="31">
        <v>0</v>
      </c>
      <c r="AA42" s="31">
        <v>0</v>
      </c>
      <c r="AB42" s="31"/>
      <c r="AC42" s="31">
        <f>(1 - CUSTOS!$M$28)*161.3188</f>
        <v>161.31880000000001</v>
      </c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P42" s="31">
        <f>IF((1 - CUSTOS!$M$28)&lt;&gt;0,1/(1 - CUSTOS!$M$28),1)</f>
        <v>1</v>
      </c>
    </row>
    <row r="43" spans="1:42" ht="11.25" customHeight="1" x14ac:dyDescent="0.25">
      <c r="A43" s="149"/>
      <c r="B43" s="149"/>
      <c r="C43" s="149"/>
      <c r="D43" s="56" t="s">
        <v>90</v>
      </c>
      <c r="E43" s="56" t="s">
        <v>25</v>
      </c>
      <c r="F43" s="56" t="s">
        <v>25</v>
      </c>
      <c r="G43" s="57" t="s">
        <v>78</v>
      </c>
      <c r="H43" s="57" t="s">
        <v>74</v>
      </c>
      <c r="I43" s="57">
        <f>'MERCADO TUSD'!$U$40</f>
        <v>0</v>
      </c>
      <c r="J43" s="15"/>
      <c r="L43" s="31"/>
      <c r="M43" s="31"/>
      <c r="N43" s="31"/>
      <c r="O43" s="31"/>
      <c r="P43" s="31"/>
      <c r="Q43" s="31"/>
      <c r="R43" s="31"/>
      <c r="S43" s="31"/>
      <c r="T43" s="31"/>
      <c r="U43" s="31">
        <v>0</v>
      </c>
      <c r="V43" s="31">
        <v>0</v>
      </c>
      <c r="W43" s="31">
        <v>0</v>
      </c>
      <c r="X43" s="31">
        <v>0</v>
      </c>
      <c r="Y43" s="31">
        <f>(1 - CUSTOS!$M$29)*90.0981</f>
        <v>90.098100000000002</v>
      </c>
      <c r="Z43" s="31">
        <v>0</v>
      </c>
      <c r="AA43" s="31">
        <v>0</v>
      </c>
      <c r="AB43" s="31"/>
      <c r="AC43" s="31">
        <f>(1 - CUSTOS!$M$29)*161.3188</f>
        <v>161.31880000000001</v>
      </c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P43" s="31">
        <f>IF((1 - CUSTOS!$M$29)&lt;&gt;0,1/(1 - CUSTOS!$M$29),1)</f>
        <v>1</v>
      </c>
    </row>
    <row r="44" spans="1:42" ht="11.25" customHeight="1" x14ac:dyDescent="0.25">
      <c r="A44" s="149"/>
      <c r="B44" s="149"/>
      <c r="C44" s="149"/>
      <c r="D44" s="56" t="s">
        <v>91</v>
      </c>
      <c r="E44" s="56" t="s">
        <v>25</v>
      </c>
      <c r="F44" s="56" t="s">
        <v>25</v>
      </c>
      <c r="G44" s="57" t="s">
        <v>78</v>
      </c>
      <c r="H44" s="57" t="s">
        <v>74</v>
      </c>
      <c r="I44" s="57">
        <f>'MERCADO TUSD'!$U$41</f>
        <v>0</v>
      </c>
      <c r="J44" s="15"/>
      <c r="L44" s="31"/>
      <c r="M44" s="31"/>
      <c r="N44" s="31"/>
      <c r="O44" s="31"/>
      <c r="P44" s="31"/>
      <c r="Q44" s="31"/>
      <c r="R44" s="31"/>
      <c r="S44" s="31"/>
      <c r="T44" s="31"/>
      <c r="U44" s="31">
        <v>0</v>
      </c>
      <c r="V44" s="31">
        <v>0</v>
      </c>
      <c r="W44" s="31">
        <v>0</v>
      </c>
      <c r="X44" s="31">
        <v>0</v>
      </c>
      <c r="Y44" s="31">
        <f>(1 - CUSTOS!$M$30)*90.0981</f>
        <v>90.098100000000002</v>
      </c>
      <c r="Z44" s="31">
        <v>0</v>
      </c>
      <c r="AA44" s="31">
        <v>0</v>
      </c>
      <c r="AB44" s="31"/>
      <c r="AC44" s="31">
        <f>(1 - CUSTOS!$M$30)*161.3188</f>
        <v>161.31880000000001</v>
      </c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P44" s="31">
        <f>IF((1 - CUSTOS!$M$30)&lt;&gt;0,1/(1 - CUSTOS!$M$30),1)</f>
        <v>1</v>
      </c>
    </row>
    <row r="45" spans="1:42" ht="11.25" customHeight="1" x14ac:dyDescent="0.25">
      <c r="A45" s="149" t="s">
        <v>33</v>
      </c>
      <c r="B45" s="149" t="s">
        <v>50</v>
      </c>
      <c r="C45" s="149" t="s">
        <v>25</v>
      </c>
      <c r="D45" s="149" t="s">
        <v>25</v>
      </c>
      <c r="E45" s="149" t="s">
        <v>25</v>
      </c>
      <c r="F45" s="149" t="s">
        <v>25</v>
      </c>
      <c r="G45" s="57" t="s">
        <v>75</v>
      </c>
      <c r="H45" s="57" t="s">
        <v>74</v>
      </c>
      <c r="I45" s="57">
        <f>'MERCADO TUSD'!$U$42</f>
        <v>1.1399999999999999</v>
      </c>
      <c r="J45" s="15"/>
      <c r="L45" s="31"/>
      <c r="M45" s="31"/>
      <c r="N45" s="31"/>
      <c r="O45" s="31"/>
      <c r="P45" s="31"/>
      <c r="Q45" s="31"/>
      <c r="R45" s="31"/>
      <c r="S45" s="31"/>
      <c r="T45" s="31"/>
      <c r="U45" s="31">
        <v>0</v>
      </c>
      <c r="V45" s="31">
        <v>0</v>
      </c>
      <c r="W45" s="31">
        <v>0</v>
      </c>
      <c r="X45" s="31">
        <v>0</v>
      </c>
      <c r="Y45" s="31">
        <f>(1 - CUSTOS!$M$31)*315.3433</f>
        <v>315.3433</v>
      </c>
      <c r="Z45" s="31">
        <v>0</v>
      </c>
      <c r="AA45" s="31">
        <v>0</v>
      </c>
      <c r="AB45" s="31"/>
      <c r="AC45" s="31">
        <f>(1 - CUSTOS!$M$31)*564.6159</f>
        <v>564.61590000000001</v>
      </c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P45" s="31">
        <f>IF((1 - CUSTOS!$M$31)&lt;&gt;0,1/(1 - CUSTOS!$M$31),1)</f>
        <v>1</v>
      </c>
    </row>
    <row r="46" spans="1:42" ht="11.25" customHeight="1" x14ac:dyDescent="0.25">
      <c r="A46" s="149"/>
      <c r="B46" s="149"/>
      <c r="C46" s="149"/>
      <c r="D46" s="149"/>
      <c r="E46" s="149"/>
      <c r="F46" s="149"/>
      <c r="G46" s="57" t="s">
        <v>87</v>
      </c>
      <c r="H46" s="57" t="s">
        <v>74</v>
      </c>
      <c r="I46" s="57">
        <f>'MERCADO TUSD'!$U$43</f>
        <v>1.5340000000000003</v>
      </c>
      <c r="J46" s="15"/>
      <c r="L46" s="31"/>
      <c r="M46" s="31"/>
      <c r="N46" s="31"/>
      <c r="O46" s="31"/>
      <c r="P46" s="31"/>
      <c r="Q46" s="31"/>
      <c r="R46" s="31"/>
      <c r="S46" s="31"/>
      <c r="T46" s="31"/>
      <c r="U46" s="31">
        <v>0</v>
      </c>
      <c r="V46" s="31">
        <v>0</v>
      </c>
      <c r="W46" s="31">
        <v>0</v>
      </c>
      <c r="X46" s="31">
        <v>0</v>
      </c>
      <c r="Y46" s="31">
        <f>(1 - CUSTOS!$M$31)*189.206</f>
        <v>189.20599999999999</v>
      </c>
      <c r="Z46" s="31">
        <v>0</v>
      </c>
      <c r="AA46" s="31">
        <v>0</v>
      </c>
      <c r="AB46" s="31"/>
      <c r="AC46" s="31">
        <f>(1 - CUSTOS!$M$31)*338.7695</f>
        <v>338.76949999999999</v>
      </c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P46" s="31">
        <f>IF((1 - CUSTOS!$M$31)&lt;&gt;0,1/(1 - CUSTOS!$M$31),1)</f>
        <v>1</v>
      </c>
    </row>
    <row r="47" spans="1:42" ht="11.25" customHeight="1" x14ac:dyDescent="0.25">
      <c r="A47" s="149"/>
      <c r="B47" s="149"/>
      <c r="C47" s="149"/>
      <c r="D47" s="149"/>
      <c r="E47" s="149"/>
      <c r="F47" s="149"/>
      <c r="G47" s="57" t="s">
        <v>76</v>
      </c>
      <c r="H47" s="57" t="s">
        <v>74</v>
      </c>
      <c r="I47" s="57">
        <f>'MERCADO TUSD'!$U$44</f>
        <v>27.193000000000005</v>
      </c>
      <c r="J47" s="15"/>
      <c r="L47" s="31"/>
      <c r="M47" s="31"/>
      <c r="N47" s="31"/>
      <c r="O47" s="31"/>
      <c r="P47" s="31"/>
      <c r="Q47" s="31"/>
      <c r="R47" s="31"/>
      <c r="S47" s="31"/>
      <c r="T47" s="31"/>
      <c r="U47" s="31">
        <v>0</v>
      </c>
      <c r="V47" s="31">
        <v>0</v>
      </c>
      <c r="W47" s="31">
        <v>0</v>
      </c>
      <c r="X47" s="31">
        <v>0</v>
      </c>
      <c r="Y47" s="31">
        <f>(1 - CUSTOS!$M$31)*63.0687</f>
        <v>63.0687</v>
      </c>
      <c r="Z47" s="31">
        <v>0</v>
      </c>
      <c r="AA47" s="31">
        <v>0</v>
      </c>
      <c r="AB47" s="31"/>
      <c r="AC47" s="31">
        <f>(1 - CUSTOS!$M$31)*112.9232</f>
        <v>112.92319999999999</v>
      </c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P47" s="31">
        <f>IF((1 - CUSTOS!$M$31)&lt;&gt;0,1/(1 - CUSTOS!$M$31),1)</f>
        <v>1</v>
      </c>
    </row>
    <row r="48" spans="1:42" ht="11.25" customHeight="1" x14ac:dyDescent="0.25">
      <c r="A48" s="149"/>
      <c r="B48" s="56" t="s">
        <v>23</v>
      </c>
      <c r="C48" s="56" t="s">
        <v>25</v>
      </c>
      <c r="D48" s="56" t="s">
        <v>25</v>
      </c>
      <c r="E48" s="56" t="s">
        <v>25</v>
      </c>
      <c r="F48" s="56" t="s">
        <v>25</v>
      </c>
      <c r="G48" s="57" t="s">
        <v>78</v>
      </c>
      <c r="H48" s="57" t="s">
        <v>74</v>
      </c>
      <c r="I48" s="57">
        <f>'MERCADO TUSD'!$U$45</f>
        <v>29180.755000000001</v>
      </c>
      <c r="J48" s="15"/>
      <c r="L48" s="31"/>
      <c r="M48" s="31"/>
      <c r="N48" s="31"/>
      <c r="O48" s="31"/>
      <c r="P48" s="31"/>
      <c r="Q48" s="31"/>
      <c r="R48" s="31"/>
      <c r="S48" s="31"/>
      <c r="T48" s="31"/>
      <c r="U48" s="31">
        <v>0</v>
      </c>
      <c r="V48" s="31">
        <v>0</v>
      </c>
      <c r="W48" s="31">
        <v>0</v>
      </c>
      <c r="X48" s="31">
        <v>0</v>
      </c>
      <c r="Y48" s="31">
        <f>(1 - CUSTOS!$M$31)*90.0981</f>
        <v>90.098100000000002</v>
      </c>
      <c r="Z48" s="31">
        <v>0</v>
      </c>
      <c r="AA48" s="31">
        <v>0</v>
      </c>
      <c r="AB48" s="31"/>
      <c r="AC48" s="31">
        <f>(1 - CUSTOS!$M$31)*161.3188</f>
        <v>161.31880000000001</v>
      </c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P48" s="31">
        <f>IF((1 - CUSTOS!$M$31)&lt;&gt;0,1/(1 - CUSTOS!$M$31),1)</f>
        <v>1</v>
      </c>
    </row>
    <row r="49" spans="1:42" ht="11.25" customHeight="1" x14ac:dyDescent="0.25">
      <c r="A49" s="149"/>
      <c r="B49" s="56" t="s">
        <v>89</v>
      </c>
      <c r="C49" s="56" t="s">
        <v>25</v>
      </c>
      <c r="D49" s="56" t="s">
        <v>25</v>
      </c>
      <c r="E49" s="56" t="s">
        <v>25</v>
      </c>
      <c r="F49" s="56" t="s">
        <v>25</v>
      </c>
      <c r="G49" s="57" t="s">
        <v>78</v>
      </c>
      <c r="H49" s="57" t="s">
        <v>74</v>
      </c>
      <c r="I49" s="57">
        <f>'MERCADO TUSD'!$U$46</f>
        <v>0</v>
      </c>
      <c r="J49" s="15"/>
      <c r="L49" s="31"/>
      <c r="M49" s="31"/>
      <c r="N49" s="31"/>
      <c r="O49" s="31"/>
      <c r="P49" s="31"/>
      <c r="Q49" s="31"/>
      <c r="R49" s="31"/>
      <c r="S49" s="31"/>
      <c r="T49" s="31"/>
      <c r="U49" s="31">
        <v>0</v>
      </c>
      <c r="V49" s="31">
        <v>0</v>
      </c>
      <c r="W49" s="31">
        <v>0</v>
      </c>
      <c r="X49" s="31">
        <v>0</v>
      </c>
      <c r="Y49" s="31">
        <f>(1 - CUSTOS!$M$31)*90.0981</f>
        <v>90.098100000000002</v>
      </c>
      <c r="Z49" s="31">
        <v>0</v>
      </c>
      <c r="AA49" s="31">
        <v>0</v>
      </c>
      <c r="AB49" s="31"/>
      <c r="AC49" s="31">
        <f>(1 - CUSTOS!$M$31)*161.3188</f>
        <v>161.31880000000001</v>
      </c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P49" s="31">
        <f>IF((1 - CUSTOS!$M$31)&lt;&gt;0,1/(1 - CUSTOS!$M$31),1)</f>
        <v>1</v>
      </c>
    </row>
    <row r="50" spans="1:42" ht="11.25" customHeight="1" x14ac:dyDescent="0.25">
      <c r="A50" s="149" t="s">
        <v>44</v>
      </c>
      <c r="B50" s="149" t="s">
        <v>23</v>
      </c>
      <c r="C50" s="149" t="s">
        <v>45</v>
      </c>
      <c r="D50" s="56" t="s">
        <v>46</v>
      </c>
      <c r="E50" s="56" t="s">
        <v>25</v>
      </c>
      <c r="F50" s="56" t="s">
        <v>25</v>
      </c>
      <c r="G50" s="57" t="s">
        <v>78</v>
      </c>
      <c r="H50" s="57" t="s">
        <v>74</v>
      </c>
      <c r="I50" s="57">
        <f>'MERCADO TUSD'!$U$47</f>
        <v>11805.242</v>
      </c>
      <c r="J50" s="15"/>
      <c r="L50" s="31"/>
      <c r="M50" s="31"/>
      <c r="N50" s="31"/>
      <c r="O50" s="31"/>
      <c r="P50" s="31"/>
      <c r="Q50" s="31"/>
      <c r="R50" s="31"/>
      <c r="S50" s="31"/>
      <c r="T50" s="31"/>
      <c r="U50" s="31">
        <v>0</v>
      </c>
      <c r="V50" s="31">
        <v>0</v>
      </c>
      <c r="W50" s="31">
        <v>0</v>
      </c>
      <c r="X50" s="31">
        <v>0</v>
      </c>
      <c r="Y50" s="31">
        <f>(1 - CUSTOS!$M$32)*90.0981</f>
        <v>49.553955000000002</v>
      </c>
      <c r="Z50" s="31">
        <v>0</v>
      </c>
      <c r="AA50" s="31">
        <v>0</v>
      </c>
      <c r="AB50" s="31"/>
      <c r="AC50" s="31">
        <f>(1 - CUSTOS!$M$32)*161.3188</f>
        <v>88.725340000000017</v>
      </c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P50" s="31">
        <f>IF((1 - CUSTOS!$M$32)&lt;&gt;0,1/(1 - CUSTOS!$M$32),1)</f>
        <v>1.8181818181818181</v>
      </c>
    </row>
    <row r="51" spans="1:42" ht="11.25" customHeight="1" x14ac:dyDescent="0.25">
      <c r="A51" s="149"/>
      <c r="B51" s="149"/>
      <c r="C51" s="149"/>
      <c r="D51" s="57" t="s">
        <v>92</v>
      </c>
      <c r="E51" s="57" t="s">
        <v>25</v>
      </c>
      <c r="F51" s="57" t="s">
        <v>25</v>
      </c>
      <c r="G51" s="57" t="s">
        <v>78</v>
      </c>
      <c r="H51" s="57" t="s">
        <v>74</v>
      </c>
      <c r="I51" s="57">
        <f>'MERCADO TUSD'!$U$48</f>
        <v>0</v>
      </c>
      <c r="J51" s="15"/>
      <c r="L51" s="31"/>
      <c r="M51" s="31"/>
      <c r="N51" s="31"/>
      <c r="O51" s="31"/>
      <c r="P51" s="31"/>
      <c r="Q51" s="31"/>
      <c r="R51" s="31"/>
      <c r="S51" s="31"/>
      <c r="T51" s="31"/>
      <c r="U51" s="31">
        <v>0</v>
      </c>
      <c r="V51" s="31">
        <v>0</v>
      </c>
      <c r="W51" s="31">
        <v>0</v>
      </c>
      <c r="X51" s="31">
        <v>0</v>
      </c>
      <c r="Y51" s="31">
        <f>(1 - CUSTOS!$M$33)*90.0981</f>
        <v>54.058860000000003</v>
      </c>
      <c r="Z51" s="31">
        <v>0</v>
      </c>
      <c r="AA51" s="31">
        <v>0</v>
      </c>
      <c r="AB51" s="31"/>
      <c r="AC51" s="31">
        <f>(1 - CUSTOS!$M$33)*161.3188</f>
        <v>96.79128</v>
      </c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P51" s="31">
        <f>IF((1 - CUSTOS!$M$33)&lt;&gt;0,1/(1 - CUSTOS!$M$33),1)</f>
        <v>1.6666666666666667</v>
      </c>
    </row>
  </sheetData>
  <mergeCells count="73">
    <mergeCell ref="E45:E47"/>
    <mergeCell ref="F45:F47"/>
    <mergeCell ref="A50:A51"/>
    <mergeCell ref="B50:B51"/>
    <mergeCell ref="C50:C51"/>
    <mergeCell ref="D45:D47"/>
    <mergeCell ref="B42:B44"/>
    <mergeCell ref="C42:C44"/>
    <mergeCell ref="A45:A49"/>
    <mergeCell ref="B45:B47"/>
    <mergeCell ref="C45:C47"/>
    <mergeCell ref="A30:A44"/>
    <mergeCell ref="B30:B32"/>
    <mergeCell ref="C30:C32"/>
    <mergeCell ref="B38:B40"/>
    <mergeCell ref="C38:C40"/>
    <mergeCell ref="B34:B36"/>
    <mergeCell ref="C34:C36"/>
    <mergeCell ref="D38:D40"/>
    <mergeCell ref="E38:E40"/>
    <mergeCell ref="F38:F40"/>
    <mergeCell ref="D30:D32"/>
    <mergeCell ref="E30:E32"/>
    <mergeCell ref="F30:F32"/>
    <mergeCell ref="D34:D36"/>
    <mergeCell ref="E34:E36"/>
    <mergeCell ref="F34:F36"/>
    <mergeCell ref="E17:E19"/>
    <mergeCell ref="F17:F19"/>
    <mergeCell ref="B20:B24"/>
    <mergeCell ref="C20:C24"/>
    <mergeCell ref="B25:B29"/>
    <mergeCell ref="C25:C29"/>
    <mergeCell ref="A15:A16"/>
    <mergeCell ref="B15:B16"/>
    <mergeCell ref="C15:C16"/>
    <mergeCell ref="D15:D16"/>
    <mergeCell ref="A17:A29"/>
    <mergeCell ref="B17:B19"/>
    <mergeCell ref="C17:C19"/>
    <mergeCell ref="D17:D19"/>
    <mergeCell ref="A1:A4"/>
    <mergeCell ref="C10:C14"/>
    <mergeCell ref="D10:D14"/>
    <mergeCell ref="E10:E12"/>
    <mergeCell ref="F10:F12"/>
    <mergeCell ref="E13:E14"/>
    <mergeCell ref="F13:F14"/>
    <mergeCell ref="F5:F7"/>
    <mergeCell ref="B10:B14"/>
    <mergeCell ref="A5:A14"/>
    <mergeCell ref="B5:B8"/>
    <mergeCell ref="C5:C8"/>
    <mergeCell ref="D5:D8"/>
    <mergeCell ref="E5:E7"/>
    <mergeCell ref="B1:B4"/>
    <mergeCell ref="C1:C4"/>
    <mergeCell ref="AP1:AP4"/>
    <mergeCell ref="L2:AM2"/>
    <mergeCell ref="L3:T3"/>
    <mergeCell ref="U3:AB3"/>
    <mergeCell ref="AC3:AD3"/>
    <mergeCell ref="AE3:AG3"/>
    <mergeCell ref="AH3:AL3"/>
    <mergeCell ref="AM3:AM4"/>
    <mergeCell ref="D1:D4"/>
    <mergeCell ref="E1:E4"/>
    <mergeCell ref="F1:F4"/>
    <mergeCell ref="J1:J4"/>
    <mergeCell ref="L1:AM1"/>
    <mergeCell ref="G1:G4"/>
    <mergeCell ref="H1:H4"/>
    <mergeCell ref="I1:I4"/>
  </mergeCells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EC431-2BFE-4ED5-BC7E-EB7E45DE27B2}">
  <sheetPr codeName="Planilha10"/>
  <dimension ref="A1:AP70"/>
  <sheetViews>
    <sheetView showGridLines="0" topLeftCell="D35" workbookViewId="0">
      <selection activeCell="K62" sqref="K62:P62"/>
    </sheetView>
  </sheetViews>
  <sheetFormatPr defaultColWidth="9.140625"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10.42578125" style="9" bestFit="1" customWidth="1"/>
    <col min="14" max="14" width="11.7109375" style="9" bestFit="1" customWidth="1"/>
    <col min="15" max="16" width="9" style="9" bestFit="1" customWidth="1"/>
    <col min="17" max="17" width="10.85546875" style="9" bestFit="1" customWidth="1"/>
    <col min="18" max="18" width="10" style="9" bestFit="1" customWidth="1"/>
    <col min="19" max="19" width="8.7109375" style="9" bestFit="1" customWidth="1"/>
    <col min="20" max="20" width="10.85546875" style="9" bestFit="1" customWidth="1"/>
    <col min="21" max="21" width="7.42578125" style="9" bestFit="1" customWidth="1"/>
    <col min="22" max="22" width="7.28515625" style="9" bestFit="1" customWidth="1"/>
    <col min="23" max="24" width="9.85546875" style="9" bestFit="1" customWidth="1"/>
    <col min="25" max="25" width="10.85546875" style="9" bestFit="1" customWidth="1"/>
    <col min="26" max="26" width="7.7109375" style="9" bestFit="1" customWidth="1"/>
    <col min="27" max="27" width="9.85546875" style="9" bestFit="1" customWidth="1"/>
    <col min="28" max="28" width="10.85546875" style="9" bestFit="1" customWidth="1"/>
    <col min="29" max="29" width="11.7109375" style="9" bestFit="1" customWidth="1"/>
    <col min="30" max="30" width="10.85546875" style="9" bestFit="1" customWidth="1"/>
    <col min="31" max="31" width="8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7.85546875" style="9" bestFit="1" customWidth="1"/>
    <col min="38" max="38" width="10" style="9" bestFit="1" customWidth="1"/>
    <col min="39" max="39" width="10.85546875" style="9" bestFit="1" customWidth="1"/>
    <col min="40" max="41" width="9.140625" style="9"/>
    <col min="42" max="42" width="7.85546875" style="9" bestFit="1" customWidth="1"/>
    <col min="43" max="16384" width="9.140625" style="9"/>
  </cols>
  <sheetData>
    <row r="1" spans="1:42" ht="11.25" customHeight="1" x14ac:dyDescent="0.25">
      <c r="A1" s="145" t="s">
        <v>64</v>
      </c>
      <c r="B1" s="145" t="s">
        <v>65</v>
      </c>
      <c r="C1" s="145" t="s">
        <v>66</v>
      </c>
      <c r="D1" s="145" t="s">
        <v>67</v>
      </c>
      <c r="E1" s="145" t="s">
        <v>68</v>
      </c>
      <c r="F1" s="145" t="s">
        <v>15</v>
      </c>
      <c r="G1" s="145" t="s">
        <v>70</v>
      </c>
      <c r="H1" s="145" t="s">
        <v>71</v>
      </c>
      <c r="I1" s="145" t="s">
        <v>561</v>
      </c>
      <c r="J1" s="141"/>
      <c r="L1" s="146" t="s">
        <v>562</v>
      </c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  <c r="AA1" s="146"/>
      <c r="AB1" s="146"/>
      <c r="AC1" s="146"/>
      <c r="AD1" s="146"/>
      <c r="AE1" s="146"/>
      <c r="AF1" s="146"/>
      <c r="AG1" s="146"/>
      <c r="AH1" s="146"/>
      <c r="AI1" s="146"/>
      <c r="AJ1" s="146"/>
      <c r="AK1" s="146"/>
      <c r="AL1" s="146"/>
      <c r="AM1" s="146"/>
      <c r="AP1" s="146" t="s">
        <v>563</v>
      </c>
    </row>
    <row r="2" spans="1:42" ht="11.25" customHeight="1" x14ac:dyDescent="0.25">
      <c r="A2" s="145"/>
      <c r="B2" s="145"/>
      <c r="C2" s="145"/>
      <c r="D2" s="145"/>
      <c r="E2" s="145"/>
      <c r="F2" s="145"/>
      <c r="G2" s="145"/>
      <c r="H2" s="145"/>
      <c r="I2" s="145"/>
      <c r="J2" s="141"/>
      <c r="L2" s="146" t="s">
        <v>460</v>
      </c>
      <c r="M2" s="146"/>
      <c r="N2" s="146"/>
      <c r="O2" s="146"/>
      <c r="P2" s="146"/>
      <c r="Q2" s="146"/>
      <c r="R2" s="146"/>
      <c r="S2" s="146"/>
      <c r="T2" s="146"/>
      <c r="U2" s="146"/>
      <c r="V2" s="146"/>
      <c r="W2" s="146"/>
      <c r="X2" s="146"/>
      <c r="Y2" s="146"/>
      <c r="Z2" s="146"/>
      <c r="AA2" s="146"/>
      <c r="AB2" s="146"/>
      <c r="AC2" s="146"/>
      <c r="AD2" s="146"/>
      <c r="AE2" s="146"/>
      <c r="AF2" s="146"/>
      <c r="AG2" s="146"/>
      <c r="AH2" s="146"/>
      <c r="AI2" s="146"/>
      <c r="AJ2" s="146"/>
      <c r="AK2" s="146"/>
      <c r="AL2" s="146"/>
      <c r="AM2" s="146"/>
      <c r="AP2" s="147"/>
    </row>
    <row r="3" spans="1:42" ht="11.25" customHeight="1" x14ac:dyDescent="0.25">
      <c r="A3" s="145"/>
      <c r="B3" s="145"/>
      <c r="C3" s="145"/>
      <c r="D3" s="145"/>
      <c r="E3" s="145"/>
      <c r="F3" s="145"/>
      <c r="G3" s="145"/>
      <c r="H3" s="145"/>
      <c r="I3" s="145"/>
      <c r="J3" s="141"/>
      <c r="L3" s="146" t="s">
        <v>461</v>
      </c>
      <c r="M3" s="146"/>
      <c r="N3" s="146"/>
      <c r="O3" s="146"/>
      <c r="P3" s="146"/>
      <c r="Q3" s="146"/>
      <c r="R3" s="146"/>
      <c r="S3" s="146"/>
      <c r="T3" s="146"/>
      <c r="U3" s="146" t="s">
        <v>470</v>
      </c>
      <c r="V3" s="146"/>
      <c r="W3" s="146"/>
      <c r="X3" s="146"/>
      <c r="Y3" s="146"/>
      <c r="Z3" s="146"/>
      <c r="AA3" s="146"/>
      <c r="AB3" s="146"/>
      <c r="AC3" s="146" t="s">
        <v>478</v>
      </c>
      <c r="AD3" s="146"/>
      <c r="AE3" s="146" t="s">
        <v>480</v>
      </c>
      <c r="AF3" s="146"/>
      <c r="AG3" s="146"/>
      <c r="AH3" s="146" t="s">
        <v>483</v>
      </c>
      <c r="AI3" s="146"/>
      <c r="AJ3" s="146"/>
      <c r="AK3" s="146"/>
      <c r="AL3" s="146"/>
      <c r="AM3" s="146" t="s">
        <v>469</v>
      </c>
      <c r="AP3" s="147"/>
    </row>
    <row r="4" spans="1:42" ht="11.25" customHeight="1" x14ac:dyDescent="0.25">
      <c r="A4" s="145"/>
      <c r="B4" s="145"/>
      <c r="C4" s="145"/>
      <c r="D4" s="145"/>
      <c r="E4" s="145"/>
      <c r="F4" s="145"/>
      <c r="G4" s="145"/>
      <c r="H4" s="145"/>
      <c r="I4" s="145"/>
      <c r="J4" s="141"/>
      <c r="L4" s="32" t="s">
        <v>546</v>
      </c>
      <c r="M4" s="32" t="s">
        <v>462</v>
      </c>
      <c r="N4" s="32" t="s">
        <v>463</v>
      </c>
      <c r="O4" s="32" t="s">
        <v>464</v>
      </c>
      <c r="P4" s="32" t="s">
        <v>465</v>
      </c>
      <c r="Q4" s="32" t="s">
        <v>466</v>
      </c>
      <c r="R4" s="32" t="s">
        <v>467</v>
      </c>
      <c r="S4" s="32" t="s">
        <v>468</v>
      </c>
      <c r="T4" s="32" t="s">
        <v>469</v>
      </c>
      <c r="U4" s="32" t="s">
        <v>471</v>
      </c>
      <c r="V4" s="32" t="s">
        <v>472</v>
      </c>
      <c r="W4" s="32" t="s">
        <v>473</v>
      </c>
      <c r="X4" s="32" t="s">
        <v>474</v>
      </c>
      <c r="Y4" s="32" t="s">
        <v>475</v>
      </c>
      <c r="Z4" s="32" t="s">
        <v>476</v>
      </c>
      <c r="AA4" s="32" t="s">
        <v>477</v>
      </c>
      <c r="AB4" s="32" t="s">
        <v>469</v>
      </c>
      <c r="AC4" s="32" t="s">
        <v>479</v>
      </c>
      <c r="AD4" s="32" t="s">
        <v>469</v>
      </c>
      <c r="AE4" s="32" t="s">
        <v>481</v>
      </c>
      <c r="AF4" s="32" t="s">
        <v>482</v>
      </c>
      <c r="AG4" s="32" t="s">
        <v>469</v>
      </c>
      <c r="AH4" s="32" t="s">
        <v>484</v>
      </c>
      <c r="AI4" s="32" t="s">
        <v>485</v>
      </c>
      <c r="AJ4" s="32" t="s">
        <v>486</v>
      </c>
      <c r="AK4" s="32" t="s">
        <v>487</v>
      </c>
      <c r="AL4" s="32" t="s">
        <v>469</v>
      </c>
      <c r="AM4" s="148"/>
      <c r="AP4" s="147"/>
    </row>
    <row r="5" spans="1:42" ht="11.25" customHeight="1" x14ac:dyDescent="0.25">
      <c r="A5" s="149" t="s">
        <v>35</v>
      </c>
      <c r="B5" s="149" t="s">
        <v>36</v>
      </c>
      <c r="C5" s="149" t="s">
        <v>25</v>
      </c>
      <c r="D5" s="149" t="s">
        <v>25</v>
      </c>
      <c r="E5" s="149" t="s">
        <v>25</v>
      </c>
      <c r="F5" s="149" t="s">
        <v>25</v>
      </c>
      <c r="G5" s="57" t="s">
        <v>80</v>
      </c>
      <c r="H5" s="57" t="s">
        <v>79</v>
      </c>
      <c r="I5" s="57">
        <f>'MERCADO TUSD'!$U$2</f>
        <v>2966</v>
      </c>
      <c r="J5" s="15"/>
      <c r="L5" s="31">
        <v>0</v>
      </c>
      <c r="M5" s="31">
        <v>0</v>
      </c>
      <c r="N5" s="31">
        <v>0</v>
      </c>
      <c r="O5" s="31">
        <v>0</v>
      </c>
      <c r="P5" s="31">
        <v>0</v>
      </c>
      <c r="Q5" s="31">
        <v>0</v>
      </c>
      <c r="R5" s="31">
        <v>0</v>
      </c>
      <c r="S5" s="31">
        <v>0</v>
      </c>
      <c r="T5" s="31"/>
      <c r="U5" s="31">
        <f>TRANSICAO!$U$5*CUSTOS!$R$3</f>
        <v>0</v>
      </c>
      <c r="V5" s="31">
        <f>TRANSICAO!$V$5*CUSTOS!$R$3</f>
        <v>0</v>
      </c>
      <c r="W5" s="31">
        <f>TRANSICAO!$W$5*CUSTOS!$R$3</f>
        <v>0</v>
      </c>
      <c r="X5" s="31">
        <f>TRANSICAO!$X$5*CUSTOS!$R$3</f>
        <v>0</v>
      </c>
      <c r="Y5" s="31">
        <f>TRANSICAO!$Y$5*CUSTOS!$R$3</f>
        <v>28.648399999999999</v>
      </c>
      <c r="Z5" s="31">
        <f>TRANSICAO!$Z$5*CUSTOS!$R$3</f>
        <v>0</v>
      </c>
      <c r="AA5" s="31">
        <f>TRANSICAO!$AA$5*CUSTOS!$R$3</f>
        <v>0</v>
      </c>
      <c r="AB5" s="31">
        <f>TRANSICAO!$AB$5*CUSTOS!$R$3</f>
        <v>0</v>
      </c>
      <c r="AC5" s="31">
        <f>TRANSICAO!$AC$5*CUSTOS!$R$3</f>
        <v>23.25</v>
      </c>
      <c r="AD5" s="31">
        <f>TRANSICAO!$AD$5*CUSTOS!$R$3</f>
        <v>0</v>
      </c>
      <c r="AE5" s="31">
        <v>0</v>
      </c>
      <c r="AF5" s="31">
        <v>0</v>
      </c>
      <c r="AG5" s="31"/>
      <c r="AH5" s="31">
        <v>0</v>
      </c>
      <c r="AI5" s="31">
        <v>0</v>
      </c>
      <c r="AJ5" s="31">
        <v>0</v>
      </c>
      <c r="AK5" s="31">
        <f t="shared" ref="AK5:AK51" si="0">AJ5</f>
        <v>0</v>
      </c>
      <c r="AL5" s="31"/>
      <c r="AM5" s="31"/>
      <c r="AP5" s="31">
        <v>1</v>
      </c>
    </row>
    <row r="6" spans="1:42" ht="11.25" customHeight="1" x14ac:dyDescent="0.25">
      <c r="A6" s="149"/>
      <c r="B6" s="149"/>
      <c r="C6" s="149"/>
      <c r="D6" s="149"/>
      <c r="E6" s="149"/>
      <c r="F6" s="149"/>
      <c r="G6" s="57" t="s">
        <v>81</v>
      </c>
      <c r="H6" s="57" t="s">
        <v>79</v>
      </c>
      <c r="I6" s="57">
        <f>'MERCADO TUSD'!$U$3</f>
        <v>31888</v>
      </c>
      <c r="J6" s="15"/>
      <c r="L6" s="31">
        <v>0</v>
      </c>
      <c r="M6" s="31">
        <v>0</v>
      </c>
      <c r="N6" s="31">
        <v>0</v>
      </c>
      <c r="O6" s="31">
        <v>0</v>
      </c>
      <c r="P6" s="31">
        <v>0</v>
      </c>
      <c r="Q6" s="31">
        <v>0</v>
      </c>
      <c r="R6" s="31">
        <v>0</v>
      </c>
      <c r="S6" s="31">
        <v>0</v>
      </c>
      <c r="T6" s="31"/>
      <c r="U6" s="31">
        <f>TRANSICAO!$U$6*CUSTOS!$R$3</f>
        <v>0</v>
      </c>
      <c r="V6" s="31">
        <f>TRANSICAO!$V$6*CUSTOS!$R$3</f>
        <v>0</v>
      </c>
      <c r="W6" s="31">
        <f>TRANSICAO!$W$6*CUSTOS!$R$3</f>
        <v>0</v>
      </c>
      <c r="X6" s="31">
        <f>TRANSICAO!$X$6*CUSTOS!$R$3</f>
        <v>0</v>
      </c>
      <c r="Y6" s="31">
        <f>TRANSICAO!$Y$6*CUSTOS!$R$3</f>
        <v>11.0527</v>
      </c>
      <c r="Z6" s="31">
        <f>TRANSICAO!$Z$6*CUSTOS!$R$3</f>
        <v>0</v>
      </c>
      <c r="AA6" s="31">
        <f>TRANSICAO!$AA$6*CUSTOS!$R$3</f>
        <v>0</v>
      </c>
      <c r="AB6" s="31">
        <f>TRANSICAO!$AB$6*CUSTOS!$R$3</f>
        <v>0</v>
      </c>
      <c r="AC6" s="31">
        <f>TRANSICAO!$AC$6*CUSTOS!$R$3</f>
        <v>8.9143000000000008</v>
      </c>
      <c r="AD6" s="31">
        <f>TRANSICAO!$AD$6*CUSTOS!$R$3</f>
        <v>0</v>
      </c>
      <c r="AE6" s="31">
        <v>0</v>
      </c>
      <c r="AF6" s="31">
        <v>0</v>
      </c>
      <c r="AG6" s="31"/>
      <c r="AH6" s="31">
        <v>0</v>
      </c>
      <c r="AI6" s="31">
        <v>0</v>
      </c>
      <c r="AJ6" s="31">
        <v>0</v>
      </c>
      <c r="AK6" s="31">
        <f t="shared" si="0"/>
        <v>0</v>
      </c>
      <c r="AL6" s="31"/>
      <c r="AM6" s="31"/>
      <c r="AP6" s="31">
        <v>1</v>
      </c>
    </row>
    <row r="7" spans="1:42" ht="11.25" customHeight="1" x14ac:dyDescent="0.25">
      <c r="A7" s="149"/>
      <c r="B7" s="149"/>
      <c r="C7" s="149"/>
      <c r="D7" s="149"/>
      <c r="E7" s="149"/>
      <c r="F7" s="149"/>
      <c r="G7" s="57" t="s">
        <v>78</v>
      </c>
      <c r="H7" s="57" t="s">
        <v>74</v>
      </c>
      <c r="I7" s="57">
        <f>'MERCADO TUSD'!$U$4</f>
        <v>12070.286</v>
      </c>
      <c r="J7" s="15"/>
      <c r="L7" s="31">
        <f>0.84</f>
        <v>0.84</v>
      </c>
      <c r="M7" s="31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0.29000449844507226</v>
      </c>
      <c r="N7" s="31">
        <f ca="1">(+M7+O7+R7+U7+V7+W7+X7+Y7+Z7+AA7+AC7+AH7+AI7+AJ7+AK7)*CUSTOS!$M$5</f>
        <v>0.23651944365013586</v>
      </c>
      <c r="O7" s="31">
        <v>1</v>
      </c>
      <c r="P7" s="31">
        <v>1</v>
      </c>
      <c r="Q7" s="31">
        <f>0.84</f>
        <v>0.84</v>
      </c>
      <c r="R7" s="31">
        <v>1</v>
      </c>
      <c r="S7" s="31">
        <v>1</v>
      </c>
      <c r="T7" s="31"/>
      <c r="U7" s="31">
        <f>TRANSICAO!$U$7*CUSTOS!$R$3</f>
        <v>0</v>
      </c>
      <c r="V7" s="31">
        <f>TRANSICAO!$V$7*CUSTOS!$R$3</f>
        <v>0</v>
      </c>
      <c r="W7" s="31">
        <f>TRANSICAO!$W$7*CUSTOS!$R$3</f>
        <v>0</v>
      </c>
      <c r="X7" s="31">
        <f>TRANSICAO!$X$7*CUSTOS!$R$3</f>
        <v>0</v>
      </c>
      <c r="Y7" s="31">
        <f>TRANSICAO!$Y$7*CUSTOS!$R$3</f>
        <v>0</v>
      </c>
      <c r="Z7" s="31">
        <f>TRANSICAO!$Z$7*CUSTOS!$R$3</f>
        <v>0</v>
      </c>
      <c r="AA7" s="31">
        <f>TRANSICAO!$AA$7*CUSTOS!$R$3</f>
        <v>0</v>
      </c>
      <c r="AB7" s="31">
        <f>TRANSICAO!$AB$7*CUSTOS!$R$3</f>
        <v>0</v>
      </c>
      <c r="AC7" s="31">
        <f>TRANSICAO!$AC$7*CUSTOS!$R$3</f>
        <v>0</v>
      </c>
      <c r="AD7" s="31">
        <f>TRANSICAO!$AD$7*CUSTOS!$R$3</f>
        <v>0</v>
      </c>
      <c r="AE7" s="31">
        <v>0</v>
      </c>
      <c r="AF7" s="31">
        <v>0</v>
      </c>
      <c r="AG7" s="31"/>
      <c r="AH7" s="31">
        <v>10.477399999999999</v>
      </c>
      <c r="AI7" s="31">
        <v>10.477399999999999</v>
      </c>
      <c r="AJ7" s="31">
        <f ca="1">$N$63</f>
        <v>0.20356993328425838</v>
      </c>
      <c r="AK7" s="31">
        <f t="shared" ca="1" si="0"/>
        <v>0.20356993328425838</v>
      </c>
      <c r="AL7" s="31"/>
      <c r="AM7" s="31"/>
      <c r="AP7" s="31">
        <v>1</v>
      </c>
    </row>
    <row r="8" spans="1:42" ht="11.25" customHeight="1" x14ac:dyDescent="0.25">
      <c r="A8" s="149"/>
      <c r="B8" s="149"/>
      <c r="C8" s="149"/>
      <c r="D8" s="149"/>
      <c r="E8" s="56" t="s">
        <v>82</v>
      </c>
      <c r="F8" s="56" t="s">
        <v>25</v>
      </c>
      <c r="G8" s="57" t="s">
        <v>78</v>
      </c>
      <c r="H8" s="57" t="s">
        <v>74</v>
      </c>
      <c r="I8" s="57">
        <f>'MERCADO TUSD'!$U$5</f>
        <v>0</v>
      </c>
      <c r="J8" s="15"/>
      <c r="L8" s="31">
        <v>0</v>
      </c>
      <c r="M8" s="31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0.29000449844507226</v>
      </c>
      <c r="N8" s="31">
        <f ca="1">(+M8+O8+R8+U8+V8+W8+X8+Y8+Z8+AA8+AC8+AH8+AI8+AJ8+AK8)*CUSTOS!$M$5</f>
        <v>0.22651944365013585</v>
      </c>
      <c r="O8" s="31">
        <v>1</v>
      </c>
      <c r="P8" s="31">
        <v>0</v>
      </c>
      <c r="Q8" s="31">
        <v>0</v>
      </c>
      <c r="R8" s="31">
        <v>0</v>
      </c>
      <c r="S8" s="31">
        <v>0</v>
      </c>
      <c r="T8" s="31"/>
      <c r="U8" s="31">
        <f>TRANSICAO!$U$8*CUSTOS!$R$3</f>
        <v>0</v>
      </c>
      <c r="V8" s="31">
        <f>TRANSICAO!$V$8*CUSTOS!$R$3</f>
        <v>0</v>
      </c>
      <c r="W8" s="31">
        <f>TRANSICAO!$W$8*CUSTOS!$R$3</f>
        <v>0</v>
      </c>
      <c r="X8" s="31">
        <f>TRANSICAO!$X$8*CUSTOS!$R$3</f>
        <v>0</v>
      </c>
      <c r="Y8" s="31">
        <f>TRANSICAO!$Y$8*CUSTOS!$R$3</f>
        <v>0</v>
      </c>
      <c r="Z8" s="31">
        <f>TRANSICAO!$Z$8*CUSTOS!$R$3</f>
        <v>0</v>
      </c>
      <c r="AA8" s="31">
        <f>TRANSICAO!$AA$8*CUSTOS!$R$3</f>
        <v>0</v>
      </c>
      <c r="AB8" s="31">
        <f>TRANSICAO!$AB$8*CUSTOS!$R$3</f>
        <v>0</v>
      </c>
      <c r="AC8" s="31">
        <f>TRANSICAO!$AC$8*CUSTOS!$R$3</f>
        <v>0</v>
      </c>
      <c r="AD8" s="31">
        <f>TRANSICAO!$AD$8*CUSTOS!$R$3</f>
        <v>0</v>
      </c>
      <c r="AE8" s="31">
        <v>0</v>
      </c>
      <c r="AF8" s="31">
        <v>0</v>
      </c>
      <c r="AG8" s="31"/>
      <c r="AH8" s="31">
        <v>10.477399999999999</v>
      </c>
      <c r="AI8" s="31">
        <v>10.477399999999999</v>
      </c>
      <c r="AJ8" s="31">
        <f ca="1">$N$63</f>
        <v>0.20356993328425838</v>
      </c>
      <c r="AK8" s="31">
        <f t="shared" ca="1" si="0"/>
        <v>0.20356993328425838</v>
      </c>
      <c r="AL8" s="31"/>
      <c r="AM8" s="31"/>
      <c r="AP8" s="31">
        <v>1</v>
      </c>
    </row>
    <row r="9" spans="1:42" ht="11.25" customHeight="1" x14ac:dyDescent="0.25">
      <c r="A9" s="149"/>
      <c r="B9" s="56" t="s">
        <v>83</v>
      </c>
      <c r="C9" s="56" t="s">
        <v>25</v>
      </c>
      <c r="D9" s="56" t="s">
        <v>25</v>
      </c>
      <c r="E9" s="56" t="s">
        <v>25</v>
      </c>
      <c r="F9" s="56" t="s">
        <v>25</v>
      </c>
      <c r="G9" s="57" t="s">
        <v>9</v>
      </c>
      <c r="H9" s="57" t="s">
        <v>79</v>
      </c>
      <c r="I9" s="57">
        <f>'MERCADO TUSD'!$U$6</f>
        <v>0</v>
      </c>
      <c r="J9" s="15"/>
      <c r="L9" s="31">
        <v>0</v>
      </c>
      <c r="M9" s="31">
        <v>3.5000000000000003E-2</v>
      </c>
      <c r="N9" s="31">
        <f>0.0878</f>
        <v>8.7800000000000003E-2</v>
      </c>
      <c r="O9" s="31">
        <v>0</v>
      </c>
      <c r="P9" s="31">
        <v>0</v>
      </c>
      <c r="Q9" s="31">
        <v>0</v>
      </c>
      <c r="R9" s="31">
        <v>0</v>
      </c>
      <c r="S9" s="31">
        <v>0</v>
      </c>
      <c r="T9" s="31"/>
      <c r="U9" s="31">
        <f>TRANSICAO!$U$9*CUSTOS!$R$4</f>
        <v>0</v>
      </c>
      <c r="V9" s="31">
        <f>TRANSICAO!$V$9*CUSTOS!$R$4</f>
        <v>0</v>
      </c>
      <c r="W9" s="31">
        <f>TRANSICAO!$W$9*CUSTOS!$R$4</f>
        <v>0</v>
      </c>
      <c r="X9" s="31">
        <f>TRANSICAO!$X$9*CUSTOS!$R$4</f>
        <v>0</v>
      </c>
      <c r="Y9" s="31">
        <f>TRANSICAO!$Y$9*CUSTOS!$R$4</f>
        <v>0</v>
      </c>
      <c r="Z9" s="31">
        <f>TRANSICAO!$Z$9*CUSTOS!$R$4</f>
        <v>0</v>
      </c>
      <c r="AA9" s="31">
        <f>TRANSICAO!$AA$9*CUSTOS!$R$4</f>
        <v>0</v>
      </c>
      <c r="AB9" s="31">
        <f>TRANSICAO!$AB$9*CUSTOS!$R$4</f>
        <v>0</v>
      </c>
      <c r="AC9" s="31">
        <f>TRANSICAO!$AC$9*CUSTOS!$R$4</f>
        <v>8.7477999999999998</v>
      </c>
      <c r="AD9" s="31">
        <f>TRANSICAO!$AD$9*CUSTOS!$R$4</f>
        <v>0</v>
      </c>
      <c r="AE9" s="31">
        <v>0</v>
      </c>
      <c r="AF9" s="31">
        <v>0</v>
      </c>
      <c r="AG9" s="31"/>
      <c r="AH9" s="31">
        <v>0</v>
      </c>
      <c r="AI9" s="31">
        <v>0</v>
      </c>
      <c r="AJ9" s="31">
        <v>0</v>
      </c>
      <c r="AK9" s="31">
        <f t="shared" si="0"/>
        <v>0</v>
      </c>
      <c r="AL9" s="31"/>
      <c r="AM9" s="31"/>
      <c r="AP9" s="31"/>
    </row>
    <row r="10" spans="1:42" ht="11.25" customHeight="1" x14ac:dyDescent="0.25">
      <c r="A10" s="149"/>
      <c r="B10" s="149" t="s">
        <v>39</v>
      </c>
      <c r="C10" s="149" t="s">
        <v>25</v>
      </c>
      <c r="D10" s="149" t="s">
        <v>25</v>
      </c>
      <c r="E10" s="149" t="s">
        <v>25</v>
      </c>
      <c r="F10" s="149" t="s">
        <v>25</v>
      </c>
      <c r="G10" s="57" t="s">
        <v>9</v>
      </c>
      <c r="H10" s="57" t="s">
        <v>79</v>
      </c>
      <c r="I10" s="57">
        <f>'MERCADO TUSD'!$U$7</f>
        <v>426500</v>
      </c>
      <c r="J10" s="15"/>
      <c r="L10" s="31">
        <v>0</v>
      </c>
      <c r="M10" s="31">
        <v>0</v>
      </c>
      <c r="N10" s="31">
        <v>0</v>
      </c>
      <c r="O10" s="31">
        <v>0</v>
      </c>
      <c r="P10" s="31">
        <v>0</v>
      </c>
      <c r="Q10" s="31">
        <v>0</v>
      </c>
      <c r="R10" s="31">
        <v>0</v>
      </c>
      <c r="S10" s="31">
        <v>0</v>
      </c>
      <c r="T10" s="31"/>
      <c r="U10" s="31">
        <f>TRANSICAO!$U$10*CUSTOS!$R$3</f>
        <v>0</v>
      </c>
      <c r="V10" s="31">
        <f>TRANSICAO!$V$10*CUSTOS!$R$3</f>
        <v>0</v>
      </c>
      <c r="W10" s="31">
        <f>TRANSICAO!$W$10*CUSTOS!$R$3</f>
        <v>0</v>
      </c>
      <c r="X10" s="31">
        <f>TRANSICAO!$X$10*CUSTOS!$R$3</f>
        <v>0</v>
      </c>
      <c r="Y10" s="31">
        <f>TRANSICAO!$Y$10*CUSTOS!$R$3</f>
        <v>11.0527</v>
      </c>
      <c r="Z10" s="31">
        <f>TRANSICAO!$Z$10*CUSTOS!$R$3</f>
        <v>0</v>
      </c>
      <c r="AA10" s="31">
        <f>TRANSICAO!$AA$10*CUSTOS!$R$3</f>
        <v>0</v>
      </c>
      <c r="AB10" s="31">
        <f>TRANSICAO!$AB$10*CUSTOS!$R$3</f>
        <v>0</v>
      </c>
      <c r="AC10" s="31">
        <f>TRANSICAO!$AC$10*CUSTOS!$R$3</f>
        <v>8.9143000000000008</v>
      </c>
      <c r="AD10" s="31">
        <f>TRANSICAO!$AD$10*CUSTOS!$R$3</f>
        <v>0</v>
      </c>
      <c r="AE10" s="31">
        <v>0</v>
      </c>
      <c r="AF10" s="31">
        <v>0</v>
      </c>
      <c r="AG10" s="31"/>
      <c r="AH10" s="31">
        <v>0</v>
      </c>
      <c r="AI10" s="31">
        <v>0</v>
      </c>
      <c r="AJ10" s="31">
        <v>0</v>
      </c>
      <c r="AK10" s="31">
        <f t="shared" si="0"/>
        <v>0</v>
      </c>
      <c r="AL10" s="31"/>
      <c r="AM10" s="31"/>
      <c r="AP10" s="31">
        <v>1</v>
      </c>
    </row>
    <row r="11" spans="1:42" ht="11.25" customHeight="1" x14ac:dyDescent="0.25">
      <c r="A11" s="149"/>
      <c r="B11" s="149"/>
      <c r="C11" s="149"/>
      <c r="D11" s="149"/>
      <c r="E11" s="149"/>
      <c r="F11" s="149"/>
      <c r="G11" s="57" t="s">
        <v>75</v>
      </c>
      <c r="H11" s="57" t="s">
        <v>74</v>
      </c>
      <c r="I11" s="57">
        <f>'MERCADO TUSD'!$U$8</f>
        <v>6338.8209999999999</v>
      </c>
      <c r="J11" s="15"/>
      <c r="L11" s="31">
        <f>0.84</f>
        <v>0.84</v>
      </c>
      <c r="M11" s="31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0.29000449844507226</v>
      </c>
      <c r="N11" s="31">
        <f ca="1">(+M11+O11+R11+U11+V11+W11+X11+Y11+Z11+AA11+AC11+AH11+AI11+AJ11+AK11)*CUSTOS!$M$5</f>
        <v>12.718089443650138</v>
      </c>
      <c r="O11" s="31">
        <v>1</v>
      </c>
      <c r="P11" s="31">
        <v>1</v>
      </c>
      <c r="Q11" s="31">
        <f>0.84</f>
        <v>0.84</v>
      </c>
      <c r="R11" s="31">
        <v>1</v>
      </c>
      <c r="S11" s="31">
        <v>1</v>
      </c>
      <c r="T11" s="31"/>
      <c r="U11" s="31">
        <f>TRANSICAO!$U$11*CUSTOS!$R$3</f>
        <v>0</v>
      </c>
      <c r="V11" s="31">
        <f>TRANSICAO!$V$11*CUSTOS!$R$3</f>
        <v>0</v>
      </c>
      <c r="W11" s="31">
        <f>TRANSICAO!$W$11*CUSTOS!$R$3</f>
        <v>0</v>
      </c>
      <c r="X11" s="31">
        <f>TRANSICAO!$X$11*CUSTOS!$R$3</f>
        <v>0</v>
      </c>
      <c r="Y11" s="31">
        <f>TRANSICAO!$Y$11*CUSTOS!$R$3</f>
        <v>688.99480000000005</v>
      </c>
      <c r="Z11" s="31">
        <f>TRANSICAO!$Z$11*CUSTOS!$R$3</f>
        <v>0</v>
      </c>
      <c r="AA11" s="31">
        <f>TRANSICAO!$AA$11*CUSTOS!$R$3</f>
        <v>0</v>
      </c>
      <c r="AB11" s="31">
        <f>TRANSICAO!$AB$11*CUSTOS!$R$3</f>
        <v>0</v>
      </c>
      <c r="AC11" s="31">
        <f>TRANSICAO!$AC$11*CUSTOS!$R$3</f>
        <v>559.16219999999998</v>
      </c>
      <c r="AD11" s="31">
        <f>TRANSICAO!$AD$11*CUSTOS!$R$3</f>
        <v>0</v>
      </c>
      <c r="AE11" s="31">
        <v>0</v>
      </c>
      <c r="AF11" s="31">
        <v>0</v>
      </c>
      <c r="AG11" s="31"/>
      <c r="AH11" s="31">
        <v>10.477399999999999</v>
      </c>
      <c r="AI11" s="31">
        <v>10.477399999999999</v>
      </c>
      <c r="AJ11" s="31">
        <f ca="1">$N$63</f>
        <v>0.20356993328425838</v>
      </c>
      <c r="AK11" s="31">
        <f t="shared" ca="1" si="0"/>
        <v>0.20356993328425838</v>
      </c>
      <c r="AL11" s="31"/>
      <c r="AM11" s="31"/>
      <c r="AP11" s="31">
        <v>1</v>
      </c>
    </row>
    <row r="12" spans="1:42" ht="11.25" customHeight="1" x14ac:dyDescent="0.25">
      <c r="A12" s="149"/>
      <c r="B12" s="149"/>
      <c r="C12" s="149"/>
      <c r="D12" s="149"/>
      <c r="E12" s="149"/>
      <c r="F12" s="149"/>
      <c r="G12" s="57" t="s">
        <v>76</v>
      </c>
      <c r="H12" s="57" t="s">
        <v>74</v>
      </c>
      <c r="I12" s="57">
        <f>'MERCADO TUSD'!$U$9</f>
        <v>108386.66</v>
      </c>
      <c r="J12" s="15"/>
      <c r="L12" s="31">
        <f>0.84</f>
        <v>0.84</v>
      </c>
      <c r="M12" s="31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0.29000449844507226</v>
      </c>
      <c r="N12" s="31">
        <f ca="1">(+M12+O12+R12+U12+V12+W12+X12+Y12+Z12+AA12+AC12+AH12+AI12+AJ12+AK12)*CUSTOS!$M$5</f>
        <v>0.23651944365013586</v>
      </c>
      <c r="O12" s="31">
        <v>1</v>
      </c>
      <c r="P12" s="31">
        <v>1</v>
      </c>
      <c r="Q12" s="31">
        <f>0.84</f>
        <v>0.84</v>
      </c>
      <c r="R12" s="31">
        <v>1</v>
      </c>
      <c r="S12" s="31">
        <v>1</v>
      </c>
      <c r="T12" s="31"/>
      <c r="U12" s="31">
        <f>TRANSICAO!$U$12*CUSTOS!$R$3</f>
        <v>0</v>
      </c>
      <c r="V12" s="31">
        <f>TRANSICAO!$V$12*CUSTOS!$R$3</f>
        <v>0</v>
      </c>
      <c r="W12" s="31">
        <f>TRANSICAO!$W$12*CUSTOS!$R$3</f>
        <v>0</v>
      </c>
      <c r="X12" s="31">
        <f>TRANSICAO!$X$12*CUSTOS!$R$3</f>
        <v>0</v>
      </c>
      <c r="Y12" s="31">
        <f>TRANSICAO!$Y$12*CUSTOS!$R$3</f>
        <v>0</v>
      </c>
      <c r="Z12" s="31">
        <f>TRANSICAO!$Z$12*CUSTOS!$R$3</f>
        <v>0</v>
      </c>
      <c r="AA12" s="31">
        <f>TRANSICAO!$AA$12*CUSTOS!$R$3</f>
        <v>0</v>
      </c>
      <c r="AB12" s="31">
        <f>TRANSICAO!$AB$12*CUSTOS!$R$3</f>
        <v>0</v>
      </c>
      <c r="AC12" s="31">
        <f>TRANSICAO!$AC$12*CUSTOS!$R$3</f>
        <v>0</v>
      </c>
      <c r="AD12" s="31">
        <f>TRANSICAO!$AD$12*CUSTOS!$R$3</f>
        <v>0</v>
      </c>
      <c r="AE12" s="31">
        <v>0</v>
      </c>
      <c r="AF12" s="31">
        <v>0</v>
      </c>
      <c r="AG12" s="31"/>
      <c r="AH12" s="31">
        <v>10.477399999999999</v>
      </c>
      <c r="AI12" s="31">
        <v>10.477399999999999</v>
      </c>
      <c r="AJ12" s="31">
        <f ca="1">$N$63</f>
        <v>0.20356993328425838</v>
      </c>
      <c r="AK12" s="31">
        <f t="shared" ca="1" si="0"/>
        <v>0.20356993328425838</v>
      </c>
      <c r="AL12" s="31"/>
      <c r="AM12" s="31"/>
      <c r="AP12" s="31">
        <v>1</v>
      </c>
    </row>
    <row r="13" spans="1:42" ht="11.25" customHeight="1" x14ac:dyDescent="0.25">
      <c r="A13" s="149"/>
      <c r="B13" s="149"/>
      <c r="C13" s="149"/>
      <c r="D13" s="149"/>
      <c r="E13" s="149" t="s">
        <v>82</v>
      </c>
      <c r="F13" s="149" t="s">
        <v>25</v>
      </c>
      <c r="G13" s="57" t="s">
        <v>75</v>
      </c>
      <c r="H13" s="57" t="s">
        <v>74</v>
      </c>
      <c r="I13" s="57">
        <f>'MERCADO TUSD'!$U$10</f>
        <v>0</v>
      </c>
      <c r="J13" s="15"/>
      <c r="L13" s="31">
        <v>0</v>
      </c>
      <c r="M13" s="31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0.29000449844507226</v>
      </c>
      <c r="N13" s="31">
        <f ca="1">(+M13+O13+R13+U13+V13+W13+X13+Y13+Z13+AA13+AC13+AH13+AI13+AJ13+AK13)*CUSTOS!$M$5</f>
        <v>12.708089443650138</v>
      </c>
      <c r="O13" s="31">
        <v>1</v>
      </c>
      <c r="P13" s="31">
        <v>0</v>
      </c>
      <c r="Q13" s="31">
        <v>0</v>
      </c>
      <c r="R13" s="31">
        <v>0</v>
      </c>
      <c r="S13" s="31">
        <v>0</v>
      </c>
      <c r="T13" s="31"/>
      <c r="U13" s="31">
        <f>TRANSICAO!$U$13*CUSTOS!$R$3</f>
        <v>0</v>
      </c>
      <c r="V13" s="31">
        <f>TRANSICAO!$V$13*CUSTOS!$R$3</f>
        <v>0</v>
      </c>
      <c r="W13" s="31">
        <f>TRANSICAO!$W$13*CUSTOS!$R$3</f>
        <v>0</v>
      </c>
      <c r="X13" s="31">
        <f>TRANSICAO!$X$13*CUSTOS!$R$3</f>
        <v>0</v>
      </c>
      <c r="Y13" s="31">
        <f>TRANSICAO!$Y$13*CUSTOS!$R$3</f>
        <v>688.99480000000005</v>
      </c>
      <c r="Z13" s="31">
        <f>TRANSICAO!$Z$13*CUSTOS!$R$3</f>
        <v>0</v>
      </c>
      <c r="AA13" s="31">
        <f>TRANSICAO!$AA$13*CUSTOS!$R$3</f>
        <v>0</v>
      </c>
      <c r="AB13" s="31">
        <f>TRANSICAO!$AB$13*CUSTOS!$R$3</f>
        <v>0</v>
      </c>
      <c r="AC13" s="31">
        <f>TRANSICAO!$AC$13*CUSTOS!$R$3</f>
        <v>559.16219999999998</v>
      </c>
      <c r="AD13" s="31">
        <f>TRANSICAO!$AD$13*CUSTOS!$R$3</f>
        <v>0</v>
      </c>
      <c r="AE13" s="31">
        <v>0</v>
      </c>
      <c r="AF13" s="31">
        <v>0</v>
      </c>
      <c r="AG13" s="31"/>
      <c r="AH13" s="31">
        <v>10.477399999999999</v>
      </c>
      <c r="AI13" s="31">
        <v>10.477399999999999</v>
      </c>
      <c r="AJ13" s="31">
        <f ca="1">$N$63</f>
        <v>0.20356993328425838</v>
      </c>
      <c r="AK13" s="31">
        <f t="shared" ca="1" si="0"/>
        <v>0.20356993328425838</v>
      </c>
      <c r="AL13" s="31"/>
      <c r="AM13" s="31"/>
      <c r="AP13" s="31">
        <v>1</v>
      </c>
    </row>
    <row r="14" spans="1:42" ht="11.25" customHeight="1" x14ac:dyDescent="0.25">
      <c r="A14" s="149"/>
      <c r="B14" s="149"/>
      <c r="C14" s="149"/>
      <c r="D14" s="149"/>
      <c r="E14" s="149"/>
      <c r="F14" s="149"/>
      <c r="G14" s="57" t="s">
        <v>76</v>
      </c>
      <c r="H14" s="57" t="s">
        <v>74</v>
      </c>
      <c r="I14" s="57">
        <f>'MERCADO TUSD'!$U$11</f>
        <v>0</v>
      </c>
      <c r="J14" s="15"/>
      <c r="L14" s="31">
        <v>0</v>
      </c>
      <c r="M14" s="31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0.29000449844507226</v>
      </c>
      <c r="N14" s="31">
        <f ca="1">(+M14+O14+R14+U14+V14+W14+X14+Y14+Z14+AA14+AC14+AH14+AI14+AJ14+AK14)*CUSTOS!$M$5</f>
        <v>0.22651944365013585</v>
      </c>
      <c r="O14" s="31">
        <v>1</v>
      </c>
      <c r="P14" s="31">
        <v>0</v>
      </c>
      <c r="Q14" s="31">
        <v>0</v>
      </c>
      <c r="R14" s="31">
        <v>0</v>
      </c>
      <c r="S14" s="31">
        <v>0</v>
      </c>
      <c r="T14" s="31"/>
      <c r="U14" s="31">
        <f>TRANSICAO!$U$14*CUSTOS!$R$3</f>
        <v>0</v>
      </c>
      <c r="V14" s="31">
        <f>TRANSICAO!$V$14*CUSTOS!$R$3</f>
        <v>0</v>
      </c>
      <c r="W14" s="31">
        <f>TRANSICAO!$W$14*CUSTOS!$R$3</f>
        <v>0</v>
      </c>
      <c r="X14" s="31">
        <f>TRANSICAO!$X$14*CUSTOS!$R$3</f>
        <v>0</v>
      </c>
      <c r="Y14" s="31">
        <f>TRANSICAO!$Y$14*CUSTOS!$R$3</f>
        <v>0</v>
      </c>
      <c r="Z14" s="31">
        <f>TRANSICAO!$Z$14*CUSTOS!$R$3</f>
        <v>0</v>
      </c>
      <c r="AA14" s="31">
        <f>TRANSICAO!$AA$14*CUSTOS!$R$3</f>
        <v>0</v>
      </c>
      <c r="AB14" s="31">
        <f>TRANSICAO!$AB$14*CUSTOS!$R$3</f>
        <v>0</v>
      </c>
      <c r="AC14" s="31">
        <f>TRANSICAO!$AC$14*CUSTOS!$R$3</f>
        <v>0</v>
      </c>
      <c r="AD14" s="31">
        <f>TRANSICAO!$AD$14*CUSTOS!$R$3</f>
        <v>0</v>
      </c>
      <c r="AE14" s="31">
        <v>0</v>
      </c>
      <c r="AF14" s="31">
        <v>0</v>
      </c>
      <c r="AG14" s="31"/>
      <c r="AH14" s="31">
        <v>10.477399999999999</v>
      </c>
      <c r="AI14" s="31">
        <v>10.477399999999999</v>
      </c>
      <c r="AJ14" s="31">
        <f ca="1">$N$63</f>
        <v>0.20356993328425838</v>
      </c>
      <c r="AK14" s="31">
        <f t="shared" ca="1" si="0"/>
        <v>0.20356993328425838</v>
      </c>
      <c r="AL14" s="31"/>
      <c r="AM14" s="31"/>
      <c r="AP14" s="31">
        <v>1</v>
      </c>
    </row>
    <row r="15" spans="1:42" ht="11.25" customHeight="1" x14ac:dyDescent="0.25">
      <c r="A15" s="149" t="s">
        <v>84</v>
      </c>
      <c r="B15" s="149" t="s">
        <v>83</v>
      </c>
      <c r="C15" s="149" t="s">
        <v>25</v>
      </c>
      <c r="D15" s="149" t="s">
        <v>25</v>
      </c>
      <c r="E15" s="56" t="s">
        <v>85</v>
      </c>
      <c r="F15" s="56" t="s">
        <v>25</v>
      </c>
      <c r="G15" s="57" t="s">
        <v>9</v>
      </c>
      <c r="H15" s="57" t="s">
        <v>79</v>
      </c>
      <c r="I15" s="57">
        <f>'MERCADO TUSD'!$U$12+0.00000001</f>
        <v>1E-8</v>
      </c>
      <c r="J15" s="15"/>
      <c r="L15" s="31">
        <v>0</v>
      </c>
      <c r="M15" s="31">
        <v>3.5499999999999997E-2</v>
      </c>
      <c r="N15" s="31">
        <f>0.0892</f>
        <v>8.9200000000000002E-2</v>
      </c>
      <c r="O15" s="31">
        <v>0</v>
      </c>
      <c r="P15" s="31">
        <v>0</v>
      </c>
      <c r="Q15" s="31">
        <v>0</v>
      </c>
      <c r="R15" s="31">
        <v>0</v>
      </c>
      <c r="S15" s="31">
        <v>0</v>
      </c>
      <c r="T15" s="31"/>
      <c r="U15" s="31">
        <f>TRANSICAO!$U$15*CUSTOS!$T$4</f>
        <v>0</v>
      </c>
      <c r="V15" s="31">
        <f>TRANSICAO!$V$15*CUSTOS!$T$4</f>
        <v>0</v>
      </c>
      <c r="W15" s="31">
        <f>TRANSICAO!$W$15*CUSTOS!$T$4</f>
        <v>0</v>
      </c>
      <c r="X15" s="31">
        <f>TRANSICAO!$X$15*CUSTOS!$T$4</f>
        <v>0</v>
      </c>
      <c r="Y15" s="31">
        <f>TRANSICAO!$Y$15*CUSTOS!$T$4</f>
        <v>0</v>
      </c>
      <c r="Z15" s="31">
        <f>TRANSICAO!$Z$15*CUSTOS!$T$4</f>
        <v>0</v>
      </c>
      <c r="AA15" s="31">
        <f>TRANSICAO!$AA$15*CUSTOS!$T$4</f>
        <v>0</v>
      </c>
      <c r="AB15" s="31">
        <f>TRANSICAO!$AB$15*CUSTOS!$T$4</f>
        <v>0</v>
      </c>
      <c r="AC15" s="31">
        <f>TRANSICAO!$AC$15*CUSTOS!$T$4</f>
        <v>8.8839000000000006</v>
      </c>
      <c r="AD15" s="31">
        <f>TRANSICAO!$AD$15*CUSTOS!$T$4</f>
        <v>0</v>
      </c>
      <c r="AE15" s="31">
        <v>0</v>
      </c>
      <c r="AF15" s="31">
        <v>0</v>
      </c>
      <c r="AG15" s="31"/>
      <c r="AH15" s="31">
        <v>0</v>
      </c>
      <c r="AI15" s="31">
        <v>0</v>
      </c>
      <c r="AJ15" s="31">
        <v>0</v>
      </c>
      <c r="AK15" s="31">
        <f t="shared" si="0"/>
        <v>0</v>
      </c>
      <c r="AL15" s="31"/>
      <c r="AM15" s="31"/>
      <c r="AP15" s="31"/>
    </row>
    <row r="16" spans="1:42" ht="11.25" customHeight="1" x14ac:dyDescent="0.25">
      <c r="A16" s="149"/>
      <c r="B16" s="149"/>
      <c r="C16" s="149"/>
      <c r="D16" s="149"/>
      <c r="E16" s="56" t="s">
        <v>86</v>
      </c>
      <c r="F16" s="56" t="s">
        <v>25</v>
      </c>
      <c r="G16" s="57" t="s">
        <v>9</v>
      </c>
      <c r="H16" s="57" t="s">
        <v>79</v>
      </c>
      <c r="I16" s="57">
        <f>'MERCADO TUSD'!$U$13+0.00000001</f>
        <v>1E-8</v>
      </c>
      <c r="J16" s="15"/>
      <c r="L16" s="31">
        <v>0</v>
      </c>
      <c r="M16" s="31">
        <v>3.5499999999999997E-2</v>
      </c>
      <c r="N16" s="31">
        <f>0.0892</f>
        <v>8.9200000000000002E-2</v>
      </c>
      <c r="O16" s="31">
        <v>0</v>
      </c>
      <c r="P16" s="31">
        <v>0</v>
      </c>
      <c r="Q16" s="31">
        <v>0</v>
      </c>
      <c r="R16" s="31">
        <v>0</v>
      </c>
      <c r="S16" s="31">
        <v>0</v>
      </c>
      <c r="T16" s="31"/>
      <c r="U16" s="31">
        <f>TRANSICAO!$U$16*CUSTOS!$T$4</f>
        <v>0</v>
      </c>
      <c r="V16" s="31">
        <f>TRANSICAO!$V$16*CUSTOS!$T$4</f>
        <v>0</v>
      </c>
      <c r="W16" s="31">
        <f>TRANSICAO!$W$16*CUSTOS!$T$4</f>
        <v>0</v>
      </c>
      <c r="X16" s="31">
        <f>TRANSICAO!$X$16*CUSTOS!$T$4</f>
        <v>0</v>
      </c>
      <c r="Y16" s="31">
        <f>TRANSICAO!$Y$16*CUSTOS!$T$4</f>
        <v>0</v>
      </c>
      <c r="Z16" s="31">
        <f>TRANSICAO!$Z$16*CUSTOS!$T$4</f>
        <v>0</v>
      </c>
      <c r="AA16" s="31">
        <f>TRANSICAO!$AA$16*CUSTOS!$T$4</f>
        <v>0</v>
      </c>
      <c r="AB16" s="31">
        <f>TRANSICAO!$AB$16*CUSTOS!$T$4</f>
        <v>0</v>
      </c>
      <c r="AC16" s="31">
        <f>TRANSICAO!$AC$16*CUSTOS!$T$4</f>
        <v>14.1538</v>
      </c>
      <c r="AD16" s="31">
        <f>TRANSICAO!$AD$16*CUSTOS!$T$4</f>
        <v>0</v>
      </c>
      <c r="AE16" s="31">
        <v>0</v>
      </c>
      <c r="AF16" s="31">
        <v>0</v>
      </c>
      <c r="AG16" s="31"/>
      <c r="AH16" s="31">
        <v>0</v>
      </c>
      <c r="AI16" s="31">
        <v>0</v>
      </c>
      <c r="AJ16" s="31">
        <v>0</v>
      </c>
      <c r="AK16" s="31">
        <f t="shared" si="0"/>
        <v>0</v>
      </c>
      <c r="AL16" s="31"/>
      <c r="AM16" s="31"/>
      <c r="AP16" s="31"/>
    </row>
    <row r="17" spans="1:42" ht="11.25" customHeight="1" x14ac:dyDescent="0.25">
      <c r="A17" s="149" t="s">
        <v>22</v>
      </c>
      <c r="B17" s="149" t="s">
        <v>50</v>
      </c>
      <c r="C17" s="149" t="s">
        <v>24</v>
      </c>
      <c r="D17" s="149" t="s">
        <v>24</v>
      </c>
      <c r="E17" s="149" t="s">
        <v>25</v>
      </c>
      <c r="F17" s="149" t="s">
        <v>25</v>
      </c>
      <c r="G17" s="57" t="s">
        <v>75</v>
      </c>
      <c r="H17" s="57" t="s">
        <v>74</v>
      </c>
      <c r="I17" s="57">
        <f>'MERCADO TUSD'!$U$14</f>
        <v>0</v>
      </c>
      <c r="J17" s="15"/>
      <c r="L17" s="31">
        <f>1</f>
        <v>1</v>
      </c>
      <c r="M17" s="31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</f>
        <v>0.77039559947633307</v>
      </c>
      <c r="N17" s="31">
        <f ca="1">(+M17+O17+R17+U17+V17+W17+X17+Y17+Z17+AA17+AC17+AH17+AI17+AJ17+AK17)*CUSTOS!$M$5</f>
        <v>7.6465871284912712</v>
      </c>
      <c r="O17" s="31">
        <v>1</v>
      </c>
      <c r="P17" s="31">
        <v>1</v>
      </c>
      <c r="Q17" s="31">
        <f>1</f>
        <v>1</v>
      </c>
      <c r="R17" s="31">
        <v>1</v>
      </c>
      <c r="S17" s="31">
        <v>1</v>
      </c>
      <c r="T17" s="31"/>
      <c r="U17" s="31">
        <f>TRANSICAO!$U$17*CUSTOS!$T$3</f>
        <v>0</v>
      </c>
      <c r="V17" s="31">
        <f>TRANSICAO!$V$17*CUSTOS!$T$3</f>
        <v>0</v>
      </c>
      <c r="W17" s="31">
        <f>TRANSICAO!$W$17*CUSTOS!$T$3</f>
        <v>0</v>
      </c>
      <c r="X17" s="31">
        <f>TRANSICAO!$X$17*CUSTOS!$T$3</f>
        <v>0</v>
      </c>
      <c r="Y17" s="31">
        <f>TRANSICAO!$Y$17*CUSTOS!$T$3</f>
        <v>256.77949999999998</v>
      </c>
      <c r="Z17" s="31">
        <f>TRANSICAO!$Z$17*CUSTOS!$T$3</f>
        <v>0</v>
      </c>
      <c r="AA17" s="31">
        <f>TRANSICAO!$AA$17*CUSTOS!$T$3</f>
        <v>0</v>
      </c>
      <c r="AB17" s="31">
        <f>TRANSICAO!$AB$17*CUSTOS!$T$3</f>
        <v>0</v>
      </c>
      <c r="AC17" s="31">
        <f>TRANSICAO!$AC$17*CUSTOS!$T$3</f>
        <v>459.7586</v>
      </c>
      <c r="AD17" s="31">
        <f>TRANSICAO!$AD$17*CUSTOS!$T$3</f>
        <v>0</v>
      </c>
      <c r="AE17" s="31">
        <v>0</v>
      </c>
      <c r="AF17" s="31">
        <v>0</v>
      </c>
      <c r="AG17" s="31"/>
      <c r="AH17" s="31">
        <v>22.365500000000001</v>
      </c>
      <c r="AI17" s="31">
        <v>22.365500000000001</v>
      </c>
      <c r="AJ17" s="31">
        <f ca="1">$N$64</f>
        <v>0.30960862482533341</v>
      </c>
      <c r="AK17" s="31">
        <f t="shared" ca="1" si="0"/>
        <v>0.30960862482533341</v>
      </c>
      <c r="AL17" s="31"/>
      <c r="AM17" s="31"/>
      <c r="AP17" s="31">
        <v>1</v>
      </c>
    </row>
    <row r="18" spans="1:42" ht="11.25" customHeight="1" x14ac:dyDescent="0.25">
      <c r="A18" s="149"/>
      <c r="B18" s="149"/>
      <c r="C18" s="149"/>
      <c r="D18" s="149"/>
      <c r="E18" s="149"/>
      <c r="F18" s="149"/>
      <c r="G18" s="57" t="s">
        <v>87</v>
      </c>
      <c r="H18" s="57" t="s">
        <v>74</v>
      </c>
      <c r="I18" s="57">
        <f>'MERCADO TUSD'!$U$15</f>
        <v>0</v>
      </c>
      <c r="J18" s="15"/>
      <c r="L18" s="31">
        <f>1</f>
        <v>1</v>
      </c>
      <c r="M18" s="31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</f>
        <v>0.77039559947633307</v>
      </c>
      <c r="N18" s="31">
        <f ca="1">(+M18+O18+R18+U18+V18+W18+X18+Y18+Z18+AA18+AC18+AH18+AI18+AJ18+AK18)*CUSTOS!$M$5</f>
        <v>4.7804351284912698</v>
      </c>
      <c r="O18" s="31">
        <v>1</v>
      </c>
      <c r="P18" s="31">
        <v>1</v>
      </c>
      <c r="Q18" s="31">
        <f>1</f>
        <v>1</v>
      </c>
      <c r="R18" s="31">
        <v>1</v>
      </c>
      <c r="S18" s="31">
        <v>1</v>
      </c>
      <c r="T18" s="31"/>
      <c r="U18" s="31">
        <f>TRANSICAO!$U$18*CUSTOS!$T$3</f>
        <v>0</v>
      </c>
      <c r="V18" s="31">
        <f>TRANSICAO!$V$18*CUSTOS!$T$3</f>
        <v>0</v>
      </c>
      <c r="W18" s="31">
        <f>TRANSICAO!$W$18*CUSTOS!$T$3</f>
        <v>0</v>
      </c>
      <c r="X18" s="31">
        <f>TRANSICAO!$X$18*CUSTOS!$T$3</f>
        <v>0</v>
      </c>
      <c r="Y18" s="31">
        <f>TRANSICAO!$Y$18*CUSTOS!$T$3</f>
        <v>154.0677</v>
      </c>
      <c r="Z18" s="31">
        <f>TRANSICAO!$Z$18*CUSTOS!$T$3</f>
        <v>0</v>
      </c>
      <c r="AA18" s="31">
        <f>TRANSICAO!$AA$18*CUSTOS!$T$3</f>
        <v>0</v>
      </c>
      <c r="AB18" s="31">
        <f>TRANSICAO!$AB$18*CUSTOS!$T$3</f>
        <v>0</v>
      </c>
      <c r="AC18" s="31">
        <f>TRANSICAO!$AC$18*CUSTOS!$T$3</f>
        <v>275.85520000000002</v>
      </c>
      <c r="AD18" s="31">
        <f>TRANSICAO!$AD$18*CUSTOS!$T$3</f>
        <v>0</v>
      </c>
      <c r="AE18" s="31">
        <v>0</v>
      </c>
      <c r="AF18" s="31">
        <v>0</v>
      </c>
      <c r="AG18" s="31"/>
      <c r="AH18" s="31">
        <v>22.365500000000001</v>
      </c>
      <c r="AI18" s="31">
        <v>22.365500000000001</v>
      </c>
      <c r="AJ18" s="31">
        <f ca="1">$N$64</f>
        <v>0.30960862482533341</v>
      </c>
      <c r="AK18" s="31">
        <f t="shared" ca="1" si="0"/>
        <v>0.30960862482533341</v>
      </c>
      <c r="AL18" s="31"/>
      <c r="AM18" s="31"/>
      <c r="AP18" s="31">
        <v>1</v>
      </c>
    </row>
    <row r="19" spans="1:42" ht="11.25" customHeight="1" x14ac:dyDescent="0.25">
      <c r="A19" s="149"/>
      <c r="B19" s="149"/>
      <c r="C19" s="149"/>
      <c r="D19" s="149"/>
      <c r="E19" s="149"/>
      <c r="F19" s="149"/>
      <c r="G19" s="57" t="s">
        <v>76</v>
      </c>
      <c r="H19" s="57" t="s">
        <v>74</v>
      </c>
      <c r="I19" s="57">
        <f>'MERCADO TUSD'!$U$16</f>
        <v>0</v>
      </c>
      <c r="J19" s="15"/>
      <c r="L19" s="31">
        <f>1</f>
        <v>1</v>
      </c>
      <c r="M19" s="31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</f>
        <v>0.77039559947633307</v>
      </c>
      <c r="N19" s="31">
        <f ca="1">(+M19+O19+R19+U19+V19+W19+X19+Y19+Z19+AA19+AC19+AH19+AI19+AJ19+AK19)*CUSTOS!$M$5</f>
        <v>1.9142821284912699</v>
      </c>
      <c r="O19" s="31">
        <v>1</v>
      </c>
      <c r="P19" s="31">
        <v>1</v>
      </c>
      <c r="Q19" s="31">
        <f>1</f>
        <v>1</v>
      </c>
      <c r="R19" s="31">
        <v>1</v>
      </c>
      <c r="S19" s="31">
        <v>1</v>
      </c>
      <c r="T19" s="31"/>
      <c r="U19" s="31">
        <f>TRANSICAO!$U$19*CUSTOS!$T$3</f>
        <v>0</v>
      </c>
      <c r="V19" s="31">
        <f>TRANSICAO!$V$19*CUSTOS!$T$3</f>
        <v>0</v>
      </c>
      <c r="W19" s="31">
        <f>TRANSICAO!$W$19*CUSTOS!$T$3</f>
        <v>0</v>
      </c>
      <c r="X19" s="31">
        <f>TRANSICAO!$X$19*CUSTOS!$T$3</f>
        <v>0</v>
      </c>
      <c r="Y19" s="31">
        <f>TRANSICAO!$Y$19*CUSTOS!$T$3</f>
        <v>51.355899999999998</v>
      </c>
      <c r="Z19" s="31">
        <f>TRANSICAO!$Z$19*CUSTOS!$T$3</f>
        <v>0</v>
      </c>
      <c r="AA19" s="31">
        <f>TRANSICAO!$AA$19*CUSTOS!$T$3</f>
        <v>0</v>
      </c>
      <c r="AB19" s="31">
        <f>TRANSICAO!$AB$19*CUSTOS!$T$3</f>
        <v>0</v>
      </c>
      <c r="AC19" s="31">
        <f>TRANSICAO!$AC$19*CUSTOS!$T$3</f>
        <v>91.951700000000002</v>
      </c>
      <c r="AD19" s="31">
        <f>TRANSICAO!$AD$19*CUSTOS!$T$3</f>
        <v>0</v>
      </c>
      <c r="AE19" s="31">
        <v>0</v>
      </c>
      <c r="AF19" s="31">
        <v>0</v>
      </c>
      <c r="AG19" s="31"/>
      <c r="AH19" s="31">
        <v>22.365500000000001</v>
      </c>
      <c r="AI19" s="31">
        <v>22.365500000000001</v>
      </c>
      <c r="AJ19" s="31">
        <f ca="1">$N$64</f>
        <v>0.30960862482533341</v>
      </c>
      <c r="AK19" s="31">
        <f t="shared" ca="1" si="0"/>
        <v>0.30960862482533341</v>
      </c>
      <c r="AL19" s="31"/>
      <c r="AM19" s="31"/>
      <c r="AP19" s="31">
        <v>1</v>
      </c>
    </row>
    <row r="20" spans="1:42" ht="11.25" customHeight="1" x14ac:dyDescent="0.25">
      <c r="A20" s="149"/>
      <c r="B20" s="149" t="s">
        <v>23</v>
      </c>
      <c r="C20" s="149" t="s">
        <v>24</v>
      </c>
      <c r="D20" s="56" t="s">
        <v>24</v>
      </c>
      <c r="E20" s="56" t="s">
        <v>25</v>
      </c>
      <c r="F20" s="56" t="s">
        <v>25</v>
      </c>
      <c r="G20" s="57" t="s">
        <v>78</v>
      </c>
      <c r="H20" s="57" t="s">
        <v>74</v>
      </c>
      <c r="I20" s="57">
        <f>'MERCADO TUSD'!$U$17</f>
        <v>67923.810000000012</v>
      </c>
      <c r="J20" s="15"/>
      <c r="L20" s="31">
        <f>1</f>
        <v>1</v>
      </c>
      <c r="M20" s="31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</f>
        <v>0.77039559947633307</v>
      </c>
      <c r="N20" s="31">
        <f ca="1">(+M20+O20+R20+U20+V20+W20+X20+Y20+Z20+AA20+AC20+AH20+AI20+AJ20+AK20)*CUSTOS!$M$5</f>
        <v>2.9953751284912697</v>
      </c>
      <c r="O20" s="31">
        <v>1</v>
      </c>
      <c r="P20" s="31">
        <v>1</v>
      </c>
      <c r="Q20" s="31">
        <f>1</f>
        <v>1</v>
      </c>
      <c r="R20" s="31">
        <v>1</v>
      </c>
      <c r="S20" s="31">
        <v>1</v>
      </c>
      <c r="T20" s="31"/>
      <c r="U20" s="31">
        <f>TRANSICAO!$U$20*CUSTOS!$T$3</f>
        <v>0</v>
      </c>
      <c r="V20" s="31">
        <f>TRANSICAO!$V$20*CUSTOS!$T$3</f>
        <v>0</v>
      </c>
      <c r="W20" s="31">
        <f>TRANSICAO!$W$20*CUSTOS!$T$3</f>
        <v>0</v>
      </c>
      <c r="X20" s="31">
        <f>TRANSICAO!$X$20*CUSTOS!$T$3</f>
        <v>0</v>
      </c>
      <c r="Y20" s="31">
        <f>TRANSICAO!$Y$20*CUSTOS!$T$3</f>
        <v>90.098100000000002</v>
      </c>
      <c r="Z20" s="31">
        <f>TRANSICAO!$Z$20*CUSTOS!$T$3</f>
        <v>0</v>
      </c>
      <c r="AA20" s="31">
        <f>TRANSICAO!$AA$20*CUSTOS!$T$3</f>
        <v>0</v>
      </c>
      <c r="AB20" s="31">
        <f>TRANSICAO!$AB$20*CUSTOS!$T$3</f>
        <v>0</v>
      </c>
      <c r="AC20" s="31">
        <f>TRANSICAO!$AC$20*CUSTOS!$T$3</f>
        <v>161.31880000000001</v>
      </c>
      <c r="AD20" s="31">
        <f>TRANSICAO!$AD$20*CUSTOS!$T$3</f>
        <v>0</v>
      </c>
      <c r="AE20" s="31">
        <v>0</v>
      </c>
      <c r="AF20" s="31">
        <v>0</v>
      </c>
      <c r="AG20" s="31"/>
      <c r="AH20" s="31">
        <v>22.365500000000001</v>
      </c>
      <c r="AI20" s="31">
        <v>22.365500000000001</v>
      </c>
      <c r="AJ20" s="31">
        <f ca="1">$N$64</f>
        <v>0.30960862482533341</v>
      </c>
      <c r="AK20" s="31">
        <f t="shared" ca="1" si="0"/>
        <v>0.30960862482533341</v>
      </c>
      <c r="AL20" s="31"/>
      <c r="AM20" s="31"/>
      <c r="AP20" s="31">
        <v>1</v>
      </c>
    </row>
    <row r="21" spans="1:42" ht="11.25" customHeight="1" x14ac:dyDescent="0.25">
      <c r="A21" s="149"/>
      <c r="B21" s="149"/>
      <c r="C21" s="149"/>
      <c r="D21" s="56" t="s">
        <v>29</v>
      </c>
      <c r="E21" s="56" t="s">
        <v>25</v>
      </c>
      <c r="F21" s="56" t="s">
        <v>25</v>
      </c>
      <c r="G21" s="57" t="s">
        <v>78</v>
      </c>
      <c r="H21" s="57" t="s">
        <v>74</v>
      </c>
      <c r="I21" s="57">
        <f>'MERCADO TUSD'!$U$18</f>
        <v>515.52700000000004</v>
      </c>
      <c r="J21" s="15"/>
      <c r="L21" s="31">
        <v>0</v>
      </c>
      <c r="M21" s="31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CUSTOS!$M$24)</f>
        <v>0.77039559947633307</v>
      </c>
      <c r="N21" s="31">
        <f ca="1">(+M21+O21+R21+U21+V21+W21+X21+Y21+Z21+AA21+AC21+AH21+AI21+AJ21+AK21)*CUSTOS!$M$5</f>
        <v>2.98537512849127</v>
      </c>
      <c r="O21" s="31">
        <f>1 - CUSTOS!$M$24</f>
        <v>1</v>
      </c>
      <c r="P21" s="31">
        <v>0</v>
      </c>
      <c r="Q21" s="31">
        <v>0</v>
      </c>
      <c r="R21" s="31">
        <v>0</v>
      </c>
      <c r="S21" s="31">
        <f>1 - CUSTOS!$M$24</f>
        <v>1</v>
      </c>
      <c r="T21" s="31"/>
      <c r="U21" s="31">
        <f>TRANSICAO!$U$21*CUSTOS!$T$3</f>
        <v>0</v>
      </c>
      <c r="V21" s="31">
        <f>TRANSICAO!$V$21*CUSTOS!$T$3</f>
        <v>0</v>
      </c>
      <c r="W21" s="31">
        <f>TRANSICAO!$W$21*CUSTOS!$T$3</f>
        <v>0</v>
      </c>
      <c r="X21" s="31">
        <f>TRANSICAO!$X$21*CUSTOS!$T$3</f>
        <v>0</v>
      </c>
      <c r="Y21" s="31">
        <f>TRANSICAO!$Y$21*CUSTOS!$T$3</f>
        <v>90.098100000000002</v>
      </c>
      <c r="Z21" s="31">
        <f>TRANSICAO!$Z$21*CUSTOS!$T$3</f>
        <v>0</v>
      </c>
      <c r="AA21" s="31">
        <f>TRANSICAO!$AA$21*CUSTOS!$T$3</f>
        <v>0</v>
      </c>
      <c r="AB21" s="31">
        <f>TRANSICAO!$AB$21*CUSTOS!$T$3</f>
        <v>0</v>
      </c>
      <c r="AC21" s="31">
        <f>TRANSICAO!$AC$21*CUSTOS!$T$3</f>
        <v>161.31880000000001</v>
      </c>
      <c r="AD21" s="31">
        <f>TRANSICAO!$AD$21*CUSTOS!$T$3</f>
        <v>0</v>
      </c>
      <c r="AE21" s="31">
        <v>0</v>
      </c>
      <c r="AF21" s="31">
        <v>0</v>
      </c>
      <c r="AG21" s="31"/>
      <c r="AH21" s="31">
        <f>(1 - CUSTOS!$M$24)*22.3655</f>
        <v>22.365500000000001</v>
      </c>
      <c r="AI21" s="31">
        <f>(1 - CUSTOS!$M$24)*22.3655</f>
        <v>22.365500000000001</v>
      </c>
      <c r="AJ21" s="31">
        <f ca="1">$N$64*(1-CUSTOS!$M$24)</f>
        <v>0.30960862482533341</v>
      </c>
      <c r="AK21" s="31">
        <f t="shared" ca="1" si="0"/>
        <v>0.30960862482533341</v>
      </c>
      <c r="AL21" s="31"/>
      <c r="AM21" s="31"/>
      <c r="AP21" s="31">
        <f>IF((1 - CUSTOS!$M$24)&lt;&gt;0,1/(1 - CUSTOS!$M$24),1)</f>
        <v>1</v>
      </c>
    </row>
    <row r="22" spans="1:42" ht="11.25" customHeight="1" x14ac:dyDescent="0.25">
      <c r="A22" s="149"/>
      <c r="B22" s="149"/>
      <c r="C22" s="149"/>
      <c r="D22" s="56" t="s">
        <v>30</v>
      </c>
      <c r="E22" s="56" t="s">
        <v>25</v>
      </c>
      <c r="F22" s="56" t="s">
        <v>25</v>
      </c>
      <c r="G22" s="57" t="s">
        <v>78</v>
      </c>
      <c r="H22" s="57" t="s">
        <v>74</v>
      </c>
      <c r="I22" s="57">
        <f>'MERCADO TUSD'!$U$19</f>
        <v>1078.232</v>
      </c>
      <c r="J22" s="15"/>
      <c r="L22" s="31">
        <v>0</v>
      </c>
      <c r="M22" s="31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CUSTOS!$M$25)</f>
        <v>0.77039559947633307</v>
      </c>
      <c r="N22" s="31">
        <f ca="1">(+M22+O22+R22+U22+V22+W22+X22+Y22+Z22+AA22+AC22+AH22+AI22+AJ22+AK22)*CUSTOS!$M$5</f>
        <v>2.98537512849127</v>
      </c>
      <c r="O22" s="31">
        <f>1 - CUSTOS!$M$25</f>
        <v>1</v>
      </c>
      <c r="P22" s="31">
        <v>0</v>
      </c>
      <c r="Q22" s="31">
        <v>0</v>
      </c>
      <c r="R22" s="31">
        <v>0</v>
      </c>
      <c r="S22" s="31">
        <f>1 - CUSTOS!$M$25</f>
        <v>1</v>
      </c>
      <c r="T22" s="31"/>
      <c r="U22" s="31">
        <f>TRANSICAO!$U$22*CUSTOS!$T$3</f>
        <v>0</v>
      </c>
      <c r="V22" s="31">
        <f>TRANSICAO!$V$22*CUSTOS!$T$3</f>
        <v>0</v>
      </c>
      <c r="W22" s="31">
        <f>TRANSICAO!$W$22*CUSTOS!$T$3</f>
        <v>0</v>
      </c>
      <c r="X22" s="31">
        <f>TRANSICAO!$X$22*CUSTOS!$T$3</f>
        <v>0</v>
      </c>
      <c r="Y22" s="31">
        <f>TRANSICAO!$Y$22*CUSTOS!$T$3</f>
        <v>90.098100000000002</v>
      </c>
      <c r="Z22" s="31">
        <f>TRANSICAO!$Z$22*CUSTOS!$T$3</f>
        <v>0</v>
      </c>
      <c r="AA22" s="31">
        <f>TRANSICAO!$AA$22*CUSTOS!$T$3</f>
        <v>0</v>
      </c>
      <c r="AB22" s="31">
        <f>TRANSICAO!$AB$22*CUSTOS!$T$3</f>
        <v>0</v>
      </c>
      <c r="AC22" s="31">
        <f>TRANSICAO!$AC$22*CUSTOS!$T$3</f>
        <v>161.31880000000001</v>
      </c>
      <c r="AD22" s="31">
        <f>TRANSICAO!$AD$22*CUSTOS!$T$3</f>
        <v>0</v>
      </c>
      <c r="AE22" s="31">
        <v>0</v>
      </c>
      <c r="AF22" s="31">
        <v>0</v>
      </c>
      <c r="AG22" s="31"/>
      <c r="AH22" s="31">
        <f>(1 - CUSTOS!$M$25)*22.3655</f>
        <v>22.365500000000001</v>
      </c>
      <c r="AI22" s="31">
        <f>(1 - CUSTOS!$M$25)*22.3655</f>
        <v>22.365500000000001</v>
      </c>
      <c r="AJ22" s="31">
        <f ca="1">$N$64*(1-CUSTOS!$M$25)</f>
        <v>0.30960862482533341</v>
      </c>
      <c r="AK22" s="31">
        <f t="shared" ca="1" si="0"/>
        <v>0.30960862482533341</v>
      </c>
      <c r="AL22" s="31"/>
      <c r="AM22" s="31"/>
      <c r="AP22" s="31">
        <f>IF((1 - CUSTOS!$M$25)&lt;&gt;0,1/(1 - CUSTOS!$M$25),1)</f>
        <v>1</v>
      </c>
    </row>
    <row r="23" spans="1:42" ht="11.25" customHeight="1" x14ac:dyDescent="0.25">
      <c r="A23" s="149"/>
      <c r="B23" s="149"/>
      <c r="C23" s="149"/>
      <c r="D23" s="56" t="s">
        <v>31</v>
      </c>
      <c r="E23" s="56" t="s">
        <v>25</v>
      </c>
      <c r="F23" s="56" t="s">
        <v>25</v>
      </c>
      <c r="G23" s="57" t="s">
        <v>78</v>
      </c>
      <c r="H23" s="57" t="s">
        <v>74</v>
      </c>
      <c r="I23" s="57">
        <f>'MERCADO TUSD'!$U$20</f>
        <v>1111.8500000000001</v>
      </c>
      <c r="J23" s="15"/>
      <c r="L23" s="31">
        <v>0</v>
      </c>
      <c r="M23" s="31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CUSTOS!$M$26)</f>
        <v>0.77039559947633307</v>
      </c>
      <c r="N23" s="31">
        <f ca="1">(+M23+O23+R23+U23+V23+W23+X23+Y23+Z23+AA23+AC23+AH23+AI23+AJ23+AK23)*CUSTOS!$M$5</f>
        <v>2.98537512849127</v>
      </c>
      <c r="O23" s="31">
        <f>1 - CUSTOS!$M$26</f>
        <v>1</v>
      </c>
      <c r="P23" s="31">
        <v>0</v>
      </c>
      <c r="Q23" s="31">
        <v>0</v>
      </c>
      <c r="R23" s="31">
        <v>0</v>
      </c>
      <c r="S23" s="31">
        <f>1 - CUSTOS!$M$26</f>
        <v>1</v>
      </c>
      <c r="T23" s="31"/>
      <c r="U23" s="31">
        <f>TRANSICAO!$U$23*CUSTOS!$T$3</f>
        <v>0</v>
      </c>
      <c r="V23" s="31">
        <f>TRANSICAO!$V$23*CUSTOS!$T$3</f>
        <v>0</v>
      </c>
      <c r="W23" s="31">
        <f>TRANSICAO!$W$23*CUSTOS!$T$3</f>
        <v>0</v>
      </c>
      <c r="X23" s="31">
        <f>TRANSICAO!$X$23*CUSTOS!$T$3</f>
        <v>0</v>
      </c>
      <c r="Y23" s="31">
        <f>TRANSICAO!$Y$23*CUSTOS!$T$3</f>
        <v>90.098100000000002</v>
      </c>
      <c r="Z23" s="31">
        <f>TRANSICAO!$Z$23*CUSTOS!$T$3</f>
        <v>0</v>
      </c>
      <c r="AA23" s="31">
        <f>TRANSICAO!$AA$23*CUSTOS!$T$3</f>
        <v>0</v>
      </c>
      <c r="AB23" s="31">
        <f>TRANSICAO!$AB$23*CUSTOS!$T$3</f>
        <v>0</v>
      </c>
      <c r="AC23" s="31">
        <f>TRANSICAO!$AC$23*CUSTOS!$T$3</f>
        <v>161.31880000000001</v>
      </c>
      <c r="AD23" s="31">
        <f>TRANSICAO!$AD$23*CUSTOS!$T$3</f>
        <v>0</v>
      </c>
      <c r="AE23" s="31">
        <v>0</v>
      </c>
      <c r="AF23" s="31">
        <v>0</v>
      </c>
      <c r="AG23" s="31"/>
      <c r="AH23" s="31">
        <f>(1 - CUSTOS!$M$26)*22.3655</f>
        <v>22.365500000000001</v>
      </c>
      <c r="AI23" s="31">
        <f>(1 - CUSTOS!$M$26)*22.3655</f>
        <v>22.365500000000001</v>
      </c>
      <c r="AJ23" s="31">
        <f ca="1">$N$64*(1-CUSTOS!$M$26)</f>
        <v>0.30960862482533341</v>
      </c>
      <c r="AK23" s="31">
        <f t="shared" ca="1" si="0"/>
        <v>0.30960862482533341</v>
      </c>
      <c r="AL23" s="31"/>
      <c r="AM23" s="31"/>
      <c r="AP23" s="31">
        <f>IF((1 - CUSTOS!$M$26)&lt;&gt;0,1/(1 - CUSTOS!$M$26),1)</f>
        <v>1</v>
      </c>
    </row>
    <row r="24" spans="1:42" ht="11.25" customHeight="1" x14ac:dyDescent="0.25">
      <c r="A24" s="149"/>
      <c r="B24" s="149"/>
      <c r="C24" s="149"/>
      <c r="D24" s="56" t="s">
        <v>32</v>
      </c>
      <c r="E24" s="56" t="s">
        <v>25</v>
      </c>
      <c r="F24" s="56" t="s">
        <v>25</v>
      </c>
      <c r="G24" s="57" t="s">
        <v>78</v>
      </c>
      <c r="H24" s="57" t="s">
        <v>74</v>
      </c>
      <c r="I24" s="57">
        <f>'MERCADO TUSD'!$U$21</f>
        <v>453.86500000000007</v>
      </c>
      <c r="J24" s="15"/>
      <c r="L24" s="31">
        <v>0</v>
      </c>
      <c r="M24" s="31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CUSTOS!$M$27)</f>
        <v>0.77039559947633307</v>
      </c>
      <c r="N24" s="31">
        <f ca="1">(+M24+O24+R24+U24+V24+W24+X24+Y24+Z24+AA24+AC24+AH24+AI24+AJ24+AK24)*CUSTOS!$M$5</f>
        <v>2.98537512849127</v>
      </c>
      <c r="O24" s="31">
        <f>1 - CUSTOS!$M$27</f>
        <v>1</v>
      </c>
      <c r="P24" s="31">
        <v>0</v>
      </c>
      <c r="Q24" s="31">
        <v>0</v>
      </c>
      <c r="R24" s="31">
        <v>0</v>
      </c>
      <c r="S24" s="31">
        <f>1 - CUSTOS!$M$27</f>
        <v>1</v>
      </c>
      <c r="T24" s="31"/>
      <c r="U24" s="31">
        <f>TRANSICAO!$U$24*CUSTOS!$T$3</f>
        <v>0</v>
      </c>
      <c r="V24" s="31">
        <f>TRANSICAO!$V$24*CUSTOS!$T$3</f>
        <v>0</v>
      </c>
      <c r="W24" s="31">
        <f>TRANSICAO!$W$24*CUSTOS!$T$3</f>
        <v>0</v>
      </c>
      <c r="X24" s="31">
        <f>TRANSICAO!$X$24*CUSTOS!$T$3</f>
        <v>0</v>
      </c>
      <c r="Y24" s="31">
        <f>TRANSICAO!$Y$24*CUSTOS!$T$3</f>
        <v>90.098100000000002</v>
      </c>
      <c r="Z24" s="31">
        <f>TRANSICAO!$Z$24*CUSTOS!$T$3</f>
        <v>0</v>
      </c>
      <c r="AA24" s="31">
        <f>TRANSICAO!$AA$24*CUSTOS!$T$3</f>
        <v>0</v>
      </c>
      <c r="AB24" s="31">
        <f>TRANSICAO!$AB$24*CUSTOS!$T$3</f>
        <v>0</v>
      </c>
      <c r="AC24" s="31">
        <f>TRANSICAO!$AC$24*CUSTOS!$T$3</f>
        <v>161.31880000000001</v>
      </c>
      <c r="AD24" s="31">
        <f>TRANSICAO!$AD$24*CUSTOS!$T$3</f>
        <v>0</v>
      </c>
      <c r="AE24" s="31">
        <v>0</v>
      </c>
      <c r="AF24" s="31">
        <v>0</v>
      </c>
      <c r="AG24" s="31"/>
      <c r="AH24" s="31">
        <f>(1 - CUSTOS!$M$27)*22.3655</f>
        <v>22.365500000000001</v>
      </c>
      <c r="AI24" s="31">
        <f>(1 - CUSTOS!$M$27)*22.3655</f>
        <v>22.365500000000001</v>
      </c>
      <c r="AJ24" s="31">
        <f ca="1">$N$64*(1-CUSTOS!$M$27)</f>
        <v>0.30960862482533341</v>
      </c>
      <c r="AK24" s="31">
        <f t="shared" ca="1" si="0"/>
        <v>0.30960862482533341</v>
      </c>
      <c r="AL24" s="31"/>
      <c r="AM24" s="31"/>
      <c r="AP24" s="31">
        <f>IF((1 - CUSTOS!$M$27)&lt;&gt;0,1/(1 - CUSTOS!$M$27),1)</f>
        <v>1</v>
      </c>
    </row>
    <row r="25" spans="1:42" ht="11.25" customHeight="1" x14ac:dyDescent="0.25">
      <c r="A25" s="149"/>
      <c r="B25" s="149" t="s">
        <v>89</v>
      </c>
      <c r="C25" s="149" t="s">
        <v>24</v>
      </c>
      <c r="D25" s="56" t="s">
        <v>24</v>
      </c>
      <c r="E25" s="56" t="s">
        <v>25</v>
      </c>
      <c r="F25" s="56" t="s">
        <v>25</v>
      </c>
      <c r="G25" s="57" t="s">
        <v>78</v>
      </c>
      <c r="H25" s="57" t="s">
        <v>74</v>
      </c>
      <c r="I25" s="57">
        <f>'MERCADO TUSD'!$U$22</f>
        <v>0</v>
      </c>
      <c r="J25" s="15"/>
      <c r="L25" s="31">
        <f>1</f>
        <v>1</v>
      </c>
      <c r="M25" s="31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</f>
        <v>0.77039559947633307</v>
      </c>
      <c r="N25" s="31">
        <f ca="1">(+M25+O25+R25+U25+V25+W25+X25+Y25+Z25+AA25+AC25+AH25+AI25+AJ25+AK25)*CUSTOS!$M$5</f>
        <v>2.9953751284912697</v>
      </c>
      <c r="O25" s="31">
        <v>1</v>
      </c>
      <c r="P25" s="31">
        <v>1</v>
      </c>
      <c r="Q25" s="31">
        <f>1</f>
        <v>1</v>
      </c>
      <c r="R25" s="31">
        <v>1</v>
      </c>
      <c r="S25" s="31">
        <v>1</v>
      </c>
      <c r="T25" s="31"/>
      <c r="U25" s="31">
        <f>TRANSICAO!$U$25*CUSTOS!$T$3</f>
        <v>0</v>
      </c>
      <c r="V25" s="31">
        <f>TRANSICAO!$V$25*CUSTOS!$T$3</f>
        <v>0</v>
      </c>
      <c r="W25" s="31">
        <f>TRANSICAO!$W$25*CUSTOS!$T$3</f>
        <v>0</v>
      </c>
      <c r="X25" s="31">
        <f>TRANSICAO!$X$25*CUSTOS!$T$3</f>
        <v>0</v>
      </c>
      <c r="Y25" s="31">
        <f>TRANSICAO!$Y$25*CUSTOS!$T$3</f>
        <v>90.098100000000002</v>
      </c>
      <c r="Z25" s="31">
        <f>TRANSICAO!$Z$25*CUSTOS!$T$3</f>
        <v>0</v>
      </c>
      <c r="AA25" s="31">
        <f>TRANSICAO!$AA$25*CUSTOS!$T$3</f>
        <v>0</v>
      </c>
      <c r="AB25" s="31">
        <f>TRANSICAO!$AB$25*CUSTOS!$T$3</f>
        <v>0</v>
      </c>
      <c r="AC25" s="31">
        <f>TRANSICAO!$AC$25*CUSTOS!$T$3</f>
        <v>161.31880000000001</v>
      </c>
      <c r="AD25" s="31">
        <f>TRANSICAO!$AD$25*CUSTOS!$T$3</f>
        <v>0</v>
      </c>
      <c r="AE25" s="31">
        <v>0</v>
      </c>
      <c r="AF25" s="31">
        <v>0</v>
      </c>
      <c r="AG25" s="31"/>
      <c r="AH25" s="31">
        <v>22.365500000000001</v>
      </c>
      <c r="AI25" s="31">
        <v>22.365500000000001</v>
      </c>
      <c r="AJ25" s="31">
        <f ca="1">$N$64</f>
        <v>0.30960862482533341</v>
      </c>
      <c r="AK25" s="31">
        <f t="shared" ca="1" si="0"/>
        <v>0.30960862482533341</v>
      </c>
      <c r="AL25" s="31"/>
      <c r="AM25" s="31"/>
      <c r="AP25" s="31">
        <v>1</v>
      </c>
    </row>
    <row r="26" spans="1:42" ht="11.25" customHeight="1" x14ac:dyDescent="0.25">
      <c r="A26" s="149"/>
      <c r="B26" s="149"/>
      <c r="C26" s="149"/>
      <c r="D26" s="56" t="s">
        <v>29</v>
      </c>
      <c r="E26" s="56" t="s">
        <v>25</v>
      </c>
      <c r="F26" s="56" t="s">
        <v>25</v>
      </c>
      <c r="G26" s="57" t="s">
        <v>78</v>
      </c>
      <c r="H26" s="57" t="s">
        <v>74</v>
      </c>
      <c r="I26" s="57">
        <f>'MERCADO TUSD'!$U$23</f>
        <v>0</v>
      </c>
      <c r="J26" s="15"/>
      <c r="L26" s="31">
        <v>0</v>
      </c>
      <c r="M26" s="31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CUSTOS!$M$24)</f>
        <v>0.77039559947633307</v>
      </c>
      <c r="N26" s="31">
        <f ca="1">(+M26+O26+R26+U26+V26+W26+X26+Y26+Z26+AA26+AC26+AH26+AI26+AJ26+AK26)*CUSTOS!$M$5</f>
        <v>2.98537512849127</v>
      </c>
      <c r="O26" s="31">
        <f>1 - CUSTOS!$M$24</f>
        <v>1</v>
      </c>
      <c r="P26" s="31">
        <v>0</v>
      </c>
      <c r="Q26" s="31">
        <v>0</v>
      </c>
      <c r="R26" s="31">
        <v>0</v>
      </c>
      <c r="S26" s="31">
        <f>1 - CUSTOS!$M$24</f>
        <v>1</v>
      </c>
      <c r="T26" s="31"/>
      <c r="U26" s="31">
        <f>TRANSICAO!$U$26*CUSTOS!$T$3</f>
        <v>0</v>
      </c>
      <c r="V26" s="31">
        <f>TRANSICAO!$V$26*CUSTOS!$T$3</f>
        <v>0</v>
      </c>
      <c r="W26" s="31">
        <f>TRANSICAO!$W$26*CUSTOS!$T$3</f>
        <v>0</v>
      </c>
      <c r="X26" s="31">
        <f>TRANSICAO!$X$26*CUSTOS!$T$3</f>
        <v>0</v>
      </c>
      <c r="Y26" s="31">
        <f>TRANSICAO!$Y$26*CUSTOS!$T$3</f>
        <v>90.098100000000002</v>
      </c>
      <c r="Z26" s="31">
        <f>TRANSICAO!$Z$26*CUSTOS!$T$3</f>
        <v>0</v>
      </c>
      <c r="AA26" s="31">
        <f>TRANSICAO!$AA$26*CUSTOS!$T$3</f>
        <v>0</v>
      </c>
      <c r="AB26" s="31">
        <f>TRANSICAO!$AB$26*CUSTOS!$T$3</f>
        <v>0</v>
      </c>
      <c r="AC26" s="31">
        <f>TRANSICAO!$AC$26*CUSTOS!$T$3</f>
        <v>161.31880000000001</v>
      </c>
      <c r="AD26" s="31">
        <f>TRANSICAO!$AD$26*CUSTOS!$T$3</f>
        <v>0</v>
      </c>
      <c r="AE26" s="31">
        <v>0</v>
      </c>
      <c r="AF26" s="31">
        <v>0</v>
      </c>
      <c r="AG26" s="31"/>
      <c r="AH26" s="31">
        <f>(1 - CUSTOS!$M$24)*22.3655</f>
        <v>22.365500000000001</v>
      </c>
      <c r="AI26" s="31">
        <f>(1 - CUSTOS!$M$24)*22.3655</f>
        <v>22.365500000000001</v>
      </c>
      <c r="AJ26" s="31">
        <f ca="1">$N$64*(1-CUSTOS!$M$24)</f>
        <v>0.30960862482533341</v>
      </c>
      <c r="AK26" s="31">
        <f t="shared" ca="1" si="0"/>
        <v>0.30960862482533341</v>
      </c>
      <c r="AL26" s="31"/>
      <c r="AM26" s="31"/>
      <c r="AP26" s="31">
        <f>IF((1 - CUSTOS!$M$24)&lt;&gt;0,1/(1 - CUSTOS!$M$24),1)</f>
        <v>1</v>
      </c>
    </row>
    <row r="27" spans="1:42" ht="11.25" customHeight="1" x14ac:dyDescent="0.25">
      <c r="A27" s="149"/>
      <c r="B27" s="149"/>
      <c r="C27" s="149"/>
      <c r="D27" s="56" t="s">
        <v>30</v>
      </c>
      <c r="E27" s="56" t="s">
        <v>25</v>
      </c>
      <c r="F27" s="56" t="s">
        <v>25</v>
      </c>
      <c r="G27" s="57" t="s">
        <v>78</v>
      </c>
      <c r="H27" s="57" t="s">
        <v>74</v>
      </c>
      <c r="I27" s="57">
        <f>'MERCADO TUSD'!$U$24</f>
        <v>0</v>
      </c>
      <c r="J27" s="15"/>
      <c r="L27" s="31">
        <v>0</v>
      </c>
      <c r="M27" s="31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CUSTOS!$M$25)</f>
        <v>0.77039559947633307</v>
      </c>
      <c r="N27" s="31">
        <f ca="1">(+M27+O27+R27+U27+V27+W27+X27+Y27+Z27+AA27+AC27+AH27+AI27+AJ27+AK27)*CUSTOS!$M$5</f>
        <v>2.98537512849127</v>
      </c>
      <c r="O27" s="31">
        <f>1 - CUSTOS!$M$25</f>
        <v>1</v>
      </c>
      <c r="P27" s="31">
        <v>0</v>
      </c>
      <c r="Q27" s="31">
        <v>0</v>
      </c>
      <c r="R27" s="31">
        <v>0</v>
      </c>
      <c r="S27" s="31">
        <f>1 - CUSTOS!$M$25</f>
        <v>1</v>
      </c>
      <c r="T27" s="31"/>
      <c r="U27" s="31">
        <f>TRANSICAO!$U$27*CUSTOS!$T$3</f>
        <v>0</v>
      </c>
      <c r="V27" s="31">
        <f>TRANSICAO!$V$27*CUSTOS!$T$3</f>
        <v>0</v>
      </c>
      <c r="W27" s="31">
        <f>TRANSICAO!$W$27*CUSTOS!$T$3</f>
        <v>0</v>
      </c>
      <c r="X27" s="31">
        <f>TRANSICAO!$X$27*CUSTOS!$T$3</f>
        <v>0</v>
      </c>
      <c r="Y27" s="31">
        <f>TRANSICAO!$Y$27*CUSTOS!$T$3</f>
        <v>90.098100000000002</v>
      </c>
      <c r="Z27" s="31">
        <f>TRANSICAO!$Z$27*CUSTOS!$T$3</f>
        <v>0</v>
      </c>
      <c r="AA27" s="31">
        <f>TRANSICAO!$AA$27*CUSTOS!$T$3</f>
        <v>0</v>
      </c>
      <c r="AB27" s="31">
        <f>TRANSICAO!$AB$27*CUSTOS!$T$3</f>
        <v>0</v>
      </c>
      <c r="AC27" s="31">
        <f>TRANSICAO!$AC$27*CUSTOS!$T$3</f>
        <v>161.31880000000001</v>
      </c>
      <c r="AD27" s="31">
        <f>TRANSICAO!$AD$27*CUSTOS!$T$3</f>
        <v>0</v>
      </c>
      <c r="AE27" s="31">
        <v>0</v>
      </c>
      <c r="AF27" s="31">
        <v>0</v>
      </c>
      <c r="AG27" s="31"/>
      <c r="AH27" s="31">
        <f>(1 - CUSTOS!$M$25)*22.3655</f>
        <v>22.365500000000001</v>
      </c>
      <c r="AI27" s="31">
        <f>(1 - CUSTOS!$M$25)*22.3655</f>
        <v>22.365500000000001</v>
      </c>
      <c r="AJ27" s="31">
        <f ca="1">$N$64*(1-CUSTOS!$M$25)</f>
        <v>0.30960862482533341</v>
      </c>
      <c r="AK27" s="31">
        <f t="shared" ca="1" si="0"/>
        <v>0.30960862482533341</v>
      </c>
      <c r="AL27" s="31"/>
      <c r="AM27" s="31"/>
      <c r="AP27" s="31">
        <f>IF((1 - CUSTOS!$M$25)&lt;&gt;0,1/(1 - CUSTOS!$M$25),1)</f>
        <v>1</v>
      </c>
    </row>
    <row r="28" spans="1:42" ht="11.25" customHeight="1" x14ac:dyDescent="0.25">
      <c r="A28" s="149"/>
      <c r="B28" s="149"/>
      <c r="C28" s="149"/>
      <c r="D28" s="56" t="s">
        <v>31</v>
      </c>
      <c r="E28" s="56" t="s">
        <v>25</v>
      </c>
      <c r="F28" s="56" t="s">
        <v>25</v>
      </c>
      <c r="G28" s="57" t="s">
        <v>78</v>
      </c>
      <c r="H28" s="57" t="s">
        <v>74</v>
      </c>
      <c r="I28" s="57">
        <f>'MERCADO TUSD'!$U$25</f>
        <v>0</v>
      </c>
      <c r="J28" s="15"/>
      <c r="L28" s="31">
        <v>0</v>
      </c>
      <c r="M28" s="31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CUSTOS!$M$26)</f>
        <v>0.77039559947633307</v>
      </c>
      <c r="N28" s="31">
        <f ca="1">(+M28+O28+R28+U28+V28+W28+X28+Y28+Z28+AA28+AC28+AH28+AI28+AJ28+AK28)*CUSTOS!$M$5</f>
        <v>2.98537512849127</v>
      </c>
      <c r="O28" s="31">
        <f>1 - CUSTOS!$M$26</f>
        <v>1</v>
      </c>
      <c r="P28" s="31">
        <v>0</v>
      </c>
      <c r="Q28" s="31">
        <v>0</v>
      </c>
      <c r="R28" s="31">
        <v>0</v>
      </c>
      <c r="S28" s="31">
        <f>1 - CUSTOS!$M$26</f>
        <v>1</v>
      </c>
      <c r="T28" s="31"/>
      <c r="U28" s="31">
        <f>TRANSICAO!$U$28*CUSTOS!$T$3</f>
        <v>0</v>
      </c>
      <c r="V28" s="31">
        <f>TRANSICAO!$V$28*CUSTOS!$T$3</f>
        <v>0</v>
      </c>
      <c r="W28" s="31">
        <f>TRANSICAO!$W$28*CUSTOS!$T$3</f>
        <v>0</v>
      </c>
      <c r="X28" s="31">
        <f>TRANSICAO!$X$28*CUSTOS!$T$3</f>
        <v>0</v>
      </c>
      <c r="Y28" s="31">
        <f>TRANSICAO!$Y$28*CUSTOS!$T$3</f>
        <v>90.098100000000002</v>
      </c>
      <c r="Z28" s="31">
        <f>TRANSICAO!$Z$28*CUSTOS!$T$3</f>
        <v>0</v>
      </c>
      <c r="AA28" s="31">
        <f>TRANSICAO!$AA$28*CUSTOS!$T$3</f>
        <v>0</v>
      </c>
      <c r="AB28" s="31">
        <f>TRANSICAO!$AB$28*CUSTOS!$T$3</f>
        <v>0</v>
      </c>
      <c r="AC28" s="31">
        <f>TRANSICAO!$AC$28*CUSTOS!$T$3</f>
        <v>161.31880000000001</v>
      </c>
      <c r="AD28" s="31">
        <f>TRANSICAO!$AD$28*CUSTOS!$T$3</f>
        <v>0</v>
      </c>
      <c r="AE28" s="31">
        <v>0</v>
      </c>
      <c r="AF28" s="31">
        <v>0</v>
      </c>
      <c r="AG28" s="31"/>
      <c r="AH28" s="31">
        <f>(1 - CUSTOS!$M$26)*22.3655</f>
        <v>22.365500000000001</v>
      </c>
      <c r="AI28" s="31">
        <f>(1 - CUSTOS!$M$26)*22.3655</f>
        <v>22.365500000000001</v>
      </c>
      <c r="AJ28" s="31">
        <f ca="1">$N$64*(1-CUSTOS!$M$26)</f>
        <v>0.30960862482533341</v>
      </c>
      <c r="AK28" s="31">
        <f t="shared" ca="1" si="0"/>
        <v>0.30960862482533341</v>
      </c>
      <c r="AL28" s="31"/>
      <c r="AM28" s="31"/>
      <c r="AP28" s="31">
        <f>IF((1 - CUSTOS!$M$26)&lt;&gt;0,1/(1 - CUSTOS!$M$26),1)</f>
        <v>1</v>
      </c>
    </row>
    <row r="29" spans="1:42" ht="11.25" customHeight="1" x14ac:dyDescent="0.25">
      <c r="A29" s="149"/>
      <c r="B29" s="149"/>
      <c r="C29" s="149"/>
      <c r="D29" s="56" t="s">
        <v>32</v>
      </c>
      <c r="E29" s="56" t="s">
        <v>25</v>
      </c>
      <c r="F29" s="56" t="s">
        <v>25</v>
      </c>
      <c r="G29" s="57" t="s">
        <v>78</v>
      </c>
      <c r="H29" s="57" t="s">
        <v>74</v>
      </c>
      <c r="I29" s="57">
        <f>'MERCADO TUSD'!$U$26</f>
        <v>0</v>
      </c>
      <c r="J29" s="15"/>
      <c r="L29" s="31">
        <v>0</v>
      </c>
      <c r="M29" s="31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CUSTOS!$M$27)</f>
        <v>0.77039559947633307</v>
      </c>
      <c r="N29" s="31">
        <f ca="1">(+M29+O29+R29+U29+V29+W29+X29+Y29+Z29+AA29+AC29+AH29+AI29+AJ29+AK29)*CUSTOS!$M$5</f>
        <v>2.98537512849127</v>
      </c>
      <c r="O29" s="31">
        <f>1 - CUSTOS!$M$27</f>
        <v>1</v>
      </c>
      <c r="P29" s="31">
        <v>0</v>
      </c>
      <c r="Q29" s="31">
        <v>0</v>
      </c>
      <c r="R29" s="31">
        <v>0</v>
      </c>
      <c r="S29" s="31">
        <f>1 - CUSTOS!$M$27</f>
        <v>1</v>
      </c>
      <c r="T29" s="31"/>
      <c r="U29" s="31">
        <f>TRANSICAO!$U$29*CUSTOS!$T$3</f>
        <v>0</v>
      </c>
      <c r="V29" s="31">
        <f>TRANSICAO!$V$29*CUSTOS!$T$3</f>
        <v>0</v>
      </c>
      <c r="W29" s="31">
        <f>TRANSICAO!$W$29*CUSTOS!$T$3</f>
        <v>0</v>
      </c>
      <c r="X29" s="31">
        <f>TRANSICAO!$X$29*CUSTOS!$T$3</f>
        <v>0</v>
      </c>
      <c r="Y29" s="31">
        <f>TRANSICAO!$Y$29*CUSTOS!$T$3</f>
        <v>90.098100000000002</v>
      </c>
      <c r="Z29" s="31">
        <f>TRANSICAO!$Z$29*CUSTOS!$T$3</f>
        <v>0</v>
      </c>
      <c r="AA29" s="31">
        <f>TRANSICAO!$AA$29*CUSTOS!$T$3</f>
        <v>0</v>
      </c>
      <c r="AB29" s="31">
        <f>TRANSICAO!$AB$29*CUSTOS!$T$3</f>
        <v>0</v>
      </c>
      <c r="AC29" s="31">
        <f>TRANSICAO!$AC$29*CUSTOS!$T$3</f>
        <v>161.31880000000001</v>
      </c>
      <c r="AD29" s="31">
        <f>TRANSICAO!$AD$29*CUSTOS!$T$3</f>
        <v>0</v>
      </c>
      <c r="AE29" s="31">
        <v>0</v>
      </c>
      <c r="AF29" s="31">
        <v>0</v>
      </c>
      <c r="AG29" s="31"/>
      <c r="AH29" s="31">
        <f>(1 - CUSTOS!$M$27)*22.3655</f>
        <v>22.365500000000001</v>
      </c>
      <c r="AI29" s="31">
        <f>(1 - CUSTOS!$M$27)*22.3655</f>
        <v>22.365500000000001</v>
      </c>
      <c r="AJ29" s="31">
        <f ca="1">$N$64*(1-CUSTOS!$M$27)</f>
        <v>0.30960862482533341</v>
      </c>
      <c r="AK29" s="31">
        <f t="shared" ca="1" si="0"/>
        <v>0.30960862482533341</v>
      </c>
      <c r="AL29" s="31"/>
      <c r="AM29" s="31"/>
      <c r="AP29" s="31">
        <f>IF((1 - CUSTOS!$M$27)&lt;&gt;0,1/(1 - CUSTOS!$M$27),1)</f>
        <v>1</v>
      </c>
    </row>
    <row r="30" spans="1:42" ht="11.25" customHeight="1" x14ac:dyDescent="0.25">
      <c r="A30" s="149" t="s">
        <v>41</v>
      </c>
      <c r="B30" s="149" t="s">
        <v>50</v>
      </c>
      <c r="C30" s="149" t="s">
        <v>42</v>
      </c>
      <c r="D30" s="149" t="s">
        <v>25</v>
      </c>
      <c r="E30" s="149" t="s">
        <v>25</v>
      </c>
      <c r="F30" s="149" t="s">
        <v>25</v>
      </c>
      <c r="G30" s="57" t="s">
        <v>75</v>
      </c>
      <c r="H30" s="57" t="s">
        <v>74</v>
      </c>
      <c r="I30" s="57">
        <f>'MERCADO TUSD'!$U$27</f>
        <v>0</v>
      </c>
      <c r="J30" s="15"/>
      <c r="L30" s="31">
        <f>1*(1 - CUSTOS!$M$28)</f>
        <v>1</v>
      </c>
      <c r="M30" s="31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CUSTOS!$M$28)</f>
        <v>0.77039559947633307</v>
      </c>
      <c r="N30" s="31">
        <f ca="1">(+M30+O30+R30+U30+V30+W30+X30+Y30+Z30+AA30+AC30+AH30+AI30+AJ30+AK30)*CUSTOS!$M$5</f>
        <v>8.2751291284912707</v>
      </c>
      <c r="O30" s="31">
        <f>1 - CUSTOS!$M$28</f>
        <v>1</v>
      </c>
      <c r="P30" s="31">
        <f>1 - CUSTOS!$M$28</f>
        <v>1</v>
      </c>
      <c r="Q30" s="31">
        <f>1*(1 - CUSTOS!$M$28)</f>
        <v>1</v>
      </c>
      <c r="R30" s="31">
        <f>1 - CUSTOS!$M$28</f>
        <v>1</v>
      </c>
      <c r="S30" s="31">
        <f>1 - CUSTOS!$M$28</f>
        <v>1</v>
      </c>
      <c r="T30" s="31"/>
      <c r="U30" s="31">
        <f>TRANSICAO!$U$30*CUSTOS!$T$3</f>
        <v>0</v>
      </c>
      <c r="V30" s="31">
        <f>TRANSICAO!$V$30*CUSTOS!$T$3</f>
        <v>0</v>
      </c>
      <c r="W30" s="31">
        <f>TRANSICAO!$W$30*CUSTOS!$T$3</f>
        <v>0</v>
      </c>
      <c r="X30" s="31">
        <f>TRANSICAO!$X$30*CUSTOS!$T$3</f>
        <v>0</v>
      </c>
      <c r="Y30" s="31">
        <f>TRANSICAO!$Y$30*CUSTOS!$T$3</f>
        <v>279.30399999999997</v>
      </c>
      <c r="Z30" s="31">
        <f>TRANSICAO!$Z$30*CUSTOS!$T$3</f>
        <v>0</v>
      </c>
      <c r="AA30" s="31">
        <f>TRANSICAO!$AA$30*CUSTOS!$T$3</f>
        <v>0</v>
      </c>
      <c r="AB30" s="31">
        <f>TRANSICAO!$AB$30*CUSTOS!$T$3</f>
        <v>0</v>
      </c>
      <c r="AC30" s="31">
        <f>TRANSICAO!$AC$30*CUSTOS!$T$3</f>
        <v>500.0883</v>
      </c>
      <c r="AD30" s="31">
        <f>TRANSICAO!$AD$30*CUSTOS!$T$3</f>
        <v>0</v>
      </c>
      <c r="AE30" s="31">
        <v>0</v>
      </c>
      <c r="AF30" s="31">
        <v>0</v>
      </c>
      <c r="AG30" s="31"/>
      <c r="AH30" s="31">
        <f>(1 - CUSTOS!$M$28)*22.3655</f>
        <v>22.365500000000001</v>
      </c>
      <c r="AI30" s="31">
        <f>(1 - CUSTOS!$M$28)*22.3655</f>
        <v>22.365500000000001</v>
      </c>
      <c r="AJ30" s="31">
        <f ca="1">$N$64*(1-CUSTOS!$M$28)</f>
        <v>0.30960862482533341</v>
      </c>
      <c r="AK30" s="31">
        <f t="shared" ca="1" si="0"/>
        <v>0.30960862482533341</v>
      </c>
      <c r="AL30" s="31"/>
      <c r="AM30" s="31"/>
      <c r="AP30" s="31">
        <f>IF((1 - CUSTOS!$M$28)&lt;&gt;0,1/(1 - CUSTOS!$M$28),1)</f>
        <v>1</v>
      </c>
    </row>
    <row r="31" spans="1:42" ht="11.25" customHeight="1" x14ac:dyDescent="0.25">
      <c r="A31" s="149"/>
      <c r="B31" s="149"/>
      <c r="C31" s="149"/>
      <c r="D31" s="149"/>
      <c r="E31" s="149"/>
      <c r="F31" s="149"/>
      <c r="G31" s="57" t="s">
        <v>87</v>
      </c>
      <c r="H31" s="57" t="s">
        <v>74</v>
      </c>
      <c r="I31" s="57">
        <f>'MERCADO TUSD'!$U$28</f>
        <v>0</v>
      </c>
      <c r="J31" s="15"/>
      <c r="L31" s="31">
        <f>1*(1 - CUSTOS!$M$28)</f>
        <v>1</v>
      </c>
      <c r="M31" s="31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CUSTOS!$M$28)</f>
        <v>0.77039559947633307</v>
      </c>
      <c r="N31" s="31">
        <f ca="1">(+M31+O31+R31+U31+V31+W31+X31+Y31+Z31+AA31+AC31+AH31+AI31+AJ31+AK31)*CUSTOS!$M$5</f>
        <v>5.157560128491272</v>
      </c>
      <c r="O31" s="31">
        <f>1 - CUSTOS!$M$28</f>
        <v>1</v>
      </c>
      <c r="P31" s="31">
        <f>1 - CUSTOS!$M$28</f>
        <v>1</v>
      </c>
      <c r="Q31" s="31">
        <f>1*(1 - CUSTOS!$M$28)</f>
        <v>1</v>
      </c>
      <c r="R31" s="31">
        <f>1 - CUSTOS!$M$28</f>
        <v>1</v>
      </c>
      <c r="S31" s="31">
        <f>1 - CUSTOS!$M$28</f>
        <v>1</v>
      </c>
      <c r="T31" s="31"/>
      <c r="U31" s="31">
        <f>TRANSICAO!$U$31*CUSTOS!$T$3</f>
        <v>0</v>
      </c>
      <c r="V31" s="31">
        <f>TRANSICAO!$V$31*CUSTOS!$T$3</f>
        <v>0</v>
      </c>
      <c r="W31" s="31">
        <f>TRANSICAO!$W$31*CUSTOS!$T$3</f>
        <v>0</v>
      </c>
      <c r="X31" s="31">
        <f>TRANSICAO!$X$31*CUSTOS!$T$3</f>
        <v>0</v>
      </c>
      <c r="Y31" s="31">
        <f>TRANSICAO!$Y$31*CUSTOS!$T$3</f>
        <v>167.58240000000001</v>
      </c>
      <c r="Z31" s="31">
        <f>TRANSICAO!$Z$31*CUSTOS!$T$3</f>
        <v>0</v>
      </c>
      <c r="AA31" s="31">
        <f>TRANSICAO!$AA$31*CUSTOS!$T$3</f>
        <v>0</v>
      </c>
      <c r="AB31" s="31">
        <f>TRANSICAO!$AB$31*CUSTOS!$T$3</f>
        <v>0</v>
      </c>
      <c r="AC31" s="31">
        <f>TRANSICAO!$AC$31*CUSTOS!$T$3</f>
        <v>300.053</v>
      </c>
      <c r="AD31" s="31">
        <f>TRANSICAO!$AD$31*CUSTOS!$T$3</f>
        <v>0</v>
      </c>
      <c r="AE31" s="31">
        <v>0</v>
      </c>
      <c r="AF31" s="31">
        <v>0</v>
      </c>
      <c r="AG31" s="31"/>
      <c r="AH31" s="31">
        <f>(1 - CUSTOS!$M$28)*22.3655</f>
        <v>22.365500000000001</v>
      </c>
      <c r="AI31" s="31">
        <f>(1 - CUSTOS!$M$28)*22.3655</f>
        <v>22.365500000000001</v>
      </c>
      <c r="AJ31" s="31">
        <f ca="1">$N$64*(1-CUSTOS!$M$28)</f>
        <v>0.30960862482533341</v>
      </c>
      <c r="AK31" s="31">
        <f t="shared" ca="1" si="0"/>
        <v>0.30960862482533341</v>
      </c>
      <c r="AL31" s="31"/>
      <c r="AM31" s="31"/>
      <c r="AP31" s="31">
        <f>IF((1 - CUSTOS!$M$28)&lt;&gt;0,1/(1 - CUSTOS!$M$28),1)</f>
        <v>1</v>
      </c>
    </row>
    <row r="32" spans="1:42" ht="11.25" customHeight="1" x14ac:dyDescent="0.25">
      <c r="A32" s="149"/>
      <c r="B32" s="149"/>
      <c r="C32" s="149"/>
      <c r="D32" s="149"/>
      <c r="E32" s="149"/>
      <c r="F32" s="149"/>
      <c r="G32" s="57" t="s">
        <v>76</v>
      </c>
      <c r="H32" s="57" t="s">
        <v>74</v>
      </c>
      <c r="I32" s="57">
        <f>'MERCADO TUSD'!$U$29</f>
        <v>0</v>
      </c>
      <c r="J32" s="15"/>
      <c r="L32" s="31">
        <f>1*(1 - CUSTOS!$M$28)</f>
        <v>1</v>
      </c>
      <c r="M32" s="31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CUSTOS!$M$28)</f>
        <v>0.77039559947633307</v>
      </c>
      <c r="N32" s="31">
        <f ca="1">(+M32+O32+R32+U32+V32+W32+X32+Y32+Z32+AA32+AC32+AH32+AI32+AJ32+AK32)*CUSTOS!$M$5</f>
        <v>2.0399911284912697</v>
      </c>
      <c r="O32" s="31">
        <f>1 - CUSTOS!$M$28</f>
        <v>1</v>
      </c>
      <c r="P32" s="31">
        <f>1 - CUSTOS!$M$28</f>
        <v>1</v>
      </c>
      <c r="Q32" s="31">
        <f>1*(1 - CUSTOS!$M$28)</f>
        <v>1</v>
      </c>
      <c r="R32" s="31">
        <f>1 - CUSTOS!$M$28</f>
        <v>1</v>
      </c>
      <c r="S32" s="31">
        <f>1 - CUSTOS!$M$28</f>
        <v>1</v>
      </c>
      <c r="T32" s="31"/>
      <c r="U32" s="31">
        <f>TRANSICAO!$U$32*CUSTOS!$T$3</f>
        <v>0</v>
      </c>
      <c r="V32" s="31">
        <f>TRANSICAO!$V$32*CUSTOS!$T$3</f>
        <v>0</v>
      </c>
      <c r="W32" s="31">
        <f>TRANSICAO!$W$32*CUSTOS!$T$3</f>
        <v>0</v>
      </c>
      <c r="X32" s="31">
        <f>TRANSICAO!$X$32*CUSTOS!$T$3</f>
        <v>0</v>
      </c>
      <c r="Y32" s="31">
        <f>TRANSICAO!$Y$32*CUSTOS!$T$3</f>
        <v>55.860799999999998</v>
      </c>
      <c r="Z32" s="31">
        <f>TRANSICAO!$Z$32*CUSTOS!$T$3</f>
        <v>0</v>
      </c>
      <c r="AA32" s="31">
        <f>TRANSICAO!$AA$32*CUSTOS!$T$3</f>
        <v>0</v>
      </c>
      <c r="AB32" s="31">
        <f>TRANSICAO!$AB$32*CUSTOS!$T$3</f>
        <v>0</v>
      </c>
      <c r="AC32" s="31">
        <f>TRANSICAO!$AC$32*CUSTOS!$T$3</f>
        <v>100.0177</v>
      </c>
      <c r="AD32" s="31">
        <f>TRANSICAO!$AD$32*CUSTOS!$T$3</f>
        <v>0</v>
      </c>
      <c r="AE32" s="31">
        <v>0</v>
      </c>
      <c r="AF32" s="31">
        <v>0</v>
      </c>
      <c r="AG32" s="31"/>
      <c r="AH32" s="31">
        <f>(1 - CUSTOS!$M$28)*22.3655</f>
        <v>22.365500000000001</v>
      </c>
      <c r="AI32" s="31">
        <f>(1 - CUSTOS!$M$28)*22.3655</f>
        <v>22.365500000000001</v>
      </c>
      <c r="AJ32" s="31">
        <f ca="1">$N$64*(1-CUSTOS!$M$28)</f>
        <v>0.30960862482533341</v>
      </c>
      <c r="AK32" s="31">
        <f t="shared" ca="1" si="0"/>
        <v>0.30960862482533341</v>
      </c>
      <c r="AL32" s="31"/>
      <c r="AM32" s="31"/>
      <c r="AP32" s="31">
        <f>IF((1 - CUSTOS!$M$28)&lt;&gt;0,1/(1 - CUSTOS!$M$28),1)</f>
        <v>1</v>
      </c>
    </row>
    <row r="33" spans="1:42" ht="11.25" customHeight="1" x14ac:dyDescent="0.25">
      <c r="A33" s="149"/>
      <c r="B33" s="56" t="s">
        <v>23</v>
      </c>
      <c r="C33" s="56" t="s">
        <v>42</v>
      </c>
      <c r="D33" s="56" t="s">
        <v>25</v>
      </c>
      <c r="E33" s="56" t="s">
        <v>25</v>
      </c>
      <c r="F33" s="56" t="s">
        <v>25</v>
      </c>
      <c r="G33" s="57" t="s">
        <v>78</v>
      </c>
      <c r="H33" s="57" t="s">
        <v>74</v>
      </c>
      <c r="I33" s="57">
        <f>'MERCADO TUSD'!$U$30</f>
        <v>11721.666999999998</v>
      </c>
      <c r="J33" s="15"/>
      <c r="L33" s="31">
        <f>1*(1 - CUSTOS!$M$28)</f>
        <v>1</v>
      </c>
      <c r="M33" s="31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CUSTOS!$M$28)</f>
        <v>0.77039559947633307</v>
      </c>
      <c r="N33" s="31">
        <f ca="1">(+M33+O33+R33+U33+V33+W33+X33+Y33+Z33+AA33+AC33+AH33+AI33+AJ33+AK33)*CUSTOS!$M$5</f>
        <v>2.9953751284912697</v>
      </c>
      <c r="O33" s="31">
        <f>1 - CUSTOS!$M$28</f>
        <v>1</v>
      </c>
      <c r="P33" s="31">
        <f>1 - CUSTOS!$M$28</f>
        <v>1</v>
      </c>
      <c r="Q33" s="31">
        <f>1*(1 - CUSTOS!$M$28)</f>
        <v>1</v>
      </c>
      <c r="R33" s="31">
        <f>1 - CUSTOS!$M$28</f>
        <v>1</v>
      </c>
      <c r="S33" s="31">
        <f>1 - CUSTOS!$M$28</f>
        <v>1</v>
      </c>
      <c r="T33" s="31"/>
      <c r="U33" s="31">
        <f>TRANSICAO!$U$33*CUSTOS!$T$3</f>
        <v>0</v>
      </c>
      <c r="V33" s="31">
        <f>TRANSICAO!$V$33*CUSTOS!$T$3</f>
        <v>0</v>
      </c>
      <c r="W33" s="31">
        <f>TRANSICAO!$W$33*CUSTOS!$T$3</f>
        <v>0</v>
      </c>
      <c r="X33" s="31">
        <f>TRANSICAO!$X$33*CUSTOS!$T$3</f>
        <v>0</v>
      </c>
      <c r="Y33" s="31">
        <f>TRANSICAO!$Y$33*CUSTOS!$T$3</f>
        <v>90.098100000000002</v>
      </c>
      <c r="Z33" s="31">
        <f>TRANSICAO!$Z$33*CUSTOS!$T$3</f>
        <v>0</v>
      </c>
      <c r="AA33" s="31">
        <f>TRANSICAO!$AA$33*CUSTOS!$T$3</f>
        <v>0</v>
      </c>
      <c r="AB33" s="31">
        <f>TRANSICAO!$AB$33*CUSTOS!$T$3</f>
        <v>0</v>
      </c>
      <c r="AC33" s="31">
        <f>TRANSICAO!$AC$33*CUSTOS!$T$3</f>
        <v>161.31880000000001</v>
      </c>
      <c r="AD33" s="31">
        <f>TRANSICAO!$AD$33*CUSTOS!$T$3</f>
        <v>0</v>
      </c>
      <c r="AE33" s="31">
        <v>0</v>
      </c>
      <c r="AF33" s="31">
        <v>0</v>
      </c>
      <c r="AG33" s="31"/>
      <c r="AH33" s="31">
        <f>(1 - CUSTOS!$M$28)*22.3655</f>
        <v>22.365500000000001</v>
      </c>
      <c r="AI33" s="31">
        <f>(1 - CUSTOS!$M$28)*22.3655</f>
        <v>22.365500000000001</v>
      </c>
      <c r="AJ33" s="31">
        <f ca="1">$N$64*(1-CUSTOS!$M$28)</f>
        <v>0.30960862482533341</v>
      </c>
      <c r="AK33" s="31">
        <f t="shared" ca="1" si="0"/>
        <v>0.30960862482533341</v>
      </c>
      <c r="AL33" s="31"/>
      <c r="AM33" s="31"/>
      <c r="AP33" s="31">
        <f>IF((1 - CUSTOS!$M$28)&lt;&gt;0,1/(1 - CUSTOS!$M$28),1)</f>
        <v>1</v>
      </c>
    </row>
    <row r="34" spans="1:42" ht="11.25" customHeight="1" x14ac:dyDescent="0.25">
      <c r="A34" s="149"/>
      <c r="B34" s="149" t="s">
        <v>50</v>
      </c>
      <c r="C34" s="149" t="s">
        <v>42</v>
      </c>
      <c r="D34" s="149" t="s">
        <v>90</v>
      </c>
      <c r="E34" s="149" t="s">
        <v>25</v>
      </c>
      <c r="F34" s="149" t="s">
        <v>25</v>
      </c>
      <c r="G34" s="57" t="s">
        <v>75</v>
      </c>
      <c r="H34" s="57" t="s">
        <v>74</v>
      </c>
      <c r="I34" s="57">
        <f>'MERCADO TUSD'!$U$31</f>
        <v>0</v>
      </c>
      <c r="J34" s="15"/>
      <c r="L34" s="31">
        <f>1*(1 - CUSTOS!$M$29)</f>
        <v>1</v>
      </c>
      <c r="M34" s="31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CUSTOS!$M$29)</f>
        <v>0.77039559947633307</v>
      </c>
      <c r="N34" s="31">
        <f ca="1">(+M34+O34+R34+U34+V34+W34+X34+Y34+Z34+AA34+AC34+AH34+AI34+AJ34+AK34)*CUSTOS!$M$5</f>
        <v>8.2751291284912707</v>
      </c>
      <c r="O34" s="31">
        <f>1 - CUSTOS!$M$29</f>
        <v>1</v>
      </c>
      <c r="P34" s="31">
        <f>1 - CUSTOS!$M$29</f>
        <v>1</v>
      </c>
      <c r="Q34" s="31">
        <f>1*(1 - CUSTOS!$M$29)</f>
        <v>1</v>
      </c>
      <c r="R34" s="31">
        <f>1 - CUSTOS!$M$29</f>
        <v>1</v>
      </c>
      <c r="S34" s="31">
        <f>1 - CUSTOS!$M$29</f>
        <v>1</v>
      </c>
      <c r="T34" s="31"/>
      <c r="U34" s="31">
        <f>TRANSICAO!$U$34*CUSTOS!$T$3</f>
        <v>0</v>
      </c>
      <c r="V34" s="31">
        <f>TRANSICAO!$V$34*CUSTOS!$T$3</f>
        <v>0</v>
      </c>
      <c r="W34" s="31">
        <f>TRANSICAO!$W$34*CUSTOS!$T$3</f>
        <v>0</v>
      </c>
      <c r="X34" s="31">
        <f>TRANSICAO!$X$34*CUSTOS!$T$3</f>
        <v>0</v>
      </c>
      <c r="Y34" s="31">
        <f>TRANSICAO!$Y$34*CUSTOS!$T$3</f>
        <v>279.30399999999997</v>
      </c>
      <c r="Z34" s="31">
        <f>TRANSICAO!$Z$34*CUSTOS!$T$3</f>
        <v>0</v>
      </c>
      <c r="AA34" s="31">
        <f>TRANSICAO!$AA$34*CUSTOS!$T$3</f>
        <v>0</v>
      </c>
      <c r="AB34" s="31">
        <f>TRANSICAO!$AB$34*CUSTOS!$T$3</f>
        <v>0</v>
      </c>
      <c r="AC34" s="31">
        <f>TRANSICAO!$AC$34*CUSTOS!$T$3</f>
        <v>500.0883</v>
      </c>
      <c r="AD34" s="31">
        <f>TRANSICAO!$AD$34*CUSTOS!$T$3</f>
        <v>0</v>
      </c>
      <c r="AE34" s="31">
        <v>0</v>
      </c>
      <c r="AF34" s="31">
        <v>0</v>
      </c>
      <c r="AG34" s="31"/>
      <c r="AH34" s="31">
        <f>(1 - CUSTOS!$M$29)*22.3655</f>
        <v>22.365500000000001</v>
      </c>
      <c r="AI34" s="31">
        <f>(1 - CUSTOS!$M$29)*22.3655</f>
        <v>22.365500000000001</v>
      </c>
      <c r="AJ34" s="31">
        <f ca="1">$N$64*(1-CUSTOS!$M$29)</f>
        <v>0.30960862482533341</v>
      </c>
      <c r="AK34" s="31">
        <f t="shared" ca="1" si="0"/>
        <v>0.30960862482533341</v>
      </c>
      <c r="AL34" s="31"/>
      <c r="AM34" s="31"/>
      <c r="AP34" s="31">
        <f>IF((1 - CUSTOS!$M$29)&lt;&gt;0,1/(1 - CUSTOS!$M$29),1)</f>
        <v>1</v>
      </c>
    </row>
    <row r="35" spans="1:42" ht="11.25" customHeight="1" x14ac:dyDescent="0.25">
      <c r="A35" s="149"/>
      <c r="B35" s="149"/>
      <c r="C35" s="149"/>
      <c r="D35" s="149"/>
      <c r="E35" s="149"/>
      <c r="F35" s="149"/>
      <c r="G35" s="57" t="s">
        <v>87</v>
      </c>
      <c r="H35" s="57" t="s">
        <v>74</v>
      </c>
      <c r="I35" s="57">
        <f>'MERCADO TUSD'!$U$32</f>
        <v>0</v>
      </c>
      <c r="J35" s="15"/>
      <c r="L35" s="31">
        <f>1*(1 - CUSTOS!$M$29)</f>
        <v>1</v>
      </c>
      <c r="M35" s="31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CUSTOS!$M$29)</f>
        <v>0.77039559947633307</v>
      </c>
      <c r="N35" s="31">
        <f ca="1">(+M35+O35+R35+U35+V35+W35+X35+Y35+Z35+AA35+AC35+AH35+AI35+AJ35+AK35)*CUSTOS!$M$5</f>
        <v>5.157560128491272</v>
      </c>
      <c r="O35" s="31">
        <f>1 - CUSTOS!$M$29</f>
        <v>1</v>
      </c>
      <c r="P35" s="31">
        <f>1 - CUSTOS!$M$29</f>
        <v>1</v>
      </c>
      <c r="Q35" s="31">
        <f>1*(1 - CUSTOS!$M$29)</f>
        <v>1</v>
      </c>
      <c r="R35" s="31">
        <f>1 - CUSTOS!$M$29</f>
        <v>1</v>
      </c>
      <c r="S35" s="31">
        <f>1 - CUSTOS!$M$29</f>
        <v>1</v>
      </c>
      <c r="T35" s="31"/>
      <c r="U35" s="31">
        <f>TRANSICAO!$U$35*CUSTOS!$T$3</f>
        <v>0</v>
      </c>
      <c r="V35" s="31">
        <f>TRANSICAO!$V$35*CUSTOS!$T$3</f>
        <v>0</v>
      </c>
      <c r="W35" s="31">
        <f>TRANSICAO!$W$35*CUSTOS!$T$3</f>
        <v>0</v>
      </c>
      <c r="X35" s="31">
        <f>TRANSICAO!$X$35*CUSTOS!$T$3</f>
        <v>0</v>
      </c>
      <c r="Y35" s="31">
        <f>TRANSICAO!$Y$35*CUSTOS!$T$3</f>
        <v>167.58240000000001</v>
      </c>
      <c r="Z35" s="31">
        <f>TRANSICAO!$Z$35*CUSTOS!$T$3</f>
        <v>0</v>
      </c>
      <c r="AA35" s="31">
        <f>TRANSICAO!$AA$35*CUSTOS!$T$3</f>
        <v>0</v>
      </c>
      <c r="AB35" s="31">
        <f>TRANSICAO!$AB$35*CUSTOS!$T$3</f>
        <v>0</v>
      </c>
      <c r="AC35" s="31">
        <f>TRANSICAO!$AC$35*CUSTOS!$T$3</f>
        <v>300.053</v>
      </c>
      <c r="AD35" s="31">
        <f>TRANSICAO!$AD$35*CUSTOS!$T$3</f>
        <v>0</v>
      </c>
      <c r="AE35" s="31">
        <v>0</v>
      </c>
      <c r="AF35" s="31">
        <v>0</v>
      </c>
      <c r="AG35" s="31"/>
      <c r="AH35" s="31">
        <f>(1 - CUSTOS!$M$29)*22.3655</f>
        <v>22.365500000000001</v>
      </c>
      <c r="AI35" s="31">
        <f>(1 - CUSTOS!$M$29)*22.3655</f>
        <v>22.365500000000001</v>
      </c>
      <c r="AJ35" s="31">
        <f ca="1">$N$64*(1-CUSTOS!$M$29)</f>
        <v>0.30960862482533341</v>
      </c>
      <c r="AK35" s="31">
        <f t="shared" ca="1" si="0"/>
        <v>0.30960862482533341</v>
      </c>
      <c r="AL35" s="31"/>
      <c r="AM35" s="31"/>
      <c r="AP35" s="31">
        <f>IF((1 - CUSTOS!$M$29)&lt;&gt;0,1/(1 - CUSTOS!$M$29),1)</f>
        <v>1</v>
      </c>
    </row>
    <row r="36" spans="1:42" ht="11.25" customHeight="1" x14ac:dyDescent="0.25">
      <c r="A36" s="149"/>
      <c r="B36" s="149"/>
      <c r="C36" s="149"/>
      <c r="D36" s="149"/>
      <c r="E36" s="149"/>
      <c r="F36" s="149"/>
      <c r="G36" s="57" t="s">
        <v>76</v>
      </c>
      <c r="H36" s="57" t="s">
        <v>74</v>
      </c>
      <c r="I36" s="57">
        <f>'MERCADO TUSD'!$U$33</f>
        <v>0</v>
      </c>
      <c r="J36" s="15"/>
      <c r="L36" s="31">
        <f>1*(1 - CUSTOS!$M$29)</f>
        <v>1</v>
      </c>
      <c r="M36" s="31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CUSTOS!$M$29)</f>
        <v>0.77039559947633307</v>
      </c>
      <c r="N36" s="31">
        <f ca="1">(+M36+O36+R36+U36+V36+W36+X36+Y36+Z36+AA36+AC36+AH36+AI36+AJ36+AK36)*CUSTOS!$M$5</f>
        <v>2.0399911284912697</v>
      </c>
      <c r="O36" s="31">
        <f>1 - CUSTOS!$M$29</f>
        <v>1</v>
      </c>
      <c r="P36" s="31">
        <f>1 - CUSTOS!$M$29</f>
        <v>1</v>
      </c>
      <c r="Q36" s="31">
        <f>1*(1 - CUSTOS!$M$29)</f>
        <v>1</v>
      </c>
      <c r="R36" s="31">
        <f>1 - CUSTOS!$M$29</f>
        <v>1</v>
      </c>
      <c r="S36" s="31">
        <f>1 - CUSTOS!$M$29</f>
        <v>1</v>
      </c>
      <c r="T36" s="31"/>
      <c r="U36" s="31">
        <f>TRANSICAO!$U$36*CUSTOS!$T$3</f>
        <v>0</v>
      </c>
      <c r="V36" s="31">
        <f>TRANSICAO!$V$36*CUSTOS!$T$3</f>
        <v>0</v>
      </c>
      <c r="W36" s="31">
        <f>TRANSICAO!$W$36*CUSTOS!$T$3</f>
        <v>0</v>
      </c>
      <c r="X36" s="31">
        <f>TRANSICAO!$X$36*CUSTOS!$T$3</f>
        <v>0</v>
      </c>
      <c r="Y36" s="31">
        <f>TRANSICAO!$Y$36*CUSTOS!$T$3</f>
        <v>55.860799999999998</v>
      </c>
      <c r="Z36" s="31">
        <f>TRANSICAO!$Z$36*CUSTOS!$T$3</f>
        <v>0</v>
      </c>
      <c r="AA36" s="31">
        <f>TRANSICAO!$AA$36*CUSTOS!$T$3</f>
        <v>0</v>
      </c>
      <c r="AB36" s="31">
        <f>TRANSICAO!$AB$36*CUSTOS!$T$3</f>
        <v>0</v>
      </c>
      <c r="AC36" s="31">
        <f>TRANSICAO!$AC$36*CUSTOS!$T$3</f>
        <v>100.0177</v>
      </c>
      <c r="AD36" s="31">
        <f>TRANSICAO!$AD$36*CUSTOS!$T$3</f>
        <v>0</v>
      </c>
      <c r="AE36" s="31">
        <v>0</v>
      </c>
      <c r="AF36" s="31">
        <v>0</v>
      </c>
      <c r="AG36" s="31"/>
      <c r="AH36" s="31">
        <f>(1 - CUSTOS!$M$29)*22.3655</f>
        <v>22.365500000000001</v>
      </c>
      <c r="AI36" s="31">
        <f>(1 - CUSTOS!$M$29)*22.3655</f>
        <v>22.365500000000001</v>
      </c>
      <c r="AJ36" s="31">
        <f ca="1">$N$64*(1-CUSTOS!$M$29)</f>
        <v>0.30960862482533341</v>
      </c>
      <c r="AK36" s="31">
        <f t="shared" ca="1" si="0"/>
        <v>0.30960862482533341</v>
      </c>
      <c r="AL36" s="31"/>
      <c r="AM36" s="31"/>
      <c r="AP36" s="31">
        <f>IF((1 - CUSTOS!$M$29)&lt;&gt;0,1/(1 - CUSTOS!$M$29),1)</f>
        <v>1</v>
      </c>
    </row>
    <row r="37" spans="1:42" ht="11.25" customHeight="1" x14ac:dyDescent="0.25">
      <c r="A37" s="149"/>
      <c r="B37" s="56" t="s">
        <v>23</v>
      </c>
      <c r="C37" s="56" t="s">
        <v>42</v>
      </c>
      <c r="D37" s="56" t="s">
        <v>90</v>
      </c>
      <c r="E37" s="56" t="s">
        <v>25</v>
      </c>
      <c r="F37" s="56" t="s">
        <v>25</v>
      </c>
      <c r="G37" s="57" t="s">
        <v>78</v>
      </c>
      <c r="H37" s="57" t="s">
        <v>74</v>
      </c>
      <c r="I37" s="57">
        <f>'MERCADO TUSD'!$U$34</f>
        <v>0</v>
      </c>
      <c r="J37" s="15"/>
      <c r="L37" s="31">
        <f>1*(1 - CUSTOS!$M$29)</f>
        <v>1</v>
      </c>
      <c r="M37" s="31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CUSTOS!$M$29)</f>
        <v>0.77039559947633307</v>
      </c>
      <c r="N37" s="31">
        <f ca="1">(+M37+O37+R37+U37+V37+W37+X37+Y37+Z37+AA37+AC37+AH37+AI37+AJ37+AK37)*CUSTOS!$M$5</f>
        <v>2.9953751284912697</v>
      </c>
      <c r="O37" s="31">
        <f>1 - CUSTOS!$M$29</f>
        <v>1</v>
      </c>
      <c r="P37" s="31">
        <f>1 - CUSTOS!$M$29</f>
        <v>1</v>
      </c>
      <c r="Q37" s="31">
        <f>1*(1 - CUSTOS!$M$29)</f>
        <v>1</v>
      </c>
      <c r="R37" s="31">
        <f>1 - CUSTOS!$M$29</f>
        <v>1</v>
      </c>
      <c r="S37" s="31">
        <f>1 - CUSTOS!$M$29</f>
        <v>1</v>
      </c>
      <c r="T37" s="31"/>
      <c r="U37" s="31">
        <f>TRANSICAO!$U$37*CUSTOS!$T$3</f>
        <v>0</v>
      </c>
      <c r="V37" s="31">
        <f>TRANSICAO!$V$37*CUSTOS!$T$3</f>
        <v>0</v>
      </c>
      <c r="W37" s="31">
        <f>TRANSICAO!$W$37*CUSTOS!$T$3</f>
        <v>0</v>
      </c>
      <c r="X37" s="31">
        <f>TRANSICAO!$X$37*CUSTOS!$T$3</f>
        <v>0</v>
      </c>
      <c r="Y37" s="31">
        <f>TRANSICAO!$Y$37*CUSTOS!$T$3</f>
        <v>90.098100000000002</v>
      </c>
      <c r="Z37" s="31">
        <f>TRANSICAO!$Z$37*CUSTOS!$T$3</f>
        <v>0</v>
      </c>
      <c r="AA37" s="31">
        <f>TRANSICAO!$AA$37*CUSTOS!$T$3</f>
        <v>0</v>
      </c>
      <c r="AB37" s="31">
        <f>TRANSICAO!$AB$37*CUSTOS!$T$3</f>
        <v>0</v>
      </c>
      <c r="AC37" s="31">
        <f>TRANSICAO!$AC$37*CUSTOS!$T$3</f>
        <v>161.31880000000001</v>
      </c>
      <c r="AD37" s="31">
        <f>TRANSICAO!$AD$37*CUSTOS!$T$3</f>
        <v>0</v>
      </c>
      <c r="AE37" s="31">
        <v>0</v>
      </c>
      <c r="AF37" s="31">
        <v>0</v>
      </c>
      <c r="AG37" s="31"/>
      <c r="AH37" s="31">
        <f>(1 - CUSTOS!$M$29)*22.3655</f>
        <v>22.365500000000001</v>
      </c>
      <c r="AI37" s="31">
        <f>(1 - CUSTOS!$M$29)*22.3655</f>
        <v>22.365500000000001</v>
      </c>
      <c r="AJ37" s="31">
        <f ca="1">$N$64*(1-CUSTOS!$M$29)</f>
        <v>0.30960862482533341</v>
      </c>
      <c r="AK37" s="31">
        <f t="shared" ca="1" si="0"/>
        <v>0.30960862482533341</v>
      </c>
      <c r="AL37" s="31"/>
      <c r="AM37" s="31"/>
      <c r="AP37" s="31">
        <f>IF((1 - CUSTOS!$M$29)&lt;&gt;0,1/(1 - CUSTOS!$M$29),1)</f>
        <v>1</v>
      </c>
    </row>
    <row r="38" spans="1:42" ht="11.25" customHeight="1" x14ac:dyDescent="0.25">
      <c r="A38" s="149"/>
      <c r="B38" s="149" t="s">
        <v>50</v>
      </c>
      <c r="C38" s="149" t="s">
        <v>42</v>
      </c>
      <c r="D38" s="149" t="s">
        <v>91</v>
      </c>
      <c r="E38" s="149" t="s">
        <v>25</v>
      </c>
      <c r="F38" s="149" t="s">
        <v>25</v>
      </c>
      <c r="G38" s="57" t="s">
        <v>75</v>
      </c>
      <c r="H38" s="57" t="s">
        <v>74</v>
      </c>
      <c r="I38" s="57">
        <f>'MERCADO TUSD'!$U$35</f>
        <v>0</v>
      </c>
      <c r="J38" s="15"/>
      <c r="L38" s="31">
        <f>1*(1 - CUSTOS!$M$30)</f>
        <v>1</v>
      </c>
      <c r="M38" s="31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CUSTOS!$M$30)</f>
        <v>0.77039559947633307</v>
      </c>
      <c r="N38" s="31">
        <f ca="1">(+M38+O38+R38+U38+V38+W38+X38+Y38+Z38+AA38+AC38+AH38+AI38+AJ38+AK38)*CUSTOS!$M$5</f>
        <v>8.2751291284912707</v>
      </c>
      <c r="O38" s="31">
        <f>1 - CUSTOS!$M$30</f>
        <v>1</v>
      </c>
      <c r="P38" s="31">
        <f>1 - CUSTOS!$M$30</f>
        <v>1</v>
      </c>
      <c r="Q38" s="31">
        <f>1*(1 - CUSTOS!$M$30)</f>
        <v>1</v>
      </c>
      <c r="R38" s="31">
        <f>1 - CUSTOS!$M$30</f>
        <v>1</v>
      </c>
      <c r="S38" s="31">
        <f>1 - CUSTOS!$M$30</f>
        <v>1</v>
      </c>
      <c r="T38" s="31"/>
      <c r="U38" s="31">
        <f>TRANSICAO!$U$38*CUSTOS!$T$3</f>
        <v>0</v>
      </c>
      <c r="V38" s="31">
        <f>TRANSICAO!$V$38*CUSTOS!$T$3</f>
        <v>0</v>
      </c>
      <c r="W38" s="31">
        <f>TRANSICAO!$W$38*CUSTOS!$T$3</f>
        <v>0</v>
      </c>
      <c r="X38" s="31">
        <f>TRANSICAO!$X$38*CUSTOS!$T$3</f>
        <v>0</v>
      </c>
      <c r="Y38" s="31">
        <f>TRANSICAO!$Y$38*CUSTOS!$T$3</f>
        <v>279.30399999999997</v>
      </c>
      <c r="Z38" s="31">
        <f>TRANSICAO!$Z$38*CUSTOS!$T$3</f>
        <v>0</v>
      </c>
      <c r="AA38" s="31">
        <f>TRANSICAO!$AA$38*CUSTOS!$T$3</f>
        <v>0</v>
      </c>
      <c r="AB38" s="31">
        <f>TRANSICAO!$AB$38*CUSTOS!$T$3</f>
        <v>0</v>
      </c>
      <c r="AC38" s="31">
        <f>TRANSICAO!$AC$38*CUSTOS!$T$3</f>
        <v>500.0883</v>
      </c>
      <c r="AD38" s="31">
        <f>TRANSICAO!$AD$38*CUSTOS!$T$3</f>
        <v>0</v>
      </c>
      <c r="AE38" s="31">
        <v>0</v>
      </c>
      <c r="AF38" s="31">
        <v>0</v>
      </c>
      <c r="AG38" s="31"/>
      <c r="AH38" s="31">
        <f>(1 - CUSTOS!$M$30)*22.3655</f>
        <v>22.365500000000001</v>
      </c>
      <c r="AI38" s="31">
        <f>(1 - CUSTOS!$M$30)*22.3655</f>
        <v>22.365500000000001</v>
      </c>
      <c r="AJ38" s="31">
        <f ca="1">$N$64*(1-CUSTOS!$M$30)</f>
        <v>0.30960862482533341</v>
      </c>
      <c r="AK38" s="31">
        <f t="shared" ca="1" si="0"/>
        <v>0.30960862482533341</v>
      </c>
      <c r="AL38" s="31"/>
      <c r="AM38" s="31"/>
      <c r="AP38" s="31">
        <f>IF((1 - CUSTOS!$M$30)&lt;&gt;0,1/(1 - CUSTOS!$M$30),1)</f>
        <v>1</v>
      </c>
    </row>
    <row r="39" spans="1:42" ht="11.25" customHeight="1" x14ac:dyDescent="0.25">
      <c r="A39" s="149"/>
      <c r="B39" s="149"/>
      <c r="C39" s="149"/>
      <c r="D39" s="149"/>
      <c r="E39" s="149"/>
      <c r="F39" s="149"/>
      <c r="G39" s="57" t="s">
        <v>87</v>
      </c>
      <c r="H39" s="57" t="s">
        <v>74</v>
      </c>
      <c r="I39" s="57">
        <f>'MERCADO TUSD'!$U$36</f>
        <v>0</v>
      </c>
      <c r="J39" s="15"/>
      <c r="L39" s="31">
        <f>1*(1 - CUSTOS!$M$30)</f>
        <v>1</v>
      </c>
      <c r="M39" s="31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CUSTOS!$M$30)</f>
        <v>0.77039559947633307</v>
      </c>
      <c r="N39" s="31">
        <f ca="1">(+M39+O39+R39+U39+V39+W39+X39+Y39+Z39+AA39+AC39+AH39+AI39+AJ39+AK39)*CUSTOS!$M$5</f>
        <v>5.157560128491272</v>
      </c>
      <c r="O39" s="31">
        <f>1 - CUSTOS!$M$30</f>
        <v>1</v>
      </c>
      <c r="P39" s="31">
        <f>1 - CUSTOS!$M$30</f>
        <v>1</v>
      </c>
      <c r="Q39" s="31">
        <f>1*(1 - CUSTOS!$M$30)</f>
        <v>1</v>
      </c>
      <c r="R39" s="31">
        <f>1 - CUSTOS!$M$30</f>
        <v>1</v>
      </c>
      <c r="S39" s="31">
        <f>1 - CUSTOS!$M$30</f>
        <v>1</v>
      </c>
      <c r="T39" s="31"/>
      <c r="U39" s="31">
        <f>TRANSICAO!$U$39*CUSTOS!$T$3</f>
        <v>0</v>
      </c>
      <c r="V39" s="31">
        <f>TRANSICAO!$V$39*CUSTOS!$T$3</f>
        <v>0</v>
      </c>
      <c r="W39" s="31">
        <f>TRANSICAO!$W$39*CUSTOS!$T$3</f>
        <v>0</v>
      </c>
      <c r="X39" s="31">
        <f>TRANSICAO!$X$39*CUSTOS!$T$3</f>
        <v>0</v>
      </c>
      <c r="Y39" s="31">
        <f>TRANSICAO!$Y$39*CUSTOS!$T$3</f>
        <v>167.58240000000001</v>
      </c>
      <c r="Z39" s="31">
        <f>TRANSICAO!$Z$39*CUSTOS!$T$3</f>
        <v>0</v>
      </c>
      <c r="AA39" s="31">
        <f>TRANSICAO!$AA$39*CUSTOS!$T$3</f>
        <v>0</v>
      </c>
      <c r="AB39" s="31">
        <f>TRANSICAO!$AB$39*CUSTOS!$T$3</f>
        <v>0</v>
      </c>
      <c r="AC39" s="31">
        <f>TRANSICAO!$AC$39*CUSTOS!$T$3</f>
        <v>300.053</v>
      </c>
      <c r="AD39" s="31">
        <f>TRANSICAO!$AD$39*CUSTOS!$T$3</f>
        <v>0</v>
      </c>
      <c r="AE39" s="31">
        <v>0</v>
      </c>
      <c r="AF39" s="31">
        <v>0</v>
      </c>
      <c r="AG39" s="31"/>
      <c r="AH39" s="31">
        <f>(1 - CUSTOS!$M$30)*22.3655</f>
        <v>22.365500000000001</v>
      </c>
      <c r="AI39" s="31">
        <f>(1 - CUSTOS!$M$30)*22.3655</f>
        <v>22.365500000000001</v>
      </c>
      <c r="AJ39" s="31">
        <f ca="1">$N$64*(1-CUSTOS!$M$30)</f>
        <v>0.30960862482533341</v>
      </c>
      <c r="AK39" s="31">
        <f t="shared" ca="1" si="0"/>
        <v>0.30960862482533341</v>
      </c>
      <c r="AL39" s="31"/>
      <c r="AM39" s="31"/>
      <c r="AP39" s="31">
        <f>IF((1 - CUSTOS!$M$30)&lt;&gt;0,1/(1 - CUSTOS!$M$30),1)</f>
        <v>1</v>
      </c>
    </row>
    <row r="40" spans="1:42" ht="11.25" customHeight="1" x14ac:dyDescent="0.25">
      <c r="A40" s="149"/>
      <c r="B40" s="149"/>
      <c r="C40" s="149"/>
      <c r="D40" s="149"/>
      <c r="E40" s="149"/>
      <c r="F40" s="149"/>
      <c r="G40" s="57" t="s">
        <v>76</v>
      </c>
      <c r="H40" s="57" t="s">
        <v>74</v>
      </c>
      <c r="I40" s="57">
        <f>'MERCADO TUSD'!$U$37</f>
        <v>0</v>
      </c>
      <c r="J40" s="15"/>
      <c r="L40" s="31">
        <f>1*(1 - CUSTOS!$M$30)</f>
        <v>1</v>
      </c>
      <c r="M40" s="31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CUSTOS!$M$30)</f>
        <v>0.77039559947633307</v>
      </c>
      <c r="N40" s="31">
        <f ca="1">(+M40+O40+R40+U40+V40+W40+X40+Y40+Z40+AA40+AC40+AH40+AI40+AJ40+AK40)*CUSTOS!$M$5</f>
        <v>2.0399911284912697</v>
      </c>
      <c r="O40" s="31">
        <f>1 - CUSTOS!$M$30</f>
        <v>1</v>
      </c>
      <c r="P40" s="31">
        <f>1 - CUSTOS!$M$30</f>
        <v>1</v>
      </c>
      <c r="Q40" s="31">
        <f>1*(1 - CUSTOS!$M$30)</f>
        <v>1</v>
      </c>
      <c r="R40" s="31">
        <f>1 - CUSTOS!$M$30</f>
        <v>1</v>
      </c>
      <c r="S40" s="31">
        <f>1 - CUSTOS!$M$30</f>
        <v>1</v>
      </c>
      <c r="T40" s="31"/>
      <c r="U40" s="31">
        <f>TRANSICAO!$U$40*CUSTOS!$T$3</f>
        <v>0</v>
      </c>
      <c r="V40" s="31">
        <f>TRANSICAO!$V$40*CUSTOS!$T$3</f>
        <v>0</v>
      </c>
      <c r="W40" s="31">
        <f>TRANSICAO!$W$40*CUSTOS!$T$3</f>
        <v>0</v>
      </c>
      <c r="X40" s="31">
        <f>TRANSICAO!$X$40*CUSTOS!$T$3</f>
        <v>0</v>
      </c>
      <c r="Y40" s="31">
        <f>TRANSICAO!$Y$40*CUSTOS!$T$3</f>
        <v>55.860799999999998</v>
      </c>
      <c r="Z40" s="31">
        <f>TRANSICAO!$Z$40*CUSTOS!$T$3</f>
        <v>0</v>
      </c>
      <c r="AA40" s="31">
        <f>TRANSICAO!$AA$40*CUSTOS!$T$3</f>
        <v>0</v>
      </c>
      <c r="AB40" s="31">
        <f>TRANSICAO!$AB$40*CUSTOS!$T$3</f>
        <v>0</v>
      </c>
      <c r="AC40" s="31">
        <f>TRANSICAO!$AC$40*CUSTOS!$T$3</f>
        <v>100.0177</v>
      </c>
      <c r="AD40" s="31">
        <f>TRANSICAO!$AD$40*CUSTOS!$T$3</f>
        <v>0</v>
      </c>
      <c r="AE40" s="31">
        <v>0</v>
      </c>
      <c r="AF40" s="31">
        <v>0</v>
      </c>
      <c r="AG40" s="31"/>
      <c r="AH40" s="31">
        <f>(1 - CUSTOS!$M$30)*22.3655</f>
        <v>22.365500000000001</v>
      </c>
      <c r="AI40" s="31">
        <f>(1 - CUSTOS!$M$30)*22.3655</f>
        <v>22.365500000000001</v>
      </c>
      <c r="AJ40" s="31">
        <f ca="1">$N$64*(1-CUSTOS!$M$30)</f>
        <v>0.30960862482533341</v>
      </c>
      <c r="AK40" s="31">
        <f t="shared" ca="1" si="0"/>
        <v>0.30960862482533341</v>
      </c>
      <c r="AL40" s="31"/>
      <c r="AM40" s="31"/>
      <c r="AP40" s="31">
        <f>IF((1 - CUSTOS!$M$30)&lt;&gt;0,1/(1 - CUSTOS!$M$30),1)</f>
        <v>1</v>
      </c>
    </row>
    <row r="41" spans="1:42" ht="11.25" customHeight="1" x14ac:dyDescent="0.25">
      <c r="A41" s="149"/>
      <c r="B41" s="56" t="s">
        <v>23</v>
      </c>
      <c r="C41" s="56" t="s">
        <v>42</v>
      </c>
      <c r="D41" s="56" t="s">
        <v>91</v>
      </c>
      <c r="E41" s="56" t="s">
        <v>25</v>
      </c>
      <c r="F41" s="56" t="s">
        <v>25</v>
      </c>
      <c r="G41" s="57" t="s">
        <v>78</v>
      </c>
      <c r="H41" s="57" t="s">
        <v>74</v>
      </c>
      <c r="I41" s="57">
        <f>'MERCADO TUSD'!$U$38</f>
        <v>0</v>
      </c>
      <c r="J41" s="15"/>
      <c r="L41" s="31">
        <f>1*(1 - CUSTOS!$M$30)</f>
        <v>1</v>
      </c>
      <c r="M41" s="31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CUSTOS!$M$30)</f>
        <v>0.77039559947633307</v>
      </c>
      <c r="N41" s="31">
        <f ca="1">(+M41+O41+R41+U41+V41+W41+X41+Y41+Z41+AA41+AC41+AH41+AI41+AJ41+AK41)*CUSTOS!$M$5</f>
        <v>2.9953751284912697</v>
      </c>
      <c r="O41" s="31">
        <f>1 - CUSTOS!$M$30</f>
        <v>1</v>
      </c>
      <c r="P41" s="31">
        <f>1 - CUSTOS!$M$30</f>
        <v>1</v>
      </c>
      <c r="Q41" s="31">
        <f>1*(1 - CUSTOS!$M$30)</f>
        <v>1</v>
      </c>
      <c r="R41" s="31">
        <f>1 - CUSTOS!$M$30</f>
        <v>1</v>
      </c>
      <c r="S41" s="31">
        <f>1 - CUSTOS!$M$30</f>
        <v>1</v>
      </c>
      <c r="T41" s="31"/>
      <c r="U41" s="31">
        <f>TRANSICAO!$U$41*CUSTOS!$T$3</f>
        <v>0</v>
      </c>
      <c r="V41" s="31">
        <f>TRANSICAO!$V$41*CUSTOS!$T$3</f>
        <v>0</v>
      </c>
      <c r="W41" s="31">
        <f>TRANSICAO!$W$41*CUSTOS!$T$3</f>
        <v>0</v>
      </c>
      <c r="X41" s="31">
        <f>TRANSICAO!$X$41*CUSTOS!$T$3</f>
        <v>0</v>
      </c>
      <c r="Y41" s="31">
        <f>TRANSICAO!$Y$41*CUSTOS!$T$3</f>
        <v>90.098100000000002</v>
      </c>
      <c r="Z41" s="31">
        <f>TRANSICAO!$Z$41*CUSTOS!$T$3</f>
        <v>0</v>
      </c>
      <c r="AA41" s="31">
        <f>TRANSICAO!$AA$41*CUSTOS!$T$3</f>
        <v>0</v>
      </c>
      <c r="AB41" s="31">
        <f>TRANSICAO!$AB$41*CUSTOS!$T$3</f>
        <v>0</v>
      </c>
      <c r="AC41" s="31">
        <f>TRANSICAO!$AC$41*CUSTOS!$T$3</f>
        <v>161.31880000000001</v>
      </c>
      <c r="AD41" s="31">
        <f>TRANSICAO!$AD$41*CUSTOS!$T$3</f>
        <v>0</v>
      </c>
      <c r="AE41" s="31">
        <v>0</v>
      </c>
      <c r="AF41" s="31">
        <v>0</v>
      </c>
      <c r="AG41" s="31"/>
      <c r="AH41" s="31">
        <f>(1 - CUSTOS!$M$30)*22.3655</f>
        <v>22.365500000000001</v>
      </c>
      <c r="AI41" s="31">
        <f>(1 - CUSTOS!$M$30)*22.3655</f>
        <v>22.365500000000001</v>
      </c>
      <c r="AJ41" s="31">
        <f ca="1">$N$64*(1-CUSTOS!$M$30)</f>
        <v>0.30960862482533341</v>
      </c>
      <c r="AK41" s="31">
        <f t="shared" ca="1" si="0"/>
        <v>0.30960862482533341</v>
      </c>
      <c r="AL41" s="31"/>
      <c r="AM41" s="31"/>
      <c r="AP41" s="31">
        <f>IF((1 - CUSTOS!$M$30)&lt;&gt;0,1/(1 - CUSTOS!$M$30),1)</f>
        <v>1</v>
      </c>
    </row>
    <row r="42" spans="1:42" ht="11.25" customHeight="1" x14ac:dyDescent="0.25">
      <c r="A42" s="149"/>
      <c r="B42" s="149" t="s">
        <v>89</v>
      </c>
      <c r="C42" s="149" t="s">
        <v>42</v>
      </c>
      <c r="D42" s="56" t="s">
        <v>25</v>
      </c>
      <c r="E42" s="56" t="s">
        <v>25</v>
      </c>
      <c r="F42" s="56" t="s">
        <v>25</v>
      </c>
      <c r="G42" s="57" t="s">
        <v>78</v>
      </c>
      <c r="H42" s="57" t="s">
        <v>74</v>
      </c>
      <c r="I42" s="57">
        <f>'MERCADO TUSD'!$U$39</f>
        <v>0</v>
      </c>
      <c r="J42" s="15"/>
      <c r="L42" s="31">
        <f>1*(1 - CUSTOS!$M$28)</f>
        <v>1</v>
      </c>
      <c r="M42" s="31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CUSTOS!$M$28)</f>
        <v>0.77039559947633307</v>
      </c>
      <c r="N42" s="31">
        <f ca="1">(+M42+O42+R42+U42+V42+W42+X42+Y42+Z42+AA42+AC42+AH42+AI42+AJ42+AK42)*CUSTOS!$M$5</f>
        <v>2.9953751284912697</v>
      </c>
      <c r="O42" s="31">
        <f>1 - CUSTOS!$M$28</f>
        <v>1</v>
      </c>
      <c r="P42" s="31">
        <f>1 - CUSTOS!$M$28</f>
        <v>1</v>
      </c>
      <c r="Q42" s="31">
        <f>1*(1 - CUSTOS!$M$28)</f>
        <v>1</v>
      </c>
      <c r="R42" s="31">
        <f>1 - CUSTOS!$M$28</f>
        <v>1</v>
      </c>
      <c r="S42" s="31">
        <f>1 - CUSTOS!$M$28</f>
        <v>1</v>
      </c>
      <c r="T42" s="31"/>
      <c r="U42" s="31">
        <f>TRANSICAO!$U$42*CUSTOS!$T$3</f>
        <v>0</v>
      </c>
      <c r="V42" s="31">
        <f>TRANSICAO!$V$42*CUSTOS!$T$3</f>
        <v>0</v>
      </c>
      <c r="W42" s="31">
        <f>TRANSICAO!$W$42*CUSTOS!$T$3</f>
        <v>0</v>
      </c>
      <c r="X42" s="31">
        <f>TRANSICAO!$X$42*CUSTOS!$T$3</f>
        <v>0</v>
      </c>
      <c r="Y42" s="31">
        <f>TRANSICAO!$Y$42*CUSTOS!$T$3</f>
        <v>90.098100000000002</v>
      </c>
      <c r="Z42" s="31">
        <f>TRANSICAO!$Z$42*CUSTOS!$T$3</f>
        <v>0</v>
      </c>
      <c r="AA42" s="31">
        <f>TRANSICAO!$AA$42*CUSTOS!$T$3</f>
        <v>0</v>
      </c>
      <c r="AB42" s="31">
        <f>TRANSICAO!$AB$42*CUSTOS!$T$3</f>
        <v>0</v>
      </c>
      <c r="AC42" s="31">
        <f>TRANSICAO!$AC$42*CUSTOS!$T$3</f>
        <v>161.31880000000001</v>
      </c>
      <c r="AD42" s="31">
        <f>TRANSICAO!$AD$42*CUSTOS!$T$3</f>
        <v>0</v>
      </c>
      <c r="AE42" s="31">
        <v>0</v>
      </c>
      <c r="AF42" s="31">
        <v>0</v>
      </c>
      <c r="AG42" s="31"/>
      <c r="AH42" s="31">
        <f>(1 - CUSTOS!$M$28)*22.3655</f>
        <v>22.365500000000001</v>
      </c>
      <c r="AI42" s="31">
        <f>(1 - CUSTOS!$M$28)*22.3655</f>
        <v>22.365500000000001</v>
      </c>
      <c r="AJ42" s="31">
        <f ca="1">$N$64*(1-CUSTOS!$M$28)</f>
        <v>0.30960862482533341</v>
      </c>
      <c r="AK42" s="31">
        <f t="shared" ca="1" si="0"/>
        <v>0.30960862482533341</v>
      </c>
      <c r="AL42" s="31"/>
      <c r="AM42" s="31"/>
      <c r="AP42" s="31">
        <f>IF((1 - CUSTOS!$M$28)&lt;&gt;0,1/(1 - CUSTOS!$M$28),1)</f>
        <v>1</v>
      </c>
    </row>
    <row r="43" spans="1:42" ht="11.25" customHeight="1" x14ac:dyDescent="0.25">
      <c r="A43" s="149"/>
      <c r="B43" s="149"/>
      <c r="C43" s="149"/>
      <c r="D43" s="56" t="s">
        <v>90</v>
      </c>
      <c r="E43" s="56" t="s">
        <v>25</v>
      </c>
      <c r="F43" s="56" t="s">
        <v>25</v>
      </c>
      <c r="G43" s="57" t="s">
        <v>78</v>
      </c>
      <c r="H43" s="57" t="s">
        <v>74</v>
      </c>
      <c r="I43" s="57">
        <f>'MERCADO TUSD'!$U$40</f>
        <v>0</v>
      </c>
      <c r="J43" s="15"/>
      <c r="L43" s="31">
        <f>1*(1 - CUSTOS!$M$29)</f>
        <v>1</v>
      </c>
      <c r="M43" s="31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CUSTOS!$M$29)</f>
        <v>0.77039559947633307</v>
      </c>
      <c r="N43" s="31">
        <f ca="1">(+M43+O43+R43+U43+V43+W43+X43+Y43+Z43+AA43+AC43+AH43+AI43+AJ43+AK43)*CUSTOS!$M$5</f>
        <v>2.9953751284912697</v>
      </c>
      <c r="O43" s="31">
        <f>1 - CUSTOS!$M$29</f>
        <v>1</v>
      </c>
      <c r="P43" s="31">
        <f>1 - CUSTOS!$M$29</f>
        <v>1</v>
      </c>
      <c r="Q43" s="31">
        <f>1*(1 - CUSTOS!$M$29)</f>
        <v>1</v>
      </c>
      <c r="R43" s="31">
        <f>1 - CUSTOS!$M$29</f>
        <v>1</v>
      </c>
      <c r="S43" s="31">
        <f>1 - CUSTOS!$M$29</f>
        <v>1</v>
      </c>
      <c r="T43" s="31"/>
      <c r="U43" s="31">
        <f>TRANSICAO!$U$43*CUSTOS!$T$3</f>
        <v>0</v>
      </c>
      <c r="V43" s="31">
        <f>TRANSICAO!$V$43*CUSTOS!$T$3</f>
        <v>0</v>
      </c>
      <c r="W43" s="31">
        <f>TRANSICAO!$W$43*CUSTOS!$T$3</f>
        <v>0</v>
      </c>
      <c r="X43" s="31">
        <f>TRANSICAO!$X$43*CUSTOS!$T$3</f>
        <v>0</v>
      </c>
      <c r="Y43" s="31">
        <f>TRANSICAO!$Y$43*CUSTOS!$T$3</f>
        <v>90.098100000000002</v>
      </c>
      <c r="Z43" s="31">
        <f>TRANSICAO!$Z$43*CUSTOS!$T$3</f>
        <v>0</v>
      </c>
      <c r="AA43" s="31">
        <f>TRANSICAO!$AA$43*CUSTOS!$T$3</f>
        <v>0</v>
      </c>
      <c r="AB43" s="31">
        <f>TRANSICAO!$AB$43*CUSTOS!$T$3</f>
        <v>0</v>
      </c>
      <c r="AC43" s="31">
        <f>TRANSICAO!$AC$43*CUSTOS!$T$3</f>
        <v>161.31880000000001</v>
      </c>
      <c r="AD43" s="31">
        <f>TRANSICAO!$AD$43*CUSTOS!$T$3</f>
        <v>0</v>
      </c>
      <c r="AE43" s="31">
        <v>0</v>
      </c>
      <c r="AF43" s="31">
        <v>0</v>
      </c>
      <c r="AG43" s="31"/>
      <c r="AH43" s="31">
        <f>(1 - CUSTOS!$M$29)*22.3655</f>
        <v>22.365500000000001</v>
      </c>
      <c r="AI43" s="31">
        <f>(1 - CUSTOS!$M$29)*22.3655</f>
        <v>22.365500000000001</v>
      </c>
      <c r="AJ43" s="31">
        <f ca="1">$N$64*(1-CUSTOS!$M$29)</f>
        <v>0.30960862482533341</v>
      </c>
      <c r="AK43" s="31">
        <f t="shared" ca="1" si="0"/>
        <v>0.30960862482533341</v>
      </c>
      <c r="AL43" s="31"/>
      <c r="AM43" s="31"/>
      <c r="AP43" s="31">
        <f>IF((1 - CUSTOS!$M$29)&lt;&gt;0,1/(1 - CUSTOS!$M$29),1)</f>
        <v>1</v>
      </c>
    </row>
    <row r="44" spans="1:42" ht="11.25" customHeight="1" x14ac:dyDescent="0.25">
      <c r="A44" s="149"/>
      <c r="B44" s="149"/>
      <c r="C44" s="149"/>
      <c r="D44" s="56" t="s">
        <v>91</v>
      </c>
      <c r="E44" s="56" t="s">
        <v>25</v>
      </c>
      <c r="F44" s="56" t="s">
        <v>25</v>
      </c>
      <c r="G44" s="57" t="s">
        <v>78</v>
      </c>
      <c r="H44" s="57" t="s">
        <v>74</v>
      </c>
      <c r="I44" s="57">
        <f>'MERCADO TUSD'!$U$41</f>
        <v>0</v>
      </c>
      <c r="J44" s="15"/>
      <c r="L44" s="31">
        <f>1*(1 - CUSTOS!$M$30)</f>
        <v>1</v>
      </c>
      <c r="M44" s="31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CUSTOS!$M$30)</f>
        <v>0.77039559947633307</v>
      </c>
      <c r="N44" s="31">
        <f ca="1">(+M44+O44+R44+U44+V44+W44+X44+Y44+Z44+AA44+AC44+AH44+AI44+AJ44+AK44)*CUSTOS!$M$5</f>
        <v>2.9953751284912697</v>
      </c>
      <c r="O44" s="31">
        <f>1 - CUSTOS!$M$30</f>
        <v>1</v>
      </c>
      <c r="P44" s="31">
        <f>1 - CUSTOS!$M$30</f>
        <v>1</v>
      </c>
      <c r="Q44" s="31">
        <f>1*(1 - CUSTOS!$M$30)</f>
        <v>1</v>
      </c>
      <c r="R44" s="31">
        <f>1 - CUSTOS!$M$30</f>
        <v>1</v>
      </c>
      <c r="S44" s="31">
        <f>1 - CUSTOS!$M$30</f>
        <v>1</v>
      </c>
      <c r="T44" s="31"/>
      <c r="U44" s="31">
        <f>TRANSICAO!$U$44*CUSTOS!$T$3</f>
        <v>0</v>
      </c>
      <c r="V44" s="31">
        <f>TRANSICAO!$V$44*CUSTOS!$T$3</f>
        <v>0</v>
      </c>
      <c r="W44" s="31">
        <f>TRANSICAO!$W$44*CUSTOS!$T$3</f>
        <v>0</v>
      </c>
      <c r="X44" s="31">
        <f>TRANSICAO!$X$44*CUSTOS!$T$3</f>
        <v>0</v>
      </c>
      <c r="Y44" s="31">
        <f>TRANSICAO!$Y$44*CUSTOS!$T$3</f>
        <v>90.098100000000002</v>
      </c>
      <c r="Z44" s="31">
        <f>TRANSICAO!$Z$44*CUSTOS!$T$3</f>
        <v>0</v>
      </c>
      <c r="AA44" s="31">
        <f>TRANSICAO!$AA$44*CUSTOS!$T$3</f>
        <v>0</v>
      </c>
      <c r="AB44" s="31">
        <f>TRANSICAO!$AB$44*CUSTOS!$T$3</f>
        <v>0</v>
      </c>
      <c r="AC44" s="31">
        <f>TRANSICAO!$AC$44*CUSTOS!$T$3</f>
        <v>161.31880000000001</v>
      </c>
      <c r="AD44" s="31">
        <f>TRANSICAO!$AD$44*CUSTOS!$T$3</f>
        <v>0</v>
      </c>
      <c r="AE44" s="31">
        <v>0</v>
      </c>
      <c r="AF44" s="31">
        <v>0</v>
      </c>
      <c r="AG44" s="31"/>
      <c r="AH44" s="31">
        <f>(1 - CUSTOS!$M$30)*22.3655</f>
        <v>22.365500000000001</v>
      </c>
      <c r="AI44" s="31">
        <f>(1 - CUSTOS!$M$30)*22.3655</f>
        <v>22.365500000000001</v>
      </c>
      <c r="AJ44" s="31">
        <f ca="1">$N$64*(1-CUSTOS!$M$30)</f>
        <v>0.30960862482533341</v>
      </c>
      <c r="AK44" s="31">
        <f t="shared" ca="1" si="0"/>
        <v>0.30960862482533341</v>
      </c>
      <c r="AL44" s="31"/>
      <c r="AM44" s="31"/>
      <c r="AP44" s="31">
        <f>IF((1 - CUSTOS!$M$30)&lt;&gt;0,1/(1 - CUSTOS!$M$30),1)</f>
        <v>1</v>
      </c>
    </row>
    <row r="45" spans="1:42" ht="11.25" customHeight="1" x14ac:dyDescent="0.25">
      <c r="A45" s="149" t="s">
        <v>33</v>
      </c>
      <c r="B45" s="149" t="s">
        <v>50</v>
      </c>
      <c r="C45" s="149" t="s">
        <v>25</v>
      </c>
      <c r="D45" s="149" t="s">
        <v>25</v>
      </c>
      <c r="E45" s="149" t="s">
        <v>25</v>
      </c>
      <c r="F45" s="149" t="s">
        <v>25</v>
      </c>
      <c r="G45" s="57" t="s">
        <v>75</v>
      </c>
      <c r="H45" s="57" t="s">
        <v>74</v>
      </c>
      <c r="I45" s="57">
        <f>'MERCADO TUSD'!$U$42</f>
        <v>1.1399999999999999</v>
      </c>
      <c r="J45" s="15"/>
      <c r="L45" s="31">
        <f>1*(1 - CUSTOS!$M$31)</f>
        <v>1</v>
      </c>
      <c r="M45" s="31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CUSTOS!$M$31)</f>
        <v>0.77039559947633307</v>
      </c>
      <c r="N45" s="31">
        <f ca="1">(+M45+O45+R45+U45+V45+W45+X45+Y45+Z45+AA45+AC45+AH45+AI45+AJ45+AK45)*CUSTOS!$M$5</f>
        <v>9.2807981284912717</v>
      </c>
      <c r="O45" s="31">
        <f>1 - CUSTOS!$M$31</f>
        <v>1</v>
      </c>
      <c r="P45" s="31">
        <f>1 - CUSTOS!$M$31</f>
        <v>1</v>
      </c>
      <c r="Q45" s="31">
        <f>1*(1 - CUSTOS!$M$31)</f>
        <v>1</v>
      </c>
      <c r="R45" s="31">
        <f>1 - CUSTOS!$M$31</f>
        <v>1</v>
      </c>
      <c r="S45" s="31">
        <f>1 - CUSTOS!$M$31</f>
        <v>1</v>
      </c>
      <c r="T45" s="31"/>
      <c r="U45" s="31">
        <f>TRANSICAO!$U$45*CUSTOS!$T$3</f>
        <v>0</v>
      </c>
      <c r="V45" s="31">
        <f>TRANSICAO!$V$45*CUSTOS!$T$3</f>
        <v>0</v>
      </c>
      <c r="W45" s="31">
        <f>TRANSICAO!$W$45*CUSTOS!$T$3</f>
        <v>0</v>
      </c>
      <c r="X45" s="31">
        <f>TRANSICAO!$X$45*CUSTOS!$T$3</f>
        <v>0</v>
      </c>
      <c r="Y45" s="31">
        <f>TRANSICAO!$Y$45*CUSTOS!$T$3</f>
        <v>315.3433</v>
      </c>
      <c r="Z45" s="31">
        <f>TRANSICAO!$Z$45*CUSTOS!$T$3</f>
        <v>0</v>
      </c>
      <c r="AA45" s="31">
        <f>TRANSICAO!$AA$45*CUSTOS!$T$3</f>
        <v>0</v>
      </c>
      <c r="AB45" s="31">
        <f>TRANSICAO!$AB$45*CUSTOS!$T$3</f>
        <v>0</v>
      </c>
      <c r="AC45" s="31">
        <f>TRANSICAO!$AC$45*CUSTOS!$T$3</f>
        <v>564.61590000000001</v>
      </c>
      <c r="AD45" s="31">
        <f>TRANSICAO!$AD$45*CUSTOS!$T$3</f>
        <v>0</v>
      </c>
      <c r="AE45" s="31">
        <v>0</v>
      </c>
      <c r="AF45" s="31">
        <v>0</v>
      </c>
      <c r="AG45" s="31"/>
      <c r="AH45" s="31">
        <f>(1 - CUSTOS!$M$31)*22.3655</f>
        <v>22.365500000000001</v>
      </c>
      <c r="AI45" s="31">
        <f>(1 - CUSTOS!$M$31)*22.3655</f>
        <v>22.365500000000001</v>
      </c>
      <c r="AJ45" s="31">
        <f ca="1">$N$64*(1-CUSTOS!$M$31)</f>
        <v>0.30960862482533341</v>
      </c>
      <c r="AK45" s="31">
        <f t="shared" ca="1" si="0"/>
        <v>0.30960862482533341</v>
      </c>
      <c r="AL45" s="31"/>
      <c r="AM45" s="31"/>
      <c r="AP45" s="31">
        <f>IF((1 - CUSTOS!$M$31)&lt;&gt;0,1/(1 - CUSTOS!$M$31),1)</f>
        <v>1</v>
      </c>
    </row>
    <row r="46" spans="1:42" ht="11.25" customHeight="1" x14ac:dyDescent="0.25">
      <c r="A46" s="149"/>
      <c r="B46" s="149"/>
      <c r="C46" s="149"/>
      <c r="D46" s="149"/>
      <c r="E46" s="149"/>
      <c r="F46" s="149"/>
      <c r="G46" s="57" t="s">
        <v>87</v>
      </c>
      <c r="H46" s="57" t="s">
        <v>74</v>
      </c>
      <c r="I46" s="57">
        <f>'MERCADO TUSD'!$U$43</f>
        <v>1.5340000000000003</v>
      </c>
      <c r="J46" s="15"/>
      <c r="L46" s="31">
        <f>1*(1 - CUSTOS!$M$31)</f>
        <v>1</v>
      </c>
      <c r="M46" s="31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CUSTOS!$M$31)</f>
        <v>0.77039559947633307</v>
      </c>
      <c r="N46" s="31">
        <f ca="1">(+M46+O46+R46+U46+V46+W46+X46+Y46+Z46+AA46+AC46+AH46+AI46+AJ46+AK46)*CUSTOS!$M$5</f>
        <v>5.760961128491271</v>
      </c>
      <c r="O46" s="31">
        <f>1 - CUSTOS!$M$31</f>
        <v>1</v>
      </c>
      <c r="P46" s="31">
        <f>1 - CUSTOS!$M$31</f>
        <v>1</v>
      </c>
      <c r="Q46" s="31">
        <f>1*(1 - CUSTOS!$M$31)</f>
        <v>1</v>
      </c>
      <c r="R46" s="31">
        <f>1 - CUSTOS!$M$31</f>
        <v>1</v>
      </c>
      <c r="S46" s="31">
        <f>1 - CUSTOS!$M$31</f>
        <v>1</v>
      </c>
      <c r="T46" s="31"/>
      <c r="U46" s="31">
        <f>TRANSICAO!$U$46*CUSTOS!$T$3</f>
        <v>0</v>
      </c>
      <c r="V46" s="31">
        <f>TRANSICAO!$V$46*CUSTOS!$T$3</f>
        <v>0</v>
      </c>
      <c r="W46" s="31">
        <f>TRANSICAO!$W$46*CUSTOS!$T$3</f>
        <v>0</v>
      </c>
      <c r="X46" s="31">
        <f>TRANSICAO!$X$46*CUSTOS!$T$3</f>
        <v>0</v>
      </c>
      <c r="Y46" s="31">
        <f>TRANSICAO!$Y$46*CUSTOS!$T$3</f>
        <v>189.20599999999999</v>
      </c>
      <c r="Z46" s="31">
        <f>TRANSICAO!$Z$46*CUSTOS!$T$3</f>
        <v>0</v>
      </c>
      <c r="AA46" s="31">
        <f>TRANSICAO!$AA$46*CUSTOS!$T$3</f>
        <v>0</v>
      </c>
      <c r="AB46" s="31">
        <f>TRANSICAO!$AB$46*CUSTOS!$T$3</f>
        <v>0</v>
      </c>
      <c r="AC46" s="31">
        <f>TRANSICAO!$AC$46*CUSTOS!$T$3</f>
        <v>338.76949999999999</v>
      </c>
      <c r="AD46" s="31">
        <f>TRANSICAO!$AD$46*CUSTOS!$T$3</f>
        <v>0</v>
      </c>
      <c r="AE46" s="31">
        <v>0</v>
      </c>
      <c r="AF46" s="31">
        <v>0</v>
      </c>
      <c r="AG46" s="31"/>
      <c r="AH46" s="31">
        <f>(1 - CUSTOS!$M$31)*22.3655</f>
        <v>22.365500000000001</v>
      </c>
      <c r="AI46" s="31">
        <f>(1 - CUSTOS!$M$31)*22.3655</f>
        <v>22.365500000000001</v>
      </c>
      <c r="AJ46" s="31">
        <f ca="1">$N$64*(1-CUSTOS!$M$31)</f>
        <v>0.30960862482533341</v>
      </c>
      <c r="AK46" s="31">
        <f t="shared" ca="1" si="0"/>
        <v>0.30960862482533341</v>
      </c>
      <c r="AL46" s="31"/>
      <c r="AM46" s="31"/>
      <c r="AP46" s="31">
        <f>IF((1 - CUSTOS!$M$31)&lt;&gt;0,1/(1 - CUSTOS!$M$31),1)</f>
        <v>1</v>
      </c>
    </row>
    <row r="47" spans="1:42" ht="11.25" customHeight="1" x14ac:dyDescent="0.25">
      <c r="A47" s="149"/>
      <c r="B47" s="149"/>
      <c r="C47" s="149"/>
      <c r="D47" s="149"/>
      <c r="E47" s="149"/>
      <c r="F47" s="149"/>
      <c r="G47" s="57" t="s">
        <v>76</v>
      </c>
      <c r="H47" s="57" t="s">
        <v>74</v>
      </c>
      <c r="I47" s="57">
        <f>'MERCADO TUSD'!$U$44</f>
        <v>27.193000000000005</v>
      </c>
      <c r="J47" s="15"/>
      <c r="L47" s="31">
        <f>1*(1 - CUSTOS!$M$31)</f>
        <v>1</v>
      </c>
      <c r="M47" s="31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CUSTOS!$M$31)</f>
        <v>0.77039559947633307</v>
      </c>
      <c r="N47" s="31">
        <f ca="1">(+M47+O47+R47+U47+V47+W47+X47+Y47+Z47+AA47+AC47+AH47+AI47+AJ47+AK47)*CUSTOS!$M$5</f>
        <v>2.2411251284912699</v>
      </c>
      <c r="O47" s="31">
        <f>1 - CUSTOS!$M$31</f>
        <v>1</v>
      </c>
      <c r="P47" s="31">
        <f>1 - CUSTOS!$M$31</f>
        <v>1</v>
      </c>
      <c r="Q47" s="31">
        <f>1*(1 - CUSTOS!$M$31)</f>
        <v>1</v>
      </c>
      <c r="R47" s="31">
        <f>1 - CUSTOS!$M$31</f>
        <v>1</v>
      </c>
      <c r="S47" s="31">
        <f>1 - CUSTOS!$M$31</f>
        <v>1</v>
      </c>
      <c r="T47" s="31"/>
      <c r="U47" s="31">
        <f>TRANSICAO!$U$47*CUSTOS!$T$3</f>
        <v>0</v>
      </c>
      <c r="V47" s="31">
        <f>TRANSICAO!$V$47*CUSTOS!$T$3</f>
        <v>0</v>
      </c>
      <c r="W47" s="31">
        <f>TRANSICAO!$W$47*CUSTOS!$T$3</f>
        <v>0</v>
      </c>
      <c r="X47" s="31">
        <f>TRANSICAO!$X$47*CUSTOS!$T$3</f>
        <v>0</v>
      </c>
      <c r="Y47" s="31">
        <f>TRANSICAO!$Y$47*CUSTOS!$T$3</f>
        <v>63.0687</v>
      </c>
      <c r="Z47" s="31">
        <f>TRANSICAO!$Z$47*CUSTOS!$T$3</f>
        <v>0</v>
      </c>
      <c r="AA47" s="31">
        <f>TRANSICAO!$AA$47*CUSTOS!$T$3</f>
        <v>0</v>
      </c>
      <c r="AB47" s="31">
        <f>TRANSICAO!$AB$47*CUSTOS!$T$3</f>
        <v>0</v>
      </c>
      <c r="AC47" s="31">
        <f>TRANSICAO!$AC$47*CUSTOS!$T$3</f>
        <v>112.92319999999999</v>
      </c>
      <c r="AD47" s="31">
        <f>TRANSICAO!$AD$47*CUSTOS!$T$3</f>
        <v>0</v>
      </c>
      <c r="AE47" s="31">
        <v>0</v>
      </c>
      <c r="AF47" s="31">
        <v>0</v>
      </c>
      <c r="AG47" s="31"/>
      <c r="AH47" s="31">
        <f>(1 - CUSTOS!$M$31)*22.3655</f>
        <v>22.365500000000001</v>
      </c>
      <c r="AI47" s="31">
        <f>(1 - CUSTOS!$M$31)*22.3655</f>
        <v>22.365500000000001</v>
      </c>
      <c r="AJ47" s="31">
        <f ca="1">$N$64*(1-CUSTOS!$M$31)</f>
        <v>0.30960862482533341</v>
      </c>
      <c r="AK47" s="31">
        <f t="shared" ca="1" si="0"/>
        <v>0.30960862482533341</v>
      </c>
      <c r="AL47" s="31"/>
      <c r="AM47" s="31"/>
      <c r="AP47" s="31">
        <f>IF((1 - CUSTOS!$M$31)&lt;&gt;0,1/(1 - CUSTOS!$M$31),1)</f>
        <v>1</v>
      </c>
    </row>
    <row r="48" spans="1:42" ht="11.25" customHeight="1" x14ac:dyDescent="0.25">
      <c r="A48" s="149"/>
      <c r="B48" s="56" t="s">
        <v>23</v>
      </c>
      <c r="C48" s="56" t="s">
        <v>25</v>
      </c>
      <c r="D48" s="56" t="s">
        <v>25</v>
      </c>
      <c r="E48" s="56" t="s">
        <v>25</v>
      </c>
      <c r="F48" s="56" t="s">
        <v>25</v>
      </c>
      <c r="G48" s="57" t="s">
        <v>78</v>
      </c>
      <c r="H48" s="57" t="s">
        <v>74</v>
      </c>
      <c r="I48" s="57">
        <f>'MERCADO TUSD'!$U$45</f>
        <v>29180.755000000001</v>
      </c>
      <c r="J48" s="15"/>
      <c r="L48" s="31">
        <f>1*(1 - CUSTOS!$M$31)</f>
        <v>1</v>
      </c>
      <c r="M48" s="31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CUSTOS!$M$31)</f>
        <v>0.77039559947633307</v>
      </c>
      <c r="N48" s="31">
        <f ca="1">(+M48+O48+R48+U48+V48+W48+X48+Y48+Z48+AA48+AC48+AH48+AI48+AJ48+AK48)*CUSTOS!$M$5</f>
        <v>2.9953751284912697</v>
      </c>
      <c r="O48" s="31">
        <f>1 - CUSTOS!$M$31</f>
        <v>1</v>
      </c>
      <c r="P48" s="31">
        <f>1 - CUSTOS!$M$31</f>
        <v>1</v>
      </c>
      <c r="Q48" s="31">
        <f>1*(1 - CUSTOS!$M$31)</f>
        <v>1</v>
      </c>
      <c r="R48" s="31">
        <f>1 - CUSTOS!$M$31</f>
        <v>1</v>
      </c>
      <c r="S48" s="31">
        <f>1 - CUSTOS!$M$31</f>
        <v>1</v>
      </c>
      <c r="T48" s="31"/>
      <c r="U48" s="31">
        <f>TRANSICAO!$U$48*CUSTOS!$T$3</f>
        <v>0</v>
      </c>
      <c r="V48" s="31">
        <f>TRANSICAO!$V$48*CUSTOS!$T$3</f>
        <v>0</v>
      </c>
      <c r="W48" s="31">
        <f>TRANSICAO!$W$48*CUSTOS!$T$3</f>
        <v>0</v>
      </c>
      <c r="X48" s="31">
        <f>TRANSICAO!$X$48*CUSTOS!$T$3</f>
        <v>0</v>
      </c>
      <c r="Y48" s="31">
        <f>TRANSICAO!$Y$48*CUSTOS!$T$3</f>
        <v>90.098100000000002</v>
      </c>
      <c r="Z48" s="31">
        <f>TRANSICAO!$Z$48*CUSTOS!$T$3</f>
        <v>0</v>
      </c>
      <c r="AA48" s="31">
        <f>TRANSICAO!$AA$48*CUSTOS!$T$3</f>
        <v>0</v>
      </c>
      <c r="AB48" s="31">
        <f>TRANSICAO!$AB$48*CUSTOS!$T$3</f>
        <v>0</v>
      </c>
      <c r="AC48" s="31">
        <f>TRANSICAO!$AC$48*CUSTOS!$T$3</f>
        <v>161.31880000000001</v>
      </c>
      <c r="AD48" s="31">
        <f>TRANSICAO!$AD$48*CUSTOS!$T$3</f>
        <v>0</v>
      </c>
      <c r="AE48" s="31">
        <v>0</v>
      </c>
      <c r="AF48" s="31">
        <v>0</v>
      </c>
      <c r="AG48" s="31"/>
      <c r="AH48" s="31">
        <f>(1 - CUSTOS!$M$31)*22.3655</f>
        <v>22.365500000000001</v>
      </c>
      <c r="AI48" s="31">
        <f>(1 - CUSTOS!$M$31)*22.3655</f>
        <v>22.365500000000001</v>
      </c>
      <c r="AJ48" s="31">
        <f ca="1">$N$64*(1-CUSTOS!$M$31)</f>
        <v>0.30960862482533341</v>
      </c>
      <c r="AK48" s="31">
        <f t="shared" ca="1" si="0"/>
        <v>0.30960862482533341</v>
      </c>
      <c r="AL48" s="31"/>
      <c r="AM48" s="31"/>
      <c r="AP48" s="31">
        <f>IF((1 - CUSTOS!$M$31)&lt;&gt;0,1/(1 - CUSTOS!$M$31),1)</f>
        <v>1</v>
      </c>
    </row>
    <row r="49" spans="1:42" ht="11.25" customHeight="1" x14ac:dyDescent="0.25">
      <c r="A49" s="149"/>
      <c r="B49" s="56" t="s">
        <v>89</v>
      </c>
      <c r="C49" s="56" t="s">
        <v>25</v>
      </c>
      <c r="D49" s="56" t="s">
        <v>25</v>
      </c>
      <c r="E49" s="56" t="s">
        <v>25</v>
      </c>
      <c r="F49" s="56" t="s">
        <v>25</v>
      </c>
      <c r="G49" s="57" t="s">
        <v>78</v>
      </c>
      <c r="H49" s="57" t="s">
        <v>74</v>
      </c>
      <c r="I49" s="57">
        <f>'MERCADO TUSD'!$U$46</f>
        <v>0</v>
      </c>
      <c r="J49" s="15"/>
      <c r="L49" s="31">
        <f>1*(1 - CUSTOS!$M$31)</f>
        <v>1</v>
      </c>
      <c r="M49" s="31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CUSTOS!$M$31)</f>
        <v>0.77039559947633307</v>
      </c>
      <c r="N49" s="31">
        <f ca="1">(+M49+O49+R49+U49+V49+W49+X49+Y49+Z49+AA49+AC49+AH49+AI49+AJ49+AK49)*CUSTOS!$M$5</f>
        <v>2.9953751284912697</v>
      </c>
      <c r="O49" s="31">
        <f>1 - CUSTOS!$M$31</f>
        <v>1</v>
      </c>
      <c r="P49" s="31">
        <f>1 - CUSTOS!$M$31</f>
        <v>1</v>
      </c>
      <c r="Q49" s="31">
        <f>1*(1 - CUSTOS!$M$31)</f>
        <v>1</v>
      </c>
      <c r="R49" s="31">
        <f>1 - CUSTOS!$M$31</f>
        <v>1</v>
      </c>
      <c r="S49" s="31">
        <f>1 - CUSTOS!$M$31</f>
        <v>1</v>
      </c>
      <c r="T49" s="31"/>
      <c r="U49" s="31">
        <f>TRANSICAO!$U$49*CUSTOS!$T$3</f>
        <v>0</v>
      </c>
      <c r="V49" s="31">
        <f>TRANSICAO!$V$49*CUSTOS!$T$3</f>
        <v>0</v>
      </c>
      <c r="W49" s="31">
        <f>TRANSICAO!$W$49*CUSTOS!$T$3</f>
        <v>0</v>
      </c>
      <c r="X49" s="31">
        <f>TRANSICAO!$X$49*CUSTOS!$T$3</f>
        <v>0</v>
      </c>
      <c r="Y49" s="31">
        <f>TRANSICAO!$Y$49*CUSTOS!$T$3</f>
        <v>90.098100000000002</v>
      </c>
      <c r="Z49" s="31">
        <f>TRANSICAO!$Z$49*CUSTOS!$T$3</f>
        <v>0</v>
      </c>
      <c r="AA49" s="31">
        <f>TRANSICAO!$AA$49*CUSTOS!$T$3</f>
        <v>0</v>
      </c>
      <c r="AB49" s="31">
        <f>TRANSICAO!$AB$49*CUSTOS!$T$3</f>
        <v>0</v>
      </c>
      <c r="AC49" s="31">
        <f>TRANSICAO!$AC$49*CUSTOS!$T$3</f>
        <v>161.31880000000001</v>
      </c>
      <c r="AD49" s="31">
        <f>TRANSICAO!$AD$49*CUSTOS!$T$3</f>
        <v>0</v>
      </c>
      <c r="AE49" s="31">
        <v>0</v>
      </c>
      <c r="AF49" s="31">
        <v>0</v>
      </c>
      <c r="AG49" s="31"/>
      <c r="AH49" s="31">
        <f>(1 - CUSTOS!$M$31)*22.3655</f>
        <v>22.365500000000001</v>
      </c>
      <c r="AI49" s="31">
        <f>(1 - CUSTOS!$M$31)*22.3655</f>
        <v>22.365500000000001</v>
      </c>
      <c r="AJ49" s="31">
        <f ca="1">$N$64*(1-CUSTOS!$M$31)</f>
        <v>0.30960862482533341</v>
      </c>
      <c r="AK49" s="31">
        <f t="shared" ca="1" si="0"/>
        <v>0.30960862482533341</v>
      </c>
      <c r="AL49" s="31"/>
      <c r="AM49" s="31"/>
      <c r="AP49" s="31">
        <f>IF((1 - CUSTOS!$M$31)&lt;&gt;0,1/(1 - CUSTOS!$M$31),1)</f>
        <v>1</v>
      </c>
    </row>
    <row r="50" spans="1:42" ht="11.25" customHeight="1" x14ac:dyDescent="0.25">
      <c r="A50" s="149" t="s">
        <v>44</v>
      </c>
      <c r="B50" s="149" t="s">
        <v>23</v>
      </c>
      <c r="C50" s="149" t="s">
        <v>45</v>
      </c>
      <c r="D50" s="56" t="s">
        <v>46</v>
      </c>
      <c r="E50" s="56" t="s">
        <v>25</v>
      </c>
      <c r="F50" s="56" t="s">
        <v>25</v>
      </c>
      <c r="G50" s="57" t="s">
        <v>78</v>
      </c>
      <c r="H50" s="57" t="s">
        <v>74</v>
      </c>
      <c r="I50" s="57">
        <f>'MERCADO TUSD'!$U$47</f>
        <v>11805.242</v>
      </c>
      <c r="J50" s="15"/>
      <c r="L50" s="31">
        <f>1*(1 - CUSTOS!$M$32)</f>
        <v>0.55000000000000004</v>
      </c>
      <c r="M50" s="31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CUSTOS!$M$32)</f>
        <v>0.42371757971198321</v>
      </c>
      <c r="N50" s="31">
        <f ca="1">(+M50+O50+R50+U50+V50+W50+X50+Y50+Z50+AA50+AC50+AH50+AI50+AJ50+AK50)*CUSTOS!$M$5</f>
        <v>1.6474563206701986</v>
      </c>
      <c r="O50" s="31">
        <f>1 - CUSTOS!$M$32</f>
        <v>0.55000000000000004</v>
      </c>
      <c r="P50" s="31">
        <f>1 - CUSTOS!$M$32</f>
        <v>0.55000000000000004</v>
      </c>
      <c r="Q50" s="31">
        <f>1*(1 - CUSTOS!$M$32)</f>
        <v>0.55000000000000004</v>
      </c>
      <c r="R50" s="31">
        <f>1 - CUSTOS!$M$32</f>
        <v>0.55000000000000004</v>
      </c>
      <c r="S50" s="31">
        <f>1 - CUSTOS!$M$32</f>
        <v>0.55000000000000004</v>
      </c>
      <c r="T50" s="31"/>
      <c r="U50" s="31">
        <f>TRANSICAO!$U$50*CUSTOS!$T$3</f>
        <v>0</v>
      </c>
      <c r="V50" s="31">
        <f>TRANSICAO!$V$50*CUSTOS!$T$3</f>
        <v>0</v>
      </c>
      <c r="W50" s="31">
        <f>TRANSICAO!$W$50*CUSTOS!$T$3</f>
        <v>0</v>
      </c>
      <c r="X50" s="31">
        <f>TRANSICAO!$X$50*CUSTOS!$T$3</f>
        <v>0</v>
      </c>
      <c r="Y50" s="31">
        <f>TRANSICAO!$Y$50*CUSTOS!$T$3</f>
        <v>49.553955000000002</v>
      </c>
      <c r="Z50" s="31">
        <f>TRANSICAO!$Z$50*CUSTOS!$T$3</f>
        <v>0</v>
      </c>
      <c r="AA50" s="31">
        <f>TRANSICAO!$AA$50*CUSTOS!$T$3</f>
        <v>0</v>
      </c>
      <c r="AB50" s="31">
        <f>TRANSICAO!$AB$50*CUSTOS!$T$3</f>
        <v>0</v>
      </c>
      <c r="AC50" s="31">
        <f>TRANSICAO!$AC$50*CUSTOS!$T$3</f>
        <v>88.725340000000017</v>
      </c>
      <c r="AD50" s="31">
        <f>TRANSICAO!$AD$50*CUSTOS!$T$3</f>
        <v>0</v>
      </c>
      <c r="AE50" s="31">
        <v>0</v>
      </c>
      <c r="AF50" s="31">
        <v>0</v>
      </c>
      <c r="AG50" s="31"/>
      <c r="AH50" s="31">
        <f>(1 - CUSTOS!$M$32)*22.3655</f>
        <v>12.301025000000001</v>
      </c>
      <c r="AI50" s="31">
        <f>(1 - CUSTOS!$M$32)*22.3655</f>
        <v>12.301025000000001</v>
      </c>
      <c r="AJ50" s="31">
        <f ca="1">$N$64*(1-CUSTOS!$M$32)</f>
        <v>0.1702847436539334</v>
      </c>
      <c r="AK50" s="31">
        <f t="shared" ca="1" si="0"/>
        <v>0.1702847436539334</v>
      </c>
      <c r="AL50" s="31"/>
      <c r="AM50" s="31"/>
      <c r="AP50" s="31">
        <f>IF((1 - CUSTOS!$M$32)&lt;&gt;0,1/(1 - CUSTOS!$M$32),1)</f>
        <v>1.8181818181818181</v>
      </c>
    </row>
    <row r="51" spans="1:42" ht="11.25" customHeight="1" x14ac:dyDescent="0.25">
      <c r="A51" s="149"/>
      <c r="B51" s="149"/>
      <c r="C51" s="149"/>
      <c r="D51" s="57" t="s">
        <v>92</v>
      </c>
      <c r="E51" s="57" t="s">
        <v>25</v>
      </c>
      <c r="F51" s="57" t="s">
        <v>25</v>
      </c>
      <c r="G51" s="57" t="s">
        <v>78</v>
      </c>
      <c r="H51" s="57" t="s">
        <v>74</v>
      </c>
      <c r="I51" s="57">
        <f>'MERCADO TUSD'!$U$48</f>
        <v>0</v>
      </c>
      <c r="J51" s="15"/>
      <c r="L51" s="31">
        <f>1*(1 - CUSTOS!$M$33)</f>
        <v>0.6</v>
      </c>
      <c r="M51" s="31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CUSTOS!$M$33)</f>
        <v>0.46223735968579982</v>
      </c>
      <c r="N51" s="31">
        <f ca="1">(+M51+O51+R51+U51+V51+W51+X51+Y51+Z51+AA51+AC51+AH51+AI51+AJ51+AK51)*CUSTOS!$M$5</f>
        <v>1.797225077094762</v>
      </c>
      <c r="O51" s="31">
        <f>1 - CUSTOS!$M$33</f>
        <v>0.6</v>
      </c>
      <c r="P51" s="31">
        <f>1 - CUSTOS!$M$33</f>
        <v>0.6</v>
      </c>
      <c r="Q51" s="31">
        <f>1*(1 - CUSTOS!$M$33)</f>
        <v>0.6</v>
      </c>
      <c r="R51" s="31">
        <f>1 - CUSTOS!$M$33</f>
        <v>0.6</v>
      </c>
      <c r="S51" s="31">
        <f>1 - CUSTOS!$M$33</f>
        <v>0.6</v>
      </c>
      <c r="T51" s="31"/>
      <c r="U51" s="31">
        <f>TRANSICAO!$U$51*CUSTOS!$T$3</f>
        <v>0</v>
      </c>
      <c r="V51" s="31">
        <f>TRANSICAO!$V$51*CUSTOS!$T$3</f>
        <v>0</v>
      </c>
      <c r="W51" s="31">
        <f>TRANSICAO!$W$51*CUSTOS!$T$3</f>
        <v>0</v>
      </c>
      <c r="X51" s="31">
        <f>TRANSICAO!$X$51*CUSTOS!$T$3</f>
        <v>0</v>
      </c>
      <c r="Y51" s="31">
        <f>TRANSICAO!$Y$51*CUSTOS!$T$3</f>
        <v>54.058860000000003</v>
      </c>
      <c r="Z51" s="31">
        <f>TRANSICAO!$Z$51*CUSTOS!$T$3</f>
        <v>0</v>
      </c>
      <c r="AA51" s="31">
        <f>TRANSICAO!$AA$51*CUSTOS!$T$3</f>
        <v>0</v>
      </c>
      <c r="AB51" s="31">
        <f>TRANSICAO!$AB$51*CUSTOS!$T$3</f>
        <v>0</v>
      </c>
      <c r="AC51" s="31">
        <f>TRANSICAO!$AC$51*CUSTOS!$T$3</f>
        <v>96.79128</v>
      </c>
      <c r="AD51" s="31">
        <f>TRANSICAO!$AD$51*CUSTOS!$T$3</f>
        <v>0</v>
      </c>
      <c r="AE51" s="31">
        <v>0</v>
      </c>
      <c r="AF51" s="31">
        <v>0</v>
      </c>
      <c r="AG51" s="31"/>
      <c r="AH51" s="31">
        <f>(1 - CUSTOS!$M$33)*22.3655</f>
        <v>13.4193</v>
      </c>
      <c r="AI51" s="31">
        <f>(1 - CUSTOS!$M$33)*22.3655</f>
        <v>13.4193</v>
      </c>
      <c r="AJ51" s="31">
        <f ca="1">$N$64*(1-CUSTOS!$M$33)</f>
        <v>0.18576517489520003</v>
      </c>
      <c r="AK51" s="31">
        <f t="shared" ca="1" si="0"/>
        <v>0.18576517489520003</v>
      </c>
      <c r="AL51" s="31"/>
      <c r="AM51" s="31"/>
      <c r="AP51" s="31">
        <f>IF((1 - CUSTOS!$M$33)&lt;&gt;0,1/(1 - CUSTOS!$M$33),1)</f>
        <v>1.6666666666666667</v>
      </c>
    </row>
    <row r="53" spans="1:42" ht="11.25" customHeight="1" x14ac:dyDescent="0.25">
      <c r="K53" s="55" t="s">
        <v>564</v>
      </c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</row>
    <row r="54" spans="1:42" ht="11.25" customHeight="1" x14ac:dyDescent="0.25">
      <c r="K54" s="55" t="s">
        <v>565</v>
      </c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</row>
    <row r="55" spans="1:42" ht="11.25" customHeight="1" x14ac:dyDescent="0.25">
      <c r="K55" s="55" t="s">
        <v>566</v>
      </c>
      <c r="L55" s="31">
        <f>IF(ISERROR(+SUMPRODUCT($L$5:$L$8,$I$5:$I$8)+SUMPRODUCT($L$9:$L$9,$I$9:$I$9)+SUMPRODUCT($L$10:$L$14,$I$10:$I$14)+SUMPRODUCT($L$15:$L$16,$I$15:$I$16)+SUMPRODUCT($L$17:$L$19,$I$17:$I$19)+SUMPRODUCT($L$20:$L$24,$I$20:$I$24)+SUMPRODUCT($L$25:$L$29,$I$25:$I$29)+SUMPRODUCT($L$30:$L$32,$I$30:$I$32)+SUMPRODUCT($L$33:$L$33,$I$33:$I$33)+SUMPRODUCT($L$34:$L$36,$I$34:$I$36)+SUMPRODUCT($L$37:$L$37,$I$37:$I$37)+SUMPRODUCT($L$38:$L$40,$I$38:$I$40)+SUMPRODUCT($L$41:$L$41,$I$41:$I$41)+SUMPRODUCT($L$42:$L$44,$I$42:$I$44)+SUMPRODUCT($L$45:$L$47,$I$45:$I$47)+SUMPRODUCT($L$48:$L$48,$I$48:$I$48)+SUMPRODUCT($L$49:$L$49,$I$49:$I$49)+SUMPRODUCT($L$50:$L$51,$I$50:$I$51)),0,+SUMPRODUCT($L$5:$L$8,$I$5:$I$8)+SUMPRODUCT($L$9:$L$9,$I$9:$I$9)+SUMPRODUCT($L$10:$L$14,$I$10:$I$14)+SUMPRODUCT($L$15:$L$16,$I$15:$I$16)+SUMPRODUCT($L$17:$L$19,$I$17:$I$19)+SUMPRODUCT($L$20:$L$24,$I$20:$I$24)+SUMPRODUCT($L$25:$L$29,$I$25:$I$29)+SUMPRODUCT($L$30:$L$32,$I$30:$I$32)+SUMPRODUCT($L$33:$L$33,$I$33:$I$33)+SUMPRODUCT($L$34:$L$36,$I$34:$I$36)+SUMPRODUCT($L$37:$L$37,$I$37:$I$37)+SUMPRODUCT($L$38:$L$40,$I$38:$I$40)+SUMPRODUCT($L$41:$L$41,$I$41:$I$41)+SUMPRODUCT($L$42:$L$44,$I$42:$I$44)+SUMPRODUCT($L$45:$L$47,$I$45:$I$47)+SUMPRODUCT($L$48:$L$48,$I$48:$I$48)+SUMPRODUCT($L$49:$L$49,$I$49:$I$49)+SUMPRODUCT($L$50:$L$51,$I$50:$I$51))</f>
        <v>221857.42637999999</v>
      </c>
      <c r="M55" s="31">
        <f>IF(ISERROR(+SUMPRODUCT($M$5:$M$8,$I$5:$I$8)+SUMPRODUCT($M$9:$M$9,$I$9:$I$9)+SUMPRODUCT($M$10:$M$14,$I$10:$I$14)+SUMPRODUCT($M$15:$M$16,$I$15:$I$16)+SUMPRODUCT($M$17:$M$19,$I$17:$I$19)+SUMPRODUCT($M$20:$M$24,$I$20:$I$24)+SUMPRODUCT($M$25:$M$29,$I$25:$I$29)+SUMPRODUCT($M$30:$M$32,$I$30:$I$32)+SUMPRODUCT($M$33:$M$33,$I$33:$I$33)+SUMPRODUCT($M$34:$M$36,$I$34:$I$36)+SUMPRODUCT($M$37:$M$37,$I$37:$I$37)+SUMPRODUCT($M$38:$M$40,$I$38:$I$40)+SUMPRODUCT($M$41:$M$41,$I$41:$I$41)+SUMPRODUCT($M$42:$M$44,$I$42:$I$44)+SUMPRODUCT($M$45:$M$47,$I$45:$I$47)+SUMPRODUCT($M$48:$M$48,$I$48:$I$48)+SUMPRODUCT($M$49:$M$49,$I$49:$I$49)+SUMPRODUCT($M$50:$M$51,$I$50:$I$51)),0,+SUMPRODUCT($M$5:$M$8,$I$5:$I$8)+SUMPRODUCT($M$9:$M$9,$I$9:$I$9)+SUMPRODUCT($M$10:$M$14,$I$10:$I$14)+SUMPRODUCT($M$15:$M$16,$I$15:$I$16)+SUMPRODUCT($M$17:$M$19,$I$17:$I$19)+SUMPRODUCT($M$20:$M$24,$I$20:$I$24)+SUMPRODUCT($M$25:$M$29,$I$25:$I$29)+SUMPRODUCT($M$30:$M$32,$I$30:$I$32)+SUMPRODUCT($M$33:$M$33,$I$33:$I$33)+SUMPRODUCT($M$34:$M$36,$I$34:$I$36)+SUMPRODUCT($M$37:$M$37,$I$37:$I$37)+SUMPRODUCT($M$38:$M$40,$I$38:$I$40)+SUMPRODUCT($M$41:$M$41,$I$41:$I$41)+SUMPRODUCT($M$42:$M$44,$I$42:$I$44)+SUMPRODUCT($M$45:$M$47,$I$45:$I$47)+SUMPRODUCT($M$48:$M$48,$I$48:$I$48)+SUMPRODUCT($M$49:$M$49,$I$49:$I$49)+SUMPRODUCT($M$50:$M$51,$I$50:$I$51))</f>
        <v>128069.73589396817</v>
      </c>
      <c r="N55" s="31">
        <f ca="1">IF(ISERROR(+SUMPRODUCT($N$5:$N$8,$I$5:$I$8)+SUMPRODUCT($N$9:$N$9,$I$9:$I$9)+SUMPRODUCT($N$10:$N$14,$I$10:$I$14)+SUMPRODUCT($N$15:$N$16,$I$15:$I$16)+SUMPRODUCT($N$17:$N$19,$I$17:$I$19)+SUMPRODUCT($N$20:$N$24,$I$20:$I$24)+SUMPRODUCT($N$25:$N$29,$I$25:$I$29)+SUMPRODUCT($N$30:$N$32,$I$30:$I$32)+SUMPRODUCT($N$33:$N$33,$I$33:$I$33)+SUMPRODUCT($N$34:$N$36,$I$34:$I$36)+SUMPRODUCT($N$37:$N$37,$I$37:$I$37)+SUMPRODUCT($N$38:$N$40,$I$38:$I$40)+SUMPRODUCT($N$41:$N$41,$I$41:$I$41)+SUMPRODUCT($N$42:$N$44,$I$42:$I$44)+SUMPRODUCT($N$45:$N$47,$I$45:$I$47)+SUMPRODUCT($N$48:$N$48,$I$48:$I$48)+SUMPRODUCT($N$49:$N$49,$I$49:$I$49)+SUMPRODUCT($N$50:$N$51,$I$50:$I$51)),0,+SUMPRODUCT($N$5:$N$8,$I$5:$I$8)+SUMPRODUCT($N$9:$N$9,$I$9:$I$9)+SUMPRODUCT($N$10:$N$14,$I$10:$I$14)+SUMPRODUCT($N$15:$N$16,$I$15:$I$16)+SUMPRODUCT($N$17:$N$19,$I$17:$I$19)+SUMPRODUCT($N$20:$N$24,$I$20:$I$24)+SUMPRODUCT($N$25:$N$29,$I$25:$I$29)+SUMPRODUCT($N$30:$N$32,$I$30:$I$32)+SUMPRODUCT($N$33:$N$33,$I$33:$I$33)+SUMPRODUCT($N$34:$N$36,$I$34:$I$36)+SUMPRODUCT($N$37:$N$37,$I$37:$I$37)+SUMPRODUCT($N$38:$N$40,$I$38:$I$40)+SUMPRODUCT($N$41:$N$41,$I$41:$I$41)+SUMPRODUCT($N$42:$N$44,$I$42:$I$44)+SUMPRODUCT($N$45:$N$47,$I$45:$I$47)+SUMPRODUCT($N$48:$N$48,$I$48:$I$48)+SUMPRODUCT($N$49:$N$49,$I$49:$I$49)+SUMPRODUCT($N$50:$N$51,$I$50:$I$51))</f>
        <v>464044.68694573769</v>
      </c>
      <c r="O55" s="31">
        <f>IF(ISERROR(+SUMPRODUCT($O$5:$O$8,$I$5:$I$8)+SUMPRODUCT($O$9:$O$9,$I$9:$I$9)+SUMPRODUCT($O$10:$O$14,$I$10:$I$14)+SUMPRODUCT($O$15:$O$16,$I$15:$I$16)+SUMPRODUCT($O$17:$O$19,$I$17:$I$19)+SUMPRODUCT($O$20:$O$24,$I$20:$I$24)+SUMPRODUCT($O$25:$O$29,$I$25:$I$29)+SUMPRODUCT($O$30:$O$32,$I$30:$I$32)+SUMPRODUCT($O$33:$O$33,$I$33:$I$33)+SUMPRODUCT($O$34:$O$36,$I$34:$I$36)+SUMPRODUCT($O$37:$O$37,$I$37:$I$37)+SUMPRODUCT($O$38:$O$40,$I$38:$I$40)+SUMPRODUCT($O$41:$O$41,$I$41:$I$41)+SUMPRODUCT($O$42:$O$44,$I$42:$I$44)+SUMPRODUCT($O$45:$O$47,$I$45:$I$47)+SUMPRODUCT($O$48:$O$48,$I$48:$I$48)+SUMPRODUCT($O$49:$O$49,$I$49:$I$49)+SUMPRODUCT($O$50:$O$51,$I$50:$I$51)),0,+SUMPRODUCT($O$5:$O$8,$I$5:$I$8)+SUMPRODUCT($O$9:$O$9,$I$9:$I$9)+SUMPRODUCT($O$10:$O$14,$I$10:$I$14)+SUMPRODUCT($O$15:$O$16,$I$15:$I$16)+SUMPRODUCT($O$17:$O$19,$I$17:$I$19)+SUMPRODUCT($O$20:$O$24,$I$20:$I$24)+SUMPRODUCT($O$25:$O$29,$I$25:$I$29)+SUMPRODUCT($O$30:$O$32,$I$30:$I$32)+SUMPRODUCT($O$33:$O$33,$I$33:$I$33)+SUMPRODUCT($O$34:$O$36,$I$34:$I$36)+SUMPRODUCT($O$37:$O$37,$I$37:$I$37)+SUMPRODUCT($O$38:$O$40,$I$38:$I$40)+SUMPRODUCT($O$41:$O$41,$I$41:$I$41)+SUMPRODUCT($O$42:$O$44,$I$42:$I$44)+SUMPRODUCT($O$45:$O$47,$I$45:$I$47)+SUMPRODUCT($O$48:$O$48,$I$48:$I$48)+SUMPRODUCT($O$49:$O$49,$I$49:$I$49)+SUMPRODUCT($O$50:$O$51,$I$50:$I$51))</f>
        <v>245304.22310000003</v>
      </c>
      <c r="P55" s="31">
        <f>IF(ISERROR(+SUMPRODUCT($P$5:$P$8,$I$5:$I$8)+SUMPRODUCT($P$9:$P$9,$I$9:$I$9)+SUMPRODUCT($P$10:$P$14,$I$10:$I$14)+SUMPRODUCT($P$15:$P$16,$I$15:$I$16)+SUMPRODUCT($P$17:$P$19,$I$17:$I$19)+SUMPRODUCT($P$20:$P$24,$I$20:$I$24)+SUMPRODUCT($P$25:$P$29,$I$25:$I$29)+SUMPRODUCT($P$30:$P$32,$I$30:$I$32)+SUMPRODUCT($P$33:$P$33,$I$33:$I$33)+SUMPRODUCT($P$34:$P$36,$I$34:$I$36)+SUMPRODUCT($P$37:$P$37,$I$37:$I$37)+SUMPRODUCT($P$38:$P$40,$I$38:$I$40)+SUMPRODUCT($P$41:$P$41,$I$41:$I$41)+SUMPRODUCT($P$42:$P$44,$I$42:$I$44)+SUMPRODUCT($P$45:$P$47,$I$45:$I$47)+SUMPRODUCT($P$48:$P$48,$I$48:$I$48)+SUMPRODUCT($P$49:$P$49,$I$49:$I$49)+SUMPRODUCT($P$50:$P$51,$I$50:$I$51)),0,+SUMPRODUCT($P$5:$P$8,$I$5:$I$8)+SUMPRODUCT($P$9:$P$9,$I$9:$I$9)+SUMPRODUCT($P$10:$P$14,$I$10:$I$14)+SUMPRODUCT($P$15:$P$16,$I$15:$I$16)+SUMPRODUCT($P$17:$P$19,$I$17:$I$19)+SUMPRODUCT($P$20:$P$24,$I$20:$I$24)+SUMPRODUCT($P$25:$P$29,$I$25:$I$29)+SUMPRODUCT($P$30:$P$32,$I$30:$I$32)+SUMPRODUCT($P$33:$P$33,$I$33:$I$33)+SUMPRODUCT($P$34:$P$36,$I$34:$I$36)+SUMPRODUCT($P$37:$P$37,$I$37:$I$37)+SUMPRODUCT($P$38:$P$40,$I$38:$I$40)+SUMPRODUCT($P$41:$P$41,$I$41:$I$41)+SUMPRODUCT($P$42:$P$44,$I$42:$I$44)+SUMPRODUCT($P$45:$P$47,$I$45:$I$47)+SUMPRODUCT($P$48:$P$48,$I$48:$I$48)+SUMPRODUCT($P$49:$P$49,$I$49:$I$49)+SUMPRODUCT($P$50:$P$51,$I$50:$I$51))</f>
        <v>242144.74909999999</v>
      </c>
      <c r="Q55" s="31">
        <f>IF(ISERROR(+SUMPRODUCT($Q$5:$Q$8,$I$5:$I$8)+SUMPRODUCT($Q$9:$Q$9,$I$9:$I$9)+SUMPRODUCT($Q$10:$Q$14,$I$10:$I$14)+SUMPRODUCT($Q$15:$Q$16,$I$15:$I$16)+SUMPRODUCT($Q$17:$Q$19,$I$17:$I$19)+SUMPRODUCT($Q$20:$Q$24,$I$20:$I$24)+SUMPRODUCT($Q$25:$Q$29,$I$25:$I$29)+SUMPRODUCT($Q$30:$Q$32,$I$30:$I$32)+SUMPRODUCT($Q$33:$Q$33,$I$33:$I$33)+SUMPRODUCT($Q$34:$Q$36,$I$34:$I$36)+SUMPRODUCT($Q$37:$Q$37,$I$37:$I$37)+SUMPRODUCT($Q$38:$Q$40,$I$38:$I$40)+SUMPRODUCT($Q$41:$Q$41,$I$41:$I$41)+SUMPRODUCT($Q$42:$Q$44,$I$42:$I$44)+SUMPRODUCT($Q$45:$Q$47,$I$45:$I$47)+SUMPRODUCT($Q$48:$Q$48,$I$48:$I$48)+SUMPRODUCT($Q$49:$Q$49,$I$49:$I$49)+SUMPRODUCT($Q$50:$Q$51,$I$50:$I$51)),0,+SUMPRODUCT($Q$5:$Q$8,$I$5:$I$8)+SUMPRODUCT($Q$9:$Q$9,$I$9:$I$9)+SUMPRODUCT($Q$10:$Q$14,$I$10:$I$14)+SUMPRODUCT($Q$15:$Q$16,$I$15:$I$16)+SUMPRODUCT($Q$17:$Q$19,$I$17:$I$19)+SUMPRODUCT($Q$20:$Q$24,$I$20:$I$24)+SUMPRODUCT($Q$25:$Q$29,$I$25:$I$29)+SUMPRODUCT($Q$30:$Q$32,$I$30:$I$32)+SUMPRODUCT($Q$33:$Q$33,$I$33:$I$33)+SUMPRODUCT($Q$34:$Q$36,$I$34:$I$36)+SUMPRODUCT($Q$37:$Q$37,$I$37:$I$37)+SUMPRODUCT($Q$38:$Q$40,$I$38:$I$40)+SUMPRODUCT($Q$41:$Q$41,$I$41:$I$41)+SUMPRODUCT($Q$42:$Q$44,$I$42:$I$44)+SUMPRODUCT($Q$45:$Q$47,$I$45:$I$47)+SUMPRODUCT($Q$48:$Q$48,$I$48:$I$48)+SUMPRODUCT($Q$49:$Q$49,$I$49:$I$49)+SUMPRODUCT($Q$50:$Q$51,$I$50:$I$51))</f>
        <v>221857.42637999999</v>
      </c>
      <c r="R55" s="31">
        <f>IF(ISERROR(+SUMPRODUCT($R$5:$R$8,$I$5:$I$8)+SUMPRODUCT($R$9:$R$9,$I$9:$I$9)+SUMPRODUCT($R$10:$R$14,$I$10:$I$14)+SUMPRODUCT($R$15:$R$16,$I$15:$I$16)+SUMPRODUCT($R$17:$R$19,$I$17:$I$19)+SUMPRODUCT($R$20:$R$24,$I$20:$I$24)+SUMPRODUCT($R$25:$R$29,$I$25:$I$29)+SUMPRODUCT($R$30:$R$32,$I$30:$I$32)+SUMPRODUCT($R$33:$R$33,$I$33:$I$33)+SUMPRODUCT($R$34:$R$36,$I$34:$I$36)+SUMPRODUCT($R$37:$R$37,$I$37:$I$37)+SUMPRODUCT($R$38:$R$40,$I$38:$I$40)+SUMPRODUCT($R$41:$R$41,$I$41:$I$41)+SUMPRODUCT($R$42:$R$44,$I$42:$I$44)+SUMPRODUCT($R$45:$R$47,$I$45:$I$47)+SUMPRODUCT($R$48:$R$48,$I$48:$I$48)+SUMPRODUCT($R$49:$R$49,$I$49:$I$49)+SUMPRODUCT($R$50:$R$51,$I$50:$I$51)),0,+SUMPRODUCT($R$5:$R$8,$I$5:$I$8)+SUMPRODUCT($R$9:$R$9,$I$9:$I$9)+SUMPRODUCT($R$10:$R$14,$I$10:$I$14)+SUMPRODUCT($R$15:$R$16,$I$15:$I$16)+SUMPRODUCT($R$17:$R$19,$I$17:$I$19)+SUMPRODUCT($R$20:$R$24,$I$20:$I$24)+SUMPRODUCT($R$25:$R$29,$I$25:$I$29)+SUMPRODUCT($R$30:$R$32,$I$30:$I$32)+SUMPRODUCT($R$33:$R$33,$I$33:$I$33)+SUMPRODUCT($R$34:$R$36,$I$34:$I$36)+SUMPRODUCT($R$37:$R$37,$I$37:$I$37)+SUMPRODUCT($R$38:$R$40,$I$38:$I$40)+SUMPRODUCT($R$41:$R$41,$I$41:$I$41)+SUMPRODUCT($R$42:$R$44,$I$42:$I$44)+SUMPRODUCT($R$45:$R$47,$I$45:$I$47)+SUMPRODUCT($R$48:$R$48,$I$48:$I$48)+SUMPRODUCT($R$49:$R$49,$I$49:$I$49)+SUMPRODUCT($R$50:$R$51,$I$50:$I$51))</f>
        <v>242144.74909999999</v>
      </c>
      <c r="S55" s="31">
        <f>IF(ISERROR(+SUMPRODUCT($S$5:$S$8,$I$5:$I$8)+SUMPRODUCT($S$9:$S$9,$I$9:$I$9)+SUMPRODUCT($S$10:$S$14,$I$10:$I$14)+SUMPRODUCT($S$15:$S$16,$I$15:$I$16)+SUMPRODUCT($S$17:$S$19,$I$17:$I$19)+SUMPRODUCT($S$20:$S$24,$I$20:$I$24)+SUMPRODUCT($S$25:$S$29,$I$25:$I$29)+SUMPRODUCT($S$30:$S$32,$I$30:$I$32)+SUMPRODUCT($S$33:$S$33,$I$33:$I$33)+SUMPRODUCT($S$34:$S$36,$I$34:$I$36)+SUMPRODUCT($S$37:$S$37,$I$37:$I$37)+SUMPRODUCT($S$38:$S$40,$I$38:$I$40)+SUMPRODUCT($S$41:$S$41,$I$41:$I$41)+SUMPRODUCT($S$42:$S$44,$I$42:$I$44)+SUMPRODUCT($S$45:$S$47,$I$45:$I$47)+SUMPRODUCT($S$48:$S$48,$I$48:$I$48)+SUMPRODUCT($S$49:$S$49,$I$49:$I$49)+SUMPRODUCT($S$50:$S$51,$I$50:$I$51)),0,+SUMPRODUCT($S$5:$S$8,$I$5:$I$8)+SUMPRODUCT($S$9:$S$9,$I$9:$I$9)+SUMPRODUCT($S$10:$S$14,$I$10:$I$14)+SUMPRODUCT($S$15:$S$16,$I$15:$I$16)+SUMPRODUCT($S$17:$S$19,$I$17:$I$19)+SUMPRODUCT($S$20:$S$24,$I$20:$I$24)+SUMPRODUCT($S$25:$S$29,$I$25:$I$29)+SUMPRODUCT($S$30:$S$32,$I$30:$I$32)+SUMPRODUCT($S$33:$S$33,$I$33:$I$33)+SUMPRODUCT($S$34:$S$36,$I$34:$I$36)+SUMPRODUCT($S$37:$S$37,$I$37:$I$37)+SUMPRODUCT($S$38:$S$40,$I$38:$I$40)+SUMPRODUCT($S$41:$S$41,$I$41:$I$41)+SUMPRODUCT($S$42:$S$44,$I$42:$I$44)+SUMPRODUCT($S$45:$S$47,$I$45:$I$47)+SUMPRODUCT($S$48:$S$48,$I$48:$I$48)+SUMPRODUCT($S$49:$S$49,$I$49:$I$49)+SUMPRODUCT($S$50:$S$51,$I$50:$I$51))</f>
        <v>245304.22310000003</v>
      </c>
      <c r="T55" s="31"/>
      <c r="U55" s="31">
        <f>IF(ISERROR(+SUMPRODUCT($U$5:$U$8,$I$5:$I$8)+SUMPRODUCT($U$9:$U$9,$I$9:$I$9)+SUMPRODUCT($U$10:$U$14,$I$10:$I$14)+SUMPRODUCT($U$15:$U$16,$I$15:$I$16)+SUMPRODUCT($U$17:$U$19,$I$17:$I$19)+SUMPRODUCT($U$20:$U$24,$I$20:$I$24)+SUMPRODUCT($U$25:$U$29,$I$25:$I$29)+SUMPRODUCT($U$30:$U$32,$I$30:$I$32)+SUMPRODUCT($U$33:$U$33,$I$33:$I$33)+SUMPRODUCT($U$34:$U$36,$I$34:$I$36)+SUMPRODUCT($U$37:$U$37,$I$37:$I$37)+SUMPRODUCT($U$38:$U$40,$I$38:$I$40)+SUMPRODUCT($U$41:$U$41,$I$41:$I$41)+SUMPRODUCT($U$42:$U$44,$I$42:$I$44)+SUMPRODUCT($U$45:$U$47,$I$45:$I$47)+SUMPRODUCT($U$48:$U$48,$I$48:$I$48)+SUMPRODUCT($U$49:$U$49,$I$49:$I$49)+SUMPRODUCT($U$50:$U$51,$I$50:$I$51)),0,+SUMPRODUCT($U$5:$U$8,$I$5:$I$8)+SUMPRODUCT($U$9:$U$9,$I$9:$I$9)+SUMPRODUCT($U$10:$U$14,$I$10:$I$14)+SUMPRODUCT($U$15:$U$16,$I$15:$I$16)+SUMPRODUCT($U$17:$U$19,$I$17:$I$19)+SUMPRODUCT($U$20:$U$24,$I$20:$I$24)+SUMPRODUCT($U$25:$U$29,$I$25:$I$29)+SUMPRODUCT($U$30:$U$32,$I$30:$I$32)+SUMPRODUCT($U$33:$U$33,$I$33:$I$33)+SUMPRODUCT($U$34:$U$36,$I$34:$I$36)+SUMPRODUCT($U$37:$U$37,$I$37:$I$37)+SUMPRODUCT($U$38:$U$40,$I$38:$I$40)+SUMPRODUCT($U$41:$U$41,$I$41:$I$41)+SUMPRODUCT($U$42:$U$44,$I$42:$I$44)+SUMPRODUCT($U$45:$U$47,$I$45:$I$47)+SUMPRODUCT($U$48:$U$48,$I$48:$I$48)+SUMPRODUCT($U$49:$U$49,$I$49:$I$49)+SUMPRODUCT($U$50:$U$51,$I$50:$I$51))</f>
        <v>0</v>
      </c>
      <c r="V55" s="31">
        <f>IF(ISERROR(+SUMPRODUCT($V$5:$V$8,$I$5:$I$8)+SUMPRODUCT($V$9:$V$9,$I$9:$I$9)+SUMPRODUCT($V$10:$V$14,$I$10:$I$14)+SUMPRODUCT($V$15:$V$16,$I$15:$I$16)+SUMPRODUCT($V$17:$V$19,$I$17:$I$19)+SUMPRODUCT($V$20:$V$24,$I$20:$I$24)+SUMPRODUCT($V$25:$V$29,$I$25:$I$29)+SUMPRODUCT($V$30:$V$32,$I$30:$I$32)+SUMPRODUCT($V$33:$V$33,$I$33:$I$33)+SUMPRODUCT($V$34:$V$36,$I$34:$I$36)+SUMPRODUCT($V$37:$V$37,$I$37:$I$37)+SUMPRODUCT($V$38:$V$40,$I$38:$I$40)+SUMPRODUCT($V$41:$V$41,$I$41:$I$41)+SUMPRODUCT($V$42:$V$44,$I$42:$I$44)+SUMPRODUCT($V$45:$V$47,$I$45:$I$47)+SUMPRODUCT($V$48:$V$48,$I$48:$I$48)+SUMPRODUCT($V$49:$V$49,$I$49:$I$49)+SUMPRODUCT($V$50:$V$51,$I$50:$I$51)),0,+SUMPRODUCT($V$5:$V$8,$I$5:$I$8)+SUMPRODUCT($V$9:$V$9,$I$9:$I$9)+SUMPRODUCT($V$10:$V$14,$I$10:$I$14)+SUMPRODUCT($V$15:$V$16,$I$15:$I$16)+SUMPRODUCT($V$17:$V$19,$I$17:$I$19)+SUMPRODUCT($V$20:$V$24,$I$20:$I$24)+SUMPRODUCT($V$25:$V$29,$I$25:$I$29)+SUMPRODUCT($V$30:$V$32,$I$30:$I$32)+SUMPRODUCT($V$33:$V$33,$I$33:$I$33)+SUMPRODUCT($V$34:$V$36,$I$34:$I$36)+SUMPRODUCT($V$37:$V$37,$I$37:$I$37)+SUMPRODUCT($V$38:$V$40,$I$38:$I$40)+SUMPRODUCT($V$41:$V$41,$I$41:$I$41)+SUMPRODUCT($V$42:$V$44,$I$42:$I$44)+SUMPRODUCT($V$45:$V$47,$I$45:$I$47)+SUMPRODUCT($V$48:$V$48,$I$48:$I$48)+SUMPRODUCT($V$49:$V$49,$I$49:$I$49)+SUMPRODUCT($V$50:$V$51,$I$50:$I$51))</f>
        <v>0</v>
      </c>
      <c r="W55" s="31">
        <f>IF(ISERROR(+SUMPRODUCT($W$5:$W$8,$I$5:$I$8)+SUMPRODUCT($W$9:$W$9,$I$9:$I$9)+SUMPRODUCT($W$10:$W$14,$I$10:$I$14)+SUMPRODUCT($W$15:$W$16,$I$15:$I$16)+SUMPRODUCT($W$17:$W$19,$I$17:$I$19)+SUMPRODUCT($W$20:$W$24,$I$20:$I$24)+SUMPRODUCT($W$25:$W$29,$I$25:$I$29)+SUMPRODUCT($W$30:$W$32,$I$30:$I$32)+SUMPRODUCT($W$33:$W$33,$I$33:$I$33)+SUMPRODUCT($W$34:$W$36,$I$34:$I$36)+SUMPRODUCT($W$37:$W$37,$I$37:$I$37)+SUMPRODUCT($W$38:$W$40,$I$38:$I$40)+SUMPRODUCT($W$41:$W$41,$I$41:$I$41)+SUMPRODUCT($W$42:$W$44,$I$42:$I$44)+SUMPRODUCT($W$45:$W$47,$I$45:$I$47)+SUMPRODUCT($W$48:$W$48,$I$48:$I$48)+SUMPRODUCT($W$49:$W$49,$I$49:$I$49)+SUMPRODUCT($W$50:$W$51,$I$50:$I$51)),0,+SUMPRODUCT($W$5:$W$8,$I$5:$I$8)+SUMPRODUCT($W$9:$W$9,$I$9:$I$9)+SUMPRODUCT($W$10:$W$14,$I$10:$I$14)+SUMPRODUCT($W$15:$W$16,$I$15:$I$16)+SUMPRODUCT($W$17:$W$19,$I$17:$I$19)+SUMPRODUCT($W$20:$W$24,$I$20:$I$24)+SUMPRODUCT($W$25:$W$29,$I$25:$I$29)+SUMPRODUCT($W$30:$W$32,$I$30:$I$32)+SUMPRODUCT($W$33:$W$33,$I$33:$I$33)+SUMPRODUCT($W$34:$W$36,$I$34:$I$36)+SUMPRODUCT($W$37:$W$37,$I$37:$I$37)+SUMPRODUCT($W$38:$W$40,$I$38:$I$40)+SUMPRODUCT($W$41:$W$41,$I$41:$I$41)+SUMPRODUCT($W$42:$W$44,$I$42:$I$44)+SUMPRODUCT($W$45:$W$47,$I$45:$I$47)+SUMPRODUCT($W$48:$W$48,$I$48:$I$48)+SUMPRODUCT($W$49:$W$49,$I$49:$I$49)+SUMPRODUCT($W$50:$W$51,$I$50:$I$51))</f>
        <v>0</v>
      </c>
      <c r="X55" s="31">
        <f>IF(ISERROR(+SUMPRODUCT($X$5:$X$8,$I$5:$I$8)+SUMPRODUCT($X$9:$X$9,$I$9:$I$9)+SUMPRODUCT($X$10:$X$14,$I$10:$I$14)+SUMPRODUCT($X$15:$X$16,$I$15:$I$16)+SUMPRODUCT($X$17:$X$19,$I$17:$I$19)+SUMPRODUCT($X$20:$X$24,$I$20:$I$24)+SUMPRODUCT($X$25:$X$29,$I$25:$I$29)+SUMPRODUCT($X$30:$X$32,$I$30:$I$32)+SUMPRODUCT($X$33:$X$33,$I$33:$I$33)+SUMPRODUCT($X$34:$X$36,$I$34:$I$36)+SUMPRODUCT($X$37:$X$37,$I$37:$I$37)+SUMPRODUCT($X$38:$X$40,$I$38:$I$40)+SUMPRODUCT($X$41:$X$41,$I$41:$I$41)+SUMPRODUCT($X$42:$X$44,$I$42:$I$44)+SUMPRODUCT($X$45:$X$47,$I$45:$I$47)+SUMPRODUCT($X$48:$X$48,$I$48:$I$48)+SUMPRODUCT($X$49:$X$49,$I$49:$I$49)+SUMPRODUCT($X$50:$X$51,$I$50:$I$51)),0,+SUMPRODUCT($X$5:$X$8,$I$5:$I$8)+SUMPRODUCT($X$9:$X$9,$I$9:$I$9)+SUMPRODUCT($X$10:$X$14,$I$10:$I$14)+SUMPRODUCT($X$15:$X$16,$I$15:$I$16)+SUMPRODUCT($X$17:$X$19,$I$17:$I$19)+SUMPRODUCT($X$20:$X$24,$I$20:$I$24)+SUMPRODUCT($X$25:$X$29,$I$25:$I$29)+SUMPRODUCT($X$30:$X$32,$I$30:$I$32)+SUMPRODUCT($X$33:$X$33,$I$33:$I$33)+SUMPRODUCT($X$34:$X$36,$I$34:$I$36)+SUMPRODUCT($X$37:$X$37,$I$37:$I$37)+SUMPRODUCT($X$38:$X$40,$I$38:$I$40)+SUMPRODUCT($X$41:$X$41,$I$41:$I$41)+SUMPRODUCT($X$42:$X$44,$I$42:$I$44)+SUMPRODUCT($X$45:$X$47,$I$45:$I$47)+SUMPRODUCT($X$48:$X$48,$I$48:$I$48)+SUMPRODUCT($X$49:$X$49,$I$49:$I$49)+SUMPRODUCT($X$50:$X$51,$I$50:$I$51))</f>
        <v>0</v>
      </c>
      <c r="Y55" s="31">
        <f>IF(ISERROR(+SUMPRODUCT($Y$5:$Y$8,$I$5:$I$8)+SUMPRODUCT($Y$9:$Y$9,$I$9:$I$9)+SUMPRODUCT($Y$10:$Y$14,$I$10:$I$14)+SUMPRODUCT($Y$15:$Y$16,$I$15:$I$16)+SUMPRODUCT($Y$17:$Y$19,$I$17:$I$19)+SUMPRODUCT($Y$20:$Y$24,$I$20:$I$24)+SUMPRODUCT($Y$25:$Y$29,$I$25:$I$29)+SUMPRODUCT($Y$30:$Y$32,$I$30:$I$32)+SUMPRODUCT($Y$33:$Y$33,$I$33:$I$33)+SUMPRODUCT($Y$34:$Y$36,$I$34:$I$36)+SUMPRODUCT($Y$37:$Y$37,$I$37:$I$37)+SUMPRODUCT($Y$38:$Y$40,$I$38:$I$40)+SUMPRODUCT($Y$41:$Y$41,$I$41:$I$41)+SUMPRODUCT($Y$42:$Y$44,$I$42:$I$44)+SUMPRODUCT($Y$45:$Y$47,$I$45:$I$47)+SUMPRODUCT($Y$48:$Y$48,$I$48:$I$48)+SUMPRODUCT($Y$49:$Y$49,$I$49:$I$49)+SUMPRODUCT($Y$50:$Y$51,$I$50:$I$51)),0,+SUMPRODUCT($Y$5:$Y$8,$I$5:$I$8)+SUMPRODUCT($Y$9:$Y$9,$I$9:$I$9)+SUMPRODUCT($Y$10:$Y$14,$I$10:$I$14)+SUMPRODUCT($Y$15:$Y$16,$I$15:$I$16)+SUMPRODUCT($Y$17:$Y$19,$I$17:$I$19)+SUMPRODUCT($Y$20:$Y$24,$I$20:$I$24)+SUMPRODUCT($Y$25:$Y$29,$I$25:$I$29)+SUMPRODUCT($Y$30:$Y$32,$I$30:$I$32)+SUMPRODUCT($Y$33:$Y$33,$I$33:$I$33)+SUMPRODUCT($Y$34:$Y$36,$I$34:$I$36)+SUMPRODUCT($Y$37:$Y$37,$I$37:$I$37)+SUMPRODUCT($Y$38:$Y$40,$I$38:$I$40)+SUMPRODUCT($Y$41:$Y$41,$I$41:$I$41)+SUMPRODUCT($Y$42:$Y$44,$I$42:$I$44)+SUMPRODUCT($Y$45:$Y$47,$I$45:$I$47)+SUMPRODUCT($Y$48:$Y$48,$I$48:$I$48)+SUMPRODUCT($Y$49:$Y$49,$I$49:$I$49)+SUMPRODUCT($Y$50:$Y$51,$I$50:$I$51))</f>
        <v>20195871.438246612</v>
      </c>
      <c r="Z55" s="31">
        <f>IF(ISERROR(+SUMPRODUCT($Z$5:$Z$8,$I$5:$I$8)+SUMPRODUCT($Z$9:$Z$9,$I$9:$I$9)+SUMPRODUCT($Z$10:$Z$14,$I$10:$I$14)+SUMPRODUCT($Z$15:$Z$16,$I$15:$I$16)+SUMPRODUCT($Z$17:$Z$19,$I$17:$I$19)+SUMPRODUCT($Z$20:$Z$24,$I$20:$I$24)+SUMPRODUCT($Z$25:$Z$29,$I$25:$I$29)+SUMPRODUCT($Z$30:$Z$32,$I$30:$I$32)+SUMPRODUCT($Z$33:$Z$33,$I$33:$I$33)+SUMPRODUCT($Z$34:$Z$36,$I$34:$I$36)+SUMPRODUCT($Z$37:$Z$37,$I$37:$I$37)+SUMPRODUCT($Z$38:$Z$40,$I$38:$I$40)+SUMPRODUCT($Z$41:$Z$41,$I$41:$I$41)+SUMPRODUCT($Z$42:$Z$44,$I$42:$I$44)+SUMPRODUCT($Z$45:$Z$47,$I$45:$I$47)+SUMPRODUCT($Z$48:$Z$48,$I$48:$I$48)+SUMPRODUCT($Z$49:$Z$49,$I$49:$I$49)+SUMPRODUCT($Z$50:$Z$51,$I$50:$I$51)),0,+SUMPRODUCT($Z$5:$Z$8,$I$5:$I$8)+SUMPRODUCT($Z$9:$Z$9,$I$9:$I$9)+SUMPRODUCT($Z$10:$Z$14,$I$10:$I$14)+SUMPRODUCT($Z$15:$Z$16,$I$15:$I$16)+SUMPRODUCT($Z$17:$Z$19,$I$17:$I$19)+SUMPRODUCT($Z$20:$Z$24,$I$20:$I$24)+SUMPRODUCT($Z$25:$Z$29,$I$25:$I$29)+SUMPRODUCT($Z$30:$Z$32,$I$30:$I$32)+SUMPRODUCT($Z$33:$Z$33,$I$33:$I$33)+SUMPRODUCT($Z$34:$Z$36,$I$34:$I$36)+SUMPRODUCT($Z$37:$Z$37,$I$37:$I$37)+SUMPRODUCT($Z$38:$Z$40,$I$38:$I$40)+SUMPRODUCT($Z$41:$Z$41,$I$41:$I$41)+SUMPRODUCT($Z$42:$Z$44,$I$42:$I$44)+SUMPRODUCT($Z$45:$Z$47,$I$45:$I$47)+SUMPRODUCT($Z$48:$Z$48,$I$48:$I$48)+SUMPRODUCT($Z$49:$Z$49,$I$49:$I$49)+SUMPRODUCT($Z$50:$Z$51,$I$50:$I$51))</f>
        <v>0</v>
      </c>
      <c r="AA55" s="31">
        <f>IF(ISERROR(+SUMPRODUCT($AA$5:$AA$8,$I$5:$I$8)+SUMPRODUCT($AA$9:$AA$9,$I$9:$I$9)+SUMPRODUCT($AA$10:$AA$14,$I$10:$I$14)+SUMPRODUCT($AA$15:$AA$16,$I$15:$I$16)+SUMPRODUCT($AA$17:$AA$19,$I$17:$I$19)+SUMPRODUCT($AA$20:$AA$24,$I$20:$I$24)+SUMPRODUCT($AA$25:$AA$29,$I$25:$I$29)+SUMPRODUCT($AA$30:$AA$32,$I$30:$I$32)+SUMPRODUCT($AA$33:$AA$33,$I$33:$I$33)+SUMPRODUCT($AA$34:$AA$36,$I$34:$I$36)+SUMPRODUCT($AA$37:$AA$37,$I$37:$I$37)+SUMPRODUCT($AA$38:$AA$40,$I$38:$I$40)+SUMPRODUCT($AA$41:$AA$41,$I$41:$I$41)+SUMPRODUCT($AA$42:$AA$44,$I$42:$I$44)+SUMPRODUCT($AA$45:$AA$47,$I$45:$I$47)+SUMPRODUCT($AA$48:$AA$48,$I$48:$I$48)+SUMPRODUCT($AA$49:$AA$49,$I$49:$I$49)+SUMPRODUCT($AA$50:$AA$51,$I$50:$I$51)),0,+SUMPRODUCT($AA$5:$AA$8,$I$5:$I$8)+SUMPRODUCT($AA$9:$AA$9,$I$9:$I$9)+SUMPRODUCT($AA$10:$AA$14,$I$10:$I$14)+SUMPRODUCT($AA$15:$AA$16,$I$15:$I$16)+SUMPRODUCT($AA$17:$AA$19,$I$17:$I$19)+SUMPRODUCT($AA$20:$AA$24,$I$20:$I$24)+SUMPRODUCT($AA$25:$AA$29,$I$25:$I$29)+SUMPRODUCT($AA$30:$AA$32,$I$30:$I$32)+SUMPRODUCT($AA$33:$AA$33,$I$33:$I$33)+SUMPRODUCT($AA$34:$AA$36,$I$34:$I$36)+SUMPRODUCT($AA$37:$AA$37,$I$37:$I$37)+SUMPRODUCT($AA$38:$AA$40,$I$38:$I$40)+SUMPRODUCT($AA$41:$AA$41,$I$41:$I$41)+SUMPRODUCT($AA$42:$AA$44,$I$42:$I$44)+SUMPRODUCT($AA$45:$AA$47,$I$45:$I$47)+SUMPRODUCT($AA$48:$AA$48,$I$48:$I$48)+SUMPRODUCT($AA$49:$AA$49,$I$49:$I$49)+SUMPRODUCT($AA$50:$AA$51,$I$50:$I$51))</f>
        <v>0</v>
      </c>
      <c r="AB55" s="31"/>
      <c r="AC55" s="31">
        <f>IF(ISERROR(+SUMPRODUCT($AC$5:$AC$8,$I$5:$I$8)+SUMPRODUCT($AC$9:$AC$9,$I$9:$I$9)+SUMPRODUCT($AC$10:$AC$14,$I$10:$I$14)+SUMPRODUCT($AC$15:$AC$16,$I$15:$I$16)+SUMPRODUCT($AC$17:$AC$19,$I$17:$I$19)+SUMPRODUCT($AC$20:$AC$24,$I$20:$I$24)+SUMPRODUCT($AC$25:$AC$29,$I$25:$I$29)+SUMPRODUCT($AC$30:$AC$32,$I$30:$I$32)+SUMPRODUCT($AC$33:$AC$33,$I$33:$I$33)+SUMPRODUCT($AC$34:$AC$36,$I$34:$I$36)+SUMPRODUCT($AC$37:$AC$37,$I$37:$I$37)+SUMPRODUCT($AC$38:$AC$40,$I$38:$I$40)+SUMPRODUCT($AC$41:$AC$41,$I$41:$I$41)+SUMPRODUCT($AC$42:$AC$44,$I$42:$I$44)+SUMPRODUCT($AC$45:$AC$47,$I$45:$I$47)+SUMPRODUCT($AC$48:$AC$48,$I$48:$I$48)+SUMPRODUCT($AC$49:$AC$49,$I$49:$I$49)+SUMPRODUCT($AC$50:$AC$51,$I$50:$I$51)),0,+SUMPRODUCT($AC$5:$AC$8,$I$5:$I$8)+SUMPRODUCT($AC$9:$AC$9,$I$9:$I$9)+SUMPRODUCT($AC$10:$AC$14,$I$10:$I$14)+SUMPRODUCT($AC$15:$AC$16,$I$15:$I$16)+SUMPRODUCT($AC$17:$AC$19,$I$17:$I$19)+SUMPRODUCT($AC$20:$AC$24,$I$20:$I$24)+SUMPRODUCT($AC$25:$AC$29,$I$25:$I$29)+SUMPRODUCT($AC$30:$AC$32,$I$30:$I$32)+SUMPRODUCT($AC$33:$AC$33,$I$33:$I$33)+SUMPRODUCT($AC$34:$AC$36,$I$34:$I$36)+SUMPRODUCT($AC$37:$AC$37,$I$37:$I$37)+SUMPRODUCT($AC$38:$AC$40,$I$38:$I$40)+SUMPRODUCT($AC$41:$AC$41,$I$41:$I$41)+SUMPRODUCT($AC$42:$AC$44,$I$42:$I$44)+SUMPRODUCT($AC$45:$AC$47,$I$45:$I$47)+SUMPRODUCT($AC$48:$AC$48,$I$48:$I$48)+SUMPRODUCT($AC$49:$AC$49,$I$49:$I$49)+SUMPRODUCT($AC$50:$AC$51,$I$50:$I$51))</f>
        <v>26816654.618588112</v>
      </c>
      <c r="AD55" s="31"/>
      <c r="AE55" s="31">
        <f>IF(ISERROR(+SUMPRODUCT($AE$5:$AE$8,$I$5:$I$8)+SUMPRODUCT($AE$9:$AE$9,$I$9:$I$9)+SUMPRODUCT($AE$10:$AE$14,$I$10:$I$14)+SUMPRODUCT($AE$15:$AE$16,$I$15:$I$16)+SUMPRODUCT($AE$17:$AE$19,$I$17:$I$19)+SUMPRODUCT($AE$20:$AE$24,$I$20:$I$24)+SUMPRODUCT($AE$25:$AE$29,$I$25:$I$29)+SUMPRODUCT($AE$30:$AE$32,$I$30:$I$32)+SUMPRODUCT($AE$33:$AE$33,$I$33:$I$33)+SUMPRODUCT($AE$34:$AE$36,$I$34:$I$36)+SUMPRODUCT($AE$37:$AE$37,$I$37:$I$37)+SUMPRODUCT($AE$38:$AE$40,$I$38:$I$40)+SUMPRODUCT($AE$41:$AE$41,$I$41:$I$41)+SUMPRODUCT($AE$42:$AE$44,$I$42:$I$44)+SUMPRODUCT($AE$45:$AE$47,$I$45:$I$47)+SUMPRODUCT($AE$48:$AE$48,$I$48:$I$48)+SUMPRODUCT($AE$49:$AE$49,$I$49:$I$49)+SUMPRODUCT($AE$50:$AE$51,$I$50:$I$51)),0,+SUMPRODUCT($AE$5:$AE$8,$I$5:$I$8)+SUMPRODUCT($AE$9:$AE$9,$I$9:$I$9)+SUMPRODUCT($AE$10:$AE$14,$I$10:$I$14)+SUMPRODUCT($AE$15:$AE$16,$I$15:$I$16)+SUMPRODUCT($AE$17:$AE$19,$I$17:$I$19)+SUMPRODUCT($AE$20:$AE$24,$I$20:$I$24)+SUMPRODUCT($AE$25:$AE$29,$I$25:$I$29)+SUMPRODUCT($AE$30:$AE$32,$I$30:$I$32)+SUMPRODUCT($AE$33:$AE$33,$I$33:$I$33)+SUMPRODUCT($AE$34:$AE$36,$I$34:$I$36)+SUMPRODUCT($AE$37:$AE$37,$I$37:$I$37)+SUMPRODUCT($AE$38:$AE$40,$I$38:$I$40)+SUMPRODUCT($AE$41:$AE$41,$I$41:$I$41)+SUMPRODUCT($AE$42:$AE$44,$I$42:$I$44)+SUMPRODUCT($AE$45:$AE$47,$I$45:$I$47)+SUMPRODUCT($AE$48:$AE$48,$I$48:$I$48)+SUMPRODUCT($AE$49:$AE$49,$I$49:$I$49)+SUMPRODUCT($AE$50:$AE$51,$I$50:$I$51))</f>
        <v>0</v>
      </c>
      <c r="AF55" s="31">
        <f>IF(ISERROR(+SUMPRODUCT($AF$5:$AF$8,$I$5:$I$8)+SUMPRODUCT($AF$9:$AF$9,$I$9:$I$9)+SUMPRODUCT($AF$10:$AF$14,$I$10:$I$14)+SUMPRODUCT($AF$15:$AF$16,$I$15:$I$16)+SUMPRODUCT($AF$17:$AF$19,$I$17:$I$19)+SUMPRODUCT($AF$20:$AF$24,$I$20:$I$24)+SUMPRODUCT($AF$25:$AF$29,$I$25:$I$29)+SUMPRODUCT($AF$30:$AF$32,$I$30:$I$32)+SUMPRODUCT($AF$33:$AF$33,$I$33:$I$33)+SUMPRODUCT($AF$34:$AF$36,$I$34:$I$36)+SUMPRODUCT($AF$37:$AF$37,$I$37:$I$37)+SUMPRODUCT($AF$38:$AF$40,$I$38:$I$40)+SUMPRODUCT($AF$41:$AF$41,$I$41:$I$41)+SUMPRODUCT($AF$42:$AF$44,$I$42:$I$44)+SUMPRODUCT($AF$45:$AF$47,$I$45:$I$47)+SUMPRODUCT($AF$48:$AF$48,$I$48:$I$48)+SUMPRODUCT($AF$49:$AF$49,$I$49:$I$49)+SUMPRODUCT($AF$50:$AF$51,$I$50:$I$51)),0,+SUMPRODUCT($AF$5:$AF$8,$I$5:$I$8)+SUMPRODUCT($AF$9:$AF$9,$I$9:$I$9)+SUMPRODUCT($AF$10:$AF$14,$I$10:$I$14)+SUMPRODUCT($AF$15:$AF$16,$I$15:$I$16)+SUMPRODUCT($AF$17:$AF$19,$I$17:$I$19)+SUMPRODUCT($AF$20:$AF$24,$I$20:$I$24)+SUMPRODUCT($AF$25:$AF$29,$I$25:$I$29)+SUMPRODUCT($AF$30:$AF$32,$I$30:$I$32)+SUMPRODUCT($AF$33:$AF$33,$I$33:$I$33)+SUMPRODUCT($AF$34:$AF$36,$I$34:$I$36)+SUMPRODUCT($AF$37:$AF$37,$I$37:$I$37)+SUMPRODUCT($AF$38:$AF$40,$I$38:$I$40)+SUMPRODUCT($AF$41:$AF$41,$I$41:$I$41)+SUMPRODUCT($AF$42:$AF$44,$I$42:$I$44)+SUMPRODUCT($AF$45:$AF$47,$I$45:$I$47)+SUMPRODUCT($AF$48:$AF$48,$I$48:$I$48)+SUMPRODUCT($AF$49:$AF$49,$I$49:$I$49)+SUMPRODUCT($AF$50:$AF$51,$I$50:$I$51))</f>
        <v>0</v>
      </c>
      <c r="AG55" s="31"/>
      <c r="AH55" s="31">
        <f>IF(ISERROR(+SUMPRODUCT($AH$5:$AH$8,$I$5:$I$8)+SUMPRODUCT($AH$9:$AH$9,$I$9:$I$9)+SUMPRODUCT($AH$10:$AH$14,$I$10:$I$14)+SUMPRODUCT($AH$15:$AH$16,$I$15:$I$16)+SUMPRODUCT($AH$17:$AH$19,$I$17:$I$19)+SUMPRODUCT($AH$20:$AH$24,$I$20:$I$24)+SUMPRODUCT($AH$25:$AH$29,$I$25:$I$29)+SUMPRODUCT($AH$30:$AH$32,$I$30:$I$32)+SUMPRODUCT($AH$33:$AH$33,$I$33:$I$33)+SUMPRODUCT($AH$34:$AH$36,$I$34:$I$36)+SUMPRODUCT($AH$37:$AH$37,$I$37:$I$37)+SUMPRODUCT($AH$38:$AH$40,$I$38:$I$40)+SUMPRODUCT($AH$41:$AH$41,$I$41:$I$41)+SUMPRODUCT($AH$42:$AH$44,$I$42:$I$44)+SUMPRODUCT($AH$45:$AH$47,$I$45:$I$47)+SUMPRODUCT($AH$48:$AH$48,$I$48:$I$48)+SUMPRODUCT($AH$49:$AH$49,$I$49:$I$49)+SUMPRODUCT($AH$50:$AH$51,$I$50:$I$51)),0,+SUMPRODUCT($AH$5:$AH$8,$I$5:$I$8)+SUMPRODUCT($AH$9:$AH$9,$I$9:$I$9)+SUMPRODUCT($AH$10:$AH$14,$I$10:$I$14)+SUMPRODUCT($AH$15:$AH$16,$I$15:$I$16)+SUMPRODUCT($AH$17:$AH$19,$I$17:$I$19)+SUMPRODUCT($AH$20:$AH$24,$I$20:$I$24)+SUMPRODUCT($AH$25:$AH$29,$I$25:$I$29)+SUMPRODUCT($AH$30:$AH$32,$I$30:$I$32)+SUMPRODUCT($AH$33:$AH$33,$I$33:$I$33)+SUMPRODUCT($AH$34:$AH$36,$I$34:$I$36)+SUMPRODUCT($AH$37:$AH$37,$I$37:$I$37)+SUMPRODUCT($AH$38:$AH$40,$I$38:$I$40)+SUMPRODUCT($AH$41:$AH$41,$I$41:$I$41)+SUMPRODUCT($AH$42:$AH$44,$I$42:$I$44)+SUMPRODUCT($AH$45:$AH$47,$I$45:$I$47)+SUMPRODUCT($AH$48:$AH$48,$I$48:$I$48)+SUMPRODUCT($AH$49:$AH$49,$I$49:$I$49)+SUMPRODUCT($AH$50:$AH$51,$I$50:$I$51))</f>
        <v>3978990.8440703503</v>
      </c>
      <c r="AI55" s="31">
        <f>IF(ISERROR(+SUMPRODUCT($AI$5:$AI$8,$I$5:$I$8)+SUMPRODUCT($AI$9:$AI$9,$I$9:$I$9)+SUMPRODUCT($AI$10:$AI$14,$I$10:$I$14)+SUMPRODUCT($AI$15:$AI$16,$I$15:$I$16)+SUMPRODUCT($AI$17:$AI$19,$I$17:$I$19)+SUMPRODUCT($AI$20:$AI$24,$I$20:$I$24)+SUMPRODUCT($AI$25:$AI$29,$I$25:$I$29)+SUMPRODUCT($AI$30:$AI$32,$I$30:$I$32)+SUMPRODUCT($AI$33:$AI$33,$I$33:$I$33)+SUMPRODUCT($AI$34:$AI$36,$I$34:$I$36)+SUMPRODUCT($AI$37:$AI$37,$I$37:$I$37)+SUMPRODUCT($AI$38:$AI$40,$I$38:$I$40)+SUMPRODUCT($AI$41:$AI$41,$I$41:$I$41)+SUMPRODUCT($AI$42:$AI$44,$I$42:$I$44)+SUMPRODUCT($AI$45:$AI$47,$I$45:$I$47)+SUMPRODUCT($AI$48:$AI$48,$I$48:$I$48)+SUMPRODUCT($AI$49:$AI$49,$I$49:$I$49)+SUMPRODUCT($AI$50:$AI$51,$I$50:$I$51)),0,+SUMPRODUCT($AI$5:$AI$8,$I$5:$I$8)+SUMPRODUCT($AI$9:$AI$9,$I$9:$I$9)+SUMPRODUCT($AI$10:$AI$14,$I$10:$I$14)+SUMPRODUCT($AI$15:$AI$16,$I$15:$I$16)+SUMPRODUCT($AI$17:$AI$19,$I$17:$I$19)+SUMPRODUCT($AI$20:$AI$24,$I$20:$I$24)+SUMPRODUCT($AI$25:$AI$29,$I$25:$I$29)+SUMPRODUCT($AI$30:$AI$32,$I$30:$I$32)+SUMPRODUCT($AI$33:$AI$33,$I$33:$I$33)+SUMPRODUCT($AI$34:$AI$36,$I$34:$I$36)+SUMPRODUCT($AI$37:$AI$37,$I$37:$I$37)+SUMPRODUCT($AI$38:$AI$40,$I$38:$I$40)+SUMPRODUCT($AI$41:$AI$41,$I$41:$I$41)+SUMPRODUCT($AI$42:$AI$44,$I$42:$I$44)+SUMPRODUCT($AI$45:$AI$47,$I$45:$I$47)+SUMPRODUCT($AI$48:$AI$48,$I$48:$I$48)+SUMPRODUCT($AI$49:$AI$49,$I$49:$I$49)+SUMPRODUCT($AI$50:$AI$51,$I$50:$I$51))</f>
        <v>3978990.8440703503</v>
      </c>
      <c r="AJ55" s="31">
        <f ca="1">IF(ISERROR(+SUMPRODUCT($AJ$5:$AJ$8,$I$5:$I$8)+SUMPRODUCT($AJ$9:$AJ$9,$I$9:$I$9)+SUMPRODUCT($AJ$10:$AJ$14,$I$10:$I$14)+SUMPRODUCT($AJ$15:$AJ$16,$I$15:$I$16)+SUMPRODUCT($AJ$17:$AJ$19,$I$17:$I$19)+SUMPRODUCT($AJ$20:$AJ$24,$I$20:$I$24)+SUMPRODUCT($AJ$25:$AJ$29,$I$25:$I$29)+SUMPRODUCT($AJ$30:$AJ$32,$I$30:$I$32)+SUMPRODUCT($AJ$33:$AJ$33,$I$33:$I$33)+SUMPRODUCT($AJ$34:$AJ$36,$I$34:$I$36)+SUMPRODUCT($AJ$37:$AJ$37,$I$37:$I$37)+SUMPRODUCT($AJ$38:$AJ$40,$I$38:$I$40)+SUMPRODUCT($AJ$41:$AJ$41,$I$41:$I$41)+SUMPRODUCT($AJ$42:$AJ$44,$I$42:$I$44)+SUMPRODUCT($AJ$45:$AJ$47,$I$45:$I$47)+SUMPRODUCT($AJ$48:$AJ$48,$I$48:$I$48)+SUMPRODUCT($AJ$49:$AJ$49,$I$49:$I$49)+SUMPRODUCT($AJ$50:$AJ$51,$I$50:$I$51)),0,+SUMPRODUCT($AJ$5:$AJ$8,$I$5:$I$8)+SUMPRODUCT($AJ$9:$AJ$9,$I$9:$I$9)+SUMPRODUCT($AJ$10:$AJ$14,$I$10:$I$14)+SUMPRODUCT($AJ$15:$AJ$16,$I$15:$I$16)+SUMPRODUCT($AJ$17:$AJ$19,$I$17:$I$19)+SUMPRODUCT($AJ$20:$AJ$24,$I$20:$I$24)+SUMPRODUCT($AJ$25:$AJ$29,$I$25:$I$29)+SUMPRODUCT($AJ$30:$AJ$32,$I$30:$I$32)+SUMPRODUCT($AJ$33:$AJ$33,$I$33:$I$33)+SUMPRODUCT($AJ$34:$AJ$36,$I$34:$I$36)+SUMPRODUCT($AJ$37:$AJ$37,$I$37:$I$37)+SUMPRODUCT($AJ$38:$AJ$40,$I$38:$I$40)+SUMPRODUCT($AJ$41:$AJ$41,$I$41:$I$41)+SUMPRODUCT($AJ$42:$AJ$44,$I$42:$I$44)+SUMPRODUCT($AJ$45:$AJ$47,$I$45:$I$47)+SUMPRODUCT($AJ$48:$AJ$48,$I$48:$I$48)+SUMPRODUCT($AJ$49:$AJ$49,$I$49:$I$49)+SUMPRODUCT($AJ$50:$AJ$51,$I$50:$I$51))</f>
        <v>62503.045952210763</v>
      </c>
      <c r="AK55" s="31">
        <f ca="1">IF(ISERROR(+SUMPRODUCT($AK$5:$AK$8,$I$5:$I$8)+SUMPRODUCT($AK$9:$AK$9,$I$9:$I$9)+SUMPRODUCT($AK$10:$AK$14,$I$10:$I$14)+SUMPRODUCT($AK$15:$AK$16,$I$15:$I$16)+SUMPRODUCT($AK$17:$AK$19,$I$17:$I$19)+SUMPRODUCT($AK$20:$AK$24,$I$20:$I$24)+SUMPRODUCT($AK$25:$AK$29,$I$25:$I$29)+SUMPRODUCT($AK$30:$AK$32,$I$30:$I$32)+SUMPRODUCT($AK$33:$AK$33,$I$33:$I$33)+SUMPRODUCT($AK$34:$AK$36,$I$34:$I$36)+SUMPRODUCT($AK$37:$AK$37,$I$37:$I$37)+SUMPRODUCT($AK$38:$AK$40,$I$38:$I$40)+SUMPRODUCT($AK$41:$AK$41,$I$41:$I$41)+SUMPRODUCT($AK$42:$AK$44,$I$42:$I$44)+SUMPRODUCT($AK$45:$AK$47,$I$45:$I$47)+SUMPRODUCT($AK$48:$AK$48,$I$48:$I$48)+SUMPRODUCT($AK$49:$AK$49,$I$49:$I$49)+SUMPRODUCT($AK$50:$AK$51,$I$50:$I$51)),0,+SUMPRODUCT($AK$5:$AK$8,$I$5:$I$8)+SUMPRODUCT($AK$9:$AK$9,$I$9:$I$9)+SUMPRODUCT($AK$10:$AK$14,$I$10:$I$14)+SUMPRODUCT($AK$15:$AK$16,$I$15:$I$16)+SUMPRODUCT($AK$17:$AK$19,$I$17:$I$19)+SUMPRODUCT($AK$20:$AK$24,$I$20:$I$24)+SUMPRODUCT($AK$25:$AK$29,$I$25:$I$29)+SUMPRODUCT($AK$30:$AK$32,$I$30:$I$32)+SUMPRODUCT($AK$33:$AK$33,$I$33:$I$33)+SUMPRODUCT($AK$34:$AK$36,$I$34:$I$36)+SUMPRODUCT($AK$37:$AK$37,$I$37:$I$37)+SUMPRODUCT($AK$38:$AK$40,$I$38:$I$40)+SUMPRODUCT($AK$41:$AK$41,$I$41:$I$41)+SUMPRODUCT($AK$42:$AK$44,$I$42:$I$44)+SUMPRODUCT($AK$45:$AK$47,$I$45:$I$47)+SUMPRODUCT($AK$48:$AK$48,$I$48:$I$48)+SUMPRODUCT($AK$49:$AK$49,$I$49:$I$49)+SUMPRODUCT($AK$50:$AK$51,$I$50:$I$51))</f>
        <v>62503.045952210763</v>
      </c>
      <c r="AL55" s="31"/>
      <c r="AM55" s="31"/>
    </row>
    <row r="56" spans="1:42" ht="11.25" customHeight="1" x14ac:dyDescent="0.25">
      <c r="K56" s="55" t="s">
        <v>502</v>
      </c>
      <c r="L56" s="31">
        <f>CUSTOS!$D$2</f>
        <v>0</v>
      </c>
      <c r="M56" s="31">
        <f>CUSTOS!$D$3</f>
        <v>132162.35381336641</v>
      </c>
      <c r="N56" s="31">
        <f>CUSTOS!$D$4</f>
        <v>624527.40973006445</v>
      </c>
      <c r="O56" s="31">
        <f>CUSTOS!$D$5</f>
        <v>0</v>
      </c>
      <c r="P56" s="31">
        <f>CUSTOS!$D$6</f>
        <v>0</v>
      </c>
      <c r="Q56" s="31">
        <f>CUSTOS!$D$7</f>
        <v>19906891.243956644</v>
      </c>
      <c r="R56" s="31">
        <f>CUSTOS!$D$8</f>
        <v>3322148.6522549647</v>
      </c>
      <c r="S56" s="31">
        <f>CUSTOS!$D$9</f>
        <v>0</v>
      </c>
      <c r="T56" s="31">
        <f>CUSTOS!$D$10</f>
        <v>23985729.65975504</v>
      </c>
      <c r="U56" s="31">
        <f>CUSTOS!$D$11</f>
        <v>0</v>
      </c>
      <c r="V56" s="31">
        <f>IF(SUM(V53:V55)&lt;&gt;0,CUSTOS!$D$12+CUSTOS!$D$16+CUSTOS!$D$17-'TR TUSD'!$Z$54-'TR TUSD'!$AA$54,0)</f>
        <v>0</v>
      </c>
      <c r="W56" s="31">
        <f>CUSTOS!$D$13</f>
        <v>0</v>
      </c>
      <c r="X56" s="31">
        <f>CUSTOS!$D$14</f>
        <v>0</v>
      </c>
      <c r="Y56" s="31">
        <f>IF(SUM(V53:V55)=0,CUSTOS!$D$15+CUSTOS!$D$16+CUSTOS!$D$17-'TR TUSD'!$Z$54-'TR TUSD'!$AA$54,CUSTOS!$D$15)</f>
        <v>23028775.62164</v>
      </c>
      <c r="Z56" s="31">
        <f>Z54</f>
        <v>0</v>
      </c>
      <c r="AA56" s="31">
        <f>AA54</f>
        <v>0</v>
      </c>
      <c r="AB56" s="31">
        <f>CUSTOS!$D$18</f>
        <v>23028775.62164</v>
      </c>
      <c r="AC56" s="31">
        <f>CUSTOS!$D$19</f>
        <v>27669405.247148588</v>
      </c>
      <c r="AD56" s="31">
        <f>CUSTOS!$D$20</f>
        <v>27669405.247148588</v>
      </c>
      <c r="AE56" s="31">
        <f>CUSTOS!$D$21</f>
        <v>0</v>
      </c>
      <c r="AF56" s="31">
        <f>CUSTOS!$D$22</f>
        <v>0</v>
      </c>
      <c r="AG56" s="31">
        <f>CUSTOS!$D$23</f>
        <v>0</v>
      </c>
      <c r="AH56" s="31">
        <f>CUSTOS!$D$24</f>
        <v>3262716.0429595937</v>
      </c>
      <c r="AI56" s="31">
        <f>CUSTOS!$D$25</f>
        <v>70591.227974894384</v>
      </c>
      <c r="AJ56" s="31">
        <f>CUSTOS!$D$26</f>
        <v>64147.798085818387</v>
      </c>
      <c r="AK56" s="31">
        <f>CUSTOS!$D$27</f>
        <v>67351.050553161942</v>
      </c>
      <c r="AL56" s="31">
        <f>CUSTOS!$D$28</f>
        <v>3464806.1195734688</v>
      </c>
      <c r="AM56" s="31">
        <f>CUSTOS!$D$29</f>
        <v>78148716.648117095</v>
      </c>
    </row>
    <row r="57" spans="1:42" ht="11.25" customHeight="1" x14ac:dyDescent="0.25">
      <c r="K57" s="55" t="s">
        <v>503</v>
      </c>
      <c r="L57" s="31">
        <f>CUSTOS!$E$2</f>
        <v>0</v>
      </c>
      <c r="M57" s="31">
        <f>CUSTOS!$E$3</f>
        <v>-5095.3742162426397</v>
      </c>
      <c r="N57" s="31">
        <f>CUSTOS!$E$4</f>
        <v>-2.1461305651778182</v>
      </c>
      <c r="O57" s="31">
        <f>CUSTOS!$E$5</f>
        <v>0</v>
      </c>
      <c r="P57" s="31">
        <f>CUSTOS!$E$6</f>
        <v>0</v>
      </c>
      <c r="Q57" s="31">
        <f>CUSTOS!$E$7</f>
        <v>-606637.6309529962</v>
      </c>
      <c r="R57" s="31">
        <f>CUSTOS!$E$8</f>
        <v>-114045.2171573909</v>
      </c>
      <c r="S57" s="31">
        <f>CUSTOS!$E$9</f>
        <v>0</v>
      </c>
      <c r="T57" s="31">
        <f>CUSTOS!$E$10</f>
        <v>-725780.36845719488</v>
      </c>
      <c r="U57" s="31">
        <f>CUSTOS!$E$11</f>
        <v>0</v>
      </c>
      <c r="V57" s="31">
        <f>CUSTOS!$E$12</f>
        <v>0</v>
      </c>
      <c r="W57" s="31">
        <f>CUSTOS!$E$13</f>
        <v>0</v>
      </c>
      <c r="X57" s="31">
        <f>CUSTOS!$E$14</f>
        <v>0</v>
      </c>
      <c r="Y57" s="31">
        <f>CUSTOS!$E$15</f>
        <v>89260.421168354311</v>
      </c>
      <c r="Z57" s="31">
        <f>CUSTOS!$E$16</f>
        <v>0</v>
      </c>
      <c r="AA57" s="31">
        <f>CUSTOS!$E$17</f>
        <v>0</v>
      </c>
      <c r="AB57" s="31">
        <f>CUSTOS!$E$18</f>
        <v>89260.421168354311</v>
      </c>
      <c r="AC57" s="31">
        <f>CUSTOS!$E$19</f>
        <v>-348853.91761998099</v>
      </c>
      <c r="AD57" s="31">
        <f>CUSTOS!$E$20</f>
        <v>-348853.91761998099</v>
      </c>
      <c r="AE57" s="31">
        <f>CUSTOS!$E$21</f>
        <v>0</v>
      </c>
      <c r="AF57" s="31">
        <f>CUSTOS!$E$22</f>
        <v>0</v>
      </c>
      <c r="AG57" s="31">
        <f>CUSTOS!$E$23</f>
        <v>0</v>
      </c>
      <c r="AH57" s="31">
        <f>CUSTOS!$E$24</f>
        <v>233527.97964365163</v>
      </c>
      <c r="AI57" s="31">
        <f>CUSTOS!$E$25</f>
        <v>5052.5472129618793</v>
      </c>
      <c r="AJ57" s="31">
        <f>CUSTOS!$E$26</f>
        <v>4591.3605377627373</v>
      </c>
      <c r="AK57" s="31">
        <f>CUSTOS!$E$27</f>
        <v>7594.7065493083364</v>
      </c>
      <c r="AL57" s="31">
        <f>CUSTOS!$E$28</f>
        <v>250766.59394368459</v>
      </c>
      <c r="AM57" s="31">
        <f>CUSTOS!$E$29</f>
        <v>-734607.27096513694</v>
      </c>
    </row>
    <row r="58" spans="1:42" ht="11.25" customHeight="1" x14ac:dyDescent="0.25">
      <c r="K58" s="55" t="s">
        <v>504</v>
      </c>
      <c r="L58" s="31">
        <f>CUSTOS!$F$2</f>
        <v>0</v>
      </c>
      <c r="M58" s="31">
        <f>CUSTOS!$F$3</f>
        <v>0</v>
      </c>
      <c r="N58" s="31">
        <f>CUSTOS!$F$4</f>
        <v>0</v>
      </c>
      <c r="O58" s="31">
        <f>CUSTOS!$F$5</f>
        <v>0</v>
      </c>
      <c r="P58" s="31">
        <f>CUSTOS!$F$6</f>
        <v>0</v>
      </c>
      <c r="Q58" s="31">
        <f>CUSTOS!$F$7</f>
        <v>4533213.0837000003</v>
      </c>
      <c r="R58" s="31">
        <f>CUSTOS!$F$8</f>
        <v>940817.59369999997</v>
      </c>
      <c r="S58" s="31">
        <f>CUSTOS!$F$9</f>
        <v>0</v>
      </c>
      <c r="T58" s="31">
        <f>CUSTOS!$F$10</f>
        <v>5474030.6774000004</v>
      </c>
      <c r="U58" s="31">
        <f>CUSTOS!$F$11</f>
        <v>0</v>
      </c>
      <c r="V58" s="31">
        <f>CUSTOS!$F$12</f>
        <v>0</v>
      </c>
      <c r="W58" s="31">
        <f>CUSTOS!$F$13</f>
        <v>0</v>
      </c>
      <c r="X58" s="31">
        <f>CUSTOS!$F$14</f>
        <v>0</v>
      </c>
      <c r="Y58" s="31">
        <f>CUSTOS!$F$15</f>
        <v>0</v>
      </c>
      <c r="Z58" s="31">
        <f>CUSTOS!$F$16</f>
        <v>0</v>
      </c>
      <c r="AA58" s="31">
        <f>CUSTOS!$F$17</f>
        <v>0</v>
      </c>
      <c r="AB58" s="31">
        <f>CUSTOS!$F$18</f>
        <v>0</v>
      </c>
      <c r="AC58" s="31">
        <f>CUSTOS!$F$19</f>
        <v>0</v>
      </c>
      <c r="AD58" s="31">
        <f>CUSTOS!$F$20</f>
        <v>0</v>
      </c>
      <c r="AE58" s="31">
        <f>CUSTOS!$F$21</f>
        <v>0</v>
      </c>
      <c r="AF58" s="31">
        <f>CUSTOS!$F$22</f>
        <v>0</v>
      </c>
      <c r="AG58" s="31">
        <f>CUSTOS!$F$23</f>
        <v>0</v>
      </c>
      <c r="AH58" s="31">
        <f>CUSTOS!$F$24</f>
        <v>-7160.0881097381116</v>
      </c>
      <c r="AI58" s="31">
        <f>CUSTOS!$F$25</f>
        <v>-154.91369932897135</v>
      </c>
      <c r="AJ58" s="31">
        <f>CUSTOS!$F$26</f>
        <v>-140.77347838199159</v>
      </c>
      <c r="AK58" s="31">
        <f>CUSTOS!$F$27</f>
        <v>0</v>
      </c>
      <c r="AL58" s="31">
        <f>CUSTOS!$F$28</f>
        <v>-7455.7752874490743</v>
      </c>
      <c r="AM58" s="31">
        <f>CUSTOS!$F$29</f>
        <v>5466574.902112551</v>
      </c>
    </row>
    <row r="59" spans="1:42" ht="11.25" customHeight="1" x14ac:dyDescent="0.25">
      <c r="K59" s="55" t="s">
        <v>567</v>
      </c>
      <c r="L59" s="31">
        <v>0</v>
      </c>
      <c r="M59" s="31">
        <v>0</v>
      </c>
      <c r="N59" s="31">
        <v>0</v>
      </c>
      <c r="O59" s="31">
        <v>0</v>
      </c>
      <c r="P59" s="31">
        <v>0</v>
      </c>
      <c r="Q59" s="31">
        <v>0</v>
      </c>
      <c r="R59" s="31">
        <v>0</v>
      </c>
      <c r="S59" s="31">
        <v>0</v>
      </c>
      <c r="T59" s="31"/>
      <c r="U59" s="31">
        <v>0</v>
      </c>
      <c r="V59" s="31">
        <v>0</v>
      </c>
      <c r="W59" s="31">
        <v>0</v>
      </c>
      <c r="X59" s="31">
        <v>0</v>
      </c>
      <c r="Y59" s="31">
        <v>0</v>
      </c>
      <c r="Z59" s="31">
        <v>0</v>
      </c>
      <c r="AA59" s="31">
        <v>0</v>
      </c>
      <c r="AB59" s="31"/>
      <c r="AC59" s="31">
        <v>0</v>
      </c>
      <c r="AD59" s="31"/>
      <c r="AE59" s="31">
        <v>0</v>
      </c>
      <c r="AF59" s="31">
        <v>0</v>
      </c>
      <c r="AG59" s="31"/>
      <c r="AH59" s="31">
        <v>0</v>
      </c>
      <c r="AI59" s="31">
        <v>0</v>
      </c>
      <c r="AJ59" s="31">
        <v>0</v>
      </c>
      <c r="AK59" s="31">
        <v>0</v>
      </c>
      <c r="AL59" s="31"/>
      <c r="AM59" s="31"/>
    </row>
    <row r="60" spans="1:42" ht="11.25" customHeight="1" x14ac:dyDescent="0.25">
      <c r="K60" s="55" t="s">
        <v>568</v>
      </c>
      <c r="L60" s="31">
        <f t="shared" ref="L60:S60" si="1">IF((L55+L53)&lt;&gt;0,(L56-L54-L59)/(L55+L53),0)</f>
        <v>0</v>
      </c>
      <c r="M60" s="31">
        <f t="shared" si="1"/>
        <v>1.0319561674023174</v>
      </c>
      <c r="N60" s="31">
        <f t="shared" ca="1" si="1"/>
        <v>1.3458346303684596</v>
      </c>
      <c r="O60" s="31">
        <f t="shared" si="1"/>
        <v>0</v>
      </c>
      <c r="P60" s="31">
        <f t="shared" si="1"/>
        <v>0</v>
      </c>
      <c r="Q60" s="31">
        <f t="shared" si="1"/>
        <v>89.728306907607802</v>
      </c>
      <c r="R60" s="31">
        <f t="shared" si="1"/>
        <v>13.719680747167459</v>
      </c>
      <c r="S60" s="31">
        <f t="shared" si="1"/>
        <v>0</v>
      </c>
      <c r="T60" s="31"/>
      <c r="U60" s="31">
        <f>IF(U55&lt;&gt;0,(U56-U54-U53-U59)/U55,0)</f>
        <v>0</v>
      </c>
      <c r="V60" s="31">
        <f>IF(V55&lt;&gt;0,(V56-V54-V53-V59)/V55,0)</f>
        <v>0</v>
      </c>
      <c r="W60" s="31">
        <f>IF(W55&lt;&gt;0,(W56-W54-W53-W59)/W55,0)</f>
        <v>0</v>
      </c>
      <c r="X60" s="31">
        <f>IF(X55&lt;&gt;0,(X56-X54-X53-X59)/X55,0)</f>
        <v>0</v>
      </c>
      <c r="Y60" s="31">
        <f>IF(Y55&lt;&gt;0,(Y56-Y54-Y53-Y59)/Y55,0)</f>
        <v>1.140271450630671</v>
      </c>
      <c r="Z60" s="31"/>
      <c r="AA60" s="31"/>
      <c r="AB60" s="31"/>
      <c r="AC60" s="31">
        <f>IF(AC55&lt;&gt;0,(AC56-AC54-AC53-AC59)/AC55,0)</f>
        <v>1.0317992919209762</v>
      </c>
      <c r="AD60" s="31"/>
      <c r="AE60" s="31">
        <f>IF((AE55+AE53)&lt;&gt;0,(AE56-AE54-AE59)/(AE55+AE53),0)</f>
        <v>0</v>
      </c>
      <c r="AF60" s="31">
        <f>IF((AF55+AF53)&lt;&gt;0,(AF56-AF54-AF59)/(AF55+AF53),0)</f>
        <v>0</v>
      </c>
      <c r="AG60" s="31"/>
      <c r="AH60" s="31">
        <f>IF(AH55&lt;&gt;0,(AH56-AH54-AH53-AH59)/AH55,0)</f>
        <v>0.8199858131922626</v>
      </c>
      <c r="AI60" s="31">
        <f>IF(AI55&lt;&gt;0,(AI56-AI54-AI53-AI59)/AI55,0)</f>
        <v>1.7740987788421838E-2</v>
      </c>
      <c r="AJ60" s="31">
        <f ca="1">IF((AJ55+AJ53)&lt;&gt;0,(AJ56-AJ54-AJ59)/(AJ55+AJ53),0)</f>
        <v>1.026314751682105</v>
      </c>
      <c r="AK60" s="31">
        <f ca="1">IF((AK55+AK53)&lt;&gt;0,(AK56-AK54-AK59)/(AK55+AK53),0)</f>
        <v>1.0775642935011187</v>
      </c>
      <c r="AL60" s="31"/>
      <c r="AM60" s="31"/>
    </row>
    <row r="62" spans="1:42" ht="11.25" customHeight="1" x14ac:dyDescent="0.25">
      <c r="K62" s="58" t="s">
        <v>1159</v>
      </c>
      <c r="L62" s="58" t="s">
        <v>1160</v>
      </c>
      <c r="M62" s="58" t="s">
        <v>1161</v>
      </c>
      <c r="N62" s="58" t="s">
        <v>1162</v>
      </c>
      <c r="O62" s="58" t="s">
        <v>1163</v>
      </c>
      <c r="P62" s="58" t="s">
        <v>1164</v>
      </c>
    </row>
    <row r="63" spans="1:42" ht="11.25" customHeight="1" x14ac:dyDescent="0.25">
      <c r="K63" s="57" t="s">
        <v>35</v>
      </c>
      <c r="L63" s="57">
        <f ca="1">+(+'TUSD BE'!$L$5+'TUSD BE'!$M$5+'TUSD BE'!$N$5+'TUSD BE'!$O$5+'TUSD BE'!$P$5+'TUSD BE'!$Q$5+'TUSD BE'!$R$5+'TUSD BE'!$S$5+'TUSD BE'!$U$5+'TUSD BE'!$V$5+'TUSD BE'!$W$5+'TUSD BE'!$X$5+'TUSD BE'!$Y$5+'TUSD BE'!$Z$5+'TUSD BE'!$AA$5+'TUSD BE'!$AC$5+'TUSD BE'!$AH$5+'TUSD BE'!$AI$5)*'TUSD BE'!$I$5+(+'TUSD BE'!$L$6+'TUSD BE'!$M$6+'TUSD BE'!$N$6+'TUSD BE'!$O$6+'TUSD BE'!$P$6+'TUSD BE'!$Q$6+'TUSD BE'!$R$6+'TUSD BE'!$S$6+'TUSD BE'!$U$6+'TUSD BE'!$V$6+'TUSD BE'!$W$6+'TUSD BE'!$X$6+'TUSD BE'!$Y$6+'TUSD BE'!$Z$6+'TUSD BE'!$AA$6+'TUSD BE'!$AC$6+'TUSD BE'!$AH$6+'TUSD BE'!$AI$6)*'TUSD BE'!$I$6+(+'TUSD BE'!$L$7+'TUSD BE'!$M$7+'TUSD BE'!$N$7+'TUSD BE'!$O$7+'TUSD BE'!$P$7+'TUSD BE'!$Q$7+'TUSD BE'!$R$7+'TUSD BE'!$S$7+'TUSD BE'!$U$7+'TUSD BE'!$V$7+'TUSD BE'!$W$7+'TUSD BE'!$X$7+'TUSD BE'!$Y$7+'TUSD BE'!$Z$7+'TUSD BE'!$AA$7+'TUSD BE'!$AC$7+'TUSD BE'!$AH$7+'TUSD BE'!$AI$7)*'TUSD BE'!$I$7+(+'TUSD BE'!$L$8+'TUSD BE'!$M$8+'TUSD BE'!$N$8+'TUSD BE'!$O$8+'TUSD BE'!$P$8+'TUSD BE'!$Q$8+'TUSD BE'!$R$8+'TUSD BE'!$S$8+'TUSD BE'!$U$8+'TUSD BE'!$V$8+'TUSD BE'!$W$8+'TUSD BE'!$X$8+'TUSD BE'!$Y$8+'TUSD BE'!$Z$8+'TUSD BE'!$AA$8+'TUSD BE'!$AC$8+'TUSD BE'!$AH$8+'TUSD BE'!$AI$8)*'TUSD BE'!$I$8+(+'TUSD BE'!$L$10+'TUSD BE'!$M$10+'TUSD BE'!$N$10+'TUSD BE'!$O$10+'TUSD BE'!$P$10+'TUSD BE'!$Q$10+'TUSD BE'!$R$10+'TUSD BE'!$S$10+'TUSD BE'!$U$10+'TUSD BE'!$V$10+'TUSD BE'!$W$10+'TUSD BE'!$X$10+'TUSD BE'!$Y$10+'TUSD BE'!$Z$10+'TUSD BE'!$AA$10+'TUSD BE'!$AC$10+'TUSD BE'!$AH$10+'TUSD BE'!$AI$10)*'TUSD BE'!$I$10+(+'TUSD BE'!$L$11+'TUSD BE'!$M$11+'TUSD BE'!$N$11+'TUSD BE'!$O$11+'TUSD BE'!$P$11+'TUSD BE'!$Q$11+'TUSD BE'!$R$11+'TUSD BE'!$S$11+'TUSD BE'!$U$11+'TUSD BE'!$V$11+'TUSD BE'!$W$11+'TUSD BE'!$X$11+'TUSD BE'!$Y$11+'TUSD BE'!$Z$11+'TUSD BE'!$AA$11+'TUSD BE'!$AC$11+'TUSD BE'!$AH$11+'TUSD BE'!$AI$11)*'TUSD BE'!$I$11+(+'TUSD BE'!$L$12+'TUSD BE'!$M$12+'TUSD BE'!$N$12+'TUSD BE'!$O$12+'TUSD BE'!$P$12+'TUSD BE'!$Q$12+'TUSD BE'!$R$12+'TUSD BE'!$S$12+'TUSD BE'!$U$12+'TUSD BE'!$V$12+'TUSD BE'!$W$12+'TUSD BE'!$X$12+'TUSD BE'!$Y$12+'TUSD BE'!$Z$12+'TUSD BE'!$AA$12+'TUSD BE'!$AC$12+'TUSD BE'!$AH$12+'TUSD BE'!$AI$12)*'TUSD BE'!$I$12+(+'TUSD BE'!$L$13+'TUSD BE'!$M$13+'TUSD BE'!$N$13+'TUSD BE'!$O$13+'TUSD BE'!$P$13+'TUSD BE'!$Q$13+'TUSD BE'!$R$13+'TUSD BE'!$S$13+'TUSD BE'!$U$13+'TUSD BE'!$V$13+'TUSD BE'!$W$13+'TUSD BE'!$X$13+'TUSD BE'!$Y$13+'TUSD BE'!$Z$13+'TUSD BE'!$AA$13+'TUSD BE'!$AC$13+'TUSD BE'!$AH$13+'TUSD BE'!$AI$13)*'TUSD BE'!$I$13+(+'TUSD BE'!$L$14+'TUSD BE'!$M$14+'TUSD BE'!$N$14+'TUSD BE'!$O$14+'TUSD BE'!$P$14+'TUSD BE'!$Q$14+'TUSD BE'!$R$14+'TUSD BE'!$S$14+'TUSD BE'!$U$14+'TUSD BE'!$V$14+'TUSD BE'!$W$14+'TUSD BE'!$X$14+'TUSD BE'!$Y$14+'TUSD BE'!$Z$14+'TUSD BE'!$AA$14+'TUSD BE'!$AC$14+'TUSD BE'!$AH$14+'TUSD BE'!$AI$14)*'TUSD BE'!$I$14</f>
        <v>31392586.140810937</v>
      </c>
      <c r="M63" s="57">
        <f>+'TUSD BE'!$I$7+'TUSD BE'!$I$8+'TUSD BE'!$I$11+'TUSD BE'!$I$12+'TUSD BE'!$I$13+'TUSD BE'!$I$14</f>
        <v>126795.76700000001</v>
      </c>
      <c r="N63" s="57">
        <f ca="1">IF(AND($L$70&lt;&gt;0,M63&lt;&gt;0),(L63/$L$70*$AJ$56)/M63,0)</f>
        <v>0.20356993328425838</v>
      </c>
      <c r="O63" s="57"/>
      <c r="P63" s="57"/>
    </row>
    <row r="64" spans="1:42" ht="11.25" customHeight="1" x14ac:dyDescent="0.25">
      <c r="K64" s="57" t="s">
        <v>84</v>
      </c>
      <c r="L64" s="57">
        <f ca="1">+$L$65+$L$66+$L$67+$L$68+$L$69</f>
        <v>46624631.658666939</v>
      </c>
      <c r="M64" s="57">
        <f>+$M$65+$M$66+$M$67+$M$68+$M$69</f>
        <v>123820.81500000003</v>
      </c>
      <c r="N64" s="57">
        <f ca="1">IF(AND($L$70&lt;&gt;0,M64&lt;&gt;0),(L64/$L$70*$AJ$56)/M64,0)</f>
        <v>0.30960862482533341</v>
      </c>
      <c r="O64" s="57"/>
      <c r="P64" s="57"/>
    </row>
    <row r="65" spans="11:16" ht="11.25" customHeight="1" x14ac:dyDescent="0.25">
      <c r="K65" s="57" t="s">
        <v>84</v>
      </c>
      <c r="L65" s="57"/>
      <c r="M65" s="57"/>
      <c r="N65" s="57">
        <f ca="1">IF(AND($L$70&lt;&gt;0,M65&lt;&gt;0),(L65/$L$70*$AJ$56)/M65,0)</f>
        <v>0</v>
      </c>
      <c r="O65" s="57"/>
      <c r="P65" s="57"/>
    </row>
    <row r="66" spans="11:16" ht="11.25" customHeight="1" x14ac:dyDescent="0.25">
      <c r="K66" s="57" t="s">
        <v>22</v>
      </c>
      <c r="L66" s="57">
        <f ca="1">+(+'TUSD BE'!$L$17+'TUSD BE'!$M$17+'TUSD BE'!$N$17+'TUSD BE'!$O$17+'TUSD BE'!$P$17+'TUSD BE'!$Q$17+'TUSD BE'!$R$17+'TUSD BE'!$S$17+'TUSD BE'!$U$17+'TUSD BE'!$V$17+'TUSD BE'!$W$17+'TUSD BE'!$X$17+'TUSD BE'!$Y$17+'TUSD BE'!$Z$17+'TUSD BE'!$AA$17+'TUSD BE'!$AC$17+'TUSD BE'!$AH$17+'TUSD BE'!$AI$17)*'TUSD BE'!$I$17+(+'TUSD BE'!$L$18+'TUSD BE'!$M$18+'TUSD BE'!$N$18+'TUSD BE'!$O$18+'TUSD BE'!$P$18+'TUSD BE'!$Q$18+'TUSD BE'!$R$18+'TUSD BE'!$S$18+'TUSD BE'!$U$18+'TUSD BE'!$V$18+'TUSD BE'!$W$18+'TUSD BE'!$X$18+'TUSD BE'!$Y$18+'TUSD BE'!$Z$18+'TUSD BE'!$AA$18+'TUSD BE'!$AC$18+'TUSD BE'!$AH$18+'TUSD BE'!$AI$18)*'TUSD BE'!$I$18+(+'TUSD BE'!$L$19+'TUSD BE'!$M$19+'TUSD BE'!$N$19+'TUSD BE'!$O$19+'TUSD BE'!$P$19+'TUSD BE'!$Q$19+'TUSD BE'!$R$19+'TUSD BE'!$S$19+'TUSD BE'!$U$19+'TUSD BE'!$V$19+'TUSD BE'!$W$19+'TUSD BE'!$X$19+'TUSD BE'!$Y$19+'TUSD BE'!$Z$19+'TUSD BE'!$AA$19+'TUSD BE'!$AC$19+'TUSD BE'!$AH$19+'TUSD BE'!$AI$19)*'TUSD BE'!$I$19+(+'TUSD BE'!$L$20+'TUSD BE'!$M$20+'TUSD BE'!$N$20+'TUSD BE'!$O$20+'TUSD BE'!$P$20+'TUSD BE'!$Q$20+'TUSD BE'!$R$20+'TUSD BE'!$S$20+'TUSD BE'!$U$20+'TUSD BE'!$V$20+'TUSD BE'!$W$20+'TUSD BE'!$X$20+'TUSD BE'!$Y$20+'TUSD BE'!$Z$20+'TUSD BE'!$AA$20+'TUSD BE'!$AC$20+'TUSD BE'!$AH$20+'TUSD BE'!$AI$20)*'TUSD BE'!$I$20+(+'TUSD BE'!$L$21+'TUSD BE'!$M$21+'TUSD BE'!$N$21+'TUSD BE'!$O$21+'TUSD BE'!$P$21+'TUSD BE'!$Q$21+'TUSD BE'!$R$21+'TUSD BE'!$S$21+'TUSD BE'!$U$21+'TUSD BE'!$V$21+'TUSD BE'!$W$21+'TUSD BE'!$X$21+'TUSD BE'!$Y$21+'TUSD BE'!$Z$21+'TUSD BE'!$AA$21+'TUSD BE'!$AC$21+'TUSD BE'!$AH$21+'TUSD BE'!$AI$21)*'TUSD BE'!$I$21+(+'TUSD BE'!$L$22+'TUSD BE'!$M$22+'TUSD BE'!$N$22+'TUSD BE'!$O$22+'TUSD BE'!$P$22+'TUSD BE'!$Q$22+'TUSD BE'!$R$22+'TUSD BE'!$S$22+'TUSD BE'!$U$22+'TUSD BE'!$V$22+'TUSD BE'!$W$22+'TUSD BE'!$X$22+'TUSD BE'!$Y$22+'TUSD BE'!$Z$22+'TUSD BE'!$AA$22+'TUSD BE'!$AC$22+'TUSD BE'!$AH$22+'TUSD BE'!$AI$22)*'TUSD BE'!$I$22+(+'TUSD BE'!$L$23+'TUSD BE'!$M$23+'TUSD BE'!$N$23+'TUSD BE'!$O$23+'TUSD BE'!$P$23+'TUSD BE'!$Q$23+'TUSD BE'!$R$23+'TUSD BE'!$S$23+'TUSD BE'!$U$23+'TUSD BE'!$V$23+'TUSD BE'!$W$23+'TUSD BE'!$X$23+'TUSD BE'!$Y$23+'TUSD BE'!$Z$23+'TUSD BE'!$AA$23+'TUSD BE'!$AC$23+'TUSD BE'!$AH$23+'TUSD BE'!$AI$23)*'TUSD BE'!$I$23+(+'TUSD BE'!$L$24+'TUSD BE'!$M$24+'TUSD BE'!$N$24+'TUSD BE'!$O$24+'TUSD BE'!$P$24+'TUSD BE'!$Q$24+'TUSD BE'!$R$24+'TUSD BE'!$S$24+'TUSD BE'!$U$24+'TUSD BE'!$V$24+'TUSD BE'!$W$24+'TUSD BE'!$X$24+'TUSD BE'!$Y$24+'TUSD BE'!$Z$24+'TUSD BE'!$AA$24+'TUSD BE'!$AC$24+'TUSD BE'!$AH$24+'TUSD BE'!$AI$24)*'TUSD BE'!$I$24+(+'TUSD BE'!$L$25+'TUSD BE'!$M$25+'TUSD BE'!$N$25+'TUSD BE'!$O$25+'TUSD BE'!$P$25+'TUSD BE'!$Q$25+'TUSD BE'!$R$25+'TUSD BE'!$S$25+'TUSD BE'!$U$25+'TUSD BE'!$V$25+'TUSD BE'!$W$25+'TUSD BE'!$X$25+'TUSD BE'!$Y$25+'TUSD BE'!$Z$25+'TUSD BE'!$AA$25+'TUSD BE'!$AC$25+'TUSD BE'!$AH$25+'TUSD BE'!$AI$25)*'TUSD BE'!$I$25+(+'TUSD BE'!$L$26+'TUSD BE'!$M$26+'TUSD BE'!$N$26+'TUSD BE'!$O$26+'TUSD BE'!$P$26+'TUSD BE'!$Q$26+'TUSD BE'!$R$26+'TUSD BE'!$S$26+'TUSD BE'!$U$26+'TUSD BE'!$V$26+'TUSD BE'!$W$26+'TUSD BE'!$X$26+'TUSD BE'!$Y$26+'TUSD BE'!$Z$26+'TUSD BE'!$AA$26+'TUSD BE'!$AC$26+'TUSD BE'!$AH$26+'TUSD BE'!$AI$26)*'TUSD BE'!$I$26+(+'TUSD BE'!$L$27+'TUSD BE'!$M$27+'TUSD BE'!$N$27+'TUSD BE'!$O$27+'TUSD BE'!$P$27+'TUSD BE'!$Q$27+'TUSD BE'!$R$27+'TUSD BE'!$S$27+'TUSD BE'!$U$27+'TUSD BE'!$V$27+'TUSD BE'!$W$27+'TUSD BE'!$X$27+'TUSD BE'!$Y$27+'TUSD BE'!$Z$27+'TUSD BE'!$AA$27+'TUSD BE'!$AC$27+'TUSD BE'!$AH$27+'TUSD BE'!$AI$27)*'TUSD BE'!$I$27+(+'TUSD BE'!$L$28+'TUSD BE'!$M$28+'TUSD BE'!$N$28+'TUSD BE'!$O$28+'TUSD BE'!$P$28+'TUSD BE'!$Q$28+'TUSD BE'!$R$28+'TUSD BE'!$S$28+'TUSD BE'!$U$28+'TUSD BE'!$V$28+'TUSD BE'!$W$28+'TUSD BE'!$X$28+'TUSD BE'!$Y$28+'TUSD BE'!$Z$28+'TUSD BE'!$AA$28+'TUSD BE'!$AC$28+'TUSD BE'!$AH$28+'TUSD BE'!$AI$28)*'TUSD BE'!$I$28+(+'TUSD BE'!$L$29+'TUSD BE'!$M$29+'TUSD BE'!$N$29+'TUSD BE'!$O$29+'TUSD BE'!$P$29+'TUSD BE'!$Q$29+'TUSD BE'!$R$29+'TUSD BE'!$S$29+'TUSD BE'!$U$29+'TUSD BE'!$V$29+'TUSD BE'!$W$29+'TUSD BE'!$X$29+'TUSD BE'!$Y$29+'TUSD BE'!$Z$29+'TUSD BE'!$AA$29+'TUSD BE'!$AC$29+'TUSD BE'!$AH$29+'TUSD BE'!$AI$29)*'TUSD BE'!$I$29</f>
        <v>27835984.632640041</v>
      </c>
      <c r="M66" s="57">
        <f>+'TUSD BE'!$I$17+'TUSD BE'!$I$18+'TUSD BE'!$I$19+'TUSD BE'!$I$20+'TUSD BE'!$I$21+'TUSD BE'!$I$22+'TUSD BE'!$I$23+'TUSD BE'!$I$24+'TUSD BE'!$I$25+'TUSD BE'!$I$26+'TUSD BE'!$I$27+'TUSD BE'!$I$28+'TUSD BE'!$I$29</f>
        <v>71083.284000000029</v>
      </c>
      <c r="N66" s="57"/>
      <c r="O66" s="57"/>
      <c r="P66" s="57"/>
    </row>
    <row r="67" spans="11:16" ht="11.25" customHeight="1" x14ac:dyDescent="0.25">
      <c r="K67" s="57" t="s">
        <v>41</v>
      </c>
      <c r="L67" s="57">
        <f ca="1">+(+'TUSD BE'!$L$30+'TUSD BE'!$M$30+'TUSD BE'!$N$30+'TUSD BE'!$O$30+'TUSD BE'!$P$30+'TUSD BE'!$Q$30+'TUSD BE'!$R$30+'TUSD BE'!$S$30+'TUSD BE'!$U$30+'TUSD BE'!$V$30+'TUSD BE'!$W$30+'TUSD BE'!$X$30+'TUSD BE'!$Y$30+'TUSD BE'!$Z$30+'TUSD BE'!$AA$30+'TUSD BE'!$AC$30+'TUSD BE'!$AH$30+'TUSD BE'!$AI$30)*'TUSD BE'!$I$30+(+'TUSD BE'!$L$31+'TUSD BE'!$M$31+'TUSD BE'!$N$31+'TUSD BE'!$O$31+'TUSD BE'!$P$31+'TUSD BE'!$Q$31+'TUSD BE'!$R$31+'TUSD BE'!$S$31+'TUSD BE'!$U$31+'TUSD BE'!$V$31+'TUSD BE'!$W$31+'TUSD BE'!$X$31+'TUSD BE'!$Y$31+'TUSD BE'!$Z$31+'TUSD BE'!$AA$31+'TUSD BE'!$AC$31+'TUSD BE'!$AH$31+'TUSD BE'!$AI$31)*'TUSD BE'!$I$31+(+'TUSD BE'!$L$32+'TUSD BE'!$M$32+'TUSD BE'!$N$32+'TUSD BE'!$O$32+'TUSD BE'!$P$32+'TUSD BE'!$Q$32+'TUSD BE'!$R$32+'TUSD BE'!$S$32+'TUSD BE'!$U$32+'TUSD BE'!$V$32+'TUSD BE'!$W$32+'TUSD BE'!$X$32+'TUSD BE'!$Y$32+'TUSD BE'!$Z$32+'TUSD BE'!$AA$32+'TUSD BE'!$AC$32+'TUSD BE'!$AH$32+'TUSD BE'!$AI$32)*'TUSD BE'!$I$32+(+'TUSD BE'!$L$33+'TUSD BE'!$M$33+'TUSD BE'!$N$33+'TUSD BE'!$O$33+'TUSD BE'!$P$33+'TUSD BE'!$Q$33+'TUSD BE'!$R$33+'TUSD BE'!$S$33+'TUSD BE'!$U$33+'TUSD BE'!$V$33+'TUSD BE'!$W$33+'TUSD BE'!$X$33+'TUSD BE'!$Y$33+'TUSD BE'!$Z$33+'TUSD BE'!$AA$33+'TUSD BE'!$AC$33+'TUSD BE'!$AH$33+'TUSD BE'!$AI$33)*'TUSD BE'!$I$33+(+'TUSD BE'!$L$34+'TUSD BE'!$M$34+'TUSD BE'!$N$34+'TUSD BE'!$O$34+'TUSD BE'!$P$34+'TUSD BE'!$Q$34+'TUSD BE'!$R$34+'TUSD BE'!$S$34+'TUSD BE'!$U$34+'TUSD BE'!$V$34+'TUSD BE'!$W$34+'TUSD BE'!$X$34+'TUSD BE'!$Y$34+'TUSD BE'!$Z$34+'TUSD BE'!$AA$34+'TUSD BE'!$AC$34+'TUSD BE'!$AH$34+'TUSD BE'!$AI$34)*'TUSD BE'!$I$34+(+'TUSD BE'!$L$35+'TUSD BE'!$M$35+'TUSD BE'!$N$35+'TUSD BE'!$O$35+'TUSD BE'!$P$35+'TUSD BE'!$Q$35+'TUSD BE'!$R$35+'TUSD BE'!$S$35+'TUSD BE'!$U$35+'TUSD BE'!$V$35+'TUSD BE'!$W$35+'TUSD BE'!$X$35+'TUSD BE'!$Y$35+'TUSD BE'!$Z$35+'TUSD BE'!$AA$35+'TUSD BE'!$AC$35+'TUSD BE'!$AH$35+'TUSD BE'!$AI$35)*'TUSD BE'!$I$35+(+'TUSD BE'!$L$36+'TUSD BE'!$M$36+'TUSD BE'!$N$36+'TUSD BE'!$O$36+'TUSD BE'!$P$36+'TUSD BE'!$Q$36+'TUSD BE'!$R$36+'TUSD BE'!$S$36+'TUSD BE'!$U$36+'TUSD BE'!$V$36+'TUSD BE'!$W$36+'TUSD BE'!$X$36+'TUSD BE'!$Y$36+'TUSD BE'!$Z$36+'TUSD BE'!$AA$36+'TUSD BE'!$AC$36+'TUSD BE'!$AH$36+'TUSD BE'!$AI$36)*'TUSD BE'!$I$36+(+'TUSD BE'!$L$37+'TUSD BE'!$M$37+'TUSD BE'!$N$37+'TUSD BE'!$O$37+'TUSD BE'!$P$37+'TUSD BE'!$Q$37+'TUSD BE'!$R$37+'TUSD BE'!$S$37+'TUSD BE'!$U$37+'TUSD BE'!$V$37+'TUSD BE'!$W$37+'TUSD BE'!$X$37+'TUSD BE'!$Y$37+'TUSD BE'!$Z$37+'TUSD BE'!$AA$37+'TUSD BE'!$AC$37+'TUSD BE'!$AH$37+'TUSD BE'!$AI$37)*'TUSD BE'!$I$37+(+'TUSD BE'!$L$38+'TUSD BE'!$M$38+'TUSD BE'!$N$38+'TUSD BE'!$O$38+'TUSD BE'!$P$38+'TUSD BE'!$Q$38+'TUSD BE'!$R$38+'TUSD BE'!$S$38+'TUSD BE'!$U$38+'TUSD BE'!$V$38+'TUSD BE'!$W$38+'TUSD BE'!$X$38+'TUSD BE'!$Y$38+'TUSD BE'!$Z$38+'TUSD BE'!$AA$38+'TUSD BE'!$AC$38+'TUSD BE'!$AH$38+'TUSD BE'!$AI$38)*'TUSD BE'!$I$38+(+'TUSD BE'!$L$39+'TUSD BE'!$M$39+'TUSD BE'!$N$39+'TUSD BE'!$O$39+'TUSD BE'!$P$39+'TUSD BE'!$Q$39+'TUSD BE'!$R$39+'TUSD BE'!$S$39+'TUSD BE'!$U$39+'TUSD BE'!$V$39+'TUSD BE'!$W$39+'TUSD BE'!$X$39+'TUSD BE'!$Y$39+'TUSD BE'!$Z$39+'TUSD BE'!$AA$39+'TUSD BE'!$AC$39+'TUSD BE'!$AH$39+'TUSD BE'!$AI$39)*'TUSD BE'!$I$39+(+'TUSD BE'!$L$40+'TUSD BE'!$M$40+'TUSD BE'!$N$40+'TUSD BE'!$O$40+'TUSD BE'!$P$40+'TUSD BE'!$Q$40+'TUSD BE'!$R$40+'TUSD BE'!$S$40+'TUSD BE'!$U$40+'TUSD BE'!$V$40+'TUSD BE'!$W$40+'TUSD BE'!$X$40+'TUSD BE'!$Y$40+'TUSD BE'!$Z$40+'TUSD BE'!$AA$40+'TUSD BE'!$AC$40+'TUSD BE'!$AH$40+'TUSD BE'!$AI$40)*'TUSD BE'!$I$40+(+'TUSD BE'!$L$41+'TUSD BE'!$M$41+'TUSD BE'!$N$41+'TUSD BE'!$O$41+'TUSD BE'!$P$41+'TUSD BE'!$Q$41+'TUSD BE'!$R$41+'TUSD BE'!$S$41+'TUSD BE'!$U$41+'TUSD BE'!$V$41+'TUSD BE'!$W$41+'TUSD BE'!$X$41+'TUSD BE'!$Y$41+'TUSD BE'!$Z$41+'TUSD BE'!$AA$41+'TUSD BE'!$AC$41+'TUSD BE'!$AH$41+'TUSD BE'!$AI$41)*'TUSD BE'!$I$41+(+'TUSD BE'!$L$42+'TUSD BE'!$M$42+'TUSD BE'!$N$42+'TUSD BE'!$O$42+'TUSD BE'!$P$42+'TUSD BE'!$Q$42+'TUSD BE'!$R$42+'TUSD BE'!$S$42+'TUSD BE'!$U$42+'TUSD BE'!$V$42+'TUSD BE'!$W$42+'TUSD BE'!$X$42+'TUSD BE'!$Y$42+'TUSD BE'!$Z$42+'TUSD BE'!$AA$42+'TUSD BE'!$AC$42+'TUSD BE'!$AH$42+'TUSD BE'!$AI$42)*'TUSD BE'!$I$42+(+'TUSD BE'!$L$43+'TUSD BE'!$M$43+'TUSD BE'!$N$43+'TUSD BE'!$O$43+'TUSD BE'!$P$43+'TUSD BE'!$Q$43+'TUSD BE'!$R$43+'TUSD BE'!$S$43+'TUSD BE'!$U$43+'TUSD BE'!$V$43+'TUSD BE'!$W$43+'TUSD BE'!$X$43+'TUSD BE'!$Y$43+'TUSD BE'!$Z$43+'TUSD BE'!$AA$43+'TUSD BE'!$AC$43+'TUSD BE'!$AH$43+'TUSD BE'!$AI$43)*'TUSD BE'!$I$43+(+'TUSD BE'!$L$44+'TUSD BE'!$M$44+'TUSD BE'!$N$44+'TUSD BE'!$O$44+'TUSD BE'!$P$44+'TUSD BE'!$Q$44+'TUSD BE'!$R$44+'TUSD BE'!$S$44+'TUSD BE'!$U$44+'TUSD BE'!$V$44+'TUSD BE'!$W$44+'TUSD BE'!$X$44+'TUSD BE'!$Y$44+'TUSD BE'!$Z$44+'TUSD BE'!$AA$44+'TUSD BE'!$AC$44+'TUSD BE'!$AH$44+'TUSD BE'!$AI$44)*'TUSD BE'!$I$44</f>
        <v>4644070.2560988395</v>
      </c>
      <c r="M67" s="57">
        <f>+'TUSD BE'!$I$30+'TUSD BE'!$I$31+'TUSD BE'!$I$32+'TUSD BE'!$I$33+'TUSD BE'!$I$34+'TUSD BE'!$I$35+'TUSD BE'!$I$36+'TUSD BE'!$I$37+'TUSD BE'!$I$38+'TUSD BE'!$I$39+'TUSD BE'!$I$40+'TUSD BE'!$I$41+'TUSD BE'!$I$42+'TUSD BE'!$I$43+'TUSD BE'!$I$44</f>
        <v>11721.666999999998</v>
      </c>
      <c r="N67" s="57"/>
      <c r="O67" s="57"/>
      <c r="P67" s="57"/>
    </row>
    <row r="68" spans="11:16" ht="11.25" customHeight="1" x14ac:dyDescent="0.25">
      <c r="K68" s="57" t="s">
        <v>33</v>
      </c>
      <c r="L68" s="57">
        <f ca="1">+(+'TUSD BE'!$L$45+'TUSD BE'!$M$45+'TUSD BE'!$N$45+'TUSD BE'!$O$45+'TUSD BE'!$P$45+'TUSD BE'!$Q$45+'TUSD BE'!$R$45+'TUSD BE'!$S$45+'TUSD BE'!$U$45+'TUSD BE'!$V$45+'TUSD BE'!$W$45+'TUSD BE'!$X$45+'TUSD BE'!$Y$45+'TUSD BE'!$Z$45+'TUSD BE'!$AA$45+'TUSD BE'!$AC$45+'TUSD BE'!$AH$45+'TUSD BE'!$AI$45)*'TUSD BE'!$I$45+(+'TUSD BE'!$L$46+'TUSD BE'!$M$46+'TUSD BE'!$N$46+'TUSD BE'!$O$46+'TUSD BE'!$P$46+'TUSD BE'!$Q$46+'TUSD BE'!$R$46+'TUSD BE'!$S$46+'TUSD BE'!$U$46+'TUSD BE'!$V$46+'TUSD BE'!$W$46+'TUSD BE'!$X$46+'TUSD BE'!$Y$46+'TUSD BE'!$Z$46+'TUSD BE'!$AA$46+'TUSD BE'!$AC$46+'TUSD BE'!$AH$46+'TUSD BE'!$AI$46)*'TUSD BE'!$I$46+(+'TUSD BE'!$L$47+'TUSD BE'!$M$47+'TUSD BE'!$N$47+'TUSD BE'!$O$47+'TUSD BE'!$P$47+'TUSD BE'!$Q$47+'TUSD BE'!$R$47+'TUSD BE'!$S$47+'TUSD BE'!$U$47+'TUSD BE'!$V$47+'TUSD BE'!$W$47+'TUSD BE'!$X$47+'TUSD BE'!$Y$47+'TUSD BE'!$Z$47+'TUSD BE'!$AA$47+'TUSD BE'!$AC$47+'TUSD BE'!$AH$47+'TUSD BE'!$AI$47)*'TUSD BE'!$I$47+(+'TUSD BE'!$L$48+'TUSD BE'!$M$48+'TUSD BE'!$N$48+'TUSD BE'!$O$48+'TUSD BE'!$P$48+'TUSD BE'!$Q$48+'TUSD BE'!$R$48+'TUSD BE'!$S$48+'TUSD BE'!$U$48+'TUSD BE'!$V$48+'TUSD BE'!$W$48+'TUSD BE'!$X$48+'TUSD BE'!$Y$48+'TUSD BE'!$Z$48+'TUSD BE'!$AA$48+'TUSD BE'!$AC$48+'TUSD BE'!$AH$48+'TUSD BE'!$AI$48)*'TUSD BE'!$I$48+(+'TUSD BE'!$L$49+'TUSD BE'!$M$49+'TUSD BE'!$N$49+'TUSD BE'!$O$49+'TUSD BE'!$P$49+'TUSD BE'!$Q$49+'TUSD BE'!$R$49+'TUSD BE'!$S$49+'TUSD BE'!$U$49+'TUSD BE'!$V$49+'TUSD BE'!$W$49+'TUSD BE'!$X$49+'TUSD BE'!$Y$49+'TUSD BE'!$Z$49+'TUSD BE'!$AA$49+'TUSD BE'!$AC$49+'TUSD BE'!$AH$49+'TUSD BE'!$AI$49)*'TUSD BE'!$I$49</f>
        <v>11572126.513404233</v>
      </c>
      <c r="M68" s="57">
        <f>+'TUSD BE'!$I$45+'TUSD BE'!$I$46+'TUSD BE'!$I$47+'TUSD BE'!$I$48+'TUSD BE'!$I$49</f>
        <v>29210.621999999999</v>
      </c>
      <c r="N68" s="57"/>
      <c r="O68" s="57"/>
      <c r="P68" s="57"/>
    </row>
    <row r="69" spans="11:16" ht="11.25" customHeight="1" x14ac:dyDescent="0.25">
      <c r="K69" s="57" t="s">
        <v>44</v>
      </c>
      <c r="L69" s="57">
        <f ca="1">+(+'TUSD BE'!$L$50+'TUSD BE'!$M$50+'TUSD BE'!$N$50+'TUSD BE'!$O$50+'TUSD BE'!$P$50+'TUSD BE'!$Q$50+'TUSD BE'!$R$50+'TUSD BE'!$S$50+'TUSD BE'!$U$50+'TUSD BE'!$V$50+'TUSD BE'!$W$50+'TUSD BE'!$X$50+'TUSD BE'!$Y$50+'TUSD BE'!$Z$50+'TUSD BE'!$AA$50+'TUSD BE'!$AC$50+'TUSD BE'!$AH$50+'TUSD BE'!$AI$50)*'TUSD BE'!$I$50+(+'TUSD BE'!$L$51+'TUSD BE'!$M$51+'TUSD BE'!$N$51+'TUSD BE'!$O$51+'TUSD BE'!$P$51+'TUSD BE'!$Q$51+'TUSD BE'!$R$51+'TUSD BE'!$S$51+'TUSD BE'!$U$51+'TUSD BE'!$V$51+'TUSD BE'!$W$51+'TUSD BE'!$X$51+'TUSD BE'!$Y$51+'TUSD BE'!$Z$51+'TUSD BE'!$AA$51+'TUSD BE'!$AC$51+'TUSD BE'!$AH$51+'TUSD BE'!$AI$51)*'TUSD BE'!$I$51</f>
        <v>2572450.2565238238</v>
      </c>
      <c r="M69" s="57">
        <f>+'TUSD BE'!$I$50+'TUSD BE'!$I$51</f>
        <v>11805.242</v>
      </c>
      <c r="N69" s="57"/>
      <c r="O69" s="57"/>
      <c r="P69" s="57"/>
    </row>
    <row r="70" spans="11:16" ht="11.25" customHeight="1" x14ac:dyDescent="0.25">
      <c r="K70" s="57"/>
      <c r="L70" s="57">
        <f ca="1">SUM($L$63:$L$69,-$L$64)</f>
        <v>78017217.79947786</v>
      </c>
      <c r="M70" s="57">
        <f>SUM($M$63:$M$69,-$M$64)</f>
        <v>250616.58200000008</v>
      </c>
      <c r="N70" s="57"/>
      <c r="O70" s="57"/>
      <c r="P70" s="57"/>
    </row>
  </sheetData>
  <mergeCells count="73">
    <mergeCell ref="E5:E7"/>
    <mergeCell ref="F5:F7"/>
    <mergeCell ref="B10:B14"/>
    <mergeCell ref="C10:C14"/>
    <mergeCell ref="A15:A16"/>
    <mergeCell ref="B15:B16"/>
    <mergeCell ref="C15:C16"/>
    <mergeCell ref="D15:D16"/>
    <mergeCell ref="A5:A14"/>
    <mergeCell ref="B5:B8"/>
    <mergeCell ref="C5:C8"/>
    <mergeCell ref="D5:D8"/>
    <mergeCell ref="D10:D14"/>
    <mergeCell ref="E10:E12"/>
    <mergeCell ref="F10:F12"/>
    <mergeCell ref="E13:E14"/>
    <mergeCell ref="F13:F14"/>
    <mergeCell ref="A17:A29"/>
    <mergeCell ref="B17:B19"/>
    <mergeCell ref="C17:C19"/>
    <mergeCell ref="D17:D19"/>
    <mergeCell ref="E17:E19"/>
    <mergeCell ref="F17:F19"/>
    <mergeCell ref="B20:B24"/>
    <mergeCell ref="C20:C24"/>
    <mergeCell ref="B25:B29"/>
    <mergeCell ref="C25:C29"/>
    <mergeCell ref="E38:E40"/>
    <mergeCell ref="F38:F40"/>
    <mergeCell ref="A30:A44"/>
    <mergeCell ref="B30:B32"/>
    <mergeCell ref="C30:C32"/>
    <mergeCell ref="D30:D32"/>
    <mergeCell ref="E30:E32"/>
    <mergeCell ref="F30:F32"/>
    <mergeCell ref="B34:B36"/>
    <mergeCell ref="C34:C36"/>
    <mergeCell ref="D34:D36"/>
    <mergeCell ref="E34:E36"/>
    <mergeCell ref="F1:F4"/>
    <mergeCell ref="E45:E47"/>
    <mergeCell ref="F45:F47"/>
    <mergeCell ref="A50:A51"/>
    <mergeCell ref="B50:B51"/>
    <mergeCell ref="C50:C51"/>
    <mergeCell ref="B42:B44"/>
    <mergeCell ref="C42:C44"/>
    <mergeCell ref="A45:A49"/>
    <mergeCell ref="B45:B47"/>
    <mergeCell ref="C45:C47"/>
    <mergeCell ref="D45:D47"/>
    <mergeCell ref="F34:F36"/>
    <mergeCell ref="B38:B40"/>
    <mergeCell ref="C38:C40"/>
    <mergeCell ref="D38:D40"/>
    <mergeCell ref="A1:A4"/>
    <mergeCell ref="B1:B4"/>
    <mergeCell ref="C1:C4"/>
    <mergeCell ref="D1:D4"/>
    <mergeCell ref="E1:E4"/>
    <mergeCell ref="AH3:AL3"/>
    <mergeCell ref="AM3:AM4"/>
    <mergeCell ref="AP1:AP4"/>
    <mergeCell ref="G1:G4"/>
    <mergeCell ref="H1:H4"/>
    <mergeCell ref="I1:I4"/>
    <mergeCell ref="J1:J4"/>
    <mergeCell ref="L1:AM1"/>
    <mergeCell ref="L2:AM2"/>
    <mergeCell ref="L3:T3"/>
    <mergeCell ref="U3:AB3"/>
    <mergeCell ref="AC3:AD3"/>
    <mergeCell ref="AE3:AG3"/>
  </mergeCells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D5619-CF11-4CB4-BF99-AE4D79668952}">
  <sheetPr codeName="Planilha11"/>
  <dimension ref="A1:AP58"/>
  <sheetViews>
    <sheetView showGridLines="0" topLeftCell="Y35" workbookViewId="0">
      <selection activeCell="AM53" sqref="AM53"/>
    </sheetView>
  </sheetViews>
  <sheetFormatPr defaultColWidth="9.140625"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4" width="8.7109375" style="9" bestFit="1" customWidth="1"/>
    <col min="15" max="15" width="4.140625" style="9" bestFit="1" customWidth="1"/>
    <col min="16" max="16" width="4.42578125" style="9" bestFit="1" customWidth="1"/>
    <col min="17" max="17" width="10.85546875" style="9" bestFit="1" customWidth="1"/>
    <col min="18" max="18" width="10" style="9" bestFit="1" customWidth="1"/>
    <col min="19" max="19" width="8.7109375" style="9" bestFit="1" customWidth="1"/>
    <col min="20" max="20" width="10.85546875" style="9" bestFit="1" customWidth="1"/>
    <col min="21" max="21" width="7.42578125" style="9" bestFit="1" customWidth="1"/>
    <col min="22" max="22" width="7.28515625" style="9" bestFit="1" customWidth="1"/>
    <col min="23" max="24" width="9.85546875" style="9" bestFit="1" customWidth="1"/>
    <col min="25" max="25" width="10.85546875" style="9" bestFit="1" customWidth="1"/>
    <col min="26" max="26" width="7.7109375" style="9" bestFit="1" customWidth="1"/>
    <col min="27" max="27" width="9.85546875" style="9" bestFit="1" customWidth="1"/>
    <col min="28" max="28" width="10.85546875" style="9" bestFit="1" customWidth="1"/>
    <col min="29" max="29" width="11.7109375" style="9" bestFit="1" customWidth="1"/>
    <col min="30" max="30" width="10.85546875" style="9" bestFit="1" customWidth="1"/>
    <col min="31" max="31" width="8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7.85546875" style="9" bestFit="1" customWidth="1"/>
    <col min="38" max="38" width="10" style="9" bestFit="1" customWidth="1"/>
    <col min="39" max="39" width="10.85546875" style="9" bestFit="1" customWidth="1"/>
    <col min="40" max="41" width="9.140625" style="9"/>
    <col min="42" max="42" width="7.85546875" style="9" bestFit="1" customWidth="1"/>
    <col min="43" max="16384" width="9.140625" style="9"/>
  </cols>
  <sheetData>
    <row r="1" spans="1:42" ht="11.25" customHeight="1" x14ac:dyDescent="0.25">
      <c r="A1" s="145" t="s">
        <v>64</v>
      </c>
      <c r="B1" s="145" t="s">
        <v>65</v>
      </c>
      <c r="C1" s="145" t="s">
        <v>66</v>
      </c>
      <c r="D1" s="145" t="s">
        <v>67</v>
      </c>
      <c r="E1" s="145" t="s">
        <v>68</v>
      </c>
      <c r="F1" s="145" t="s">
        <v>15</v>
      </c>
      <c r="G1" s="145" t="s">
        <v>70</v>
      </c>
      <c r="H1" s="145" t="s">
        <v>71</v>
      </c>
      <c r="I1" s="145" t="s">
        <v>561</v>
      </c>
      <c r="J1" s="141"/>
      <c r="L1" s="146" t="s">
        <v>569</v>
      </c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  <c r="AA1" s="146"/>
      <c r="AB1" s="146"/>
      <c r="AC1" s="146"/>
      <c r="AD1" s="146"/>
      <c r="AE1" s="146"/>
      <c r="AF1" s="146"/>
      <c r="AG1" s="146"/>
      <c r="AH1" s="146"/>
      <c r="AI1" s="146"/>
      <c r="AJ1" s="146"/>
      <c r="AK1" s="146"/>
      <c r="AL1" s="146"/>
      <c r="AM1" s="146"/>
      <c r="AP1" s="146" t="s">
        <v>563</v>
      </c>
    </row>
    <row r="2" spans="1:42" ht="11.25" customHeight="1" x14ac:dyDescent="0.25">
      <c r="A2" s="145"/>
      <c r="B2" s="145"/>
      <c r="C2" s="145"/>
      <c r="D2" s="145"/>
      <c r="E2" s="145"/>
      <c r="F2" s="145"/>
      <c r="G2" s="145"/>
      <c r="H2" s="145"/>
      <c r="I2" s="145"/>
      <c r="J2" s="141"/>
      <c r="L2" s="146" t="s">
        <v>460</v>
      </c>
      <c r="M2" s="146"/>
      <c r="N2" s="146"/>
      <c r="O2" s="146"/>
      <c r="P2" s="146"/>
      <c r="Q2" s="146"/>
      <c r="R2" s="146"/>
      <c r="S2" s="146"/>
      <c r="T2" s="146"/>
      <c r="U2" s="146"/>
      <c r="V2" s="146"/>
      <c r="W2" s="146"/>
      <c r="X2" s="146"/>
      <c r="Y2" s="146"/>
      <c r="Z2" s="146"/>
      <c r="AA2" s="146"/>
      <c r="AB2" s="146"/>
      <c r="AC2" s="146"/>
      <c r="AD2" s="146"/>
      <c r="AE2" s="146"/>
      <c r="AF2" s="146"/>
      <c r="AG2" s="146"/>
      <c r="AH2" s="146"/>
      <c r="AI2" s="146"/>
      <c r="AJ2" s="146"/>
      <c r="AK2" s="146"/>
      <c r="AL2" s="146"/>
      <c r="AM2" s="146"/>
      <c r="AP2" s="147"/>
    </row>
    <row r="3" spans="1:42" ht="11.25" customHeight="1" x14ac:dyDescent="0.25">
      <c r="A3" s="145"/>
      <c r="B3" s="145"/>
      <c r="C3" s="145"/>
      <c r="D3" s="145"/>
      <c r="E3" s="145"/>
      <c r="F3" s="145"/>
      <c r="G3" s="145"/>
      <c r="H3" s="145"/>
      <c r="I3" s="145"/>
      <c r="J3" s="141"/>
      <c r="L3" s="146" t="s">
        <v>461</v>
      </c>
      <c r="M3" s="146"/>
      <c r="N3" s="146"/>
      <c r="O3" s="146"/>
      <c r="P3" s="146"/>
      <c r="Q3" s="146"/>
      <c r="R3" s="146"/>
      <c r="S3" s="146"/>
      <c r="T3" s="146"/>
      <c r="U3" s="146" t="s">
        <v>470</v>
      </c>
      <c r="V3" s="146"/>
      <c r="W3" s="146"/>
      <c r="X3" s="146"/>
      <c r="Y3" s="146"/>
      <c r="Z3" s="146"/>
      <c r="AA3" s="146"/>
      <c r="AB3" s="146"/>
      <c r="AC3" s="146" t="s">
        <v>478</v>
      </c>
      <c r="AD3" s="146"/>
      <c r="AE3" s="146" t="s">
        <v>480</v>
      </c>
      <c r="AF3" s="146"/>
      <c r="AG3" s="146"/>
      <c r="AH3" s="146" t="s">
        <v>483</v>
      </c>
      <c r="AI3" s="146"/>
      <c r="AJ3" s="146"/>
      <c r="AK3" s="146"/>
      <c r="AL3" s="146"/>
      <c r="AM3" s="146" t="s">
        <v>469</v>
      </c>
      <c r="AP3" s="147"/>
    </row>
    <row r="4" spans="1:42" ht="11.25" customHeight="1" x14ac:dyDescent="0.25">
      <c r="A4" s="145"/>
      <c r="B4" s="145"/>
      <c r="C4" s="145"/>
      <c r="D4" s="145"/>
      <c r="E4" s="145"/>
      <c r="F4" s="145"/>
      <c r="G4" s="145"/>
      <c r="H4" s="145"/>
      <c r="I4" s="145"/>
      <c r="J4" s="141"/>
      <c r="L4" s="32" t="s">
        <v>546</v>
      </c>
      <c r="M4" s="32" t="s">
        <v>462</v>
      </c>
      <c r="N4" s="32" t="s">
        <v>463</v>
      </c>
      <c r="O4" s="32" t="s">
        <v>464</v>
      </c>
      <c r="P4" s="32" t="s">
        <v>465</v>
      </c>
      <c r="Q4" s="32" t="s">
        <v>466</v>
      </c>
      <c r="R4" s="32" t="s">
        <v>467</v>
      </c>
      <c r="S4" s="32" t="s">
        <v>468</v>
      </c>
      <c r="T4" s="32" t="s">
        <v>469</v>
      </c>
      <c r="U4" s="32" t="s">
        <v>471</v>
      </c>
      <c r="V4" s="32" t="s">
        <v>472</v>
      </c>
      <c r="W4" s="32" t="s">
        <v>473</v>
      </c>
      <c r="X4" s="32" t="s">
        <v>474</v>
      </c>
      <c r="Y4" s="32" t="s">
        <v>475</v>
      </c>
      <c r="Z4" s="32" t="s">
        <v>476</v>
      </c>
      <c r="AA4" s="32" t="s">
        <v>477</v>
      </c>
      <c r="AB4" s="32" t="s">
        <v>469</v>
      </c>
      <c r="AC4" s="32" t="s">
        <v>479</v>
      </c>
      <c r="AD4" s="32" t="s">
        <v>469</v>
      </c>
      <c r="AE4" s="32" t="s">
        <v>481</v>
      </c>
      <c r="AF4" s="32" t="s">
        <v>482</v>
      </c>
      <c r="AG4" s="32" t="s">
        <v>469</v>
      </c>
      <c r="AH4" s="32" t="s">
        <v>484</v>
      </c>
      <c r="AI4" s="32" t="s">
        <v>485</v>
      </c>
      <c r="AJ4" s="32" t="s">
        <v>486</v>
      </c>
      <c r="AK4" s="32" t="s">
        <v>487</v>
      </c>
      <c r="AL4" s="32" t="s">
        <v>469</v>
      </c>
      <c r="AM4" s="148"/>
      <c r="AP4" s="147"/>
    </row>
    <row r="5" spans="1:42" ht="11.25" customHeight="1" x14ac:dyDescent="0.25">
      <c r="A5" s="149" t="s">
        <v>35</v>
      </c>
      <c r="B5" s="149" t="s">
        <v>36</v>
      </c>
      <c r="C5" s="149" t="s">
        <v>25</v>
      </c>
      <c r="D5" s="149" t="s">
        <v>25</v>
      </c>
      <c r="E5" s="149" t="s">
        <v>25</v>
      </c>
      <c r="F5" s="149" t="s">
        <v>25</v>
      </c>
      <c r="G5" s="57" t="s">
        <v>80</v>
      </c>
      <c r="H5" s="57" t="s">
        <v>79</v>
      </c>
      <c r="I5" s="57">
        <f>'MERCADO TUSD'!$U$2</f>
        <v>2966</v>
      </c>
      <c r="J5" s="15"/>
      <c r="L5" s="31">
        <f>'TR TUSD'!$L$5*'TR TUSD'!$L$60</f>
        <v>0</v>
      </c>
      <c r="M5" s="31">
        <f>'TR TUSD'!$M$5*'TR TUSD'!$M$60</f>
        <v>0</v>
      </c>
      <c r="N5" s="31">
        <f ca="1">'TR TUSD'!$N$5*'TR TUSD'!$N$60</f>
        <v>0</v>
      </c>
      <c r="O5" s="31">
        <f>'TR TUSD'!$O$5*'TR TUSD'!$O$60</f>
        <v>0</v>
      </c>
      <c r="P5" s="31">
        <f>'TR TUSD'!$P$5*'TR TUSD'!$P$60</f>
        <v>0</v>
      </c>
      <c r="Q5" s="31">
        <f>'TR TUSD'!$Q$5*'TR TUSD'!$Q$60</f>
        <v>0</v>
      </c>
      <c r="R5" s="31">
        <f>'TR TUSD'!$R$5*'TR TUSD'!$R$60</f>
        <v>0</v>
      </c>
      <c r="S5" s="31">
        <f>'TR TUSD'!$S$5*'TR TUSD'!$S$60</f>
        <v>0</v>
      </c>
      <c r="T5" s="31">
        <f ca="1">SUM($L$5:$S$5)</f>
        <v>0</v>
      </c>
      <c r="U5" s="31">
        <f>'TR TUSD'!$U$5*'TR TUSD'!$U$60</f>
        <v>0</v>
      </c>
      <c r="V5" s="31">
        <f>'TR TUSD'!$V$5*'TR TUSD'!$V$60</f>
        <v>0</v>
      </c>
      <c r="W5" s="31">
        <f>'TR TUSD'!$W$5*'TR TUSD'!$W$60</f>
        <v>0</v>
      </c>
      <c r="X5" s="31">
        <f>'TR TUSD'!$X$5*'TR TUSD'!$X$60</f>
        <v>0</v>
      </c>
      <c r="Y5" s="31">
        <f>'TR TUSD'!$Y$5*'TR TUSD'!$Y$60</f>
        <v>32.666952626247713</v>
      </c>
      <c r="Z5" s="31">
        <f>'TR TUSD'!$Z$5</f>
        <v>0</v>
      </c>
      <c r="AA5" s="31">
        <f>'TR TUSD'!$AA$5</f>
        <v>0</v>
      </c>
      <c r="AB5" s="31">
        <f>SUM($U$5:$AA$5)</f>
        <v>32.666952626247713</v>
      </c>
      <c r="AC5" s="31">
        <f>'TR TUSD'!$AC$5*'TR TUSD'!$AC$60</f>
        <v>23.989333537162697</v>
      </c>
      <c r="AD5" s="31">
        <f>SUM($AC$5:$AC$5)</f>
        <v>23.989333537162697</v>
      </c>
      <c r="AE5" s="31">
        <v>0</v>
      </c>
      <c r="AF5" s="31">
        <v>0</v>
      </c>
      <c r="AG5" s="31">
        <f>SUM($AE$5:$AF$5)</f>
        <v>0</v>
      </c>
      <c r="AH5" s="31">
        <f>'TR TUSD'!$AH$5*'TR TUSD'!$AH$60</f>
        <v>0</v>
      </c>
      <c r="AI5" s="31">
        <f>'TR TUSD'!$AI$5*'TR TUSD'!$AI$60</f>
        <v>0</v>
      </c>
      <c r="AJ5" s="31">
        <f ca="1">'TR TUSD'!$AJ$5*'TR TUSD'!$AJ$60</f>
        <v>0</v>
      </c>
      <c r="AK5" s="31">
        <f ca="1">'TR TUSD'!$AK$5*'TR TUSD'!$AK$60</f>
        <v>0</v>
      </c>
      <c r="AL5" s="31">
        <f ca="1">SUM($AH$5:$AK$5)</f>
        <v>0</v>
      </c>
      <c r="AM5" s="31">
        <f ca="1">SUMIF($L$4:$AL$4,"SUBTOTAL",$L$5:$AL$5)</f>
        <v>56.656286163410414</v>
      </c>
      <c r="AP5" s="31">
        <v>1</v>
      </c>
    </row>
    <row r="6" spans="1:42" ht="11.25" customHeight="1" x14ac:dyDescent="0.25">
      <c r="A6" s="149"/>
      <c r="B6" s="149"/>
      <c r="C6" s="149"/>
      <c r="D6" s="149"/>
      <c r="E6" s="149"/>
      <c r="F6" s="149"/>
      <c r="G6" s="57" t="s">
        <v>81</v>
      </c>
      <c r="H6" s="57" t="s">
        <v>79</v>
      </c>
      <c r="I6" s="57">
        <f>'MERCADO TUSD'!$U$3</f>
        <v>31888</v>
      </c>
      <c r="J6" s="15"/>
      <c r="L6" s="31">
        <f>'TR TUSD'!$L$6*'TR TUSD'!$L$60</f>
        <v>0</v>
      </c>
      <c r="M6" s="31">
        <f>'TR TUSD'!$M$6*'TR TUSD'!$M$60</f>
        <v>0</v>
      </c>
      <c r="N6" s="31">
        <f ca="1">'TR TUSD'!$N$6*'TR TUSD'!$N$60</f>
        <v>0</v>
      </c>
      <c r="O6" s="31">
        <f>'TR TUSD'!$O$6*'TR TUSD'!$O$60</f>
        <v>0</v>
      </c>
      <c r="P6" s="31">
        <f>'TR TUSD'!$P$6*'TR TUSD'!$P$60</f>
        <v>0</v>
      </c>
      <c r="Q6" s="31">
        <f>'TR TUSD'!$Q$6*'TR TUSD'!$Q$60</f>
        <v>0</v>
      </c>
      <c r="R6" s="31">
        <f>'TR TUSD'!$R$6*'TR TUSD'!$R$60</f>
        <v>0</v>
      </c>
      <c r="S6" s="31">
        <f>'TR TUSD'!$S$6*'TR TUSD'!$S$60</f>
        <v>0</v>
      </c>
      <c r="T6" s="31">
        <f ca="1">SUM($L$6:$S$6)</f>
        <v>0</v>
      </c>
      <c r="U6" s="31">
        <f>'TR TUSD'!$U$6*'TR TUSD'!$U$60</f>
        <v>0</v>
      </c>
      <c r="V6" s="31">
        <f>'TR TUSD'!$V$6*'TR TUSD'!$V$60</f>
        <v>0</v>
      </c>
      <c r="W6" s="31">
        <f>'TR TUSD'!$W$6*'TR TUSD'!$W$60</f>
        <v>0</v>
      </c>
      <c r="X6" s="31">
        <f>'TR TUSD'!$X$6*'TR TUSD'!$X$60</f>
        <v>0</v>
      </c>
      <c r="Y6" s="31">
        <f>'TR TUSD'!$Y$6*'TR TUSD'!$Y$60</f>
        <v>12.603078262385617</v>
      </c>
      <c r="Z6" s="31">
        <f>'TR TUSD'!$Z$6</f>
        <v>0</v>
      </c>
      <c r="AA6" s="31">
        <f>'TR TUSD'!$AA$6</f>
        <v>0</v>
      </c>
      <c r="AB6" s="31">
        <f>SUM($U$6:$AA$6)</f>
        <v>12.603078262385617</v>
      </c>
      <c r="AC6" s="31">
        <f>'TR TUSD'!$AC$6*'TR TUSD'!$AC$60</f>
        <v>9.1977684279711589</v>
      </c>
      <c r="AD6" s="31">
        <f>SUM($AC$6:$AC$6)</f>
        <v>9.1977684279711589</v>
      </c>
      <c r="AE6" s="31">
        <v>0</v>
      </c>
      <c r="AF6" s="31">
        <v>0</v>
      </c>
      <c r="AG6" s="31">
        <f>SUM($AE$6:$AF$6)</f>
        <v>0</v>
      </c>
      <c r="AH6" s="31">
        <f>'TR TUSD'!$AH$6*'TR TUSD'!$AH$60</f>
        <v>0</v>
      </c>
      <c r="AI6" s="31">
        <f>'TR TUSD'!$AI$6*'TR TUSD'!$AI$60</f>
        <v>0</v>
      </c>
      <c r="AJ6" s="31">
        <f ca="1">'TR TUSD'!$AJ$6*'TR TUSD'!$AJ$60</f>
        <v>0</v>
      </c>
      <c r="AK6" s="31">
        <f ca="1">'TR TUSD'!$AK$6*'TR TUSD'!$AK$60</f>
        <v>0</v>
      </c>
      <c r="AL6" s="31">
        <f ca="1">SUM($AH$6:$AK$6)</f>
        <v>0</v>
      </c>
      <c r="AM6" s="31">
        <f ca="1">SUMIF($L$4:$AL$4,"SUBTOTAL",$L$6:$AL$6)</f>
        <v>21.800846690356778</v>
      </c>
      <c r="AP6" s="31">
        <v>1</v>
      </c>
    </row>
    <row r="7" spans="1:42" ht="11.25" customHeight="1" x14ac:dyDescent="0.25">
      <c r="A7" s="149"/>
      <c r="B7" s="149"/>
      <c r="C7" s="149"/>
      <c r="D7" s="149"/>
      <c r="E7" s="149"/>
      <c r="F7" s="149"/>
      <c r="G7" s="57" t="s">
        <v>78</v>
      </c>
      <c r="H7" s="57" t="s">
        <v>74</v>
      </c>
      <c r="I7" s="57">
        <f>'MERCADO TUSD'!$U$4</f>
        <v>12070.286</v>
      </c>
      <c r="J7" s="15"/>
      <c r="L7" s="31">
        <f>'TR TUSD'!$L$7*'TR TUSD'!$L$60</f>
        <v>0</v>
      </c>
      <c r="M7" s="31">
        <f>'TR TUSD'!$M$7*'TR TUSD'!$M$60</f>
        <v>0.29927193074480807</v>
      </c>
      <c r="N7" s="31">
        <f ca="1">'TR TUSD'!$N$7*'TR TUSD'!$N$60</f>
        <v>0.31831605801983431</v>
      </c>
      <c r="O7" s="31">
        <f>'TR TUSD'!$O$7*'TR TUSD'!$O$60</f>
        <v>0</v>
      </c>
      <c r="P7" s="31">
        <f>'TR TUSD'!$P$7*'TR TUSD'!$P$60</f>
        <v>0</v>
      </c>
      <c r="Q7" s="31">
        <f>'TR TUSD'!$Q$7*'TR TUSD'!$Q$60</f>
        <v>75.371777802390554</v>
      </c>
      <c r="R7" s="31">
        <f>'TR TUSD'!$R$7*'TR TUSD'!$R$60</f>
        <v>13.719680747167459</v>
      </c>
      <c r="S7" s="31">
        <f>'TR TUSD'!$S$7*'TR TUSD'!$S$60</f>
        <v>0</v>
      </c>
      <c r="T7" s="31">
        <f ca="1">SUM($L$7:$S$7)</f>
        <v>89.709046538322653</v>
      </c>
      <c r="U7" s="31">
        <f>'TR TUSD'!$U$7*'TR TUSD'!$U$60</f>
        <v>0</v>
      </c>
      <c r="V7" s="31">
        <f>'TR TUSD'!$V$7*'TR TUSD'!$V$60</f>
        <v>0</v>
      </c>
      <c r="W7" s="31">
        <f>'TR TUSD'!$W$7*'TR TUSD'!$W$60</f>
        <v>0</v>
      </c>
      <c r="X7" s="31">
        <f>'TR TUSD'!$X$7*'TR TUSD'!$X$60</f>
        <v>0</v>
      </c>
      <c r="Y7" s="31">
        <f>'TR TUSD'!$Y$7*'TR TUSD'!$Y$60</f>
        <v>0</v>
      </c>
      <c r="Z7" s="31">
        <f>'TR TUSD'!$Z$7</f>
        <v>0</v>
      </c>
      <c r="AA7" s="31">
        <f>'TR TUSD'!$AA$7</f>
        <v>0</v>
      </c>
      <c r="AB7" s="31">
        <f>SUM($U$7:$AA$7)</f>
        <v>0</v>
      </c>
      <c r="AC7" s="31">
        <f>'TR TUSD'!$AC$7*'TR TUSD'!$AC$60</f>
        <v>0</v>
      </c>
      <c r="AD7" s="31">
        <f>SUM($AC$7:$AC$7)</f>
        <v>0</v>
      </c>
      <c r="AE7" s="31">
        <v>0</v>
      </c>
      <c r="AF7" s="31">
        <v>0</v>
      </c>
      <c r="AG7" s="31">
        <f>SUM($AE$7:$AF$7)</f>
        <v>0</v>
      </c>
      <c r="AH7" s="31">
        <f>'TR TUSD'!$AH$7*'TR TUSD'!$AH$60</f>
        <v>8.591319359140611</v>
      </c>
      <c r="AI7" s="31">
        <f>'TR TUSD'!$AI$7*'TR TUSD'!$AI$60</f>
        <v>0.18587942545441094</v>
      </c>
      <c r="AJ7" s="31">
        <f ca="1">'TR TUSD'!$AJ$7*'TR TUSD'!$AJ$60</f>
        <v>0.2089268255285763</v>
      </c>
      <c r="AK7" s="31">
        <f ca="1">'TR TUSD'!$AK$7*'TR TUSD'!$AK$60</f>
        <v>0.21935969133752176</v>
      </c>
      <c r="AL7" s="31">
        <f ca="1">SUM($AH$7:$AK$7)</f>
        <v>9.2054853014611204</v>
      </c>
      <c r="AM7" s="31">
        <f ca="1">SUMIF($L$4:$AL$4,"SUBTOTAL",$L$7:$AL$7)</f>
        <v>98.914531839783777</v>
      </c>
      <c r="AP7" s="31">
        <v>1</v>
      </c>
    </row>
    <row r="8" spans="1:42" ht="11.25" customHeight="1" x14ac:dyDescent="0.25">
      <c r="A8" s="149"/>
      <c r="B8" s="149"/>
      <c r="C8" s="149"/>
      <c r="D8" s="149"/>
      <c r="E8" s="56" t="s">
        <v>82</v>
      </c>
      <c r="F8" s="56" t="s">
        <v>25</v>
      </c>
      <c r="G8" s="57" t="s">
        <v>78</v>
      </c>
      <c r="H8" s="57" t="s">
        <v>74</v>
      </c>
      <c r="I8" s="57">
        <f>'MERCADO TUSD'!$U$5</f>
        <v>0</v>
      </c>
      <c r="J8" s="15"/>
      <c r="L8" s="31">
        <f>'TR TUSD'!$L$8*'TR TUSD'!$L$60</f>
        <v>0</v>
      </c>
      <c r="M8" s="31">
        <f>'TR TUSD'!$M$8*'TR TUSD'!$M$60</f>
        <v>0.29927193074480807</v>
      </c>
      <c r="N8" s="31">
        <f ca="1">'TR TUSD'!$N$8*'TR TUSD'!$N$60</f>
        <v>0.30485771171614973</v>
      </c>
      <c r="O8" s="31">
        <f>'TR TUSD'!$O$8*'TR TUSD'!$O$60</f>
        <v>0</v>
      </c>
      <c r="P8" s="31">
        <f>'TR TUSD'!$P$8*'TR TUSD'!$P$60</f>
        <v>0</v>
      </c>
      <c r="Q8" s="31">
        <f>'TR TUSD'!$Q$8*'TR TUSD'!$Q$60</f>
        <v>0</v>
      </c>
      <c r="R8" s="31">
        <f>'TR TUSD'!$R$8*'TR TUSD'!$R$60</f>
        <v>0</v>
      </c>
      <c r="S8" s="31">
        <f>'TR TUSD'!$S$8*'TR TUSD'!$S$60</f>
        <v>0</v>
      </c>
      <c r="T8" s="31">
        <f ca="1">SUM($L$8:$S$8)</f>
        <v>0.60412964246095779</v>
      </c>
      <c r="U8" s="31">
        <f>'TR TUSD'!$U$8*'TR TUSD'!$U$60</f>
        <v>0</v>
      </c>
      <c r="V8" s="31">
        <f>'TR TUSD'!$V$8*'TR TUSD'!$V$60</f>
        <v>0</v>
      </c>
      <c r="W8" s="31">
        <f>'TR TUSD'!$W$8*'TR TUSD'!$W$60</f>
        <v>0</v>
      </c>
      <c r="X8" s="31">
        <f>'TR TUSD'!$X$8*'TR TUSD'!$X$60</f>
        <v>0</v>
      </c>
      <c r="Y8" s="31">
        <f>'TR TUSD'!$Y$8*'TR TUSD'!$Y$60</f>
        <v>0</v>
      </c>
      <c r="Z8" s="31">
        <f>'TR TUSD'!$Z$8</f>
        <v>0</v>
      </c>
      <c r="AA8" s="31">
        <f>'TR TUSD'!$AA$8</f>
        <v>0</v>
      </c>
      <c r="AB8" s="31">
        <f>SUM($U$8:$AA$8)</f>
        <v>0</v>
      </c>
      <c r="AC8" s="31">
        <f>'TR TUSD'!$AC$8*'TR TUSD'!$AC$60</f>
        <v>0</v>
      </c>
      <c r="AD8" s="31">
        <f>SUM($AC$8:$AC$8)</f>
        <v>0</v>
      </c>
      <c r="AE8" s="31">
        <v>0</v>
      </c>
      <c r="AF8" s="31">
        <v>0</v>
      </c>
      <c r="AG8" s="31">
        <f>SUM($AE$8:$AF$8)</f>
        <v>0</v>
      </c>
      <c r="AH8" s="31">
        <f>'TR TUSD'!$AH$8*'TR TUSD'!$AH$60</f>
        <v>8.591319359140611</v>
      </c>
      <c r="AI8" s="31">
        <f>'TR TUSD'!$AI$8*'TR TUSD'!$AI$60</f>
        <v>0.18587942545441094</v>
      </c>
      <c r="AJ8" s="31">
        <f ca="1">'TR TUSD'!$AJ$8*'TR TUSD'!$AJ$60</f>
        <v>0.2089268255285763</v>
      </c>
      <c r="AK8" s="31">
        <f ca="1">'TR TUSD'!$AK$8*'TR TUSD'!$AK$60</f>
        <v>0.21935969133752176</v>
      </c>
      <c r="AL8" s="31">
        <f ca="1">SUM($AH$8:$AK$8)</f>
        <v>9.2054853014611204</v>
      </c>
      <c r="AM8" s="31">
        <f ca="1">SUMIF($L$4:$AL$4,"SUBTOTAL",$L$8:$AL$8)</f>
        <v>9.8096149439220781</v>
      </c>
      <c r="AP8" s="31">
        <v>1</v>
      </c>
    </row>
    <row r="9" spans="1:42" ht="11.25" customHeight="1" x14ac:dyDescent="0.25">
      <c r="A9" s="149"/>
      <c r="B9" s="56" t="s">
        <v>83</v>
      </c>
      <c r="C9" s="56" t="s">
        <v>25</v>
      </c>
      <c r="D9" s="56" t="s">
        <v>25</v>
      </c>
      <c r="E9" s="56" t="s">
        <v>25</v>
      </c>
      <c r="F9" s="56" t="s">
        <v>25</v>
      </c>
      <c r="G9" s="57" t="s">
        <v>9</v>
      </c>
      <c r="H9" s="57" t="s">
        <v>79</v>
      </c>
      <c r="I9" s="57">
        <f>'MERCADO TUSD'!$U$6</f>
        <v>0</v>
      </c>
      <c r="J9" s="15"/>
      <c r="L9" s="31">
        <f>'TR TUSD'!$L$9*'TR TUSD'!$L$60</f>
        <v>0</v>
      </c>
      <c r="M9" s="31">
        <f>'TR TUSD'!$M$9*'TR TUSD'!$M$60</f>
        <v>3.6118465859081114E-2</v>
      </c>
      <c r="N9" s="31">
        <f ca="1">'TR TUSD'!$N$9*'TR TUSD'!$N$60</f>
        <v>0.11816428054635075</v>
      </c>
      <c r="O9" s="31">
        <f>'TR TUSD'!$O$9*'TR TUSD'!$O$60</f>
        <v>0</v>
      </c>
      <c r="P9" s="31">
        <f>'TR TUSD'!$P$9*'TR TUSD'!$P$60</f>
        <v>0</v>
      </c>
      <c r="Q9" s="31">
        <f>'TR TUSD'!$Q$9*'TR TUSD'!$Q$60</f>
        <v>0</v>
      </c>
      <c r="R9" s="31">
        <f>'TR TUSD'!$R$9*'TR TUSD'!$R$60</f>
        <v>0</v>
      </c>
      <c r="S9" s="31">
        <f>'TR TUSD'!$S$9*'TR TUSD'!$S$60</f>
        <v>0</v>
      </c>
      <c r="T9" s="31">
        <f ca="1">SUM($L$9:$S$9)</f>
        <v>0.15428274640543188</v>
      </c>
      <c r="U9" s="31">
        <f>'TR TUSD'!$U$9*'TR TUSD'!$U$60</f>
        <v>0</v>
      </c>
      <c r="V9" s="31">
        <f>'TR TUSD'!$V$9*'TR TUSD'!$V$60</f>
        <v>0</v>
      </c>
      <c r="W9" s="31">
        <f>'TR TUSD'!$W$9*'TR TUSD'!$W$60</f>
        <v>0</v>
      </c>
      <c r="X9" s="31">
        <f>'TR TUSD'!$X$9*'TR TUSD'!$X$60</f>
        <v>0</v>
      </c>
      <c r="Y9" s="31">
        <f>'TR TUSD'!$Y$9*'TR TUSD'!$Y$60</f>
        <v>0</v>
      </c>
      <c r="Z9" s="31">
        <f>'TR TUSD'!$Z$9*'TR TUSD'!$Z$60</f>
        <v>0</v>
      </c>
      <c r="AA9" s="31">
        <f>'TR TUSD'!$AA$9*'TR TUSD'!$AA$60</f>
        <v>0</v>
      </c>
      <c r="AB9" s="31">
        <f>SUM($U$9:$AA$9)</f>
        <v>0</v>
      </c>
      <c r="AC9" s="31">
        <f>'TR TUSD'!$AC$9*'TR TUSD'!$AC$60</f>
        <v>9.0259738458663161</v>
      </c>
      <c r="AD9" s="31">
        <f>SUM($AC$9:$AC$9)</f>
        <v>9.0259738458663161</v>
      </c>
      <c r="AE9" s="31">
        <v>0</v>
      </c>
      <c r="AF9" s="31">
        <v>0</v>
      </c>
      <c r="AG9" s="31">
        <f>SUM($AE$9:$AF$9)</f>
        <v>0</v>
      </c>
      <c r="AH9" s="31">
        <f>'TR TUSD'!$AH$9*'TR TUSD'!$AH$60</f>
        <v>0</v>
      </c>
      <c r="AI9" s="31">
        <f>'TR TUSD'!$AI$9*'TR TUSD'!$AI$60</f>
        <v>0</v>
      </c>
      <c r="AJ9" s="31">
        <f ca="1">'TR TUSD'!$AJ$9*'TR TUSD'!$AJ$60</f>
        <v>0</v>
      </c>
      <c r="AK9" s="31">
        <f ca="1">'TR TUSD'!$AK$9*'TR TUSD'!$AK$60</f>
        <v>0</v>
      </c>
      <c r="AL9" s="31">
        <f ca="1">SUM($AH$9:$AK$9)</f>
        <v>0</v>
      </c>
      <c r="AM9" s="31">
        <f ca="1">SUMIF($L$4:$AL$4,"SUBTOTAL",$L$9:$AL$9)</f>
        <v>9.1802565922717481</v>
      </c>
      <c r="AP9" s="31"/>
    </row>
    <row r="10" spans="1:42" ht="11.25" customHeight="1" x14ac:dyDescent="0.25">
      <c r="A10" s="149"/>
      <c r="B10" s="149" t="s">
        <v>39</v>
      </c>
      <c r="C10" s="149" t="s">
        <v>25</v>
      </c>
      <c r="D10" s="149" t="s">
        <v>25</v>
      </c>
      <c r="E10" s="149" t="s">
        <v>25</v>
      </c>
      <c r="F10" s="149" t="s">
        <v>25</v>
      </c>
      <c r="G10" s="57" t="s">
        <v>9</v>
      </c>
      <c r="H10" s="57" t="s">
        <v>79</v>
      </c>
      <c r="I10" s="57">
        <f>'MERCADO TUSD'!$U$7</f>
        <v>426500</v>
      </c>
      <c r="J10" s="15"/>
      <c r="L10" s="31">
        <f>'TR TUSD'!$L$10*'TR TUSD'!$L$60</f>
        <v>0</v>
      </c>
      <c r="M10" s="31">
        <f>'TR TUSD'!$M$10*'TR TUSD'!$M$60</f>
        <v>0</v>
      </c>
      <c r="N10" s="31">
        <f ca="1">'TR TUSD'!$N$10*'TR TUSD'!$N$60</f>
        <v>0</v>
      </c>
      <c r="O10" s="31">
        <f>'TR TUSD'!$O$10*'TR TUSD'!$O$60</f>
        <v>0</v>
      </c>
      <c r="P10" s="31">
        <f>'TR TUSD'!$P$10*'TR TUSD'!$P$60</f>
        <v>0</v>
      </c>
      <c r="Q10" s="31">
        <f>'TR TUSD'!$Q$10*'TR TUSD'!$Q$60</f>
        <v>0</v>
      </c>
      <c r="R10" s="31">
        <f>'TR TUSD'!$R$10*'TR TUSD'!$R$60</f>
        <v>0</v>
      </c>
      <c r="S10" s="31">
        <f>'TR TUSD'!$S$10*'TR TUSD'!$S$60</f>
        <v>0</v>
      </c>
      <c r="T10" s="31">
        <f ca="1">SUM($L$10:$S$10)</f>
        <v>0</v>
      </c>
      <c r="U10" s="31">
        <f>'TR TUSD'!$U$10*'TR TUSD'!$U$60</f>
        <v>0</v>
      </c>
      <c r="V10" s="31">
        <f>'TR TUSD'!$V$10*'TR TUSD'!$V$60</f>
        <v>0</v>
      </c>
      <c r="W10" s="31">
        <f>'TR TUSD'!$W$10*'TR TUSD'!$W$60</f>
        <v>0</v>
      </c>
      <c r="X10" s="31">
        <f>'TR TUSD'!$X$10*'TR TUSD'!$X$60</f>
        <v>0</v>
      </c>
      <c r="Y10" s="31">
        <f>'TR TUSD'!$Y$10*'TR TUSD'!$Y$60</f>
        <v>12.603078262385617</v>
      </c>
      <c r="Z10" s="31">
        <f>'TR TUSD'!$Z$10</f>
        <v>0</v>
      </c>
      <c r="AA10" s="31">
        <f>'TR TUSD'!$AA$10</f>
        <v>0</v>
      </c>
      <c r="AB10" s="31">
        <f>SUM($U$10:$AA$10)</f>
        <v>12.603078262385617</v>
      </c>
      <c r="AC10" s="31">
        <f>'TR TUSD'!$AC$10*'TR TUSD'!$AC$60</f>
        <v>9.1977684279711589</v>
      </c>
      <c r="AD10" s="31">
        <f>SUM($AC$10:$AC$10)</f>
        <v>9.1977684279711589</v>
      </c>
      <c r="AE10" s="31">
        <v>0</v>
      </c>
      <c r="AF10" s="31">
        <v>0</v>
      </c>
      <c r="AG10" s="31">
        <f>SUM($AE$10:$AF$10)</f>
        <v>0</v>
      </c>
      <c r="AH10" s="31">
        <f>'TR TUSD'!$AH$10*'TR TUSD'!$AH$60</f>
        <v>0</v>
      </c>
      <c r="AI10" s="31">
        <f>'TR TUSD'!$AI$10*'TR TUSD'!$AI$60</f>
        <v>0</v>
      </c>
      <c r="AJ10" s="31">
        <f ca="1">'TR TUSD'!$AJ$10*'TR TUSD'!$AJ$60</f>
        <v>0</v>
      </c>
      <c r="AK10" s="31">
        <f ca="1">'TR TUSD'!$AK$10*'TR TUSD'!$AK$60</f>
        <v>0</v>
      </c>
      <c r="AL10" s="31">
        <f ca="1">SUM($AH$10:$AK$10)</f>
        <v>0</v>
      </c>
      <c r="AM10" s="31">
        <f ca="1">SUMIF($L$4:$AL$4,"SUBTOTAL",$L$10:$AL$10)</f>
        <v>21.800846690356778</v>
      </c>
      <c r="AP10" s="31">
        <v>1</v>
      </c>
    </row>
    <row r="11" spans="1:42" ht="11.25" customHeight="1" x14ac:dyDescent="0.25">
      <c r="A11" s="149"/>
      <c r="B11" s="149"/>
      <c r="C11" s="149"/>
      <c r="D11" s="149"/>
      <c r="E11" s="149"/>
      <c r="F11" s="149"/>
      <c r="G11" s="57" t="s">
        <v>75</v>
      </c>
      <c r="H11" s="57" t="s">
        <v>74</v>
      </c>
      <c r="I11" s="57">
        <f>'MERCADO TUSD'!$U$8</f>
        <v>6338.8209999999999</v>
      </c>
      <c r="J11" s="15"/>
      <c r="L11" s="31">
        <f>'TR TUSD'!$L$11*'TR TUSD'!$L$60</f>
        <v>0</v>
      </c>
      <c r="M11" s="31">
        <f>'TR TUSD'!$M$11*'TR TUSD'!$M$60</f>
        <v>0.29927193074480807</v>
      </c>
      <c r="N11" s="31">
        <f ca="1">'TR TUSD'!$N$11*'TR TUSD'!$N$60</f>
        <v>17.11644520538789</v>
      </c>
      <c r="O11" s="31">
        <f>'TR TUSD'!$O$11*'TR TUSD'!$O$60</f>
        <v>0</v>
      </c>
      <c r="P11" s="31">
        <f>'TR TUSD'!$P$11*'TR TUSD'!$P$60</f>
        <v>0</v>
      </c>
      <c r="Q11" s="31">
        <f>'TR TUSD'!$Q$11*'TR TUSD'!$Q$60</f>
        <v>75.371777802390554</v>
      </c>
      <c r="R11" s="31">
        <f>'TR TUSD'!$R$11*'TR TUSD'!$R$60</f>
        <v>13.719680747167459</v>
      </c>
      <c r="S11" s="31">
        <f>'TR TUSD'!$S$11*'TR TUSD'!$S$60</f>
        <v>0</v>
      </c>
      <c r="T11" s="31">
        <f ca="1">SUM($L$11:$S$11)</f>
        <v>106.50717568569071</v>
      </c>
      <c r="U11" s="31">
        <f>'TR TUSD'!$U$11*'TR TUSD'!$U$60</f>
        <v>0</v>
      </c>
      <c r="V11" s="31">
        <f>'TR TUSD'!$V$11*'TR TUSD'!$V$60</f>
        <v>0</v>
      </c>
      <c r="W11" s="31">
        <f>'TR TUSD'!$W$11*'TR TUSD'!$W$60</f>
        <v>0</v>
      </c>
      <c r="X11" s="31">
        <f>'TR TUSD'!$X$11*'TR TUSD'!$X$60</f>
        <v>0</v>
      </c>
      <c r="Y11" s="31">
        <f>'TR TUSD'!$Y$11*'TR TUSD'!$Y$60</f>
        <v>785.64110007298916</v>
      </c>
      <c r="Z11" s="31">
        <f>'TR TUSD'!$Z$11</f>
        <v>0</v>
      </c>
      <c r="AA11" s="31">
        <f>'TR TUSD'!$AA$11</f>
        <v>0</v>
      </c>
      <c r="AB11" s="31">
        <f>SUM($U$11:$AA$11)</f>
        <v>785.64110007298916</v>
      </c>
      <c r="AC11" s="31">
        <f>'TR TUSD'!$AC$11*'TR TUSD'!$AC$60</f>
        <v>576.94316202897528</v>
      </c>
      <c r="AD11" s="31">
        <f>SUM($AC$11:$AC$11)</f>
        <v>576.94316202897528</v>
      </c>
      <c r="AE11" s="31">
        <v>0</v>
      </c>
      <c r="AF11" s="31">
        <v>0</v>
      </c>
      <c r="AG11" s="31">
        <f>SUM($AE$11:$AF$11)</f>
        <v>0</v>
      </c>
      <c r="AH11" s="31">
        <f>'TR TUSD'!$AH$11*'TR TUSD'!$AH$60</f>
        <v>8.591319359140611</v>
      </c>
      <c r="AI11" s="31">
        <f>'TR TUSD'!$AI$11*'TR TUSD'!$AI$60</f>
        <v>0.18587942545441094</v>
      </c>
      <c r="AJ11" s="31">
        <f ca="1">'TR TUSD'!$AJ$11*'TR TUSD'!$AJ$60</f>
        <v>0.2089268255285763</v>
      </c>
      <c r="AK11" s="31">
        <f ca="1">'TR TUSD'!$AK$11*'TR TUSD'!$AK$60</f>
        <v>0.21935969133752176</v>
      </c>
      <c r="AL11" s="31">
        <f ca="1">SUM($AH$11:$AK$11)</f>
        <v>9.2054853014611204</v>
      </c>
      <c r="AM11" s="31">
        <f ca="1">SUMIF($L$4:$AL$4,"SUBTOTAL",$L$11:$AL$11)</f>
        <v>1478.2969230891163</v>
      </c>
      <c r="AP11" s="31">
        <v>1</v>
      </c>
    </row>
    <row r="12" spans="1:42" ht="11.25" customHeight="1" x14ac:dyDescent="0.25">
      <c r="A12" s="149"/>
      <c r="B12" s="149"/>
      <c r="C12" s="149"/>
      <c r="D12" s="149"/>
      <c r="E12" s="149"/>
      <c r="F12" s="149"/>
      <c r="G12" s="57" t="s">
        <v>76</v>
      </c>
      <c r="H12" s="57" t="s">
        <v>74</v>
      </c>
      <c r="I12" s="57">
        <f>'MERCADO TUSD'!$U$9</f>
        <v>108386.66</v>
      </c>
      <c r="J12" s="15"/>
      <c r="L12" s="31">
        <f>'TR TUSD'!$L$12*'TR TUSD'!$L$60</f>
        <v>0</v>
      </c>
      <c r="M12" s="31">
        <f>'TR TUSD'!$M$12*'TR TUSD'!$M$60</f>
        <v>0.29927193074480807</v>
      </c>
      <c r="N12" s="31">
        <f ca="1">'TR TUSD'!$N$12*'TR TUSD'!$N$60</f>
        <v>0.31831605801983431</v>
      </c>
      <c r="O12" s="31">
        <f>'TR TUSD'!$O$12*'TR TUSD'!$O$60</f>
        <v>0</v>
      </c>
      <c r="P12" s="31">
        <f>'TR TUSD'!$P$12*'TR TUSD'!$P$60</f>
        <v>0</v>
      </c>
      <c r="Q12" s="31">
        <f>'TR TUSD'!$Q$12*'TR TUSD'!$Q$60</f>
        <v>75.371777802390554</v>
      </c>
      <c r="R12" s="31">
        <f>'TR TUSD'!$R$12*'TR TUSD'!$R$60</f>
        <v>13.719680747167459</v>
      </c>
      <c r="S12" s="31">
        <f>'TR TUSD'!$S$12*'TR TUSD'!$S$60</f>
        <v>0</v>
      </c>
      <c r="T12" s="31">
        <f ca="1">SUM($L$12:$S$12)</f>
        <v>89.709046538322653</v>
      </c>
      <c r="U12" s="31">
        <f>'TR TUSD'!$U$12*'TR TUSD'!$U$60</f>
        <v>0</v>
      </c>
      <c r="V12" s="31">
        <f>'TR TUSD'!$V$12*'TR TUSD'!$V$60</f>
        <v>0</v>
      </c>
      <c r="W12" s="31">
        <f>'TR TUSD'!$W$12*'TR TUSD'!$W$60</f>
        <v>0</v>
      </c>
      <c r="X12" s="31">
        <f>'TR TUSD'!$X$12*'TR TUSD'!$X$60</f>
        <v>0</v>
      </c>
      <c r="Y12" s="31">
        <f>'TR TUSD'!$Y$12*'TR TUSD'!$Y$60</f>
        <v>0</v>
      </c>
      <c r="Z12" s="31">
        <f>'TR TUSD'!$Z$12</f>
        <v>0</v>
      </c>
      <c r="AA12" s="31">
        <f>'TR TUSD'!$AA$12</f>
        <v>0</v>
      </c>
      <c r="AB12" s="31">
        <f>SUM($U$12:$AA$12)</f>
        <v>0</v>
      </c>
      <c r="AC12" s="31">
        <f>'TR TUSD'!$AC$12*'TR TUSD'!$AC$60</f>
        <v>0</v>
      </c>
      <c r="AD12" s="31">
        <f>SUM($AC$12:$AC$12)</f>
        <v>0</v>
      </c>
      <c r="AE12" s="31">
        <v>0</v>
      </c>
      <c r="AF12" s="31">
        <v>0</v>
      </c>
      <c r="AG12" s="31">
        <f>SUM($AE$12:$AF$12)</f>
        <v>0</v>
      </c>
      <c r="AH12" s="31">
        <f>'TR TUSD'!$AH$12*'TR TUSD'!$AH$60</f>
        <v>8.591319359140611</v>
      </c>
      <c r="AI12" s="31">
        <f>'TR TUSD'!$AI$12*'TR TUSD'!$AI$60</f>
        <v>0.18587942545441094</v>
      </c>
      <c r="AJ12" s="31">
        <f ca="1">'TR TUSD'!$AJ$12*'TR TUSD'!$AJ$60</f>
        <v>0.2089268255285763</v>
      </c>
      <c r="AK12" s="31">
        <f ca="1">'TR TUSD'!$AK$12*'TR TUSD'!$AK$60</f>
        <v>0.21935969133752176</v>
      </c>
      <c r="AL12" s="31">
        <f ca="1">SUM($AH$12:$AK$12)</f>
        <v>9.2054853014611204</v>
      </c>
      <c r="AM12" s="31">
        <f ca="1">SUMIF($L$4:$AL$4,"SUBTOTAL",$L$12:$AL$12)</f>
        <v>98.914531839783777</v>
      </c>
      <c r="AP12" s="31">
        <v>1</v>
      </c>
    </row>
    <row r="13" spans="1:42" ht="11.25" customHeight="1" x14ac:dyDescent="0.25">
      <c r="A13" s="149"/>
      <c r="B13" s="149"/>
      <c r="C13" s="149"/>
      <c r="D13" s="149"/>
      <c r="E13" s="149" t="s">
        <v>82</v>
      </c>
      <c r="F13" s="149" t="s">
        <v>25</v>
      </c>
      <c r="G13" s="57" t="s">
        <v>75</v>
      </c>
      <c r="H13" s="57" t="s">
        <v>74</v>
      </c>
      <c r="I13" s="57">
        <f>'MERCADO TUSD'!$U$10</f>
        <v>0</v>
      </c>
      <c r="J13" s="15"/>
      <c r="L13" s="31">
        <f>'TR TUSD'!$L$13*'TR TUSD'!$L$60</f>
        <v>0</v>
      </c>
      <c r="M13" s="31">
        <f>'TR TUSD'!$M$13*'TR TUSD'!$M$60</f>
        <v>0.29927193074480807</v>
      </c>
      <c r="N13" s="31">
        <f ca="1">'TR TUSD'!$N$13*'TR TUSD'!$N$60</f>
        <v>17.102986859084208</v>
      </c>
      <c r="O13" s="31">
        <f>'TR TUSD'!$O$13*'TR TUSD'!$O$60</f>
        <v>0</v>
      </c>
      <c r="P13" s="31">
        <f>'TR TUSD'!$P$13*'TR TUSD'!$P$60</f>
        <v>0</v>
      </c>
      <c r="Q13" s="31">
        <f>'TR TUSD'!$Q$13*'TR TUSD'!$Q$60</f>
        <v>0</v>
      </c>
      <c r="R13" s="31">
        <f>'TR TUSD'!$R$13*'TR TUSD'!$R$60</f>
        <v>0</v>
      </c>
      <c r="S13" s="31">
        <f>'TR TUSD'!$S$13*'TR TUSD'!$S$60</f>
        <v>0</v>
      </c>
      <c r="T13" s="31">
        <f ca="1">SUM($L$13:$S$13)</f>
        <v>17.402258789829016</v>
      </c>
      <c r="U13" s="31">
        <f>'TR TUSD'!$U$13*'TR TUSD'!$U$60</f>
        <v>0</v>
      </c>
      <c r="V13" s="31">
        <f>'TR TUSD'!$V$13*'TR TUSD'!$V$60</f>
        <v>0</v>
      </c>
      <c r="W13" s="31">
        <f>'TR TUSD'!$W$13*'TR TUSD'!$W$60</f>
        <v>0</v>
      </c>
      <c r="X13" s="31">
        <f>'TR TUSD'!$X$13*'TR TUSD'!$X$60</f>
        <v>0</v>
      </c>
      <c r="Y13" s="31">
        <f>'TR TUSD'!$Y$13*'TR TUSD'!$Y$60</f>
        <v>785.64110007298916</v>
      </c>
      <c r="Z13" s="31">
        <f>'TR TUSD'!$Z$13</f>
        <v>0</v>
      </c>
      <c r="AA13" s="31">
        <f>'TR TUSD'!$AA$13</f>
        <v>0</v>
      </c>
      <c r="AB13" s="31">
        <f>SUM($U$13:$AA$13)</f>
        <v>785.64110007298916</v>
      </c>
      <c r="AC13" s="31">
        <f>'TR TUSD'!$AC$13*'TR TUSD'!$AC$60</f>
        <v>576.94316202897528</v>
      </c>
      <c r="AD13" s="31">
        <f>SUM($AC$13:$AC$13)</f>
        <v>576.94316202897528</v>
      </c>
      <c r="AE13" s="31">
        <v>0</v>
      </c>
      <c r="AF13" s="31">
        <v>0</v>
      </c>
      <c r="AG13" s="31">
        <f>SUM($AE$13:$AF$13)</f>
        <v>0</v>
      </c>
      <c r="AH13" s="31">
        <f>'TR TUSD'!$AH$13*'TR TUSD'!$AH$60</f>
        <v>8.591319359140611</v>
      </c>
      <c r="AI13" s="31">
        <f>'TR TUSD'!$AI$13*'TR TUSD'!$AI$60</f>
        <v>0.18587942545441094</v>
      </c>
      <c r="AJ13" s="31">
        <f ca="1">'TR TUSD'!$AJ$13*'TR TUSD'!$AJ$60</f>
        <v>0.2089268255285763</v>
      </c>
      <c r="AK13" s="31">
        <f ca="1">'TR TUSD'!$AK$13*'TR TUSD'!$AK$60</f>
        <v>0.21935969133752176</v>
      </c>
      <c r="AL13" s="31">
        <f ca="1">SUM($AH$13:$AK$13)</f>
        <v>9.2054853014611204</v>
      </c>
      <c r="AM13" s="31">
        <f ca="1">SUMIF($L$4:$AL$4,"SUBTOTAL",$L$13:$AL$13)</f>
        <v>1389.1920061932547</v>
      </c>
      <c r="AP13" s="31">
        <v>1</v>
      </c>
    </row>
    <row r="14" spans="1:42" ht="11.25" customHeight="1" x14ac:dyDescent="0.25">
      <c r="A14" s="149"/>
      <c r="B14" s="149"/>
      <c r="C14" s="149"/>
      <c r="D14" s="149"/>
      <c r="E14" s="149"/>
      <c r="F14" s="149"/>
      <c r="G14" s="57" t="s">
        <v>76</v>
      </c>
      <c r="H14" s="57" t="s">
        <v>74</v>
      </c>
      <c r="I14" s="57">
        <f>'MERCADO TUSD'!$U$11</f>
        <v>0</v>
      </c>
      <c r="J14" s="15"/>
      <c r="L14" s="31">
        <f>'TR TUSD'!$L$14*'TR TUSD'!$L$60</f>
        <v>0</v>
      </c>
      <c r="M14" s="31">
        <f>'TR TUSD'!$M$14*'TR TUSD'!$M$60</f>
        <v>0.29927193074480807</v>
      </c>
      <c r="N14" s="31">
        <f ca="1">'TR TUSD'!$N$14*'TR TUSD'!$N$60</f>
        <v>0.30485771171614973</v>
      </c>
      <c r="O14" s="31">
        <f>'TR TUSD'!$O$14*'TR TUSD'!$O$60</f>
        <v>0</v>
      </c>
      <c r="P14" s="31">
        <f>'TR TUSD'!$P$14*'TR TUSD'!$P$60</f>
        <v>0</v>
      </c>
      <c r="Q14" s="31">
        <f>'TR TUSD'!$Q$14*'TR TUSD'!$Q$60</f>
        <v>0</v>
      </c>
      <c r="R14" s="31">
        <f>'TR TUSD'!$R$14*'TR TUSD'!$R$60</f>
        <v>0</v>
      </c>
      <c r="S14" s="31">
        <f>'TR TUSD'!$S$14*'TR TUSD'!$S$60</f>
        <v>0</v>
      </c>
      <c r="T14" s="31">
        <f ca="1">SUM($L$14:$S$14)</f>
        <v>0.60412964246095779</v>
      </c>
      <c r="U14" s="31">
        <f>'TR TUSD'!$U$14*'TR TUSD'!$U$60</f>
        <v>0</v>
      </c>
      <c r="V14" s="31">
        <f>'TR TUSD'!$V$14*'TR TUSD'!$V$60</f>
        <v>0</v>
      </c>
      <c r="W14" s="31">
        <f>'TR TUSD'!$W$14*'TR TUSD'!$W$60</f>
        <v>0</v>
      </c>
      <c r="X14" s="31">
        <f>'TR TUSD'!$X$14*'TR TUSD'!$X$60</f>
        <v>0</v>
      </c>
      <c r="Y14" s="31">
        <f>'TR TUSD'!$Y$14*'TR TUSD'!$Y$60</f>
        <v>0</v>
      </c>
      <c r="Z14" s="31">
        <f>'TR TUSD'!$Z$14</f>
        <v>0</v>
      </c>
      <c r="AA14" s="31">
        <f>'TR TUSD'!$AA$14</f>
        <v>0</v>
      </c>
      <c r="AB14" s="31">
        <f>SUM($U$14:$AA$14)</f>
        <v>0</v>
      </c>
      <c r="AC14" s="31">
        <f>'TR TUSD'!$AC$14*'TR TUSD'!$AC$60</f>
        <v>0</v>
      </c>
      <c r="AD14" s="31">
        <f>SUM($AC$14:$AC$14)</f>
        <v>0</v>
      </c>
      <c r="AE14" s="31">
        <v>0</v>
      </c>
      <c r="AF14" s="31">
        <v>0</v>
      </c>
      <c r="AG14" s="31">
        <f>SUM($AE$14:$AF$14)</f>
        <v>0</v>
      </c>
      <c r="AH14" s="31">
        <f>'TR TUSD'!$AH$14*'TR TUSD'!$AH$60</f>
        <v>8.591319359140611</v>
      </c>
      <c r="AI14" s="31">
        <f>'TR TUSD'!$AI$14*'TR TUSD'!$AI$60</f>
        <v>0.18587942545441094</v>
      </c>
      <c r="AJ14" s="31">
        <f ca="1">'TR TUSD'!$AJ$14*'TR TUSD'!$AJ$60</f>
        <v>0.2089268255285763</v>
      </c>
      <c r="AK14" s="31">
        <f ca="1">'TR TUSD'!$AK$14*'TR TUSD'!$AK$60</f>
        <v>0.21935969133752176</v>
      </c>
      <c r="AL14" s="31">
        <f ca="1">SUM($AH$14:$AK$14)</f>
        <v>9.2054853014611204</v>
      </c>
      <c r="AM14" s="31">
        <f ca="1">SUMIF($L$4:$AL$4,"SUBTOTAL",$L$14:$AL$14)</f>
        <v>9.8096149439220781</v>
      </c>
      <c r="AP14" s="31">
        <v>1</v>
      </c>
    </row>
    <row r="15" spans="1:42" ht="11.25" customHeight="1" x14ac:dyDescent="0.25">
      <c r="A15" s="149" t="s">
        <v>84</v>
      </c>
      <c r="B15" s="149" t="s">
        <v>83</v>
      </c>
      <c r="C15" s="149" t="s">
        <v>25</v>
      </c>
      <c r="D15" s="149" t="s">
        <v>25</v>
      </c>
      <c r="E15" s="56" t="s">
        <v>85</v>
      </c>
      <c r="F15" s="56" t="s">
        <v>25</v>
      </c>
      <c r="G15" s="57" t="s">
        <v>9</v>
      </c>
      <c r="H15" s="57" t="s">
        <v>79</v>
      </c>
      <c r="I15" s="57">
        <f>'MERCADO TUSD'!$U$12+0.00000001</f>
        <v>1E-8</v>
      </c>
      <c r="J15" s="15"/>
      <c r="L15" s="31">
        <f>'TR TUSD'!$L$15*'TR TUSD'!$L$60</f>
        <v>0</v>
      </c>
      <c r="M15" s="31">
        <f>'TR TUSD'!$M$15*'TR TUSD'!$M$60</f>
        <v>3.6634443942782265E-2</v>
      </c>
      <c r="N15" s="31">
        <f ca="1">'TR TUSD'!$N$15*'TR TUSD'!$N$60</f>
        <v>0.12004844902886661</v>
      </c>
      <c r="O15" s="31">
        <f>'TR TUSD'!$O$15*'TR TUSD'!$O$60</f>
        <v>0</v>
      </c>
      <c r="P15" s="31">
        <f>'TR TUSD'!$P$15*'TR TUSD'!$P$60</f>
        <v>0</v>
      </c>
      <c r="Q15" s="31">
        <f>'TR TUSD'!$Q$15*'TR TUSD'!$Q$60</f>
        <v>0</v>
      </c>
      <c r="R15" s="31">
        <f>'TR TUSD'!$R$15*'TR TUSD'!$R$60</f>
        <v>0</v>
      </c>
      <c r="S15" s="31">
        <f>'TR TUSD'!$S$15*'TR TUSD'!$S$60</f>
        <v>0</v>
      </c>
      <c r="T15" s="31">
        <f ca="1">SUM($L$15:$S$15)</f>
        <v>0.15668289297164886</v>
      </c>
      <c r="U15" s="31">
        <f>'TR TUSD'!$U$15*'TR TUSD'!$U$60</f>
        <v>0</v>
      </c>
      <c r="V15" s="31">
        <f>'TR TUSD'!$V$15*'TR TUSD'!$V$60</f>
        <v>0</v>
      </c>
      <c r="W15" s="31">
        <f>'TR TUSD'!$W$15*'TR TUSD'!$W$60</f>
        <v>0</v>
      </c>
      <c r="X15" s="31">
        <f>'TR TUSD'!$X$15*'TR TUSD'!$X$60</f>
        <v>0</v>
      </c>
      <c r="Y15" s="31">
        <f>'TR TUSD'!$Y$15*'TR TUSD'!$Y$60</f>
        <v>0</v>
      </c>
      <c r="Z15" s="31">
        <f>'TR TUSD'!$Z$15*'TR TUSD'!$Z$60</f>
        <v>0</v>
      </c>
      <c r="AA15" s="31">
        <f>'TR TUSD'!$AA$15*'TR TUSD'!$AA$60</f>
        <v>0</v>
      </c>
      <c r="AB15" s="31">
        <f>SUM($U$15:$AA$15)</f>
        <v>0</v>
      </c>
      <c r="AC15" s="31">
        <f>'TR TUSD'!$AC$15*'TR TUSD'!$AC$60</f>
        <v>9.1664017294967604</v>
      </c>
      <c r="AD15" s="31">
        <f>SUM($AC$15:$AC$15)</f>
        <v>9.1664017294967604</v>
      </c>
      <c r="AE15" s="31">
        <v>0</v>
      </c>
      <c r="AF15" s="31">
        <v>0</v>
      </c>
      <c r="AG15" s="31">
        <f>SUM($AE$15:$AF$15)</f>
        <v>0</v>
      </c>
      <c r="AH15" s="31">
        <f>'TR TUSD'!$AH$15*'TR TUSD'!$AH$60</f>
        <v>0</v>
      </c>
      <c r="AI15" s="31">
        <f>'TR TUSD'!$AI$15*'TR TUSD'!$AI$60</f>
        <v>0</v>
      </c>
      <c r="AJ15" s="31">
        <f ca="1">'TR TUSD'!$AJ$15*'TR TUSD'!$AJ$60</f>
        <v>0</v>
      </c>
      <c r="AK15" s="31">
        <f ca="1">'TR TUSD'!$AK$15*'TR TUSD'!$AK$60</f>
        <v>0</v>
      </c>
      <c r="AL15" s="31">
        <f ca="1">SUM($AH$15:$AK$15)</f>
        <v>0</v>
      </c>
      <c r="AM15" s="31">
        <f ca="1">SUMIF($L$4:$AL$4,"SUBTOTAL",$L$15:$AL$15)</f>
        <v>9.323084622468409</v>
      </c>
      <c r="AP15" s="31"/>
    </row>
    <row r="16" spans="1:42" ht="11.25" customHeight="1" x14ac:dyDescent="0.25">
      <c r="A16" s="149"/>
      <c r="B16" s="149"/>
      <c r="C16" s="149"/>
      <c r="D16" s="149"/>
      <c r="E16" s="56" t="s">
        <v>86</v>
      </c>
      <c r="F16" s="56" t="s">
        <v>25</v>
      </c>
      <c r="G16" s="57" t="s">
        <v>9</v>
      </c>
      <c r="H16" s="57" t="s">
        <v>79</v>
      </c>
      <c r="I16" s="57">
        <f>'MERCADO TUSD'!$U$13+0.00000001</f>
        <v>1E-8</v>
      </c>
      <c r="J16" s="15"/>
      <c r="L16" s="31">
        <f>'TR TUSD'!$L$16*'TR TUSD'!$L$60</f>
        <v>0</v>
      </c>
      <c r="M16" s="31">
        <f>'TR TUSD'!$M$16*'TR TUSD'!$M$60</f>
        <v>3.6634443942782265E-2</v>
      </c>
      <c r="N16" s="31">
        <f ca="1">'TR TUSD'!$N$16*'TR TUSD'!$N$60</f>
        <v>0.12004844902886661</v>
      </c>
      <c r="O16" s="31">
        <f>'TR TUSD'!$O$16*'TR TUSD'!$O$60</f>
        <v>0</v>
      </c>
      <c r="P16" s="31">
        <f>'TR TUSD'!$P$16*'TR TUSD'!$P$60</f>
        <v>0</v>
      </c>
      <c r="Q16" s="31">
        <f>'TR TUSD'!$Q$16*'TR TUSD'!$Q$60</f>
        <v>0</v>
      </c>
      <c r="R16" s="31">
        <f>'TR TUSD'!$R$16*'TR TUSD'!$R$60</f>
        <v>0</v>
      </c>
      <c r="S16" s="31">
        <f>'TR TUSD'!$S$16*'TR TUSD'!$S$60</f>
        <v>0</v>
      </c>
      <c r="T16" s="31">
        <f ca="1">SUM($L$16:$S$16)</f>
        <v>0.15668289297164886</v>
      </c>
      <c r="U16" s="31">
        <f>'TR TUSD'!$U$16*'TR TUSD'!$U$60</f>
        <v>0</v>
      </c>
      <c r="V16" s="31">
        <f>'TR TUSD'!$V$16*'TR TUSD'!$V$60</f>
        <v>0</v>
      </c>
      <c r="W16" s="31">
        <f>'TR TUSD'!$W$16*'TR TUSD'!$W$60</f>
        <v>0</v>
      </c>
      <c r="X16" s="31">
        <f>'TR TUSD'!$X$16*'TR TUSD'!$X$60</f>
        <v>0</v>
      </c>
      <c r="Y16" s="31">
        <f>'TR TUSD'!$Y$16*'TR TUSD'!$Y$60</f>
        <v>0</v>
      </c>
      <c r="Z16" s="31">
        <f>'TR TUSD'!$Z$16*'TR TUSD'!$Z$60</f>
        <v>0</v>
      </c>
      <c r="AA16" s="31">
        <f>'TR TUSD'!$AA$16*'TR TUSD'!$AA$60</f>
        <v>0</v>
      </c>
      <c r="AB16" s="31">
        <f>SUM($U$16:$AA$16)</f>
        <v>0</v>
      </c>
      <c r="AC16" s="31">
        <f>'TR TUSD'!$AC$16*'TR TUSD'!$AC$60</f>
        <v>14.603880817991113</v>
      </c>
      <c r="AD16" s="31">
        <f>SUM($AC$16:$AC$16)</f>
        <v>14.603880817991113</v>
      </c>
      <c r="AE16" s="31">
        <v>0</v>
      </c>
      <c r="AF16" s="31">
        <v>0</v>
      </c>
      <c r="AG16" s="31">
        <f>SUM($AE$16:$AF$16)</f>
        <v>0</v>
      </c>
      <c r="AH16" s="31">
        <f>'TR TUSD'!$AH$16*'TR TUSD'!$AH$60</f>
        <v>0</v>
      </c>
      <c r="AI16" s="31">
        <f>'TR TUSD'!$AI$16*'TR TUSD'!$AI$60</f>
        <v>0</v>
      </c>
      <c r="AJ16" s="31">
        <f ca="1">'TR TUSD'!$AJ$16*'TR TUSD'!$AJ$60</f>
        <v>0</v>
      </c>
      <c r="AK16" s="31">
        <f ca="1">'TR TUSD'!$AK$16*'TR TUSD'!$AK$60</f>
        <v>0</v>
      </c>
      <c r="AL16" s="31">
        <f ca="1">SUM($AH$16:$AK$16)</f>
        <v>0</v>
      </c>
      <c r="AM16" s="31">
        <f ca="1">SUMIF($L$4:$AL$4,"SUBTOTAL",$L$16:$AL$16)</f>
        <v>14.760563710962762</v>
      </c>
      <c r="AP16" s="31"/>
    </row>
    <row r="17" spans="1:42" ht="11.25" customHeight="1" x14ac:dyDescent="0.25">
      <c r="A17" s="149" t="s">
        <v>22</v>
      </c>
      <c r="B17" s="149" t="s">
        <v>50</v>
      </c>
      <c r="C17" s="149" t="s">
        <v>24</v>
      </c>
      <c r="D17" s="149" t="s">
        <v>24</v>
      </c>
      <c r="E17" s="149" t="s">
        <v>25</v>
      </c>
      <c r="F17" s="149" t="s">
        <v>25</v>
      </c>
      <c r="G17" s="57" t="s">
        <v>75</v>
      </c>
      <c r="H17" s="57" t="s">
        <v>74</v>
      </c>
      <c r="I17" s="57">
        <f>'MERCADO TUSD'!$U$14</f>
        <v>0</v>
      </c>
      <c r="J17" s="15"/>
      <c r="L17" s="31">
        <f>'TR TUSD'!$L$17*'TR TUSD'!$L$60</f>
        <v>0</v>
      </c>
      <c r="M17" s="31">
        <f>'TR TUSD'!$M$17*'TR TUSD'!$M$60</f>
        <v>0.79501449021920745</v>
      </c>
      <c r="N17" s="31">
        <f ca="1">'TR TUSD'!$N$17*'TR TUSD'!$N$60</f>
        <v>10.291041761653272</v>
      </c>
      <c r="O17" s="31">
        <f>'TR TUSD'!$O$17*'TR TUSD'!$O$60</f>
        <v>0</v>
      </c>
      <c r="P17" s="31">
        <f>'TR TUSD'!$P$17*'TR TUSD'!$P$60</f>
        <v>0</v>
      </c>
      <c r="Q17" s="31">
        <f>'TR TUSD'!$Q$17*'TR TUSD'!$Q$60</f>
        <v>89.728306907607802</v>
      </c>
      <c r="R17" s="31">
        <f>'TR TUSD'!$R$17*'TR TUSD'!$R$60</f>
        <v>13.719680747167459</v>
      </c>
      <c r="S17" s="31">
        <f>'TR TUSD'!$S$17*'TR TUSD'!$S$60</f>
        <v>0</v>
      </c>
      <c r="T17" s="31">
        <f ca="1">SUM($L$17:$S$17)</f>
        <v>114.53404390664774</v>
      </c>
      <c r="U17" s="31">
        <f>'TR TUSD'!$U$17*'TR TUSD'!$U$60</f>
        <v>0</v>
      </c>
      <c r="V17" s="31">
        <f>'TR TUSD'!$V$17*'TR TUSD'!$V$60</f>
        <v>0</v>
      </c>
      <c r="W17" s="31">
        <f>'TR TUSD'!$W$17*'TR TUSD'!$W$60</f>
        <v>0</v>
      </c>
      <c r="X17" s="31">
        <f>'TR TUSD'!$X$17*'TR TUSD'!$X$60</f>
        <v>0</v>
      </c>
      <c r="Y17" s="31">
        <f>'TR TUSD'!$Y$17*'TR TUSD'!$Y$60</f>
        <v>292.79833295721835</v>
      </c>
      <c r="Z17" s="31">
        <f>'TR TUSD'!$Z$17</f>
        <v>0</v>
      </c>
      <c r="AA17" s="31">
        <f>'TR TUSD'!$AA$17</f>
        <v>0</v>
      </c>
      <c r="AB17" s="31">
        <f>SUM($U$17:$AA$17)</f>
        <v>292.79833295721835</v>
      </c>
      <c r="AC17" s="31">
        <f>'TR TUSD'!$AC$17*'TR TUSD'!$AC$60</f>
        <v>474.37859793457932</v>
      </c>
      <c r="AD17" s="31">
        <f>SUM($AC$17:$AC$17)</f>
        <v>474.37859793457932</v>
      </c>
      <c r="AE17" s="31">
        <v>0</v>
      </c>
      <c r="AF17" s="31">
        <v>0</v>
      </c>
      <c r="AG17" s="31">
        <f>SUM($AE$17:$AF$17)</f>
        <v>0</v>
      </c>
      <c r="AH17" s="31">
        <f>'TR TUSD'!$AH$17*'TR TUSD'!$AH$60</f>
        <v>18.33939270495155</v>
      </c>
      <c r="AI17" s="31">
        <f>'TR TUSD'!$AI$17*'TR TUSD'!$AI$60</f>
        <v>0.39678606238194863</v>
      </c>
      <c r="AJ17" s="31">
        <f ca="1">'TR TUSD'!$AJ$17*'TR TUSD'!$AJ$60</f>
        <v>0.31775589890625006</v>
      </c>
      <c r="AK17" s="31">
        <f ca="1">'TR TUSD'!$AK$17*'TR TUSD'!$AK$60</f>
        <v>0.3336231990717633</v>
      </c>
      <c r="AL17" s="31">
        <f ca="1">SUM($AH$17:$AK$17)</f>
        <v>19.387557865311511</v>
      </c>
      <c r="AM17" s="31">
        <f ca="1">SUMIF($L$4:$AL$4,"SUBTOTAL",$L$17:$AL$17)</f>
        <v>901.09853266375694</v>
      </c>
      <c r="AP17" s="31">
        <v>1</v>
      </c>
    </row>
    <row r="18" spans="1:42" ht="11.25" customHeight="1" x14ac:dyDescent="0.25">
      <c r="A18" s="149"/>
      <c r="B18" s="149"/>
      <c r="C18" s="149"/>
      <c r="D18" s="149"/>
      <c r="E18" s="149"/>
      <c r="F18" s="149"/>
      <c r="G18" s="57" t="s">
        <v>87</v>
      </c>
      <c r="H18" s="57" t="s">
        <v>74</v>
      </c>
      <c r="I18" s="57">
        <f>'MERCADO TUSD'!$U$15</f>
        <v>0</v>
      </c>
      <c r="J18" s="15"/>
      <c r="L18" s="31">
        <f>'TR TUSD'!$L$18*'TR TUSD'!$L$60</f>
        <v>0</v>
      </c>
      <c r="M18" s="31">
        <f>'TR TUSD'!$M$18*'TR TUSD'!$M$60</f>
        <v>0.79501449021920745</v>
      </c>
      <c r="N18" s="31">
        <f ca="1">'TR TUSD'!$N$18*'TR TUSD'!$N$60</f>
        <v>6.4336751441534483</v>
      </c>
      <c r="O18" s="31">
        <f>'TR TUSD'!$O$18*'TR TUSD'!$O$60</f>
        <v>0</v>
      </c>
      <c r="P18" s="31">
        <f>'TR TUSD'!$P$18*'TR TUSD'!$P$60</f>
        <v>0</v>
      </c>
      <c r="Q18" s="31">
        <f>'TR TUSD'!$Q$18*'TR TUSD'!$Q$60</f>
        <v>89.728306907607802</v>
      </c>
      <c r="R18" s="31">
        <f>'TR TUSD'!$R$18*'TR TUSD'!$R$60</f>
        <v>13.719680747167459</v>
      </c>
      <c r="S18" s="31">
        <f>'TR TUSD'!$S$18*'TR TUSD'!$S$60</f>
        <v>0</v>
      </c>
      <c r="T18" s="31">
        <f ca="1">SUM($L$18:$S$18)</f>
        <v>110.67667728914792</v>
      </c>
      <c r="U18" s="31">
        <f>'TR TUSD'!$U$18*'TR TUSD'!$U$60</f>
        <v>0</v>
      </c>
      <c r="V18" s="31">
        <f>'TR TUSD'!$V$18*'TR TUSD'!$V$60</f>
        <v>0</v>
      </c>
      <c r="W18" s="31">
        <f>'TR TUSD'!$W$18*'TR TUSD'!$W$60</f>
        <v>0</v>
      </c>
      <c r="X18" s="31">
        <f>'TR TUSD'!$X$18*'TR TUSD'!$X$60</f>
        <v>0</v>
      </c>
      <c r="Y18" s="31">
        <f>'TR TUSD'!$Y$18*'TR TUSD'!$Y$60</f>
        <v>175.67899977433103</v>
      </c>
      <c r="Z18" s="31">
        <f>'TR TUSD'!$Z$18</f>
        <v>0</v>
      </c>
      <c r="AA18" s="31">
        <f>'TR TUSD'!$AA$18</f>
        <v>0</v>
      </c>
      <c r="AB18" s="31">
        <f>SUM($U$18:$AA$18)</f>
        <v>175.67899977433103</v>
      </c>
      <c r="AC18" s="31">
        <f>'TR TUSD'!$AC$18*'TR TUSD'!$AC$60</f>
        <v>284.62720003271932</v>
      </c>
      <c r="AD18" s="31">
        <f>SUM($AC$18:$AC$18)</f>
        <v>284.62720003271932</v>
      </c>
      <c r="AE18" s="31">
        <v>0</v>
      </c>
      <c r="AF18" s="31">
        <v>0</v>
      </c>
      <c r="AG18" s="31">
        <f>SUM($AE$18:$AF$18)</f>
        <v>0</v>
      </c>
      <c r="AH18" s="31">
        <f>'TR TUSD'!$AH$18*'TR TUSD'!$AH$60</f>
        <v>18.33939270495155</v>
      </c>
      <c r="AI18" s="31">
        <f>'TR TUSD'!$AI$18*'TR TUSD'!$AI$60</f>
        <v>0.39678606238194863</v>
      </c>
      <c r="AJ18" s="31">
        <f ca="1">'TR TUSD'!$AJ$18*'TR TUSD'!$AJ$60</f>
        <v>0.31775589890625006</v>
      </c>
      <c r="AK18" s="31">
        <f ca="1">'TR TUSD'!$AK$18*'TR TUSD'!$AK$60</f>
        <v>0.3336231990717633</v>
      </c>
      <c r="AL18" s="31">
        <f ca="1">SUM($AH$18:$AK$18)</f>
        <v>19.387557865311511</v>
      </c>
      <c r="AM18" s="31">
        <f ca="1">SUMIF($L$4:$AL$4,"SUBTOTAL",$L$18:$AL$18)</f>
        <v>590.37043496150977</v>
      </c>
      <c r="AP18" s="31">
        <v>1</v>
      </c>
    </row>
    <row r="19" spans="1:42" ht="11.25" customHeight="1" x14ac:dyDescent="0.25">
      <c r="A19" s="149"/>
      <c r="B19" s="149"/>
      <c r="C19" s="149"/>
      <c r="D19" s="149"/>
      <c r="E19" s="149"/>
      <c r="F19" s="149"/>
      <c r="G19" s="57" t="s">
        <v>76</v>
      </c>
      <c r="H19" s="57" t="s">
        <v>74</v>
      </c>
      <c r="I19" s="57">
        <f>'MERCADO TUSD'!$U$16</f>
        <v>0</v>
      </c>
      <c r="J19" s="15"/>
      <c r="L19" s="31">
        <f>'TR TUSD'!$L$19*'TR TUSD'!$L$60</f>
        <v>0</v>
      </c>
      <c r="M19" s="31">
        <f>'TR TUSD'!$M$19*'TR TUSD'!$M$60</f>
        <v>0.79501449021920745</v>
      </c>
      <c r="N19" s="31">
        <f ca="1">'TR TUSD'!$N$19*'TR TUSD'!$N$60</f>
        <v>2.5763071808189961</v>
      </c>
      <c r="O19" s="31">
        <f>'TR TUSD'!$O$19*'TR TUSD'!$O$60</f>
        <v>0</v>
      </c>
      <c r="P19" s="31">
        <f>'TR TUSD'!$P$19*'TR TUSD'!$P$60</f>
        <v>0</v>
      </c>
      <c r="Q19" s="31">
        <f>'TR TUSD'!$Q$19*'TR TUSD'!$Q$60</f>
        <v>89.728306907607802</v>
      </c>
      <c r="R19" s="31">
        <f>'TR TUSD'!$R$19*'TR TUSD'!$R$60</f>
        <v>13.719680747167459</v>
      </c>
      <c r="S19" s="31">
        <f>'TR TUSD'!$S$19*'TR TUSD'!$S$60</f>
        <v>0</v>
      </c>
      <c r="T19" s="31">
        <f ca="1">SUM($L$19:$S$19)</f>
        <v>106.81930932581346</v>
      </c>
      <c r="U19" s="31">
        <f>'TR TUSD'!$U$19*'TR TUSD'!$U$60</f>
        <v>0</v>
      </c>
      <c r="V19" s="31">
        <f>'TR TUSD'!$V$19*'TR TUSD'!$V$60</f>
        <v>0</v>
      </c>
      <c r="W19" s="31">
        <f>'TR TUSD'!$W$19*'TR TUSD'!$W$60</f>
        <v>0</v>
      </c>
      <c r="X19" s="31">
        <f>'TR TUSD'!$X$19*'TR TUSD'!$X$60</f>
        <v>0</v>
      </c>
      <c r="Y19" s="31">
        <f>'TR TUSD'!$Y$19*'TR TUSD'!$Y$60</f>
        <v>58.55966659144368</v>
      </c>
      <c r="Z19" s="31">
        <f>'TR TUSD'!$Z$19</f>
        <v>0</v>
      </c>
      <c r="AA19" s="31">
        <f>'TR TUSD'!$AA$19</f>
        <v>0</v>
      </c>
      <c r="AB19" s="31">
        <f>SUM($U$19:$AA$19)</f>
        <v>58.55966659144368</v>
      </c>
      <c r="AC19" s="31">
        <f>'TR TUSD'!$AC$19*'TR TUSD'!$AC$60</f>
        <v>94.87569895093003</v>
      </c>
      <c r="AD19" s="31">
        <f>SUM($AC$19:$AC$19)</f>
        <v>94.87569895093003</v>
      </c>
      <c r="AE19" s="31">
        <v>0</v>
      </c>
      <c r="AF19" s="31">
        <v>0</v>
      </c>
      <c r="AG19" s="31">
        <f>SUM($AE$19:$AF$19)</f>
        <v>0</v>
      </c>
      <c r="AH19" s="31">
        <f>'TR TUSD'!$AH$19*'TR TUSD'!$AH$60</f>
        <v>18.33939270495155</v>
      </c>
      <c r="AI19" s="31">
        <f>'TR TUSD'!$AI$19*'TR TUSD'!$AI$60</f>
        <v>0.39678606238194863</v>
      </c>
      <c r="AJ19" s="31">
        <f ca="1">'TR TUSD'!$AJ$19*'TR TUSD'!$AJ$60</f>
        <v>0.31775589890625006</v>
      </c>
      <c r="AK19" s="31">
        <f ca="1">'TR TUSD'!$AK$19*'TR TUSD'!$AK$60</f>
        <v>0.3336231990717633</v>
      </c>
      <c r="AL19" s="31">
        <f ca="1">SUM($AH$19:$AK$19)</f>
        <v>19.387557865311511</v>
      </c>
      <c r="AM19" s="31">
        <f ca="1">SUMIF($L$4:$AL$4,"SUBTOTAL",$L$19:$AL$19)</f>
        <v>279.6422327334987</v>
      </c>
      <c r="AP19" s="31">
        <v>1</v>
      </c>
    </row>
    <row r="20" spans="1:42" ht="11.25" customHeight="1" x14ac:dyDescent="0.25">
      <c r="A20" s="149"/>
      <c r="B20" s="149" t="s">
        <v>23</v>
      </c>
      <c r="C20" s="149" t="s">
        <v>24</v>
      </c>
      <c r="D20" s="56" t="s">
        <v>24</v>
      </c>
      <c r="E20" s="56" t="s">
        <v>25</v>
      </c>
      <c r="F20" s="56" t="s">
        <v>25</v>
      </c>
      <c r="G20" s="57" t="s">
        <v>78</v>
      </c>
      <c r="H20" s="57" t="s">
        <v>74</v>
      </c>
      <c r="I20" s="57">
        <f>'MERCADO TUSD'!$U$17</f>
        <v>67923.810000000012</v>
      </c>
      <c r="J20" s="15"/>
      <c r="L20" s="31">
        <f>'TR TUSD'!$L$20*'TR TUSD'!$L$60</f>
        <v>0</v>
      </c>
      <c r="M20" s="31">
        <f>'TR TUSD'!$M$20*'TR TUSD'!$M$60</f>
        <v>0.79501449021920745</v>
      </c>
      <c r="N20" s="31">
        <f ca="1">'TR TUSD'!$N$20*'TR TUSD'!$N$60</f>
        <v>4.0312795788679257</v>
      </c>
      <c r="O20" s="31">
        <f>'TR TUSD'!$O$20*'TR TUSD'!$O$60</f>
        <v>0</v>
      </c>
      <c r="P20" s="31">
        <f>'TR TUSD'!$P$20*'TR TUSD'!$P$60</f>
        <v>0</v>
      </c>
      <c r="Q20" s="31">
        <f>'TR TUSD'!$Q$20*'TR TUSD'!$Q$60</f>
        <v>89.728306907607802</v>
      </c>
      <c r="R20" s="31">
        <f>'TR TUSD'!$R$20*'TR TUSD'!$R$60</f>
        <v>13.719680747167459</v>
      </c>
      <c r="S20" s="31">
        <f>'TR TUSD'!$S$20*'TR TUSD'!$S$60</f>
        <v>0</v>
      </c>
      <c r="T20" s="31">
        <f ca="1">SUM($L$20:$S$20)</f>
        <v>108.27428172386239</v>
      </c>
      <c r="U20" s="31">
        <f>'TR TUSD'!$U$20*'TR TUSD'!$U$60</f>
        <v>0</v>
      </c>
      <c r="V20" s="31">
        <f>'TR TUSD'!$V$20*'TR TUSD'!$V$60</f>
        <v>0</v>
      </c>
      <c r="W20" s="31">
        <f>'TR TUSD'!$W$20*'TR TUSD'!$W$60</f>
        <v>0</v>
      </c>
      <c r="X20" s="31">
        <f>'TR TUSD'!$X$20*'TR TUSD'!$X$60</f>
        <v>0</v>
      </c>
      <c r="Y20" s="31">
        <f>'TR TUSD'!$Y$20*'TR TUSD'!$Y$60</f>
        <v>102.73629118606726</v>
      </c>
      <c r="Z20" s="31">
        <f>'TR TUSD'!$Z$20</f>
        <v>0</v>
      </c>
      <c r="AA20" s="31">
        <f>'TR TUSD'!$AA$20</f>
        <v>0</v>
      </c>
      <c r="AB20" s="31">
        <f>SUM($U$20:$AA$20)</f>
        <v>102.73629118606726</v>
      </c>
      <c r="AC20" s="31">
        <f>'TR TUSD'!$AC$20*'TR TUSD'!$AC$60</f>
        <v>166.44862361354157</v>
      </c>
      <c r="AD20" s="31">
        <f>SUM($AC$20:$AC$20)</f>
        <v>166.44862361354157</v>
      </c>
      <c r="AE20" s="31">
        <v>0</v>
      </c>
      <c r="AF20" s="31">
        <v>0</v>
      </c>
      <c r="AG20" s="31">
        <f>SUM($AE$20:$AF$20)</f>
        <v>0</v>
      </c>
      <c r="AH20" s="31">
        <f>'TR TUSD'!$AH$20*'TR TUSD'!$AH$60</f>
        <v>18.33939270495155</v>
      </c>
      <c r="AI20" s="31">
        <f>'TR TUSD'!$AI$20*'TR TUSD'!$AI$60</f>
        <v>0.39678606238194863</v>
      </c>
      <c r="AJ20" s="31">
        <f ca="1">'TR TUSD'!$AJ$20*'TR TUSD'!$AJ$60</f>
        <v>0.31775589890625006</v>
      </c>
      <c r="AK20" s="31">
        <f ca="1">'TR TUSD'!$AK$20*'TR TUSD'!$AK$60</f>
        <v>0.3336231990717633</v>
      </c>
      <c r="AL20" s="31">
        <f ca="1">SUM($AH$20:$AK$20)</f>
        <v>19.387557865311511</v>
      </c>
      <c r="AM20" s="31">
        <f ca="1">SUMIF($L$4:$AL$4,"SUBTOTAL",$L$20:$AL$20)</f>
        <v>396.8467543887827</v>
      </c>
      <c r="AP20" s="31">
        <v>1</v>
      </c>
    </row>
    <row r="21" spans="1:42" ht="11.25" customHeight="1" x14ac:dyDescent="0.25">
      <c r="A21" s="149"/>
      <c r="B21" s="149"/>
      <c r="C21" s="149"/>
      <c r="D21" s="56" t="s">
        <v>29</v>
      </c>
      <c r="E21" s="56" t="s">
        <v>25</v>
      </c>
      <c r="F21" s="56" t="s">
        <v>25</v>
      </c>
      <c r="G21" s="57" t="s">
        <v>78</v>
      </c>
      <c r="H21" s="57" t="s">
        <v>74</v>
      </c>
      <c r="I21" s="57">
        <f>'MERCADO TUSD'!$U$18</f>
        <v>515.52700000000004</v>
      </c>
      <c r="J21" s="15"/>
      <c r="L21" s="31">
        <f>'TR TUSD'!$L$21*'TR TUSD'!$L$60</f>
        <v>0</v>
      </c>
      <c r="M21" s="31">
        <f>'TR TUSD'!$M$21*'TR TUSD'!$M$60</f>
        <v>0.79501449021920745</v>
      </c>
      <c r="N21" s="31">
        <f ca="1">'TR TUSD'!$N$21*'TR TUSD'!$N$60</f>
        <v>4.0178212325642413</v>
      </c>
      <c r="O21" s="31">
        <f>'TR TUSD'!$O$21*'TR TUSD'!$O$60</f>
        <v>0</v>
      </c>
      <c r="P21" s="31">
        <f>'TR TUSD'!$P$21*'TR TUSD'!$P$60</f>
        <v>0</v>
      </c>
      <c r="Q21" s="31">
        <f>'TR TUSD'!$Q$21*'TR TUSD'!$Q$60</f>
        <v>0</v>
      </c>
      <c r="R21" s="31">
        <f>'TR TUSD'!$R$21*'TR TUSD'!$R$60</f>
        <v>0</v>
      </c>
      <c r="S21" s="31">
        <f>'TR TUSD'!$S$21*'TR TUSD'!$S$60</f>
        <v>0</v>
      </c>
      <c r="T21" s="31">
        <f ca="1">SUM($L$21:$S$21)</f>
        <v>4.8128357227834488</v>
      </c>
      <c r="U21" s="31">
        <f>'TR TUSD'!$U$21*'TR TUSD'!$U$60</f>
        <v>0</v>
      </c>
      <c r="V21" s="31">
        <f>'TR TUSD'!$V$21*'TR TUSD'!$V$60</f>
        <v>0</v>
      </c>
      <c r="W21" s="31">
        <f>'TR TUSD'!$W$21*'TR TUSD'!$W$60</f>
        <v>0</v>
      </c>
      <c r="X21" s="31">
        <f>'TR TUSD'!$X$21*'TR TUSD'!$X$60</f>
        <v>0</v>
      </c>
      <c r="Y21" s="31">
        <f>'TR TUSD'!$Y$21*'TR TUSD'!$Y$60</f>
        <v>102.73629118606726</v>
      </c>
      <c r="Z21" s="31">
        <f>'TR TUSD'!$Z$21</f>
        <v>0</v>
      </c>
      <c r="AA21" s="31">
        <f>'TR TUSD'!$AA$21</f>
        <v>0</v>
      </c>
      <c r="AB21" s="31">
        <f>SUM($U$21:$AA$21)</f>
        <v>102.73629118606726</v>
      </c>
      <c r="AC21" s="31">
        <f>'TR TUSD'!$AC$21*'TR TUSD'!$AC$60</f>
        <v>166.44862361354157</v>
      </c>
      <c r="AD21" s="31">
        <f>SUM($AC$21:$AC$21)</f>
        <v>166.44862361354157</v>
      </c>
      <c r="AE21" s="31">
        <v>0</v>
      </c>
      <c r="AF21" s="31">
        <v>0</v>
      </c>
      <c r="AG21" s="31">
        <f>SUM($AE$21:$AF$21)</f>
        <v>0</v>
      </c>
      <c r="AH21" s="31">
        <f>'TR TUSD'!$AH$21*'TR TUSD'!$AH$60</f>
        <v>18.33939270495155</v>
      </c>
      <c r="AI21" s="31">
        <f>'TR TUSD'!$AI$21*'TR TUSD'!$AI$60</f>
        <v>0.39678606238194863</v>
      </c>
      <c r="AJ21" s="31">
        <f ca="1">'TR TUSD'!$AJ$21*'TR TUSD'!$AJ$60</f>
        <v>0.31775589890625006</v>
      </c>
      <c r="AK21" s="31">
        <f ca="1">'TR TUSD'!$AK$21*'TR TUSD'!$AK$60</f>
        <v>0.3336231990717633</v>
      </c>
      <c r="AL21" s="31">
        <f ca="1">SUM($AH$21:$AK$21)</f>
        <v>19.387557865311511</v>
      </c>
      <c r="AM21" s="31">
        <f ca="1">SUMIF($L$4:$AL$4,"SUBTOTAL",$L$21:$AL$21)</f>
        <v>293.38530838770379</v>
      </c>
      <c r="AP21" s="31">
        <f>IF((1 - CUSTOS!$M$24)&lt;&gt;0,1/(1 - CUSTOS!$M$24),1)</f>
        <v>1</v>
      </c>
    </row>
    <row r="22" spans="1:42" ht="11.25" customHeight="1" x14ac:dyDescent="0.25">
      <c r="A22" s="149"/>
      <c r="B22" s="149"/>
      <c r="C22" s="149"/>
      <c r="D22" s="56" t="s">
        <v>30</v>
      </c>
      <c r="E22" s="56" t="s">
        <v>25</v>
      </c>
      <c r="F22" s="56" t="s">
        <v>25</v>
      </c>
      <c r="G22" s="57" t="s">
        <v>78</v>
      </c>
      <c r="H22" s="57" t="s">
        <v>74</v>
      </c>
      <c r="I22" s="57">
        <f>'MERCADO TUSD'!$U$19</f>
        <v>1078.232</v>
      </c>
      <c r="J22" s="15"/>
      <c r="L22" s="31">
        <f>'TR TUSD'!$L$22*'TR TUSD'!$L$60</f>
        <v>0</v>
      </c>
      <c r="M22" s="31">
        <f>'TR TUSD'!$M$22*'TR TUSD'!$M$60</f>
        <v>0.79501449021920745</v>
      </c>
      <c r="N22" s="31">
        <f ca="1">'TR TUSD'!$N$22*'TR TUSD'!$N$60</f>
        <v>4.0178212325642413</v>
      </c>
      <c r="O22" s="31">
        <f>'TR TUSD'!$O$22*'TR TUSD'!$O$60</f>
        <v>0</v>
      </c>
      <c r="P22" s="31">
        <f>'TR TUSD'!$P$22*'TR TUSD'!$P$60</f>
        <v>0</v>
      </c>
      <c r="Q22" s="31">
        <f>'TR TUSD'!$Q$22*'TR TUSD'!$Q$60</f>
        <v>0</v>
      </c>
      <c r="R22" s="31">
        <f>'TR TUSD'!$R$22*'TR TUSD'!$R$60</f>
        <v>0</v>
      </c>
      <c r="S22" s="31">
        <f>'TR TUSD'!$S$22*'TR TUSD'!$S$60</f>
        <v>0</v>
      </c>
      <c r="T22" s="31">
        <f ca="1">SUM($L$22:$S$22)</f>
        <v>4.8128357227834488</v>
      </c>
      <c r="U22" s="31">
        <f>'TR TUSD'!$U$22*'TR TUSD'!$U$60</f>
        <v>0</v>
      </c>
      <c r="V22" s="31">
        <f>'TR TUSD'!$V$22*'TR TUSD'!$V$60</f>
        <v>0</v>
      </c>
      <c r="W22" s="31">
        <f>'TR TUSD'!$W$22*'TR TUSD'!$W$60</f>
        <v>0</v>
      </c>
      <c r="X22" s="31">
        <f>'TR TUSD'!$X$22*'TR TUSD'!$X$60</f>
        <v>0</v>
      </c>
      <c r="Y22" s="31">
        <f>'TR TUSD'!$Y$22*'TR TUSD'!$Y$60</f>
        <v>102.73629118606726</v>
      </c>
      <c r="Z22" s="31">
        <f>'TR TUSD'!$Z$22</f>
        <v>0</v>
      </c>
      <c r="AA22" s="31">
        <f>'TR TUSD'!$AA$22</f>
        <v>0</v>
      </c>
      <c r="AB22" s="31">
        <f>SUM($U$22:$AA$22)</f>
        <v>102.73629118606726</v>
      </c>
      <c r="AC22" s="31">
        <f>'TR TUSD'!$AC$22*'TR TUSD'!$AC$60</f>
        <v>166.44862361354157</v>
      </c>
      <c r="AD22" s="31">
        <f>SUM($AC$22:$AC$22)</f>
        <v>166.44862361354157</v>
      </c>
      <c r="AE22" s="31">
        <v>0</v>
      </c>
      <c r="AF22" s="31">
        <v>0</v>
      </c>
      <c r="AG22" s="31">
        <f>SUM($AE$22:$AF$22)</f>
        <v>0</v>
      </c>
      <c r="AH22" s="31">
        <f>'TR TUSD'!$AH$22*'TR TUSD'!$AH$60</f>
        <v>18.33939270495155</v>
      </c>
      <c r="AI22" s="31">
        <f>'TR TUSD'!$AI$22*'TR TUSD'!$AI$60</f>
        <v>0.39678606238194863</v>
      </c>
      <c r="AJ22" s="31">
        <f ca="1">'TR TUSD'!$AJ$22*'TR TUSD'!$AJ$60</f>
        <v>0.31775589890625006</v>
      </c>
      <c r="AK22" s="31">
        <f ca="1">'TR TUSD'!$AK$22*'TR TUSD'!$AK$60</f>
        <v>0.3336231990717633</v>
      </c>
      <c r="AL22" s="31">
        <f ca="1">SUM($AH$22:$AK$22)</f>
        <v>19.387557865311511</v>
      </c>
      <c r="AM22" s="31">
        <f ca="1">SUMIF($L$4:$AL$4,"SUBTOTAL",$L$22:$AL$22)</f>
        <v>293.38530838770379</v>
      </c>
      <c r="AP22" s="31">
        <f>IF((1 - CUSTOS!$M$25)&lt;&gt;0,1/(1 - CUSTOS!$M$25),1)</f>
        <v>1</v>
      </c>
    </row>
    <row r="23" spans="1:42" ht="11.25" customHeight="1" x14ac:dyDescent="0.25">
      <c r="A23" s="149"/>
      <c r="B23" s="149"/>
      <c r="C23" s="149"/>
      <c r="D23" s="56" t="s">
        <v>31</v>
      </c>
      <c r="E23" s="56" t="s">
        <v>25</v>
      </c>
      <c r="F23" s="56" t="s">
        <v>25</v>
      </c>
      <c r="G23" s="57" t="s">
        <v>78</v>
      </c>
      <c r="H23" s="57" t="s">
        <v>74</v>
      </c>
      <c r="I23" s="57">
        <f>'MERCADO TUSD'!$U$20</f>
        <v>1111.8500000000001</v>
      </c>
      <c r="J23" s="15"/>
      <c r="L23" s="31">
        <f>'TR TUSD'!$L$23*'TR TUSD'!$L$60</f>
        <v>0</v>
      </c>
      <c r="M23" s="31">
        <f>'TR TUSD'!$M$23*'TR TUSD'!$M$60</f>
        <v>0.79501449021920745</v>
      </c>
      <c r="N23" s="31">
        <f ca="1">'TR TUSD'!$N$23*'TR TUSD'!$N$60</f>
        <v>4.0178212325642413</v>
      </c>
      <c r="O23" s="31">
        <f>'TR TUSD'!$O$23*'TR TUSD'!$O$60</f>
        <v>0</v>
      </c>
      <c r="P23" s="31">
        <f>'TR TUSD'!$P$23*'TR TUSD'!$P$60</f>
        <v>0</v>
      </c>
      <c r="Q23" s="31">
        <f>'TR TUSD'!$Q$23*'TR TUSD'!$Q$60</f>
        <v>0</v>
      </c>
      <c r="R23" s="31">
        <f>'TR TUSD'!$R$23*'TR TUSD'!$R$60</f>
        <v>0</v>
      </c>
      <c r="S23" s="31">
        <f>'TR TUSD'!$S$23*'TR TUSD'!$S$60</f>
        <v>0</v>
      </c>
      <c r="T23" s="31">
        <f ca="1">SUM($L$23:$S$23)</f>
        <v>4.8128357227834488</v>
      </c>
      <c r="U23" s="31">
        <f>'TR TUSD'!$U$23*'TR TUSD'!$U$60</f>
        <v>0</v>
      </c>
      <c r="V23" s="31">
        <f>'TR TUSD'!$V$23*'TR TUSD'!$V$60</f>
        <v>0</v>
      </c>
      <c r="W23" s="31">
        <f>'TR TUSD'!$W$23*'TR TUSD'!$W$60</f>
        <v>0</v>
      </c>
      <c r="X23" s="31">
        <f>'TR TUSD'!$X$23*'TR TUSD'!$X$60</f>
        <v>0</v>
      </c>
      <c r="Y23" s="31">
        <f>'TR TUSD'!$Y$23*'TR TUSD'!$Y$60</f>
        <v>102.73629118606726</v>
      </c>
      <c r="Z23" s="31">
        <f>'TR TUSD'!$Z$23</f>
        <v>0</v>
      </c>
      <c r="AA23" s="31">
        <f>'TR TUSD'!$AA$23</f>
        <v>0</v>
      </c>
      <c r="AB23" s="31">
        <f>SUM($U$23:$AA$23)</f>
        <v>102.73629118606726</v>
      </c>
      <c r="AC23" s="31">
        <f>'TR TUSD'!$AC$23*'TR TUSD'!$AC$60</f>
        <v>166.44862361354157</v>
      </c>
      <c r="AD23" s="31">
        <f>SUM($AC$23:$AC$23)</f>
        <v>166.44862361354157</v>
      </c>
      <c r="AE23" s="31">
        <v>0</v>
      </c>
      <c r="AF23" s="31">
        <v>0</v>
      </c>
      <c r="AG23" s="31">
        <f>SUM($AE$23:$AF$23)</f>
        <v>0</v>
      </c>
      <c r="AH23" s="31">
        <f>'TR TUSD'!$AH$23*'TR TUSD'!$AH$60</f>
        <v>18.33939270495155</v>
      </c>
      <c r="AI23" s="31">
        <f>'TR TUSD'!$AI$23*'TR TUSD'!$AI$60</f>
        <v>0.39678606238194863</v>
      </c>
      <c r="AJ23" s="31">
        <f ca="1">'TR TUSD'!$AJ$23*'TR TUSD'!$AJ$60</f>
        <v>0.31775589890625006</v>
      </c>
      <c r="AK23" s="31">
        <f ca="1">'TR TUSD'!$AK$23*'TR TUSD'!$AK$60</f>
        <v>0.3336231990717633</v>
      </c>
      <c r="AL23" s="31">
        <f ca="1">SUM($AH$23:$AK$23)</f>
        <v>19.387557865311511</v>
      </c>
      <c r="AM23" s="31">
        <f ca="1">SUMIF($L$4:$AL$4,"SUBTOTAL",$L$23:$AL$23)</f>
        <v>293.38530838770379</v>
      </c>
      <c r="AP23" s="31">
        <f>IF((1 - CUSTOS!$M$26)&lt;&gt;0,1/(1 - CUSTOS!$M$26),1)</f>
        <v>1</v>
      </c>
    </row>
    <row r="24" spans="1:42" ht="11.25" customHeight="1" x14ac:dyDescent="0.25">
      <c r="A24" s="149"/>
      <c r="B24" s="149"/>
      <c r="C24" s="149"/>
      <c r="D24" s="56" t="s">
        <v>32</v>
      </c>
      <c r="E24" s="56" t="s">
        <v>25</v>
      </c>
      <c r="F24" s="56" t="s">
        <v>25</v>
      </c>
      <c r="G24" s="57" t="s">
        <v>78</v>
      </c>
      <c r="H24" s="57" t="s">
        <v>74</v>
      </c>
      <c r="I24" s="57">
        <f>'MERCADO TUSD'!$U$21</f>
        <v>453.86500000000007</v>
      </c>
      <c r="J24" s="15"/>
      <c r="L24" s="31">
        <f>'TR TUSD'!$L$24*'TR TUSD'!$L$60</f>
        <v>0</v>
      </c>
      <c r="M24" s="31">
        <f>'TR TUSD'!$M$24*'TR TUSD'!$M$60</f>
        <v>0.79501449021920745</v>
      </c>
      <c r="N24" s="31">
        <f ca="1">'TR TUSD'!$N$24*'TR TUSD'!$N$60</f>
        <v>4.0178212325642413</v>
      </c>
      <c r="O24" s="31">
        <f>'TR TUSD'!$O$24*'TR TUSD'!$O$60</f>
        <v>0</v>
      </c>
      <c r="P24" s="31">
        <f>'TR TUSD'!$P$24*'TR TUSD'!$P$60</f>
        <v>0</v>
      </c>
      <c r="Q24" s="31">
        <f>'TR TUSD'!$Q$24*'TR TUSD'!$Q$60</f>
        <v>0</v>
      </c>
      <c r="R24" s="31">
        <f>'TR TUSD'!$R$24*'TR TUSD'!$R$60</f>
        <v>0</v>
      </c>
      <c r="S24" s="31">
        <f>'TR TUSD'!$S$24*'TR TUSD'!$S$60</f>
        <v>0</v>
      </c>
      <c r="T24" s="31">
        <f ca="1">SUM($L$24:$S$24)</f>
        <v>4.8128357227834488</v>
      </c>
      <c r="U24" s="31">
        <f>'TR TUSD'!$U$24*'TR TUSD'!$U$60</f>
        <v>0</v>
      </c>
      <c r="V24" s="31">
        <f>'TR TUSD'!$V$24*'TR TUSD'!$V$60</f>
        <v>0</v>
      </c>
      <c r="W24" s="31">
        <f>'TR TUSD'!$W$24*'TR TUSD'!$W$60</f>
        <v>0</v>
      </c>
      <c r="X24" s="31">
        <f>'TR TUSD'!$X$24*'TR TUSD'!$X$60</f>
        <v>0</v>
      </c>
      <c r="Y24" s="31">
        <f>'TR TUSD'!$Y$24*'TR TUSD'!$Y$60</f>
        <v>102.73629118606726</v>
      </c>
      <c r="Z24" s="31">
        <f>'TR TUSD'!$Z$24</f>
        <v>0</v>
      </c>
      <c r="AA24" s="31">
        <f>'TR TUSD'!$AA$24</f>
        <v>0</v>
      </c>
      <c r="AB24" s="31">
        <f>SUM($U$24:$AA$24)</f>
        <v>102.73629118606726</v>
      </c>
      <c r="AC24" s="31">
        <f>'TR TUSD'!$AC$24*'TR TUSD'!$AC$60</f>
        <v>166.44862361354157</v>
      </c>
      <c r="AD24" s="31">
        <f>SUM($AC$24:$AC$24)</f>
        <v>166.44862361354157</v>
      </c>
      <c r="AE24" s="31">
        <v>0</v>
      </c>
      <c r="AF24" s="31">
        <v>0</v>
      </c>
      <c r="AG24" s="31">
        <f>SUM($AE$24:$AF$24)</f>
        <v>0</v>
      </c>
      <c r="AH24" s="31">
        <f>'TR TUSD'!$AH$24*'TR TUSD'!$AH$60</f>
        <v>18.33939270495155</v>
      </c>
      <c r="AI24" s="31">
        <f>'TR TUSD'!$AI$24*'TR TUSD'!$AI$60</f>
        <v>0.39678606238194863</v>
      </c>
      <c r="AJ24" s="31">
        <f ca="1">'TR TUSD'!$AJ$24*'TR TUSD'!$AJ$60</f>
        <v>0.31775589890625006</v>
      </c>
      <c r="AK24" s="31">
        <f ca="1">'TR TUSD'!$AK$24*'TR TUSD'!$AK$60</f>
        <v>0.3336231990717633</v>
      </c>
      <c r="AL24" s="31">
        <f ca="1">SUM($AH$24:$AK$24)</f>
        <v>19.387557865311511</v>
      </c>
      <c r="AM24" s="31">
        <f ca="1">SUMIF($L$4:$AL$4,"SUBTOTAL",$L$24:$AL$24)</f>
        <v>293.38530838770379</v>
      </c>
      <c r="AP24" s="31">
        <f>IF((1 - CUSTOS!$M$27)&lt;&gt;0,1/(1 - CUSTOS!$M$27),1)</f>
        <v>1</v>
      </c>
    </row>
    <row r="25" spans="1:42" ht="11.25" customHeight="1" x14ac:dyDescent="0.25">
      <c r="A25" s="149"/>
      <c r="B25" s="149" t="s">
        <v>89</v>
      </c>
      <c r="C25" s="149" t="s">
        <v>24</v>
      </c>
      <c r="D25" s="56" t="s">
        <v>24</v>
      </c>
      <c r="E25" s="56" t="s">
        <v>25</v>
      </c>
      <c r="F25" s="56" t="s">
        <v>25</v>
      </c>
      <c r="G25" s="57" t="s">
        <v>78</v>
      </c>
      <c r="H25" s="57" t="s">
        <v>74</v>
      </c>
      <c r="I25" s="57">
        <f>'MERCADO TUSD'!$U$22</f>
        <v>0</v>
      </c>
      <c r="J25" s="15"/>
      <c r="L25" s="31">
        <f>'TR TUSD'!$L$25*'TR TUSD'!$L$60</f>
        <v>0</v>
      </c>
      <c r="M25" s="31">
        <f>'TR TUSD'!$M$25*'TR TUSD'!$M$60</f>
        <v>0.79501449021920745</v>
      </c>
      <c r="N25" s="31">
        <f ca="1">'TR TUSD'!$N$25*'TR TUSD'!$N$60</f>
        <v>4.0312795788679257</v>
      </c>
      <c r="O25" s="31">
        <f>'TR TUSD'!$O$25*'TR TUSD'!$O$60</f>
        <v>0</v>
      </c>
      <c r="P25" s="31">
        <f>'TR TUSD'!$P$25*'TR TUSD'!$P$60</f>
        <v>0</v>
      </c>
      <c r="Q25" s="31">
        <f>'TR TUSD'!$Q$25*'TR TUSD'!$Q$60</f>
        <v>89.728306907607802</v>
      </c>
      <c r="R25" s="31">
        <f>'TR TUSD'!$R$25*'TR TUSD'!$R$60</f>
        <v>13.719680747167459</v>
      </c>
      <c r="S25" s="31">
        <f>'TR TUSD'!$S$25*'TR TUSD'!$S$60</f>
        <v>0</v>
      </c>
      <c r="T25" s="31">
        <f ca="1">SUM($L$25:$S$25)</f>
        <v>108.27428172386239</v>
      </c>
      <c r="U25" s="31">
        <f>'TR TUSD'!$U$25*'TR TUSD'!$U$60</f>
        <v>0</v>
      </c>
      <c r="V25" s="31">
        <f>'TR TUSD'!$V$25*'TR TUSD'!$V$60</f>
        <v>0</v>
      </c>
      <c r="W25" s="31">
        <f>'TR TUSD'!$W$25*'TR TUSD'!$W$60</f>
        <v>0</v>
      </c>
      <c r="X25" s="31">
        <f>'TR TUSD'!$X$25*'TR TUSD'!$X$60</f>
        <v>0</v>
      </c>
      <c r="Y25" s="31">
        <f>'TR TUSD'!$Y$25*'TR TUSD'!$Y$60</f>
        <v>102.73629118606726</v>
      </c>
      <c r="Z25" s="31">
        <f>'TR TUSD'!$Z$25</f>
        <v>0</v>
      </c>
      <c r="AA25" s="31">
        <f>'TR TUSD'!$AA$25</f>
        <v>0</v>
      </c>
      <c r="AB25" s="31">
        <f>SUM($U$25:$AA$25)</f>
        <v>102.73629118606726</v>
      </c>
      <c r="AC25" s="31">
        <f>'TR TUSD'!$AC$25*'TR TUSD'!$AC$60</f>
        <v>166.44862361354157</v>
      </c>
      <c r="AD25" s="31">
        <f>SUM($AC$25:$AC$25)</f>
        <v>166.44862361354157</v>
      </c>
      <c r="AE25" s="31">
        <v>0</v>
      </c>
      <c r="AF25" s="31">
        <v>0</v>
      </c>
      <c r="AG25" s="31">
        <f>SUM($AE$25:$AF$25)</f>
        <v>0</v>
      </c>
      <c r="AH25" s="31">
        <f>'TR TUSD'!$AH$25*'TR TUSD'!$AH$60</f>
        <v>18.33939270495155</v>
      </c>
      <c r="AI25" s="31">
        <f>'TR TUSD'!$AI$25*'TR TUSD'!$AI$60</f>
        <v>0.39678606238194863</v>
      </c>
      <c r="AJ25" s="31">
        <f ca="1">'TR TUSD'!$AJ$25*'TR TUSD'!$AJ$60</f>
        <v>0.31775589890625006</v>
      </c>
      <c r="AK25" s="31">
        <f ca="1">'TR TUSD'!$AK$25*'TR TUSD'!$AK$60</f>
        <v>0.3336231990717633</v>
      </c>
      <c r="AL25" s="31">
        <f ca="1">SUM($AH$25:$AK$25)</f>
        <v>19.387557865311511</v>
      </c>
      <c r="AM25" s="31">
        <f ca="1">SUMIF($L$4:$AL$4,"SUBTOTAL",$L$25:$AL$25)</f>
        <v>396.8467543887827</v>
      </c>
      <c r="AP25" s="31">
        <v>1</v>
      </c>
    </row>
    <row r="26" spans="1:42" ht="11.25" customHeight="1" x14ac:dyDescent="0.25">
      <c r="A26" s="149"/>
      <c r="B26" s="149"/>
      <c r="C26" s="149"/>
      <c r="D26" s="56" t="s">
        <v>29</v>
      </c>
      <c r="E26" s="56" t="s">
        <v>25</v>
      </c>
      <c r="F26" s="56" t="s">
        <v>25</v>
      </c>
      <c r="G26" s="57" t="s">
        <v>78</v>
      </c>
      <c r="H26" s="57" t="s">
        <v>74</v>
      </c>
      <c r="I26" s="57">
        <f>'MERCADO TUSD'!$U$23</f>
        <v>0</v>
      </c>
      <c r="J26" s="15"/>
      <c r="L26" s="31">
        <f>'TR TUSD'!$L$26*'TR TUSD'!$L$60</f>
        <v>0</v>
      </c>
      <c r="M26" s="31">
        <f>'TR TUSD'!$M$26*'TR TUSD'!$M$60</f>
        <v>0.79501449021920745</v>
      </c>
      <c r="N26" s="31">
        <f ca="1">'TR TUSD'!$N$26*'TR TUSD'!$N$60</f>
        <v>4.0178212325642413</v>
      </c>
      <c r="O26" s="31">
        <f>'TR TUSD'!$O$26*'TR TUSD'!$O$60</f>
        <v>0</v>
      </c>
      <c r="P26" s="31">
        <f>'TR TUSD'!$P$26*'TR TUSD'!$P$60</f>
        <v>0</v>
      </c>
      <c r="Q26" s="31">
        <f>'TR TUSD'!$Q$26*'TR TUSD'!$Q$60</f>
        <v>0</v>
      </c>
      <c r="R26" s="31">
        <f>'TR TUSD'!$R$26*'TR TUSD'!$R$60</f>
        <v>0</v>
      </c>
      <c r="S26" s="31">
        <f>'TR TUSD'!$S$26*'TR TUSD'!$S$60</f>
        <v>0</v>
      </c>
      <c r="T26" s="31">
        <f ca="1">SUM($L$26:$S$26)</f>
        <v>4.8128357227834488</v>
      </c>
      <c r="U26" s="31">
        <f>'TR TUSD'!$U$26*'TR TUSD'!$U$60</f>
        <v>0</v>
      </c>
      <c r="V26" s="31">
        <f>'TR TUSD'!$V$26*'TR TUSD'!$V$60</f>
        <v>0</v>
      </c>
      <c r="W26" s="31">
        <f>'TR TUSD'!$W$26*'TR TUSD'!$W$60</f>
        <v>0</v>
      </c>
      <c r="X26" s="31">
        <f>'TR TUSD'!$X$26*'TR TUSD'!$X$60</f>
        <v>0</v>
      </c>
      <c r="Y26" s="31">
        <f>'TR TUSD'!$Y$26*'TR TUSD'!$Y$60</f>
        <v>102.73629118606726</v>
      </c>
      <c r="Z26" s="31">
        <f>'TR TUSD'!$Z$26</f>
        <v>0</v>
      </c>
      <c r="AA26" s="31">
        <f>'TR TUSD'!$AA$26</f>
        <v>0</v>
      </c>
      <c r="AB26" s="31">
        <f>SUM($U$26:$AA$26)</f>
        <v>102.73629118606726</v>
      </c>
      <c r="AC26" s="31">
        <f>'TR TUSD'!$AC$26*'TR TUSD'!$AC$60</f>
        <v>166.44862361354157</v>
      </c>
      <c r="AD26" s="31">
        <f>SUM($AC$26:$AC$26)</f>
        <v>166.44862361354157</v>
      </c>
      <c r="AE26" s="31">
        <v>0</v>
      </c>
      <c r="AF26" s="31">
        <v>0</v>
      </c>
      <c r="AG26" s="31">
        <f>SUM($AE$26:$AF$26)</f>
        <v>0</v>
      </c>
      <c r="AH26" s="31">
        <f>'TR TUSD'!$AH$26*'TR TUSD'!$AH$60</f>
        <v>18.33939270495155</v>
      </c>
      <c r="AI26" s="31">
        <f>'TR TUSD'!$AI$26*'TR TUSD'!$AI$60</f>
        <v>0.39678606238194863</v>
      </c>
      <c r="AJ26" s="31">
        <f ca="1">'TR TUSD'!$AJ$26*'TR TUSD'!$AJ$60</f>
        <v>0.31775589890625006</v>
      </c>
      <c r="AK26" s="31">
        <f ca="1">'TR TUSD'!$AK$26*'TR TUSD'!$AK$60</f>
        <v>0.3336231990717633</v>
      </c>
      <c r="AL26" s="31">
        <f ca="1">SUM($AH$26:$AK$26)</f>
        <v>19.387557865311511</v>
      </c>
      <c r="AM26" s="31">
        <f ca="1">SUMIF($L$4:$AL$4,"SUBTOTAL",$L$26:$AL$26)</f>
        <v>293.38530838770379</v>
      </c>
      <c r="AP26" s="31">
        <f>IF((1 - CUSTOS!$M$24)&lt;&gt;0,1/(1 - CUSTOS!$M$24),1)</f>
        <v>1</v>
      </c>
    </row>
    <row r="27" spans="1:42" ht="11.25" customHeight="1" x14ac:dyDescent="0.25">
      <c r="A27" s="149"/>
      <c r="B27" s="149"/>
      <c r="C27" s="149"/>
      <c r="D27" s="56" t="s">
        <v>30</v>
      </c>
      <c r="E27" s="56" t="s">
        <v>25</v>
      </c>
      <c r="F27" s="56" t="s">
        <v>25</v>
      </c>
      <c r="G27" s="57" t="s">
        <v>78</v>
      </c>
      <c r="H27" s="57" t="s">
        <v>74</v>
      </c>
      <c r="I27" s="57">
        <f>'MERCADO TUSD'!$U$24</f>
        <v>0</v>
      </c>
      <c r="J27" s="15"/>
      <c r="L27" s="31">
        <f>'TR TUSD'!$L$27*'TR TUSD'!$L$60</f>
        <v>0</v>
      </c>
      <c r="M27" s="31">
        <f>'TR TUSD'!$M$27*'TR TUSD'!$M$60</f>
        <v>0.79501449021920745</v>
      </c>
      <c r="N27" s="31">
        <f ca="1">'TR TUSD'!$N$27*'TR TUSD'!$N$60</f>
        <v>4.0178212325642413</v>
      </c>
      <c r="O27" s="31">
        <f>'TR TUSD'!$O$27*'TR TUSD'!$O$60</f>
        <v>0</v>
      </c>
      <c r="P27" s="31">
        <f>'TR TUSD'!$P$27*'TR TUSD'!$P$60</f>
        <v>0</v>
      </c>
      <c r="Q27" s="31">
        <f>'TR TUSD'!$Q$27*'TR TUSD'!$Q$60</f>
        <v>0</v>
      </c>
      <c r="R27" s="31">
        <f>'TR TUSD'!$R$27*'TR TUSD'!$R$60</f>
        <v>0</v>
      </c>
      <c r="S27" s="31">
        <f>'TR TUSD'!$S$27*'TR TUSD'!$S$60</f>
        <v>0</v>
      </c>
      <c r="T27" s="31">
        <f ca="1">SUM($L$27:$S$27)</f>
        <v>4.8128357227834488</v>
      </c>
      <c r="U27" s="31">
        <f>'TR TUSD'!$U$27*'TR TUSD'!$U$60</f>
        <v>0</v>
      </c>
      <c r="V27" s="31">
        <f>'TR TUSD'!$V$27*'TR TUSD'!$V$60</f>
        <v>0</v>
      </c>
      <c r="W27" s="31">
        <f>'TR TUSD'!$W$27*'TR TUSD'!$W$60</f>
        <v>0</v>
      </c>
      <c r="X27" s="31">
        <f>'TR TUSD'!$X$27*'TR TUSD'!$X$60</f>
        <v>0</v>
      </c>
      <c r="Y27" s="31">
        <f>'TR TUSD'!$Y$27*'TR TUSD'!$Y$60</f>
        <v>102.73629118606726</v>
      </c>
      <c r="Z27" s="31">
        <f>'TR TUSD'!$Z$27</f>
        <v>0</v>
      </c>
      <c r="AA27" s="31">
        <f>'TR TUSD'!$AA$27</f>
        <v>0</v>
      </c>
      <c r="AB27" s="31">
        <f>SUM($U$27:$AA$27)</f>
        <v>102.73629118606726</v>
      </c>
      <c r="AC27" s="31">
        <f>'TR TUSD'!$AC$27*'TR TUSD'!$AC$60</f>
        <v>166.44862361354157</v>
      </c>
      <c r="AD27" s="31">
        <f>SUM($AC$27:$AC$27)</f>
        <v>166.44862361354157</v>
      </c>
      <c r="AE27" s="31">
        <v>0</v>
      </c>
      <c r="AF27" s="31">
        <v>0</v>
      </c>
      <c r="AG27" s="31">
        <f>SUM($AE$27:$AF$27)</f>
        <v>0</v>
      </c>
      <c r="AH27" s="31">
        <f>'TR TUSD'!$AH$27*'TR TUSD'!$AH$60</f>
        <v>18.33939270495155</v>
      </c>
      <c r="AI27" s="31">
        <f>'TR TUSD'!$AI$27*'TR TUSD'!$AI$60</f>
        <v>0.39678606238194863</v>
      </c>
      <c r="AJ27" s="31">
        <f ca="1">'TR TUSD'!$AJ$27*'TR TUSD'!$AJ$60</f>
        <v>0.31775589890625006</v>
      </c>
      <c r="AK27" s="31">
        <f ca="1">'TR TUSD'!$AK$27*'TR TUSD'!$AK$60</f>
        <v>0.3336231990717633</v>
      </c>
      <c r="AL27" s="31">
        <f ca="1">SUM($AH$27:$AK$27)</f>
        <v>19.387557865311511</v>
      </c>
      <c r="AM27" s="31">
        <f ca="1">SUMIF($L$4:$AL$4,"SUBTOTAL",$L$27:$AL$27)</f>
        <v>293.38530838770379</v>
      </c>
      <c r="AP27" s="31">
        <f>IF((1 - CUSTOS!$M$25)&lt;&gt;0,1/(1 - CUSTOS!$M$25),1)</f>
        <v>1</v>
      </c>
    </row>
    <row r="28" spans="1:42" ht="11.25" customHeight="1" x14ac:dyDescent="0.25">
      <c r="A28" s="149"/>
      <c r="B28" s="149"/>
      <c r="C28" s="149"/>
      <c r="D28" s="56" t="s">
        <v>31</v>
      </c>
      <c r="E28" s="56" t="s">
        <v>25</v>
      </c>
      <c r="F28" s="56" t="s">
        <v>25</v>
      </c>
      <c r="G28" s="57" t="s">
        <v>78</v>
      </c>
      <c r="H28" s="57" t="s">
        <v>74</v>
      </c>
      <c r="I28" s="57">
        <f>'MERCADO TUSD'!$U$25</f>
        <v>0</v>
      </c>
      <c r="J28" s="15"/>
      <c r="L28" s="31">
        <f>'TR TUSD'!$L$28*'TR TUSD'!$L$60</f>
        <v>0</v>
      </c>
      <c r="M28" s="31">
        <f>'TR TUSD'!$M$28*'TR TUSD'!$M$60</f>
        <v>0.79501449021920745</v>
      </c>
      <c r="N28" s="31">
        <f ca="1">'TR TUSD'!$N$28*'TR TUSD'!$N$60</f>
        <v>4.0178212325642413</v>
      </c>
      <c r="O28" s="31">
        <f>'TR TUSD'!$O$28*'TR TUSD'!$O$60</f>
        <v>0</v>
      </c>
      <c r="P28" s="31">
        <f>'TR TUSD'!$P$28*'TR TUSD'!$P$60</f>
        <v>0</v>
      </c>
      <c r="Q28" s="31">
        <f>'TR TUSD'!$Q$28*'TR TUSD'!$Q$60</f>
        <v>0</v>
      </c>
      <c r="R28" s="31">
        <f>'TR TUSD'!$R$28*'TR TUSD'!$R$60</f>
        <v>0</v>
      </c>
      <c r="S28" s="31">
        <f>'TR TUSD'!$S$28*'TR TUSD'!$S$60</f>
        <v>0</v>
      </c>
      <c r="T28" s="31">
        <f ca="1">SUM($L$28:$S$28)</f>
        <v>4.8128357227834488</v>
      </c>
      <c r="U28" s="31">
        <f>'TR TUSD'!$U$28*'TR TUSD'!$U$60</f>
        <v>0</v>
      </c>
      <c r="V28" s="31">
        <f>'TR TUSD'!$V$28*'TR TUSD'!$V$60</f>
        <v>0</v>
      </c>
      <c r="W28" s="31">
        <f>'TR TUSD'!$W$28*'TR TUSD'!$W$60</f>
        <v>0</v>
      </c>
      <c r="X28" s="31">
        <f>'TR TUSD'!$X$28*'TR TUSD'!$X$60</f>
        <v>0</v>
      </c>
      <c r="Y28" s="31">
        <f>'TR TUSD'!$Y$28*'TR TUSD'!$Y$60</f>
        <v>102.73629118606726</v>
      </c>
      <c r="Z28" s="31">
        <f>'TR TUSD'!$Z$28</f>
        <v>0</v>
      </c>
      <c r="AA28" s="31">
        <f>'TR TUSD'!$AA$28</f>
        <v>0</v>
      </c>
      <c r="AB28" s="31">
        <f>SUM($U$28:$AA$28)</f>
        <v>102.73629118606726</v>
      </c>
      <c r="AC28" s="31">
        <f>'TR TUSD'!$AC$28*'TR TUSD'!$AC$60</f>
        <v>166.44862361354157</v>
      </c>
      <c r="AD28" s="31">
        <f>SUM($AC$28:$AC$28)</f>
        <v>166.44862361354157</v>
      </c>
      <c r="AE28" s="31">
        <v>0</v>
      </c>
      <c r="AF28" s="31">
        <v>0</v>
      </c>
      <c r="AG28" s="31">
        <f>SUM($AE$28:$AF$28)</f>
        <v>0</v>
      </c>
      <c r="AH28" s="31">
        <f>'TR TUSD'!$AH$28*'TR TUSD'!$AH$60</f>
        <v>18.33939270495155</v>
      </c>
      <c r="AI28" s="31">
        <f>'TR TUSD'!$AI$28*'TR TUSD'!$AI$60</f>
        <v>0.39678606238194863</v>
      </c>
      <c r="AJ28" s="31">
        <f ca="1">'TR TUSD'!$AJ$28*'TR TUSD'!$AJ$60</f>
        <v>0.31775589890625006</v>
      </c>
      <c r="AK28" s="31">
        <f ca="1">'TR TUSD'!$AK$28*'TR TUSD'!$AK$60</f>
        <v>0.3336231990717633</v>
      </c>
      <c r="AL28" s="31">
        <f ca="1">SUM($AH$28:$AK$28)</f>
        <v>19.387557865311511</v>
      </c>
      <c r="AM28" s="31">
        <f ca="1">SUMIF($L$4:$AL$4,"SUBTOTAL",$L$28:$AL$28)</f>
        <v>293.38530838770379</v>
      </c>
      <c r="AP28" s="31">
        <f>IF((1 - CUSTOS!$M$26)&lt;&gt;0,1/(1 - CUSTOS!$M$26),1)</f>
        <v>1</v>
      </c>
    </row>
    <row r="29" spans="1:42" ht="11.25" customHeight="1" x14ac:dyDescent="0.25">
      <c r="A29" s="149"/>
      <c r="B29" s="149"/>
      <c r="C29" s="149"/>
      <c r="D29" s="56" t="s">
        <v>32</v>
      </c>
      <c r="E29" s="56" t="s">
        <v>25</v>
      </c>
      <c r="F29" s="56" t="s">
        <v>25</v>
      </c>
      <c r="G29" s="57" t="s">
        <v>78</v>
      </c>
      <c r="H29" s="57" t="s">
        <v>74</v>
      </c>
      <c r="I29" s="57">
        <f>'MERCADO TUSD'!$U$26</f>
        <v>0</v>
      </c>
      <c r="J29" s="15"/>
      <c r="L29" s="31">
        <f>'TR TUSD'!$L$29*'TR TUSD'!$L$60</f>
        <v>0</v>
      </c>
      <c r="M29" s="31">
        <f>'TR TUSD'!$M$29*'TR TUSD'!$M$60</f>
        <v>0.79501449021920745</v>
      </c>
      <c r="N29" s="31">
        <f ca="1">'TR TUSD'!$N$29*'TR TUSD'!$N$60</f>
        <v>4.0178212325642413</v>
      </c>
      <c r="O29" s="31">
        <f>'TR TUSD'!$O$29*'TR TUSD'!$O$60</f>
        <v>0</v>
      </c>
      <c r="P29" s="31">
        <f>'TR TUSD'!$P$29*'TR TUSD'!$P$60</f>
        <v>0</v>
      </c>
      <c r="Q29" s="31">
        <f>'TR TUSD'!$Q$29*'TR TUSD'!$Q$60</f>
        <v>0</v>
      </c>
      <c r="R29" s="31">
        <f>'TR TUSD'!$R$29*'TR TUSD'!$R$60</f>
        <v>0</v>
      </c>
      <c r="S29" s="31">
        <f>'TR TUSD'!$S$29*'TR TUSD'!$S$60</f>
        <v>0</v>
      </c>
      <c r="T29" s="31">
        <f ca="1">SUM($L$29:$S$29)</f>
        <v>4.8128357227834488</v>
      </c>
      <c r="U29" s="31">
        <f>'TR TUSD'!$U$29*'TR TUSD'!$U$60</f>
        <v>0</v>
      </c>
      <c r="V29" s="31">
        <f>'TR TUSD'!$V$29*'TR TUSD'!$V$60</f>
        <v>0</v>
      </c>
      <c r="W29" s="31">
        <f>'TR TUSD'!$W$29*'TR TUSD'!$W$60</f>
        <v>0</v>
      </c>
      <c r="X29" s="31">
        <f>'TR TUSD'!$X$29*'TR TUSD'!$X$60</f>
        <v>0</v>
      </c>
      <c r="Y29" s="31">
        <f>'TR TUSD'!$Y$29*'TR TUSD'!$Y$60</f>
        <v>102.73629118606726</v>
      </c>
      <c r="Z29" s="31">
        <f>'TR TUSD'!$Z$29</f>
        <v>0</v>
      </c>
      <c r="AA29" s="31">
        <f>'TR TUSD'!$AA$29</f>
        <v>0</v>
      </c>
      <c r="AB29" s="31">
        <f>SUM($U$29:$AA$29)</f>
        <v>102.73629118606726</v>
      </c>
      <c r="AC29" s="31">
        <f>'TR TUSD'!$AC$29*'TR TUSD'!$AC$60</f>
        <v>166.44862361354157</v>
      </c>
      <c r="AD29" s="31">
        <f>SUM($AC$29:$AC$29)</f>
        <v>166.44862361354157</v>
      </c>
      <c r="AE29" s="31">
        <v>0</v>
      </c>
      <c r="AF29" s="31">
        <v>0</v>
      </c>
      <c r="AG29" s="31">
        <f>SUM($AE$29:$AF$29)</f>
        <v>0</v>
      </c>
      <c r="AH29" s="31">
        <f>'TR TUSD'!$AH$29*'TR TUSD'!$AH$60</f>
        <v>18.33939270495155</v>
      </c>
      <c r="AI29" s="31">
        <f>'TR TUSD'!$AI$29*'TR TUSD'!$AI$60</f>
        <v>0.39678606238194863</v>
      </c>
      <c r="AJ29" s="31">
        <f ca="1">'TR TUSD'!$AJ$29*'TR TUSD'!$AJ$60</f>
        <v>0.31775589890625006</v>
      </c>
      <c r="AK29" s="31">
        <f ca="1">'TR TUSD'!$AK$29*'TR TUSD'!$AK$60</f>
        <v>0.3336231990717633</v>
      </c>
      <c r="AL29" s="31">
        <f ca="1">SUM($AH$29:$AK$29)</f>
        <v>19.387557865311511</v>
      </c>
      <c r="AM29" s="31">
        <f ca="1">SUMIF($L$4:$AL$4,"SUBTOTAL",$L$29:$AL$29)</f>
        <v>293.38530838770379</v>
      </c>
      <c r="AP29" s="31">
        <f>IF((1 - CUSTOS!$M$27)&lt;&gt;0,1/(1 - CUSTOS!$M$27),1)</f>
        <v>1</v>
      </c>
    </row>
    <row r="30" spans="1:42" ht="11.25" customHeight="1" x14ac:dyDescent="0.25">
      <c r="A30" s="149" t="s">
        <v>41</v>
      </c>
      <c r="B30" s="149" t="s">
        <v>50</v>
      </c>
      <c r="C30" s="149" t="s">
        <v>42</v>
      </c>
      <c r="D30" s="149" t="s">
        <v>25</v>
      </c>
      <c r="E30" s="149" t="s">
        <v>25</v>
      </c>
      <c r="F30" s="149" t="s">
        <v>25</v>
      </c>
      <c r="G30" s="57" t="s">
        <v>75</v>
      </c>
      <c r="H30" s="57" t="s">
        <v>74</v>
      </c>
      <c r="I30" s="57">
        <f>'MERCADO TUSD'!$U$27</f>
        <v>0</v>
      </c>
      <c r="J30" s="15"/>
      <c r="L30" s="31">
        <f>'TR TUSD'!$L$30*'TR TUSD'!$L$60</f>
        <v>0</v>
      </c>
      <c r="M30" s="31">
        <f>'TR TUSD'!$M$30*'TR TUSD'!$M$60</f>
        <v>0.79501449021920745</v>
      </c>
      <c r="N30" s="31">
        <f ca="1">'TR TUSD'!$N$30*'TR TUSD'!$N$60</f>
        <v>11.136955351894322</v>
      </c>
      <c r="O30" s="31">
        <f>'TR TUSD'!$O$30*'TR TUSD'!$O$60</f>
        <v>0</v>
      </c>
      <c r="P30" s="31">
        <f>'TR TUSD'!$P$30*'TR TUSD'!$P$60</f>
        <v>0</v>
      </c>
      <c r="Q30" s="31">
        <f>'TR TUSD'!$Q$30*'TR TUSD'!$Q$60</f>
        <v>89.728306907607802</v>
      </c>
      <c r="R30" s="31">
        <f>'TR TUSD'!$R$30*'TR TUSD'!$R$60</f>
        <v>13.719680747167459</v>
      </c>
      <c r="S30" s="31">
        <f>'TR TUSD'!$S$30*'TR TUSD'!$S$60</f>
        <v>0</v>
      </c>
      <c r="T30" s="31">
        <f ca="1">SUM($L$30:$S$30)</f>
        <v>115.37995749688879</v>
      </c>
      <c r="U30" s="31">
        <f>'TR TUSD'!$U$30*'TR TUSD'!$U$60</f>
        <v>0</v>
      </c>
      <c r="V30" s="31">
        <f>'TR TUSD'!$V$30*'TR TUSD'!$V$60</f>
        <v>0</v>
      </c>
      <c r="W30" s="31">
        <f>'TR TUSD'!$W$30*'TR TUSD'!$W$60</f>
        <v>0</v>
      </c>
      <c r="X30" s="31">
        <f>'TR TUSD'!$X$30*'TR TUSD'!$X$60</f>
        <v>0</v>
      </c>
      <c r="Y30" s="31">
        <f>'TR TUSD'!$Y$30*'TR TUSD'!$Y$60</f>
        <v>318.48237724694889</v>
      </c>
      <c r="Z30" s="31">
        <f>'TR TUSD'!$Z$30</f>
        <v>0</v>
      </c>
      <c r="AA30" s="31">
        <f>'TR TUSD'!$AA$30</f>
        <v>0</v>
      </c>
      <c r="AB30" s="31">
        <f>SUM($U$30:$AA$30)</f>
        <v>318.48237724694889</v>
      </c>
      <c r="AC30" s="31">
        <f>'TR TUSD'!$AC$30*'TR TUSD'!$AC$60</f>
        <v>515.99075383796469</v>
      </c>
      <c r="AD30" s="31">
        <f>SUM($AC$30:$AC$30)</f>
        <v>515.99075383796469</v>
      </c>
      <c r="AE30" s="31">
        <v>0</v>
      </c>
      <c r="AF30" s="31">
        <v>0</v>
      </c>
      <c r="AG30" s="31">
        <f>SUM($AE$30:$AF$30)</f>
        <v>0</v>
      </c>
      <c r="AH30" s="31">
        <f>'TR TUSD'!$AH$30*'TR TUSD'!$AH$60</f>
        <v>18.33939270495155</v>
      </c>
      <c r="AI30" s="31">
        <f>'TR TUSD'!$AI$30*'TR TUSD'!$AI$60</f>
        <v>0.39678606238194863</v>
      </c>
      <c r="AJ30" s="31">
        <f ca="1">'TR TUSD'!$AJ$30*'TR TUSD'!$AJ$60</f>
        <v>0.31775589890625006</v>
      </c>
      <c r="AK30" s="31">
        <f ca="1">'TR TUSD'!$AK$30*'TR TUSD'!$AK$60</f>
        <v>0.3336231990717633</v>
      </c>
      <c r="AL30" s="31">
        <f ca="1">SUM($AH$30:$AK$30)</f>
        <v>19.387557865311511</v>
      </c>
      <c r="AM30" s="31">
        <f ca="1">SUMIF($L$4:$AL$4,"SUBTOTAL",$L$30:$AL$30)</f>
        <v>969.24064644711382</v>
      </c>
      <c r="AP30" s="31">
        <f>IF((1 - CUSTOS!$M$28)&lt;&gt;0,1/(1 - CUSTOS!$M$28),1)</f>
        <v>1</v>
      </c>
    </row>
    <row r="31" spans="1:42" ht="11.25" customHeight="1" x14ac:dyDescent="0.25">
      <c r="A31" s="149"/>
      <c r="B31" s="149"/>
      <c r="C31" s="149"/>
      <c r="D31" s="149"/>
      <c r="E31" s="149"/>
      <c r="F31" s="149"/>
      <c r="G31" s="57" t="s">
        <v>87</v>
      </c>
      <c r="H31" s="57" t="s">
        <v>74</v>
      </c>
      <c r="I31" s="57">
        <f>'MERCADO TUSD'!$U$28</f>
        <v>0</v>
      </c>
      <c r="J31" s="15"/>
      <c r="L31" s="31">
        <f>'TR TUSD'!$L$31*'TR TUSD'!$L$60</f>
        <v>0</v>
      </c>
      <c r="M31" s="31">
        <f>'TR TUSD'!$M$31*'TR TUSD'!$M$60</f>
        <v>0.79501449021920745</v>
      </c>
      <c r="N31" s="31">
        <f ca="1">'TR TUSD'!$N$31*'TR TUSD'!$N$60</f>
        <v>6.9412230291311561</v>
      </c>
      <c r="O31" s="31">
        <f>'TR TUSD'!$O$31*'TR TUSD'!$O$60</f>
        <v>0</v>
      </c>
      <c r="P31" s="31">
        <f>'TR TUSD'!$P$31*'TR TUSD'!$P$60</f>
        <v>0</v>
      </c>
      <c r="Q31" s="31">
        <f>'TR TUSD'!$Q$31*'TR TUSD'!$Q$60</f>
        <v>89.728306907607802</v>
      </c>
      <c r="R31" s="31">
        <f>'TR TUSD'!$R$31*'TR TUSD'!$R$60</f>
        <v>13.719680747167459</v>
      </c>
      <c r="S31" s="31">
        <f>'TR TUSD'!$S$31*'TR TUSD'!$S$60</f>
        <v>0</v>
      </c>
      <c r="T31" s="31">
        <f ca="1">SUM($L$31:$S$31)</f>
        <v>111.18422517412563</v>
      </c>
      <c r="U31" s="31">
        <f>'TR TUSD'!$U$31*'TR TUSD'!$U$60</f>
        <v>0</v>
      </c>
      <c r="V31" s="31">
        <f>'TR TUSD'!$V$31*'TR TUSD'!$V$60</f>
        <v>0</v>
      </c>
      <c r="W31" s="31">
        <f>'TR TUSD'!$W$31*'TR TUSD'!$W$60</f>
        <v>0</v>
      </c>
      <c r="X31" s="31">
        <f>'TR TUSD'!$X$31*'TR TUSD'!$X$60</f>
        <v>0</v>
      </c>
      <c r="Y31" s="31">
        <f>'TR TUSD'!$Y$31*'TR TUSD'!$Y$60</f>
        <v>191.08942634816938</v>
      </c>
      <c r="Z31" s="31">
        <f>'TR TUSD'!$Z$31</f>
        <v>0</v>
      </c>
      <c r="AA31" s="31">
        <f>'TR TUSD'!$AA$31</f>
        <v>0</v>
      </c>
      <c r="AB31" s="31">
        <f>SUM($U$31:$AA$31)</f>
        <v>191.08942634816938</v>
      </c>
      <c r="AC31" s="31">
        <f>'TR TUSD'!$AC$31*'TR TUSD'!$AC$60</f>
        <v>309.59447293876468</v>
      </c>
      <c r="AD31" s="31">
        <f>SUM($AC$31:$AC$31)</f>
        <v>309.59447293876468</v>
      </c>
      <c r="AE31" s="31">
        <v>0</v>
      </c>
      <c r="AF31" s="31">
        <v>0</v>
      </c>
      <c r="AG31" s="31">
        <f>SUM($AE$31:$AF$31)</f>
        <v>0</v>
      </c>
      <c r="AH31" s="31">
        <f>'TR TUSD'!$AH$31*'TR TUSD'!$AH$60</f>
        <v>18.33939270495155</v>
      </c>
      <c r="AI31" s="31">
        <f>'TR TUSD'!$AI$31*'TR TUSD'!$AI$60</f>
        <v>0.39678606238194863</v>
      </c>
      <c r="AJ31" s="31">
        <f ca="1">'TR TUSD'!$AJ$31*'TR TUSD'!$AJ$60</f>
        <v>0.31775589890625006</v>
      </c>
      <c r="AK31" s="31">
        <f ca="1">'TR TUSD'!$AK$31*'TR TUSD'!$AK$60</f>
        <v>0.3336231990717633</v>
      </c>
      <c r="AL31" s="31">
        <f ca="1">SUM($AH$31:$AK$31)</f>
        <v>19.387557865311511</v>
      </c>
      <c r="AM31" s="31">
        <f ca="1">SUMIF($L$4:$AL$4,"SUBTOTAL",$L$31:$AL$31)</f>
        <v>631.25568232637124</v>
      </c>
      <c r="AP31" s="31">
        <f>IF((1 - CUSTOS!$M$28)&lt;&gt;0,1/(1 - CUSTOS!$M$28),1)</f>
        <v>1</v>
      </c>
    </row>
    <row r="32" spans="1:42" ht="11.25" customHeight="1" x14ac:dyDescent="0.25">
      <c r="A32" s="149"/>
      <c r="B32" s="149"/>
      <c r="C32" s="149"/>
      <c r="D32" s="149"/>
      <c r="E32" s="149"/>
      <c r="F32" s="149"/>
      <c r="G32" s="57" t="s">
        <v>76</v>
      </c>
      <c r="H32" s="57" t="s">
        <v>74</v>
      </c>
      <c r="I32" s="57">
        <f>'MERCADO TUSD'!$U$29</f>
        <v>0</v>
      </c>
      <c r="J32" s="15"/>
      <c r="L32" s="31">
        <f>'TR TUSD'!$L$32*'TR TUSD'!$L$60</f>
        <v>0</v>
      </c>
      <c r="M32" s="31">
        <f>'TR TUSD'!$M$32*'TR TUSD'!$M$60</f>
        <v>0.79501449021920745</v>
      </c>
      <c r="N32" s="31">
        <f ca="1">'TR TUSD'!$N$32*'TR TUSD'!$N$60</f>
        <v>2.7454907063679848</v>
      </c>
      <c r="O32" s="31">
        <f>'TR TUSD'!$O$32*'TR TUSD'!$O$60</f>
        <v>0</v>
      </c>
      <c r="P32" s="31">
        <f>'TR TUSD'!$P$32*'TR TUSD'!$P$60</f>
        <v>0</v>
      </c>
      <c r="Q32" s="31">
        <f>'TR TUSD'!$Q$32*'TR TUSD'!$Q$60</f>
        <v>89.728306907607802</v>
      </c>
      <c r="R32" s="31">
        <f>'TR TUSD'!$R$32*'TR TUSD'!$R$60</f>
        <v>13.719680747167459</v>
      </c>
      <c r="S32" s="31">
        <f>'TR TUSD'!$S$32*'TR TUSD'!$S$60</f>
        <v>0</v>
      </c>
      <c r="T32" s="31">
        <f ca="1">SUM($L$32:$S$32)</f>
        <v>106.98849285136245</v>
      </c>
      <c r="U32" s="31">
        <f>'TR TUSD'!$U$32*'TR TUSD'!$U$60</f>
        <v>0</v>
      </c>
      <c r="V32" s="31">
        <f>'TR TUSD'!$V$32*'TR TUSD'!$V$60</f>
        <v>0</v>
      </c>
      <c r="W32" s="31">
        <f>'TR TUSD'!$W$32*'TR TUSD'!$W$60</f>
        <v>0</v>
      </c>
      <c r="X32" s="31">
        <f>'TR TUSD'!$X$32*'TR TUSD'!$X$60</f>
        <v>0</v>
      </c>
      <c r="Y32" s="31">
        <f>'TR TUSD'!$Y$32*'TR TUSD'!$Y$60</f>
        <v>63.696475449389787</v>
      </c>
      <c r="Z32" s="31">
        <f>'TR TUSD'!$Z$32</f>
        <v>0</v>
      </c>
      <c r="AA32" s="31">
        <f>'TR TUSD'!$AA$32</f>
        <v>0</v>
      </c>
      <c r="AB32" s="31">
        <f>SUM($U$32:$AA$32)</f>
        <v>63.696475449389787</v>
      </c>
      <c r="AC32" s="31">
        <f>'TR TUSD'!$AC$32*'TR TUSD'!$AC$60</f>
        <v>103.19819203956463</v>
      </c>
      <c r="AD32" s="31">
        <f>SUM($AC$32:$AC$32)</f>
        <v>103.19819203956463</v>
      </c>
      <c r="AE32" s="31">
        <v>0</v>
      </c>
      <c r="AF32" s="31">
        <v>0</v>
      </c>
      <c r="AG32" s="31">
        <f>SUM($AE$32:$AF$32)</f>
        <v>0</v>
      </c>
      <c r="AH32" s="31">
        <f>'TR TUSD'!$AH$32*'TR TUSD'!$AH$60</f>
        <v>18.33939270495155</v>
      </c>
      <c r="AI32" s="31">
        <f>'TR TUSD'!$AI$32*'TR TUSD'!$AI$60</f>
        <v>0.39678606238194863</v>
      </c>
      <c r="AJ32" s="31">
        <f ca="1">'TR TUSD'!$AJ$32*'TR TUSD'!$AJ$60</f>
        <v>0.31775589890625006</v>
      </c>
      <c r="AK32" s="31">
        <f ca="1">'TR TUSD'!$AK$32*'TR TUSD'!$AK$60</f>
        <v>0.3336231990717633</v>
      </c>
      <c r="AL32" s="31">
        <f ca="1">SUM($AH$32:$AK$32)</f>
        <v>19.387557865311511</v>
      </c>
      <c r="AM32" s="31">
        <f ca="1">SUMIF($L$4:$AL$4,"SUBTOTAL",$L$32:$AL$32)</f>
        <v>293.27071820562838</v>
      </c>
      <c r="AP32" s="31">
        <f>IF((1 - CUSTOS!$M$28)&lt;&gt;0,1/(1 - CUSTOS!$M$28),1)</f>
        <v>1</v>
      </c>
    </row>
    <row r="33" spans="1:42" ht="11.25" customHeight="1" x14ac:dyDescent="0.25">
      <c r="A33" s="149"/>
      <c r="B33" s="56" t="s">
        <v>23</v>
      </c>
      <c r="C33" s="56" t="s">
        <v>42</v>
      </c>
      <c r="D33" s="56" t="s">
        <v>25</v>
      </c>
      <c r="E33" s="56" t="s">
        <v>25</v>
      </c>
      <c r="F33" s="56" t="s">
        <v>25</v>
      </c>
      <c r="G33" s="57" t="s">
        <v>78</v>
      </c>
      <c r="H33" s="57" t="s">
        <v>74</v>
      </c>
      <c r="I33" s="57">
        <f>'MERCADO TUSD'!$U$30</f>
        <v>11721.666999999998</v>
      </c>
      <c r="J33" s="15"/>
      <c r="L33" s="31">
        <f>'TR TUSD'!$L$33*'TR TUSD'!$L$60</f>
        <v>0</v>
      </c>
      <c r="M33" s="31">
        <f>'TR TUSD'!$M$33*'TR TUSD'!$M$60</f>
        <v>0.79501449021920745</v>
      </c>
      <c r="N33" s="31">
        <f ca="1">'TR TUSD'!$N$33*'TR TUSD'!$N$60</f>
        <v>4.0312795788679257</v>
      </c>
      <c r="O33" s="31">
        <f>'TR TUSD'!$O$33*'TR TUSD'!$O$60</f>
        <v>0</v>
      </c>
      <c r="P33" s="31">
        <f>'TR TUSD'!$P$33*'TR TUSD'!$P$60</f>
        <v>0</v>
      </c>
      <c r="Q33" s="31">
        <f>'TR TUSD'!$Q$33*'TR TUSD'!$Q$60</f>
        <v>89.728306907607802</v>
      </c>
      <c r="R33" s="31">
        <f>'TR TUSD'!$R$33*'TR TUSD'!$R$60</f>
        <v>13.719680747167459</v>
      </c>
      <c r="S33" s="31">
        <f>'TR TUSD'!$S$33*'TR TUSD'!$S$60</f>
        <v>0</v>
      </c>
      <c r="T33" s="31">
        <f ca="1">SUM($L$33:$S$33)</f>
        <v>108.27428172386239</v>
      </c>
      <c r="U33" s="31">
        <f>'TR TUSD'!$U$33*'TR TUSD'!$U$60</f>
        <v>0</v>
      </c>
      <c r="V33" s="31">
        <f>'TR TUSD'!$V$33*'TR TUSD'!$V$60</f>
        <v>0</v>
      </c>
      <c r="W33" s="31">
        <f>'TR TUSD'!$W$33*'TR TUSD'!$W$60</f>
        <v>0</v>
      </c>
      <c r="X33" s="31">
        <f>'TR TUSD'!$X$33*'TR TUSD'!$X$60</f>
        <v>0</v>
      </c>
      <c r="Y33" s="31">
        <f>'TR TUSD'!$Y$33*'TR TUSD'!$Y$60</f>
        <v>102.73629118606726</v>
      </c>
      <c r="Z33" s="31">
        <f>'TR TUSD'!$Z$33</f>
        <v>0</v>
      </c>
      <c r="AA33" s="31">
        <f>'TR TUSD'!$AA$33</f>
        <v>0</v>
      </c>
      <c r="AB33" s="31">
        <f>SUM($U$33:$AA$33)</f>
        <v>102.73629118606726</v>
      </c>
      <c r="AC33" s="31">
        <f>'TR TUSD'!$AC$33*'TR TUSD'!$AC$60</f>
        <v>166.44862361354157</v>
      </c>
      <c r="AD33" s="31">
        <f>SUM($AC$33:$AC$33)</f>
        <v>166.44862361354157</v>
      </c>
      <c r="AE33" s="31">
        <v>0</v>
      </c>
      <c r="AF33" s="31">
        <v>0</v>
      </c>
      <c r="AG33" s="31">
        <f>SUM($AE$33:$AF$33)</f>
        <v>0</v>
      </c>
      <c r="AH33" s="31">
        <f>'TR TUSD'!$AH$33*'TR TUSD'!$AH$60</f>
        <v>18.33939270495155</v>
      </c>
      <c r="AI33" s="31">
        <f>'TR TUSD'!$AI$33*'TR TUSD'!$AI$60</f>
        <v>0.39678606238194863</v>
      </c>
      <c r="AJ33" s="31">
        <f ca="1">'TR TUSD'!$AJ$33*'TR TUSD'!$AJ$60</f>
        <v>0.31775589890625006</v>
      </c>
      <c r="AK33" s="31">
        <f ca="1">'TR TUSD'!$AK$33*'TR TUSD'!$AK$60</f>
        <v>0.3336231990717633</v>
      </c>
      <c r="AL33" s="31">
        <f ca="1">SUM($AH$33:$AK$33)</f>
        <v>19.387557865311511</v>
      </c>
      <c r="AM33" s="31">
        <f ca="1">SUMIF($L$4:$AL$4,"SUBTOTAL",$L$33:$AL$33)</f>
        <v>396.8467543887827</v>
      </c>
      <c r="AP33" s="31">
        <f>IF((1 - CUSTOS!$M$28)&lt;&gt;0,1/(1 - CUSTOS!$M$28),1)</f>
        <v>1</v>
      </c>
    </row>
    <row r="34" spans="1:42" ht="11.25" customHeight="1" x14ac:dyDescent="0.25">
      <c r="A34" s="149"/>
      <c r="B34" s="149" t="s">
        <v>50</v>
      </c>
      <c r="C34" s="149" t="s">
        <v>42</v>
      </c>
      <c r="D34" s="149" t="s">
        <v>90</v>
      </c>
      <c r="E34" s="149" t="s">
        <v>25</v>
      </c>
      <c r="F34" s="149" t="s">
        <v>25</v>
      </c>
      <c r="G34" s="57" t="s">
        <v>75</v>
      </c>
      <c r="H34" s="57" t="s">
        <v>74</v>
      </c>
      <c r="I34" s="57">
        <f>'MERCADO TUSD'!$U$31</f>
        <v>0</v>
      </c>
      <c r="J34" s="15"/>
      <c r="L34" s="31">
        <f>'TR TUSD'!$L$34*'TR TUSD'!$L$60</f>
        <v>0</v>
      </c>
      <c r="M34" s="31">
        <f>'TR TUSD'!$M$34*'TR TUSD'!$M$60</f>
        <v>0.79501449021920745</v>
      </c>
      <c r="N34" s="31">
        <f ca="1">'TR TUSD'!$N$34*'TR TUSD'!$N$60</f>
        <v>11.136955351894322</v>
      </c>
      <c r="O34" s="31">
        <f>'TR TUSD'!$O$34*'TR TUSD'!$O$60</f>
        <v>0</v>
      </c>
      <c r="P34" s="31">
        <f>'TR TUSD'!$P$34*'TR TUSD'!$P$60</f>
        <v>0</v>
      </c>
      <c r="Q34" s="31">
        <f>'TR TUSD'!$Q$34*'TR TUSD'!$Q$60</f>
        <v>89.728306907607802</v>
      </c>
      <c r="R34" s="31">
        <f>'TR TUSD'!$R$34*'TR TUSD'!$R$60</f>
        <v>13.719680747167459</v>
      </c>
      <c r="S34" s="31">
        <f>'TR TUSD'!$S$34*'TR TUSD'!$S$60</f>
        <v>0</v>
      </c>
      <c r="T34" s="31">
        <f ca="1">SUM($L$34:$S$34)</f>
        <v>115.37995749688879</v>
      </c>
      <c r="U34" s="31">
        <f>'TR TUSD'!$U$34*'TR TUSD'!$U$60</f>
        <v>0</v>
      </c>
      <c r="V34" s="31">
        <f>'TR TUSD'!$V$34*'TR TUSD'!$V$60</f>
        <v>0</v>
      </c>
      <c r="W34" s="31">
        <f>'TR TUSD'!$W$34*'TR TUSD'!$W$60</f>
        <v>0</v>
      </c>
      <c r="X34" s="31">
        <f>'TR TUSD'!$X$34*'TR TUSD'!$X$60</f>
        <v>0</v>
      </c>
      <c r="Y34" s="31">
        <f>'TR TUSD'!$Y$34*'TR TUSD'!$Y$60</f>
        <v>318.48237724694889</v>
      </c>
      <c r="Z34" s="31">
        <f>'TR TUSD'!$Z$34</f>
        <v>0</v>
      </c>
      <c r="AA34" s="31">
        <f>'TR TUSD'!$AA$34</f>
        <v>0</v>
      </c>
      <c r="AB34" s="31">
        <f>SUM($U$34:$AA$34)</f>
        <v>318.48237724694889</v>
      </c>
      <c r="AC34" s="31">
        <f>'TR TUSD'!$AC$34*'TR TUSD'!$AC$60</f>
        <v>515.99075383796469</v>
      </c>
      <c r="AD34" s="31">
        <f>SUM($AC$34:$AC$34)</f>
        <v>515.99075383796469</v>
      </c>
      <c r="AE34" s="31">
        <v>0</v>
      </c>
      <c r="AF34" s="31">
        <v>0</v>
      </c>
      <c r="AG34" s="31">
        <f>SUM($AE$34:$AF$34)</f>
        <v>0</v>
      </c>
      <c r="AH34" s="31">
        <f>'TR TUSD'!$AH$34*'TR TUSD'!$AH$60</f>
        <v>18.33939270495155</v>
      </c>
      <c r="AI34" s="31">
        <f>'TR TUSD'!$AI$34*'TR TUSD'!$AI$60</f>
        <v>0.39678606238194863</v>
      </c>
      <c r="AJ34" s="31">
        <f ca="1">'TR TUSD'!$AJ$34*'TR TUSD'!$AJ$60</f>
        <v>0.31775589890625006</v>
      </c>
      <c r="AK34" s="31">
        <f ca="1">'TR TUSD'!$AK$34*'TR TUSD'!$AK$60</f>
        <v>0.3336231990717633</v>
      </c>
      <c r="AL34" s="31">
        <f ca="1">SUM($AH$34:$AK$34)</f>
        <v>19.387557865311511</v>
      </c>
      <c r="AM34" s="31">
        <f ca="1">SUMIF($L$4:$AL$4,"SUBTOTAL",$L$34:$AL$34)</f>
        <v>969.24064644711382</v>
      </c>
      <c r="AP34" s="31">
        <f>IF((1 - CUSTOS!$M$29)&lt;&gt;0,1/(1 - CUSTOS!$M$29),1)</f>
        <v>1</v>
      </c>
    </row>
    <row r="35" spans="1:42" ht="11.25" customHeight="1" x14ac:dyDescent="0.25">
      <c r="A35" s="149"/>
      <c r="B35" s="149"/>
      <c r="C35" s="149"/>
      <c r="D35" s="149"/>
      <c r="E35" s="149"/>
      <c r="F35" s="149"/>
      <c r="G35" s="57" t="s">
        <v>87</v>
      </c>
      <c r="H35" s="57" t="s">
        <v>74</v>
      </c>
      <c r="I35" s="57">
        <f>'MERCADO TUSD'!$U$32</f>
        <v>0</v>
      </c>
      <c r="J35" s="15"/>
      <c r="L35" s="31">
        <f>'TR TUSD'!$L$35*'TR TUSD'!$L$60</f>
        <v>0</v>
      </c>
      <c r="M35" s="31">
        <f>'TR TUSD'!$M$35*'TR TUSD'!$M$60</f>
        <v>0.79501449021920745</v>
      </c>
      <c r="N35" s="31">
        <f ca="1">'TR TUSD'!$N$35*'TR TUSD'!$N$60</f>
        <v>6.9412230291311561</v>
      </c>
      <c r="O35" s="31">
        <f>'TR TUSD'!$O$35*'TR TUSD'!$O$60</f>
        <v>0</v>
      </c>
      <c r="P35" s="31">
        <f>'TR TUSD'!$P$35*'TR TUSD'!$P$60</f>
        <v>0</v>
      </c>
      <c r="Q35" s="31">
        <f>'TR TUSD'!$Q$35*'TR TUSD'!$Q$60</f>
        <v>89.728306907607802</v>
      </c>
      <c r="R35" s="31">
        <f>'TR TUSD'!$R$35*'TR TUSD'!$R$60</f>
        <v>13.719680747167459</v>
      </c>
      <c r="S35" s="31">
        <f>'TR TUSD'!$S$35*'TR TUSD'!$S$60</f>
        <v>0</v>
      </c>
      <c r="T35" s="31">
        <f ca="1">SUM($L$35:$S$35)</f>
        <v>111.18422517412563</v>
      </c>
      <c r="U35" s="31">
        <f>'TR TUSD'!$U$35*'TR TUSD'!$U$60</f>
        <v>0</v>
      </c>
      <c r="V35" s="31">
        <f>'TR TUSD'!$V$35*'TR TUSD'!$V$60</f>
        <v>0</v>
      </c>
      <c r="W35" s="31">
        <f>'TR TUSD'!$W$35*'TR TUSD'!$W$60</f>
        <v>0</v>
      </c>
      <c r="X35" s="31">
        <f>'TR TUSD'!$X$35*'TR TUSD'!$X$60</f>
        <v>0</v>
      </c>
      <c r="Y35" s="31">
        <f>'TR TUSD'!$Y$35*'TR TUSD'!$Y$60</f>
        <v>191.08942634816938</v>
      </c>
      <c r="Z35" s="31">
        <f>'TR TUSD'!$Z$35</f>
        <v>0</v>
      </c>
      <c r="AA35" s="31">
        <f>'TR TUSD'!$AA$35</f>
        <v>0</v>
      </c>
      <c r="AB35" s="31">
        <f>SUM($U$35:$AA$35)</f>
        <v>191.08942634816938</v>
      </c>
      <c r="AC35" s="31">
        <f>'TR TUSD'!$AC$35*'TR TUSD'!$AC$60</f>
        <v>309.59447293876468</v>
      </c>
      <c r="AD35" s="31">
        <f>SUM($AC$35:$AC$35)</f>
        <v>309.59447293876468</v>
      </c>
      <c r="AE35" s="31">
        <v>0</v>
      </c>
      <c r="AF35" s="31">
        <v>0</v>
      </c>
      <c r="AG35" s="31">
        <f>SUM($AE$35:$AF$35)</f>
        <v>0</v>
      </c>
      <c r="AH35" s="31">
        <f>'TR TUSD'!$AH$35*'TR TUSD'!$AH$60</f>
        <v>18.33939270495155</v>
      </c>
      <c r="AI35" s="31">
        <f>'TR TUSD'!$AI$35*'TR TUSD'!$AI$60</f>
        <v>0.39678606238194863</v>
      </c>
      <c r="AJ35" s="31">
        <f ca="1">'TR TUSD'!$AJ$35*'TR TUSD'!$AJ$60</f>
        <v>0.31775589890625006</v>
      </c>
      <c r="AK35" s="31">
        <f ca="1">'TR TUSD'!$AK$35*'TR TUSD'!$AK$60</f>
        <v>0.3336231990717633</v>
      </c>
      <c r="AL35" s="31">
        <f ca="1">SUM($AH$35:$AK$35)</f>
        <v>19.387557865311511</v>
      </c>
      <c r="AM35" s="31">
        <f ca="1">SUMIF($L$4:$AL$4,"SUBTOTAL",$L$35:$AL$35)</f>
        <v>631.25568232637124</v>
      </c>
      <c r="AP35" s="31">
        <f>IF((1 - CUSTOS!$M$29)&lt;&gt;0,1/(1 - CUSTOS!$M$29),1)</f>
        <v>1</v>
      </c>
    </row>
    <row r="36" spans="1:42" ht="11.25" customHeight="1" x14ac:dyDescent="0.25">
      <c r="A36" s="149"/>
      <c r="B36" s="149"/>
      <c r="C36" s="149"/>
      <c r="D36" s="149"/>
      <c r="E36" s="149"/>
      <c r="F36" s="149"/>
      <c r="G36" s="57" t="s">
        <v>76</v>
      </c>
      <c r="H36" s="57" t="s">
        <v>74</v>
      </c>
      <c r="I36" s="57">
        <f>'MERCADO TUSD'!$U$33</f>
        <v>0</v>
      </c>
      <c r="J36" s="15"/>
      <c r="L36" s="31">
        <f>'TR TUSD'!$L$36*'TR TUSD'!$L$60</f>
        <v>0</v>
      </c>
      <c r="M36" s="31">
        <f>'TR TUSD'!$M$36*'TR TUSD'!$M$60</f>
        <v>0.79501449021920745</v>
      </c>
      <c r="N36" s="31">
        <f ca="1">'TR TUSD'!$N$36*'TR TUSD'!$N$60</f>
        <v>2.7454907063679848</v>
      </c>
      <c r="O36" s="31">
        <f>'TR TUSD'!$O$36*'TR TUSD'!$O$60</f>
        <v>0</v>
      </c>
      <c r="P36" s="31">
        <f>'TR TUSD'!$P$36*'TR TUSD'!$P$60</f>
        <v>0</v>
      </c>
      <c r="Q36" s="31">
        <f>'TR TUSD'!$Q$36*'TR TUSD'!$Q$60</f>
        <v>89.728306907607802</v>
      </c>
      <c r="R36" s="31">
        <f>'TR TUSD'!$R$36*'TR TUSD'!$R$60</f>
        <v>13.719680747167459</v>
      </c>
      <c r="S36" s="31">
        <f>'TR TUSD'!$S$36*'TR TUSD'!$S$60</f>
        <v>0</v>
      </c>
      <c r="T36" s="31">
        <f ca="1">SUM($L$36:$S$36)</f>
        <v>106.98849285136245</v>
      </c>
      <c r="U36" s="31">
        <f>'TR TUSD'!$U$36*'TR TUSD'!$U$60</f>
        <v>0</v>
      </c>
      <c r="V36" s="31">
        <f>'TR TUSD'!$V$36*'TR TUSD'!$V$60</f>
        <v>0</v>
      </c>
      <c r="W36" s="31">
        <f>'TR TUSD'!$W$36*'TR TUSD'!$W$60</f>
        <v>0</v>
      </c>
      <c r="X36" s="31">
        <f>'TR TUSD'!$X$36*'TR TUSD'!$X$60</f>
        <v>0</v>
      </c>
      <c r="Y36" s="31">
        <f>'TR TUSD'!$Y$36*'TR TUSD'!$Y$60</f>
        <v>63.696475449389787</v>
      </c>
      <c r="Z36" s="31">
        <f>'TR TUSD'!$Z$36</f>
        <v>0</v>
      </c>
      <c r="AA36" s="31">
        <f>'TR TUSD'!$AA$36</f>
        <v>0</v>
      </c>
      <c r="AB36" s="31">
        <f>SUM($U$36:$AA$36)</f>
        <v>63.696475449389787</v>
      </c>
      <c r="AC36" s="31">
        <f>'TR TUSD'!$AC$36*'TR TUSD'!$AC$60</f>
        <v>103.19819203956463</v>
      </c>
      <c r="AD36" s="31">
        <f>SUM($AC$36:$AC$36)</f>
        <v>103.19819203956463</v>
      </c>
      <c r="AE36" s="31">
        <v>0</v>
      </c>
      <c r="AF36" s="31">
        <v>0</v>
      </c>
      <c r="AG36" s="31">
        <f>SUM($AE$36:$AF$36)</f>
        <v>0</v>
      </c>
      <c r="AH36" s="31">
        <f>'TR TUSD'!$AH$36*'TR TUSD'!$AH$60</f>
        <v>18.33939270495155</v>
      </c>
      <c r="AI36" s="31">
        <f>'TR TUSD'!$AI$36*'TR TUSD'!$AI$60</f>
        <v>0.39678606238194863</v>
      </c>
      <c r="AJ36" s="31">
        <f ca="1">'TR TUSD'!$AJ$36*'TR TUSD'!$AJ$60</f>
        <v>0.31775589890625006</v>
      </c>
      <c r="AK36" s="31">
        <f ca="1">'TR TUSD'!$AK$36*'TR TUSD'!$AK$60</f>
        <v>0.3336231990717633</v>
      </c>
      <c r="AL36" s="31">
        <f ca="1">SUM($AH$36:$AK$36)</f>
        <v>19.387557865311511</v>
      </c>
      <c r="AM36" s="31">
        <f ca="1">SUMIF($L$4:$AL$4,"SUBTOTAL",$L$36:$AL$36)</f>
        <v>293.27071820562838</v>
      </c>
      <c r="AP36" s="31">
        <f>IF((1 - CUSTOS!$M$29)&lt;&gt;0,1/(1 - CUSTOS!$M$29),1)</f>
        <v>1</v>
      </c>
    </row>
    <row r="37" spans="1:42" ht="11.25" customHeight="1" x14ac:dyDescent="0.25">
      <c r="A37" s="149"/>
      <c r="B37" s="56" t="s">
        <v>23</v>
      </c>
      <c r="C37" s="56" t="s">
        <v>42</v>
      </c>
      <c r="D37" s="56" t="s">
        <v>90</v>
      </c>
      <c r="E37" s="56" t="s">
        <v>25</v>
      </c>
      <c r="F37" s="56" t="s">
        <v>25</v>
      </c>
      <c r="G37" s="57" t="s">
        <v>78</v>
      </c>
      <c r="H37" s="57" t="s">
        <v>74</v>
      </c>
      <c r="I37" s="57">
        <f>'MERCADO TUSD'!$U$34</f>
        <v>0</v>
      </c>
      <c r="J37" s="15"/>
      <c r="L37" s="31">
        <f>'TR TUSD'!$L$37*'TR TUSD'!$L$60</f>
        <v>0</v>
      </c>
      <c r="M37" s="31">
        <f>'TR TUSD'!$M$37*'TR TUSD'!$M$60</f>
        <v>0.79501449021920745</v>
      </c>
      <c r="N37" s="31">
        <f ca="1">'TR TUSD'!$N$37*'TR TUSD'!$N$60</f>
        <v>4.0312795788679257</v>
      </c>
      <c r="O37" s="31">
        <f>'TR TUSD'!$O$37*'TR TUSD'!$O$60</f>
        <v>0</v>
      </c>
      <c r="P37" s="31">
        <f>'TR TUSD'!$P$37*'TR TUSD'!$P$60</f>
        <v>0</v>
      </c>
      <c r="Q37" s="31">
        <f>'TR TUSD'!$Q$37*'TR TUSD'!$Q$60</f>
        <v>89.728306907607802</v>
      </c>
      <c r="R37" s="31">
        <f>'TR TUSD'!$R$37*'TR TUSD'!$R$60</f>
        <v>13.719680747167459</v>
      </c>
      <c r="S37" s="31">
        <f>'TR TUSD'!$S$37*'TR TUSD'!$S$60</f>
        <v>0</v>
      </c>
      <c r="T37" s="31">
        <f ca="1">SUM($L$37:$S$37)</f>
        <v>108.27428172386239</v>
      </c>
      <c r="U37" s="31">
        <f>'TR TUSD'!$U$37*'TR TUSD'!$U$60</f>
        <v>0</v>
      </c>
      <c r="V37" s="31">
        <f>'TR TUSD'!$V$37*'TR TUSD'!$V$60</f>
        <v>0</v>
      </c>
      <c r="W37" s="31">
        <f>'TR TUSD'!$W$37*'TR TUSD'!$W$60</f>
        <v>0</v>
      </c>
      <c r="X37" s="31">
        <f>'TR TUSD'!$X$37*'TR TUSD'!$X$60</f>
        <v>0</v>
      </c>
      <c r="Y37" s="31">
        <f>'TR TUSD'!$Y$37*'TR TUSD'!$Y$60</f>
        <v>102.73629118606726</v>
      </c>
      <c r="Z37" s="31">
        <f>'TR TUSD'!$Z$37</f>
        <v>0</v>
      </c>
      <c r="AA37" s="31">
        <f>'TR TUSD'!$AA$37</f>
        <v>0</v>
      </c>
      <c r="AB37" s="31">
        <f>SUM($U$37:$AA$37)</f>
        <v>102.73629118606726</v>
      </c>
      <c r="AC37" s="31">
        <f>'TR TUSD'!$AC$37*'TR TUSD'!$AC$60</f>
        <v>166.44862361354157</v>
      </c>
      <c r="AD37" s="31">
        <f>SUM($AC$37:$AC$37)</f>
        <v>166.44862361354157</v>
      </c>
      <c r="AE37" s="31">
        <v>0</v>
      </c>
      <c r="AF37" s="31">
        <v>0</v>
      </c>
      <c r="AG37" s="31">
        <f>SUM($AE$37:$AF$37)</f>
        <v>0</v>
      </c>
      <c r="AH37" s="31">
        <f>'TR TUSD'!$AH$37*'TR TUSD'!$AH$60</f>
        <v>18.33939270495155</v>
      </c>
      <c r="AI37" s="31">
        <f>'TR TUSD'!$AI$37*'TR TUSD'!$AI$60</f>
        <v>0.39678606238194863</v>
      </c>
      <c r="AJ37" s="31">
        <f ca="1">'TR TUSD'!$AJ$37*'TR TUSD'!$AJ$60</f>
        <v>0.31775589890625006</v>
      </c>
      <c r="AK37" s="31">
        <f ca="1">'TR TUSD'!$AK$37*'TR TUSD'!$AK$60</f>
        <v>0.3336231990717633</v>
      </c>
      <c r="AL37" s="31">
        <f ca="1">SUM($AH$37:$AK$37)</f>
        <v>19.387557865311511</v>
      </c>
      <c r="AM37" s="31">
        <f ca="1">SUMIF($L$4:$AL$4,"SUBTOTAL",$L$37:$AL$37)</f>
        <v>396.8467543887827</v>
      </c>
      <c r="AP37" s="31">
        <f>IF((1 - CUSTOS!$M$29)&lt;&gt;0,1/(1 - CUSTOS!$M$29),1)</f>
        <v>1</v>
      </c>
    </row>
    <row r="38" spans="1:42" ht="11.25" customHeight="1" x14ac:dyDescent="0.25">
      <c r="A38" s="149"/>
      <c r="B38" s="149" t="s">
        <v>50</v>
      </c>
      <c r="C38" s="149" t="s">
        <v>42</v>
      </c>
      <c r="D38" s="149" t="s">
        <v>91</v>
      </c>
      <c r="E38" s="149" t="s">
        <v>25</v>
      </c>
      <c r="F38" s="149" t="s">
        <v>25</v>
      </c>
      <c r="G38" s="57" t="s">
        <v>75</v>
      </c>
      <c r="H38" s="57" t="s">
        <v>74</v>
      </c>
      <c r="I38" s="57">
        <f>'MERCADO TUSD'!$U$35</f>
        <v>0</v>
      </c>
      <c r="J38" s="15"/>
      <c r="L38" s="31">
        <f>'TR TUSD'!$L$38*'TR TUSD'!$L$60</f>
        <v>0</v>
      </c>
      <c r="M38" s="31">
        <f>'TR TUSD'!$M$38*'TR TUSD'!$M$60</f>
        <v>0.79501449021920745</v>
      </c>
      <c r="N38" s="31">
        <f ca="1">'TR TUSD'!$N$38*'TR TUSD'!$N$60</f>
        <v>11.136955351894322</v>
      </c>
      <c r="O38" s="31">
        <f>'TR TUSD'!$O$38*'TR TUSD'!$O$60</f>
        <v>0</v>
      </c>
      <c r="P38" s="31">
        <f>'TR TUSD'!$P$38*'TR TUSD'!$P$60</f>
        <v>0</v>
      </c>
      <c r="Q38" s="31">
        <f>'TR TUSD'!$Q$38*'TR TUSD'!$Q$60</f>
        <v>89.728306907607802</v>
      </c>
      <c r="R38" s="31">
        <f>'TR TUSD'!$R$38*'TR TUSD'!$R$60</f>
        <v>13.719680747167459</v>
      </c>
      <c r="S38" s="31">
        <f>'TR TUSD'!$S$38*'TR TUSD'!$S$60</f>
        <v>0</v>
      </c>
      <c r="T38" s="31">
        <f ca="1">SUM($L$38:$S$38)</f>
        <v>115.37995749688879</v>
      </c>
      <c r="U38" s="31">
        <f>'TR TUSD'!$U$38*'TR TUSD'!$U$60</f>
        <v>0</v>
      </c>
      <c r="V38" s="31">
        <f>'TR TUSD'!$V$38*'TR TUSD'!$V$60</f>
        <v>0</v>
      </c>
      <c r="W38" s="31">
        <f>'TR TUSD'!$W$38*'TR TUSD'!$W$60</f>
        <v>0</v>
      </c>
      <c r="X38" s="31">
        <f>'TR TUSD'!$X$38*'TR TUSD'!$X$60</f>
        <v>0</v>
      </c>
      <c r="Y38" s="31">
        <f>'TR TUSD'!$Y$38*'TR TUSD'!$Y$60</f>
        <v>318.48237724694889</v>
      </c>
      <c r="Z38" s="31">
        <f>'TR TUSD'!$Z$38</f>
        <v>0</v>
      </c>
      <c r="AA38" s="31">
        <f>'TR TUSD'!$AA$38</f>
        <v>0</v>
      </c>
      <c r="AB38" s="31">
        <f>SUM($U$38:$AA$38)</f>
        <v>318.48237724694889</v>
      </c>
      <c r="AC38" s="31">
        <f>'TR TUSD'!$AC$38*'TR TUSD'!$AC$60</f>
        <v>515.99075383796469</v>
      </c>
      <c r="AD38" s="31">
        <f>SUM($AC$38:$AC$38)</f>
        <v>515.99075383796469</v>
      </c>
      <c r="AE38" s="31">
        <v>0</v>
      </c>
      <c r="AF38" s="31">
        <v>0</v>
      </c>
      <c r="AG38" s="31">
        <f>SUM($AE$38:$AF$38)</f>
        <v>0</v>
      </c>
      <c r="AH38" s="31">
        <f>'TR TUSD'!$AH$38*'TR TUSD'!$AH$60</f>
        <v>18.33939270495155</v>
      </c>
      <c r="AI38" s="31">
        <f>'TR TUSD'!$AI$38*'TR TUSD'!$AI$60</f>
        <v>0.39678606238194863</v>
      </c>
      <c r="AJ38" s="31">
        <f ca="1">'TR TUSD'!$AJ$38*'TR TUSD'!$AJ$60</f>
        <v>0.31775589890625006</v>
      </c>
      <c r="AK38" s="31">
        <f ca="1">'TR TUSD'!$AK$38*'TR TUSD'!$AK$60</f>
        <v>0.3336231990717633</v>
      </c>
      <c r="AL38" s="31">
        <f ca="1">SUM($AH$38:$AK$38)</f>
        <v>19.387557865311511</v>
      </c>
      <c r="AM38" s="31">
        <f ca="1">SUMIF($L$4:$AL$4,"SUBTOTAL",$L$38:$AL$38)</f>
        <v>969.24064644711382</v>
      </c>
      <c r="AP38" s="31">
        <f>IF((1 - CUSTOS!$M$30)&lt;&gt;0,1/(1 - CUSTOS!$M$30),1)</f>
        <v>1</v>
      </c>
    </row>
    <row r="39" spans="1:42" ht="11.25" customHeight="1" x14ac:dyDescent="0.25">
      <c r="A39" s="149"/>
      <c r="B39" s="149"/>
      <c r="C39" s="149"/>
      <c r="D39" s="149"/>
      <c r="E39" s="149"/>
      <c r="F39" s="149"/>
      <c r="G39" s="57" t="s">
        <v>87</v>
      </c>
      <c r="H39" s="57" t="s">
        <v>74</v>
      </c>
      <c r="I39" s="57">
        <f>'MERCADO TUSD'!$U$36</f>
        <v>0</v>
      </c>
      <c r="J39" s="15"/>
      <c r="L39" s="31">
        <f>'TR TUSD'!$L$39*'TR TUSD'!$L$60</f>
        <v>0</v>
      </c>
      <c r="M39" s="31">
        <f>'TR TUSD'!$M$39*'TR TUSD'!$M$60</f>
        <v>0.79501449021920745</v>
      </c>
      <c r="N39" s="31">
        <f ca="1">'TR TUSD'!$N$39*'TR TUSD'!$N$60</f>
        <v>6.9412230291311561</v>
      </c>
      <c r="O39" s="31">
        <f>'TR TUSD'!$O$39*'TR TUSD'!$O$60</f>
        <v>0</v>
      </c>
      <c r="P39" s="31">
        <f>'TR TUSD'!$P$39*'TR TUSD'!$P$60</f>
        <v>0</v>
      </c>
      <c r="Q39" s="31">
        <f>'TR TUSD'!$Q$39*'TR TUSD'!$Q$60</f>
        <v>89.728306907607802</v>
      </c>
      <c r="R39" s="31">
        <f>'TR TUSD'!$R$39*'TR TUSD'!$R$60</f>
        <v>13.719680747167459</v>
      </c>
      <c r="S39" s="31">
        <f>'TR TUSD'!$S$39*'TR TUSD'!$S$60</f>
        <v>0</v>
      </c>
      <c r="T39" s="31">
        <f ca="1">SUM($L$39:$S$39)</f>
        <v>111.18422517412563</v>
      </c>
      <c r="U39" s="31">
        <f>'TR TUSD'!$U$39*'TR TUSD'!$U$60</f>
        <v>0</v>
      </c>
      <c r="V39" s="31">
        <f>'TR TUSD'!$V$39*'TR TUSD'!$V$60</f>
        <v>0</v>
      </c>
      <c r="W39" s="31">
        <f>'TR TUSD'!$W$39*'TR TUSD'!$W$60</f>
        <v>0</v>
      </c>
      <c r="X39" s="31">
        <f>'TR TUSD'!$X$39*'TR TUSD'!$X$60</f>
        <v>0</v>
      </c>
      <c r="Y39" s="31">
        <f>'TR TUSD'!$Y$39*'TR TUSD'!$Y$60</f>
        <v>191.08942634816938</v>
      </c>
      <c r="Z39" s="31">
        <f>'TR TUSD'!$Z$39</f>
        <v>0</v>
      </c>
      <c r="AA39" s="31">
        <f>'TR TUSD'!$AA$39</f>
        <v>0</v>
      </c>
      <c r="AB39" s="31">
        <f>SUM($U$39:$AA$39)</f>
        <v>191.08942634816938</v>
      </c>
      <c r="AC39" s="31">
        <f>'TR TUSD'!$AC$39*'TR TUSD'!$AC$60</f>
        <v>309.59447293876468</v>
      </c>
      <c r="AD39" s="31">
        <f>SUM($AC$39:$AC$39)</f>
        <v>309.59447293876468</v>
      </c>
      <c r="AE39" s="31">
        <v>0</v>
      </c>
      <c r="AF39" s="31">
        <v>0</v>
      </c>
      <c r="AG39" s="31">
        <f>SUM($AE$39:$AF$39)</f>
        <v>0</v>
      </c>
      <c r="AH39" s="31">
        <f>'TR TUSD'!$AH$39*'TR TUSD'!$AH$60</f>
        <v>18.33939270495155</v>
      </c>
      <c r="AI39" s="31">
        <f>'TR TUSD'!$AI$39*'TR TUSD'!$AI$60</f>
        <v>0.39678606238194863</v>
      </c>
      <c r="AJ39" s="31">
        <f ca="1">'TR TUSD'!$AJ$39*'TR TUSD'!$AJ$60</f>
        <v>0.31775589890625006</v>
      </c>
      <c r="AK39" s="31">
        <f ca="1">'TR TUSD'!$AK$39*'TR TUSD'!$AK$60</f>
        <v>0.3336231990717633</v>
      </c>
      <c r="AL39" s="31">
        <f ca="1">SUM($AH$39:$AK$39)</f>
        <v>19.387557865311511</v>
      </c>
      <c r="AM39" s="31">
        <f ca="1">SUMIF($L$4:$AL$4,"SUBTOTAL",$L$39:$AL$39)</f>
        <v>631.25568232637124</v>
      </c>
      <c r="AP39" s="31">
        <f>IF((1 - CUSTOS!$M$30)&lt;&gt;0,1/(1 - CUSTOS!$M$30),1)</f>
        <v>1</v>
      </c>
    </row>
    <row r="40" spans="1:42" ht="11.25" customHeight="1" x14ac:dyDescent="0.25">
      <c r="A40" s="149"/>
      <c r="B40" s="149"/>
      <c r="C40" s="149"/>
      <c r="D40" s="149"/>
      <c r="E40" s="149"/>
      <c r="F40" s="149"/>
      <c r="G40" s="57" t="s">
        <v>76</v>
      </c>
      <c r="H40" s="57" t="s">
        <v>74</v>
      </c>
      <c r="I40" s="57">
        <f>'MERCADO TUSD'!$U$37</f>
        <v>0</v>
      </c>
      <c r="J40" s="15"/>
      <c r="L40" s="31">
        <f>'TR TUSD'!$L$40*'TR TUSD'!$L$60</f>
        <v>0</v>
      </c>
      <c r="M40" s="31">
        <f>'TR TUSD'!$M$40*'TR TUSD'!$M$60</f>
        <v>0.79501449021920745</v>
      </c>
      <c r="N40" s="31">
        <f ca="1">'TR TUSD'!$N$40*'TR TUSD'!$N$60</f>
        <v>2.7454907063679848</v>
      </c>
      <c r="O40" s="31">
        <f>'TR TUSD'!$O$40*'TR TUSD'!$O$60</f>
        <v>0</v>
      </c>
      <c r="P40" s="31">
        <f>'TR TUSD'!$P$40*'TR TUSD'!$P$60</f>
        <v>0</v>
      </c>
      <c r="Q40" s="31">
        <f>'TR TUSD'!$Q$40*'TR TUSD'!$Q$60</f>
        <v>89.728306907607802</v>
      </c>
      <c r="R40" s="31">
        <f>'TR TUSD'!$R$40*'TR TUSD'!$R$60</f>
        <v>13.719680747167459</v>
      </c>
      <c r="S40" s="31">
        <f>'TR TUSD'!$S$40*'TR TUSD'!$S$60</f>
        <v>0</v>
      </c>
      <c r="T40" s="31">
        <f ca="1">SUM($L$40:$S$40)</f>
        <v>106.98849285136245</v>
      </c>
      <c r="U40" s="31">
        <f>'TR TUSD'!$U$40*'TR TUSD'!$U$60</f>
        <v>0</v>
      </c>
      <c r="V40" s="31">
        <f>'TR TUSD'!$V$40*'TR TUSD'!$V$60</f>
        <v>0</v>
      </c>
      <c r="W40" s="31">
        <f>'TR TUSD'!$W$40*'TR TUSD'!$W$60</f>
        <v>0</v>
      </c>
      <c r="X40" s="31">
        <f>'TR TUSD'!$X$40*'TR TUSD'!$X$60</f>
        <v>0</v>
      </c>
      <c r="Y40" s="31">
        <f>'TR TUSD'!$Y$40*'TR TUSD'!$Y$60</f>
        <v>63.696475449389787</v>
      </c>
      <c r="Z40" s="31">
        <f>'TR TUSD'!$Z$40</f>
        <v>0</v>
      </c>
      <c r="AA40" s="31">
        <f>'TR TUSD'!$AA$40</f>
        <v>0</v>
      </c>
      <c r="AB40" s="31">
        <f>SUM($U$40:$AA$40)</f>
        <v>63.696475449389787</v>
      </c>
      <c r="AC40" s="31">
        <f>'TR TUSD'!$AC$40*'TR TUSD'!$AC$60</f>
        <v>103.19819203956463</v>
      </c>
      <c r="AD40" s="31">
        <f>SUM($AC$40:$AC$40)</f>
        <v>103.19819203956463</v>
      </c>
      <c r="AE40" s="31">
        <v>0</v>
      </c>
      <c r="AF40" s="31">
        <v>0</v>
      </c>
      <c r="AG40" s="31">
        <f>SUM($AE$40:$AF$40)</f>
        <v>0</v>
      </c>
      <c r="AH40" s="31">
        <f>'TR TUSD'!$AH$40*'TR TUSD'!$AH$60</f>
        <v>18.33939270495155</v>
      </c>
      <c r="AI40" s="31">
        <f>'TR TUSD'!$AI$40*'TR TUSD'!$AI$60</f>
        <v>0.39678606238194863</v>
      </c>
      <c r="AJ40" s="31">
        <f ca="1">'TR TUSD'!$AJ$40*'TR TUSD'!$AJ$60</f>
        <v>0.31775589890625006</v>
      </c>
      <c r="AK40" s="31">
        <f ca="1">'TR TUSD'!$AK$40*'TR TUSD'!$AK$60</f>
        <v>0.3336231990717633</v>
      </c>
      <c r="AL40" s="31">
        <f ca="1">SUM($AH$40:$AK$40)</f>
        <v>19.387557865311511</v>
      </c>
      <c r="AM40" s="31">
        <f ca="1">SUMIF($L$4:$AL$4,"SUBTOTAL",$L$40:$AL$40)</f>
        <v>293.27071820562838</v>
      </c>
      <c r="AP40" s="31">
        <f>IF((1 - CUSTOS!$M$30)&lt;&gt;0,1/(1 - CUSTOS!$M$30),1)</f>
        <v>1</v>
      </c>
    </row>
    <row r="41" spans="1:42" ht="11.25" customHeight="1" x14ac:dyDescent="0.25">
      <c r="A41" s="149"/>
      <c r="B41" s="56" t="s">
        <v>23</v>
      </c>
      <c r="C41" s="56" t="s">
        <v>42</v>
      </c>
      <c r="D41" s="56" t="s">
        <v>91</v>
      </c>
      <c r="E41" s="56" t="s">
        <v>25</v>
      </c>
      <c r="F41" s="56" t="s">
        <v>25</v>
      </c>
      <c r="G41" s="57" t="s">
        <v>78</v>
      </c>
      <c r="H41" s="57" t="s">
        <v>74</v>
      </c>
      <c r="I41" s="57">
        <f>'MERCADO TUSD'!$U$38</f>
        <v>0</v>
      </c>
      <c r="J41" s="15"/>
      <c r="L41" s="31">
        <f>'TR TUSD'!$L$41*'TR TUSD'!$L$60</f>
        <v>0</v>
      </c>
      <c r="M41" s="31">
        <f>'TR TUSD'!$M$41*'TR TUSD'!$M$60</f>
        <v>0.79501449021920745</v>
      </c>
      <c r="N41" s="31">
        <f ca="1">'TR TUSD'!$N$41*'TR TUSD'!$N$60</f>
        <v>4.0312795788679257</v>
      </c>
      <c r="O41" s="31">
        <f>'TR TUSD'!$O$41*'TR TUSD'!$O$60</f>
        <v>0</v>
      </c>
      <c r="P41" s="31">
        <f>'TR TUSD'!$P$41*'TR TUSD'!$P$60</f>
        <v>0</v>
      </c>
      <c r="Q41" s="31">
        <f>'TR TUSD'!$Q$41*'TR TUSD'!$Q$60</f>
        <v>89.728306907607802</v>
      </c>
      <c r="R41" s="31">
        <f>'TR TUSD'!$R$41*'TR TUSD'!$R$60</f>
        <v>13.719680747167459</v>
      </c>
      <c r="S41" s="31">
        <f>'TR TUSD'!$S$41*'TR TUSD'!$S$60</f>
        <v>0</v>
      </c>
      <c r="T41" s="31">
        <f ca="1">SUM($L$41:$S$41)</f>
        <v>108.27428172386239</v>
      </c>
      <c r="U41" s="31">
        <f>'TR TUSD'!$U$41*'TR TUSD'!$U$60</f>
        <v>0</v>
      </c>
      <c r="V41" s="31">
        <f>'TR TUSD'!$V$41*'TR TUSD'!$V$60</f>
        <v>0</v>
      </c>
      <c r="W41" s="31">
        <f>'TR TUSD'!$W$41*'TR TUSD'!$W$60</f>
        <v>0</v>
      </c>
      <c r="X41" s="31">
        <f>'TR TUSD'!$X$41*'TR TUSD'!$X$60</f>
        <v>0</v>
      </c>
      <c r="Y41" s="31">
        <f>'TR TUSD'!$Y$41*'TR TUSD'!$Y$60</f>
        <v>102.73629118606726</v>
      </c>
      <c r="Z41" s="31">
        <f>'TR TUSD'!$Z$41</f>
        <v>0</v>
      </c>
      <c r="AA41" s="31">
        <f>'TR TUSD'!$AA$41</f>
        <v>0</v>
      </c>
      <c r="AB41" s="31">
        <f>SUM($U$41:$AA$41)</f>
        <v>102.73629118606726</v>
      </c>
      <c r="AC41" s="31">
        <f>'TR TUSD'!$AC$41*'TR TUSD'!$AC$60</f>
        <v>166.44862361354157</v>
      </c>
      <c r="AD41" s="31">
        <f>SUM($AC$41:$AC$41)</f>
        <v>166.44862361354157</v>
      </c>
      <c r="AE41" s="31">
        <v>0</v>
      </c>
      <c r="AF41" s="31">
        <v>0</v>
      </c>
      <c r="AG41" s="31">
        <f>SUM($AE$41:$AF$41)</f>
        <v>0</v>
      </c>
      <c r="AH41" s="31">
        <f>'TR TUSD'!$AH$41*'TR TUSD'!$AH$60</f>
        <v>18.33939270495155</v>
      </c>
      <c r="AI41" s="31">
        <f>'TR TUSD'!$AI$41*'TR TUSD'!$AI$60</f>
        <v>0.39678606238194863</v>
      </c>
      <c r="AJ41" s="31">
        <f ca="1">'TR TUSD'!$AJ$41*'TR TUSD'!$AJ$60</f>
        <v>0.31775589890625006</v>
      </c>
      <c r="AK41" s="31">
        <f ca="1">'TR TUSD'!$AK$41*'TR TUSD'!$AK$60</f>
        <v>0.3336231990717633</v>
      </c>
      <c r="AL41" s="31">
        <f ca="1">SUM($AH$41:$AK$41)</f>
        <v>19.387557865311511</v>
      </c>
      <c r="AM41" s="31">
        <f ca="1">SUMIF($L$4:$AL$4,"SUBTOTAL",$L$41:$AL$41)</f>
        <v>396.8467543887827</v>
      </c>
      <c r="AP41" s="31">
        <f>IF((1 - CUSTOS!$M$30)&lt;&gt;0,1/(1 - CUSTOS!$M$30),1)</f>
        <v>1</v>
      </c>
    </row>
    <row r="42" spans="1:42" ht="11.25" customHeight="1" x14ac:dyDescent="0.25">
      <c r="A42" s="149"/>
      <c r="B42" s="149" t="s">
        <v>89</v>
      </c>
      <c r="C42" s="149" t="s">
        <v>42</v>
      </c>
      <c r="D42" s="56" t="s">
        <v>25</v>
      </c>
      <c r="E42" s="56" t="s">
        <v>25</v>
      </c>
      <c r="F42" s="56" t="s">
        <v>25</v>
      </c>
      <c r="G42" s="57" t="s">
        <v>78</v>
      </c>
      <c r="H42" s="57" t="s">
        <v>74</v>
      </c>
      <c r="I42" s="57">
        <f>'MERCADO TUSD'!$U$39</f>
        <v>0</v>
      </c>
      <c r="J42" s="15"/>
      <c r="L42" s="31">
        <f>'TR TUSD'!$L$42*'TR TUSD'!$L$60</f>
        <v>0</v>
      </c>
      <c r="M42" s="31">
        <f>'TR TUSD'!$M$42*'TR TUSD'!$M$60</f>
        <v>0.79501449021920745</v>
      </c>
      <c r="N42" s="31">
        <f ca="1">'TR TUSD'!$N$42*'TR TUSD'!$N$60</f>
        <v>4.0312795788679257</v>
      </c>
      <c r="O42" s="31">
        <f>'TR TUSD'!$O$42*'TR TUSD'!$O$60</f>
        <v>0</v>
      </c>
      <c r="P42" s="31">
        <f>'TR TUSD'!$P$42*'TR TUSD'!$P$60</f>
        <v>0</v>
      </c>
      <c r="Q42" s="31">
        <f>'TR TUSD'!$Q$42*'TR TUSD'!$Q$60</f>
        <v>89.728306907607802</v>
      </c>
      <c r="R42" s="31">
        <f>'TR TUSD'!$R$42*'TR TUSD'!$R$60</f>
        <v>13.719680747167459</v>
      </c>
      <c r="S42" s="31">
        <f>'TR TUSD'!$S$42*'TR TUSD'!$S$60</f>
        <v>0</v>
      </c>
      <c r="T42" s="31">
        <f ca="1">SUM($L$42:$S$42)</f>
        <v>108.27428172386239</v>
      </c>
      <c r="U42" s="31">
        <f>'TR TUSD'!$U$42*'TR TUSD'!$U$60</f>
        <v>0</v>
      </c>
      <c r="V42" s="31">
        <f>'TR TUSD'!$V$42*'TR TUSD'!$V$60</f>
        <v>0</v>
      </c>
      <c r="W42" s="31">
        <f>'TR TUSD'!$W$42*'TR TUSD'!$W$60</f>
        <v>0</v>
      </c>
      <c r="X42" s="31">
        <f>'TR TUSD'!$X$42*'TR TUSD'!$X$60</f>
        <v>0</v>
      </c>
      <c r="Y42" s="31">
        <f>'TR TUSD'!$Y$42*'TR TUSD'!$Y$60</f>
        <v>102.73629118606726</v>
      </c>
      <c r="Z42" s="31">
        <f>'TR TUSD'!$Z$42</f>
        <v>0</v>
      </c>
      <c r="AA42" s="31">
        <f>'TR TUSD'!$AA$42</f>
        <v>0</v>
      </c>
      <c r="AB42" s="31">
        <f>SUM($U$42:$AA$42)</f>
        <v>102.73629118606726</v>
      </c>
      <c r="AC42" s="31">
        <f>'TR TUSD'!$AC$42*'TR TUSD'!$AC$60</f>
        <v>166.44862361354157</v>
      </c>
      <c r="AD42" s="31">
        <f>SUM($AC$42:$AC$42)</f>
        <v>166.44862361354157</v>
      </c>
      <c r="AE42" s="31">
        <v>0</v>
      </c>
      <c r="AF42" s="31">
        <v>0</v>
      </c>
      <c r="AG42" s="31">
        <f>SUM($AE$42:$AF$42)</f>
        <v>0</v>
      </c>
      <c r="AH42" s="31">
        <f>'TR TUSD'!$AH$42*'TR TUSD'!$AH$60</f>
        <v>18.33939270495155</v>
      </c>
      <c r="AI42" s="31">
        <f>'TR TUSD'!$AI$42*'TR TUSD'!$AI$60</f>
        <v>0.39678606238194863</v>
      </c>
      <c r="AJ42" s="31">
        <f ca="1">'TR TUSD'!$AJ$42*'TR TUSD'!$AJ$60</f>
        <v>0.31775589890625006</v>
      </c>
      <c r="AK42" s="31">
        <f ca="1">'TR TUSD'!$AK$42*'TR TUSD'!$AK$60</f>
        <v>0.3336231990717633</v>
      </c>
      <c r="AL42" s="31">
        <f ca="1">SUM($AH$42:$AK$42)</f>
        <v>19.387557865311511</v>
      </c>
      <c r="AM42" s="31">
        <f ca="1">SUMIF($L$4:$AL$4,"SUBTOTAL",$L$42:$AL$42)</f>
        <v>396.8467543887827</v>
      </c>
      <c r="AP42" s="31">
        <f>IF((1 - CUSTOS!$M$28)&lt;&gt;0,1/(1 - CUSTOS!$M$28),1)</f>
        <v>1</v>
      </c>
    </row>
    <row r="43" spans="1:42" ht="11.25" customHeight="1" x14ac:dyDescent="0.25">
      <c r="A43" s="149"/>
      <c r="B43" s="149"/>
      <c r="C43" s="149"/>
      <c r="D43" s="56" t="s">
        <v>90</v>
      </c>
      <c r="E43" s="56" t="s">
        <v>25</v>
      </c>
      <c r="F43" s="56" t="s">
        <v>25</v>
      </c>
      <c r="G43" s="57" t="s">
        <v>78</v>
      </c>
      <c r="H43" s="57" t="s">
        <v>74</v>
      </c>
      <c r="I43" s="57">
        <f>'MERCADO TUSD'!$U$40</f>
        <v>0</v>
      </c>
      <c r="J43" s="15"/>
      <c r="L43" s="31">
        <f>'TR TUSD'!$L$43*'TR TUSD'!$L$60</f>
        <v>0</v>
      </c>
      <c r="M43" s="31">
        <f>'TR TUSD'!$M$43*'TR TUSD'!$M$60</f>
        <v>0.79501449021920745</v>
      </c>
      <c r="N43" s="31">
        <f ca="1">'TR TUSD'!$N$43*'TR TUSD'!$N$60</f>
        <v>4.0312795788679257</v>
      </c>
      <c r="O43" s="31">
        <f>'TR TUSD'!$O$43*'TR TUSD'!$O$60</f>
        <v>0</v>
      </c>
      <c r="P43" s="31">
        <f>'TR TUSD'!$P$43*'TR TUSD'!$P$60</f>
        <v>0</v>
      </c>
      <c r="Q43" s="31">
        <f>'TR TUSD'!$Q$43*'TR TUSD'!$Q$60</f>
        <v>89.728306907607802</v>
      </c>
      <c r="R43" s="31">
        <f>'TR TUSD'!$R$43*'TR TUSD'!$R$60</f>
        <v>13.719680747167459</v>
      </c>
      <c r="S43" s="31">
        <f>'TR TUSD'!$S$43*'TR TUSD'!$S$60</f>
        <v>0</v>
      </c>
      <c r="T43" s="31">
        <f ca="1">SUM($L$43:$S$43)</f>
        <v>108.27428172386239</v>
      </c>
      <c r="U43" s="31">
        <f>'TR TUSD'!$U$43*'TR TUSD'!$U$60</f>
        <v>0</v>
      </c>
      <c r="V43" s="31">
        <f>'TR TUSD'!$V$43*'TR TUSD'!$V$60</f>
        <v>0</v>
      </c>
      <c r="W43" s="31">
        <f>'TR TUSD'!$W$43*'TR TUSD'!$W$60</f>
        <v>0</v>
      </c>
      <c r="X43" s="31">
        <f>'TR TUSD'!$X$43*'TR TUSD'!$X$60</f>
        <v>0</v>
      </c>
      <c r="Y43" s="31">
        <f>'TR TUSD'!$Y$43*'TR TUSD'!$Y$60</f>
        <v>102.73629118606726</v>
      </c>
      <c r="Z43" s="31">
        <f>'TR TUSD'!$Z$43</f>
        <v>0</v>
      </c>
      <c r="AA43" s="31">
        <f>'TR TUSD'!$AA$43</f>
        <v>0</v>
      </c>
      <c r="AB43" s="31">
        <f>SUM($U$43:$AA$43)</f>
        <v>102.73629118606726</v>
      </c>
      <c r="AC43" s="31">
        <f>'TR TUSD'!$AC$43*'TR TUSD'!$AC$60</f>
        <v>166.44862361354157</v>
      </c>
      <c r="AD43" s="31">
        <f>SUM($AC$43:$AC$43)</f>
        <v>166.44862361354157</v>
      </c>
      <c r="AE43" s="31">
        <v>0</v>
      </c>
      <c r="AF43" s="31">
        <v>0</v>
      </c>
      <c r="AG43" s="31">
        <f>SUM($AE$43:$AF$43)</f>
        <v>0</v>
      </c>
      <c r="AH43" s="31">
        <f>'TR TUSD'!$AH$43*'TR TUSD'!$AH$60</f>
        <v>18.33939270495155</v>
      </c>
      <c r="AI43" s="31">
        <f>'TR TUSD'!$AI$43*'TR TUSD'!$AI$60</f>
        <v>0.39678606238194863</v>
      </c>
      <c r="AJ43" s="31">
        <f ca="1">'TR TUSD'!$AJ$43*'TR TUSD'!$AJ$60</f>
        <v>0.31775589890625006</v>
      </c>
      <c r="AK43" s="31">
        <f ca="1">'TR TUSD'!$AK$43*'TR TUSD'!$AK$60</f>
        <v>0.3336231990717633</v>
      </c>
      <c r="AL43" s="31">
        <f ca="1">SUM($AH$43:$AK$43)</f>
        <v>19.387557865311511</v>
      </c>
      <c r="AM43" s="31">
        <f ca="1">SUMIF($L$4:$AL$4,"SUBTOTAL",$L$43:$AL$43)</f>
        <v>396.8467543887827</v>
      </c>
      <c r="AP43" s="31">
        <f>IF((1 - CUSTOS!$M$29)&lt;&gt;0,1/(1 - CUSTOS!$M$29),1)</f>
        <v>1</v>
      </c>
    </row>
    <row r="44" spans="1:42" ht="11.25" customHeight="1" x14ac:dyDescent="0.25">
      <c r="A44" s="149"/>
      <c r="B44" s="149"/>
      <c r="C44" s="149"/>
      <c r="D44" s="56" t="s">
        <v>91</v>
      </c>
      <c r="E44" s="56" t="s">
        <v>25</v>
      </c>
      <c r="F44" s="56" t="s">
        <v>25</v>
      </c>
      <c r="G44" s="57" t="s">
        <v>78</v>
      </c>
      <c r="H44" s="57" t="s">
        <v>74</v>
      </c>
      <c r="I44" s="57">
        <f>'MERCADO TUSD'!$U$41</f>
        <v>0</v>
      </c>
      <c r="J44" s="15"/>
      <c r="L44" s="31">
        <f>'TR TUSD'!$L$44*'TR TUSD'!$L$60</f>
        <v>0</v>
      </c>
      <c r="M44" s="31">
        <f>'TR TUSD'!$M$44*'TR TUSD'!$M$60</f>
        <v>0.79501449021920745</v>
      </c>
      <c r="N44" s="31">
        <f ca="1">'TR TUSD'!$N$44*'TR TUSD'!$N$60</f>
        <v>4.0312795788679257</v>
      </c>
      <c r="O44" s="31">
        <f>'TR TUSD'!$O$44*'TR TUSD'!$O$60</f>
        <v>0</v>
      </c>
      <c r="P44" s="31">
        <f>'TR TUSD'!$P$44*'TR TUSD'!$P$60</f>
        <v>0</v>
      </c>
      <c r="Q44" s="31">
        <f>'TR TUSD'!$Q$44*'TR TUSD'!$Q$60</f>
        <v>89.728306907607802</v>
      </c>
      <c r="R44" s="31">
        <f>'TR TUSD'!$R$44*'TR TUSD'!$R$60</f>
        <v>13.719680747167459</v>
      </c>
      <c r="S44" s="31">
        <f>'TR TUSD'!$S$44*'TR TUSD'!$S$60</f>
        <v>0</v>
      </c>
      <c r="T44" s="31">
        <f ca="1">SUM($L$44:$S$44)</f>
        <v>108.27428172386239</v>
      </c>
      <c r="U44" s="31">
        <f>'TR TUSD'!$U$44*'TR TUSD'!$U$60</f>
        <v>0</v>
      </c>
      <c r="V44" s="31">
        <f>'TR TUSD'!$V$44*'TR TUSD'!$V$60</f>
        <v>0</v>
      </c>
      <c r="W44" s="31">
        <f>'TR TUSD'!$W$44*'TR TUSD'!$W$60</f>
        <v>0</v>
      </c>
      <c r="X44" s="31">
        <f>'TR TUSD'!$X$44*'TR TUSD'!$X$60</f>
        <v>0</v>
      </c>
      <c r="Y44" s="31">
        <f>'TR TUSD'!$Y$44*'TR TUSD'!$Y$60</f>
        <v>102.73629118606726</v>
      </c>
      <c r="Z44" s="31">
        <f>'TR TUSD'!$Z$44</f>
        <v>0</v>
      </c>
      <c r="AA44" s="31">
        <f>'TR TUSD'!$AA$44</f>
        <v>0</v>
      </c>
      <c r="AB44" s="31">
        <f>SUM($U$44:$AA$44)</f>
        <v>102.73629118606726</v>
      </c>
      <c r="AC44" s="31">
        <f>'TR TUSD'!$AC$44*'TR TUSD'!$AC$60</f>
        <v>166.44862361354157</v>
      </c>
      <c r="AD44" s="31">
        <f>SUM($AC$44:$AC$44)</f>
        <v>166.44862361354157</v>
      </c>
      <c r="AE44" s="31">
        <v>0</v>
      </c>
      <c r="AF44" s="31">
        <v>0</v>
      </c>
      <c r="AG44" s="31">
        <f>SUM($AE$44:$AF$44)</f>
        <v>0</v>
      </c>
      <c r="AH44" s="31">
        <f>'TR TUSD'!$AH$44*'TR TUSD'!$AH$60</f>
        <v>18.33939270495155</v>
      </c>
      <c r="AI44" s="31">
        <f>'TR TUSD'!$AI$44*'TR TUSD'!$AI$60</f>
        <v>0.39678606238194863</v>
      </c>
      <c r="AJ44" s="31">
        <f ca="1">'TR TUSD'!$AJ$44*'TR TUSD'!$AJ$60</f>
        <v>0.31775589890625006</v>
      </c>
      <c r="AK44" s="31">
        <f ca="1">'TR TUSD'!$AK$44*'TR TUSD'!$AK$60</f>
        <v>0.3336231990717633</v>
      </c>
      <c r="AL44" s="31">
        <f ca="1">SUM($AH$44:$AK$44)</f>
        <v>19.387557865311511</v>
      </c>
      <c r="AM44" s="31">
        <f ca="1">SUMIF($L$4:$AL$4,"SUBTOTAL",$L$44:$AL$44)</f>
        <v>396.8467543887827</v>
      </c>
      <c r="AP44" s="31">
        <f>IF((1 - CUSTOS!$M$30)&lt;&gt;0,1/(1 - CUSTOS!$M$30),1)</f>
        <v>1</v>
      </c>
    </row>
    <row r="45" spans="1:42" ht="11.25" customHeight="1" x14ac:dyDescent="0.25">
      <c r="A45" s="149" t="s">
        <v>33</v>
      </c>
      <c r="B45" s="149" t="s">
        <v>50</v>
      </c>
      <c r="C45" s="149" t="s">
        <v>25</v>
      </c>
      <c r="D45" s="149" t="s">
        <v>25</v>
      </c>
      <c r="E45" s="149" t="s">
        <v>25</v>
      </c>
      <c r="F45" s="149" t="s">
        <v>25</v>
      </c>
      <c r="G45" s="57" t="s">
        <v>75</v>
      </c>
      <c r="H45" s="57" t="s">
        <v>74</v>
      </c>
      <c r="I45" s="57">
        <f>'MERCADO TUSD'!$U$42</f>
        <v>1.1399999999999999</v>
      </c>
      <c r="J45" s="15"/>
      <c r="L45" s="31">
        <f>'TR TUSD'!$L$45*'TR TUSD'!$L$60</f>
        <v>0</v>
      </c>
      <c r="M45" s="31">
        <f>'TR TUSD'!$M$45*'TR TUSD'!$M$60</f>
        <v>0.79501449021920745</v>
      </c>
      <c r="N45" s="31">
        <f ca="1">'TR TUSD'!$N$45*'TR TUSD'!$N$60</f>
        <v>12.490419518782343</v>
      </c>
      <c r="O45" s="31">
        <f>'TR TUSD'!$O$45*'TR TUSD'!$O$60</f>
        <v>0</v>
      </c>
      <c r="P45" s="31">
        <f>'TR TUSD'!$P$45*'TR TUSD'!$P$60</f>
        <v>0</v>
      </c>
      <c r="Q45" s="31">
        <f>'TR TUSD'!$Q$45*'TR TUSD'!$Q$60</f>
        <v>89.728306907607802</v>
      </c>
      <c r="R45" s="31">
        <f>'TR TUSD'!$R$45*'TR TUSD'!$R$60</f>
        <v>13.719680747167459</v>
      </c>
      <c r="S45" s="31">
        <f>'TR TUSD'!$S$45*'TR TUSD'!$S$60</f>
        <v>0</v>
      </c>
      <c r="T45" s="31">
        <f ca="1">SUM($L$45:$S$45)</f>
        <v>116.73342166377681</v>
      </c>
      <c r="U45" s="31">
        <f>'TR TUSD'!$U$45*'TR TUSD'!$U$60</f>
        <v>0</v>
      </c>
      <c r="V45" s="31">
        <f>'TR TUSD'!$V$45*'TR TUSD'!$V$60</f>
        <v>0</v>
      </c>
      <c r="W45" s="31">
        <f>'TR TUSD'!$W$45*'TR TUSD'!$W$60</f>
        <v>0</v>
      </c>
      <c r="X45" s="31">
        <f>'TR TUSD'!$X$45*'TR TUSD'!$X$60</f>
        <v>0</v>
      </c>
      <c r="Y45" s="31">
        <f>'TR TUSD'!$Y$45*'TR TUSD'!$Y$60</f>
        <v>359.57696213766286</v>
      </c>
      <c r="Z45" s="31">
        <f>'TR TUSD'!$Z$45</f>
        <v>0</v>
      </c>
      <c r="AA45" s="31">
        <f>'TR TUSD'!$AA$45</f>
        <v>0</v>
      </c>
      <c r="AB45" s="31">
        <f>SUM($U$45:$AA$45)</f>
        <v>359.57696213766286</v>
      </c>
      <c r="AC45" s="31">
        <f>'TR TUSD'!$AC$45*'TR TUSD'!$AC$60</f>
        <v>582.57028582732471</v>
      </c>
      <c r="AD45" s="31">
        <f>SUM($AC$45:$AC$45)</f>
        <v>582.57028582732471</v>
      </c>
      <c r="AE45" s="31">
        <v>0</v>
      </c>
      <c r="AF45" s="31">
        <v>0</v>
      </c>
      <c r="AG45" s="31">
        <f>SUM($AE$45:$AF$45)</f>
        <v>0</v>
      </c>
      <c r="AH45" s="31">
        <f>'TR TUSD'!$AH$45*'TR TUSD'!$AH$60</f>
        <v>18.33939270495155</v>
      </c>
      <c r="AI45" s="31">
        <f>'TR TUSD'!$AI$45*'TR TUSD'!$AI$60</f>
        <v>0.39678606238194863</v>
      </c>
      <c r="AJ45" s="31">
        <f ca="1">'TR TUSD'!$AJ$45*'TR TUSD'!$AJ$60</f>
        <v>0.31775589890625006</v>
      </c>
      <c r="AK45" s="31">
        <f ca="1">'TR TUSD'!$AK$45*'TR TUSD'!$AK$60</f>
        <v>0.3336231990717633</v>
      </c>
      <c r="AL45" s="31">
        <f ca="1">SUM($AH$45:$AK$45)</f>
        <v>19.387557865311511</v>
      </c>
      <c r="AM45" s="31">
        <f ca="1">SUMIF($L$4:$AL$4,"SUBTOTAL",$L$45:$AL$45)</f>
        <v>1078.2682274940757</v>
      </c>
      <c r="AP45" s="31">
        <f>IF((1 - CUSTOS!$M$31)&lt;&gt;0,1/(1 - CUSTOS!$M$31),1)</f>
        <v>1</v>
      </c>
    </row>
    <row r="46" spans="1:42" ht="11.25" customHeight="1" x14ac:dyDescent="0.25">
      <c r="A46" s="149"/>
      <c r="B46" s="149"/>
      <c r="C46" s="149"/>
      <c r="D46" s="149"/>
      <c r="E46" s="149"/>
      <c r="F46" s="149"/>
      <c r="G46" s="57" t="s">
        <v>87</v>
      </c>
      <c r="H46" s="57" t="s">
        <v>74</v>
      </c>
      <c r="I46" s="57">
        <f>'MERCADO TUSD'!$U$43</f>
        <v>1.5340000000000003</v>
      </c>
      <c r="J46" s="15"/>
      <c r="L46" s="31">
        <f>'TR TUSD'!$L$46*'TR TUSD'!$L$60</f>
        <v>0</v>
      </c>
      <c r="M46" s="31">
        <f>'TR TUSD'!$M$46*'TR TUSD'!$M$60</f>
        <v>0.79501449021920745</v>
      </c>
      <c r="N46" s="31">
        <f ca="1">'TR TUSD'!$N$46*'TR TUSD'!$N$60</f>
        <v>7.7533009909301134</v>
      </c>
      <c r="O46" s="31">
        <f>'TR TUSD'!$O$46*'TR TUSD'!$O$60</f>
        <v>0</v>
      </c>
      <c r="P46" s="31">
        <f>'TR TUSD'!$P$46*'TR TUSD'!$P$60</f>
        <v>0</v>
      </c>
      <c r="Q46" s="31">
        <f>'TR TUSD'!$Q$46*'TR TUSD'!$Q$60</f>
        <v>89.728306907607802</v>
      </c>
      <c r="R46" s="31">
        <f>'TR TUSD'!$R$46*'TR TUSD'!$R$60</f>
        <v>13.719680747167459</v>
      </c>
      <c r="S46" s="31">
        <f>'TR TUSD'!$S$46*'TR TUSD'!$S$60</f>
        <v>0</v>
      </c>
      <c r="T46" s="31">
        <f ca="1">SUM($L$46:$S$46)</f>
        <v>111.99630313592458</v>
      </c>
      <c r="U46" s="31">
        <f>'TR TUSD'!$U$46*'TR TUSD'!$U$60</f>
        <v>0</v>
      </c>
      <c r="V46" s="31">
        <f>'TR TUSD'!$V$46*'TR TUSD'!$V$60</f>
        <v>0</v>
      </c>
      <c r="W46" s="31">
        <f>'TR TUSD'!$W$46*'TR TUSD'!$W$60</f>
        <v>0</v>
      </c>
      <c r="X46" s="31">
        <f>'TR TUSD'!$X$46*'TR TUSD'!$X$60</f>
        <v>0</v>
      </c>
      <c r="Y46" s="31">
        <f>'TR TUSD'!$Y$46*'TR TUSD'!$Y$60</f>
        <v>215.74620008802674</v>
      </c>
      <c r="Z46" s="31">
        <f>'TR TUSD'!$Z$46</f>
        <v>0</v>
      </c>
      <c r="AA46" s="31">
        <f>'TR TUSD'!$AA$46</f>
        <v>0</v>
      </c>
      <c r="AB46" s="31">
        <f>SUM($U$46:$AA$46)</f>
        <v>215.74620008802674</v>
      </c>
      <c r="AC46" s="31">
        <f>'TR TUSD'!$AC$46*'TR TUSD'!$AC$60</f>
        <v>349.54213022442315</v>
      </c>
      <c r="AD46" s="31">
        <f>SUM($AC$46:$AC$46)</f>
        <v>349.54213022442315</v>
      </c>
      <c r="AE46" s="31">
        <v>0</v>
      </c>
      <c r="AF46" s="31">
        <v>0</v>
      </c>
      <c r="AG46" s="31">
        <f>SUM($AE$46:$AF$46)</f>
        <v>0</v>
      </c>
      <c r="AH46" s="31">
        <f>'TR TUSD'!$AH$46*'TR TUSD'!$AH$60</f>
        <v>18.33939270495155</v>
      </c>
      <c r="AI46" s="31">
        <f>'TR TUSD'!$AI$46*'TR TUSD'!$AI$60</f>
        <v>0.39678606238194863</v>
      </c>
      <c r="AJ46" s="31">
        <f ca="1">'TR TUSD'!$AJ$46*'TR TUSD'!$AJ$60</f>
        <v>0.31775589890625006</v>
      </c>
      <c r="AK46" s="31">
        <f ca="1">'TR TUSD'!$AK$46*'TR TUSD'!$AK$60</f>
        <v>0.3336231990717633</v>
      </c>
      <c r="AL46" s="31">
        <f ca="1">SUM($AH$46:$AK$46)</f>
        <v>19.387557865311511</v>
      </c>
      <c r="AM46" s="31">
        <f ca="1">SUMIF($L$4:$AL$4,"SUBTOTAL",$L$46:$AL$46)</f>
        <v>696.67219131368597</v>
      </c>
      <c r="AP46" s="31">
        <f>IF((1 - CUSTOS!$M$31)&lt;&gt;0,1/(1 - CUSTOS!$M$31),1)</f>
        <v>1</v>
      </c>
    </row>
    <row r="47" spans="1:42" ht="11.25" customHeight="1" x14ac:dyDescent="0.25">
      <c r="A47" s="149"/>
      <c r="B47" s="149"/>
      <c r="C47" s="149"/>
      <c r="D47" s="149"/>
      <c r="E47" s="149"/>
      <c r="F47" s="149"/>
      <c r="G47" s="57" t="s">
        <v>76</v>
      </c>
      <c r="H47" s="57" t="s">
        <v>74</v>
      </c>
      <c r="I47" s="57">
        <f>'MERCADO TUSD'!$U$44</f>
        <v>27.193000000000005</v>
      </c>
      <c r="J47" s="15"/>
      <c r="L47" s="31">
        <f>'TR TUSD'!$L$47*'TR TUSD'!$L$60</f>
        <v>0</v>
      </c>
      <c r="M47" s="31">
        <f>'TR TUSD'!$M$47*'TR TUSD'!$M$60</f>
        <v>0.79501449021920745</v>
      </c>
      <c r="N47" s="31">
        <f ca="1">'TR TUSD'!$N$47*'TR TUSD'!$N$60</f>
        <v>3.0161838089125146</v>
      </c>
      <c r="O47" s="31">
        <f>'TR TUSD'!$O$47*'TR TUSD'!$O$60</f>
        <v>0</v>
      </c>
      <c r="P47" s="31">
        <f>'TR TUSD'!$P$47*'TR TUSD'!$P$60</f>
        <v>0</v>
      </c>
      <c r="Q47" s="31">
        <f>'TR TUSD'!$Q$47*'TR TUSD'!$Q$60</f>
        <v>89.728306907607802</v>
      </c>
      <c r="R47" s="31">
        <f>'TR TUSD'!$R$47*'TR TUSD'!$R$60</f>
        <v>13.719680747167459</v>
      </c>
      <c r="S47" s="31">
        <f>'TR TUSD'!$S$47*'TR TUSD'!$S$60</f>
        <v>0</v>
      </c>
      <c r="T47" s="31">
        <f ca="1">SUM($L$47:$S$47)</f>
        <v>107.25918595390698</v>
      </c>
      <c r="U47" s="31">
        <f>'TR TUSD'!$U$47*'TR TUSD'!$U$60</f>
        <v>0</v>
      </c>
      <c r="V47" s="31">
        <f>'TR TUSD'!$V$47*'TR TUSD'!$V$60</f>
        <v>0</v>
      </c>
      <c r="W47" s="31">
        <f>'TR TUSD'!$W$47*'TR TUSD'!$W$60</f>
        <v>0</v>
      </c>
      <c r="X47" s="31">
        <f>'TR TUSD'!$X$47*'TR TUSD'!$X$60</f>
        <v>0</v>
      </c>
      <c r="Y47" s="31">
        <f>'TR TUSD'!$Y$47*'TR TUSD'!$Y$60</f>
        <v>71.915438038390604</v>
      </c>
      <c r="Z47" s="31">
        <f>'TR TUSD'!$Z$47</f>
        <v>0</v>
      </c>
      <c r="AA47" s="31">
        <f>'TR TUSD'!$AA$47</f>
        <v>0</v>
      </c>
      <c r="AB47" s="31">
        <f>SUM($U$47:$AA$47)</f>
        <v>71.915438038390604</v>
      </c>
      <c r="AC47" s="31">
        <f>'TR TUSD'!$AC$47*'TR TUSD'!$AC$60</f>
        <v>116.51407780145077</v>
      </c>
      <c r="AD47" s="31">
        <f>SUM($AC$47:$AC$47)</f>
        <v>116.51407780145077</v>
      </c>
      <c r="AE47" s="31">
        <v>0</v>
      </c>
      <c r="AF47" s="31">
        <v>0</v>
      </c>
      <c r="AG47" s="31">
        <f>SUM($AE$47:$AF$47)</f>
        <v>0</v>
      </c>
      <c r="AH47" s="31">
        <f>'TR TUSD'!$AH$47*'TR TUSD'!$AH$60</f>
        <v>18.33939270495155</v>
      </c>
      <c r="AI47" s="31">
        <f>'TR TUSD'!$AI$47*'TR TUSD'!$AI$60</f>
        <v>0.39678606238194863</v>
      </c>
      <c r="AJ47" s="31">
        <f ca="1">'TR TUSD'!$AJ$47*'TR TUSD'!$AJ$60</f>
        <v>0.31775589890625006</v>
      </c>
      <c r="AK47" s="31">
        <f ca="1">'TR TUSD'!$AK$47*'TR TUSD'!$AK$60</f>
        <v>0.3336231990717633</v>
      </c>
      <c r="AL47" s="31">
        <f ca="1">SUM($AH$47:$AK$47)</f>
        <v>19.387557865311511</v>
      </c>
      <c r="AM47" s="31">
        <f ca="1">SUMIF($L$4:$AL$4,"SUBTOTAL",$L$47:$AL$47)</f>
        <v>315.07625965905987</v>
      </c>
      <c r="AP47" s="31">
        <f>IF((1 - CUSTOS!$M$31)&lt;&gt;0,1/(1 - CUSTOS!$M$31),1)</f>
        <v>1</v>
      </c>
    </row>
    <row r="48" spans="1:42" ht="11.25" customHeight="1" x14ac:dyDescent="0.25">
      <c r="A48" s="149"/>
      <c r="B48" s="56" t="s">
        <v>23</v>
      </c>
      <c r="C48" s="56" t="s">
        <v>25</v>
      </c>
      <c r="D48" s="56" t="s">
        <v>25</v>
      </c>
      <c r="E48" s="56" t="s">
        <v>25</v>
      </c>
      <c r="F48" s="56" t="s">
        <v>25</v>
      </c>
      <c r="G48" s="57" t="s">
        <v>78</v>
      </c>
      <c r="H48" s="57" t="s">
        <v>74</v>
      </c>
      <c r="I48" s="57">
        <f>'MERCADO TUSD'!$U$45</f>
        <v>29180.755000000001</v>
      </c>
      <c r="J48" s="15"/>
      <c r="L48" s="31">
        <f>'TR TUSD'!$L$48*'TR TUSD'!$L$60</f>
        <v>0</v>
      </c>
      <c r="M48" s="31">
        <f>'TR TUSD'!$M$48*'TR TUSD'!$M$60</f>
        <v>0.79501449021920745</v>
      </c>
      <c r="N48" s="31">
        <f ca="1">'TR TUSD'!$N$48*'TR TUSD'!$N$60</f>
        <v>4.0312795788679257</v>
      </c>
      <c r="O48" s="31">
        <f>'TR TUSD'!$O$48*'TR TUSD'!$O$60</f>
        <v>0</v>
      </c>
      <c r="P48" s="31">
        <f>'TR TUSD'!$P$48*'TR TUSD'!$P$60</f>
        <v>0</v>
      </c>
      <c r="Q48" s="31">
        <f>'TR TUSD'!$Q$48*'TR TUSD'!$Q$60</f>
        <v>89.728306907607802</v>
      </c>
      <c r="R48" s="31">
        <f>'TR TUSD'!$R$48*'TR TUSD'!$R$60</f>
        <v>13.719680747167459</v>
      </c>
      <c r="S48" s="31">
        <f>'TR TUSD'!$S$48*'TR TUSD'!$S$60</f>
        <v>0</v>
      </c>
      <c r="T48" s="31">
        <f ca="1">SUM($L$48:$S$48)</f>
        <v>108.27428172386239</v>
      </c>
      <c r="U48" s="31">
        <f>'TR TUSD'!$U$48*'TR TUSD'!$U$60</f>
        <v>0</v>
      </c>
      <c r="V48" s="31">
        <f>'TR TUSD'!$V$48*'TR TUSD'!$V$60</f>
        <v>0</v>
      </c>
      <c r="W48" s="31">
        <f>'TR TUSD'!$W$48*'TR TUSD'!$W$60</f>
        <v>0</v>
      </c>
      <c r="X48" s="31">
        <f>'TR TUSD'!$X$48*'TR TUSD'!$X$60</f>
        <v>0</v>
      </c>
      <c r="Y48" s="31">
        <f>'TR TUSD'!$Y$48*'TR TUSD'!$Y$60</f>
        <v>102.73629118606726</v>
      </c>
      <c r="Z48" s="31">
        <f>'TR TUSD'!$Z$48</f>
        <v>0</v>
      </c>
      <c r="AA48" s="31">
        <f>'TR TUSD'!$AA$48</f>
        <v>0</v>
      </c>
      <c r="AB48" s="31">
        <f>SUM($U$48:$AA$48)</f>
        <v>102.73629118606726</v>
      </c>
      <c r="AC48" s="31">
        <f>'TR TUSD'!$AC$48*'TR TUSD'!$AC$60</f>
        <v>166.44862361354157</v>
      </c>
      <c r="AD48" s="31">
        <f>SUM($AC$48:$AC$48)</f>
        <v>166.44862361354157</v>
      </c>
      <c r="AE48" s="31">
        <v>0</v>
      </c>
      <c r="AF48" s="31">
        <v>0</v>
      </c>
      <c r="AG48" s="31">
        <f>SUM($AE$48:$AF$48)</f>
        <v>0</v>
      </c>
      <c r="AH48" s="31">
        <f>'TR TUSD'!$AH$48*'TR TUSD'!$AH$60</f>
        <v>18.33939270495155</v>
      </c>
      <c r="AI48" s="31">
        <f>'TR TUSD'!$AI$48*'TR TUSD'!$AI$60</f>
        <v>0.39678606238194863</v>
      </c>
      <c r="AJ48" s="31">
        <f ca="1">'TR TUSD'!$AJ$48*'TR TUSD'!$AJ$60</f>
        <v>0.31775589890625006</v>
      </c>
      <c r="AK48" s="31">
        <f ca="1">'TR TUSD'!$AK$48*'TR TUSD'!$AK$60</f>
        <v>0.3336231990717633</v>
      </c>
      <c r="AL48" s="31">
        <f ca="1">SUM($AH$48:$AK$48)</f>
        <v>19.387557865311511</v>
      </c>
      <c r="AM48" s="31">
        <f ca="1">SUMIF($L$4:$AL$4,"SUBTOTAL",$L$48:$AL$48)</f>
        <v>396.8467543887827</v>
      </c>
      <c r="AP48" s="31">
        <f>IF((1 - CUSTOS!$M$31)&lt;&gt;0,1/(1 - CUSTOS!$M$31),1)</f>
        <v>1</v>
      </c>
    </row>
    <row r="49" spans="1:42" ht="11.25" customHeight="1" x14ac:dyDescent="0.25">
      <c r="A49" s="149"/>
      <c r="B49" s="56" t="s">
        <v>89</v>
      </c>
      <c r="C49" s="56" t="s">
        <v>25</v>
      </c>
      <c r="D49" s="56" t="s">
        <v>25</v>
      </c>
      <c r="E49" s="56" t="s">
        <v>25</v>
      </c>
      <c r="F49" s="56" t="s">
        <v>25</v>
      </c>
      <c r="G49" s="57" t="s">
        <v>78</v>
      </c>
      <c r="H49" s="57" t="s">
        <v>74</v>
      </c>
      <c r="I49" s="57">
        <f>'MERCADO TUSD'!$U$46</f>
        <v>0</v>
      </c>
      <c r="J49" s="15"/>
      <c r="L49" s="31">
        <f>'TR TUSD'!$L$49*'TR TUSD'!$L$60</f>
        <v>0</v>
      </c>
      <c r="M49" s="31">
        <f>'TR TUSD'!$M$49*'TR TUSD'!$M$60</f>
        <v>0.79501449021920745</v>
      </c>
      <c r="N49" s="31">
        <f ca="1">'TR TUSD'!$N$49*'TR TUSD'!$N$60</f>
        <v>4.0312795788679257</v>
      </c>
      <c r="O49" s="31">
        <f>'TR TUSD'!$O$49*'TR TUSD'!$O$60</f>
        <v>0</v>
      </c>
      <c r="P49" s="31">
        <f>'TR TUSD'!$P$49*'TR TUSD'!$P$60</f>
        <v>0</v>
      </c>
      <c r="Q49" s="31">
        <f>'TR TUSD'!$Q$49*'TR TUSD'!$Q$60</f>
        <v>89.728306907607802</v>
      </c>
      <c r="R49" s="31">
        <f>'TR TUSD'!$R$49*'TR TUSD'!$R$60</f>
        <v>13.719680747167459</v>
      </c>
      <c r="S49" s="31">
        <f>'TR TUSD'!$S$49*'TR TUSD'!$S$60</f>
        <v>0</v>
      </c>
      <c r="T49" s="31">
        <f ca="1">SUM($L$49:$S$49)</f>
        <v>108.27428172386239</v>
      </c>
      <c r="U49" s="31">
        <f>'TR TUSD'!$U$49*'TR TUSD'!$U$60</f>
        <v>0</v>
      </c>
      <c r="V49" s="31">
        <f>'TR TUSD'!$V$49*'TR TUSD'!$V$60</f>
        <v>0</v>
      </c>
      <c r="W49" s="31">
        <f>'TR TUSD'!$W$49*'TR TUSD'!$W$60</f>
        <v>0</v>
      </c>
      <c r="X49" s="31">
        <f>'TR TUSD'!$X$49*'TR TUSD'!$X$60</f>
        <v>0</v>
      </c>
      <c r="Y49" s="31">
        <f>'TR TUSD'!$Y$49*'TR TUSD'!$Y$60</f>
        <v>102.73629118606726</v>
      </c>
      <c r="Z49" s="31">
        <f>'TR TUSD'!$Z$49</f>
        <v>0</v>
      </c>
      <c r="AA49" s="31">
        <f>'TR TUSD'!$AA$49</f>
        <v>0</v>
      </c>
      <c r="AB49" s="31">
        <f>SUM($U$49:$AA$49)</f>
        <v>102.73629118606726</v>
      </c>
      <c r="AC49" s="31">
        <f>'TR TUSD'!$AC$49*'TR TUSD'!$AC$60</f>
        <v>166.44862361354157</v>
      </c>
      <c r="AD49" s="31">
        <f>SUM($AC$49:$AC$49)</f>
        <v>166.44862361354157</v>
      </c>
      <c r="AE49" s="31">
        <v>0</v>
      </c>
      <c r="AF49" s="31">
        <v>0</v>
      </c>
      <c r="AG49" s="31">
        <f>SUM($AE$49:$AF$49)</f>
        <v>0</v>
      </c>
      <c r="AH49" s="31">
        <f>'TR TUSD'!$AH$49*'TR TUSD'!$AH$60</f>
        <v>18.33939270495155</v>
      </c>
      <c r="AI49" s="31">
        <f>'TR TUSD'!$AI$49*'TR TUSD'!$AI$60</f>
        <v>0.39678606238194863</v>
      </c>
      <c r="AJ49" s="31">
        <f ca="1">'TR TUSD'!$AJ$49*'TR TUSD'!$AJ$60</f>
        <v>0.31775589890625006</v>
      </c>
      <c r="AK49" s="31">
        <f ca="1">'TR TUSD'!$AK$49*'TR TUSD'!$AK$60</f>
        <v>0.3336231990717633</v>
      </c>
      <c r="AL49" s="31">
        <f ca="1">SUM($AH$49:$AK$49)</f>
        <v>19.387557865311511</v>
      </c>
      <c r="AM49" s="31">
        <f ca="1">SUMIF($L$4:$AL$4,"SUBTOTAL",$L$49:$AL$49)</f>
        <v>396.8467543887827</v>
      </c>
      <c r="AP49" s="31">
        <f>IF((1 - CUSTOS!$M$31)&lt;&gt;0,1/(1 - CUSTOS!$M$31),1)</f>
        <v>1</v>
      </c>
    </row>
    <row r="50" spans="1:42" ht="11.25" customHeight="1" x14ac:dyDescent="0.25">
      <c r="A50" s="149" t="s">
        <v>44</v>
      </c>
      <c r="B50" s="149" t="s">
        <v>23</v>
      </c>
      <c r="C50" s="149" t="s">
        <v>45</v>
      </c>
      <c r="D50" s="56" t="s">
        <v>46</v>
      </c>
      <c r="E50" s="56" t="s">
        <v>25</v>
      </c>
      <c r="F50" s="56" t="s">
        <v>25</v>
      </c>
      <c r="G50" s="57" t="s">
        <v>78</v>
      </c>
      <c r="H50" s="57" t="s">
        <v>74</v>
      </c>
      <c r="I50" s="57">
        <f>'MERCADO TUSD'!$U$47</f>
        <v>11805.242</v>
      </c>
      <c r="J50" s="15"/>
      <c r="L50" s="31">
        <f>'TR TUSD'!$L$50*'TR TUSD'!$L$60</f>
        <v>0</v>
      </c>
      <c r="M50" s="31">
        <f>'TR TUSD'!$M$50*'TR TUSD'!$M$60</f>
        <v>0.43725796962056412</v>
      </c>
      <c r="N50" s="31">
        <f ca="1">'TR TUSD'!$N$50*'TR TUSD'!$N$60</f>
        <v>2.2172037683773591</v>
      </c>
      <c r="O50" s="31">
        <f>'TR TUSD'!$O$50*'TR TUSD'!$O$60</f>
        <v>0</v>
      </c>
      <c r="P50" s="31">
        <f>'TR TUSD'!$P$50*'TR TUSD'!$P$60</f>
        <v>0</v>
      </c>
      <c r="Q50" s="31">
        <f>'TR TUSD'!$Q$50*'TR TUSD'!$Q$60</f>
        <v>49.350568799184295</v>
      </c>
      <c r="R50" s="31">
        <f>'TR TUSD'!$R$50*'TR TUSD'!$R$60</f>
        <v>7.5458244109421031</v>
      </c>
      <c r="S50" s="31">
        <f>'TR TUSD'!$S$50*'TR TUSD'!$S$60</f>
        <v>0</v>
      </c>
      <c r="T50" s="31">
        <f ca="1">SUM($L$50:$S$50)</f>
        <v>59.550854948124318</v>
      </c>
      <c r="U50" s="31">
        <f>'TR TUSD'!$U$50*'TR TUSD'!$U$60</f>
        <v>0</v>
      </c>
      <c r="V50" s="31">
        <f>'TR TUSD'!$V$50*'TR TUSD'!$V$60</f>
        <v>0</v>
      </c>
      <c r="W50" s="31">
        <f>'TR TUSD'!$W$50*'TR TUSD'!$W$60</f>
        <v>0</v>
      </c>
      <c r="X50" s="31">
        <f>'TR TUSD'!$X$50*'TR TUSD'!$X$60</f>
        <v>0</v>
      </c>
      <c r="Y50" s="31">
        <f>'TR TUSD'!$Y$50*'TR TUSD'!$Y$60</f>
        <v>56.504960152336999</v>
      </c>
      <c r="Z50" s="31">
        <f>'TR TUSD'!$Z$50</f>
        <v>0</v>
      </c>
      <c r="AA50" s="31">
        <f>'TR TUSD'!$AA$50</f>
        <v>0</v>
      </c>
      <c r="AB50" s="31">
        <f>SUM($U$50:$AA$50)</f>
        <v>56.504960152336999</v>
      </c>
      <c r="AC50" s="31">
        <f>'TR TUSD'!$AC$50*'TR TUSD'!$AC$60</f>
        <v>91.546742987447885</v>
      </c>
      <c r="AD50" s="31">
        <f>SUM($AC$50:$AC$50)</f>
        <v>91.546742987447885</v>
      </c>
      <c r="AE50" s="31">
        <v>0</v>
      </c>
      <c r="AF50" s="31">
        <v>0</v>
      </c>
      <c r="AG50" s="31">
        <f>SUM($AE$50:$AF$50)</f>
        <v>0</v>
      </c>
      <c r="AH50" s="31">
        <f>'TR TUSD'!$AH$50*'TR TUSD'!$AH$60</f>
        <v>10.086665987723354</v>
      </c>
      <c r="AI50" s="31">
        <f>'TR TUSD'!$AI$50*'TR TUSD'!$AI$60</f>
        <v>0.21823233431007175</v>
      </c>
      <c r="AJ50" s="31">
        <f ca="1">'TR TUSD'!$AJ$50*'TR TUSD'!$AJ$60</f>
        <v>0.17476574439843756</v>
      </c>
      <c r="AK50" s="31">
        <f ca="1">'TR TUSD'!$AK$50*'TR TUSD'!$AK$60</f>
        <v>0.18349275948946986</v>
      </c>
      <c r="AL50" s="31">
        <f ca="1">SUM($AH$50:$AK$50)</f>
        <v>10.663156825921332</v>
      </c>
      <c r="AM50" s="31">
        <f ca="1">SUMIF($L$4:$AL$4,"SUBTOTAL",$L$50:$AL$50)</f>
        <v>218.26571491383052</v>
      </c>
      <c r="AP50" s="31">
        <f>IF((1 - CUSTOS!$M$32)&lt;&gt;0,1/(1 - CUSTOS!$M$32),1)</f>
        <v>1.8181818181818181</v>
      </c>
    </row>
    <row r="51" spans="1:42" ht="11.25" customHeight="1" x14ac:dyDescent="0.25">
      <c r="A51" s="149"/>
      <c r="B51" s="149"/>
      <c r="C51" s="149"/>
      <c r="D51" s="57" t="s">
        <v>92</v>
      </c>
      <c r="E51" s="57" t="s">
        <v>25</v>
      </c>
      <c r="F51" s="57" t="s">
        <v>25</v>
      </c>
      <c r="G51" s="57" t="s">
        <v>78</v>
      </c>
      <c r="H51" s="57" t="s">
        <v>74</v>
      </c>
      <c r="I51" s="57">
        <f>'MERCADO TUSD'!$U$48</f>
        <v>0</v>
      </c>
      <c r="J51" s="15"/>
      <c r="L51" s="31">
        <f>'TR TUSD'!$L$51*'TR TUSD'!$L$60</f>
        <v>0</v>
      </c>
      <c r="M51" s="31">
        <f>'TR TUSD'!$M$51*'TR TUSD'!$M$60</f>
        <v>0.47700869413152447</v>
      </c>
      <c r="N51" s="31">
        <f ca="1">'TR TUSD'!$N$51*'TR TUSD'!$N$60</f>
        <v>2.4187677473207554</v>
      </c>
      <c r="O51" s="31">
        <f>'TR TUSD'!$O$51*'TR TUSD'!$O$60</f>
        <v>0</v>
      </c>
      <c r="P51" s="31">
        <f>'TR TUSD'!$P$51*'TR TUSD'!$P$60</f>
        <v>0</v>
      </c>
      <c r="Q51" s="31">
        <f>'TR TUSD'!$Q$51*'TR TUSD'!$Q$60</f>
        <v>53.836984144564681</v>
      </c>
      <c r="R51" s="31">
        <f>'TR TUSD'!$R$51*'TR TUSD'!$R$60</f>
        <v>8.231808448300475</v>
      </c>
      <c r="S51" s="31">
        <f>'TR TUSD'!$S$51*'TR TUSD'!$S$60</f>
        <v>0</v>
      </c>
      <c r="T51" s="31">
        <f ca="1">SUM($L$51:$S$51)</f>
        <v>64.964569034317435</v>
      </c>
      <c r="U51" s="31">
        <f>'TR TUSD'!$U$51*'TR TUSD'!$U$60</f>
        <v>0</v>
      </c>
      <c r="V51" s="31">
        <f>'TR TUSD'!$V$51*'TR TUSD'!$V$60</f>
        <v>0</v>
      </c>
      <c r="W51" s="31">
        <f>'TR TUSD'!$W$51*'TR TUSD'!$W$60</f>
        <v>0</v>
      </c>
      <c r="X51" s="31">
        <f>'TR TUSD'!$X$51*'TR TUSD'!$X$60</f>
        <v>0</v>
      </c>
      <c r="Y51" s="31">
        <f>'TR TUSD'!$Y$51*'TR TUSD'!$Y$60</f>
        <v>61.641774711640359</v>
      </c>
      <c r="Z51" s="31">
        <f>'TR TUSD'!$Z$51</f>
        <v>0</v>
      </c>
      <c r="AA51" s="31">
        <f>'TR TUSD'!$AA$51</f>
        <v>0</v>
      </c>
      <c r="AB51" s="31">
        <f>SUM($U$51:$AA$51)</f>
        <v>61.641774711640359</v>
      </c>
      <c r="AC51" s="31">
        <f>'TR TUSD'!$AC$51*'TR TUSD'!$AC$60</f>
        <v>99.869174168124943</v>
      </c>
      <c r="AD51" s="31">
        <f>SUM($AC$51:$AC$51)</f>
        <v>99.869174168124943</v>
      </c>
      <c r="AE51" s="31">
        <v>0</v>
      </c>
      <c r="AF51" s="31">
        <v>0</v>
      </c>
      <c r="AG51" s="31">
        <f>SUM($AE$51:$AF$51)</f>
        <v>0</v>
      </c>
      <c r="AH51" s="31">
        <f>'TR TUSD'!$AH$51*'TR TUSD'!$AH$60</f>
        <v>11.003635622970929</v>
      </c>
      <c r="AI51" s="31">
        <f>'TR TUSD'!$AI$51*'TR TUSD'!$AI$60</f>
        <v>0.23807163742916918</v>
      </c>
      <c r="AJ51" s="31">
        <f ca="1">'TR TUSD'!$AJ$51*'TR TUSD'!$AJ$60</f>
        <v>0.19065353934375001</v>
      </c>
      <c r="AK51" s="31">
        <f ca="1">'TR TUSD'!$AK$51*'TR TUSD'!$AK$60</f>
        <v>0.20017391944305798</v>
      </c>
      <c r="AL51" s="31">
        <f ca="1">SUM($AH$51:$AK$51)</f>
        <v>11.632534719186905</v>
      </c>
      <c r="AM51" s="31">
        <f ca="1">SUMIF($L$4:$AL$4,"SUBTOTAL",$L$51:$AL$51)</f>
        <v>238.10805263326964</v>
      </c>
      <c r="AP51" s="31">
        <f>IF((1 - CUSTOS!$M$33)&lt;&gt;0,1/(1 - CUSTOS!$M$33),1)</f>
        <v>1.6666666666666667</v>
      </c>
    </row>
    <row r="53" spans="1:42" ht="11.25" customHeight="1" x14ac:dyDescent="0.25">
      <c r="K53" s="55" t="s">
        <v>570</v>
      </c>
      <c r="L53" s="31">
        <f>SUMPRODUCT($I$5:$I51,$L$5:$L51)</f>
        <v>0</v>
      </c>
      <c r="M53" s="31">
        <f>SUMPRODUCT($I$5:$I51,$M$5:$M51)</f>
        <v>132162.35381336638</v>
      </c>
      <c r="N53" s="31">
        <f ca="1">SUMPRODUCT($I$5:$I51,$N$5:$N51)</f>
        <v>624527.40973006433</v>
      </c>
      <c r="O53" s="31">
        <f>SUMPRODUCT($I$5:$I51,$O$5:$O51)</f>
        <v>0</v>
      </c>
      <c r="P53" s="31">
        <f>SUMPRODUCT($I$5:$I51,$P$5:$P51)</f>
        <v>0</v>
      </c>
      <c r="Q53" s="31">
        <f>SUMPRODUCT($I$5:$I51,$Q$5:$Q51)</f>
        <v>19906891.243956644</v>
      </c>
      <c r="R53" s="31">
        <f>SUMPRODUCT($I$5:$I51,$R$5:$R51)</f>
        <v>3322148.6522549652</v>
      </c>
      <c r="S53" s="31">
        <f>SUMPRODUCT($I$5:$I51,$S$5:$S51)</f>
        <v>0</v>
      </c>
      <c r="T53" s="31">
        <f ca="1">SUMPRODUCT($I$5:$I51,$T$5:$T51)</f>
        <v>23985729.659755033</v>
      </c>
      <c r="U53" s="31">
        <f>SUMPRODUCT($I$5:$I51,$U$5:$U51)</f>
        <v>0</v>
      </c>
      <c r="V53" s="31">
        <f>SUMPRODUCT($I$5:$I51,$V$5:$V51)</f>
        <v>0</v>
      </c>
      <c r="W53" s="31">
        <f>SUMPRODUCT($I$5:$I51,$W$5:$W51)</f>
        <v>0</v>
      </c>
      <c r="X53" s="31">
        <f>SUMPRODUCT($I$5:$I51,$X$5:$X51)</f>
        <v>0</v>
      </c>
      <c r="Y53" s="31">
        <f>SUMPRODUCT($I$5:$I51,$Y$5:$Y51)</f>
        <v>23028775.621639997</v>
      </c>
      <c r="Z53" s="31">
        <f>SUMPRODUCT($I$5:$I51,$Z$5:$Z51)</f>
        <v>0</v>
      </c>
      <c r="AA53" s="31">
        <f>SUMPRODUCT($I$5:$I51,$AA$5:$AA51)</f>
        <v>0</v>
      </c>
      <c r="AB53" s="31">
        <f>SUMPRODUCT($I$5:$I51,$AB$5:$AB51)</f>
        <v>23028775.621639997</v>
      </c>
      <c r="AC53" s="31">
        <f>SUMPRODUCT($I$5:$I51,$AC$5:$AC51)</f>
        <v>27669405.247148592</v>
      </c>
      <c r="AD53" s="31">
        <f>SUMPRODUCT($I$5:$I51,$AD$5:$AD51)</f>
        <v>27669405.247148592</v>
      </c>
      <c r="AE53" s="31">
        <f>SUMPRODUCT($I$5:$I51,$AE$5:$AE51)</f>
        <v>0</v>
      </c>
      <c r="AF53" s="31">
        <f>SUMPRODUCT($I$5:$I51,$AF$5:$AF51)</f>
        <v>0</v>
      </c>
      <c r="AG53" s="31">
        <f>SUMPRODUCT($I$5:$I51,$AG$5:$AG51)</f>
        <v>0</v>
      </c>
      <c r="AH53" s="31">
        <f>SUMPRODUCT($I$5:$I51,$AH$5:$AH51)</f>
        <v>3262716.0429595932</v>
      </c>
      <c r="AI53" s="31">
        <f>SUMPRODUCT($I$5:$I51,$AI$5:$AI51)</f>
        <v>70591.227974894398</v>
      </c>
      <c r="AJ53" s="31">
        <f ca="1">SUMPRODUCT($I$5:$I51,$AJ$5:$AJ51)</f>
        <v>64147.798085818395</v>
      </c>
      <c r="AK53" s="31">
        <f ca="1">SUMPRODUCT($I$5:$I51,$AK$5:$AK51)</f>
        <v>67351.050553161942</v>
      </c>
      <c r="AL53" s="31">
        <f ca="1">SUMPRODUCT($I$5:$I51,$AL$5:$AL51)</f>
        <v>3464806.1195734683</v>
      </c>
      <c r="AM53" s="31">
        <f ca="1">SUMPRODUCT($I$5:$I51,$AM$5:$AM51)</f>
        <v>78148716.64811708</v>
      </c>
    </row>
    <row r="54" spans="1:42" ht="11.25" customHeight="1" x14ac:dyDescent="0.25">
      <c r="K54" s="55" t="s">
        <v>502</v>
      </c>
      <c r="L54" s="31">
        <f>'TR TUSD'!$L$56</f>
        <v>0</v>
      </c>
      <c r="M54" s="31">
        <f>'TR TUSD'!$M$56</f>
        <v>132162.35381336641</v>
      </c>
      <c r="N54" s="31">
        <f>'TR TUSD'!$N$56</f>
        <v>624527.40973006445</v>
      </c>
      <c r="O54" s="31">
        <f>'TR TUSD'!$O$56</f>
        <v>0</v>
      </c>
      <c r="P54" s="31">
        <f>'TR TUSD'!$P$56</f>
        <v>0</v>
      </c>
      <c r="Q54" s="31">
        <f>'TR TUSD'!$Q$56</f>
        <v>19906891.243956644</v>
      </c>
      <c r="R54" s="31">
        <f>'TR TUSD'!$R$56</f>
        <v>3322148.6522549647</v>
      </c>
      <c r="S54" s="31">
        <f>'TR TUSD'!$S$56</f>
        <v>0</v>
      </c>
      <c r="T54" s="31">
        <f>'TR TUSD'!$T$56</f>
        <v>23985729.65975504</v>
      </c>
      <c r="U54" s="31">
        <f>'TR TUSD'!$U$56</f>
        <v>0</v>
      </c>
      <c r="V54" s="31">
        <f>'TR TUSD'!$V$56</f>
        <v>0</v>
      </c>
      <c r="W54" s="31">
        <f>'TR TUSD'!$W$56</f>
        <v>0</v>
      </c>
      <c r="X54" s="31">
        <f>'TR TUSD'!$X$56</f>
        <v>0</v>
      </c>
      <c r="Y54" s="31">
        <f>'TR TUSD'!$Y$56</f>
        <v>23028775.62164</v>
      </c>
      <c r="Z54" s="31">
        <f>'TR TUSD'!$Z$56</f>
        <v>0</v>
      </c>
      <c r="AA54" s="31">
        <f>'TR TUSD'!$AA$56</f>
        <v>0</v>
      </c>
      <c r="AB54" s="31">
        <f>'TR TUSD'!$AB$56</f>
        <v>23028775.62164</v>
      </c>
      <c r="AC54" s="31">
        <f>'TR TUSD'!$AC$56</f>
        <v>27669405.247148588</v>
      </c>
      <c r="AD54" s="31">
        <f>'TR TUSD'!$AD$56</f>
        <v>27669405.247148588</v>
      </c>
      <c r="AE54" s="31">
        <f>'TR TUSD'!$AE$56</f>
        <v>0</v>
      </c>
      <c r="AF54" s="31">
        <f>'TR TUSD'!$AF$56</f>
        <v>0</v>
      </c>
      <c r="AG54" s="31">
        <f>'TR TUSD'!$AG$56</f>
        <v>0</v>
      </c>
      <c r="AH54" s="31">
        <f>'TR TUSD'!$AH$56</f>
        <v>3262716.0429595937</v>
      </c>
      <c r="AI54" s="31">
        <f>'TR TUSD'!$AI$56</f>
        <v>70591.227974894384</v>
      </c>
      <c r="AJ54" s="31">
        <f>'TR TUSD'!$AJ$56</f>
        <v>64147.798085818387</v>
      </c>
      <c r="AK54" s="31">
        <f>'TR TUSD'!$AK$56</f>
        <v>67351.050553161942</v>
      </c>
      <c r="AL54" s="31">
        <f>'TR TUSD'!$AL$56</f>
        <v>3464806.1195734688</v>
      </c>
      <c r="AM54" s="31">
        <f>CUSTOS!$D$29</f>
        <v>78148716.648117095</v>
      </c>
    </row>
    <row r="55" spans="1:42" ht="11.25" customHeight="1" x14ac:dyDescent="0.25">
      <c r="K55" s="55" t="s">
        <v>503</v>
      </c>
      <c r="L55" s="31">
        <f>CUSTOS!$E$2</f>
        <v>0</v>
      </c>
      <c r="M55" s="31">
        <f>CUSTOS!$E$3</f>
        <v>-5095.3742162426397</v>
      </c>
      <c r="N55" s="31">
        <f>CUSTOS!$E$4</f>
        <v>-2.1461305651778182</v>
      </c>
      <c r="O55" s="31">
        <f>CUSTOS!$E$5</f>
        <v>0</v>
      </c>
      <c r="P55" s="31">
        <f>CUSTOS!$E$6</f>
        <v>0</v>
      </c>
      <c r="Q55" s="31">
        <f>CUSTOS!$E$7</f>
        <v>-606637.6309529962</v>
      </c>
      <c r="R55" s="31">
        <f>CUSTOS!$E$8</f>
        <v>-114045.2171573909</v>
      </c>
      <c r="S55" s="31">
        <f>CUSTOS!$E$9</f>
        <v>0</v>
      </c>
      <c r="T55" s="31">
        <f>CUSTOS!$E$10</f>
        <v>-725780.36845719488</v>
      </c>
      <c r="U55" s="31">
        <f>CUSTOS!$E$11</f>
        <v>0</v>
      </c>
      <c r="V55" s="31">
        <f>CUSTOS!$E$12</f>
        <v>0</v>
      </c>
      <c r="W55" s="31">
        <f>CUSTOS!$E$13</f>
        <v>0</v>
      </c>
      <c r="X55" s="31">
        <f>CUSTOS!$E$14</f>
        <v>0</v>
      </c>
      <c r="Y55" s="31">
        <f>CUSTOS!$E$15</f>
        <v>89260.421168354311</v>
      </c>
      <c r="Z55" s="31">
        <f>CUSTOS!$E$16</f>
        <v>0</v>
      </c>
      <c r="AA55" s="31">
        <f>CUSTOS!$E$17</f>
        <v>0</v>
      </c>
      <c r="AB55" s="31">
        <f>CUSTOS!$E$18</f>
        <v>89260.421168354311</v>
      </c>
      <c r="AC55" s="31">
        <f>CUSTOS!$E$19</f>
        <v>-348853.91761998099</v>
      </c>
      <c r="AD55" s="31">
        <f>CUSTOS!$E$20</f>
        <v>-348853.91761998099</v>
      </c>
      <c r="AE55" s="31">
        <f>CUSTOS!$E$21</f>
        <v>0</v>
      </c>
      <c r="AF55" s="31">
        <f>CUSTOS!$E$22</f>
        <v>0</v>
      </c>
      <c r="AG55" s="31">
        <f>CUSTOS!$E$23</f>
        <v>0</v>
      </c>
      <c r="AH55" s="31">
        <f>CUSTOS!$E$24</f>
        <v>233527.97964365163</v>
      </c>
      <c r="AI55" s="31">
        <f>CUSTOS!$E$25</f>
        <v>5052.5472129618793</v>
      </c>
      <c r="AJ55" s="31">
        <f>CUSTOS!$E$26</f>
        <v>4591.3605377627373</v>
      </c>
      <c r="AK55" s="31">
        <f>CUSTOS!$E$27</f>
        <v>7594.7065493083364</v>
      </c>
      <c r="AL55" s="31">
        <f>CUSTOS!$E$28</f>
        <v>250766.59394368459</v>
      </c>
      <c r="AM55" s="31">
        <f>CUSTOS!$E$29</f>
        <v>-734607.27096513694</v>
      </c>
    </row>
    <row r="56" spans="1:42" ht="11.25" customHeight="1" x14ac:dyDescent="0.25">
      <c r="K56" s="55" t="s">
        <v>504</v>
      </c>
      <c r="L56" s="31">
        <f>CUSTOS!$F$2</f>
        <v>0</v>
      </c>
      <c r="M56" s="31">
        <f>CUSTOS!$F$3</f>
        <v>0</v>
      </c>
      <c r="N56" s="31">
        <f>CUSTOS!$F$4</f>
        <v>0</v>
      </c>
      <c r="O56" s="31">
        <f>CUSTOS!$F$5</f>
        <v>0</v>
      </c>
      <c r="P56" s="31">
        <f>CUSTOS!$F$6</f>
        <v>0</v>
      </c>
      <c r="Q56" s="31">
        <f>CUSTOS!$F$7</f>
        <v>4533213.0837000003</v>
      </c>
      <c r="R56" s="31">
        <f>CUSTOS!$F$8</f>
        <v>940817.59369999997</v>
      </c>
      <c r="S56" s="31">
        <f>CUSTOS!$F$9</f>
        <v>0</v>
      </c>
      <c r="T56" s="31">
        <f>CUSTOS!$F$10</f>
        <v>5474030.6774000004</v>
      </c>
      <c r="U56" s="31">
        <f>CUSTOS!$F$11</f>
        <v>0</v>
      </c>
      <c r="V56" s="31">
        <f>CUSTOS!$F$12</f>
        <v>0</v>
      </c>
      <c r="W56" s="31">
        <f>CUSTOS!$F$13</f>
        <v>0</v>
      </c>
      <c r="X56" s="31">
        <f>CUSTOS!$F$14</f>
        <v>0</v>
      </c>
      <c r="Y56" s="31">
        <f>CUSTOS!$F$15</f>
        <v>0</v>
      </c>
      <c r="Z56" s="31">
        <f>CUSTOS!$F$16</f>
        <v>0</v>
      </c>
      <c r="AA56" s="31">
        <f>CUSTOS!$F$17</f>
        <v>0</v>
      </c>
      <c r="AB56" s="31">
        <f>CUSTOS!$F$18</f>
        <v>0</v>
      </c>
      <c r="AC56" s="31">
        <f>CUSTOS!$F$19</f>
        <v>0</v>
      </c>
      <c r="AD56" s="31">
        <f>CUSTOS!$F$20</f>
        <v>0</v>
      </c>
      <c r="AE56" s="31">
        <f>CUSTOS!$F$21</f>
        <v>0</v>
      </c>
      <c r="AF56" s="31">
        <f>CUSTOS!$F$22</f>
        <v>0</v>
      </c>
      <c r="AG56" s="31">
        <f>CUSTOS!$F$23</f>
        <v>0</v>
      </c>
      <c r="AH56" s="31">
        <f>CUSTOS!$F$24</f>
        <v>-7160.0881097381116</v>
      </c>
      <c r="AI56" s="31">
        <f>CUSTOS!$F$25</f>
        <v>-154.91369932897135</v>
      </c>
      <c r="AJ56" s="31">
        <f>CUSTOS!$F$26</f>
        <v>-140.77347838199159</v>
      </c>
      <c r="AK56" s="31">
        <f>CUSTOS!$F$27</f>
        <v>0</v>
      </c>
      <c r="AL56" s="31">
        <f>CUSTOS!$F$28</f>
        <v>-7455.7752874490743</v>
      </c>
      <c r="AM56" s="31">
        <f>CUSTOS!$F$29</f>
        <v>5466574.902112551</v>
      </c>
    </row>
    <row r="57" spans="1:42" ht="11.25" customHeight="1" x14ac:dyDescent="0.25">
      <c r="K57" s="55" t="s">
        <v>567</v>
      </c>
      <c r="L57" s="31">
        <v>0</v>
      </c>
      <c r="M57" s="31">
        <v>0</v>
      </c>
      <c r="N57" s="31">
        <v>0</v>
      </c>
      <c r="O57" s="31">
        <v>0</v>
      </c>
      <c r="P57" s="31">
        <v>0</v>
      </c>
      <c r="Q57" s="31">
        <v>0</v>
      </c>
      <c r="R57" s="31">
        <v>0</v>
      </c>
      <c r="S57" s="31">
        <v>0</v>
      </c>
      <c r="T57" s="31">
        <f>SUM($L$57:$S$57)</f>
        <v>0</v>
      </c>
      <c r="U57" s="31">
        <v>0</v>
      </c>
      <c r="V57" s="31">
        <v>0</v>
      </c>
      <c r="W57" s="31">
        <v>0</v>
      </c>
      <c r="X57" s="31">
        <v>0</v>
      </c>
      <c r="Y57" s="31">
        <v>0</v>
      </c>
      <c r="Z57" s="31">
        <v>0</v>
      </c>
      <c r="AA57" s="31">
        <v>0</v>
      </c>
      <c r="AB57" s="31">
        <f>SUM($U$57:$AA$57)</f>
        <v>0</v>
      </c>
      <c r="AC57" s="31">
        <v>0</v>
      </c>
      <c r="AD57" s="31">
        <f>SUM($AC$57:$AC$57)</f>
        <v>0</v>
      </c>
      <c r="AE57" s="31">
        <v>0</v>
      </c>
      <c r="AF57" s="31">
        <v>0</v>
      </c>
      <c r="AG57" s="31">
        <f>SUM($AE$57:$AF$57)</f>
        <v>0</v>
      </c>
      <c r="AH57" s="31">
        <v>0</v>
      </c>
      <c r="AI57" s="31">
        <v>0</v>
      </c>
      <c r="AJ57" s="31">
        <v>0</v>
      </c>
      <c r="AK57" s="31">
        <v>0</v>
      </c>
      <c r="AL57" s="31">
        <f>SUM($AH$57:$AK$57)</f>
        <v>0</v>
      </c>
      <c r="AM57" s="31">
        <f>SUMIF($L$4:$AL$4,"SUBTOTAL",$L$57:$AL$57)</f>
        <v>0</v>
      </c>
    </row>
    <row r="58" spans="1:42" ht="11.25" customHeight="1" x14ac:dyDescent="0.25">
      <c r="K58" s="55" t="s">
        <v>571</v>
      </c>
      <c r="L58" s="31">
        <f t="shared" ref="L58:R58" si="0">IF((L53-(0))&lt;&gt;0,(L55)/(L53-(0)),0)</f>
        <v>0</v>
      </c>
      <c r="M58" s="31">
        <f t="shared" si="0"/>
        <v>-3.8553900329575647E-2</v>
      </c>
      <c r="N58" s="31">
        <f t="shared" ca="1" si="0"/>
        <v>-3.4364073245486971E-6</v>
      </c>
      <c r="O58" s="31">
        <f t="shared" si="0"/>
        <v>0</v>
      </c>
      <c r="P58" s="31">
        <f t="shared" si="0"/>
        <v>0</v>
      </c>
      <c r="Q58" s="31">
        <f t="shared" si="0"/>
        <v>-3.0473750196287425E-2</v>
      </c>
      <c r="R58" s="31">
        <f t="shared" si="0"/>
        <v>-3.4328751990065451E-2</v>
      </c>
      <c r="S58" s="31">
        <f>IF((R53-(0)&lt;&gt;0),(S55)/(R53-(0)),0)</f>
        <v>0</v>
      </c>
      <c r="T58" s="31"/>
      <c r="U58" s="31">
        <f t="shared" ref="U58:AA58" si="1">IF((U53-(0))&lt;&gt;0,(U55)/(U53-(0)),0)</f>
        <v>0</v>
      </c>
      <c r="V58" s="31">
        <f t="shared" si="1"/>
        <v>0</v>
      </c>
      <c r="W58" s="31">
        <f t="shared" si="1"/>
        <v>0</v>
      </c>
      <c r="X58" s="31">
        <f t="shared" si="1"/>
        <v>0</v>
      </c>
      <c r="Y58" s="31">
        <f t="shared" si="1"/>
        <v>3.8760385109001126E-3</v>
      </c>
      <c r="Z58" s="31">
        <f t="shared" si="1"/>
        <v>0</v>
      </c>
      <c r="AA58" s="31">
        <f t="shared" si="1"/>
        <v>0</v>
      </c>
      <c r="AB58" s="31"/>
      <c r="AC58" s="31">
        <f>IF((AC53-(0))&lt;&gt;0,(AC55)/(AC53-(0)),0)</f>
        <v>-1.2607929751432996E-2</v>
      </c>
      <c r="AD58" s="31"/>
      <c r="AE58" s="31">
        <f ca="1">IF(($AM53-(0))&lt;&gt;0,(AE55)/($AM53-(0)),0)</f>
        <v>0</v>
      </c>
      <c r="AF58" s="31">
        <f ca="1">IF(($AM53-(0))&lt;&gt;0,(AF55)/($AM53-(0)),0)</f>
        <v>0</v>
      </c>
      <c r="AG58" s="31"/>
      <c r="AH58" s="31">
        <f>IF((AH53-(0))&lt;&gt;0,(AH55)/(AH53-(0)),0)</f>
        <v>7.1574717679635885E-2</v>
      </c>
      <c r="AI58" s="31">
        <f>IF((AI53-(0))&lt;&gt;0,(AI55)/(AI53-(0)),0)</f>
        <v>7.1574717679635858E-2</v>
      </c>
      <c r="AJ58" s="31">
        <f ca="1">IF((AJ53-(0))&lt;&gt;0,(AJ55)/(AJ53-(0)),0)</f>
        <v>7.1574717679635858E-2</v>
      </c>
      <c r="AK58" s="31">
        <f ca="1">IF((AK53-(0))&lt;&gt;0,(AK55)/(AK53-(0)),0)</f>
        <v>0.11276300053127808</v>
      </c>
      <c r="AL58" s="31"/>
      <c r="AM58" s="31"/>
    </row>
  </sheetData>
  <mergeCells count="73">
    <mergeCell ref="E45:E47"/>
    <mergeCell ref="F45:F47"/>
    <mergeCell ref="A50:A51"/>
    <mergeCell ref="B50:B51"/>
    <mergeCell ref="C50:C51"/>
    <mergeCell ref="D45:D47"/>
    <mergeCell ref="B42:B44"/>
    <mergeCell ref="C42:C44"/>
    <mergeCell ref="A45:A49"/>
    <mergeCell ref="B45:B47"/>
    <mergeCell ref="C45:C47"/>
    <mergeCell ref="A30:A44"/>
    <mergeCell ref="B30:B32"/>
    <mergeCell ref="C30:C32"/>
    <mergeCell ref="B38:B40"/>
    <mergeCell ref="C38:C40"/>
    <mergeCell ref="B34:B36"/>
    <mergeCell ref="C34:C36"/>
    <mergeCell ref="D38:D40"/>
    <mergeCell ref="E38:E40"/>
    <mergeCell ref="F38:F40"/>
    <mergeCell ref="D30:D32"/>
    <mergeCell ref="E30:E32"/>
    <mergeCell ref="F30:F32"/>
    <mergeCell ref="D34:D36"/>
    <mergeCell ref="E34:E36"/>
    <mergeCell ref="F34:F36"/>
    <mergeCell ref="E17:E19"/>
    <mergeCell ref="F17:F19"/>
    <mergeCell ref="B20:B24"/>
    <mergeCell ref="C20:C24"/>
    <mergeCell ref="B25:B29"/>
    <mergeCell ref="C25:C29"/>
    <mergeCell ref="A15:A16"/>
    <mergeCell ref="B15:B16"/>
    <mergeCell ref="C15:C16"/>
    <mergeCell ref="D15:D16"/>
    <mergeCell ref="A17:A29"/>
    <mergeCell ref="B17:B19"/>
    <mergeCell ref="C17:C19"/>
    <mergeCell ref="D17:D19"/>
    <mergeCell ref="A1:A4"/>
    <mergeCell ref="C10:C14"/>
    <mergeCell ref="D10:D14"/>
    <mergeCell ref="E10:E12"/>
    <mergeCell ref="F10:F12"/>
    <mergeCell ref="E13:E14"/>
    <mergeCell ref="F13:F14"/>
    <mergeCell ref="F5:F7"/>
    <mergeCell ref="B10:B14"/>
    <mergeCell ref="A5:A14"/>
    <mergeCell ref="B5:B8"/>
    <mergeCell ref="C5:C8"/>
    <mergeCell ref="D5:D8"/>
    <mergeCell ref="E5:E7"/>
    <mergeCell ref="B1:B4"/>
    <mergeCell ref="C1:C4"/>
    <mergeCell ref="AP1:AP4"/>
    <mergeCell ref="L2:AM2"/>
    <mergeCell ref="L3:T3"/>
    <mergeCell ref="U3:AB3"/>
    <mergeCell ref="AC3:AD3"/>
    <mergeCell ref="AE3:AG3"/>
    <mergeCell ref="AH3:AL3"/>
    <mergeCell ref="AM3:AM4"/>
    <mergeCell ref="D1:D4"/>
    <mergeCell ref="E1:E4"/>
    <mergeCell ref="F1:F4"/>
    <mergeCell ref="J1:J4"/>
    <mergeCell ref="L1:AM1"/>
    <mergeCell ref="G1:G4"/>
    <mergeCell ref="H1:H4"/>
    <mergeCell ref="I1:I4"/>
  </mergeCells>
  <conditionalFormatting sqref="L53">
    <cfRule type="cellIs" dxfId="1079" priority="55" operator="notEqual">
      <formula>$L$54-$L$57</formula>
    </cfRule>
    <cfRule type="cellIs" dxfId="1078" priority="56" operator="equal">
      <formula>$L$54-$L$57</formula>
    </cfRule>
  </conditionalFormatting>
  <conditionalFormatting sqref="M53">
    <cfRule type="cellIs" dxfId="1077" priority="53" operator="notEqual">
      <formula>$M$54-$M$57</formula>
    </cfRule>
    <cfRule type="cellIs" dxfId="1076" priority="54" operator="equal">
      <formula>$M$54-$M$57</formula>
    </cfRule>
  </conditionalFormatting>
  <conditionalFormatting sqref="N53">
    <cfRule type="cellIs" dxfId="1075" priority="51" operator="notEqual">
      <formula>$N$54-$N$57</formula>
    </cfRule>
    <cfRule type="cellIs" dxfId="1074" priority="52" operator="equal">
      <formula>$N$54-$N$57</formula>
    </cfRule>
  </conditionalFormatting>
  <conditionalFormatting sqref="O53">
    <cfRule type="cellIs" dxfId="1073" priority="49" operator="notEqual">
      <formula>$O$54-$O$57</formula>
    </cfRule>
    <cfRule type="cellIs" dxfId="1072" priority="50" operator="equal">
      <formula>$O$54-$O$57</formula>
    </cfRule>
  </conditionalFormatting>
  <conditionalFormatting sqref="P53">
    <cfRule type="cellIs" dxfId="1071" priority="47" operator="notEqual">
      <formula>$P$54-$P$57</formula>
    </cfRule>
    <cfRule type="cellIs" dxfId="1070" priority="48" operator="equal">
      <formula>$P$54-$P$57</formula>
    </cfRule>
  </conditionalFormatting>
  <conditionalFormatting sqref="Q53">
    <cfRule type="cellIs" dxfId="1069" priority="45" operator="notEqual">
      <formula>$Q$54-$Q$57</formula>
    </cfRule>
    <cfRule type="cellIs" dxfId="1068" priority="46" operator="equal">
      <formula>$Q$54-$Q$57</formula>
    </cfRule>
  </conditionalFormatting>
  <conditionalFormatting sqref="R53">
    <cfRule type="cellIs" dxfId="1067" priority="43" operator="notEqual">
      <formula>$R$54-$R$57</formula>
    </cfRule>
    <cfRule type="cellIs" dxfId="1066" priority="44" operator="equal">
      <formula>$R$54-$R$57</formula>
    </cfRule>
  </conditionalFormatting>
  <conditionalFormatting sqref="S53">
    <cfRule type="cellIs" dxfId="1065" priority="41" operator="notEqual">
      <formula>$S$54-$S$57</formula>
    </cfRule>
    <cfRule type="cellIs" dxfId="1064" priority="42" operator="equal">
      <formula>$S$54-$S$57</formula>
    </cfRule>
  </conditionalFormatting>
  <conditionalFormatting sqref="T53">
    <cfRule type="cellIs" dxfId="1063" priority="39" operator="notEqual">
      <formula>$T$54-$T$57</formula>
    </cfRule>
    <cfRule type="cellIs" dxfId="1062" priority="40" operator="equal">
      <formula>$T$54-$T$57</formula>
    </cfRule>
  </conditionalFormatting>
  <conditionalFormatting sqref="U53">
    <cfRule type="cellIs" dxfId="1061" priority="37" operator="notEqual">
      <formula>$U$54-$U$57</formula>
    </cfRule>
    <cfRule type="cellIs" dxfId="1060" priority="38" operator="equal">
      <formula>$U$54-$U$57</formula>
    </cfRule>
  </conditionalFormatting>
  <conditionalFormatting sqref="V53">
    <cfRule type="cellIs" dxfId="1059" priority="35" operator="notEqual">
      <formula>$V$54-$V$57</formula>
    </cfRule>
    <cfRule type="cellIs" dxfId="1058" priority="36" operator="equal">
      <formula>$V$54-$V$57</formula>
    </cfRule>
  </conditionalFormatting>
  <conditionalFormatting sqref="W53">
    <cfRule type="cellIs" dxfId="1057" priority="33" operator="notEqual">
      <formula>$W$54-$W$57</formula>
    </cfRule>
    <cfRule type="cellIs" dxfId="1056" priority="34" operator="equal">
      <formula>$W$54-$W$57</formula>
    </cfRule>
  </conditionalFormatting>
  <conditionalFormatting sqref="X53">
    <cfRule type="cellIs" dxfId="1055" priority="31" operator="notEqual">
      <formula>$X$54-$X$57</formula>
    </cfRule>
    <cfRule type="cellIs" dxfId="1054" priority="32" operator="equal">
      <formula>$X$54-$X$57</formula>
    </cfRule>
  </conditionalFormatting>
  <conditionalFormatting sqref="Y53">
    <cfRule type="cellIs" dxfId="1053" priority="29" operator="notEqual">
      <formula>$Y$54-$Y$57</formula>
    </cfRule>
    <cfRule type="cellIs" dxfId="1052" priority="30" operator="equal">
      <formula>$Y$54-$Y$57</formula>
    </cfRule>
  </conditionalFormatting>
  <conditionalFormatting sqref="Z53">
    <cfRule type="cellIs" dxfId="1051" priority="27" operator="notEqual">
      <formula>$Z$54-$Z$57</formula>
    </cfRule>
    <cfRule type="cellIs" dxfId="1050" priority="28" operator="equal">
      <formula>$Z$54-$Z$57</formula>
    </cfRule>
  </conditionalFormatting>
  <conditionalFormatting sqref="AA53">
    <cfRule type="cellIs" dxfId="1049" priority="25" operator="notEqual">
      <formula>$AA$54-$AA$57</formula>
    </cfRule>
    <cfRule type="cellIs" dxfId="1048" priority="26" operator="equal">
      <formula>$AA$54-$AA$57</formula>
    </cfRule>
  </conditionalFormatting>
  <conditionalFormatting sqref="AB53">
    <cfRule type="cellIs" dxfId="1047" priority="23" operator="notEqual">
      <formula>$AB$54-$AB$57</formula>
    </cfRule>
    <cfRule type="cellIs" dxfId="1046" priority="24" operator="equal">
      <formula>$AB$54-$AB$57</formula>
    </cfRule>
  </conditionalFormatting>
  <conditionalFormatting sqref="AC53">
    <cfRule type="cellIs" dxfId="1045" priority="21" operator="notEqual">
      <formula>$AC$54-$AC$57</formula>
    </cfRule>
    <cfRule type="cellIs" dxfId="1044" priority="22" operator="equal">
      <formula>$AC$54-$AC$57</formula>
    </cfRule>
  </conditionalFormatting>
  <conditionalFormatting sqref="AD53">
    <cfRule type="cellIs" dxfId="1043" priority="19" operator="notEqual">
      <formula>$AD$54-$AD$57</formula>
    </cfRule>
    <cfRule type="cellIs" dxfId="1042" priority="20" operator="equal">
      <formula>$AD$54-$AD$57</formula>
    </cfRule>
  </conditionalFormatting>
  <conditionalFormatting sqref="AE53">
    <cfRule type="cellIs" dxfId="1041" priority="17" operator="notEqual">
      <formula>$AE$54-$AE$57</formula>
    </cfRule>
    <cfRule type="cellIs" dxfId="1040" priority="18" operator="equal">
      <formula>$AE$54-$AE$57</formula>
    </cfRule>
  </conditionalFormatting>
  <conditionalFormatting sqref="AF53">
    <cfRule type="cellIs" dxfId="1039" priority="16" operator="equal">
      <formula>$AF$54-$AF$57</formula>
    </cfRule>
  </conditionalFormatting>
  <conditionalFormatting sqref="AF53">
    <cfRule type="cellIs" dxfId="1038" priority="15" operator="notEqual">
      <formula>$AF$54-$AF$57</formula>
    </cfRule>
  </conditionalFormatting>
  <conditionalFormatting sqref="AG53">
    <cfRule type="cellIs" dxfId="1037" priority="14" operator="equal">
      <formula>$AG$54-$AG$57</formula>
    </cfRule>
  </conditionalFormatting>
  <conditionalFormatting sqref="AG53">
    <cfRule type="cellIs" dxfId="1036" priority="13" operator="notEqual">
      <formula>$AG$54-$AG$57</formula>
    </cfRule>
  </conditionalFormatting>
  <conditionalFormatting sqref="AH53">
    <cfRule type="cellIs" dxfId="1035" priority="12" operator="equal">
      <formula>$AH$54-$AH$57</formula>
    </cfRule>
  </conditionalFormatting>
  <conditionalFormatting sqref="AH53">
    <cfRule type="cellIs" dxfId="1034" priority="11" operator="notEqual">
      <formula>$AH$54-$AH$57</formula>
    </cfRule>
  </conditionalFormatting>
  <conditionalFormatting sqref="AI53">
    <cfRule type="cellIs" dxfId="1033" priority="10" operator="equal">
      <formula>$AI$54-$AI$57</formula>
    </cfRule>
  </conditionalFormatting>
  <conditionalFormatting sqref="AI53">
    <cfRule type="cellIs" dxfId="1032" priority="9" operator="notEqual">
      <formula>$AI$54-$AI$57</formula>
    </cfRule>
  </conditionalFormatting>
  <conditionalFormatting sqref="AJ53">
    <cfRule type="cellIs" dxfId="1031" priority="8" operator="equal">
      <formula>$AJ$54-$AJ$57</formula>
    </cfRule>
  </conditionalFormatting>
  <conditionalFormatting sqref="AJ53">
    <cfRule type="cellIs" dxfId="1030" priority="7" operator="notEqual">
      <formula>$AJ$54-$AJ$57</formula>
    </cfRule>
  </conditionalFormatting>
  <conditionalFormatting sqref="AK53">
    <cfRule type="cellIs" dxfId="1029" priority="6" operator="equal">
      <formula>$AK$54-$AK$57</formula>
    </cfRule>
  </conditionalFormatting>
  <conditionalFormatting sqref="AK53">
    <cfRule type="cellIs" dxfId="1028" priority="5" operator="notEqual">
      <formula>$AK$54-$AK$57</formula>
    </cfRule>
  </conditionalFormatting>
  <conditionalFormatting sqref="AL53">
    <cfRule type="cellIs" dxfId="1027" priority="4" operator="equal">
      <formula>$AL$54-$AL$57</formula>
    </cfRule>
  </conditionalFormatting>
  <conditionalFormatting sqref="AL53">
    <cfRule type="cellIs" dxfId="1026" priority="3" operator="notEqual">
      <formula>$AL$54-$AL$57</formula>
    </cfRule>
  </conditionalFormatting>
  <conditionalFormatting sqref="AM53">
    <cfRule type="cellIs" dxfId="1025" priority="2" operator="equal">
      <formula>$AM$54-$AM$57</formula>
    </cfRule>
  </conditionalFormatting>
  <conditionalFormatting sqref="AM53">
    <cfRule type="cellIs" dxfId="1024" priority="1" operator="notEqual">
      <formula>$AM$54-$AM$57</formula>
    </cfRule>
  </conditionalFormatting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6DE75-0912-4CC1-A98C-1CB7ED2B9491}">
  <sheetPr codeName="Planilha12"/>
  <dimension ref="A1:AP58"/>
  <sheetViews>
    <sheetView showGridLines="0" topLeftCell="Y35" workbookViewId="0">
      <selection activeCell="AO53" sqref="AO53:AP55"/>
    </sheetView>
  </sheetViews>
  <sheetFormatPr defaultColWidth="9.140625"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4" width="8.7109375" style="9" bestFit="1" customWidth="1"/>
    <col min="15" max="15" width="4.140625" style="9" bestFit="1" customWidth="1"/>
    <col min="16" max="16" width="4.42578125" style="9" bestFit="1" customWidth="1"/>
    <col min="17" max="17" width="10.85546875" style="9" bestFit="1" customWidth="1"/>
    <col min="18" max="18" width="10" style="9" bestFit="1" customWidth="1"/>
    <col min="19" max="19" width="8.7109375" style="9" bestFit="1" customWidth="1"/>
    <col min="20" max="20" width="10.85546875" style="9" bestFit="1" customWidth="1"/>
    <col min="21" max="21" width="7.42578125" style="9" bestFit="1" customWidth="1"/>
    <col min="22" max="22" width="7.28515625" style="9" bestFit="1" customWidth="1"/>
    <col min="23" max="24" width="9.85546875" style="9" bestFit="1" customWidth="1"/>
    <col min="25" max="25" width="10.85546875" style="9" bestFit="1" customWidth="1"/>
    <col min="26" max="26" width="7.7109375" style="9" bestFit="1" customWidth="1"/>
    <col min="27" max="27" width="9.85546875" style="9" bestFit="1" customWidth="1"/>
    <col min="28" max="28" width="10.85546875" style="9" bestFit="1" customWidth="1"/>
    <col min="29" max="29" width="11.7109375" style="9" bestFit="1" customWidth="1"/>
    <col min="30" max="30" width="10.85546875" style="9" bestFit="1" customWidth="1"/>
    <col min="31" max="31" width="8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7.85546875" style="9" bestFit="1" customWidth="1"/>
    <col min="38" max="38" width="10" style="9" bestFit="1" customWidth="1"/>
    <col min="39" max="39" width="10.85546875" style="9" bestFit="1" customWidth="1"/>
    <col min="40" max="40" width="9.140625" style="9"/>
    <col min="41" max="42" width="10.85546875" style="9" bestFit="1" customWidth="1"/>
    <col min="43" max="16384" width="9.140625" style="9"/>
  </cols>
  <sheetData>
    <row r="1" spans="1:42" ht="11.25" customHeight="1" x14ac:dyDescent="0.25">
      <c r="A1" s="145" t="s">
        <v>64</v>
      </c>
      <c r="B1" s="145" t="s">
        <v>65</v>
      </c>
      <c r="C1" s="145" t="s">
        <v>66</v>
      </c>
      <c r="D1" s="145" t="s">
        <v>67</v>
      </c>
      <c r="E1" s="145" t="s">
        <v>68</v>
      </c>
      <c r="F1" s="145" t="s">
        <v>15</v>
      </c>
      <c r="G1" s="145" t="s">
        <v>70</v>
      </c>
      <c r="H1" s="145" t="s">
        <v>71</v>
      </c>
      <c r="I1" s="145" t="s">
        <v>561</v>
      </c>
      <c r="J1" s="141"/>
      <c r="L1" s="146" t="s">
        <v>572</v>
      </c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  <c r="AA1" s="146"/>
      <c r="AB1" s="146"/>
      <c r="AC1" s="146"/>
      <c r="AD1" s="146"/>
      <c r="AE1" s="146"/>
      <c r="AF1" s="146"/>
      <c r="AG1" s="146"/>
      <c r="AH1" s="146"/>
      <c r="AI1" s="146"/>
      <c r="AJ1" s="146"/>
      <c r="AK1" s="146"/>
      <c r="AL1" s="146"/>
      <c r="AM1" s="146"/>
      <c r="AO1" s="59"/>
      <c r="AP1" s="150" t="s">
        <v>563</v>
      </c>
    </row>
    <row r="2" spans="1:42" ht="11.25" customHeight="1" x14ac:dyDescent="0.25">
      <c r="A2" s="145"/>
      <c r="B2" s="145"/>
      <c r="C2" s="145"/>
      <c r="D2" s="145"/>
      <c r="E2" s="145"/>
      <c r="F2" s="145"/>
      <c r="G2" s="145"/>
      <c r="H2" s="145"/>
      <c r="I2" s="145"/>
      <c r="J2" s="141"/>
      <c r="L2" s="146" t="s">
        <v>460</v>
      </c>
      <c r="M2" s="146"/>
      <c r="N2" s="146"/>
      <c r="O2" s="146"/>
      <c r="P2" s="146"/>
      <c r="Q2" s="146"/>
      <c r="R2" s="146"/>
      <c r="S2" s="146"/>
      <c r="T2" s="146"/>
      <c r="U2" s="146"/>
      <c r="V2" s="146"/>
      <c r="W2" s="146"/>
      <c r="X2" s="146"/>
      <c r="Y2" s="146"/>
      <c r="Z2" s="146"/>
      <c r="AA2" s="146"/>
      <c r="AB2" s="146"/>
      <c r="AC2" s="146"/>
      <c r="AD2" s="146"/>
      <c r="AE2" s="146"/>
      <c r="AF2" s="146"/>
      <c r="AG2" s="146"/>
      <c r="AH2" s="146"/>
      <c r="AI2" s="146"/>
      <c r="AJ2" s="146"/>
      <c r="AK2" s="146"/>
      <c r="AL2" s="146"/>
      <c r="AM2" s="146"/>
      <c r="AO2" s="59"/>
      <c r="AP2" s="151"/>
    </row>
    <row r="3" spans="1:42" ht="11.25" customHeight="1" x14ac:dyDescent="0.25">
      <c r="A3" s="145"/>
      <c r="B3" s="145"/>
      <c r="C3" s="145"/>
      <c r="D3" s="145"/>
      <c r="E3" s="145"/>
      <c r="F3" s="145"/>
      <c r="G3" s="145"/>
      <c r="H3" s="145"/>
      <c r="I3" s="145"/>
      <c r="J3" s="141"/>
      <c r="L3" s="146" t="s">
        <v>461</v>
      </c>
      <c r="M3" s="146"/>
      <c r="N3" s="146"/>
      <c r="O3" s="146"/>
      <c r="P3" s="146"/>
      <c r="Q3" s="146"/>
      <c r="R3" s="146"/>
      <c r="S3" s="146"/>
      <c r="T3" s="146"/>
      <c r="U3" s="146" t="s">
        <v>470</v>
      </c>
      <c r="V3" s="146"/>
      <c r="W3" s="146"/>
      <c r="X3" s="146"/>
      <c r="Y3" s="146"/>
      <c r="Z3" s="146"/>
      <c r="AA3" s="146"/>
      <c r="AB3" s="146"/>
      <c r="AC3" s="146" t="s">
        <v>478</v>
      </c>
      <c r="AD3" s="146"/>
      <c r="AE3" s="146" t="s">
        <v>480</v>
      </c>
      <c r="AF3" s="146"/>
      <c r="AG3" s="146"/>
      <c r="AH3" s="146" t="s">
        <v>483</v>
      </c>
      <c r="AI3" s="146"/>
      <c r="AJ3" s="146"/>
      <c r="AK3" s="146"/>
      <c r="AL3" s="146"/>
      <c r="AM3" s="146" t="s">
        <v>469</v>
      </c>
      <c r="AO3" s="59"/>
      <c r="AP3" s="151"/>
    </row>
    <row r="4" spans="1:42" ht="11.25" customHeight="1" x14ac:dyDescent="0.25">
      <c r="A4" s="145"/>
      <c r="B4" s="145"/>
      <c r="C4" s="145"/>
      <c r="D4" s="145"/>
      <c r="E4" s="145"/>
      <c r="F4" s="145"/>
      <c r="G4" s="145"/>
      <c r="H4" s="145"/>
      <c r="I4" s="145"/>
      <c r="J4" s="141"/>
      <c r="L4" s="32" t="s">
        <v>546</v>
      </c>
      <c r="M4" s="32" t="s">
        <v>462</v>
      </c>
      <c r="N4" s="32" t="s">
        <v>463</v>
      </c>
      <c r="O4" s="32" t="s">
        <v>464</v>
      </c>
      <c r="P4" s="32" t="s">
        <v>465</v>
      </c>
      <c r="Q4" s="32" t="s">
        <v>466</v>
      </c>
      <c r="R4" s="32" t="s">
        <v>467</v>
      </c>
      <c r="S4" s="32" t="s">
        <v>468</v>
      </c>
      <c r="T4" s="32" t="s">
        <v>469</v>
      </c>
      <c r="U4" s="32" t="s">
        <v>471</v>
      </c>
      <c r="V4" s="32" t="s">
        <v>472</v>
      </c>
      <c r="W4" s="32" t="s">
        <v>473</v>
      </c>
      <c r="X4" s="32" t="s">
        <v>474</v>
      </c>
      <c r="Y4" s="32" t="s">
        <v>475</v>
      </c>
      <c r="Z4" s="32" t="s">
        <v>476</v>
      </c>
      <c r="AA4" s="32" t="s">
        <v>477</v>
      </c>
      <c r="AB4" s="32" t="s">
        <v>469</v>
      </c>
      <c r="AC4" s="32" t="s">
        <v>479</v>
      </c>
      <c r="AD4" s="32" t="s">
        <v>469</v>
      </c>
      <c r="AE4" s="32" t="s">
        <v>481</v>
      </c>
      <c r="AF4" s="32" t="s">
        <v>482</v>
      </c>
      <c r="AG4" s="32" t="s">
        <v>469</v>
      </c>
      <c r="AH4" s="32" t="s">
        <v>484</v>
      </c>
      <c r="AI4" s="32" t="s">
        <v>485</v>
      </c>
      <c r="AJ4" s="32" t="s">
        <v>486</v>
      </c>
      <c r="AK4" s="32" t="s">
        <v>487</v>
      </c>
      <c r="AL4" s="32" t="s">
        <v>469</v>
      </c>
      <c r="AM4" s="148"/>
      <c r="AO4" s="60" t="s">
        <v>574</v>
      </c>
      <c r="AP4" s="152"/>
    </row>
    <row r="5" spans="1:42" ht="11.25" customHeight="1" x14ac:dyDescent="0.25">
      <c r="A5" s="149" t="s">
        <v>35</v>
      </c>
      <c r="B5" s="149" t="s">
        <v>36</v>
      </c>
      <c r="C5" s="149" t="s">
        <v>25</v>
      </c>
      <c r="D5" s="149" t="s">
        <v>25</v>
      </c>
      <c r="E5" s="149" t="s">
        <v>25</v>
      </c>
      <c r="F5" s="149" t="s">
        <v>25</v>
      </c>
      <c r="G5" s="57" t="s">
        <v>80</v>
      </c>
      <c r="H5" s="57" t="s">
        <v>79</v>
      </c>
      <c r="I5" s="57">
        <f>'MERCADO TUSD'!$U$2</f>
        <v>2966</v>
      </c>
      <c r="J5" s="15"/>
      <c r="L5" s="31">
        <f>'TUSD BE'!$L$5*'TUSD BE'!$L$58</f>
        <v>0</v>
      </c>
      <c r="M5" s="31">
        <f>'TUSD BE'!$M$5*'TUSD BE'!$M$58</f>
        <v>0</v>
      </c>
      <c r="N5" s="31">
        <f ca="1">'TUSD BE'!$N$5*'TUSD BE'!$N$58</f>
        <v>0</v>
      </c>
      <c r="O5" s="31">
        <f>'TUSD BE'!$O$5*'TUSD BE'!$O$58</f>
        <v>0</v>
      </c>
      <c r="P5" s="31">
        <f>'TUSD BE'!$P$5*'TUSD BE'!$P$58</f>
        <v>0</v>
      </c>
      <c r="Q5" s="31">
        <f>'TUSD BE'!$Q$5*'TUSD BE'!$Q$58</f>
        <v>0</v>
      </c>
      <c r="R5" s="31">
        <f>'TUSD BE'!$R$5*'TUSD BE'!$R$58</f>
        <v>0</v>
      </c>
      <c r="S5" s="31">
        <f>'TUSD BE'!$R$5*'TUSD BE'!$S$58</f>
        <v>0</v>
      </c>
      <c r="T5" s="31">
        <f ca="1">SUM($L$5:$S$5)</f>
        <v>0</v>
      </c>
      <c r="U5" s="31">
        <f>'TUSD BE'!$U$5*'TUSD BE'!$U$58</f>
        <v>0</v>
      </c>
      <c r="V5" s="31">
        <f>'TUSD BE'!$V$5*'TUSD BE'!$V$58</f>
        <v>0</v>
      </c>
      <c r="W5" s="31">
        <f>'TUSD BE'!$W$5*'TUSD BE'!$W$58</f>
        <v>0</v>
      </c>
      <c r="X5" s="31">
        <f>'TUSD BE'!$X$5*'TUSD BE'!$X$58</f>
        <v>0</v>
      </c>
      <c r="Y5" s="31">
        <f>'TUSD BE'!$Y$5*'TUSD BE'!$Y$58</f>
        <v>0.12661836641308571</v>
      </c>
      <c r="Z5" s="31">
        <f>'TUSD BE'!$Z$5*'TUSD BE'!$Z$58</f>
        <v>0</v>
      </c>
      <c r="AA5" s="31">
        <f>'TUSD BE'!$AA$5*'TUSD BE'!$AA$58</f>
        <v>0</v>
      </c>
      <c r="AB5" s="31">
        <f>SUM($U$5:$AA$5)</f>
        <v>0.12661836641308571</v>
      </c>
      <c r="AC5" s="31">
        <f>'TUSD BE'!$AC$5*'TUSD BE'!$AC$58</f>
        <v>-0.3024558320202429</v>
      </c>
      <c r="AD5" s="31">
        <f>SUM($AC$5:$AC$5)</f>
        <v>-0.3024558320202429</v>
      </c>
      <c r="AE5" s="31">
        <f ca="1">$AO$5*$AO$55</f>
        <v>0</v>
      </c>
      <c r="AF5" s="31">
        <f ca="1">$AP$5*$AP$55</f>
        <v>0</v>
      </c>
      <c r="AG5" s="31">
        <f ca="1">SUM($AE$5:$AF$5)</f>
        <v>0</v>
      </c>
      <c r="AH5" s="31">
        <f>'TUSD BE'!$AH$5*'TUSD BE'!$AH$58</f>
        <v>0</v>
      </c>
      <c r="AI5" s="31">
        <f>'TUSD BE'!$AI$5*'TUSD BE'!$AI$58</f>
        <v>0</v>
      </c>
      <c r="AJ5" s="31">
        <f ca="1">'TUSD BE'!$AJ$5*'TUSD BE'!$AJ$58</f>
        <v>0</v>
      </c>
      <c r="AK5" s="31">
        <f ca="1">'TUSD BE'!$AK$5*'TUSD BE'!$AK$58</f>
        <v>0</v>
      </c>
      <c r="AL5" s="31">
        <f ca="1">SUM($AH$5:$AK$5)</f>
        <v>0</v>
      </c>
      <c r="AM5" s="31">
        <f ca="1">SUMIF($L$4:$AL$4,"SUBTOTAL",$L$5:$AL$5)</f>
        <v>-0.17583746560715718</v>
      </c>
      <c r="AO5" s="59">
        <f ca="1">+'TUSD BE'!$T$5+'TUSD BE'!$AB$5+'TUSD BE'!$AD$5+'TUSD BE'!$AL$5</f>
        <v>56.656286163410414</v>
      </c>
      <c r="AP5" s="59">
        <f ca="1">+'TUSD BE'!$T$5+'TUSD BE'!$AB$5+'TUSD BE'!$AD$5+'TUSD BE'!$AL$5</f>
        <v>56.656286163410414</v>
      </c>
    </row>
    <row r="6" spans="1:42" ht="11.25" customHeight="1" x14ac:dyDescent="0.25">
      <c r="A6" s="149"/>
      <c r="B6" s="149"/>
      <c r="C6" s="149"/>
      <c r="D6" s="149"/>
      <c r="E6" s="149"/>
      <c r="F6" s="149"/>
      <c r="G6" s="57" t="s">
        <v>81</v>
      </c>
      <c r="H6" s="57" t="s">
        <v>79</v>
      </c>
      <c r="I6" s="57">
        <f>'MERCADO TUSD'!$U$3</f>
        <v>31888</v>
      </c>
      <c r="J6" s="15"/>
      <c r="L6" s="31">
        <f>'TUSD BE'!$L$6*'TUSD BE'!$L$58</f>
        <v>0</v>
      </c>
      <c r="M6" s="31">
        <f>'TUSD BE'!$M$6*'TUSD BE'!$M$58</f>
        <v>0</v>
      </c>
      <c r="N6" s="31">
        <f ca="1">'TUSD BE'!$N$6*'TUSD BE'!$N$58</f>
        <v>0</v>
      </c>
      <c r="O6" s="31">
        <f>'TUSD BE'!$O$6*'TUSD BE'!$O$58</f>
        <v>0</v>
      </c>
      <c r="P6" s="31">
        <f>'TUSD BE'!$P$6*'TUSD BE'!$P$58</f>
        <v>0</v>
      </c>
      <c r="Q6" s="31">
        <f>'TUSD BE'!$Q$6*'TUSD BE'!$Q$58</f>
        <v>0</v>
      </c>
      <c r="R6" s="31">
        <f>'TUSD BE'!$R$6*'TUSD BE'!$R$58</f>
        <v>0</v>
      </c>
      <c r="S6" s="31">
        <f>'TUSD BE'!$R$6*'TUSD BE'!$S$58</f>
        <v>0</v>
      </c>
      <c r="T6" s="31">
        <f ca="1">SUM($L$6:$S$6)</f>
        <v>0</v>
      </c>
      <c r="U6" s="31">
        <f>'TUSD BE'!$U$6*'TUSD BE'!$U$58</f>
        <v>0</v>
      </c>
      <c r="V6" s="31">
        <f>'TUSD BE'!$V$6*'TUSD BE'!$V$58</f>
        <v>0</v>
      </c>
      <c r="W6" s="31">
        <f>'TUSD BE'!$W$6*'TUSD BE'!$W$58</f>
        <v>0</v>
      </c>
      <c r="X6" s="31">
        <f>'TUSD BE'!$X$6*'TUSD BE'!$X$58</f>
        <v>0</v>
      </c>
      <c r="Y6" s="31">
        <f>'TUSD BE'!$Y$6*'TUSD BE'!$Y$58</f>
        <v>4.8850016700894727E-2</v>
      </c>
      <c r="Z6" s="31">
        <f>'TUSD BE'!$Z$6*'TUSD BE'!$Z$58</f>
        <v>0</v>
      </c>
      <c r="AA6" s="31">
        <f>'TUSD BE'!$AA$6*'TUSD BE'!$AA$58</f>
        <v>0</v>
      </c>
      <c r="AB6" s="31">
        <f>SUM($U$6:$AA$6)</f>
        <v>4.8850016700894727E-2</v>
      </c>
      <c r="AC6" s="31">
        <f>'TUSD BE'!$AC$6*'TUSD BE'!$AC$58</f>
        <v>-0.11596481820980867</v>
      </c>
      <c r="AD6" s="31">
        <f>SUM($AC$6:$AC$6)</f>
        <v>-0.11596481820980867</v>
      </c>
      <c r="AE6" s="31">
        <f ca="1">$AO$6*$AO$55</f>
        <v>0</v>
      </c>
      <c r="AF6" s="31">
        <f ca="1">$AP$6*$AP$55</f>
        <v>0</v>
      </c>
      <c r="AG6" s="31">
        <f ca="1">SUM($AE$6:$AF$6)</f>
        <v>0</v>
      </c>
      <c r="AH6" s="31">
        <f>'TUSD BE'!$AH$6*'TUSD BE'!$AH$58</f>
        <v>0</v>
      </c>
      <c r="AI6" s="31">
        <f>'TUSD BE'!$AI$6*'TUSD BE'!$AI$58</f>
        <v>0</v>
      </c>
      <c r="AJ6" s="31">
        <f ca="1">'TUSD BE'!$AJ$6*'TUSD BE'!$AJ$58</f>
        <v>0</v>
      </c>
      <c r="AK6" s="31">
        <f ca="1">'TUSD BE'!$AK$6*'TUSD BE'!$AK$58</f>
        <v>0</v>
      </c>
      <c r="AL6" s="31">
        <f ca="1">SUM($AH$6:$AK$6)</f>
        <v>0</v>
      </c>
      <c r="AM6" s="31">
        <f ca="1">SUMIF($L$4:$AL$4,"SUBTOTAL",$L$6:$AL$6)</f>
        <v>-6.711480150891394E-2</v>
      </c>
      <c r="AO6" s="59">
        <f ca="1">+'TUSD BE'!$T$6+'TUSD BE'!$AB$6+'TUSD BE'!$AD$6+'TUSD BE'!$AL$6</f>
        <v>21.800846690356778</v>
      </c>
      <c r="AP6" s="59">
        <f ca="1">+'TUSD BE'!$T$6+'TUSD BE'!$AB$6+'TUSD BE'!$AD$6+'TUSD BE'!$AL$6</f>
        <v>21.800846690356778</v>
      </c>
    </row>
    <row r="7" spans="1:42" ht="11.25" customHeight="1" x14ac:dyDescent="0.25">
      <c r="A7" s="149"/>
      <c r="B7" s="149"/>
      <c r="C7" s="149"/>
      <c r="D7" s="149"/>
      <c r="E7" s="149"/>
      <c r="F7" s="149"/>
      <c r="G7" s="57" t="s">
        <v>78</v>
      </c>
      <c r="H7" s="57" t="s">
        <v>74</v>
      </c>
      <c r="I7" s="57">
        <f>'MERCADO TUSD'!$U$4</f>
        <v>12070.286</v>
      </c>
      <c r="J7" s="15"/>
      <c r="L7" s="31">
        <f>'TUSD BE'!$L$7*'TUSD BE'!$L$58</f>
        <v>0</v>
      </c>
      <c r="M7" s="31">
        <f>'TUSD BE'!$M$7*'TUSD BE'!$M$58</f>
        <v>-1.1538100189374996E-2</v>
      </c>
      <c r="N7" s="31">
        <f ca="1">'TUSD BE'!$N$7*'TUSD BE'!$N$58</f>
        <v>-1.0938636333008266E-6</v>
      </c>
      <c r="O7" s="31">
        <f>'TUSD BE'!$O$7*'TUSD BE'!$O$58</f>
        <v>0</v>
      </c>
      <c r="P7" s="31">
        <f>'TUSD BE'!$P$7*'TUSD BE'!$P$58</f>
        <v>0</v>
      </c>
      <c r="Q7" s="31">
        <f>'TUSD BE'!$Q$7*'TUSD BE'!$Q$58</f>
        <v>-2.2968607286001315</v>
      </c>
      <c r="R7" s="31">
        <f>'TUSD BE'!$R$7*'TUSD BE'!$R$58</f>
        <v>-0.47097951775238756</v>
      </c>
      <c r="S7" s="31">
        <f>'TUSD BE'!$R$7*'TUSD BE'!$S$58</f>
        <v>0</v>
      </c>
      <c r="T7" s="31">
        <f ca="1">SUM($L$7:$S$7)</f>
        <v>-2.7793794404055272</v>
      </c>
      <c r="U7" s="31">
        <f>'TUSD BE'!$U$7*'TUSD BE'!$U$58</f>
        <v>0</v>
      </c>
      <c r="V7" s="31">
        <f>'TUSD BE'!$V$7*'TUSD BE'!$V$58</f>
        <v>0</v>
      </c>
      <c r="W7" s="31">
        <f>'TUSD BE'!$W$7*'TUSD BE'!$W$58</f>
        <v>0</v>
      </c>
      <c r="X7" s="31">
        <f>'TUSD BE'!$X$7*'TUSD BE'!$X$58</f>
        <v>0</v>
      </c>
      <c r="Y7" s="31">
        <f>'TUSD BE'!$Y$7*'TUSD BE'!$Y$58</f>
        <v>0</v>
      </c>
      <c r="Z7" s="31">
        <f>'TUSD BE'!$Z$7*'TUSD BE'!$Z$58</f>
        <v>0</v>
      </c>
      <c r="AA7" s="31">
        <f>'TUSD BE'!$AA$7*'TUSD BE'!$AA$58</f>
        <v>0</v>
      </c>
      <c r="AB7" s="31">
        <f>SUM($U$7:$AA$7)</f>
        <v>0</v>
      </c>
      <c r="AC7" s="31">
        <f>'TUSD BE'!$AC$7*'TUSD BE'!$AC$58</f>
        <v>0</v>
      </c>
      <c r="AD7" s="31">
        <f>SUM($AC$7:$AC$7)</f>
        <v>0</v>
      </c>
      <c r="AE7" s="31">
        <f ca="1">$AO$7*$AO$55</f>
        <v>0</v>
      </c>
      <c r="AF7" s="31">
        <f ca="1">$AP$7*$AP$55</f>
        <v>0</v>
      </c>
      <c r="AG7" s="31">
        <f ca="1">SUM($AE$7:$AF$7)</f>
        <v>0</v>
      </c>
      <c r="AH7" s="31">
        <f>'TUSD BE'!$AH$7*'TUSD BE'!$AH$58</f>
        <v>0.61492125762607952</v>
      </c>
      <c r="AI7" s="31">
        <f>'TUSD BE'!$AI$7*'TUSD BE'!$AI$58</f>
        <v>1.3304267399352383E-2</v>
      </c>
      <c r="AJ7" s="31">
        <f ca="1">'TUSD BE'!$AJ$7*'TUSD BE'!$AJ$58</f>
        <v>1.4953878552910386E-2</v>
      </c>
      <c r="AK7" s="31">
        <f ca="1">'TUSD BE'!$AK$7*'TUSD BE'!$AK$58</f>
        <v>2.4735656990833962E-2</v>
      </c>
      <c r="AL7" s="31">
        <f ca="1">SUM($AH$7:$AK$7)</f>
        <v>0.66791506056917627</v>
      </c>
      <c r="AM7" s="31">
        <f ca="1">SUMIF($L$4:$AL$4,"SUBTOTAL",$L$7:$AL$7)</f>
        <v>-2.111464379836351</v>
      </c>
      <c r="AO7" s="59">
        <f ca="1">+'TUSD BE'!$T$7+'TUSD BE'!$AB$7+'TUSD BE'!$AD$7+'TUSD BE'!$AL$7</f>
        <v>98.914531839783777</v>
      </c>
      <c r="AP7" s="59">
        <f ca="1">+'TUSD BE'!$T$7+'TUSD BE'!$AB$7+'TUSD BE'!$AD$7+'TUSD BE'!$AL$7</f>
        <v>98.914531839783777</v>
      </c>
    </row>
    <row r="8" spans="1:42" ht="11.25" customHeight="1" x14ac:dyDescent="0.25">
      <c r="A8" s="149"/>
      <c r="B8" s="149"/>
      <c r="C8" s="149"/>
      <c r="D8" s="149"/>
      <c r="E8" s="56" t="s">
        <v>82</v>
      </c>
      <c r="F8" s="56" t="s">
        <v>25</v>
      </c>
      <c r="G8" s="57" t="s">
        <v>78</v>
      </c>
      <c r="H8" s="57" t="s">
        <v>74</v>
      </c>
      <c r="I8" s="57">
        <f>'MERCADO TUSD'!$U$5</f>
        <v>0</v>
      </c>
      <c r="J8" s="15"/>
      <c r="L8" s="31">
        <f>'TUSD BE'!$L$8*'TUSD BE'!$L$58</f>
        <v>0</v>
      </c>
      <c r="M8" s="31">
        <f>'TUSD BE'!$M$8*'TUSD BE'!$M$58</f>
        <v>-1.1538100189374996E-2</v>
      </c>
      <c r="N8" s="31">
        <f ca="1">'TUSD BE'!$N$8*'TUSD BE'!$N$58</f>
        <v>-1.0476152734865321E-6</v>
      </c>
      <c r="O8" s="31">
        <f>'TUSD BE'!$O$8*'TUSD BE'!$O$58</f>
        <v>0</v>
      </c>
      <c r="P8" s="31">
        <f>'TUSD BE'!$P$8*'TUSD BE'!$P$58</f>
        <v>0</v>
      </c>
      <c r="Q8" s="31">
        <f>'TUSD BE'!$Q$8*'TUSD BE'!$Q$58</f>
        <v>0</v>
      </c>
      <c r="R8" s="31">
        <f>'TUSD BE'!$R$8*'TUSD BE'!$R$58</f>
        <v>0</v>
      </c>
      <c r="S8" s="31">
        <f>'TUSD BE'!$R$8*'TUSD BE'!$S$58</f>
        <v>0</v>
      </c>
      <c r="T8" s="31">
        <f ca="1">SUM($L$8:$S$8)</f>
        <v>-1.1539147804648483E-2</v>
      </c>
      <c r="U8" s="31">
        <f>'TUSD BE'!$U$8*'TUSD BE'!$U$58</f>
        <v>0</v>
      </c>
      <c r="V8" s="31">
        <f>'TUSD BE'!$V$8*'TUSD BE'!$V$58</f>
        <v>0</v>
      </c>
      <c r="W8" s="31">
        <f>'TUSD BE'!$W$8*'TUSD BE'!$W$58</f>
        <v>0</v>
      </c>
      <c r="X8" s="31">
        <f>'TUSD BE'!$X$8*'TUSD BE'!$X$58</f>
        <v>0</v>
      </c>
      <c r="Y8" s="31">
        <f>'TUSD BE'!$Y$8*'TUSD BE'!$Y$58</f>
        <v>0</v>
      </c>
      <c r="Z8" s="31">
        <f>'TUSD BE'!$Z$8*'TUSD BE'!$Z$58</f>
        <v>0</v>
      </c>
      <c r="AA8" s="31">
        <f>'TUSD BE'!$AA$8*'TUSD BE'!$AA$58</f>
        <v>0</v>
      </c>
      <c r="AB8" s="31">
        <f>SUM($U$8:$AA$8)</f>
        <v>0</v>
      </c>
      <c r="AC8" s="31">
        <f>'TUSD BE'!$AC$8*'TUSD BE'!$AC$58</f>
        <v>0</v>
      </c>
      <c r="AD8" s="31">
        <f>SUM($AC$8:$AC$8)</f>
        <v>0</v>
      </c>
      <c r="AE8" s="31">
        <f ca="1">$AO$8*$AO$55</f>
        <v>0</v>
      </c>
      <c r="AF8" s="31">
        <f ca="1">$AP$8*$AP$55</f>
        <v>0</v>
      </c>
      <c r="AG8" s="31">
        <f ca="1">SUM($AE$8:$AF$8)</f>
        <v>0</v>
      </c>
      <c r="AH8" s="31">
        <f>'TUSD BE'!$AH$8*'TUSD BE'!$AH$58</f>
        <v>0.61492125762607952</v>
      </c>
      <c r="AI8" s="31">
        <f>'TUSD BE'!$AI$8*'TUSD BE'!$AI$58</f>
        <v>1.3304267399352383E-2</v>
      </c>
      <c r="AJ8" s="31">
        <f ca="1">'TUSD BE'!$AJ$8*'TUSD BE'!$AJ$58</f>
        <v>1.4953878552910386E-2</v>
      </c>
      <c r="AK8" s="31">
        <f ca="1">'TUSD BE'!$AK$8*'TUSD BE'!$AK$58</f>
        <v>2.4735656990833962E-2</v>
      </c>
      <c r="AL8" s="31">
        <f ca="1">SUM($AH$8:$AK$8)</f>
        <v>0.66791506056917627</v>
      </c>
      <c r="AM8" s="31">
        <f ca="1">SUMIF($L$4:$AL$4,"SUBTOTAL",$L$8:$AL$8)</f>
        <v>0.65637591276452778</v>
      </c>
      <c r="AO8" s="59">
        <f ca="1">+'TUSD BE'!$T$8+'TUSD BE'!$AB$8+'TUSD BE'!$AD$8+'TUSD BE'!$AL$8</f>
        <v>9.8096149439220781</v>
      </c>
      <c r="AP8" s="59">
        <f ca="1">+'TUSD BE'!$T$8+'TUSD BE'!$AB$8+'TUSD BE'!$AD$8+'TUSD BE'!$AL$8</f>
        <v>9.8096149439220781</v>
      </c>
    </row>
    <row r="9" spans="1:42" ht="11.25" customHeight="1" x14ac:dyDescent="0.25">
      <c r="A9" s="149"/>
      <c r="B9" s="56" t="s">
        <v>83</v>
      </c>
      <c r="C9" s="56" t="s">
        <v>25</v>
      </c>
      <c r="D9" s="56" t="s">
        <v>25</v>
      </c>
      <c r="E9" s="56" t="s">
        <v>25</v>
      </c>
      <c r="F9" s="56" t="s">
        <v>25</v>
      </c>
      <c r="G9" s="57" t="s">
        <v>9</v>
      </c>
      <c r="H9" s="57" t="s">
        <v>79</v>
      </c>
      <c r="I9" s="57">
        <f>'MERCADO TUSD'!$U$6</f>
        <v>0</v>
      </c>
      <c r="J9" s="15"/>
      <c r="L9" s="31">
        <f>'TUSD BE'!$L$9*'TUSD BE'!$L$58</f>
        <v>0</v>
      </c>
      <c r="M9" s="31">
        <f>'TUSD BE'!$M$9*'TUSD BE'!$M$58</f>
        <v>-1.3925077327881941E-3</v>
      </c>
      <c r="N9" s="31">
        <f ca="1">'TUSD BE'!$N$9*'TUSD BE'!$N$58</f>
        <v>-4.0606059916950683E-7</v>
      </c>
      <c r="O9" s="31">
        <f>'TUSD BE'!$O$9*'TUSD BE'!$O$58</f>
        <v>0</v>
      </c>
      <c r="P9" s="31">
        <f>'TUSD BE'!$P$9*'TUSD BE'!$P$58</f>
        <v>0</v>
      </c>
      <c r="Q9" s="31">
        <f>'TUSD BE'!$Q$9*'TUSD BE'!$Q$58</f>
        <v>0</v>
      </c>
      <c r="R9" s="31">
        <f>'TUSD BE'!$R$9*'TUSD BE'!$R$58</f>
        <v>0</v>
      </c>
      <c r="S9" s="31">
        <f>'TUSD BE'!$R$9*'TUSD BE'!$S$58</f>
        <v>0</v>
      </c>
      <c r="T9" s="31">
        <f ca="1">SUM($L$9:$S$9)</f>
        <v>-1.3929137933873636E-3</v>
      </c>
      <c r="U9" s="31">
        <f>'TUSD BE'!$U$9*'TUSD BE'!$U$58</f>
        <v>0</v>
      </c>
      <c r="V9" s="31">
        <f>'TUSD BE'!$V$9*'TUSD BE'!$V$58</f>
        <v>0</v>
      </c>
      <c r="W9" s="31">
        <f>'TUSD BE'!$W$9*'TUSD BE'!$W$58</f>
        <v>0</v>
      </c>
      <c r="X9" s="31">
        <f>'TUSD BE'!$X$9*'TUSD BE'!$X$58</f>
        <v>0</v>
      </c>
      <c r="Y9" s="31">
        <f>'TUSD BE'!$Y$9*'TUSD BE'!$Y$58</f>
        <v>0</v>
      </c>
      <c r="Z9" s="31">
        <f>'TUSD BE'!$Z$9*'TUSD BE'!$Z$58</f>
        <v>0</v>
      </c>
      <c r="AA9" s="31">
        <f>'TUSD BE'!$AA$9*'TUSD BE'!$AA$58</f>
        <v>0</v>
      </c>
      <c r="AB9" s="31">
        <f>SUM($U$9:$AA$9)</f>
        <v>0</v>
      </c>
      <c r="AC9" s="31">
        <f>'TUSD BE'!$AC$9*'TUSD BE'!$AC$58</f>
        <v>-0.11379884418695403</v>
      </c>
      <c r="AD9" s="31">
        <f>SUM($AC$9:$AC$9)</f>
        <v>-0.11379884418695403</v>
      </c>
      <c r="AE9" s="31">
        <f ca="1">$AO$9*$AO$55</f>
        <v>0</v>
      </c>
      <c r="AF9" s="31">
        <f ca="1">$AP$9*$AP$55</f>
        <v>0</v>
      </c>
      <c r="AG9" s="31">
        <f ca="1">SUM($AE$9:$AF$9)</f>
        <v>0</v>
      </c>
      <c r="AH9" s="31">
        <f>'TUSD BE'!$AH$9*'TUSD BE'!$AH$58</f>
        <v>0</v>
      </c>
      <c r="AI9" s="31">
        <f>'TUSD BE'!$AI$9*'TUSD BE'!$AI$58</f>
        <v>0</v>
      </c>
      <c r="AJ9" s="31">
        <f ca="1">'TUSD BE'!$AJ$9*'TUSD BE'!$AJ$58</f>
        <v>0</v>
      </c>
      <c r="AK9" s="31">
        <f ca="1">'TUSD BE'!$AK$9*'TUSD BE'!$AK$58</f>
        <v>0</v>
      </c>
      <c r="AL9" s="31">
        <f ca="1">SUM($AH$9:$AK$9)</f>
        <v>0</v>
      </c>
      <c r="AM9" s="31">
        <f ca="1">SUMIF($L$4:$AL$4,"SUBTOTAL",$L$9:$AL$9)</f>
        <v>-0.1151917579803414</v>
      </c>
      <c r="AO9" s="59">
        <f ca="1">+'TUSD BE'!$T$9+'TUSD BE'!$AB$9+'TUSD BE'!$AD$9+'TUSD BE'!$AL$9</f>
        <v>9.1802565922717481</v>
      </c>
      <c r="AP9" s="59">
        <f ca="1">+'TUSD BE'!$T$9+'TUSD BE'!$AB$9+'TUSD BE'!$AD$9+'TUSD BE'!$AL$9</f>
        <v>9.1802565922717481</v>
      </c>
    </row>
    <row r="10" spans="1:42" ht="11.25" customHeight="1" x14ac:dyDescent="0.25">
      <c r="A10" s="149"/>
      <c r="B10" s="149" t="s">
        <v>39</v>
      </c>
      <c r="C10" s="149" t="s">
        <v>25</v>
      </c>
      <c r="D10" s="149" t="s">
        <v>25</v>
      </c>
      <c r="E10" s="149" t="s">
        <v>25</v>
      </c>
      <c r="F10" s="149" t="s">
        <v>25</v>
      </c>
      <c r="G10" s="57" t="s">
        <v>9</v>
      </c>
      <c r="H10" s="57" t="s">
        <v>79</v>
      </c>
      <c r="I10" s="57">
        <f>'MERCADO TUSD'!$U$7</f>
        <v>426500</v>
      </c>
      <c r="J10" s="15"/>
      <c r="L10" s="31">
        <f>'TUSD BE'!$L$10*'TUSD BE'!$L$58</f>
        <v>0</v>
      </c>
      <c r="M10" s="31">
        <f>'TUSD BE'!$M$10*'TUSD BE'!$M$58</f>
        <v>0</v>
      </c>
      <c r="N10" s="31">
        <f ca="1">'TUSD BE'!$N$10*'TUSD BE'!$N$58</f>
        <v>0</v>
      </c>
      <c r="O10" s="31">
        <f>'TUSD BE'!$O$10*'TUSD BE'!$O$58</f>
        <v>0</v>
      </c>
      <c r="P10" s="31">
        <f>'TUSD BE'!$P$10*'TUSD BE'!$P$58</f>
        <v>0</v>
      </c>
      <c r="Q10" s="31">
        <f>'TUSD BE'!$Q$10*'TUSD BE'!$Q$58</f>
        <v>0</v>
      </c>
      <c r="R10" s="31">
        <f>'TUSD BE'!$R$10*'TUSD BE'!$R$58</f>
        <v>0</v>
      </c>
      <c r="S10" s="31">
        <f>'TUSD BE'!$R$10*'TUSD BE'!$S$58</f>
        <v>0</v>
      </c>
      <c r="T10" s="31">
        <f ca="1">SUM($L$10:$S$10)</f>
        <v>0</v>
      </c>
      <c r="U10" s="31">
        <f>'TUSD BE'!$U$10*'TUSD BE'!$U$58</f>
        <v>0</v>
      </c>
      <c r="V10" s="31">
        <f>'TUSD BE'!$V$10*'TUSD BE'!$V$58</f>
        <v>0</v>
      </c>
      <c r="W10" s="31">
        <f>'TUSD BE'!$W$10*'TUSD BE'!$W$58</f>
        <v>0</v>
      </c>
      <c r="X10" s="31">
        <f>'TUSD BE'!$X$10*'TUSD BE'!$X$58</f>
        <v>0</v>
      </c>
      <c r="Y10" s="31">
        <f>'TUSD BE'!$Y$10*'TUSD BE'!$Y$58</f>
        <v>4.8850016700894727E-2</v>
      </c>
      <c r="Z10" s="31">
        <f>'TUSD BE'!$Z$10*'TUSD BE'!$Z$58</f>
        <v>0</v>
      </c>
      <c r="AA10" s="31">
        <f>'TUSD BE'!$AA$10*'TUSD BE'!$AA$58</f>
        <v>0</v>
      </c>
      <c r="AB10" s="31">
        <f>SUM($U$10:$AA$10)</f>
        <v>4.8850016700894727E-2</v>
      </c>
      <c r="AC10" s="31">
        <f>'TUSD BE'!$AC$10*'TUSD BE'!$AC$58</f>
        <v>-0.11596481820980867</v>
      </c>
      <c r="AD10" s="31">
        <f>SUM($AC$10:$AC$10)</f>
        <v>-0.11596481820980867</v>
      </c>
      <c r="AE10" s="31">
        <f ca="1">$AO$10*$AO$55</f>
        <v>0</v>
      </c>
      <c r="AF10" s="31">
        <f ca="1">$AP$10*$AP$55</f>
        <v>0</v>
      </c>
      <c r="AG10" s="31">
        <f ca="1">SUM($AE$10:$AF$10)</f>
        <v>0</v>
      </c>
      <c r="AH10" s="31">
        <f>'TUSD BE'!$AH$10*'TUSD BE'!$AH$58</f>
        <v>0</v>
      </c>
      <c r="AI10" s="31">
        <f>'TUSD BE'!$AI$10*'TUSD BE'!$AI$58</f>
        <v>0</v>
      </c>
      <c r="AJ10" s="31">
        <f ca="1">'TUSD BE'!$AJ$10*'TUSD BE'!$AJ$58</f>
        <v>0</v>
      </c>
      <c r="AK10" s="31">
        <f ca="1">'TUSD BE'!$AK$10*'TUSD BE'!$AK$58</f>
        <v>0</v>
      </c>
      <c r="AL10" s="31">
        <f ca="1">SUM($AH$10:$AK$10)</f>
        <v>0</v>
      </c>
      <c r="AM10" s="31">
        <f ca="1">SUMIF($L$4:$AL$4,"SUBTOTAL",$L$10:$AL$10)</f>
        <v>-6.711480150891394E-2</v>
      </c>
      <c r="AO10" s="59">
        <f ca="1">+'TUSD BE'!$T$10+'TUSD BE'!$AB$10+'TUSD BE'!$AD$10+'TUSD BE'!$AL$10</f>
        <v>21.800846690356778</v>
      </c>
      <c r="AP10" s="59">
        <f ca="1">+'TUSD BE'!$T$10+'TUSD BE'!$AB$10+'TUSD BE'!$AD$10+'TUSD BE'!$AL$10</f>
        <v>21.800846690356778</v>
      </c>
    </row>
    <row r="11" spans="1:42" ht="11.25" customHeight="1" x14ac:dyDescent="0.25">
      <c r="A11" s="149"/>
      <c r="B11" s="149"/>
      <c r="C11" s="149"/>
      <c r="D11" s="149"/>
      <c r="E11" s="149"/>
      <c r="F11" s="149"/>
      <c r="G11" s="57" t="s">
        <v>75</v>
      </c>
      <c r="H11" s="57" t="s">
        <v>74</v>
      </c>
      <c r="I11" s="57">
        <f>'MERCADO TUSD'!$U$8</f>
        <v>6338.8209999999999</v>
      </c>
      <c r="J11" s="15"/>
      <c r="L11" s="31">
        <f>'TUSD BE'!$L$11*'TUSD BE'!$L$58</f>
        <v>0</v>
      </c>
      <c r="M11" s="31">
        <f>'TUSD BE'!$M$11*'TUSD BE'!$M$58</f>
        <v>-1.1538100189374996E-2</v>
      </c>
      <c r="N11" s="31">
        <f ca="1">'TUSD BE'!$N$11*'TUSD BE'!$N$58</f>
        <v>-5.8819077674031372E-5</v>
      </c>
      <c r="O11" s="31">
        <f>'TUSD BE'!$O$11*'TUSD BE'!$O$58</f>
        <v>0</v>
      </c>
      <c r="P11" s="31">
        <f>'TUSD BE'!$P$11*'TUSD BE'!$P$58</f>
        <v>0</v>
      </c>
      <c r="Q11" s="31">
        <f>'TUSD BE'!$Q$11*'TUSD BE'!$Q$58</f>
        <v>-2.2968607286001315</v>
      </c>
      <c r="R11" s="31">
        <f>'TUSD BE'!$R$11*'TUSD BE'!$R$58</f>
        <v>-0.47097951775238756</v>
      </c>
      <c r="S11" s="31">
        <f>'TUSD BE'!$R$11*'TUSD BE'!$S$58</f>
        <v>0</v>
      </c>
      <c r="T11" s="31">
        <f ca="1">SUM($L$11:$S$11)</f>
        <v>-2.779437165619568</v>
      </c>
      <c r="U11" s="31">
        <f>'TUSD BE'!$U$11*'TUSD BE'!$U$58</f>
        <v>0</v>
      </c>
      <c r="V11" s="31">
        <f>'TUSD BE'!$V$11*'TUSD BE'!$V$58</f>
        <v>0</v>
      </c>
      <c r="W11" s="31">
        <f>'TUSD BE'!$W$11*'TUSD BE'!$W$58</f>
        <v>0</v>
      </c>
      <c r="X11" s="31">
        <f>'TUSD BE'!$X$11*'TUSD BE'!$X$58</f>
        <v>0</v>
      </c>
      <c r="Y11" s="31">
        <f>'TUSD BE'!$Y$11*'TUSD BE'!$Y$58</f>
        <v>3.0451751596288354</v>
      </c>
      <c r="Z11" s="31">
        <f>'TUSD BE'!$Z$11*'TUSD BE'!$Z$58</f>
        <v>0</v>
      </c>
      <c r="AA11" s="31">
        <f>'TUSD BE'!$AA$11*'TUSD BE'!$AA$58</f>
        <v>0</v>
      </c>
      <c r="AB11" s="31">
        <f>SUM($U$11:$AA$11)</f>
        <v>3.0451751596288354</v>
      </c>
      <c r="AC11" s="31">
        <f>'TUSD BE'!$AC$11*'TUSD BE'!$AC$58</f>
        <v>-7.274058857430945</v>
      </c>
      <c r="AD11" s="31">
        <f>SUM($AC$11:$AC$11)</f>
        <v>-7.274058857430945</v>
      </c>
      <c r="AE11" s="31">
        <f ca="1">$AO$11*$AO$55</f>
        <v>0</v>
      </c>
      <c r="AF11" s="31">
        <f ca="1">$AP$11*$AP$55</f>
        <v>0</v>
      </c>
      <c r="AG11" s="31">
        <f ca="1">SUM($AE$11:$AF$11)</f>
        <v>0</v>
      </c>
      <c r="AH11" s="31">
        <f>'TUSD BE'!$AH$11*'TUSD BE'!$AH$58</f>
        <v>0.61492125762607952</v>
      </c>
      <c r="AI11" s="31">
        <f>'TUSD BE'!$AI$11*'TUSD BE'!$AI$58</f>
        <v>1.3304267399352383E-2</v>
      </c>
      <c r="AJ11" s="31">
        <f ca="1">'TUSD BE'!$AJ$11*'TUSD BE'!$AJ$58</f>
        <v>1.4953878552910386E-2</v>
      </c>
      <c r="AK11" s="31">
        <f ca="1">'TUSD BE'!$AK$11*'TUSD BE'!$AK$58</f>
        <v>2.4735656990833962E-2</v>
      </c>
      <c r="AL11" s="31">
        <f ca="1">SUM($AH$11:$AK$11)</f>
        <v>0.66791506056917627</v>
      </c>
      <c r="AM11" s="31">
        <f ca="1">SUMIF($L$4:$AL$4,"SUBTOTAL",$L$11:$AL$11)</f>
        <v>-6.3404058028525014</v>
      </c>
      <c r="AO11" s="59">
        <f ca="1">+'TUSD BE'!$T$11+'TUSD BE'!$AB$11+'TUSD BE'!$AD$11+'TUSD BE'!$AL$11</f>
        <v>1478.2969230891163</v>
      </c>
      <c r="AP11" s="59">
        <f ca="1">+'TUSD BE'!$T$11+'TUSD BE'!$AB$11+'TUSD BE'!$AD$11+'TUSD BE'!$AL$11</f>
        <v>1478.2969230891163</v>
      </c>
    </row>
    <row r="12" spans="1:42" ht="11.25" customHeight="1" x14ac:dyDescent="0.25">
      <c r="A12" s="149"/>
      <c r="B12" s="149"/>
      <c r="C12" s="149"/>
      <c r="D12" s="149"/>
      <c r="E12" s="149"/>
      <c r="F12" s="149"/>
      <c r="G12" s="57" t="s">
        <v>76</v>
      </c>
      <c r="H12" s="57" t="s">
        <v>74</v>
      </c>
      <c r="I12" s="57">
        <f>'MERCADO TUSD'!$U$9</f>
        <v>108386.66</v>
      </c>
      <c r="J12" s="15"/>
      <c r="L12" s="31">
        <f>'TUSD BE'!$L$12*'TUSD BE'!$L$58</f>
        <v>0</v>
      </c>
      <c r="M12" s="31">
        <f>'TUSD BE'!$M$12*'TUSD BE'!$M$58</f>
        <v>-1.1538100189374996E-2</v>
      </c>
      <c r="N12" s="31">
        <f ca="1">'TUSD BE'!$N$12*'TUSD BE'!$N$58</f>
        <v>-1.0938636333008266E-6</v>
      </c>
      <c r="O12" s="31">
        <f>'TUSD BE'!$O$12*'TUSD BE'!$O$58</f>
        <v>0</v>
      </c>
      <c r="P12" s="31">
        <f>'TUSD BE'!$P$12*'TUSD BE'!$P$58</f>
        <v>0</v>
      </c>
      <c r="Q12" s="31">
        <f>'TUSD BE'!$Q$12*'TUSD BE'!$Q$58</f>
        <v>-2.2968607286001315</v>
      </c>
      <c r="R12" s="31">
        <f>'TUSD BE'!$R$12*'TUSD BE'!$R$58</f>
        <v>-0.47097951775238756</v>
      </c>
      <c r="S12" s="31">
        <f>'TUSD BE'!$R$12*'TUSD BE'!$S$58</f>
        <v>0</v>
      </c>
      <c r="T12" s="31">
        <f ca="1">SUM($L$12:$S$12)</f>
        <v>-2.7793794404055272</v>
      </c>
      <c r="U12" s="31">
        <f>'TUSD BE'!$U$12*'TUSD BE'!$U$58</f>
        <v>0</v>
      </c>
      <c r="V12" s="31">
        <f>'TUSD BE'!$V$12*'TUSD BE'!$V$58</f>
        <v>0</v>
      </c>
      <c r="W12" s="31">
        <f>'TUSD BE'!$W$12*'TUSD BE'!$W$58</f>
        <v>0</v>
      </c>
      <c r="X12" s="31">
        <f>'TUSD BE'!$X$12*'TUSD BE'!$X$58</f>
        <v>0</v>
      </c>
      <c r="Y12" s="31">
        <f>'TUSD BE'!$Y$12*'TUSD BE'!$Y$58</f>
        <v>0</v>
      </c>
      <c r="Z12" s="31">
        <f>'TUSD BE'!$Z$12*'TUSD BE'!$Z$58</f>
        <v>0</v>
      </c>
      <c r="AA12" s="31">
        <f>'TUSD BE'!$AA$12*'TUSD BE'!$AA$58</f>
        <v>0</v>
      </c>
      <c r="AB12" s="31">
        <f>SUM($U$12:$AA$12)</f>
        <v>0</v>
      </c>
      <c r="AC12" s="31">
        <f>'TUSD BE'!$AC$12*'TUSD BE'!$AC$58</f>
        <v>0</v>
      </c>
      <c r="AD12" s="31">
        <f>SUM($AC$12:$AC$12)</f>
        <v>0</v>
      </c>
      <c r="AE12" s="31">
        <f ca="1">$AO$12*$AO$55</f>
        <v>0</v>
      </c>
      <c r="AF12" s="31">
        <f ca="1">$AP$12*$AP$55</f>
        <v>0</v>
      </c>
      <c r="AG12" s="31">
        <f ca="1">SUM($AE$12:$AF$12)</f>
        <v>0</v>
      </c>
      <c r="AH12" s="31">
        <f>'TUSD BE'!$AH$12*'TUSD BE'!$AH$58</f>
        <v>0.61492125762607952</v>
      </c>
      <c r="AI12" s="31">
        <f>'TUSD BE'!$AI$12*'TUSD BE'!$AI$58</f>
        <v>1.3304267399352383E-2</v>
      </c>
      <c r="AJ12" s="31">
        <f ca="1">'TUSD BE'!$AJ$12*'TUSD BE'!$AJ$58</f>
        <v>1.4953878552910386E-2</v>
      </c>
      <c r="AK12" s="31">
        <f ca="1">'TUSD BE'!$AK$12*'TUSD BE'!$AK$58</f>
        <v>2.4735656990833962E-2</v>
      </c>
      <c r="AL12" s="31">
        <f ca="1">SUM($AH$12:$AK$12)</f>
        <v>0.66791506056917627</v>
      </c>
      <c r="AM12" s="31">
        <f ca="1">SUMIF($L$4:$AL$4,"SUBTOTAL",$L$12:$AL$12)</f>
        <v>-2.111464379836351</v>
      </c>
      <c r="AO12" s="59">
        <f ca="1">+'TUSD BE'!$T$12+'TUSD BE'!$AB$12+'TUSD BE'!$AD$12+'TUSD BE'!$AL$12</f>
        <v>98.914531839783777</v>
      </c>
      <c r="AP12" s="59">
        <f ca="1">+'TUSD BE'!$T$12+'TUSD BE'!$AB$12+'TUSD BE'!$AD$12+'TUSD BE'!$AL$12</f>
        <v>98.914531839783777</v>
      </c>
    </row>
    <row r="13" spans="1:42" ht="11.25" customHeight="1" x14ac:dyDescent="0.25">
      <c r="A13" s="149"/>
      <c r="B13" s="149"/>
      <c r="C13" s="149"/>
      <c r="D13" s="149"/>
      <c r="E13" s="149" t="s">
        <v>82</v>
      </c>
      <c r="F13" s="149" t="s">
        <v>25</v>
      </c>
      <c r="G13" s="57" t="s">
        <v>75</v>
      </c>
      <c r="H13" s="57" t="s">
        <v>74</v>
      </c>
      <c r="I13" s="57">
        <f>'MERCADO TUSD'!$U$10</f>
        <v>0</v>
      </c>
      <c r="J13" s="15"/>
      <c r="L13" s="31">
        <f>'TUSD BE'!$L$13*'TUSD BE'!$L$58</f>
        <v>0</v>
      </c>
      <c r="M13" s="31">
        <f>'TUSD BE'!$M$13*'TUSD BE'!$M$58</f>
        <v>-1.1538100189374996E-2</v>
      </c>
      <c r="N13" s="31">
        <f ca="1">'TUSD BE'!$N$13*'TUSD BE'!$N$58</f>
        <v>-5.8772829314217084E-5</v>
      </c>
      <c r="O13" s="31">
        <f>'TUSD BE'!$O$13*'TUSD BE'!$O$58</f>
        <v>0</v>
      </c>
      <c r="P13" s="31">
        <f>'TUSD BE'!$P$13*'TUSD BE'!$P$58</f>
        <v>0</v>
      </c>
      <c r="Q13" s="31">
        <f>'TUSD BE'!$Q$13*'TUSD BE'!$Q$58</f>
        <v>0</v>
      </c>
      <c r="R13" s="31">
        <f>'TUSD BE'!$R$13*'TUSD BE'!$R$58</f>
        <v>0</v>
      </c>
      <c r="S13" s="31">
        <f>'TUSD BE'!$R$13*'TUSD BE'!$S$58</f>
        <v>0</v>
      </c>
      <c r="T13" s="31">
        <f ca="1">SUM($L$13:$S$13)</f>
        <v>-1.1596873018689212E-2</v>
      </c>
      <c r="U13" s="31">
        <f>'TUSD BE'!$U$13*'TUSD BE'!$U$58</f>
        <v>0</v>
      </c>
      <c r="V13" s="31">
        <f>'TUSD BE'!$V$13*'TUSD BE'!$V$58</f>
        <v>0</v>
      </c>
      <c r="W13" s="31">
        <f>'TUSD BE'!$W$13*'TUSD BE'!$W$58</f>
        <v>0</v>
      </c>
      <c r="X13" s="31">
        <f>'TUSD BE'!$X$13*'TUSD BE'!$X$58</f>
        <v>0</v>
      </c>
      <c r="Y13" s="31">
        <f>'TUSD BE'!$Y$13*'TUSD BE'!$Y$58</f>
        <v>3.0451751596288354</v>
      </c>
      <c r="Z13" s="31">
        <f>'TUSD BE'!$Z$13*'TUSD BE'!$Z$58</f>
        <v>0</v>
      </c>
      <c r="AA13" s="31">
        <f>'TUSD BE'!$AA$13*'TUSD BE'!$AA$58</f>
        <v>0</v>
      </c>
      <c r="AB13" s="31">
        <f>SUM($U$13:$AA$13)</f>
        <v>3.0451751596288354</v>
      </c>
      <c r="AC13" s="31">
        <f>'TUSD BE'!$AC$13*'TUSD BE'!$AC$58</f>
        <v>-7.274058857430945</v>
      </c>
      <c r="AD13" s="31">
        <f>SUM($AC$13:$AC$13)</f>
        <v>-7.274058857430945</v>
      </c>
      <c r="AE13" s="31">
        <f ca="1">$AO$13*$AO$55</f>
        <v>0</v>
      </c>
      <c r="AF13" s="31">
        <f ca="1">$AP$13*$AP$55</f>
        <v>0</v>
      </c>
      <c r="AG13" s="31">
        <f ca="1">SUM($AE$13:$AF$13)</f>
        <v>0</v>
      </c>
      <c r="AH13" s="31">
        <f>'TUSD BE'!$AH$13*'TUSD BE'!$AH$58</f>
        <v>0.61492125762607952</v>
      </c>
      <c r="AI13" s="31">
        <f>'TUSD BE'!$AI$13*'TUSD BE'!$AI$58</f>
        <v>1.3304267399352383E-2</v>
      </c>
      <c r="AJ13" s="31">
        <f ca="1">'TUSD BE'!$AJ$13*'TUSD BE'!$AJ$58</f>
        <v>1.4953878552910386E-2</v>
      </c>
      <c r="AK13" s="31">
        <f ca="1">'TUSD BE'!$AK$13*'TUSD BE'!$AK$58</f>
        <v>2.4735656990833962E-2</v>
      </c>
      <c r="AL13" s="31">
        <f ca="1">SUM($AH$13:$AK$13)</f>
        <v>0.66791506056917627</v>
      </c>
      <c r="AM13" s="31">
        <f ca="1">SUMIF($L$4:$AL$4,"SUBTOTAL",$L$13:$AL$13)</f>
        <v>-3.5725655102516223</v>
      </c>
      <c r="AO13" s="59">
        <f ca="1">+'TUSD BE'!$T$13+'TUSD BE'!$AB$13+'TUSD BE'!$AD$13+'TUSD BE'!$AL$13</f>
        <v>1389.1920061932547</v>
      </c>
      <c r="AP13" s="59">
        <f ca="1">+'TUSD BE'!$T$13+'TUSD BE'!$AB$13+'TUSD BE'!$AD$13+'TUSD BE'!$AL$13</f>
        <v>1389.1920061932547</v>
      </c>
    </row>
    <row r="14" spans="1:42" ht="11.25" customHeight="1" x14ac:dyDescent="0.25">
      <c r="A14" s="149"/>
      <c r="B14" s="149"/>
      <c r="C14" s="149"/>
      <c r="D14" s="149"/>
      <c r="E14" s="149"/>
      <c r="F14" s="149"/>
      <c r="G14" s="57" t="s">
        <v>76</v>
      </c>
      <c r="H14" s="57" t="s">
        <v>74</v>
      </c>
      <c r="I14" s="57">
        <f>'MERCADO TUSD'!$U$11</f>
        <v>0</v>
      </c>
      <c r="J14" s="15"/>
      <c r="L14" s="31">
        <f>'TUSD BE'!$L$14*'TUSD BE'!$L$58</f>
        <v>0</v>
      </c>
      <c r="M14" s="31">
        <f>'TUSD BE'!$M$14*'TUSD BE'!$M$58</f>
        <v>-1.1538100189374996E-2</v>
      </c>
      <c r="N14" s="31">
        <f ca="1">'TUSD BE'!$N$14*'TUSD BE'!$N$58</f>
        <v>-1.0476152734865321E-6</v>
      </c>
      <c r="O14" s="31">
        <f>'TUSD BE'!$O$14*'TUSD BE'!$O$58</f>
        <v>0</v>
      </c>
      <c r="P14" s="31">
        <f>'TUSD BE'!$P$14*'TUSD BE'!$P$58</f>
        <v>0</v>
      </c>
      <c r="Q14" s="31">
        <f>'TUSD BE'!$Q$14*'TUSD BE'!$Q$58</f>
        <v>0</v>
      </c>
      <c r="R14" s="31">
        <f>'TUSD BE'!$R$14*'TUSD BE'!$R$58</f>
        <v>0</v>
      </c>
      <c r="S14" s="31">
        <f>'TUSD BE'!$R$14*'TUSD BE'!$S$58</f>
        <v>0</v>
      </c>
      <c r="T14" s="31">
        <f ca="1">SUM($L$14:$S$14)</f>
        <v>-1.1539147804648483E-2</v>
      </c>
      <c r="U14" s="31">
        <f>'TUSD BE'!$U$14*'TUSD BE'!$U$58</f>
        <v>0</v>
      </c>
      <c r="V14" s="31">
        <f>'TUSD BE'!$V$14*'TUSD BE'!$V$58</f>
        <v>0</v>
      </c>
      <c r="W14" s="31">
        <f>'TUSD BE'!$W$14*'TUSD BE'!$W$58</f>
        <v>0</v>
      </c>
      <c r="X14" s="31">
        <f>'TUSD BE'!$X$14*'TUSD BE'!$X$58</f>
        <v>0</v>
      </c>
      <c r="Y14" s="31">
        <f>'TUSD BE'!$Y$14*'TUSD BE'!$Y$58</f>
        <v>0</v>
      </c>
      <c r="Z14" s="31">
        <f>'TUSD BE'!$Z$14*'TUSD BE'!$Z$58</f>
        <v>0</v>
      </c>
      <c r="AA14" s="31">
        <f>'TUSD BE'!$AA$14*'TUSD BE'!$AA$58</f>
        <v>0</v>
      </c>
      <c r="AB14" s="31">
        <f>SUM($U$14:$AA$14)</f>
        <v>0</v>
      </c>
      <c r="AC14" s="31">
        <f>'TUSD BE'!$AC$14*'TUSD BE'!$AC$58</f>
        <v>0</v>
      </c>
      <c r="AD14" s="31">
        <f>SUM($AC$14:$AC$14)</f>
        <v>0</v>
      </c>
      <c r="AE14" s="31">
        <f ca="1">$AO$14*$AO$55</f>
        <v>0</v>
      </c>
      <c r="AF14" s="31">
        <f ca="1">$AP$14*$AP$55</f>
        <v>0</v>
      </c>
      <c r="AG14" s="31">
        <f ca="1">SUM($AE$14:$AF$14)</f>
        <v>0</v>
      </c>
      <c r="AH14" s="31">
        <f>'TUSD BE'!$AH$14*'TUSD BE'!$AH$58</f>
        <v>0.61492125762607952</v>
      </c>
      <c r="AI14" s="31">
        <f>'TUSD BE'!$AI$14*'TUSD BE'!$AI$58</f>
        <v>1.3304267399352383E-2</v>
      </c>
      <c r="AJ14" s="31">
        <f ca="1">'TUSD BE'!$AJ$14*'TUSD BE'!$AJ$58</f>
        <v>1.4953878552910386E-2</v>
      </c>
      <c r="AK14" s="31">
        <f ca="1">'TUSD BE'!$AK$14*'TUSD BE'!$AK$58</f>
        <v>2.4735656990833962E-2</v>
      </c>
      <c r="AL14" s="31">
        <f ca="1">SUM($AH$14:$AK$14)</f>
        <v>0.66791506056917627</v>
      </c>
      <c r="AM14" s="31">
        <f ca="1">SUMIF($L$4:$AL$4,"SUBTOTAL",$L$14:$AL$14)</f>
        <v>0.65637591276452778</v>
      </c>
      <c r="AO14" s="59">
        <f ca="1">+'TUSD BE'!$T$14+'TUSD BE'!$AB$14+'TUSD BE'!$AD$14+'TUSD BE'!$AL$14</f>
        <v>9.8096149439220781</v>
      </c>
      <c r="AP14" s="59">
        <f ca="1">+'TUSD BE'!$T$14+'TUSD BE'!$AB$14+'TUSD BE'!$AD$14+'TUSD BE'!$AL$14</f>
        <v>9.8096149439220781</v>
      </c>
    </row>
    <row r="15" spans="1:42" ht="11.25" customHeight="1" x14ac:dyDescent="0.25">
      <c r="A15" s="149" t="s">
        <v>84</v>
      </c>
      <c r="B15" s="149" t="s">
        <v>83</v>
      </c>
      <c r="C15" s="149" t="s">
        <v>25</v>
      </c>
      <c r="D15" s="149" t="s">
        <v>25</v>
      </c>
      <c r="E15" s="56" t="s">
        <v>85</v>
      </c>
      <c r="F15" s="56" t="s">
        <v>25</v>
      </c>
      <c r="G15" s="57" t="s">
        <v>9</v>
      </c>
      <c r="H15" s="57" t="s">
        <v>79</v>
      </c>
      <c r="I15" s="57">
        <f>'MERCADO TUSD'!$U$12+0.00000001</f>
        <v>1E-8</v>
      </c>
      <c r="J15" s="15"/>
      <c r="L15" s="31">
        <f>'TUSD BE'!$L$15*'TUSD BE'!$L$58</f>
        <v>0</v>
      </c>
      <c r="M15" s="31">
        <f>'TUSD BE'!$M$15*'TUSD BE'!$M$58</f>
        <v>-1.4124007003994538E-3</v>
      </c>
      <c r="N15" s="31">
        <f ca="1">'TUSD BE'!$N$15*'TUSD BE'!$N$58</f>
        <v>-4.1253536954350811E-7</v>
      </c>
      <c r="O15" s="31">
        <f>'TUSD BE'!$O$15*'TUSD BE'!$O$58</f>
        <v>0</v>
      </c>
      <c r="P15" s="31">
        <f>'TUSD BE'!$P$15*'TUSD BE'!$P$58</f>
        <v>0</v>
      </c>
      <c r="Q15" s="31">
        <f>'TUSD BE'!$Q$15*'TUSD BE'!$Q$58</f>
        <v>0</v>
      </c>
      <c r="R15" s="31">
        <f>'TUSD BE'!$R$15*'TUSD BE'!$R$58</f>
        <v>0</v>
      </c>
      <c r="S15" s="31">
        <f>'TUSD BE'!$R$15*'TUSD BE'!$S$58</f>
        <v>0</v>
      </c>
      <c r="T15" s="31">
        <f ca="1">SUM($L$15:$S$15)</f>
        <v>-1.4128132357689974E-3</v>
      </c>
      <c r="U15" s="31">
        <f>'TUSD BE'!$U$15*'TUSD BE'!$U$58</f>
        <v>0</v>
      </c>
      <c r="V15" s="31">
        <f>'TUSD BE'!$V$15*'TUSD BE'!$V$58</f>
        <v>0</v>
      </c>
      <c r="W15" s="31">
        <f>'TUSD BE'!$W$15*'TUSD BE'!$W$58</f>
        <v>0</v>
      </c>
      <c r="X15" s="31">
        <f>'TUSD BE'!$X$15*'TUSD BE'!$X$58</f>
        <v>0</v>
      </c>
      <c r="Y15" s="31">
        <f>'TUSD BE'!$Y$15*'TUSD BE'!$Y$58</f>
        <v>0</v>
      </c>
      <c r="Z15" s="31">
        <f>'TUSD BE'!$Z$15*'TUSD BE'!$Z$58</f>
        <v>0</v>
      </c>
      <c r="AA15" s="31">
        <f>'TUSD BE'!$AA$15*'TUSD BE'!$AA$58</f>
        <v>0</v>
      </c>
      <c r="AB15" s="31">
        <f>SUM($U$15:$AA$15)</f>
        <v>0</v>
      </c>
      <c r="AC15" s="31">
        <f>'TUSD BE'!$AC$15*'TUSD BE'!$AC$58</f>
        <v>-0.11556934907890908</v>
      </c>
      <c r="AD15" s="31">
        <f>SUM($AC$15:$AC$15)</f>
        <v>-0.11556934907890908</v>
      </c>
      <c r="AE15" s="31">
        <f ca="1">$AO$15*$AO$55</f>
        <v>0</v>
      </c>
      <c r="AF15" s="31">
        <f ca="1">$AP$15*$AP$55</f>
        <v>0</v>
      </c>
      <c r="AG15" s="31">
        <f ca="1">SUM($AE$15:$AF$15)</f>
        <v>0</v>
      </c>
      <c r="AH15" s="31">
        <f>'TUSD BE'!$AH$15*'TUSD BE'!$AH$58</f>
        <v>0</v>
      </c>
      <c r="AI15" s="31">
        <f>'TUSD BE'!$AI$15*'TUSD BE'!$AI$58</f>
        <v>0</v>
      </c>
      <c r="AJ15" s="31">
        <f ca="1">'TUSD BE'!$AJ$15*'TUSD BE'!$AJ$58</f>
        <v>0</v>
      </c>
      <c r="AK15" s="31">
        <f ca="1">'TUSD BE'!$AK$15*'TUSD BE'!$AK$58</f>
        <v>0</v>
      </c>
      <c r="AL15" s="31">
        <f ca="1">SUM($AH$15:$AK$15)</f>
        <v>0</v>
      </c>
      <c r="AM15" s="31">
        <f ca="1">SUMIF($L$4:$AL$4,"SUBTOTAL",$L$15:$AL$15)</f>
        <v>-0.11698216231467808</v>
      </c>
      <c r="AO15" s="59">
        <f ca="1">+'TUSD BE'!$T$15+'TUSD BE'!$AB$15+'TUSD BE'!$AD$15+'TUSD BE'!$AL$15</f>
        <v>9.323084622468409</v>
      </c>
      <c r="AP15" s="59">
        <f ca="1">+'TUSD BE'!$T$15+'TUSD BE'!$AB$15+'TUSD BE'!$AD$15+'TUSD BE'!$AL$15</f>
        <v>9.323084622468409</v>
      </c>
    </row>
    <row r="16" spans="1:42" ht="11.25" customHeight="1" x14ac:dyDescent="0.25">
      <c r="A16" s="149"/>
      <c r="B16" s="149"/>
      <c r="C16" s="149"/>
      <c r="D16" s="149"/>
      <c r="E16" s="56" t="s">
        <v>86</v>
      </c>
      <c r="F16" s="56" t="s">
        <v>25</v>
      </c>
      <c r="G16" s="57" t="s">
        <v>9</v>
      </c>
      <c r="H16" s="57" t="s">
        <v>79</v>
      </c>
      <c r="I16" s="57">
        <f>'MERCADO TUSD'!$U$13+0.00000001</f>
        <v>1E-8</v>
      </c>
      <c r="J16" s="15"/>
      <c r="L16" s="31">
        <f>'TUSD BE'!$L$16*'TUSD BE'!$L$58</f>
        <v>0</v>
      </c>
      <c r="M16" s="31">
        <f>'TUSD BE'!$M$16*'TUSD BE'!$M$58</f>
        <v>-1.4124007003994538E-3</v>
      </c>
      <c r="N16" s="31">
        <f ca="1">'TUSD BE'!$N$16*'TUSD BE'!$N$58</f>
        <v>-4.1253536954350811E-7</v>
      </c>
      <c r="O16" s="31">
        <f>'TUSD BE'!$O$16*'TUSD BE'!$O$58</f>
        <v>0</v>
      </c>
      <c r="P16" s="31">
        <f>'TUSD BE'!$P$16*'TUSD BE'!$P$58</f>
        <v>0</v>
      </c>
      <c r="Q16" s="31">
        <f>'TUSD BE'!$Q$16*'TUSD BE'!$Q$58</f>
        <v>0</v>
      </c>
      <c r="R16" s="31">
        <f>'TUSD BE'!$R$16*'TUSD BE'!$R$58</f>
        <v>0</v>
      </c>
      <c r="S16" s="31">
        <f>'TUSD BE'!$R$16*'TUSD BE'!$S$58</f>
        <v>0</v>
      </c>
      <c r="T16" s="31">
        <f ca="1">SUM($L$16:$S$16)</f>
        <v>-1.4128132357689974E-3</v>
      </c>
      <c r="U16" s="31">
        <f>'TUSD BE'!$U$16*'TUSD BE'!$U$58</f>
        <v>0</v>
      </c>
      <c r="V16" s="31">
        <f>'TUSD BE'!$V$16*'TUSD BE'!$V$58</f>
        <v>0</v>
      </c>
      <c r="W16" s="31">
        <f>'TUSD BE'!$W$16*'TUSD BE'!$W$58</f>
        <v>0</v>
      </c>
      <c r="X16" s="31">
        <f>'TUSD BE'!$X$16*'TUSD BE'!$X$58</f>
        <v>0</v>
      </c>
      <c r="Y16" s="31">
        <f>'TUSD BE'!$Y$16*'TUSD BE'!$Y$58</f>
        <v>0</v>
      </c>
      <c r="Z16" s="31">
        <f>'TUSD BE'!$Z$16*'TUSD BE'!$Z$58</f>
        <v>0</v>
      </c>
      <c r="AA16" s="31">
        <f>'TUSD BE'!$AA$16*'TUSD BE'!$AA$58</f>
        <v>0</v>
      </c>
      <c r="AB16" s="31">
        <f>SUM($U$16:$AA$16)</f>
        <v>0</v>
      </c>
      <c r="AC16" s="31">
        <f>'TUSD BE'!$AC$16*'TUSD BE'!$AC$58</f>
        <v>-0.18412470345153178</v>
      </c>
      <c r="AD16" s="31">
        <f>SUM($AC$16:$AC$16)</f>
        <v>-0.18412470345153178</v>
      </c>
      <c r="AE16" s="31">
        <f ca="1">$AO$16*$AO$55</f>
        <v>0</v>
      </c>
      <c r="AF16" s="31">
        <f ca="1">$AP$16*$AP$55</f>
        <v>0</v>
      </c>
      <c r="AG16" s="31">
        <f ca="1">SUM($AE$16:$AF$16)</f>
        <v>0</v>
      </c>
      <c r="AH16" s="31">
        <f>'TUSD BE'!$AH$16*'TUSD BE'!$AH$58</f>
        <v>0</v>
      </c>
      <c r="AI16" s="31">
        <f>'TUSD BE'!$AI$16*'TUSD BE'!$AI$58</f>
        <v>0</v>
      </c>
      <c r="AJ16" s="31">
        <f ca="1">'TUSD BE'!$AJ$16*'TUSD BE'!$AJ$58</f>
        <v>0</v>
      </c>
      <c r="AK16" s="31">
        <f ca="1">'TUSD BE'!$AK$16*'TUSD BE'!$AK$58</f>
        <v>0</v>
      </c>
      <c r="AL16" s="31">
        <f ca="1">SUM($AH$16:$AK$16)</f>
        <v>0</v>
      </c>
      <c r="AM16" s="31">
        <f ca="1">SUMIF($L$4:$AL$4,"SUBTOTAL",$L$16:$AL$16)</f>
        <v>-0.18553751668730079</v>
      </c>
      <c r="AO16" s="59">
        <f ca="1">+'TUSD BE'!$T$16+'TUSD BE'!$AB$16+'TUSD BE'!$AD$16+'TUSD BE'!$AL$16</f>
        <v>14.760563710962762</v>
      </c>
      <c r="AP16" s="59">
        <f ca="1">+'TUSD BE'!$T$16+'TUSD BE'!$AB$16+'TUSD BE'!$AD$16+'TUSD BE'!$AL$16</f>
        <v>14.760563710962762</v>
      </c>
    </row>
    <row r="17" spans="1:42" ht="11.25" customHeight="1" x14ac:dyDescent="0.25">
      <c r="A17" s="149" t="s">
        <v>22</v>
      </c>
      <c r="B17" s="149" t="s">
        <v>50</v>
      </c>
      <c r="C17" s="149" t="s">
        <v>24</v>
      </c>
      <c r="D17" s="149" t="s">
        <v>24</v>
      </c>
      <c r="E17" s="149" t="s">
        <v>25</v>
      </c>
      <c r="F17" s="149" t="s">
        <v>25</v>
      </c>
      <c r="G17" s="57" t="s">
        <v>75</v>
      </c>
      <c r="H17" s="57" t="s">
        <v>74</v>
      </c>
      <c r="I17" s="57">
        <f>'MERCADO TUSD'!$U$14</f>
        <v>0</v>
      </c>
      <c r="J17" s="15"/>
      <c r="L17" s="31">
        <f>'TUSD BE'!$L$17*'TUSD BE'!$L$58</f>
        <v>0</v>
      </c>
      <c r="M17" s="31">
        <f>'TUSD BE'!$M$17*'TUSD BE'!$M$58</f>
        <v>-3.0650909416479716E-2</v>
      </c>
      <c r="N17" s="31">
        <f ca="1">'TUSD BE'!$N$17*'TUSD BE'!$N$58</f>
        <v>-3.536421128698183E-5</v>
      </c>
      <c r="O17" s="31">
        <f>'TUSD BE'!$O$17*'TUSD BE'!$O$58</f>
        <v>0</v>
      </c>
      <c r="P17" s="31">
        <f>'TUSD BE'!$P$17*'TUSD BE'!$P$58</f>
        <v>0</v>
      </c>
      <c r="Q17" s="31">
        <f>'TUSD BE'!$Q$17*'TUSD BE'!$Q$58</f>
        <v>-2.7343580102382514</v>
      </c>
      <c r="R17" s="31">
        <f>'TUSD BE'!$R$17*'TUSD BE'!$R$58</f>
        <v>-0.47097951775238756</v>
      </c>
      <c r="S17" s="31">
        <f>'TUSD BE'!$R$17*'TUSD BE'!$S$58</f>
        <v>0</v>
      </c>
      <c r="T17" s="31">
        <f ca="1">SUM($L$17:$S$17)</f>
        <v>-3.2360238016184057</v>
      </c>
      <c r="U17" s="31">
        <f>'TUSD BE'!$U$17*'TUSD BE'!$U$58</f>
        <v>0</v>
      </c>
      <c r="V17" s="31">
        <f>'TUSD BE'!$V$17*'TUSD BE'!$V$58</f>
        <v>0</v>
      </c>
      <c r="W17" s="31">
        <f>'TUSD BE'!$W$17*'TUSD BE'!$W$58</f>
        <v>0</v>
      </c>
      <c r="X17" s="31">
        <f>'TUSD BE'!$X$17*'TUSD BE'!$X$58</f>
        <v>0</v>
      </c>
      <c r="Y17" s="31">
        <f>'TUSD BE'!$Y$17*'TUSD BE'!$Y$58</f>
        <v>1.134897614469532</v>
      </c>
      <c r="Z17" s="31">
        <f>'TUSD BE'!$Z$17*'TUSD BE'!$Z$58</f>
        <v>0</v>
      </c>
      <c r="AA17" s="31">
        <f>'TUSD BE'!$AA$17*'TUSD BE'!$AA$58</f>
        <v>0</v>
      </c>
      <c r="AB17" s="31">
        <f>SUM($U$17:$AA$17)</f>
        <v>1.134897614469532</v>
      </c>
      <c r="AC17" s="31">
        <f>'TUSD BE'!$AC$17*'TUSD BE'!$AC$58</f>
        <v>-5.9809320383424538</v>
      </c>
      <c r="AD17" s="31">
        <f>SUM($AC$17:$AC$17)</f>
        <v>-5.9809320383424538</v>
      </c>
      <c r="AE17" s="31">
        <f ca="1">$AO$17*$AO$55</f>
        <v>0</v>
      </c>
      <c r="AF17" s="31">
        <f ca="1">$AP$17*$AP$55</f>
        <v>0</v>
      </c>
      <c r="AG17" s="31">
        <f ca="1">SUM($AE$17:$AF$17)</f>
        <v>0</v>
      </c>
      <c r="AH17" s="31">
        <f>'TUSD BE'!$AH$17*'TUSD BE'!$AH$58</f>
        <v>1.3126368552728811</v>
      </c>
      <c r="AI17" s="31">
        <f>'TUSD BE'!$AI$17*'TUSD BE'!$AI$58</f>
        <v>2.8399850394202356E-2</v>
      </c>
      <c r="AJ17" s="31">
        <f ca="1">'TUSD BE'!$AJ$17*'TUSD BE'!$AJ$58</f>
        <v>2.2743288755253759E-2</v>
      </c>
      <c r="AK17" s="31">
        <f ca="1">'TUSD BE'!$AK$17*'TUSD BE'!$AK$58</f>
        <v>3.7620352974175937E-2</v>
      </c>
      <c r="AL17" s="31">
        <f ca="1">SUM($AH$17:$AK$17)</f>
        <v>1.4014003473965131</v>
      </c>
      <c r="AM17" s="31">
        <f ca="1">SUMIF($L$4:$AL$4,"SUBTOTAL",$L$17:$AL$17)</f>
        <v>-6.6806578780948138</v>
      </c>
      <c r="AO17" s="59">
        <f ca="1">+'TUSD BE'!$T$17+'TUSD BE'!$AB$17+'TUSD BE'!$AD$17+'TUSD BE'!$AL$17</f>
        <v>901.09853266375694</v>
      </c>
      <c r="AP17" s="59">
        <f ca="1">+'TUSD BE'!$T$17+'TUSD BE'!$AB$17+'TUSD BE'!$AD$17+'TUSD BE'!$AL$17</f>
        <v>901.09853266375694</v>
      </c>
    </row>
    <row r="18" spans="1:42" ht="11.25" customHeight="1" x14ac:dyDescent="0.25">
      <c r="A18" s="149"/>
      <c r="B18" s="149"/>
      <c r="C18" s="149"/>
      <c r="D18" s="149"/>
      <c r="E18" s="149"/>
      <c r="F18" s="149"/>
      <c r="G18" s="57" t="s">
        <v>87</v>
      </c>
      <c r="H18" s="57" t="s">
        <v>74</v>
      </c>
      <c r="I18" s="57">
        <f>'MERCADO TUSD'!$U$15</f>
        <v>0</v>
      </c>
      <c r="J18" s="15"/>
      <c r="L18" s="31">
        <f>'TUSD BE'!$L$18*'TUSD BE'!$L$58</f>
        <v>0</v>
      </c>
      <c r="M18" s="31">
        <f>'TUSD BE'!$M$18*'TUSD BE'!$M$58</f>
        <v>-3.0650909416479716E-2</v>
      </c>
      <c r="N18" s="31">
        <f ca="1">'TUSD BE'!$N$18*'TUSD BE'!$N$58</f>
        <v>-2.2108728389135803E-5</v>
      </c>
      <c r="O18" s="31">
        <f>'TUSD BE'!$O$18*'TUSD BE'!$O$58</f>
        <v>0</v>
      </c>
      <c r="P18" s="31">
        <f>'TUSD BE'!$P$18*'TUSD BE'!$P$58</f>
        <v>0</v>
      </c>
      <c r="Q18" s="31">
        <f>'TUSD BE'!$Q$18*'TUSD BE'!$Q$58</f>
        <v>-2.7343580102382514</v>
      </c>
      <c r="R18" s="31">
        <f>'TUSD BE'!$R$18*'TUSD BE'!$R$58</f>
        <v>-0.47097951775238756</v>
      </c>
      <c r="S18" s="31">
        <f>'TUSD BE'!$R$18*'TUSD BE'!$S$58</f>
        <v>0</v>
      </c>
      <c r="T18" s="31">
        <f ca="1">SUM($L$18:$S$18)</f>
        <v>-3.2360105461355078</v>
      </c>
      <c r="U18" s="31">
        <f>'TUSD BE'!$U$18*'TUSD BE'!$U$58</f>
        <v>0</v>
      </c>
      <c r="V18" s="31">
        <f>'TUSD BE'!$V$18*'TUSD BE'!$V$58</f>
        <v>0</v>
      </c>
      <c r="W18" s="31">
        <f>'TUSD BE'!$W$18*'TUSD BE'!$W$58</f>
        <v>0</v>
      </c>
      <c r="X18" s="31">
        <f>'TUSD BE'!$X$18*'TUSD BE'!$X$58</f>
        <v>0</v>
      </c>
      <c r="Y18" s="31">
        <f>'TUSD BE'!$Y$18*'TUSD BE'!$Y$58</f>
        <v>0.68093856868171931</v>
      </c>
      <c r="Z18" s="31">
        <f>'TUSD BE'!$Z$18*'TUSD BE'!$Z$58</f>
        <v>0</v>
      </c>
      <c r="AA18" s="31">
        <f>'TUSD BE'!$AA$18*'TUSD BE'!$AA$58</f>
        <v>0</v>
      </c>
      <c r="AB18" s="31">
        <f>SUM($U$18:$AA$18)</f>
        <v>0.68093856868171931</v>
      </c>
      <c r="AC18" s="31">
        <f>'TUSD BE'!$AC$18*'TUSD BE'!$AC$58</f>
        <v>-3.5885597433595926</v>
      </c>
      <c r="AD18" s="31">
        <f>SUM($AC$18:$AC$18)</f>
        <v>-3.5885597433595926</v>
      </c>
      <c r="AE18" s="31">
        <f ca="1">$AO$18*$AO$55</f>
        <v>0</v>
      </c>
      <c r="AF18" s="31">
        <f ca="1">$AP$18*$AP$55</f>
        <v>0</v>
      </c>
      <c r="AG18" s="31">
        <f ca="1">SUM($AE$18:$AF$18)</f>
        <v>0</v>
      </c>
      <c r="AH18" s="31">
        <f>'TUSD BE'!$AH$18*'TUSD BE'!$AH$58</f>
        <v>1.3126368552728811</v>
      </c>
      <c r="AI18" s="31">
        <f>'TUSD BE'!$AI$18*'TUSD BE'!$AI$58</f>
        <v>2.8399850394202356E-2</v>
      </c>
      <c r="AJ18" s="31">
        <f ca="1">'TUSD BE'!$AJ$18*'TUSD BE'!$AJ$58</f>
        <v>2.2743288755253759E-2</v>
      </c>
      <c r="AK18" s="31">
        <f ca="1">'TUSD BE'!$AK$18*'TUSD BE'!$AK$58</f>
        <v>3.7620352974175937E-2</v>
      </c>
      <c r="AL18" s="31">
        <f ca="1">SUM($AH$18:$AK$18)</f>
        <v>1.4014003473965131</v>
      </c>
      <c r="AM18" s="31">
        <f ca="1">SUMIF($L$4:$AL$4,"SUBTOTAL",$L$18:$AL$18)</f>
        <v>-4.7422313734168684</v>
      </c>
      <c r="AO18" s="59">
        <f ca="1">+'TUSD BE'!$T$18+'TUSD BE'!$AB$18+'TUSD BE'!$AD$18+'TUSD BE'!$AL$18</f>
        <v>590.37043496150977</v>
      </c>
      <c r="AP18" s="59">
        <f ca="1">+'TUSD BE'!$T$18+'TUSD BE'!$AB$18+'TUSD BE'!$AD$18+'TUSD BE'!$AL$18</f>
        <v>590.37043496150977</v>
      </c>
    </row>
    <row r="19" spans="1:42" ht="11.25" customHeight="1" x14ac:dyDescent="0.25">
      <c r="A19" s="149"/>
      <c r="B19" s="149"/>
      <c r="C19" s="149"/>
      <c r="D19" s="149"/>
      <c r="E19" s="149"/>
      <c r="F19" s="149"/>
      <c r="G19" s="57" t="s">
        <v>76</v>
      </c>
      <c r="H19" s="57" t="s">
        <v>74</v>
      </c>
      <c r="I19" s="57">
        <f>'MERCADO TUSD'!$U$16</f>
        <v>0</v>
      </c>
      <c r="J19" s="15"/>
      <c r="L19" s="31">
        <f>'TUSD BE'!$L$19*'TUSD BE'!$L$58</f>
        <v>0</v>
      </c>
      <c r="M19" s="31">
        <f>'TUSD BE'!$M$19*'TUSD BE'!$M$58</f>
        <v>-3.0650909416479716E-2</v>
      </c>
      <c r="N19" s="31">
        <f ca="1">'TUSD BE'!$N$19*'TUSD BE'!$N$58</f>
        <v>-8.853240866453803E-6</v>
      </c>
      <c r="O19" s="31">
        <f>'TUSD BE'!$O$19*'TUSD BE'!$O$58</f>
        <v>0</v>
      </c>
      <c r="P19" s="31">
        <f>'TUSD BE'!$P$19*'TUSD BE'!$P$58</f>
        <v>0</v>
      </c>
      <c r="Q19" s="31">
        <f>'TUSD BE'!$Q$19*'TUSD BE'!$Q$58</f>
        <v>-2.7343580102382514</v>
      </c>
      <c r="R19" s="31">
        <f>'TUSD BE'!$R$19*'TUSD BE'!$R$58</f>
        <v>-0.47097951775238756</v>
      </c>
      <c r="S19" s="31">
        <f>'TUSD BE'!$R$19*'TUSD BE'!$S$58</f>
        <v>0</v>
      </c>
      <c r="T19" s="31">
        <f ca="1">SUM($L$19:$S$19)</f>
        <v>-3.235997290647985</v>
      </c>
      <c r="U19" s="31">
        <f>'TUSD BE'!$U$19*'TUSD BE'!$U$58</f>
        <v>0</v>
      </c>
      <c r="V19" s="31">
        <f>'TUSD BE'!$V$19*'TUSD BE'!$V$58</f>
        <v>0</v>
      </c>
      <c r="W19" s="31">
        <f>'TUSD BE'!$W$19*'TUSD BE'!$W$58</f>
        <v>0</v>
      </c>
      <c r="X19" s="31">
        <f>'TUSD BE'!$X$19*'TUSD BE'!$X$58</f>
        <v>0</v>
      </c>
      <c r="Y19" s="31">
        <f>'TUSD BE'!$Y$19*'TUSD BE'!$Y$58</f>
        <v>0.22697952289390644</v>
      </c>
      <c r="Z19" s="31">
        <f>'TUSD BE'!$Z$19*'TUSD BE'!$Z$58</f>
        <v>0</v>
      </c>
      <c r="AA19" s="31">
        <f>'TUSD BE'!$AA$19*'TUSD BE'!$AA$58</f>
        <v>0</v>
      </c>
      <c r="AB19" s="31">
        <f>SUM($U$19:$AA$19)</f>
        <v>0.22697952289390644</v>
      </c>
      <c r="AC19" s="31">
        <f>'TUSD BE'!$AC$19*'TUSD BE'!$AC$58</f>
        <v>-1.196186147491431</v>
      </c>
      <c r="AD19" s="31">
        <f>SUM($AC$19:$AC$19)</f>
        <v>-1.196186147491431</v>
      </c>
      <c r="AE19" s="31">
        <f ca="1">$AO$19*$AO$55</f>
        <v>0</v>
      </c>
      <c r="AF19" s="31">
        <f ca="1">$AP$19*$AP$55</f>
        <v>0</v>
      </c>
      <c r="AG19" s="31">
        <f ca="1">SUM($AE$19:$AF$19)</f>
        <v>0</v>
      </c>
      <c r="AH19" s="31">
        <f>'TUSD BE'!$AH$19*'TUSD BE'!$AH$58</f>
        <v>1.3126368552728811</v>
      </c>
      <c r="AI19" s="31">
        <f>'TUSD BE'!$AI$19*'TUSD BE'!$AI$58</f>
        <v>2.8399850394202356E-2</v>
      </c>
      <c r="AJ19" s="31">
        <f ca="1">'TUSD BE'!$AJ$19*'TUSD BE'!$AJ$58</f>
        <v>2.2743288755253759E-2</v>
      </c>
      <c r="AK19" s="31">
        <f ca="1">'TUSD BE'!$AK$19*'TUSD BE'!$AK$58</f>
        <v>3.7620352974175937E-2</v>
      </c>
      <c r="AL19" s="31">
        <f ca="1">SUM($AH$19:$AK$19)</f>
        <v>1.4014003473965131</v>
      </c>
      <c r="AM19" s="31">
        <f ca="1">SUMIF($L$4:$AL$4,"SUBTOTAL",$L$19:$AL$19)</f>
        <v>-2.8038035678489965</v>
      </c>
      <c r="AO19" s="59">
        <f ca="1">+'TUSD BE'!$T$19+'TUSD BE'!$AB$19+'TUSD BE'!$AD$19+'TUSD BE'!$AL$19</f>
        <v>279.6422327334987</v>
      </c>
      <c r="AP19" s="59">
        <f ca="1">+'TUSD BE'!$T$19+'TUSD BE'!$AB$19+'TUSD BE'!$AD$19+'TUSD BE'!$AL$19</f>
        <v>279.6422327334987</v>
      </c>
    </row>
    <row r="20" spans="1:42" ht="11.25" customHeight="1" x14ac:dyDescent="0.25">
      <c r="A20" s="149"/>
      <c r="B20" s="149" t="s">
        <v>23</v>
      </c>
      <c r="C20" s="149" t="s">
        <v>24</v>
      </c>
      <c r="D20" s="56" t="s">
        <v>24</v>
      </c>
      <c r="E20" s="56" t="s">
        <v>25</v>
      </c>
      <c r="F20" s="56" t="s">
        <v>25</v>
      </c>
      <c r="G20" s="57" t="s">
        <v>78</v>
      </c>
      <c r="H20" s="57" t="s">
        <v>74</v>
      </c>
      <c r="I20" s="57">
        <f>'MERCADO TUSD'!$U$17</f>
        <v>67923.810000000012</v>
      </c>
      <c r="J20" s="15"/>
      <c r="L20" s="31">
        <f>'TUSD BE'!$L$20*'TUSD BE'!$L$58</f>
        <v>0</v>
      </c>
      <c r="M20" s="31">
        <f>'TUSD BE'!$M$20*'TUSD BE'!$M$58</f>
        <v>-3.0650909416479716E-2</v>
      </c>
      <c r="N20" s="31">
        <f ca="1">'TUSD BE'!$N$20*'TUSD BE'!$N$58</f>
        <v>-1.3853118672125327E-5</v>
      </c>
      <c r="O20" s="31">
        <f>'TUSD BE'!$O$20*'TUSD BE'!$O$58</f>
        <v>0</v>
      </c>
      <c r="P20" s="31">
        <f>'TUSD BE'!$P$20*'TUSD BE'!$P$58</f>
        <v>0</v>
      </c>
      <c r="Q20" s="31">
        <f>'TUSD BE'!$Q$20*'TUSD BE'!$Q$58</f>
        <v>-2.7343580102382514</v>
      </c>
      <c r="R20" s="31">
        <f>'TUSD BE'!$R$20*'TUSD BE'!$R$58</f>
        <v>-0.47097951775238756</v>
      </c>
      <c r="S20" s="31">
        <f>'TUSD BE'!$R$20*'TUSD BE'!$S$58</f>
        <v>0</v>
      </c>
      <c r="T20" s="31">
        <f ca="1">SUM($L$20:$S$20)</f>
        <v>-3.2360022905257906</v>
      </c>
      <c r="U20" s="31">
        <f>'TUSD BE'!$U$20*'TUSD BE'!$U$58</f>
        <v>0</v>
      </c>
      <c r="V20" s="31">
        <f>'TUSD BE'!$V$20*'TUSD BE'!$V$58</f>
        <v>0</v>
      </c>
      <c r="W20" s="31">
        <f>'TUSD BE'!$W$20*'TUSD BE'!$W$58</f>
        <v>0</v>
      </c>
      <c r="X20" s="31">
        <f>'TUSD BE'!$X$20*'TUSD BE'!$X$58</f>
        <v>0</v>
      </c>
      <c r="Y20" s="31">
        <f>'TUSD BE'!$Y$20*'TUSD BE'!$Y$58</f>
        <v>0.39820982110424452</v>
      </c>
      <c r="Z20" s="31">
        <f>'TUSD BE'!$Z$20*'TUSD BE'!$Z$58</f>
        <v>0</v>
      </c>
      <c r="AA20" s="31">
        <f>'TUSD BE'!$AA$20*'TUSD BE'!$AA$58</f>
        <v>0</v>
      </c>
      <c r="AB20" s="31">
        <f>SUM($U$20:$AA$20)</f>
        <v>0.39820982110424452</v>
      </c>
      <c r="AC20" s="31">
        <f>'TUSD BE'!$AC$20*'TUSD BE'!$AC$58</f>
        <v>-2.0985725537422435</v>
      </c>
      <c r="AD20" s="31">
        <f>SUM($AC$20:$AC$20)</f>
        <v>-2.0985725537422435</v>
      </c>
      <c r="AE20" s="31">
        <f ca="1">$AO$20*$AO$55</f>
        <v>0</v>
      </c>
      <c r="AF20" s="31">
        <f ca="1">$AP$20*$AP$55</f>
        <v>0</v>
      </c>
      <c r="AG20" s="31">
        <f ca="1">SUM($AE$20:$AF$20)</f>
        <v>0</v>
      </c>
      <c r="AH20" s="31">
        <f>'TUSD BE'!$AH$20*'TUSD BE'!$AH$58</f>
        <v>1.3126368552728811</v>
      </c>
      <c r="AI20" s="31">
        <f>'TUSD BE'!$AI$20*'TUSD BE'!$AI$58</f>
        <v>2.8399850394202356E-2</v>
      </c>
      <c r="AJ20" s="31">
        <f ca="1">'TUSD BE'!$AJ$20*'TUSD BE'!$AJ$58</f>
        <v>2.2743288755253759E-2</v>
      </c>
      <c r="AK20" s="31">
        <f ca="1">'TUSD BE'!$AK$20*'TUSD BE'!$AK$58</f>
        <v>3.7620352974175937E-2</v>
      </c>
      <c r="AL20" s="31">
        <f ca="1">SUM($AH$20:$AK$20)</f>
        <v>1.4014003473965131</v>
      </c>
      <c r="AM20" s="31">
        <f ca="1">SUMIF($L$4:$AL$4,"SUBTOTAL",$L$20:$AL$20)</f>
        <v>-3.5349646757672764</v>
      </c>
      <c r="AO20" s="59">
        <f ca="1">+'TUSD BE'!$T$20+'TUSD BE'!$AB$20+'TUSD BE'!$AD$20+'TUSD BE'!$AL$20</f>
        <v>396.8467543887827</v>
      </c>
      <c r="AP20" s="59">
        <f ca="1">+'TUSD BE'!$T$20+'TUSD BE'!$AB$20+'TUSD BE'!$AD$20+'TUSD BE'!$AL$20</f>
        <v>396.8467543887827</v>
      </c>
    </row>
    <row r="21" spans="1:42" ht="11.25" customHeight="1" x14ac:dyDescent="0.25">
      <c r="A21" s="149"/>
      <c r="B21" s="149"/>
      <c r="C21" s="149"/>
      <c r="D21" s="56" t="s">
        <v>29</v>
      </c>
      <c r="E21" s="56" t="s">
        <v>25</v>
      </c>
      <c r="F21" s="56" t="s">
        <v>25</v>
      </c>
      <c r="G21" s="57" t="s">
        <v>78</v>
      </c>
      <c r="H21" s="57" t="s">
        <v>74</v>
      </c>
      <c r="I21" s="57">
        <f>'MERCADO TUSD'!$U$18</f>
        <v>515.52700000000004</v>
      </c>
      <c r="J21" s="15"/>
      <c r="L21" s="31">
        <f>'TUSD BE'!$L$21*'TUSD BE'!$L$58</f>
        <v>0</v>
      </c>
      <c r="M21" s="31">
        <f>'TUSD BE'!$M$21*'TUSD BE'!$M$58</f>
        <v>-3.0650909416479716E-2</v>
      </c>
      <c r="N21" s="31">
        <f ca="1">'TUSD BE'!$N$21*'TUSD BE'!$N$58</f>
        <v>-1.3806870312311032E-5</v>
      </c>
      <c r="O21" s="31">
        <f>'TUSD BE'!$O$21*'TUSD BE'!$O$58</f>
        <v>0</v>
      </c>
      <c r="P21" s="31">
        <f>'TUSD BE'!$P$21*'TUSD BE'!$P$58</f>
        <v>0</v>
      </c>
      <c r="Q21" s="31">
        <f>'TUSD BE'!$Q$21*'TUSD BE'!$Q$58</f>
        <v>0</v>
      </c>
      <c r="R21" s="31">
        <f>'TUSD BE'!$R$21*'TUSD BE'!$R$58</f>
        <v>0</v>
      </c>
      <c r="S21" s="31">
        <f>'TUSD BE'!$R$21*'TUSD BE'!$S$58</f>
        <v>0</v>
      </c>
      <c r="T21" s="31">
        <f ca="1">SUM($L$21:$S$21)</f>
        <v>-3.0664716286792026E-2</v>
      </c>
      <c r="U21" s="31">
        <f>'TUSD BE'!$U$21*'TUSD BE'!$U$58</f>
        <v>0</v>
      </c>
      <c r="V21" s="31">
        <f>'TUSD BE'!$V$21*'TUSD BE'!$V$58</f>
        <v>0</v>
      </c>
      <c r="W21" s="31">
        <f>'TUSD BE'!$W$21*'TUSD BE'!$W$58</f>
        <v>0</v>
      </c>
      <c r="X21" s="31">
        <f>'TUSD BE'!$X$21*'TUSD BE'!$X$58</f>
        <v>0</v>
      </c>
      <c r="Y21" s="31">
        <f>'TUSD BE'!$Y$21*'TUSD BE'!$Y$58</f>
        <v>0.39820982110424452</v>
      </c>
      <c r="Z21" s="31">
        <f>'TUSD BE'!$Z$21*'TUSD BE'!$Z$58</f>
        <v>0</v>
      </c>
      <c r="AA21" s="31">
        <f>'TUSD BE'!$AA$21*'TUSD BE'!$AA$58</f>
        <v>0</v>
      </c>
      <c r="AB21" s="31">
        <f>SUM($U$21:$AA$21)</f>
        <v>0.39820982110424452</v>
      </c>
      <c r="AC21" s="31">
        <f>'TUSD BE'!$AC$21*'TUSD BE'!$AC$58</f>
        <v>-2.0985725537422435</v>
      </c>
      <c r="AD21" s="31">
        <f>SUM($AC$21:$AC$21)</f>
        <v>-2.0985725537422435</v>
      </c>
      <c r="AE21" s="31">
        <f ca="1">$AO$21*$AO$55</f>
        <v>0</v>
      </c>
      <c r="AF21" s="31">
        <f ca="1">$AP$21*$AP$55</f>
        <v>0</v>
      </c>
      <c r="AG21" s="31">
        <f ca="1">SUM($AE$21:$AF$21)</f>
        <v>0</v>
      </c>
      <c r="AH21" s="31">
        <f>'TUSD BE'!$AH$21*'TUSD BE'!$AH$58</f>
        <v>1.3126368552728811</v>
      </c>
      <c r="AI21" s="31">
        <f>'TUSD BE'!$AI$21*'TUSD BE'!$AI$58</f>
        <v>2.8399850394202356E-2</v>
      </c>
      <c r="AJ21" s="31">
        <f ca="1">'TUSD BE'!$AJ$21*'TUSD BE'!$AJ$58</f>
        <v>2.2743288755253759E-2</v>
      </c>
      <c r="AK21" s="31">
        <f ca="1">'TUSD BE'!$AK$21*'TUSD BE'!$AK$58</f>
        <v>3.7620352974175937E-2</v>
      </c>
      <c r="AL21" s="31">
        <f ca="1">SUM($AH$21:$AK$21)</f>
        <v>1.4014003473965131</v>
      </c>
      <c r="AM21" s="31">
        <f ca="1">SUMIF($L$4:$AL$4,"SUBTOTAL",$L$21:$AL$21)</f>
        <v>-0.3296271015282779</v>
      </c>
      <c r="AO21" s="59">
        <f ca="1">+'TUSD BE'!$T$21+'TUSD BE'!$AB$21+'TUSD BE'!$AD$21+'TUSD BE'!$AL$21</f>
        <v>293.38530838770379</v>
      </c>
      <c r="AP21" s="59">
        <f ca="1">+'TUSD BE'!$T$21+'TUSD BE'!$AB$21+'TUSD BE'!$AD$21+'TUSD BE'!$AL$21</f>
        <v>293.38530838770379</v>
      </c>
    </row>
    <row r="22" spans="1:42" ht="11.25" customHeight="1" x14ac:dyDescent="0.25">
      <c r="A22" s="149"/>
      <c r="B22" s="149"/>
      <c r="C22" s="149"/>
      <c r="D22" s="56" t="s">
        <v>30</v>
      </c>
      <c r="E22" s="56" t="s">
        <v>25</v>
      </c>
      <c r="F22" s="56" t="s">
        <v>25</v>
      </c>
      <c r="G22" s="57" t="s">
        <v>78</v>
      </c>
      <c r="H22" s="57" t="s">
        <v>74</v>
      </c>
      <c r="I22" s="57">
        <f>'MERCADO TUSD'!$U$19</f>
        <v>1078.232</v>
      </c>
      <c r="J22" s="15"/>
      <c r="L22" s="31">
        <f>'TUSD BE'!$L$22*'TUSD BE'!$L$58</f>
        <v>0</v>
      </c>
      <c r="M22" s="31">
        <f>'TUSD BE'!$M$22*'TUSD BE'!$M$58</f>
        <v>-3.0650909416479716E-2</v>
      </c>
      <c r="N22" s="31">
        <f ca="1">'TUSD BE'!$N$22*'TUSD BE'!$N$58</f>
        <v>-1.3806870312311032E-5</v>
      </c>
      <c r="O22" s="31">
        <f>'TUSD BE'!$O$22*'TUSD BE'!$O$58</f>
        <v>0</v>
      </c>
      <c r="P22" s="31">
        <f>'TUSD BE'!$P$22*'TUSD BE'!$P$58</f>
        <v>0</v>
      </c>
      <c r="Q22" s="31">
        <f>'TUSD BE'!$Q$22*'TUSD BE'!$Q$58</f>
        <v>0</v>
      </c>
      <c r="R22" s="31">
        <f>'TUSD BE'!$R$22*'TUSD BE'!$R$58</f>
        <v>0</v>
      </c>
      <c r="S22" s="31">
        <f>'TUSD BE'!$R$22*'TUSD BE'!$S$58</f>
        <v>0</v>
      </c>
      <c r="T22" s="31">
        <f ca="1">SUM($L$22:$S$22)</f>
        <v>-3.0664716286792026E-2</v>
      </c>
      <c r="U22" s="31">
        <f>'TUSD BE'!$U$22*'TUSD BE'!$U$58</f>
        <v>0</v>
      </c>
      <c r="V22" s="31">
        <f>'TUSD BE'!$V$22*'TUSD BE'!$V$58</f>
        <v>0</v>
      </c>
      <c r="W22" s="31">
        <f>'TUSD BE'!$W$22*'TUSD BE'!$W$58</f>
        <v>0</v>
      </c>
      <c r="X22" s="31">
        <f>'TUSD BE'!$X$22*'TUSD BE'!$X$58</f>
        <v>0</v>
      </c>
      <c r="Y22" s="31">
        <f>'TUSD BE'!$Y$22*'TUSD BE'!$Y$58</f>
        <v>0.39820982110424452</v>
      </c>
      <c r="Z22" s="31">
        <f>'TUSD BE'!$Z$22*'TUSD BE'!$Z$58</f>
        <v>0</v>
      </c>
      <c r="AA22" s="31">
        <f>'TUSD BE'!$AA$22*'TUSD BE'!$AA$58</f>
        <v>0</v>
      </c>
      <c r="AB22" s="31">
        <f>SUM($U$22:$AA$22)</f>
        <v>0.39820982110424452</v>
      </c>
      <c r="AC22" s="31">
        <f>'TUSD BE'!$AC$22*'TUSD BE'!$AC$58</f>
        <v>-2.0985725537422435</v>
      </c>
      <c r="AD22" s="31">
        <f>SUM($AC$22:$AC$22)</f>
        <v>-2.0985725537422435</v>
      </c>
      <c r="AE22" s="31">
        <f ca="1">$AO$22*$AO$55</f>
        <v>0</v>
      </c>
      <c r="AF22" s="31">
        <f ca="1">$AP$22*$AP$55</f>
        <v>0</v>
      </c>
      <c r="AG22" s="31">
        <f ca="1">SUM($AE$22:$AF$22)</f>
        <v>0</v>
      </c>
      <c r="AH22" s="31">
        <f>'TUSD BE'!$AH$22*'TUSD BE'!$AH$58</f>
        <v>1.3126368552728811</v>
      </c>
      <c r="AI22" s="31">
        <f>'TUSD BE'!$AI$22*'TUSD BE'!$AI$58</f>
        <v>2.8399850394202356E-2</v>
      </c>
      <c r="AJ22" s="31">
        <f ca="1">'TUSD BE'!$AJ$22*'TUSD BE'!$AJ$58</f>
        <v>2.2743288755253759E-2</v>
      </c>
      <c r="AK22" s="31">
        <f ca="1">'TUSD BE'!$AK$22*'TUSD BE'!$AK$58</f>
        <v>3.7620352974175937E-2</v>
      </c>
      <c r="AL22" s="31">
        <f ca="1">SUM($AH$22:$AK$22)</f>
        <v>1.4014003473965131</v>
      </c>
      <c r="AM22" s="31">
        <f ca="1">SUMIF($L$4:$AL$4,"SUBTOTAL",$L$22:$AL$22)</f>
        <v>-0.3296271015282779</v>
      </c>
      <c r="AO22" s="59">
        <f ca="1">+'TUSD BE'!$T$22+'TUSD BE'!$AB$22+'TUSD BE'!$AD$22+'TUSD BE'!$AL$22</f>
        <v>293.38530838770379</v>
      </c>
      <c r="AP22" s="59">
        <f ca="1">+'TUSD BE'!$T$22+'TUSD BE'!$AB$22+'TUSD BE'!$AD$22+'TUSD BE'!$AL$22</f>
        <v>293.38530838770379</v>
      </c>
    </row>
    <row r="23" spans="1:42" ht="11.25" customHeight="1" x14ac:dyDescent="0.25">
      <c r="A23" s="149"/>
      <c r="B23" s="149"/>
      <c r="C23" s="149"/>
      <c r="D23" s="56" t="s">
        <v>31</v>
      </c>
      <c r="E23" s="56" t="s">
        <v>25</v>
      </c>
      <c r="F23" s="56" t="s">
        <v>25</v>
      </c>
      <c r="G23" s="57" t="s">
        <v>78</v>
      </c>
      <c r="H23" s="57" t="s">
        <v>74</v>
      </c>
      <c r="I23" s="57">
        <f>'MERCADO TUSD'!$U$20</f>
        <v>1111.8500000000001</v>
      </c>
      <c r="J23" s="15"/>
      <c r="L23" s="31">
        <f>'TUSD BE'!$L$23*'TUSD BE'!$L$58</f>
        <v>0</v>
      </c>
      <c r="M23" s="31">
        <f>'TUSD BE'!$M$23*'TUSD BE'!$M$58</f>
        <v>-3.0650909416479716E-2</v>
      </c>
      <c r="N23" s="31">
        <f ca="1">'TUSD BE'!$N$23*'TUSD BE'!$N$58</f>
        <v>-1.3806870312311032E-5</v>
      </c>
      <c r="O23" s="31">
        <f>'TUSD BE'!$O$23*'TUSD BE'!$O$58</f>
        <v>0</v>
      </c>
      <c r="P23" s="31">
        <f>'TUSD BE'!$P$23*'TUSD BE'!$P$58</f>
        <v>0</v>
      </c>
      <c r="Q23" s="31">
        <f>'TUSD BE'!$Q$23*'TUSD BE'!$Q$58</f>
        <v>0</v>
      </c>
      <c r="R23" s="31">
        <f>'TUSD BE'!$R$23*'TUSD BE'!$R$58</f>
        <v>0</v>
      </c>
      <c r="S23" s="31">
        <f>'TUSD BE'!$R$23*'TUSD BE'!$S$58</f>
        <v>0</v>
      </c>
      <c r="T23" s="31">
        <f ca="1">SUM($L$23:$S$23)</f>
        <v>-3.0664716286792026E-2</v>
      </c>
      <c r="U23" s="31">
        <f>'TUSD BE'!$U$23*'TUSD BE'!$U$58</f>
        <v>0</v>
      </c>
      <c r="V23" s="31">
        <f>'TUSD BE'!$V$23*'TUSD BE'!$V$58</f>
        <v>0</v>
      </c>
      <c r="W23" s="31">
        <f>'TUSD BE'!$W$23*'TUSD BE'!$W$58</f>
        <v>0</v>
      </c>
      <c r="X23" s="31">
        <f>'TUSD BE'!$X$23*'TUSD BE'!$X$58</f>
        <v>0</v>
      </c>
      <c r="Y23" s="31">
        <f>'TUSD BE'!$Y$23*'TUSD BE'!$Y$58</f>
        <v>0.39820982110424452</v>
      </c>
      <c r="Z23" s="31">
        <f>'TUSD BE'!$Z$23*'TUSD BE'!$Z$58</f>
        <v>0</v>
      </c>
      <c r="AA23" s="31">
        <f>'TUSD BE'!$AA$23*'TUSD BE'!$AA$58</f>
        <v>0</v>
      </c>
      <c r="AB23" s="31">
        <f>SUM($U$23:$AA$23)</f>
        <v>0.39820982110424452</v>
      </c>
      <c r="AC23" s="31">
        <f>'TUSD BE'!$AC$23*'TUSD BE'!$AC$58</f>
        <v>-2.0985725537422435</v>
      </c>
      <c r="AD23" s="31">
        <f>SUM($AC$23:$AC$23)</f>
        <v>-2.0985725537422435</v>
      </c>
      <c r="AE23" s="31">
        <f ca="1">$AO$23*$AO$55</f>
        <v>0</v>
      </c>
      <c r="AF23" s="31">
        <f ca="1">$AP$23*$AP$55</f>
        <v>0</v>
      </c>
      <c r="AG23" s="31">
        <f ca="1">SUM($AE$23:$AF$23)</f>
        <v>0</v>
      </c>
      <c r="AH23" s="31">
        <f>'TUSD BE'!$AH$23*'TUSD BE'!$AH$58</f>
        <v>1.3126368552728811</v>
      </c>
      <c r="AI23" s="31">
        <f>'TUSD BE'!$AI$23*'TUSD BE'!$AI$58</f>
        <v>2.8399850394202356E-2</v>
      </c>
      <c r="AJ23" s="31">
        <f ca="1">'TUSD BE'!$AJ$23*'TUSD BE'!$AJ$58</f>
        <v>2.2743288755253759E-2</v>
      </c>
      <c r="AK23" s="31">
        <f ca="1">'TUSD BE'!$AK$23*'TUSD BE'!$AK$58</f>
        <v>3.7620352974175937E-2</v>
      </c>
      <c r="AL23" s="31">
        <f ca="1">SUM($AH$23:$AK$23)</f>
        <v>1.4014003473965131</v>
      </c>
      <c r="AM23" s="31">
        <f ca="1">SUMIF($L$4:$AL$4,"SUBTOTAL",$L$23:$AL$23)</f>
        <v>-0.3296271015282779</v>
      </c>
      <c r="AO23" s="59">
        <f ca="1">+'TUSD BE'!$T$23+'TUSD BE'!$AB$23+'TUSD BE'!$AD$23+'TUSD BE'!$AL$23</f>
        <v>293.38530838770379</v>
      </c>
      <c r="AP23" s="59">
        <f ca="1">+'TUSD BE'!$T$23+'TUSD BE'!$AB$23+'TUSD BE'!$AD$23+'TUSD BE'!$AL$23</f>
        <v>293.38530838770379</v>
      </c>
    </row>
    <row r="24" spans="1:42" ht="11.25" customHeight="1" x14ac:dyDescent="0.25">
      <c r="A24" s="149"/>
      <c r="B24" s="149"/>
      <c r="C24" s="149"/>
      <c r="D24" s="56" t="s">
        <v>32</v>
      </c>
      <c r="E24" s="56" t="s">
        <v>25</v>
      </c>
      <c r="F24" s="56" t="s">
        <v>25</v>
      </c>
      <c r="G24" s="57" t="s">
        <v>78</v>
      </c>
      <c r="H24" s="57" t="s">
        <v>74</v>
      </c>
      <c r="I24" s="57">
        <f>'MERCADO TUSD'!$U$21</f>
        <v>453.86500000000007</v>
      </c>
      <c r="J24" s="15"/>
      <c r="L24" s="31">
        <f>'TUSD BE'!$L$24*'TUSD BE'!$L$58</f>
        <v>0</v>
      </c>
      <c r="M24" s="31">
        <f>'TUSD BE'!$M$24*'TUSD BE'!$M$58</f>
        <v>-3.0650909416479716E-2</v>
      </c>
      <c r="N24" s="31">
        <f ca="1">'TUSD BE'!$N$24*'TUSD BE'!$N$58</f>
        <v>-1.3806870312311032E-5</v>
      </c>
      <c r="O24" s="31">
        <f>'TUSD BE'!$O$24*'TUSD BE'!$O$58</f>
        <v>0</v>
      </c>
      <c r="P24" s="31">
        <f>'TUSD BE'!$P$24*'TUSD BE'!$P$58</f>
        <v>0</v>
      </c>
      <c r="Q24" s="31">
        <f>'TUSD BE'!$Q$24*'TUSD BE'!$Q$58</f>
        <v>0</v>
      </c>
      <c r="R24" s="31">
        <f>'TUSD BE'!$R$24*'TUSD BE'!$R$58</f>
        <v>0</v>
      </c>
      <c r="S24" s="31">
        <f>'TUSD BE'!$R$24*'TUSD BE'!$S$58</f>
        <v>0</v>
      </c>
      <c r="T24" s="31">
        <f ca="1">SUM($L$24:$S$24)</f>
        <v>-3.0664716286792026E-2</v>
      </c>
      <c r="U24" s="31">
        <f>'TUSD BE'!$U$24*'TUSD BE'!$U$58</f>
        <v>0</v>
      </c>
      <c r="V24" s="31">
        <f>'TUSD BE'!$V$24*'TUSD BE'!$V$58</f>
        <v>0</v>
      </c>
      <c r="W24" s="31">
        <f>'TUSD BE'!$W$24*'TUSD BE'!$W$58</f>
        <v>0</v>
      </c>
      <c r="X24" s="31">
        <f>'TUSD BE'!$X$24*'TUSD BE'!$X$58</f>
        <v>0</v>
      </c>
      <c r="Y24" s="31">
        <f>'TUSD BE'!$Y$24*'TUSD BE'!$Y$58</f>
        <v>0.39820982110424452</v>
      </c>
      <c r="Z24" s="31">
        <f>'TUSD BE'!$Z$24*'TUSD BE'!$Z$58</f>
        <v>0</v>
      </c>
      <c r="AA24" s="31">
        <f>'TUSD BE'!$AA$24*'TUSD BE'!$AA$58</f>
        <v>0</v>
      </c>
      <c r="AB24" s="31">
        <f>SUM($U$24:$AA$24)</f>
        <v>0.39820982110424452</v>
      </c>
      <c r="AC24" s="31">
        <f>'TUSD BE'!$AC$24*'TUSD BE'!$AC$58</f>
        <v>-2.0985725537422435</v>
      </c>
      <c r="AD24" s="31">
        <f>SUM($AC$24:$AC$24)</f>
        <v>-2.0985725537422435</v>
      </c>
      <c r="AE24" s="31">
        <f ca="1">$AO$24*$AO$55</f>
        <v>0</v>
      </c>
      <c r="AF24" s="31">
        <f ca="1">$AP$24*$AP$55</f>
        <v>0</v>
      </c>
      <c r="AG24" s="31">
        <f ca="1">SUM($AE$24:$AF$24)</f>
        <v>0</v>
      </c>
      <c r="AH24" s="31">
        <f>'TUSD BE'!$AH$24*'TUSD BE'!$AH$58</f>
        <v>1.3126368552728811</v>
      </c>
      <c r="AI24" s="31">
        <f>'TUSD BE'!$AI$24*'TUSD BE'!$AI$58</f>
        <v>2.8399850394202356E-2</v>
      </c>
      <c r="AJ24" s="31">
        <f ca="1">'TUSD BE'!$AJ$24*'TUSD BE'!$AJ$58</f>
        <v>2.2743288755253759E-2</v>
      </c>
      <c r="AK24" s="31">
        <f ca="1">'TUSD BE'!$AK$24*'TUSD BE'!$AK$58</f>
        <v>3.7620352974175937E-2</v>
      </c>
      <c r="AL24" s="31">
        <f ca="1">SUM($AH$24:$AK$24)</f>
        <v>1.4014003473965131</v>
      </c>
      <c r="AM24" s="31">
        <f ca="1">SUMIF($L$4:$AL$4,"SUBTOTAL",$L$24:$AL$24)</f>
        <v>-0.3296271015282779</v>
      </c>
      <c r="AO24" s="59">
        <f ca="1">+'TUSD BE'!$T$24+'TUSD BE'!$AB$24+'TUSD BE'!$AD$24+'TUSD BE'!$AL$24</f>
        <v>293.38530838770379</v>
      </c>
      <c r="AP24" s="59">
        <f ca="1">+'TUSD BE'!$T$24+'TUSD BE'!$AB$24+'TUSD BE'!$AD$24+'TUSD BE'!$AL$24</f>
        <v>293.38530838770379</v>
      </c>
    </row>
    <row r="25" spans="1:42" ht="11.25" customHeight="1" x14ac:dyDescent="0.25">
      <c r="A25" s="149"/>
      <c r="B25" s="149" t="s">
        <v>89</v>
      </c>
      <c r="C25" s="149" t="s">
        <v>24</v>
      </c>
      <c r="D25" s="56" t="s">
        <v>24</v>
      </c>
      <c r="E25" s="56" t="s">
        <v>25</v>
      </c>
      <c r="F25" s="56" t="s">
        <v>25</v>
      </c>
      <c r="G25" s="57" t="s">
        <v>78</v>
      </c>
      <c r="H25" s="57" t="s">
        <v>74</v>
      </c>
      <c r="I25" s="57">
        <f>'MERCADO TUSD'!$U$22</f>
        <v>0</v>
      </c>
      <c r="J25" s="15"/>
      <c r="L25" s="31">
        <f>'TUSD BE'!$L$25*'TUSD BE'!$L$58</f>
        <v>0</v>
      </c>
      <c r="M25" s="31">
        <f>'TUSD BE'!$M$25*'TUSD BE'!$M$58</f>
        <v>-3.0650909416479716E-2</v>
      </c>
      <c r="N25" s="31">
        <f ca="1">'TUSD BE'!$N$25*'TUSD BE'!$N$58</f>
        <v>-1.3853118672125327E-5</v>
      </c>
      <c r="O25" s="31">
        <f>'TUSD BE'!$O$25*'TUSD BE'!$O$58</f>
        <v>0</v>
      </c>
      <c r="P25" s="31">
        <f>'TUSD BE'!$P$25*'TUSD BE'!$P$58</f>
        <v>0</v>
      </c>
      <c r="Q25" s="31">
        <f>'TUSD BE'!$Q$25*'TUSD BE'!$Q$58</f>
        <v>-2.7343580102382514</v>
      </c>
      <c r="R25" s="31">
        <f>'TUSD BE'!$R$25*'TUSD BE'!$R$58</f>
        <v>-0.47097951775238756</v>
      </c>
      <c r="S25" s="31">
        <f>'TUSD BE'!$R$25*'TUSD BE'!$S$58</f>
        <v>0</v>
      </c>
      <c r="T25" s="31">
        <f ca="1">SUM($L$25:$S$25)</f>
        <v>-3.2360022905257906</v>
      </c>
      <c r="U25" s="31">
        <f>'TUSD BE'!$U$25*'TUSD BE'!$U$58</f>
        <v>0</v>
      </c>
      <c r="V25" s="31">
        <f>'TUSD BE'!$V$25*'TUSD BE'!$V$58</f>
        <v>0</v>
      </c>
      <c r="W25" s="31">
        <f>'TUSD BE'!$W$25*'TUSD BE'!$W$58</f>
        <v>0</v>
      </c>
      <c r="X25" s="31">
        <f>'TUSD BE'!$X$25*'TUSD BE'!$X$58</f>
        <v>0</v>
      </c>
      <c r="Y25" s="31">
        <f>'TUSD BE'!$Y$25*'TUSD BE'!$Y$58</f>
        <v>0.39820982110424452</v>
      </c>
      <c r="Z25" s="31">
        <f>'TUSD BE'!$Z$25*'TUSD BE'!$Z$58</f>
        <v>0</v>
      </c>
      <c r="AA25" s="31">
        <f>'TUSD BE'!$AA$25*'TUSD BE'!$AA$58</f>
        <v>0</v>
      </c>
      <c r="AB25" s="31">
        <f>SUM($U$25:$AA$25)</f>
        <v>0.39820982110424452</v>
      </c>
      <c r="AC25" s="31">
        <f>'TUSD BE'!$AC$25*'TUSD BE'!$AC$58</f>
        <v>-2.0985725537422435</v>
      </c>
      <c r="AD25" s="31">
        <f>SUM($AC$25:$AC$25)</f>
        <v>-2.0985725537422435</v>
      </c>
      <c r="AE25" s="31">
        <f ca="1">$AO$25*$AO$55</f>
        <v>0</v>
      </c>
      <c r="AF25" s="31">
        <f ca="1">$AP$25*$AP$55</f>
        <v>0</v>
      </c>
      <c r="AG25" s="31">
        <f ca="1">SUM($AE$25:$AF$25)</f>
        <v>0</v>
      </c>
      <c r="AH25" s="31">
        <f>'TUSD BE'!$AH$25*'TUSD BE'!$AH$58</f>
        <v>1.3126368552728811</v>
      </c>
      <c r="AI25" s="31">
        <f>'TUSD BE'!$AI$25*'TUSD BE'!$AI$58</f>
        <v>2.8399850394202356E-2</v>
      </c>
      <c r="AJ25" s="31">
        <f ca="1">'TUSD BE'!$AJ$25*'TUSD BE'!$AJ$58</f>
        <v>2.2743288755253759E-2</v>
      </c>
      <c r="AK25" s="31">
        <f ca="1">'TUSD BE'!$AK$25*'TUSD BE'!$AK$58</f>
        <v>3.7620352974175937E-2</v>
      </c>
      <c r="AL25" s="31">
        <f ca="1">SUM($AH$25:$AK$25)</f>
        <v>1.4014003473965131</v>
      </c>
      <c r="AM25" s="31">
        <f ca="1">SUMIF($L$4:$AL$4,"SUBTOTAL",$L$25:$AL$25)</f>
        <v>-3.5349646757672764</v>
      </c>
      <c r="AO25" s="59">
        <f ca="1">+'TUSD BE'!$T$25+'TUSD BE'!$AB$25+'TUSD BE'!$AD$25+'TUSD BE'!$AL$25</f>
        <v>396.8467543887827</v>
      </c>
      <c r="AP25" s="59">
        <f ca="1">+'TUSD BE'!$T$25+'TUSD BE'!$AB$25+'TUSD BE'!$AD$25+'TUSD BE'!$AL$25</f>
        <v>396.8467543887827</v>
      </c>
    </row>
    <row r="26" spans="1:42" ht="11.25" customHeight="1" x14ac:dyDescent="0.25">
      <c r="A26" s="149"/>
      <c r="B26" s="149"/>
      <c r="C26" s="149"/>
      <c r="D26" s="56" t="s">
        <v>29</v>
      </c>
      <c r="E26" s="56" t="s">
        <v>25</v>
      </c>
      <c r="F26" s="56" t="s">
        <v>25</v>
      </c>
      <c r="G26" s="57" t="s">
        <v>78</v>
      </c>
      <c r="H26" s="57" t="s">
        <v>74</v>
      </c>
      <c r="I26" s="57">
        <f>'MERCADO TUSD'!$U$23</f>
        <v>0</v>
      </c>
      <c r="J26" s="15"/>
      <c r="L26" s="31">
        <f>'TUSD BE'!$L$26*'TUSD BE'!$L$58</f>
        <v>0</v>
      </c>
      <c r="M26" s="31">
        <f>'TUSD BE'!$M$26*'TUSD BE'!$M$58</f>
        <v>-3.0650909416479716E-2</v>
      </c>
      <c r="N26" s="31">
        <f ca="1">'TUSD BE'!$N$26*'TUSD BE'!$N$58</f>
        <v>-1.3806870312311032E-5</v>
      </c>
      <c r="O26" s="31">
        <f>'TUSD BE'!$O$26*'TUSD BE'!$O$58</f>
        <v>0</v>
      </c>
      <c r="P26" s="31">
        <f>'TUSD BE'!$P$26*'TUSD BE'!$P$58</f>
        <v>0</v>
      </c>
      <c r="Q26" s="31">
        <f>'TUSD BE'!$Q$26*'TUSD BE'!$Q$58</f>
        <v>0</v>
      </c>
      <c r="R26" s="31">
        <f>'TUSD BE'!$R$26*'TUSD BE'!$R$58</f>
        <v>0</v>
      </c>
      <c r="S26" s="31">
        <f>'TUSD BE'!$R$26*'TUSD BE'!$S$58</f>
        <v>0</v>
      </c>
      <c r="T26" s="31">
        <f ca="1">SUM($L$26:$S$26)</f>
        <v>-3.0664716286792026E-2</v>
      </c>
      <c r="U26" s="31">
        <f>'TUSD BE'!$U$26*'TUSD BE'!$U$58</f>
        <v>0</v>
      </c>
      <c r="V26" s="31">
        <f>'TUSD BE'!$V$26*'TUSD BE'!$V$58</f>
        <v>0</v>
      </c>
      <c r="W26" s="31">
        <f>'TUSD BE'!$W$26*'TUSD BE'!$W$58</f>
        <v>0</v>
      </c>
      <c r="X26" s="31">
        <f>'TUSD BE'!$X$26*'TUSD BE'!$X$58</f>
        <v>0</v>
      </c>
      <c r="Y26" s="31">
        <f>'TUSD BE'!$Y$26*'TUSD BE'!$Y$58</f>
        <v>0.39820982110424452</v>
      </c>
      <c r="Z26" s="31">
        <f>'TUSD BE'!$Z$26*'TUSD BE'!$Z$58</f>
        <v>0</v>
      </c>
      <c r="AA26" s="31">
        <f>'TUSD BE'!$AA$26*'TUSD BE'!$AA$58</f>
        <v>0</v>
      </c>
      <c r="AB26" s="31">
        <f>SUM($U$26:$AA$26)</f>
        <v>0.39820982110424452</v>
      </c>
      <c r="AC26" s="31">
        <f>'TUSD BE'!$AC$26*'TUSD BE'!$AC$58</f>
        <v>-2.0985725537422435</v>
      </c>
      <c r="AD26" s="31">
        <f>SUM($AC$26:$AC$26)</f>
        <v>-2.0985725537422435</v>
      </c>
      <c r="AE26" s="31">
        <f ca="1">$AO$26*$AO$55</f>
        <v>0</v>
      </c>
      <c r="AF26" s="31">
        <f ca="1">$AP$26*$AP$55</f>
        <v>0</v>
      </c>
      <c r="AG26" s="31">
        <f ca="1">SUM($AE$26:$AF$26)</f>
        <v>0</v>
      </c>
      <c r="AH26" s="31">
        <f>'TUSD BE'!$AH$26*'TUSD BE'!$AH$58</f>
        <v>1.3126368552728811</v>
      </c>
      <c r="AI26" s="31">
        <f>'TUSD BE'!$AI$26*'TUSD BE'!$AI$58</f>
        <v>2.8399850394202356E-2</v>
      </c>
      <c r="AJ26" s="31">
        <f ca="1">'TUSD BE'!$AJ$26*'TUSD BE'!$AJ$58</f>
        <v>2.2743288755253759E-2</v>
      </c>
      <c r="AK26" s="31">
        <f ca="1">'TUSD BE'!$AK$26*'TUSD BE'!$AK$58</f>
        <v>3.7620352974175937E-2</v>
      </c>
      <c r="AL26" s="31">
        <f ca="1">SUM($AH$26:$AK$26)</f>
        <v>1.4014003473965131</v>
      </c>
      <c r="AM26" s="31">
        <f ca="1">SUMIF($L$4:$AL$4,"SUBTOTAL",$L$26:$AL$26)</f>
        <v>-0.3296271015282779</v>
      </c>
      <c r="AO26" s="59">
        <f ca="1">+'TUSD BE'!$T$26+'TUSD BE'!$AB$26+'TUSD BE'!$AD$26+'TUSD BE'!$AL$26</f>
        <v>293.38530838770379</v>
      </c>
      <c r="AP26" s="59">
        <f ca="1">+'TUSD BE'!$T$26+'TUSD BE'!$AB$26+'TUSD BE'!$AD$26+'TUSD BE'!$AL$26</f>
        <v>293.38530838770379</v>
      </c>
    </row>
    <row r="27" spans="1:42" ht="11.25" customHeight="1" x14ac:dyDescent="0.25">
      <c r="A27" s="149"/>
      <c r="B27" s="149"/>
      <c r="C27" s="149"/>
      <c r="D27" s="56" t="s">
        <v>30</v>
      </c>
      <c r="E27" s="56" t="s">
        <v>25</v>
      </c>
      <c r="F27" s="56" t="s">
        <v>25</v>
      </c>
      <c r="G27" s="57" t="s">
        <v>78</v>
      </c>
      <c r="H27" s="57" t="s">
        <v>74</v>
      </c>
      <c r="I27" s="57">
        <f>'MERCADO TUSD'!$U$24</f>
        <v>0</v>
      </c>
      <c r="J27" s="15"/>
      <c r="L27" s="31">
        <f>'TUSD BE'!$L$27*'TUSD BE'!$L$58</f>
        <v>0</v>
      </c>
      <c r="M27" s="31">
        <f>'TUSD BE'!$M$27*'TUSD BE'!$M$58</f>
        <v>-3.0650909416479716E-2</v>
      </c>
      <c r="N27" s="31">
        <f ca="1">'TUSD BE'!$N$27*'TUSD BE'!$N$58</f>
        <v>-1.3806870312311032E-5</v>
      </c>
      <c r="O27" s="31">
        <f>'TUSD BE'!$O$27*'TUSD BE'!$O$58</f>
        <v>0</v>
      </c>
      <c r="P27" s="31">
        <f>'TUSD BE'!$P$27*'TUSD BE'!$P$58</f>
        <v>0</v>
      </c>
      <c r="Q27" s="31">
        <f>'TUSD BE'!$Q$27*'TUSD BE'!$Q$58</f>
        <v>0</v>
      </c>
      <c r="R27" s="31">
        <f>'TUSD BE'!$R$27*'TUSD BE'!$R$58</f>
        <v>0</v>
      </c>
      <c r="S27" s="31">
        <f>'TUSD BE'!$R$27*'TUSD BE'!$S$58</f>
        <v>0</v>
      </c>
      <c r="T27" s="31">
        <f ca="1">SUM($L$27:$S$27)</f>
        <v>-3.0664716286792026E-2</v>
      </c>
      <c r="U27" s="31">
        <f>'TUSD BE'!$U$27*'TUSD BE'!$U$58</f>
        <v>0</v>
      </c>
      <c r="V27" s="31">
        <f>'TUSD BE'!$V$27*'TUSD BE'!$V$58</f>
        <v>0</v>
      </c>
      <c r="W27" s="31">
        <f>'TUSD BE'!$W$27*'TUSD BE'!$W$58</f>
        <v>0</v>
      </c>
      <c r="X27" s="31">
        <f>'TUSD BE'!$X$27*'TUSD BE'!$X$58</f>
        <v>0</v>
      </c>
      <c r="Y27" s="31">
        <f>'TUSD BE'!$Y$27*'TUSD BE'!$Y$58</f>
        <v>0.39820982110424452</v>
      </c>
      <c r="Z27" s="31">
        <f>'TUSD BE'!$Z$27*'TUSD BE'!$Z$58</f>
        <v>0</v>
      </c>
      <c r="AA27" s="31">
        <f>'TUSD BE'!$AA$27*'TUSD BE'!$AA$58</f>
        <v>0</v>
      </c>
      <c r="AB27" s="31">
        <f>SUM($U$27:$AA$27)</f>
        <v>0.39820982110424452</v>
      </c>
      <c r="AC27" s="31">
        <f>'TUSD BE'!$AC$27*'TUSD BE'!$AC$58</f>
        <v>-2.0985725537422435</v>
      </c>
      <c r="AD27" s="31">
        <f>SUM($AC$27:$AC$27)</f>
        <v>-2.0985725537422435</v>
      </c>
      <c r="AE27" s="31">
        <f ca="1">$AO$27*$AO$55</f>
        <v>0</v>
      </c>
      <c r="AF27" s="31">
        <f ca="1">$AP$27*$AP$55</f>
        <v>0</v>
      </c>
      <c r="AG27" s="31">
        <f ca="1">SUM($AE$27:$AF$27)</f>
        <v>0</v>
      </c>
      <c r="AH27" s="31">
        <f>'TUSD BE'!$AH$27*'TUSD BE'!$AH$58</f>
        <v>1.3126368552728811</v>
      </c>
      <c r="AI27" s="31">
        <f>'TUSD BE'!$AI$27*'TUSD BE'!$AI$58</f>
        <v>2.8399850394202356E-2</v>
      </c>
      <c r="AJ27" s="31">
        <f ca="1">'TUSD BE'!$AJ$27*'TUSD BE'!$AJ$58</f>
        <v>2.2743288755253759E-2</v>
      </c>
      <c r="AK27" s="31">
        <f ca="1">'TUSD BE'!$AK$27*'TUSD BE'!$AK$58</f>
        <v>3.7620352974175937E-2</v>
      </c>
      <c r="AL27" s="31">
        <f ca="1">SUM($AH$27:$AK$27)</f>
        <v>1.4014003473965131</v>
      </c>
      <c r="AM27" s="31">
        <f ca="1">SUMIF($L$4:$AL$4,"SUBTOTAL",$L$27:$AL$27)</f>
        <v>-0.3296271015282779</v>
      </c>
      <c r="AO27" s="59">
        <f ca="1">+'TUSD BE'!$T$27+'TUSD BE'!$AB$27+'TUSD BE'!$AD$27+'TUSD BE'!$AL$27</f>
        <v>293.38530838770379</v>
      </c>
      <c r="AP27" s="59">
        <f ca="1">+'TUSD BE'!$T$27+'TUSD BE'!$AB$27+'TUSD BE'!$AD$27+'TUSD BE'!$AL$27</f>
        <v>293.38530838770379</v>
      </c>
    </row>
    <row r="28" spans="1:42" ht="11.25" customHeight="1" x14ac:dyDescent="0.25">
      <c r="A28" s="149"/>
      <c r="B28" s="149"/>
      <c r="C28" s="149"/>
      <c r="D28" s="56" t="s">
        <v>31</v>
      </c>
      <c r="E28" s="56" t="s">
        <v>25</v>
      </c>
      <c r="F28" s="56" t="s">
        <v>25</v>
      </c>
      <c r="G28" s="57" t="s">
        <v>78</v>
      </c>
      <c r="H28" s="57" t="s">
        <v>74</v>
      </c>
      <c r="I28" s="57">
        <f>'MERCADO TUSD'!$U$25</f>
        <v>0</v>
      </c>
      <c r="J28" s="15"/>
      <c r="L28" s="31">
        <f>'TUSD BE'!$L$28*'TUSD BE'!$L$58</f>
        <v>0</v>
      </c>
      <c r="M28" s="31">
        <f>'TUSD BE'!$M$28*'TUSD BE'!$M$58</f>
        <v>-3.0650909416479716E-2</v>
      </c>
      <c r="N28" s="31">
        <f ca="1">'TUSD BE'!$N$28*'TUSD BE'!$N$58</f>
        <v>-1.3806870312311032E-5</v>
      </c>
      <c r="O28" s="31">
        <f>'TUSD BE'!$O$28*'TUSD BE'!$O$58</f>
        <v>0</v>
      </c>
      <c r="P28" s="31">
        <f>'TUSD BE'!$P$28*'TUSD BE'!$P$58</f>
        <v>0</v>
      </c>
      <c r="Q28" s="31">
        <f>'TUSD BE'!$Q$28*'TUSD BE'!$Q$58</f>
        <v>0</v>
      </c>
      <c r="R28" s="31">
        <f>'TUSD BE'!$R$28*'TUSD BE'!$R$58</f>
        <v>0</v>
      </c>
      <c r="S28" s="31">
        <f>'TUSD BE'!$R$28*'TUSD BE'!$S$58</f>
        <v>0</v>
      </c>
      <c r="T28" s="31">
        <f ca="1">SUM($L$28:$S$28)</f>
        <v>-3.0664716286792026E-2</v>
      </c>
      <c r="U28" s="31">
        <f>'TUSD BE'!$U$28*'TUSD BE'!$U$58</f>
        <v>0</v>
      </c>
      <c r="V28" s="31">
        <f>'TUSD BE'!$V$28*'TUSD BE'!$V$58</f>
        <v>0</v>
      </c>
      <c r="W28" s="31">
        <f>'TUSD BE'!$W$28*'TUSD BE'!$W$58</f>
        <v>0</v>
      </c>
      <c r="X28" s="31">
        <f>'TUSD BE'!$X$28*'TUSD BE'!$X$58</f>
        <v>0</v>
      </c>
      <c r="Y28" s="31">
        <f>'TUSD BE'!$Y$28*'TUSD BE'!$Y$58</f>
        <v>0.39820982110424452</v>
      </c>
      <c r="Z28" s="31">
        <f>'TUSD BE'!$Z$28*'TUSD BE'!$Z$58</f>
        <v>0</v>
      </c>
      <c r="AA28" s="31">
        <f>'TUSD BE'!$AA$28*'TUSD BE'!$AA$58</f>
        <v>0</v>
      </c>
      <c r="AB28" s="31">
        <f>SUM($U$28:$AA$28)</f>
        <v>0.39820982110424452</v>
      </c>
      <c r="AC28" s="31">
        <f>'TUSD BE'!$AC$28*'TUSD BE'!$AC$58</f>
        <v>-2.0985725537422435</v>
      </c>
      <c r="AD28" s="31">
        <f>SUM($AC$28:$AC$28)</f>
        <v>-2.0985725537422435</v>
      </c>
      <c r="AE28" s="31">
        <f ca="1">$AO$28*$AO$55</f>
        <v>0</v>
      </c>
      <c r="AF28" s="31">
        <f ca="1">$AP$28*$AP$55</f>
        <v>0</v>
      </c>
      <c r="AG28" s="31">
        <f ca="1">SUM($AE$28:$AF$28)</f>
        <v>0</v>
      </c>
      <c r="AH28" s="31">
        <f>'TUSD BE'!$AH$28*'TUSD BE'!$AH$58</f>
        <v>1.3126368552728811</v>
      </c>
      <c r="AI28" s="31">
        <f>'TUSD BE'!$AI$28*'TUSD BE'!$AI$58</f>
        <v>2.8399850394202356E-2</v>
      </c>
      <c r="AJ28" s="31">
        <f ca="1">'TUSD BE'!$AJ$28*'TUSD BE'!$AJ$58</f>
        <v>2.2743288755253759E-2</v>
      </c>
      <c r="AK28" s="31">
        <f ca="1">'TUSD BE'!$AK$28*'TUSD BE'!$AK$58</f>
        <v>3.7620352974175937E-2</v>
      </c>
      <c r="AL28" s="31">
        <f ca="1">SUM($AH$28:$AK$28)</f>
        <v>1.4014003473965131</v>
      </c>
      <c r="AM28" s="31">
        <f ca="1">SUMIF($L$4:$AL$4,"SUBTOTAL",$L$28:$AL$28)</f>
        <v>-0.3296271015282779</v>
      </c>
      <c r="AO28" s="59">
        <f ca="1">+'TUSD BE'!$T$28+'TUSD BE'!$AB$28+'TUSD BE'!$AD$28+'TUSD BE'!$AL$28</f>
        <v>293.38530838770379</v>
      </c>
      <c r="AP28" s="59">
        <f ca="1">+'TUSD BE'!$T$28+'TUSD BE'!$AB$28+'TUSD BE'!$AD$28+'TUSD BE'!$AL$28</f>
        <v>293.38530838770379</v>
      </c>
    </row>
    <row r="29" spans="1:42" ht="11.25" customHeight="1" x14ac:dyDescent="0.25">
      <c r="A29" s="149"/>
      <c r="B29" s="149"/>
      <c r="C29" s="149"/>
      <c r="D29" s="56" t="s">
        <v>32</v>
      </c>
      <c r="E29" s="56" t="s">
        <v>25</v>
      </c>
      <c r="F29" s="56" t="s">
        <v>25</v>
      </c>
      <c r="G29" s="57" t="s">
        <v>78</v>
      </c>
      <c r="H29" s="57" t="s">
        <v>74</v>
      </c>
      <c r="I29" s="57">
        <f>'MERCADO TUSD'!$U$26</f>
        <v>0</v>
      </c>
      <c r="J29" s="15"/>
      <c r="L29" s="31">
        <f>'TUSD BE'!$L$29*'TUSD BE'!$L$58</f>
        <v>0</v>
      </c>
      <c r="M29" s="31">
        <f>'TUSD BE'!$M$29*'TUSD BE'!$M$58</f>
        <v>-3.0650909416479716E-2</v>
      </c>
      <c r="N29" s="31">
        <f ca="1">'TUSD BE'!$N$29*'TUSD BE'!$N$58</f>
        <v>-1.3806870312311032E-5</v>
      </c>
      <c r="O29" s="31">
        <f>'TUSD BE'!$O$29*'TUSD BE'!$O$58</f>
        <v>0</v>
      </c>
      <c r="P29" s="31">
        <f>'TUSD BE'!$P$29*'TUSD BE'!$P$58</f>
        <v>0</v>
      </c>
      <c r="Q29" s="31">
        <f>'TUSD BE'!$Q$29*'TUSD BE'!$Q$58</f>
        <v>0</v>
      </c>
      <c r="R29" s="31">
        <f>'TUSD BE'!$R$29*'TUSD BE'!$R$58</f>
        <v>0</v>
      </c>
      <c r="S29" s="31">
        <f>'TUSD BE'!$R$29*'TUSD BE'!$S$58</f>
        <v>0</v>
      </c>
      <c r="T29" s="31">
        <f ca="1">SUM($L$29:$S$29)</f>
        <v>-3.0664716286792026E-2</v>
      </c>
      <c r="U29" s="31">
        <f>'TUSD BE'!$U$29*'TUSD BE'!$U$58</f>
        <v>0</v>
      </c>
      <c r="V29" s="31">
        <f>'TUSD BE'!$V$29*'TUSD BE'!$V$58</f>
        <v>0</v>
      </c>
      <c r="W29" s="31">
        <f>'TUSD BE'!$W$29*'TUSD BE'!$W$58</f>
        <v>0</v>
      </c>
      <c r="X29" s="31">
        <f>'TUSD BE'!$X$29*'TUSD BE'!$X$58</f>
        <v>0</v>
      </c>
      <c r="Y29" s="31">
        <f>'TUSD BE'!$Y$29*'TUSD BE'!$Y$58</f>
        <v>0.39820982110424452</v>
      </c>
      <c r="Z29" s="31">
        <f>'TUSD BE'!$Z$29*'TUSD BE'!$Z$58</f>
        <v>0</v>
      </c>
      <c r="AA29" s="31">
        <f>'TUSD BE'!$AA$29*'TUSD BE'!$AA$58</f>
        <v>0</v>
      </c>
      <c r="AB29" s="31">
        <f>SUM($U$29:$AA$29)</f>
        <v>0.39820982110424452</v>
      </c>
      <c r="AC29" s="31">
        <f>'TUSD BE'!$AC$29*'TUSD BE'!$AC$58</f>
        <v>-2.0985725537422435</v>
      </c>
      <c r="AD29" s="31">
        <f>SUM($AC$29:$AC$29)</f>
        <v>-2.0985725537422435</v>
      </c>
      <c r="AE29" s="31">
        <f ca="1">$AO$29*$AO$55</f>
        <v>0</v>
      </c>
      <c r="AF29" s="31">
        <f ca="1">$AP$29*$AP$55</f>
        <v>0</v>
      </c>
      <c r="AG29" s="31">
        <f ca="1">SUM($AE$29:$AF$29)</f>
        <v>0</v>
      </c>
      <c r="AH29" s="31">
        <f>'TUSD BE'!$AH$29*'TUSD BE'!$AH$58</f>
        <v>1.3126368552728811</v>
      </c>
      <c r="AI29" s="31">
        <f>'TUSD BE'!$AI$29*'TUSD BE'!$AI$58</f>
        <v>2.8399850394202356E-2</v>
      </c>
      <c r="AJ29" s="31">
        <f ca="1">'TUSD BE'!$AJ$29*'TUSD BE'!$AJ$58</f>
        <v>2.2743288755253759E-2</v>
      </c>
      <c r="AK29" s="31">
        <f ca="1">'TUSD BE'!$AK$29*'TUSD BE'!$AK$58</f>
        <v>3.7620352974175937E-2</v>
      </c>
      <c r="AL29" s="31">
        <f ca="1">SUM($AH$29:$AK$29)</f>
        <v>1.4014003473965131</v>
      </c>
      <c r="AM29" s="31">
        <f ca="1">SUMIF($L$4:$AL$4,"SUBTOTAL",$L$29:$AL$29)</f>
        <v>-0.3296271015282779</v>
      </c>
      <c r="AO29" s="59">
        <f ca="1">+'TUSD BE'!$T$29+'TUSD BE'!$AB$29+'TUSD BE'!$AD$29+'TUSD BE'!$AL$29</f>
        <v>293.38530838770379</v>
      </c>
      <c r="AP29" s="59">
        <f ca="1">+'TUSD BE'!$T$29+'TUSD BE'!$AB$29+'TUSD BE'!$AD$29+'TUSD BE'!$AL$29</f>
        <v>293.38530838770379</v>
      </c>
    </row>
    <row r="30" spans="1:42" ht="11.25" customHeight="1" x14ac:dyDescent="0.25">
      <c r="A30" s="149" t="s">
        <v>41</v>
      </c>
      <c r="B30" s="149" t="s">
        <v>50</v>
      </c>
      <c r="C30" s="149" t="s">
        <v>42</v>
      </c>
      <c r="D30" s="149" t="s">
        <v>25</v>
      </c>
      <c r="E30" s="149" t="s">
        <v>25</v>
      </c>
      <c r="F30" s="149" t="s">
        <v>25</v>
      </c>
      <c r="G30" s="57" t="s">
        <v>75</v>
      </c>
      <c r="H30" s="57" t="s">
        <v>74</v>
      </c>
      <c r="I30" s="57">
        <f>'MERCADO TUSD'!$U$27</f>
        <v>0</v>
      </c>
      <c r="J30" s="15"/>
      <c r="L30" s="31">
        <f>'TUSD BE'!$L$30*'TUSD BE'!$L$58</f>
        <v>0</v>
      </c>
      <c r="M30" s="31">
        <f>'TUSD BE'!$M$30*'TUSD BE'!$M$58</f>
        <v>-3.0650909416479716E-2</v>
      </c>
      <c r="N30" s="31">
        <f ca="1">'TUSD BE'!$N$30*'TUSD BE'!$N$58</f>
        <v>-3.827111494442146E-5</v>
      </c>
      <c r="O30" s="31">
        <f>'TUSD BE'!$O$30*'TUSD BE'!$O$58</f>
        <v>0</v>
      </c>
      <c r="P30" s="31">
        <f>'TUSD BE'!$P$30*'TUSD BE'!$P$58</f>
        <v>0</v>
      </c>
      <c r="Q30" s="31">
        <f>'TUSD BE'!$Q$30*'TUSD BE'!$Q$58</f>
        <v>-2.7343580102382514</v>
      </c>
      <c r="R30" s="31">
        <f>'TUSD BE'!$R$30*'TUSD BE'!$R$58</f>
        <v>-0.47097951775238756</v>
      </c>
      <c r="S30" s="31">
        <f>'TUSD BE'!$R$30*'TUSD BE'!$S$58</f>
        <v>0</v>
      </c>
      <c r="T30" s="31">
        <f ca="1">SUM($L$30:$S$30)</f>
        <v>-3.2360267085220631</v>
      </c>
      <c r="U30" s="31">
        <f>'TUSD BE'!$U$30*'TUSD BE'!$U$58</f>
        <v>0</v>
      </c>
      <c r="V30" s="31">
        <f>'TUSD BE'!$V$30*'TUSD BE'!$V$58</f>
        <v>0</v>
      </c>
      <c r="W30" s="31">
        <f>'TUSD BE'!$W$30*'TUSD BE'!$W$58</f>
        <v>0</v>
      </c>
      <c r="X30" s="31">
        <f>'TUSD BE'!$X$30*'TUSD BE'!$X$58</f>
        <v>0</v>
      </c>
      <c r="Y30" s="31">
        <f>'TUSD BE'!$Y$30*'TUSD BE'!$Y$58</f>
        <v>1.2344499592521916</v>
      </c>
      <c r="Z30" s="31">
        <f>'TUSD BE'!$Z$30*'TUSD BE'!$Z$58</f>
        <v>0</v>
      </c>
      <c r="AA30" s="31">
        <f>'TUSD BE'!$AA$30*'TUSD BE'!$AA$58</f>
        <v>0</v>
      </c>
      <c r="AB30" s="31">
        <f>SUM($U$30:$AA$30)</f>
        <v>1.2344499592521916</v>
      </c>
      <c r="AC30" s="31">
        <f>'TUSD BE'!$AC$30*'TUSD BE'!$AC$58</f>
        <v>-6.5055751767780148</v>
      </c>
      <c r="AD30" s="31">
        <f>SUM($AC$30:$AC$30)</f>
        <v>-6.5055751767780148</v>
      </c>
      <c r="AE30" s="31">
        <f ca="1">$AO$30*$AO$55</f>
        <v>0</v>
      </c>
      <c r="AF30" s="31">
        <f ca="1">$AP$30*$AP$55</f>
        <v>0</v>
      </c>
      <c r="AG30" s="31">
        <f ca="1">SUM($AE$30:$AF$30)</f>
        <v>0</v>
      </c>
      <c r="AH30" s="31">
        <f>'TUSD BE'!$AH$30*'TUSD BE'!$AH$58</f>
        <v>1.3126368552728811</v>
      </c>
      <c r="AI30" s="31">
        <f>'TUSD BE'!$AI$30*'TUSD BE'!$AI$58</f>
        <v>2.8399850394202356E-2</v>
      </c>
      <c r="AJ30" s="31">
        <f ca="1">'TUSD BE'!$AJ$30*'TUSD BE'!$AJ$58</f>
        <v>2.2743288755253759E-2</v>
      </c>
      <c r="AK30" s="31">
        <f ca="1">'TUSD BE'!$AK$30*'TUSD BE'!$AK$58</f>
        <v>3.7620352974175937E-2</v>
      </c>
      <c r="AL30" s="31">
        <f ca="1">SUM($AH$30:$AK$30)</f>
        <v>1.4014003473965131</v>
      </c>
      <c r="AM30" s="31">
        <f ca="1">SUMIF($L$4:$AL$4,"SUBTOTAL",$L$30:$AL$30)</f>
        <v>-7.1057515786513727</v>
      </c>
      <c r="AO30" s="59">
        <f ca="1">+'TUSD BE'!$T$30+'TUSD BE'!$AB$30+'TUSD BE'!$AD$30+'TUSD BE'!$AL$30</f>
        <v>969.24064644711382</v>
      </c>
      <c r="AP30" s="59">
        <f ca="1">+'TUSD BE'!$T$30+'TUSD BE'!$AB$30+'TUSD BE'!$AD$30+'TUSD BE'!$AL$30</f>
        <v>969.24064644711382</v>
      </c>
    </row>
    <row r="31" spans="1:42" ht="11.25" customHeight="1" x14ac:dyDescent="0.25">
      <c r="A31" s="149"/>
      <c r="B31" s="149"/>
      <c r="C31" s="149"/>
      <c r="D31" s="149"/>
      <c r="E31" s="149"/>
      <c r="F31" s="149"/>
      <c r="G31" s="57" t="s">
        <v>87</v>
      </c>
      <c r="H31" s="57" t="s">
        <v>74</v>
      </c>
      <c r="I31" s="57">
        <f>'MERCADO TUSD'!$U$28</f>
        <v>0</v>
      </c>
      <c r="J31" s="15"/>
      <c r="L31" s="31">
        <f>'TUSD BE'!$L$31*'TUSD BE'!$L$58</f>
        <v>0</v>
      </c>
      <c r="M31" s="31">
        <f>'TUSD BE'!$M$31*'TUSD BE'!$M$58</f>
        <v>-3.0650909416479716E-2</v>
      </c>
      <c r="N31" s="31">
        <f ca="1">'TUSD BE'!$N$31*'TUSD BE'!$N$58</f>
        <v>-2.3852869658632398E-5</v>
      </c>
      <c r="O31" s="31">
        <f>'TUSD BE'!$O$31*'TUSD BE'!$O$58</f>
        <v>0</v>
      </c>
      <c r="P31" s="31">
        <f>'TUSD BE'!$P$31*'TUSD BE'!$P$58</f>
        <v>0</v>
      </c>
      <c r="Q31" s="31">
        <f>'TUSD BE'!$Q$31*'TUSD BE'!$Q$58</f>
        <v>-2.7343580102382514</v>
      </c>
      <c r="R31" s="31">
        <f>'TUSD BE'!$R$31*'TUSD BE'!$R$58</f>
        <v>-0.47097951775238756</v>
      </c>
      <c r="S31" s="31">
        <f>'TUSD BE'!$R$31*'TUSD BE'!$S$58</f>
        <v>0</v>
      </c>
      <c r="T31" s="31">
        <f ca="1">SUM($L$31:$S$31)</f>
        <v>-3.2360122902767774</v>
      </c>
      <c r="U31" s="31">
        <f>'TUSD BE'!$U$31*'TUSD BE'!$U$58</f>
        <v>0</v>
      </c>
      <c r="V31" s="31">
        <f>'TUSD BE'!$V$31*'TUSD BE'!$V$58</f>
        <v>0</v>
      </c>
      <c r="W31" s="31">
        <f>'TUSD BE'!$W$31*'TUSD BE'!$W$58</f>
        <v>0</v>
      </c>
      <c r="X31" s="31">
        <f>'TUSD BE'!$X$31*'TUSD BE'!$X$58</f>
        <v>0</v>
      </c>
      <c r="Y31" s="31">
        <f>'TUSD BE'!$Y$31*'TUSD BE'!$Y$58</f>
        <v>0.7406699755513152</v>
      </c>
      <c r="Z31" s="31">
        <f>'TUSD BE'!$Z$31*'TUSD BE'!$Z$58</f>
        <v>0</v>
      </c>
      <c r="AA31" s="31">
        <f>'TUSD BE'!$AA$31*'TUSD BE'!$AA$58</f>
        <v>0</v>
      </c>
      <c r="AB31" s="31">
        <f>SUM($U$31:$AA$31)</f>
        <v>0.7406699755513152</v>
      </c>
      <c r="AC31" s="31">
        <f>'TUSD BE'!$AC$31*'TUSD BE'!$AC$58</f>
        <v>-3.9033453662438689</v>
      </c>
      <c r="AD31" s="31">
        <f>SUM($AC$31:$AC$31)</f>
        <v>-3.9033453662438689</v>
      </c>
      <c r="AE31" s="31">
        <f ca="1">$AO$31*$AO$55</f>
        <v>0</v>
      </c>
      <c r="AF31" s="31">
        <f ca="1">$AP$31*$AP$55</f>
        <v>0</v>
      </c>
      <c r="AG31" s="31">
        <f ca="1">SUM($AE$31:$AF$31)</f>
        <v>0</v>
      </c>
      <c r="AH31" s="31">
        <f>'TUSD BE'!$AH$31*'TUSD BE'!$AH$58</f>
        <v>1.3126368552728811</v>
      </c>
      <c r="AI31" s="31">
        <f>'TUSD BE'!$AI$31*'TUSD BE'!$AI$58</f>
        <v>2.8399850394202356E-2</v>
      </c>
      <c r="AJ31" s="31">
        <f ca="1">'TUSD BE'!$AJ$31*'TUSD BE'!$AJ$58</f>
        <v>2.2743288755253759E-2</v>
      </c>
      <c r="AK31" s="31">
        <f ca="1">'TUSD BE'!$AK$31*'TUSD BE'!$AK$58</f>
        <v>3.7620352974175937E-2</v>
      </c>
      <c r="AL31" s="31">
        <f ca="1">SUM($AH$31:$AK$31)</f>
        <v>1.4014003473965131</v>
      </c>
      <c r="AM31" s="31">
        <f ca="1">SUMIF($L$4:$AL$4,"SUBTOTAL",$L$31:$AL$31)</f>
        <v>-4.9972873335728183</v>
      </c>
      <c r="AO31" s="59">
        <f ca="1">+'TUSD BE'!$T$31+'TUSD BE'!$AB$31+'TUSD BE'!$AD$31+'TUSD BE'!$AL$31</f>
        <v>631.25568232637124</v>
      </c>
      <c r="AP31" s="59">
        <f ca="1">+'TUSD BE'!$T$31+'TUSD BE'!$AB$31+'TUSD BE'!$AD$31+'TUSD BE'!$AL$31</f>
        <v>631.25568232637124</v>
      </c>
    </row>
    <row r="32" spans="1:42" ht="11.25" customHeight="1" x14ac:dyDescent="0.25">
      <c r="A32" s="149"/>
      <c r="B32" s="149"/>
      <c r="C32" s="149"/>
      <c r="D32" s="149"/>
      <c r="E32" s="149"/>
      <c r="F32" s="149"/>
      <c r="G32" s="57" t="s">
        <v>76</v>
      </c>
      <c r="H32" s="57" t="s">
        <v>74</v>
      </c>
      <c r="I32" s="57">
        <f>'MERCADO TUSD'!$U$29</f>
        <v>0</v>
      </c>
      <c r="J32" s="15"/>
      <c r="L32" s="31">
        <f>'TUSD BE'!$L$32*'TUSD BE'!$L$58</f>
        <v>0</v>
      </c>
      <c r="M32" s="31">
        <f>'TUSD BE'!$M$32*'TUSD BE'!$M$58</f>
        <v>-3.0650909416479716E-2</v>
      </c>
      <c r="N32" s="31">
        <f ca="1">'TUSD BE'!$N$32*'TUSD BE'!$N$58</f>
        <v>-9.4346243728433189E-6</v>
      </c>
      <c r="O32" s="31">
        <f>'TUSD BE'!$O$32*'TUSD BE'!$O$58</f>
        <v>0</v>
      </c>
      <c r="P32" s="31">
        <f>'TUSD BE'!$P$32*'TUSD BE'!$P$58</f>
        <v>0</v>
      </c>
      <c r="Q32" s="31">
        <f>'TUSD BE'!$Q$32*'TUSD BE'!$Q$58</f>
        <v>-2.7343580102382514</v>
      </c>
      <c r="R32" s="31">
        <f>'TUSD BE'!$R$32*'TUSD BE'!$R$58</f>
        <v>-0.47097951775238756</v>
      </c>
      <c r="S32" s="31">
        <f>'TUSD BE'!$R$32*'TUSD BE'!$S$58</f>
        <v>0</v>
      </c>
      <c r="T32" s="31">
        <f ca="1">SUM($L$32:$S$32)</f>
        <v>-3.2359978720314913</v>
      </c>
      <c r="U32" s="31">
        <f>'TUSD BE'!$U$32*'TUSD BE'!$U$58</f>
        <v>0</v>
      </c>
      <c r="V32" s="31">
        <f>'TUSD BE'!$V$32*'TUSD BE'!$V$58</f>
        <v>0</v>
      </c>
      <c r="W32" s="31">
        <f>'TUSD BE'!$W$32*'TUSD BE'!$W$58</f>
        <v>0</v>
      </c>
      <c r="X32" s="31">
        <f>'TUSD BE'!$X$32*'TUSD BE'!$X$58</f>
        <v>0</v>
      </c>
      <c r="Y32" s="31">
        <f>'TUSD BE'!$Y$32*'TUSD BE'!$Y$58</f>
        <v>0.24688999185043836</v>
      </c>
      <c r="Z32" s="31">
        <f>'TUSD BE'!$Z$32*'TUSD BE'!$Z$58</f>
        <v>0</v>
      </c>
      <c r="AA32" s="31">
        <f>'TUSD BE'!$AA$32*'TUSD BE'!$AA$58</f>
        <v>0</v>
      </c>
      <c r="AB32" s="31">
        <f>SUM($U$32:$AA$32)</f>
        <v>0.24688999185043836</v>
      </c>
      <c r="AC32" s="31">
        <f>'TUSD BE'!$AC$32*'TUSD BE'!$AC$58</f>
        <v>-1.3011155557097227</v>
      </c>
      <c r="AD32" s="31">
        <f>SUM($AC$32:$AC$32)</f>
        <v>-1.3011155557097227</v>
      </c>
      <c r="AE32" s="31">
        <f ca="1">$AO$32*$AO$55</f>
        <v>0</v>
      </c>
      <c r="AF32" s="31">
        <f ca="1">$AP$32*$AP$55</f>
        <v>0</v>
      </c>
      <c r="AG32" s="31">
        <f ca="1">SUM($AE$32:$AF$32)</f>
        <v>0</v>
      </c>
      <c r="AH32" s="31">
        <f>'TUSD BE'!$AH$32*'TUSD BE'!$AH$58</f>
        <v>1.3126368552728811</v>
      </c>
      <c r="AI32" s="31">
        <f>'TUSD BE'!$AI$32*'TUSD BE'!$AI$58</f>
        <v>2.8399850394202356E-2</v>
      </c>
      <c r="AJ32" s="31">
        <f ca="1">'TUSD BE'!$AJ$32*'TUSD BE'!$AJ$58</f>
        <v>2.2743288755253759E-2</v>
      </c>
      <c r="AK32" s="31">
        <f ca="1">'TUSD BE'!$AK$32*'TUSD BE'!$AK$58</f>
        <v>3.7620352974175937E-2</v>
      </c>
      <c r="AL32" s="31">
        <f ca="1">SUM($AH$32:$AK$32)</f>
        <v>1.4014003473965131</v>
      </c>
      <c r="AM32" s="31">
        <f ca="1">SUMIF($L$4:$AL$4,"SUBTOTAL",$L$32:$AL$32)</f>
        <v>-2.8888230884942629</v>
      </c>
      <c r="AO32" s="59">
        <f ca="1">+'TUSD BE'!$T$32+'TUSD BE'!$AB$32+'TUSD BE'!$AD$32+'TUSD BE'!$AL$32</f>
        <v>293.27071820562838</v>
      </c>
      <c r="AP32" s="59">
        <f ca="1">+'TUSD BE'!$T$32+'TUSD BE'!$AB$32+'TUSD BE'!$AD$32+'TUSD BE'!$AL$32</f>
        <v>293.27071820562838</v>
      </c>
    </row>
    <row r="33" spans="1:42" ht="11.25" customHeight="1" x14ac:dyDescent="0.25">
      <c r="A33" s="149"/>
      <c r="B33" s="56" t="s">
        <v>23</v>
      </c>
      <c r="C33" s="56" t="s">
        <v>42</v>
      </c>
      <c r="D33" s="56" t="s">
        <v>25</v>
      </c>
      <c r="E33" s="56" t="s">
        <v>25</v>
      </c>
      <c r="F33" s="56" t="s">
        <v>25</v>
      </c>
      <c r="G33" s="57" t="s">
        <v>78</v>
      </c>
      <c r="H33" s="57" t="s">
        <v>74</v>
      </c>
      <c r="I33" s="57">
        <f>'MERCADO TUSD'!$U$30</f>
        <v>11721.666999999998</v>
      </c>
      <c r="J33" s="15"/>
      <c r="L33" s="31">
        <f>'TUSD BE'!$L$33*'TUSD BE'!$L$58</f>
        <v>0</v>
      </c>
      <c r="M33" s="31">
        <f>'TUSD BE'!$M$33*'TUSD BE'!$M$58</f>
        <v>-3.0650909416479716E-2</v>
      </c>
      <c r="N33" s="31">
        <f ca="1">'TUSD BE'!$N$33*'TUSD BE'!$N$58</f>
        <v>-1.3853118672125327E-5</v>
      </c>
      <c r="O33" s="31">
        <f>'TUSD BE'!$O$33*'TUSD BE'!$O$58</f>
        <v>0</v>
      </c>
      <c r="P33" s="31">
        <f>'TUSD BE'!$P$33*'TUSD BE'!$P$58</f>
        <v>0</v>
      </c>
      <c r="Q33" s="31">
        <f>'TUSD BE'!$Q$33*'TUSD BE'!$Q$58</f>
        <v>-2.7343580102382514</v>
      </c>
      <c r="R33" s="31">
        <f>'TUSD BE'!$R$33*'TUSD BE'!$R$58</f>
        <v>-0.47097951775238756</v>
      </c>
      <c r="S33" s="31">
        <f>'TUSD BE'!$R$33*'TUSD BE'!$S$58</f>
        <v>0</v>
      </c>
      <c r="T33" s="31">
        <f ca="1">SUM($L$33:$S$33)</f>
        <v>-3.2360022905257906</v>
      </c>
      <c r="U33" s="31">
        <f>'TUSD BE'!$U$33*'TUSD BE'!$U$58</f>
        <v>0</v>
      </c>
      <c r="V33" s="31">
        <f>'TUSD BE'!$V$33*'TUSD BE'!$V$58</f>
        <v>0</v>
      </c>
      <c r="W33" s="31">
        <f>'TUSD BE'!$W$33*'TUSD BE'!$W$58</f>
        <v>0</v>
      </c>
      <c r="X33" s="31">
        <f>'TUSD BE'!$X$33*'TUSD BE'!$X$58</f>
        <v>0</v>
      </c>
      <c r="Y33" s="31">
        <f>'TUSD BE'!$Y$33*'TUSD BE'!$Y$58</f>
        <v>0.39820982110424452</v>
      </c>
      <c r="Z33" s="31">
        <f>'TUSD BE'!$Z$33*'TUSD BE'!$Z$58</f>
        <v>0</v>
      </c>
      <c r="AA33" s="31">
        <f>'TUSD BE'!$AA$33*'TUSD BE'!$AA$58</f>
        <v>0</v>
      </c>
      <c r="AB33" s="31">
        <f>SUM($U$33:$AA$33)</f>
        <v>0.39820982110424452</v>
      </c>
      <c r="AC33" s="31">
        <f>'TUSD BE'!$AC$33*'TUSD BE'!$AC$58</f>
        <v>-2.0985725537422435</v>
      </c>
      <c r="AD33" s="31">
        <f>SUM($AC$33:$AC$33)</f>
        <v>-2.0985725537422435</v>
      </c>
      <c r="AE33" s="31">
        <f ca="1">$AO$33*$AO$55</f>
        <v>0</v>
      </c>
      <c r="AF33" s="31">
        <f ca="1">$AP$33*$AP$55</f>
        <v>0</v>
      </c>
      <c r="AG33" s="31">
        <f ca="1">SUM($AE$33:$AF$33)</f>
        <v>0</v>
      </c>
      <c r="AH33" s="31">
        <f>'TUSD BE'!$AH$33*'TUSD BE'!$AH$58</f>
        <v>1.3126368552728811</v>
      </c>
      <c r="AI33" s="31">
        <f>'TUSD BE'!$AI$33*'TUSD BE'!$AI$58</f>
        <v>2.8399850394202356E-2</v>
      </c>
      <c r="AJ33" s="31">
        <f ca="1">'TUSD BE'!$AJ$33*'TUSD BE'!$AJ$58</f>
        <v>2.2743288755253759E-2</v>
      </c>
      <c r="AK33" s="31">
        <f ca="1">'TUSD BE'!$AK$33*'TUSD BE'!$AK$58</f>
        <v>3.7620352974175937E-2</v>
      </c>
      <c r="AL33" s="31">
        <f ca="1">SUM($AH$33:$AK$33)</f>
        <v>1.4014003473965131</v>
      </c>
      <c r="AM33" s="31">
        <f ca="1">SUMIF($L$4:$AL$4,"SUBTOTAL",$L$33:$AL$33)</f>
        <v>-3.5349646757672764</v>
      </c>
      <c r="AO33" s="59">
        <f ca="1">+'TUSD BE'!$T$33+'TUSD BE'!$AB$33+'TUSD BE'!$AD$33+'TUSD BE'!$AL$33</f>
        <v>396.8467543887827</v>
      </c>
      <c r="AP33" s="59">
        <f ca="1">+'TUSD BE'!$T$33+'TUSD BE'!$AB$33+'TUSD BE'!$AD$33+'TUSD BE'!$AL$33</f>
        <v>396.8467543887827</v>
      </c>
    </row>
    <row r="34" spans="1:42" ht="11.25" customHeight="1" x14ac:dyDescent="0.25">
      <c r="A34" s="149"/>
      <c r="B34" s="149" t="s">
        <v>50</v>
      </c>
      <c r="C34" s="149" t="s">
        <v>42</v>
      </c>
      <c r="D34" s="149" t="s">
        <v>90</v>
      </c>
      <c r="E34" s="149" t="s">
        <v>25</v>
      </c>
      <c r="F34" s="149" t="s">
        <v>25</v>
      </c>
      <c r="G34" s="57" t="s">
        <v>75</v>
      </c>
      <c r="H34" s="57" t="s">
        <v>74</v>
      </c>
      <c r="I34" s="57">
        <f>'MERCADO TUSD'!$U$31</f>
        <v>0</v>
      </c>
      <c r="J34" s="15"/>
      <c r="L34" s="31">
        <f>'TUSD BE'!$L$34*'TUSD BE'!$L$58</f>
        <v>0</v>
      </c>
      <c r="M34" s="31">
        <f>'TUSD BE'!$M$34*'TUSD BE'!$M$58</f>
        <v>-3.0650909416479716E-2</v>
      </c>
      <c r="N34" s="31">
        <f ca="1">'TUSD BE'!$N$34*'TUSD BE'!$N$58</f>
        <v>-3.827111494442146E-5</v>
      </c>
      <c r="O34" s="31">
        <f>'TUSD BE'!$O$34*'TUSD BE'!$O$58</f>
        <v>0</v>
      </c>
      <c r="P34" s="31">
        <f>'TUSD BE'!$P$34*'TUSD BE'!$P$58</f>
        <v>0</v>
      </c>
      <c r="Q34" s="31">
        <f>'TUSD BE'!$Q$34*'TUSD BE'!$Q$58</f>
        <v>-2.7343580102382514</v>
      </c>
      <c r="R34" s="31">
        <f>'TUSD BE'!$R$34*'TUSD BE'!$R$58</f>
        <v>-0.47097951775238756</v>
      </c>
      <c r="S34" s="31">
        <f>'TUSD BE'!$R$34*'TUSD BE'!$S$58</f>
        <v>0</v>
      </c>
      <c r="T34" s="31">
        <f ca="1">SUM($L$34:$S$34)</f>
        <v>-3.2360267085220631</v>
      </c>
      <c r="U34" s="31">
        <f>'TUSD BE'!$U$34*'TUSD BE'!$U$58</f>
        <v>0</v>
      </c>
      <c r="V34" s="31">
        <f>'TUSD BE'!$V$34*'TUSD BE'!$V$58</f>
        <v>0</v>
      </c>
      <c r="W34" s="31">
        <f>'TUSD BE'!$W$34*'TUSD BE'!$W$58</f>
        <v>0</v>
      </c>
      <c r="X34" s="31">
        <f>'TUSD BE'!$X$34*'TUSD BE'!$X$58</f>
        <v>0</v>
      </c>
      <c r="Y34" s="31">
        <f>'TUSD BE'!$Y$34*'TUSD BE'!$Y$58</f>
        <v>1.2344499592521916</v>
      </c>
      <c r="Z34" s="31">
        <f>'TUSD BE'!$Z$34*'TUSD BE'!$Z$58</f>
        <v>0</v>
      </c>
      <c r="AA34" s="31">
        <f>'TUSD BE'!$AA$34*'TUSD BE'!$AA$58</f>
        <v>0</v>
      </c>
      <c r="AB34" s="31">
        <f>SUM($U$34:$AA$34)</f>
        <v>1.2344499592521916</v>
      </c>
      <c r="AC34" s="31">
        <f>'TUSD BE'!$AC$34*'TUSD BE'!$AC$58</f>
        <v>-6.5055751767780148</v>
      </c>
      <c r="AD34" s="31">
        <f>SUM($AC$34:$AC$34)</f>
        <v>-6.5055751767780148</v>
      </c>
      <c r="AE34" s="31">
        <f ca="1">$AO$34*$AO$55</f>
        <v>0</v>
      </c>
      <c r="AF34" s="31">
        <f ca="1">$AP$34*$AP$55</f>
        <v>0</v>
      </c>
      <c r="AG34" s="31">
        <f ca="1">SUM($AE$34:$AF$34)</f>
        <v>0</v>
      </c>
      <c r="AH34" s="31">
        <f>'TUSD BE'!$AH$34*'TUSD BE'!$AH$58</f>
        <v>1.3126368552728811</v>
      </c>
      <c r="AI34" s="31">
        <f>'TUSD BE'!$AI$34*'TUSD BE'!$AI$58</f>
        <v>2.8399850394202356E-2</v>
      </c>
      <c r="AJ34" s="31">
        <f ca="1">'TUSD BE'!$AJ$34*'TUSD BE'!$AJ$58</f>
        <v>2.2743288755253759E-2</v>
      </c>
      <c r="AK34" s="31">
        <f ca="1">'TUSD BE'!$AK$34*'TUSD BE'!$AK$58</f>
        <v>3.7620352974175937E-2</v>
      </c>
      <c r="AL34" s="31">
        <f ca="1">SUM($AH$34:$AK$34)</f>
        <v>1.4014003473965131</v>
      </c>
      <c r="AM34" s="31">
        <f ca="1">SUMIF($L$4:$AL$4,"SUBTOTAL",$L$34:$AL$34)</f>
        <v>-7.1057515786513727</v>
      </c>
      <c r="AO34" s="59">
        <f ca="1">+'TUSD BE'!$T$34+'TUSD BE'!$AB$34+'TUSD BE'!$AD$34+'TUSD BE'!$AL$34</f>
        <v>969.24064644711382</v>
      </c>
      <c r="AP34" s="59">
        <f ca="1">+'TUSD BE'!$T$34+'TUSD BE'!$AB$34+'TUSD BE'!$AD$34+'TUSD BE'!$AL$34</f>
        <v>969.24064644711382</v>
      </c>
    </row>
    <row r="35" spans="1:42" ht="11.25" customHeight="1" x14ac:dyDescent="0.25">
      <c r="A35" s="149"/>
      <c r="B35" s="149"/>
      <c r="C35" s="149"/>
      <c r="D35" s="149"/>
      <c r="E35" s="149"/>
      <c r="F35" s="149"/>
      <c r="G35" s="57" t="s">
        <v>87</v>
      </c>
      <c r="H35" s="57" t="s">
        <v>74</v>
      </c>
      <c r="I35" s="57">
        <f>'MERCADO TUSD'!$U$32</f>
        <v>0</v>
      </c>
      <c r="J35" s="15"/>
      <c r="L35" s="31">
        <f>'TUSD BE'!$L$35*'TUSD BE'!$L$58</f>
        <v>0</v>
      </c>
      <c r="M35" s="31">
        <f>'TUSD BE'!$M$35*'TUSD BE'!$M$58</f>
        <v>-3.0650909416479716E-2</v>
      </c>
      <c r="N35" s="31">
        <f ca="1">'TUSD BE'!$N$35*'TUSD BE'!$N$58</f>
        <v>-2.3852869658632398E-5</v>
      </c>
      <c r="O35" s="31">
        <f>'TUSD BE'!$O$35*'TUSD BE'!$O$58</f>
        <v>0</v>
      </c>
      <c r="P35" s="31">
        <f>'TUSD BE'!$P$35*'TUSD BE'!$P$58</f>
        <v>0</v>
      </c>
      <c r="Q35" s="31">
        <f>'TUSD BE'!$Q$35*'TUSD BE'!$Q$58</f>
        <v>-2.7343580102382514</v>
      </c>
      <c r="R35" s="31">
        <f>'TUSD BE'!$R$35*'TUSD BE'!$R$58</f>
        <v>-0.47097951775238756</v>
      </c>
      <c r="S35" s="31">
        <f>'TUSD BE'!$R$35*'TUSD BE'!$S$58</f>
        <v>0</v>
      </c>
      <c r="T35" s="31">
        <f ca="1">SUM($L$35:$S$35)</f>
        <v>-3.2360122902767774</v>
      </c>
      <c r="U35" s="31">
        <f>'TUSD BE'!$U$35*'TUSD BE'!$U$58</f>
        <v>0</v>
      </c>
      <c r="V35" s="31">
        <f>'TUSD BE'!$V$35*'TUSD BE'!$V$58</f>
        <v>0</v>
      </c>
      <c r="W35" s="31">
        <f>'TUSD BE'!$W$35*'TUSD BE'!$W$58</f>
        <v>0</v>
      </c>
      <c r="X35" s="31">
        <f>'TUSD BE'!$X$35*'TUSD BE'!$X$58</f>
        <v>0</v>
      </c>
      <c r="Y35" s="31">
        <f>'TUSD BE'!$Y$35*'TUSD BE'!$Y$58</f>
        <v>0.7406699755513152</v>
      </c>
      <c r="Z35" s="31">
        <f>'TUSD BE'!$Z$35*'TUSD BE'!$Z$58</f>
        <v>0</v>
      </c>
      <c r="AA35" s="31">
        <f>'TUSD BE'!$AA$35*'TUSD BE'!$AA$58</f>
        <v>0</v>
      </c>
      <c r="AB35" s="31">
        <f>SUM($U$35:$AA$35)</f>
        <v>0.7406699755513152</v>
      </c>
      <c r="AC35" s="31">
        <f>'TUSD BE'!$AC$35*'TUSD BE'!$AC$58</f>
        <v>-3.9033453662438689</v>
      </c>
      <c r="AD35" s="31">
        <f>SUM($AC$35:$AC$35)</f>
        <v>-3.9033453662438689</v>
      </c>
      <c r="AE35" s="31">
        <f ca="1">$AO$35*$AO$55</f>
        <v>0</v>
      </c>
      <c r="AF35" s="31">
        <f ca="1">$AP$35*$AP$55</f>
        <v>0</v>
      </c>
      <c r="AG35" s="31">
        <f ca="1">SUM($AE$35:$AF$35)</f>
        <v>0</v>
      </c>
      <c r="AH35" s="31">
        <f>'TUSD BE'!$AH$35*'TUSD BE'!$AH$58</f>
        <v>1.3126368552728811</v>
      </c>
      <c r="AI35" s="31">
        <f>'TUSD BE'!$AI$35*'TUSD BE'!$AI$58</f>
        <v>2.8399850394202356E-2</v>
      </c>
      <c r="AJ35" s="31">
        <f ca="1">'TUSD BE'!$AJ$35*'TUSD BE'!$AJ$58</f>
        <v>2.2743288755253759E-2</v>
      </c>
      <c r="AK35" s="31">
        <f ca="1">'TUSD BE'!$AK$35*'TUSD BE'!$AK$58</f>
        <v>3.7620352974175937E-2</v>
      </c>
      <c r="AL35" s="31">
        <f ca="1">SUM($AH$35:$AK$35)</f>
        <v>1.4014003473965131</v>
      </c>
      <c r="AM35" s="31">
        <f ca="1">SUMIF($L$4:$AL$4,"SUBTOTAL",$L$35:$AL$35)</f>
        <v>-4.9972873335728183</v>
      </c>
      <c r="AO35" s="59">
        <f ca="1">+'TUSD BE'!$T$35+'TUSD BE'!$AB$35+'TUSD BE'!$AD$35+'TUSD BE'!$AL$35</f>
        <v>631.25568232637124</v>
      </c>
      <c r="AP35" s="59">
        <f ca="1">+'TUSD BE'!$T$35+'TUSD BE'!$AB$35+'TUSD BE'!$AD$35+'TUSD BE'!$AL$35</f>
        <v>631.25568232637124</v>
      </c>
    </row>
    <row r="36" spans="1:42" ht="11.25" customHeight="1" x14ac:dyDescent="0.25">
      <c r="A36" s="149"/>
      <c r="B36" s="149"/>
      <c r="C36" s="149"/>
      <c r="D36" s="149"/>
      <c r="E36" s="149"/>
      <c r="F36" s="149"/>
      <c r="G36" s="57" t="s">
        <v>76</v>
      </c>
      <c r="H36" s="57" t="s">
        <v>74</v>
      </c>
      <c r="I36" s="57">
        <f>'MERCADO TUSD'!$U$33</f>
        <v>0</v>
      </c>
      <c r="J36" s="15"/>
      <c r="L36" s="31">
        <f>'TUSD BE'!$L$36*'TUSD BE'!$L$58</f>
        <v>0</v>
      </c>
      <c r="M36" s="31">
        <f>'TUSD BE'!$M$36*'TUSD BE'!$M$58</f>
        <v>-3.0650909416479716E-2</v>
      </c>
      <c r="N36" s="31">
        <f ca="1">'TUSD BE'!$N$36*'TUSD BE'!$N$58</f>
        <v>-9.4346243728433189E-6</v>
      </c>
      <c r="O36" s="31">
        <f>'TUSD BE'!$O$36*'TUSD BE'!$O$58</f>
        <v>0</v>
      </c>
      <c r="P36" s="31">
        <f>'TUSD BE'!$P$36*'TUSD BE'!$P$58</f>
        <v>0</v>
      </c>
      <c r="Q36" s="31">
        <f>'TUSD BE'!$Q$36*'TUSD BE'!$Q$58</f>
        <v>-2.7343580102382514</v>
      </c>
      <c r="R36" s="31">
        <f>'TUSD BE'!$R$36*'TUSD BE'!$R$58</f>
        <v>-0.47097951775238756</v>
      </c>
      <c r="S36" s="31">
        <f>'TUSD BE'!$R$36*'TUSD BE'!$S$58</f>
        <v>0</v>
      </c>
      <c r="T36" s="31">
        <f ca="1">SUM($L$36:$S$36)</f>
        <v>-3.2359978720314913</v>
      </c>
      <c r="U36" s="31">
        <f>'TUSD BE'!$U$36*'TUSD BE'!$U$58</f>
        <v>0</v>
      </c>
      <c r="V36" s="31">
        <f>'TUSD BE'!$V$36*'TUSD BE'!$V$58</f>
        <v>0</v>
      </c>
      <c r="W36" s="31">
        <f>'TUSD BE'!$W$36*'TUSD BE'!$W$58</f>
        <v>0</v>
      </c>
      <c r="X36" s="31">
        <f>'TUSD BE'!$X$36*'TUSD BE'!$X$58</f>
        <v>0</v>
      </c>
      <c r="Y36" s="31">
        <f>'TUSD BE'!$Y$36*'TUSD BE'!$Y$58</f>
        <v>0.24688999185043836</v>
      </c>
      <c r="Z36" s="31">
        <f>'TUSD BE'!$Z$36*'TUSD BE'!$Z$58</f>
        <v>0</v>
      </c>
      <c r="AA36" s="31">
        <f>'TUSD BE'!$AA$36*'TUSD BE'!$AA$58</f>
        <v>0</v>
      </c>
      <c r="AB36" s="31">
        <f>SUM($U$36:$AA$36)</f>
        <v>0.24688999185043836</v>
      </c>
      <c r="AC36" s="31">
        <f>'TUSD BE'!$AC$36*'TUSD BE'!$AC$58</f>
        <v>-1.3011155557097227</v>
      </c>
      <c r="AD36" s="31">
        <f>SUM($AC$36:$AC$36)</f>
        <v>-1.3011155557097227</v>
      </c>
      <c r="AE36" s="31">
        <f ca="1">$AO$36*$AO$55</f>
        <v>0</v>
      </c>
      <c r="AF36" s="31">
        <f ca="1">$AP$36*$AP$55</f>
        <v>0</v>
      </c>
      <c r="AG36" s="31">
        <f ca="1">SUM($AE$36:$AF$36)</f>
        <v>0</v>
      </c>
      <c r="AH36" s="31">
        <f>'TUSD BE'!$AH$36*'TUSD BE'!$AH$58</f>
        <v>1.3126368552728811</v>
      </c>
      <c r="AI36" s="31">
        <f>'TUSD BE'!$AI$36*'TUSD BE'!$AI$58</f>
        <v>2.8399850394202356E-2</v>
      </c>
      <c r="AJ36" s="31">
        <f ca="1">'TUSD BE'!$AJ$36*'TUSD BE'!$AJ$58</f>
        <v>2.2743288755253759E-2</v>
      </c>
      <c r="AK36" s="31">
        <f ca="1">'TUSD BE'!$AK$36*'TUSD BE'!$AK$58</f>
        <v>3.7620352974175937E-2</v>
      </c>
      <c r="AL36" s="31">
        <f ca="1">SUM($AH$36:$AK$36)</f>
        <v>1.4014003473965131</v>
      </c>
      <c r="AM36" s="31">
        <f ca="1">SUMIF($L$4:$AL$4,"SUBTOTAL",$L$36:$AL$36)</f>
        <v>-2.8888230884942629</v>
      </c>
      <c r="AO36" s="59">
        <f ca="1">+'TUSD BE'!$T$36+'TUSD BE'!$AB$36+'TUSD BE'!$AD$36+'TUSD BE'!$AL$36</f>
        <v>293.27071820562838</v>
      </c>
      <c r="AP36" s="59">
        <f ca="1">+'TUSD BE'!$T$36+'TUSD BE'!$AB$36+'TUSD BE'!$AD$36+'TUSD BE'!$AL$36</f>
        <v>293.27071820562838</v>
      </c>
    </row>
    <row r="37" spans="1:42" ht="11.25" customHeight="1" x14ac:dyDescent="0.25">
      <c r="A37" s="149"/>
      <c r="B37" s="56" t="s">
        <v>23</v>
      </c>
      <c r="C37" s="56" t="s">
        <v>42</v>
      </c>
      <c r="D37" s="56" t="s">
        <v>90</v>
      </c>
      <c r="E37" s="56" t="s">
        <v>25</v>
      </c>
      <c r="F37" s="56" t="s">
        <v>25</v>
      </c>
      <c r="G37" s="57" t="s">
        <v>78</v>
      </c>
      <c r="H37" s="57" t="s">
        <v>74</v>
      </c>
      <c r="I37" s="57">
        <f>'MERCADO TUSD'!$U$34</f>
        <v>0</v>
      </c>
      <c r="J37" s="15"/>
      <c r="L37" s="31">
        <f>'TUSD BE'!$L$37*'TUSD BE'!$L$58</f>
        <v>0</v>
      </c>
      <c r="M37" s="31">
        <f>'TUSD BE'!$M$37*'TUSD BE'!$M$58</f>
        <v>-3.0650909416479716E-2</v>
      </c>
      <c r="N37" s="31">
        <f ca="1">'TUSD BE'!$N$37*'TUSD BE'!$N$58</f>
        <v>-1.3853118672125327E-5</v>
      </c>
      <c r="O37" s="31">
        <f>'TUSD BE'!$O$37*'TUSD BE'!$O$58</f>
        <v>0</v>
      </c>
      <c r="P37" s="31">
        <f>'TUSD BE'!$P$37*'TUSD BE'!$P$58</f>
        <v>0</v>
      </c>
      <c r="Q37" s="31">
        <f>'TUSD BE'!$Q$37*'TUSD BE'!$Q$58</f>
        <v>-2.7343580102382514</v>
      </c>
      <c r="R37" s="31">
        <f>'TUSD BE'!$R$37*'TUSD BE'!$R$58</f>
        <v>-0.47097951775238756</v>
      </c>
      <c r="S37" s="31">
        <f>'TUSD BE'!$R$37*'TUSD BE'!$S$58</f>
        <v>0</v>
      </c>
      <c r="T37" s="31">
        <f ca="1">SUM($L$37:$S$37)</f>
        <v>-3.2360022905257906</v>
      </c>
      <c r="U37" s="31">
        <f>'TUSD BE'!$U$37*'TUSD BE'!$U$58</f>
        <v>0</v>
      </c>
      <c r="V37" s="31">
        <f>'TUSD BE'!$V$37*'TUSD BE'!$V$58</f>
        <v>0</v>
      </c>
      <c r="W37" s="31">
        <f>'TUSD BE'!$W$37*'TUSD BE'!$W$58</f>
        <v>0</v>
      </c>
      <c r="X37" s="31">
        <f>'TUSD BE'!$X$37*'TUSD BE'!$X$58</f>
        <v>0</v>
      </c>
      <c r="Y37" s="31">
        <f>'TUSD BE'!$Y$37*'TUSD BE'!$Y$58</f>
        <v>0.39820982110424452</v>
      </c>
      <c r="Z37" s="31">
        <f>'TUSD BE'!$Z$37*'TUSD BE'!$Z$58</f>
        <v>0</v>
      </c>
      <c r="AA37" s="31">
        <f>'TUSD BE'!$AA$37*'TUSD BE'!$AA$58</f>
        <v>0</v>
      </c>
      <c r="AB37" s="31">
        <f>SUM($U$37:$AA$37)</f>
        <v>0.39820982110424452</v>
      </c>
      <c r="AC37" s="31">
        <f>'TUSD BE'!$AC$37*'TUSD BE'!$AC$58</f>
        <v>-2.0985725537422435</v>
      </c>
      <c r="AD37" s="31">
        <f>SUM($AC$37:$AC$37)</f>
        <v>-2.0985725537422435</v>
      </c>
      <c r="AE37" s="31">
        <f ca="1">$AO$37*$AO$55</f>
        <v>0</v>
      </c>
      <c r="AF37" s="31">
        <f ca="1">$AP$37*$AP$55</f>
        <v>0</v>
      </c>
      <c r="AG37" s="31">
        <f ca="1">SUM($AE$37:$AF$37)</f>
        <v>0</v>
      </c>
      <c r="AH37" s="31">
        <f>'TUSD BE'!$AH$37*'TUSD BE'!$AH$58</f>
        <v>1.3126368552728811</v>
      </c>
      <c r="AI37" s="31">
        <f>'TUSD BE'!$AI$37*'TUSD BE'!$AI$58</f>
        <v>2.8399850394202356E-2</v>
      </c>
      <c r="AJ37" s="31">
        <f ca="1">'TUSD BE'!$AJ$37*'TUSD BE'!$AJ$58</f>
        <v>2.2743288755253759E-2</v>
      </c>
      <c r="AK37" s="31">
        <f ca="1">'TUSD BE'!$AK$37*'TUSD BE'!$AK$58</f>
        <v>3.7620352974175937E-2</v>
      </c>
      <c r="AL37" s="31">
        <f ca="1">SUM($AH$37:$AK$37)</f>
        <v>1.4014003473965131</v>
      </c>
      <c r="AM37" s="31">
        <f ca="1">SUMIF($L$4:$AL$4,"SUBTOTAL",$L$37:$AL$37)</f>
        <v>-3.5349646757672764</v>
      </c>
      <c r="AO37" s="59">
        <f ca="1">+'TUSD BE'!$T$37+'TUSD BE'!$AB$37+'TUSD BE'!$AD$37+'TUSD BE'!$AL$37</f>
        <v>396.8467543887827</v>
      </c>
      <c r="AP37" s="59">
        <f ca="1">+'TUSD BE'!$T$37+'TUSD BE'!$AB$37+'TUSD BE'!$AD$37+'TUSD BE'!$AL$37</f>
        <v>396.8467543887827</v>
      </c>
    </row>
    <row r="38" spans="1:42" ht="11.25" customHeight="1" x14ac:dyDescent="0.25">
      <c r="A38" s="149"/>
      <c r="B38" s="149" t="s">
        <v>50</v>
      </c>
      <c r="C38" s="149" t="s">
        <v>42</v>
      </c>
      <c r="D38" s="149" t="s">
        <v>91</v>
      </c>
      <c r="E38" s="149" t="s">
        <v>25</v>
      </c>
      <c r="F38" s="149" t="s">
        <v>25</v>
      </c>
      <c r="G38" s="57" t="s">
        <v>75</v>
      </c>
      <c r="H38" s="57" t="s">
        <v>74</v>
      </c>
      <c r="I38" s="57">
        <f>'MERCADO TUSD'!$U$35</f>
        <v>0</v>
      </c>
      <c r="J38" s="15"/>
      <c r="L38" s="31">
        <f>'TUSD BE'!$L$38*'TUSD BE'!$L$58</f>
        <v>0</v>
      </c>
      <c r="M38" s="31">
        <f>'TUSD BE'!$M$38*'TUSD BE'!$M$58</f>
        <v>-3.0650909416479716E-2</v>
      </c>
      <c r="N38" s="31">
        <f ca="1">'TUSD BE'!$N$38*'TUSD BE'!$N$58</f>
        <v>-3.827111494442146E-5</v>
      </c>
      <c r="O38" s="31">
        <f>'TUSD BE'!$O$38*'TUSD BE'!$O$58</f>
        <v>0</v>
      </c>
      <c r="P38" s="31">
        <f>'TUSD BE'!$P$38*'TUSD BE'!$P$58</f>
        <v>0</v>
      </c>
      <c r="Q38" s="31">
        <f>'TUSD BE'!$Q$38*'TUSD BE'!$Q$58</f>
        <v>-2.7343580102382514</v>
      </c>
      <c r="R38" s="31">
        <f>'TUSD BE'!$R$38*'TUSD BE'!$R$58</f>
        <v>-0.47097951775238756</v>
      </c>
      <c r="S38" s="31">
        <f>'TUSD BE'!$R$38*'TUSD BE'!$S$58</f>
        <v>0</v>
      </c>
      <c r="T38" s="31">
        <f ca="1">SUM($L$38:$S$38)</f>
        <v>-3.2360267085220631</v>
      </c>
      <c r="U38" s="31">
        <f>'TUSD BE'!$U$38*'TUSD BE'!$U$58</f>
        <v>0</v>
      </c>
      <c r="V38" s="31">
        <f>'TUSD BE'!$V$38*'TUSD BE'!$V$58</f>
        <v>0</v>
      </c>
      <c r="W38" s="31">
        <f>'TUSD BE'!$W$38*'TUSD BE'!$W$58</f>
        <v>0</v>
      </c>
      <c r="X38" s="31">
        <f>'TUSD BE'!$X$38*'TUSD BE'!$X$58</f>
        <v>0</v>
      </c>
      <c r="Y38" s="31">
        <f>'TUSD BE'!$Y$38*'TUSD BE'!$Y$58</f>
        <v>1.2344499592521916</v>
      </c>
      <c r="Z38" s="31">
        <f>'TUSD BE'!$Z$38*'TUSD BE'!$Z$58</f>
        <v>0</v>
      </c>
      <c r="AA38" s="31">
        <f>'TUSD BE'!$AA$38*'TUSD BE'!$AA$58</f>
        <v>0</v>
      </c>
      <c r="AB38" s="31">
        <f>SUM($U$38:$AA$38)</f>
        <v>1.2344499592521916</v>
      </c>
      <c r="AC38" s="31">
        <f>'TUSD BE'!$AC$38*'TUSD BE'!$AC$58</f>
        <v>-6.5055751767780148</v>
      </c>
      <c r="AD38" s="31">
        <f>SUM($AC$38:$AC$38)</f>
        <v>-6.5055751767780148</v>
      </c>
      <c r="AE38" s="31">
        <f ca="1">$AO$38*$AO$55</f>
        <v>0</v>
      </c>
      <c r="AF38" s="31">
        <f ca="1">$AP$38*$AP$55</f>
        <v>0</v>
      </c>
      <c r="AG38" s="31">
        <f ca="1">SUM($AE$38:$AF$38)</f>
        <v>0</v>
      </c>
      <c r="AH38" s="31">
        <f>'TUSD BE'!$AH$38*'TUSD BE'!$AH$58</f>
        <v>1.3126368552728811</v>
      </c>
      <c r="AI38" s="31">
        <f>'TUSD BE'!$AI$38*'TUSD BE'!$AI$58</f>
        <v>2.8399850394202356E-2</v>
      </c>
      <c r="AJ38" s="31">
        <f ca="1">'TUSD BE'!$AJ$38*'TUSD BE'!$AJ$58</f>
        <v>2.2743288755253759E-2</v>
      </c>
      <c r="AK38" s="31">
        <f ca="1">'TUSD BE'!$AK$38*'TUSD BE'!$AK$58</f>
        <v>3.7620352974175937E-2</v>
      </c>
      <c r="AL38" s="31">
        <f ca="1">SUM($AH$38:$AK$38)</f>
        <v>1.4014003473965131</v>
      </c>
      <c r="AM38" s="31">
        <f ca="1">SUMIF($L$4:$AL$4,"SUBTOTAL",$L$38:$AL$38)</f>
        <v>-7.1057515786513727</v>
      </c>
      <c r="AO38" s="59">
        <f ca="1">+'TUSD BE'!$T$38+'TUSD BE'!$AB$38+'TUSD BE'!$AD$38+'TUSD BE'!$AL$38</f>
        <v>969.24064644711382</v>
      </c>
      <c r="AP38" s="59">
        <f ca="1">+'TUSD BE'!$T$38+'TUSD BE'!$AB$38+'TUSD BE'!$AD$38+'TUSD BE'!$AL$38</f>
        <v>969.24064644711382</v>
      </c>
    </row>
    <row r="39" spans="1:42" ht="11.25" customHeight="1" x14ac:dyDescent="0.25">
      <c r="A39" s="149"/>
      <c r="B39" s="149"/>
      <c r="C39" s="149"/>
      <c r="D39" s="149"/>
      <c r="E39" s="149"/>
      <c r="F39" s="149"/>
      <c r="G39" s="57" t="s">
        <v>87</v>
      </c>
      <c r="H39" s="57" t="s">
        <v>74</v>
      </c>
      <c r="I39" s="57">
        <f>'MERCADO TUSD'!$U$36</f>
        <v>0</v>
      </c>
      <c r="J39" s="15"/>
      <c r="L39" s="31">
        <f>'TUSD BE'!$L$39*'TUSD BE'!$L$58</f>
        <v>0</v>
      </c>
      <c r="M39" s="31">
        <f>'TUSD BE'!$M$39*'TUSD BE'!$M$58</f>
        <v>-3.0650909416479716E-2</v>
      </c>
      <c r="N39" s="31">
        <f ca="1">'TUSD BE'!$N$39*'TUSD BE'!$N$58</f>
        <v>-2.3852869658632398E-5</v>
      </c>
      <c r="O39" s="31">
        <f>'TUSD BE'!$O$39*'TUSD BE'!$O$58</f>
        <v>0</v>
      </c>
      <c r="P39" s="31">
        <f>'TUSD BE'!$P$39*'TUSD BE'!$P$58</f>
        <v>0</v>
      </c>
      <c r="Q39" s="31">
        <f>'TUSD BE'!$Q$39*'TUSD BE'!$Q$58</f>
        <v>-2.7343580102382514</v>
      </c>
      <c r="R39" s="31">
        <f>'TUSD BE'!$R$39*'TUSD BE'!$R$58</f>
        <v>-0.47097951775238756</v>
      </c>
      <c r="S39" s="31">
        <f>'TUSD BE'!$R$39*'TUSD BE'!$S$58</f>
        <v>0</v>
      </c>
      <c r="T39" s="31">
        <f ca="1">SUM($L$39:$S$39)</f>
        <v>-3.2360122902767774</v>
      </c>
      <c r="U39" s="31">
        <f>'TUSD BE'!$U$39*'TUSD BE'!$U$58</f>
        <v>0</v>
      </c>
      <c r="V39" s="31">
        <f>'TUSD BE'!$V$39*'TUSD BE'!$V$58</f>
        <v>0</v>
      </c>
      <c r="W39" s="31">
        <f>'TUSD BE'!$W$39*'TUSD BE'!$W$58</f>
        <v>0</v>
      </c>
      <c r="X39" s="31">
        <f>'TUSD BE'!$X$39*'TUSD BE'!$X$58</f>
        <v>0</v>
      </c>
      <c r="Y39" s="31">
        <f>'TUSD BE'!$Y$39*'TUSD BE'!$Y$58</f>
        <v>0.7406699755513152</v>
      </c>
      <c r="Z39" s="31">
        <f>'TUSD BE'!$Z$39*'TUSD BE'!$Z$58</f>
        <v>0</v>
      </c>
      <c r="AA39" s="31">
        <f>'TUSD BE'!$AA$39*'TUSD BE'!$AA$58</f>
        <v>0</v>
      </c>
      <c r="AB39" s="31">
        <f>SUM($U$39:$AA$39)</f>
        <v>0.7406699755513152</v>
      </c>
      <c r="AC39" s="31">
        <f>'TUSD BE'!$AC$39*'TUSD BE'!$AC$58</f>
        <v>-3.9033453662438689</v>
      </c>
      <c r="AD39" s="31">
        <f>SUM($AC$39:$AC$39)</f>
        <v>-3.9033453662438689</v>
      </c>
      <c r="AE39" s="31">
        <f ca="1">$AO$39*$AO$55</f>
        <v>0</v>
      </c>
      <c r="AF39" s="31">
        <f ca="1">$AP$39*$AP$55</f>
        <v>0</v>
      </c>
      <c r="AG39" s="31">
        <f ca="1">SUM($AE$39:$AF$39)</f>
        <v>0</v>
      </c>
      <c r="AH39" s="31">
        <f>'TUSD BE'!$AH$39*'TUSD BE'!$AH$58</f>
        <v>1.3126368552728811</v>
      </c>
      <c r="AI39" s="31">
        <f>'TUSD BE'!$AI$39*'TUSD BE'!$AI$58</f>
        <v>2.8399850394202356E-2</v>
      </c>
      <c r="AJ39" s="31">
        <f ca="1">'TUSD BE'!$AJ$39*'TUSD BE'!$AJ$58</f>
        <v>2.2743288755253759E-2</v>
      </c>
      <c r="AK39" s="31">
        <f ca="1">'TUSD BE'!$AK$39*'TUSD BE'!$AK$58</f>
        <v>3.7620352974175937E-2</v>
      </c>
      <c r="AL39" s="31">
        <f ca="1">SUM($AH$39:$AK$39)</f>
        <v>1.4014003473965131</v>
      </c>
      <c r="AM39" s="31">
        <f ca="1">SUMIF($L$4:$AL$4,"SUBTOTAL",$L$39:$AL$39)</f>
        <v>-4.9972873335728183</v>
      </c>
      <c r="AO39" s="59">
        <f ca="1">+'TUSD BE'!$T$39+'TUSD BE'!$AB$39+'TUSD BE'!$AD$39+'TUSD BE'!$AL$39</f>
        <v>631.25568232637124</v>
      </c>
      <c r="AP39" s="59">
        <f ca="1">+'TUSD BE'!$T$39+'TUSD BE'!$AB$39+'TUSD BE'!$AD$39+'TUSD BE'!$AL$39</f>
        <v>631.25568232637124</v>
      </c>
    </row>
    <row r="40" spans="1:42" ht="11.25" customHeight="1" x14ac:dyDescent="0.25">
      <c r="A40" s="149"/>
      <c r="B40" s="149"/>
      <c r="C40" s="149"/>
      <c r="D40" s="149"/>
      <c r="E40" s="149"/>
      <c r="F40" s="149"/>
      <c r="G40" s="57" t="s">
        <v>76</v>
      </c>
      <c r="H40" s="57" t="s">
        <v>74</v>
      </c>
      <c r="I40" s="57">
        <f>'MERCADO TUSD'!$U$37</f>
        <v>0</v>
      </c>
      <c r="J40" s="15"/>
      <c r="L40" s="31">
        <f>'TUSD BE'!$L$40*'TUSD BE'!$L$58</f>
        <v>0</v>
      </c>
      <c r="M40" s="31">
        <f>'TUSD BE'!$M$40*'TUSD BE'!$M$58</f>
        <v>-3.0650909416479716E-2</v>
      </c>
      <c r="N40" s="31">
        <f ca="1">'TUSD BE'!$N$40*'TUSD BE'!$N$58</f>
        <v>-9.4346243728433189E-6</v>
      </c>
      <c r="O40" s="31">
        <f>'TUSD BE'!$O$40*'TUSD BE'!$O$58</f>
        <v>0</v>
      </c>
      <c r="P40" s="31">
        <f>'TUSD BE'!$P$40*'TUSD BE'!$P$58</f>
        <v>0</v>
      </c>
      <c r="Q40" s="31">
        <f>'TUSD BE'!$Q$40*'TUSD BE'!$Q$58</f>
        <v>-2.7343580102382514</v>
      </c>
      <c r="R40" s="31">
        <f>'TUSD BE'!$R$40*'TUSD BE'!$R$58</f>
        <v>-0.47097951775238756</v>
      </c>
      <c r="S40" s="31">
        <f>'TUSD BE'!$R$40*'TUSD BE'!$S$58</f>
        <v>0</v>
      </c>
      <c r="T40" s="31">
        <f ca="1">SUM($L$40:$S$40)</f>
        <v>-3.2359978720314913</v>
      </c>
      <c r="U40" s="31">
        <f>'TUSD BE'!$U$40*'TUSD BE'!$U$58</f>
        <v>0</v>
      </c>
      <c r="V40" s="31">
        <f>'TUSD BE'!$V$40*'TUSD BE'!$V$58</f>
        <v>0</v>
      </c>
      <c r="W40" s="31">
        <f>'TUSD BE'!$W$40*'TUSD BE'!$W$58</f>
        <v>0</v>
      </c>
      <c r="X40" s="31">
        <f>'TUSD BE'!$X$40*'TUSD BE'!$X$58</f>
        <v>0</v>
      </c>
      <c r="Y40" s="31">
        <f>'TUSD BE'!$Y$40*'TUSD BE'!$Y$58</f>
        <v>0.24688999185043836</v>
      </c>
      <c r="Z40" s="31">
        <f>'TUSD BE'!$Z$40*'TUSD BE'!$Z$58</f>
        <v>0</v>
      </c>
      <c r="AA40" s="31">
        <f>'TUSD BE'!$AA$40*'TUSD BE'!$AA$58</f>
        <v>0</v>
      </c>
      <c r="AB40" s="31">
        <f>SUM($U$40:$AA$40)</f>
        <v>0.24688999185043836</v>
      </c>
      <c r="AC40" s="31">
        <f>'TUSD BE'!$AC$40*'TUSD BE'!$AC$58</f>
        <v>-1.3011155557097227</v>
      </c>
      <c r="AD40" s="31">
        <f>SUM($AC$40:$AC$40)</f>
        <v>-1.3011155557097227</v>
      </c>
      <c r="AE40" s="31">
        <f ca="1">$AO$40*$AO$55</f>
        <v>0</v>
      </c>
      <c r="AF40" s="31">
        <f ca="1">$AP$40*$AP$55</f>
        <v>0</v>
      </c>
      <c r="AG40" s="31">
        <f ca="1">SUM($AE$40:$AF$40)</f>
        <v>0</v>
      </c>
      <c r="AH40" s="31">
        <f>'TUSD BE'!$AH$40*'TUSD BE'!$AH$58</f>
        <v>1.3126368552728811</v>
      </c>
      <c r="AI40" s="31">
        <f>'TUSD BE'!$AI$40*'TUSD BE'!$AI$58</f>
        <v>2.8399850394202356E-2</v>
      </c>
      <c r="AJ40" s="31">
        <f ca="1">'TUSD BE'!$AJ$40*'TUSD BE'!$AJ$58</f>
        <v>2.2743288755253759E-2</v>
      </c>
      <c r="AK40" s="31">
        <f ca="1">'TUSD BE'!$AK$40*'TUSD BE'!$AK$58</f>
        <v>3.7620352974175937E-2</v>
      </c>
      <c r="AL40" s="31">
        <f ca="1">SUM($AH$40:$AK$40)</f>
        <v>1.4014003473965131</v>
      </c>
      <c r="AM40" s="31">
        <f ca="1">SUMIF($L$4:$AL$4,"SUBTOTAL",$L$40:$AL$40)</f>
        <v>-2.8888230884942629</v>
      </c>
      <c r="AO40" s="59">
        <f ca="1">+'TUSD BE'!$T$40+'TUSD BE'!$AB$40+'TUSD BE'!$AD$40+'TUSD BE'!$AL$40</f>
        <v>293.27071820562838</v>
      </c>
      <c r="AP40" s="59">
        <f ca="1">+'TUSD BE'!$T$40+'TUSD BE'!$AB$40+'TUSD BE'!$AD$40+'TUSD BE'!$AL$40</f>
        <v>293.27071820562838</v>
      </c>
    </row>
    <row r="41" spans="1:42" ht="11.25" customHeight="1" x14ac:dyDescent="0.25">
      <c r="A41" s="149"/>
      <c r="B41" s="56" t="s">
        <v>23</v>
      </c>
      <c r="C41" s="56" t="s">
        <v>42</v>
      </c>
      <c r="D41" s="56" t="s">
        <v>91</v>
      </c>
      <c r="E41" s="56" t="s">
        <v>25</v>
      </c>
      <c r="F41" s="56" t="s">
        <v>25</v>
      </c>
      <c r="G41" s="57" t="s">
        <v>78</v>
      </c>
      <c r="H41" s="57" t="s">
        <v>74</v>
      </c>
      <c r="I41" s="57">
        <f>'MERCADO TUSD'!$U$38</f>
        <v>0</v>
      </c>
      <c r="J41" s="15"/>
      <c r="L41" s="31">
        <f>'TUSD BE'!$L$41*'TUSD BE'!$L$58</f>
        <v>0</v>
      </c>
      <c r="M41" s="31">
        <f>'TUSD BE'!$M$41*'TUSD BE'!$M$58</f>
        <v>-3.0650909416479716E-2</v>
      </c>
      <c r="N41" s="31">
        <f ca="1">'TUSD BE'!$N$41*'TUSD BE'!$N$58</f>
        <v>-1.3853118672125327E-5</v>
      </c>
      <c r="O41" s="31">
        <f>'TUSD BE'!$O$41*'TUSD BE'!$O$58</f>
        <v>0</v>
      </c>
      <c r="P41" s="31">
        <f>'TUSD BE'!$P$41*'TUSD BE'!$P$58</f>
        <v>0</v>
      </c>
      <c r="Q41" s="31">
        <f>'TUSD BE'!$Q$41*'TUSD BE'!$Q$58</f>
        <v>-2.7343580102382514</v>
      </c>
      <c r="R41" s="31">
        <f>'TUSD BE'!$R$41*'TUSD BE'!$R$58</f>
        <v>-0.47097951775238756</v>
      </c>
      <c r="S41" s="31">
        <f>'TUSD BE'!$R$41*'TUSD BE'!$S$58</f>
        <v>0</v>
      </c>
      <c r="T41" s="31">
        <f ca="1">SUM($L$41:$S$41)</f>
        <v>-3.2360022905257906</v>
      </c>
      <c r="U41" s="31">
        <f>'TUSD BE'!$U$41*'TUSD BE'!$U$58</f>
        <v>0</v>
      </c>
      <c r="V41" s="31">
        <f>'TUSD BE'!$V$41*'TUSD BE'!$V$58</f>
        <v>0</v>
      </c>
      <c r="W41" s="31">
        <f>'TUSD BE'!$W$41*'TUSD BE'!$W$58</f>
        <v>0</v>
      </c>
      <c r="X41" s="31">
        <f>'TUSD BE'!$X$41*'TUSD BE'!$X$58</f>
        <v>0</v>
      </c>
      <c r="Y41" s="31">
        <f>'TUSD BE'!$Y$41*'TUSD BE'!$Y$58</f>
        <v>0.39820982110424452</v>
      </c>
      <c r="Z41" s="31">
        <f>'TUSD BE'!$Z$41*'TUSD BE'!$Z$58</f>
        <v>0</v>
      </c>
      <c r="AA41" s="31">
        <f>'TUSD BE'!$AA$41*'TUSD BE'!$AA$58</f>
        <v>0</v>
      </c>
      <c r="AB41" s="31">
        <f>SUM($U$41:$AA$41)</f>
        <v>0.39820982110424452</v>
      </c>
      <c r="AC41" s="31">
        <f>'TUSD BE'!$AC$41*'TUSD BE'!$AC$58</f>
        <v>-2.0985725537422435</v>
      </c>
      <c r="AD41" s="31">
        <f>SUM($AC$41:$AC$41)</f>
        <v>-2.0985725537422435</v>
      </c>
      <c r="AE41" s="31">
        <f ca="1">$AO$41*$AO$55</f>
        <v>0</v>
      </c>
      <c r="AF41" s="31">
        <f ca="1">$AP$41*$AP$55</f>
        <v>0</v>
      </c>
      <c r="AG41" s="31">
        <f ca="1">SUM($AE$41:$AF$41)</f>
        <v>0</v>
      </c>
      <c r="AH41" s="31">
        <f>'TUSD BE'!$AH$41*'TUSD BE'!$AH$58</f>
        <v>1.3126368552728811</v>
      </c>
      <c r="AI41" s="31">
        <f>'TUSD BE'!$AI$41*'TUSD BE'!$AI$58</f>
        <v>2.8399850394202356E-2</v>
      </c>
      <c r="AJ41" s="31">
        <f ca="1">'TUSD BE'!$AJ$41*'TUSD BE'!$AJ$58</f>
        <v>2.2743288755253759E-2</v>
      </c>
      <c r="AK41" s="31">
        <f ca="1">'TUSD BE'!$AK$41*'TUSD BE'!$AK$58</f>
        <v>3.7620352974175937E-2</v>
      </c>
      <c r="AL41" s="31">
        <f ca="1">SUM($AH$41:$AK$41)</f>
        <v>1.4014003473965131</v>
      </c>
      <c r="AM41" s="31">
        <f ca="1">SUMIF($L$4:$AL$4,"SUBTOTAL",$L$41:$AL$41)</f>
        <v>-3.5349646757672764</v>
      </c>
      <c r="AO41" s="59">
        <f ca="1">+'TUSD BE'!$T$41+'TUSD BE'!$AB$41+'TUSD BE'!$AD$41+'TUSD BE'!$AL$41</f>
        <v>396.8467543887827</v>
      </c>
      <c r="AP41" s="59">
        <f ca="1">+'TUSD BE'!$T$41+'TUSD BE'!$AB$41+'TUSD BE'!$AD$41+'TUSD BE'!$AL$41</f>
        <v>396.8467543887827</v>
      </c>
    </row>
    <row r="42" spans="1:42" ht="11.25" customHeight="1" x14ac:dyDescent="0.25">
      <c r="A42" s="149"/>
      <c r="B42" s="149" t="s">
        <v>89</v>
      </c>
      <c r="C42" s="149" t="s">
        <v>42</v>
      </c>
      <c r="D42" s="56" t="s">
        <v>25</v>
      </c>
      <c r="E42" s="56" t="s">
        <v>25</v>
      </c>
      <c r="F42" s="56" t="s">
        <v>25</v>
      </c>
      <c r="G42" s="57" t="s">
        <v>78</v>
      </c>
      <c r="H42" s="57" t="s">
        <v>74</v>
      </c>
      <c r="I42" s="57">
        <f>'MERCADO TUSD'!$U$39</f>
        <v>0</v>
      </c>
      <c r="J42" s="15"/>
      <c r="L42" s="31">
        <f>'TUSD BE'!$L$42*'TUSD BE'!$L$58</f>
        <v>0</v>
      </c>
      <c r="M42" s="31">
        <f>'TUSD BE'!$M$42*'TUSD BE'!$M$58</f>
        <v>-3.0650909416479716E-2</v>
      </c>
      <c r="N42" s="31">
        <f ca="1">'TUSD BE'!$N$42*'TUSD BE'!$N$58</f>
        <v>-1.3853118672125327E-5</v>
      </c>
      <c r="O42" s="31">
        <f>'TUSD BE'!$O$42*'TUSD BE'!$O$58</f>
        <v>0</v>
      </c>
      <c r="P42" s="31">
        <f>'TUSD BE'!$P$42*'TUSD BE'!$P$58</f>
        <v>0</v>
      </c>
      <c r="Q42" s="31">
        <f>'TUSD BE'!$Q$42*'TUSD BE'!$Q$58</f>
        <v>-2.7343580102382514</v>
      </c>
      <c r="R42" s="31">
        <f>'TUSD BE'!$R$42*'TUSD BE'!$R$58</f>
        <v>-0.47097951775238756</v>
      </c>
      <c r="S42" s="31">
        <f>'TUSD BE'!$R$42*'TUSD BE'!$S$58</f>
        <v>0</v>
      </c>
      <c r="T42" s="31">
        <f ca="1">SUM($L$42:$S$42)</f>
        <v>-3.2360022905257906</v>
      </c>
      <c r="U42" s="31">
        <f>'TUSD BE'!$U$42*'TUSD BE'!$U$58</f>
        <v>0</v>
      </c>
      <c r="V42" s="31">
        <f>'TUSD BE'!$V$42*'TUSD BE'!$V$58</f>
        <v>0</v>
      </c>
      <c r="W42" s="31">
        <f>'TUSD BE'!$W$42*'TUSD BE'!$W$58</f>
        <v>0</v>
      </c>
      <c r="X42" s="31">
        <f>'TUSD BE'!$X$42*'TUSD BE'!$X$58</f>
        <v>0</v>
      </c>
      <c r="Y42" s="31">
        <f>'TUSD BE'!$Y$42*'TUSD BE'!$Y$58</f>
        <v>0.39820982110424452</v>
      </c>
      <c r="Z42" s="31">
        <f>'TUSD BE'!$Z$42*'TUSD BE'!$Z$58</f>
        <v>0</v>
      </c>
      <c r="AA42" s="31">
        <f>'TUSD BE'!$AA$42*'TUSD BE'!$AA$58</f>
        <v>0</v>
      </c>
      <c r="AB42" s="31">
        <f>SUM($U$42:$AA$42)</f>
        <v>0.39820982110424452</v>
      </c>
      <c r="AC42" s="31">
        <f>'TUSD BE'!$AC$42*'TUSD BE'!$AC$58</f>
        <v>-2.0985725537422435</v>
      </c>
      <c r="AD42" s="31">
        <f>SUM($AC$42:$AC$42)</f>
        <v>-2.0985725537422435</v>
      </c>
      <c r="AE42" s="31">
        <f ca="1">$AO$42*$AO$55</f>
        <v>0</v>
      </c>
      <c r="AF42" s="31">
        <f ca="1">$AP$42*$AP$55</f>
        <v>0</v>
      </c>
      <c r="AG42" s="31">
        <f ca="1">SUM($AE$42:$AF$42)</f>
        <v>0</v>
      </c>
      <c r="AH42" s="31">
        <f>'TUSD BE'!$AH$42*'TUSD BE'!$AH$58</f>
        <v>1.3126368552728811</v>
      </c>
      <c r="AI42" s="31">
        <f>'TUSD BE'!$AI$42*'TUSD BE'!$AI$58</f>
        <v>2.8399850394202356E-2</v>
      </c>
      <c r="AJ42" s="31">
        <f ca="1">'TUSD BE'!$AJ$42*'TUSD BE'!$AJ$58</f>
        <v>2.2743288755253759E-2</v>
      </c>
      <c r="AK42" s="31">
        <f ca="1">'TUSD BE'!$AK$42*'TUSD BE'!$AK$58</f>
        <v>3.7620352974175937E-2</v>
      </c>
      <c r="AL42" s="31">
        <f ca="1">SUM($AH$42:$AK$42)</f>
        <v>1.4014003473965131</v>
      </c>
      <c r="AM42" s="31">
        <f ca="1">SUMIF($L$4:$AL$4,"SUBTOTAL",$L$42:$AL$42)</f>
        <v>-3.5349646757672764</v>
      </c>
      <c r="AO42" s="59">
        <f ca="1">+'TUSD BE'!$T$42+'TUSD BE'!$AB$42+'TUSD BE'!$AD$42+'TUSD BE'!$AL$42</f>
        <v>396.8467543887827</v>
      </c>
      <c r="AP42" s="59">
        <f ca="1">+'TUSD BE'!$T$42+'TUSD BE'!$AB$42+'TUSD BE'!$AD$42+'TUSD BE'!$AL$42</f>
        <v>396.8467543887827</v>
      </c>
    </row>
    <row r="43" spans="1:42" ht="11.25" customHeight="1" x14ac:dyDescent="0.25">
      <c r="A43" s="149"/>
      <c r="B43" s="149"/>
      <c r="C43" s="149"/>
      <c r="D43" s="56" t="s">
        <v>90</v>
      </c>
      <c r="E43" s="56" t="s">
        <v>25</v>
      </c>
      <c r="F43" s="56" t="s">
        <v>25</v>
      </c>
      <c r="G43" s="57" t="s">
        <v>78</v>
      </c>
      <c r="H43" s="57" t="s">
        <v>74</v>
      </c>
      <c r="I43" s="57">
        <f>'MERCADO TUSD'!$U$40</f>
        <v>0</v>
      </c>
      <c r="J43" s="15"/>
      <c r="L43" s="31">
        <f>'TUSD BE'!$L$43*'TUSD BE'!$L$58</f>
        <v>0</v>
      </c>
      <c r="M43" s="31">
        <f>'TUSD BE'!$M$43*'TUSD BE'!$M$58</f>
        <v>-3.0650909416479716E-2</v>
      </c>
      <c r="N43" s="31">
        <f ca="1">'TUSD BE'!$N$43*'TUSD BE'!$N$58</f>
        <v>-1.3853118672125327E-5</v>
      </c>
      <c r="O43" s="31">
        <f>'TUSD BE'!$O$43*'TUSD BE'!$O$58</f>
        <v>0</v>
      </c>
      <c r="P43" s="31">
        <f>'TUSD BE'!$P$43*'TUSD BE'!$P$58</f>
        <v>0</v>
      </c>
      <c r="Q43" s="31">
        <f>'TUSD BE'!$Q$43*'TUSD BE'!$Q$58</f>
        <v>-2.7343580102382514</v>
      </c>
      <c r="R43" s="31">
        <f>'TUSD BE'!$R$43*'TUSD BE'!$R$58</f>
        <v>-0.47097951775238756</v>
      </c>
      <c r="S43" s="31">
        <f>'TUSD BE'!$R$43*'TUSD BE'!$S$58</f>
        <v>0</v>
      </c>
      <c r="T43" s="31">
        <f ca="1">SUM($L$43:$S$43)</f>
        <v>-3.2360022905257906</v>
      </c>
      <c r="U43" s="31">
        <f>'TUSD BE'!$U$43*'TUSD BE'!$U$58</f>
        <v>0</v>
      </c>
      <c r="V43" s="31">
        <f>'TUSD BE'!$V$43*'TUSD BE'!$V$58</f>
        <v>0</v>
      </c>
      <c r="W43" s="31">
        <f>'TUSD BE'!$W$43*'TUSD BE'!$W$58</f>
        <v>0</v>
      </c>
      <c r="X43" s="31">
        <f>'TUSD BE'!$X$43*'TUSD BE'!$X$58</f>
        <v>0</v>
      </c>
      <c r="Y43" s="31">
        <f>'TUSD BE'!$Y$43*'TUSD BE'!$Y$58</f>
        <v>0.39820982110424452</v>
      </c>
      <c r="Z43" s="31">
        <f>'TUSD BE'!$Z$43*'TUSD BE'!$Z$58</f>
        <v>0</v>
      </c>
      <c r="AA43" s="31">
        <f>'TUSD BE'!$AA$43*'TUSD BE'!$AA$58</f>
        <v>0</v>
      </c>
      <c r="AB43" s="31">
        <f>SUM($U$43:$AA$43)</f>
        <v>0.39820982110424452</v>
      </c>
      <c r="AC43" s="31">
        <f>'TUSD BE'!$AC$43*'TUSD BE'!$AC$58</f>
        <v>-2.0985725537422435</v>
      </c>
      <c r="AD43" s="31">
        <f>SUM($AC$43:$AC$43)</f>
        <v>-2.0985725537422435</v>
      </c>
      <c r="AE43" s="31">
        <f ca="1">$AO$43*$AO$55</f>
        <v>0</v>
      </c>
      <c r="AF43" s="31">
        <f ca="1">$AP$43*$AP$55</f>
        <v>0</v>
      </c>
      <c r="AG43" s="31">
        <f ca="1">SUM($AE$43:$AF$43)</f>
        <v>0</v>
      </c>
      <c r="AH43" s="31">
        <f>'TUSD BE'!$AH$43*'TUSD BE'!$AH$58</f>
        <v>1.3126368552728811</v>
      </c>
      <c r="AI43" s="31">
        <f>'TUSD BE'!$AI$43*'TUSD BE'!$AI$58</f>
        <v>2.8399850394202356E-2</v>
      </c>
      <c r="AJ43" s="31">
        <f ca="1">'TUSD BE'!$AJ$43*'TUSD BE'!$AJ$58</f>
        <v>2.2743288755253759E-2</v>
      </c>
      <c r="AK43" s="31">
        <f ca="1">'TUSD BE'!$AK$43*'TUSD BE'!$AK$58</f>
        <v>3.7620352974175937E-2</v>
      </c>
      <c r="AL43" s="31">
        <f ca="1">SUM($AH$43:$AK$43)</f>
        <v>1.4014003473965131</v>
      </c>
      <c r="AM43" s="31">
        <f ca="1">SUMIF($L$4:$AL$4,"SUBTOTAL",$L$43:$AL$43)</f>
        <v>-3.5349646757672764</v>
      </c>
      <c r="AO43" s="59">
        <f ca="1">+'TUSD BE'!$T$43+'TUSD BE'!$AB$43+'TUSD BE'!$AD$43+'TUSD BE'!$AL$43</f>
        <v>396.8467543887827</v>
      </c>
      <c r="AP43" s="59">
        <f ca="1">+'TUSD BE'!$T$43+'TUSD BE'!$AB$43+'TUSD BE'!$AD$43+'TUSD BE'!$AL$43</f>
        <v>396.8467543887827</v>
      </c>
    </row>
    <row r="44" spans="1:42" ht="11.25" customHeight="1" x14ac:dyDescent="0.25">
      <c r="A44" s="149"/>
      <c r="B44" s="149"/>
      <c r="C44" s="149"/>
      <c r="D44" s="56" t="s">
        <v>91</v>
      </c>
      <c r="E44" s="56" t="s">
        <v>25</v>
      </c>
      <c r="F44" s="56" t="s">
        <v>25</v>
      </c>
      <c r="G44" s="57" t="s">
        <v>78</v>
      </c>
      <c r="H44" s="57" t="s">
        <v>74</v>
      </c>
      <c r="I44" s="57">
        <f>'MERCADO TUSD'!$U$41</f>
        <v>0</v>
      </c>
      <c r="J44" s="15"/>
      <c r="L44" s="31">
        <f>'TUSD BE'!$L$44*'TUSD BE'!$L$58</f>
        <v>0</v>
      </c>
      <c r="M44" s="31">
        <f>'TUSD BE'!$M$44*'TUSD BE'!$M$58</f>
        <v>-3.0650909416479716E-2</v>
      </c>
      <c r="N44" s="31">
        <f ca="1">'TUSD BE'!$N$44*'TUSD BE'!$N$58</f>
        <v>-1.3853118672125327E-5</v>
      </c>
      <c r="O44" s="31">
        <f>'TUSD BE'!$O$44*'TUSD BE'!$O$58</f>
        <v>0</v>
      </c>
      <c r="P44" s="31">
        <f>'TUSD BE'!$P$44*'TUSD BE'!$P$58</f>
        <v>0</v>
      </c>
      <c r="Q44" s="31">
        <f>'TUSD BE'!$Q$44*'TUSD BE'!$Q$58</f>
        <v>-2.7343580102382514</v>
      </c>
      <c r="R44" s="31">
        <f>'TUSD BE'!$R$44*'TUSD BE'!$R$58</f>
        <v>-0.47097951775238756</v>
      </c>
      <c r="S44" s="31">
        <f>'TUSD BE'!$R$44*'TUSD BE'!$S$58</f>
        <v>0</v>
      </c>
      <c r="T44" s="31">
        <f ca="1">SUM($L$44:$S$44)</f>
        <v>-3.2360022905257906</v>
      </c>
      <c r="U44" s="31">
        <f>'TUSD BE'!$U$44*'TUSD BE'!$U$58</f>
        <v>0</v>
      </c>
      <c r="V44" s="31">
        <f>'TUSD BE'!$V$44*'TUSD BE'!$V$58</f>
        <v>0</v>
      </c>
      <c r="W44" s="31">
        <f>'TUSD BE'!$W$44*'TUSD BE'!$W$58</f>
        <v>0</v>
      </c>
      <c r="X44" s="31">
        <f>'TUSD BE'!$X$44*'TUSD BE'!$X$58</f>
        <v>0</v>
      </c>
      <c r="Y44" s="31">
        <f>'TUSD BE'!$Y$44*'TUSD BE'!$Y$58</f>
        <v>0.39820982110424452</v>
      </c>
      <c r="Z44" s="31">
        <f>'TUSD BE'!$Z$44*'TUSD BE'!$Z$58</f>
        <v>0</v>
      </c>
      <c r="AA44" s="31">
        <f>'TUSD BE'!$AA$44*'TUSD BE'!$AA$58</f>
        <v>0</v>
      </c>
      <c r="AB44" s="31">
        <f>SUM($U$44:$AA$44)</f>
        <v>0.39820982110424452</v>
      </c>
      <c r="AC44" s="31">
        <f>'TUSD BE'!$AC$44*'TUSD BE'!$AC$58</f>
        <v>-2.0985725537422435</v>
      </c>
      <c r="AD44" s="31">
        <f>SUM($AC$44:$AC$44)</f>
        <v>-2.0985725537422435</v>
      </c>
      <c r="AE44" s="31">
        <f ca="1">$AO$44*$AO$55</f>
        <v>0</v>
      </c>
      <c r="AF44" s="31">
        <f ca="1">$AP$44*$AP$55</f>
        <v>0</v>
      </c>
      <c r="AG44" s="31">
        <f ca="1">SUM($AE$44:$AF$44)</f>
        <v>0</v>
      </c>
      <c r="AH44" s="31">
        <f>'TUSD BE'!$AH$44*'TUSD BE'!$AH$58</f>
        <v>1.3126368552728811</v>
      </c>
      <c r="AI44" s="31">
        <f>'TUSD BE'!$AI$44*'TUSD BE'!$AI$58</f>
        <v>2.8399850394202356E-2</v>
      </c>
      <c r="AJ44" s="31">
        <f ca="1">'TUSD BE'!$AJ$44*'TUSD BE'!$AJ$58</f>
        <v>2.2743288755253759E-2</v>
      </c>
      <c r="AK44" s="31">
        <f ca="1">'TUSD BE'!$AK$44*'TUSD BE'!$AK$58</f>
        <v>3.7620352974175937E-2</v>
      </c>
      <c r="AL44" s="31">
        <f ca="1">SUM($AH$44:$AK$44)</f>
        <v>1.4014003473965131</v>
      </c>
      <c r="AM44" s="31">
        <f ca="1">SUMIF($L$4:$AL$4,"SUBTOTAL",$L$44:$AL$44)</f>
        <v>-3.5349646757672764</v>
      </c>
      <c r="AO44" s="59">
        <f ca="1">+'TUSD BE'!$T$44+'TUSD BE'!$AB$44+'TUSD BE'!$AD$44+'TUSD BE'!$AL$44</f>
        <v>396.8467543887827</v>
      </c>
      <c r="AP44" s="59">
        <f ca="1">+'TUSD BE'!$T$44+'TUSD BE'!$AB$44+'TUSD BE'!$AD$44+'TUSD BE'!$AL$44</f>
        <v>396.8467543887827</v>
      </c>
    </row>
    <row r="45" spans="1:42" ht="11.25" customHeight="1" x14ac:dyDescent="0.25">
      <c r="A45" s="149" t="s">
        <v>33</v>
      </c>
      <c r="B45" s="149" t="s">
        <v>50</v>
      </c>
      <c r="C45" s="149" t="s">
        <v>25</v>
      </c>
      <c r="D45" s="149" t="s">
        <v>25</v>
      </c>
      <c r="E45" s="149" t="s">
        <v>25</v>
      </c>
      <c r="F45" s="149" t="s">
        <v>25</v>
      </c>
      <c r="G45" s="57" t="s">
        <v>75</v>
      </c>
      <c r="H45" s="57" t="s">
        <v>74</v>
      </c>
      <c r="I45" s="57">
        <f>'MERCADO TUSD'!$U$42</f>
        <v>1.1399999999999999</v>
      </c>
      <c r="J45" s="15"/>
      <c r="L45" s="31">
        <f>'TUSD BE'!$L$45*'TUSD BE'!$L$58</f>
        <v>0</v>
      </c>
      <c r="M45" s="31">
        <f>'TUSD BE'!$M$45*'TUSD BE'!$M$58</f>
        <v>-3.0650909416479716E-2</v>
      </c>
      <c r="N45" s="31">
        <f ca="1">'TUSD BE'!$N$45*'TUSD BE'!$N$58</f>
        <v>-4.2922169121029654E-5</v>
      </c>
      <c r="O45" s="31">
        <f>'TUSD BE'!$O$45*'TUSD BE'!$O$58</f>
        <v>0</v>
      </c>
      <c r="P45" s="31">
        <f>'TUSD BE'!$P$45*'TUSD BE'!$P$58</f>
        <v>0</v>
      </c>
      <c r="Q45" s="31">
        <f>'TUSD BE'!$Q$45*'TUSD BE'!$Q$58</f>
        <v>-2.7343580102382514</v>
      </c>
      <c r="R45" s="31">
        <f>'TUSD BE'!$R$45*'TUSD BE'!$R$58</f>
        <v>-0.47097951775238756</v>
      </c>
      <c r="S45" s="31">
        <f>'TUSD BE'!$R$45*'TUSD BE'!$S$58</f>
        <v>0</v>
      </c>
      <c r="T45" s="31">
        <f ca="1">SUM($L$45:$S$45)</f>
        <v>-3.2360313595762396</v>
      </c>
      <c r="U45" s="31">
        <f>'TUSD BE'!$U$45*'TUSD BE'!$U$58</f>
        <v>0</v>
      </c>
      <c r="V45" s="31">
        <f>'TUSD BE'!$V$45*'TUSD BE'!$V$58</f>
        <v>0</v>
      </c>
      <c r="W45" s="31">
        <f>'TUSD BE'!$W$45*'TUSD BE'!$W$58</f>
        <v>0</v>
      </c>
      <c r="X45" s="31">
        <f>'TUSD BE'!$X$45*'TUSD BE'!$X$58</f>
        <v>0</v>
      </c>
      <c r="Y45" s="31">
        <f>'TUSD BE'!$Y$45*'TUSD BE'!$Y$58</f>
        <v>1.3937341528780529</v>
      </c>
      <c r="Z45" s="31">
        <f>'TUSD BE'!$Z$45*'TUSD BE'!$Z$58</f>
        <v>0</v>
      </c>
      <c r="AA45" s="31">
        <f>'TUSD BE'!$AA$45*'TUSD BE'!$AA$58</f>
        <v>0</v>
      </c>
      <c r="AB45" s="31">
        <f>SUM($U$45:$AA$45)</f>
        <v>1.3937341528780529</v>
      </c>
      <c r="AC45" s="31">
        <f>'TUSD BE'!$AC$45*'TUSD BE'!$AC$58</f>
        <v>-7.3450052389831511</v>
      </c>
      <c r="AD45" s="31">
        <f>SUM($AC$45:$AC$45)</f>
        <v>-7.3450052389831511</v>
      </c>
      <c r="AE45" s="31">
        <f ca="1">$AO$45*$AO$55</f>
        <v>0</v>
      </c>
      <c r="AF45" s="31">
        <f ca="1">$AP$45*$AP$55</f>
        <v>0</v>
      </c>
      <c r="AG45" s="31">
        <f ca="1">SUM($AE$45:$AF$45)</f>
        <v>0</v>
      </c>
      <c r="AH45" s="31">
        <f>'TUSD BE'!$AH$45*'TUSD BE'!$AH$58</f>
        <v>1.3126368552728811</v>
      </c>
      <c r="AI45" s="31">
        <f>'TUSD BE'!$AI$45*'TUSD BE'!$AI$58</f>
        <v>2.8399850394202356E-2</v>
      </c>
      <c r="AJ45" s="31">
        <f ca="1">'TUSD BE'!$AJ$45*'TUSD BE'!$AJ$58</f>
        <v>2.2743288755253759E-2</v>
      </c>
      <c r="AK45" s="31">
        <f ca="1">'TUSD BE'!$AK$45*'TUSD BE'!$AK$58</f>
        <v>3.7620352974175937E-2</v>
      </c>
      <c r="AL45" s="31">
        <f ca="1">SUM($AH$45:$AK$45)</f>
        <v>1.4014003473965131</v>
      </c>
      <c r="AM45" s="31">
        <f ca="1">SUMIF($L$4:$AL$4,"SUBTOTAL",$L$45:$AL$45)</f>
        <v>-7.7859020982848248</v>
      </c>
      <c r="AO45" s="59">
        <f ca="1">+'TUSD BE'!$T$45+'TUSD BE'!$AB$45+'TUSD BE'!$AD$45+'TUSD BE'!$AL$45</f>
        <v>1078.2682274940757</v>
      </c>
      <c r="AP45" s="59">
        <f ca="1">+'TUSD BE'!$T$45+'TUSD BE'!$AB$45+'TUSD BE'!$AD$45+'TUSD BE'!$AL$45</f>
        <v>1078.2682274940757</v>
      </c>
    </row>
    <row r="46" spans="1:42" ht="11.25" customHeight="1" x14ac:dyDescent="0.25">
      <c r="A46" s="149"/>
      <c r="B46" s="149"/>
      <c r="C46" s="149"/>
      <c r="D46" s="149"/>
      <c r="E46" s="149"/>
      <c r="F46" s="149"/>
      <c r="G46" s="57" t="s">
        <v>87</v>
      </c>
      <c r="H46" s="57" t="s">
        <v>74</v>
      </c>
      <c r="I46" s="57">
        <f>'MERCADO TUSD'!$U$43</f>
        <v>1.5340000000000003</v>
      </c>
      <c r="J46" s="15"/>
      <c r="L46" s="31">
        <f>'TUSD BE'!$L$46*'TUSD BE'!$L$58</f>
        <v>0</v>
      </c>
      <c r="M46" s="31">
        <f>'TUSD BE'!$M$46*'TUSD BE'!$M$58</f>
        <v>-3.0650909416479716E-2</v>
      </c>
      <c r="N46" s="31">
        <f ca="1">'TUSD BE'!$N$46*'TUSD BE'!$N$58</f>
        <v>-2.6643500314662914E-5</v>
      </c>
      <c r="O46" s="31">
        <f>'TUSD BE'!$O$46*'TUSD BE'!$O$58</f>
        <v>0</v>
      </c>
      <c r="P46" s="31">
        <f>'TUSD BE'!$P$46*'TUSD BE'!$P$58</f>
        <v>0</v>
      </c>
      <c r="Q46" s="31">
        <f>'TUSD BE'!$Q$46*'TUSD BE'!$Q$58</f>
        <v>-2.7343580102382514</v>
      </c>
      <c r="R46" s="31">
        <f>'TUSD BE'!$R$46*'TUSD BE'!$R$58</f>
        <v>-0.47097951775238756</v>
      </c>
      <c r="S46" s="31">
        <f>'TUSD BE'!$R$46*'TUSD BE'!$S$58</f>
        <v>0</v>
      </c>
      <c r="T46" s="31">
        <f ca="1">SUM($L$46:$S$46)</f>
        <v>-3.2360150809074333</v>
      </c>
      <c r="U46" s="31">
        <f>'TUSD BE'!$U$46*'TUSD BE'!$U$58</f>
        <v>0</v>
      </c>
      <c r="V46" s="31">
        <f>'TUSD BE'!$V$46*'TUSD BE'!$V$58</f>
        <v>0</v>
      </c>
      <c r="W46" s="31">
        <f>'TUSD BE'!$W$46*'TUSD BE'!$W$58</f>
        <v>0</v>
      </c>
      <c r="X46" s="31">
        <f>'TUSD BE'!$X$46*'TUSD BE'!$X$58</f>
        <v>0</v>
      </c>
      <c r="Y46" s="31">
        <f>'TUSD BE'!$Y$46*'TUSD BE'!$Y$58</f>
        <v>0.83624058012155289</v>
      </c>
      <c r="Z46" s="31">
        <f>'TUSD BE'!$Z$46*'TUSD BE'!$Z$58</f>
        <v>0</v>
      </c>
      <c r="AA46" s="31">
        <f>'TUSD BE'!$AA$46*'TUSD BE'!$AA$58</f>
        <v>0</v>
      </c>
      <c r="AB46" s="31">
        <f>SUM($U$46:$AA$46)</f>
        <v>0.83624058012155289</v>
      </c>
      <c r="AC46" s="31">
        <f>'TUSD BE'!$AC$46*'TUSD BE'!$AC$58</f>
        <v>-4.4070026230357708</v>
      </c>
      <c r="AD46" s="31">
        <f>SUM($AC$46:$AC$46)</f>
        <v>-4.4070026230357708</v>
      </c>
      <c r="AE46" s="31">
        <f ca="1">$AO$46*$AO$55</f>
        <v>0</v>
      </c>
      <c r="AF46" s="31">
        <f ca="1">$AP$46*$AP$55</f>
        <v>0</v>
      </c>
      <c r="AG46" s="31">
        <f ca="1">SUM($AE$46:$AF$46)</f>
        <v>0</v>
      </c>
      <c r="AH46" s="31">
        <f>'TUSD BE'!$AH$46*'TUSD BE'!$AH$58</f>
        <v>1.3126368552728811</v>
      </c>
      <c r="AI46" s="31">
        <f>'TUSD BE'!$AI$46*'TUSD BE'!$AI$58</f>
        <v>2.8399850394202356E-2</v>
      </c>
      <c r="AJ46" s="31">
        <f ca="1">'TUSD BE'!$AJ$46*'TUSD BE'!$AJ$58</f>
        <v>2.2743288755253759E-2</v>
      </c>
      <c r="AK46" s="31">
        <f ca="1">'TUSD BE'!$AK$46*'TUSD BE'!$AK$58</f>
        <v>3.7620352974175937E-2</v>
      </c>
      <c r="AL46" s="31">
        <f ca="1">SUM($AH$46:$AK$46)</f>
        <v>1.4014003473965131</v>
      </c>
      <c r="AM46" s="31">
        <f ca="1">SUMIF($L$4:$AL$4,"SUBTOTAL",$L$46:$AL$46)</f>
        <v>-5.4053767764251379</v>
      </c>
      <c r="AO46" s="59">
        <f ca="1">+'TUSD BE'!$T$46+'TUSD BE'!$AB$46+'TUSD BE'!$AD$46+'TUSD BE'!$AL$46</f>
        <v>696.67219131368597</v>
      </c>
      <c r="AP46" s="59">
        <f ca="1">+'TUSD BE'!$T$46+'TUSD BE'!$AB$46+'TUSD BE'!$AD$46+'TUSD BE'!$AL$46</f>
        <v>696.67219131368597</v>
      </c>
    </row>
    <row r="47" spans="1:42" ht="11.25" customHeight="1" x14ac:dyDescent="0.25">
      <c r="A47" s="149"/>
      <c r="B47" s="149"/>
      <c r="C47" s="149"/>
      <c r="D47" s="149"/>
      <c r="E47" s="149"/>
      <c r="F47" s="149"/>
      <c r="G47" s="57" t="s">
        <v>76</v>
      </c>
      <c r="H47" s="57" t="s">
        <v>74</v>
      </c>
      <c r="I47" s="57">
        <f>'MERCADO TUSD'!$U$44</f>
        <v>27.193000000000005</v>
      </c>
      <c r="J47" s="15"/>
      <c r="L47" s="31">
        <f>'TUSD BE'!$L$47*'TUSD BE'!$L$58</f>
        <v>0</v>
      </c>
      <c r="M47" s="31">
        <f>'TUSD BE'!$M$47*'TUSD BE'!$M$58</f>
        <v>-3.0650909416479716E-2</v>
      </c>
      <c r="N47" s="31">
        <f ca="1">'TUSD BE'!$N$47*'TUSD BE'!$N$58</f>
        <v>-1.0364836133132152E-5</v>
      </c>
      <c r="O47" s="31">
        <f>'TUSD BE'!$O$47*'TUSD BE'!$O$58</f>
        <v>0</v>
      </c>
      <c r="P47" s="31">
        <f>'TUSD BE'!$P$47*'TUSD BE'!$P$58</f>
        <v>0</v>
      </c>
      <c r="Q47" s="31">
        <f>'TUSD BE'!$Q$47*'TUSD BE'!$Q$58</f>
        <v>-2.7343580102382514</v>
      </c>
      <c r="R47" s="31">
        <f>'TUSD BE'!$R$47*'TUSD BE'!$R$58</f>
        <v>-0.47097951775238756</v>
      </c>
      <c r="S47" s="31">
        <f>'TUSD BE'!$R$47*'TUSD BE'!$S$58</f>
        <v>0</v>
      </c>
      <c r="T47" s="31">
        <f ca="1">SUM($L$47:$S$47)</f>
        <v>-3.2359988022432518</v>
      </c>
      <c r="U47" s="31">
        <f>'TUSD BE'!$U$47*'TUSD BE'!$U$58</f>
        <v>0</v>
      </c>
      <c r="V47" s="31">
        <f>'TUSD BE'!$V$47*'TUSD BE'!$V$58</f>
        <v>0</v>
      </c>
      <c r="W47" s="31">
        <f>'TUSD BE'!$W$47*'TUSD BE'!$W$58</f>
        <v>0</v>
      </c>
      <c r="X47" s="31">
        <f>'TUSD BE'!$X$47*'TUSD BE'!$X$58</f>
        <v>0</v>
      </c>
      <c r="Y47" s="31">
        <f>'TUSD BE'!$Y$47*'TUSD BE'!$Y$58</f>
        <v>0.27874700736505281</v>
      </c>
      <c r="Z47" s="31">
        <f>'TUSD BE'!$Z$47*'TUSD BE'!$Z$58</f>
        <v>0</v>
      </c>
      <c r="AA47" s="31">
        <f>'TUSD BE'!$AA$47*'TUSD BE'!$AA$58</f>
        <v>0</v>
      </c>
      <c r="AB47" s="31">
        <f>SUM($U$47:$AA$47)</f>
        <v>0.27874700736505281</v>
      </c>
      <c r="AC47" s="31">
        <f>'TUSD BE'!$AC$47*'TUSD BE'!$AC$58</f>
        <v>-1.4690013079736899</v>
      </c>
      <c r="AD47" s="31">
        <f>SUM($AC$47:$AC$47)</f>
        <v>-1.4690013079736899</v>
      </c>
      <c r="AE47" s="31">
        <f ca="1">$AO$47*$AO$55</f>
        <v>0</v>
      </c>
      <c r="AF47" s="31">
        <f ca="1">$AP$47*$AP$55</f>
        <v>0</v>
      </c>
      <c r="AG47" s="31">
        <f ca="1">SUM($AE$47:$AF$47)</f>
        <v>0</v>
      </c>
      <c r="AH47" s="31">
        <f>'TUSD BE'!$AH$47*'TUSD BE'!$AH$58</f>
        <v>1.3126368552728811</v>
      </c>
      <c r="AI47" s="31">
        <f>'TUSD BE'!$AI$47*'TUSD BE'!$AI$58</f>
        <v>2.8399850394202356E-2</v>
      </c>
      <c r="AJ47" s="31">
        <f ca="1">'TUSD BE'!$AJ$47*'TUSD BE'!$AJ$58</f>
        <v>2.2743288755253759E-2</v>
      </c>
      <c r="AK47" s="31">
        <f ca="1">'TUSD BE'!$AK$47*'TUSD BE'!$AK$58</f>
        <v>3.7620352974175937E-2</v>
      </c>
      <c r="AL47" s="31">
        <f ca="1">SUM($AH$47:$AK$47)</f>
        <v>1.4014003473965131</v>
      </c>
      <c r="AM47" s="31">
        <f ca="1">SUMIF($L$4:$AL$4,"SUBTOTAL",$L$47:$AL$47)</f>
        <v>-3.0248527554553757</v>
      </c>
      <c r="AO47" s="59">
        <f ca="1">+'TUSD BE'!$T$47+'TUSD BE'!$AB$47+'TUSD BE'!$AD$47+'TUSD BE'!$AL$47</f>
        <v>315.07625965905987</v>
      </c>
      <c r="AP47" s="59">
        <f ca="1">+'TUSD BE'!$T$47+'TUSD BE'!$AB$47+'TUSD BE'!$AD$47+'TUSD BE'!$AL$47</f>
        <v>315.07625965905987</v>
      </c>
    </row>
    <row r="48" spans="1:42" ht="11.25" customHeight="1" x14ac:dyDescent="0.25">
      <c r="A48" s="149"/>
      <c r="B48" s="56" t="s">
        <v>23</v>
      </c>
      <c r="C48" s="56" t="s">
        <v>25</v>
      </c>
      <c r="D48" s="56" t="s">
        <v>25</v>
      </c>
      <c r="E48" s="56" t="s">
        <v>25</v>
      </c>
      <c r="F48" s="56" t="s">
        <v>25</v>
      </c>
      <c r="G48" s="57" t="s">
        <v>78</v>
      </c>
      <c r="H48" s="57" t="s">
        <v>74</v>
      </c>
      <c r="I48" s="57">
        <f>'MERCADO TUSD'!$U$45</f>
        <v>29180.755000000001</v>
      </c>
      <c r="J48" s="15"/>
      <c r="L48" s="31">
        <f>'TUSD BE'!$L$48*'TUSD BE'!$L$58</f>
        <v>0</v>
      </c>
      <c r="M48" s="31">
        <f>'TUSD BE'!$M$48*'TUSD BE'!$M$58</f>
        <v>-3.0650909416479716E-2</v>
      </c>
      <c r="N48" s="31">
        <f ca="1">'TUSD BE'!$N$48*'TUSD BE'!$N$58</f>
        <v>-1.3853118672125327E-5</v>
      </c>
      <c r="O48" s="31">
        <f>'TUSD BE'!$O$48*'TUSD BE'!$O$58</f>
        <v>0</v>
      </c>
      <c r="P48" s="31">
        <f>'TUSD BE'!$P$48*'TUSD BE'!$P$58</f>
        <v>0</v>
      </c>
      <c r="Q48" s="31">
        <f>'TUSD BE'!$Q$48*'TUSD BE'!$Q$58</f>
        <v>-2.7343580102382514</v>
      </c>
      <c r="R48" s="31">
        <f>'TUSD BE'!$R$48*'TUSD BE'!$R$58</f>
        <v>-0.47097951775238756</v>
      </c>
      <c r="S48" s="31">
        <f>'TUSD BE'!$R$48*'TUSD BE'!$S$58</f>
        <v>0</v>
      </c>
      <c r="T48" s="31">
        <f ca="1">SUM($L$48:$S$48)</f>
        <v>-3.2360022905257906</v>
      </c>
      <c r="U48" s="31">
        <f>'TUSD BE'!$U$48*'TUSD BE'!$U$58</f>
        <v>0</v>
      </c>
      <c r="V48" s="31">
        <f>'TUSD BE'!$V$48*'TUSD BE'!$V$58</f>
        <v>0</v>
      </c>
      <c r="W48" s="31">
        <f>'TUSD BE'!$W$48*'TUSD BE'!$W$58</f>
        <v>0</v>
      </c>
      <c r="X48" s="31">
        <f>'TUSD BE'!$X$48*'TUSD BE'!$X$58</f>
        <v>0</v>
      </c>
      <c r="Y48" s="31">
        <f>'TUSD BE'!$Y$48*'TUSD BE'!$Y$58</f>
        <v>0.39820982110424452</v>
      </c>
      <c r="Z48" s="31">
        <f>'TUSD BE'!$Z$48*'TUSD BE'!$Z$58</f>
        <v>0</v>
      </c>
      <c r="AA48" s="31">
        <f>'TUSD BE'!$AA$48*'TUSD BE'!$AA$58</f>
        <v>0</v>
      </c>
      <c r="AB48" s="31">
        <f>SUM($U$48:$AA$48)</f>
        <v>0.39820982110424452</v>
      </c>
      <c r="AC48" s="31">
        <f>'TUSD BE'!$AC$48*'TUSD BE'!$AC$58</f>
        <v>-2.0985725537422435</v>
      </c>
      <c r="AD48" s="31">
        <f>SUM($AC$48:$AC$48)</f>
        <v>-2.0985725537422435</v>
      </c>
      <c r="AE48" s="31">
        <f ca="1">$AO$48*$AO$55</f>
        <v>0</v>
      </c>
      <c r="AF48" s="31">
        <f ca="1">$AP$48*$AP$55</f>
        <v>0</v>
      </c>
      <c r="AG48" s="31">
        <f ca="1">SUM($AE$48:$AF$48)</f>
        <v>0</v>
      </c>
      <c r="AH48" s="31">
        <f>'TUSD BE'!$AH$48*'TUSD BE'!$AH$58</f>
        <v>1.3126368552728811</v>
      </c>
      <c r="AI48" s="31">
        <f>'TUSD BE'!$AI$48*'TUSD BE'!$AI$58</f>
        <v>2.8399850394202356E-2</v>
      </c>
      <c r="AJ48" s="31">
        <f ca="1">'TUSD BE'!$AJ$48*'TUSD BE'!$AJ$58</f>
        <v>2.2743288755253759E-2</v>
      </c>
      <c r="AK48" s="31">
        <f ca="1">'TUSD BE'!$AK$48*'TUSD BE'!$AK$58</f>
        <v>3.7620352974175937E-2</v>
      </c>
      <c r="AL48" s="31">
        <f ca="1">SUM($AH$48:$AK$48)</f>
        <v>1.4014003473965131</v>
      </c>
      <c r="AM48" s="31">
        <f ca="1">SUMIF($L$4:$AL$4,"SUBTOTAL",$L$48:$AL$48)</f>
        <v>-3.5349646757672764</v>
      </c>
      <c r="AO48" s="59">
        <f ca="1">+'TUSD BE'!$T$48+'TUSD BE'!$AB$48+'TUSD BE'!$AD$48+'TUSD BE'!$AL$48</f>
        <v>396.8467543887827</v>
      </c>
      <c r="AP48" s="59">
        <f ca="1">+'TUSD BE'!$T$48+'TUSD BE'!$AB$48+'TUSD BE'!$AD$48+'TUSD BE'!$AL$48</f>
        <v>396.8467543887827</v>
      </c>
    </row>
    <row r="49" spans="1:42" ht="11.25" customHeight="1" x14ac:dyDescent="0.25">
      <c r="A49" s="149"/>
      <c r="B49" s="56" t="s">
        <v>89</v>
      </c>
      <c r="C49" s="56" t="s">
        <v>25</v>
      </c>
      <c r="D49" s="56" t="s">
        <v>25</v>
      </c>
      <c r="E49" s="56" t="s">
        <v>25</v>
      </c>
      <c r="F49" s="56" t="s">
        <v>25</v>
      </c>
      <c r="G49" s="57" t="s">
        <v>78</v>
      </c>
      <c r="H49" s="57" t="s">
        <v>74</v>
      </c>
      <c r="I49" s="57">
        <f>'MERCADO TUSD'!$U$46</f>
        <v>0</v>
      </c>
      <c r="J49" s="15"/>
      <c r="L49" s="31">
        <f>'TUSD BE'!$L$49*'TUSD BE'!$L$58</f>
        <v>0</v>
      </c>
      <c r="M49" s="31">
        <f>'TUSD BE'!$M$49*'TUSD BE'!$M$58</f>
        <v>-3.0650909416479716E-2</v>
      </c>
      <c r="N49" s="31">
        <f ca="1">'TUSD BE'!$N$49*'TUSD BE'!$N$58</f>
        <v>-1.3853118672125327E-5</v>
      </c>
      <c r="O49" s="31">
        <f>'TUSD BE'!$O$49*'TUSD BE'!$O$58</f>
        <v>0</v>
      </c>
      <c r="P49" s="31">
        <f>'TUSD BE'!$P$49*'TUSD BE'!$P$58</f>
        <v>0</v>
      </c>
      <c r="Q49" s="31">
        <f>'TUSD BE'!$Q$49*'TUSD BE'!$Q$58</f>
        <v>-2.7343580102382514</v>
      </c>
      <c r="R49" s="31">
        <f>'TUSD BE'!$R$49*'TUSD BE'!$R$58</f>
        <v>-0.47097951775238756</v>
      </c>
      <c r="S49" s="31">
        <f>'TUSD BE'!$R$49*'TUSD BE'!$S$58</f>
        <v>0</v>
      </c>
      <c r="T49" s="31">
        <f ca="1">SUM($L$49:$S$49)</f>
        <v>-3.2360022905257906</v>
      </c>
      <c r="U49" s="31">
        <f>'TUSD BE'!$U$49*'TUSD BE'!$U$58</f>
        <v>0</v>
      </c>
      <c r="V49" s="31">
        <f>'TUSD BE'!$V$49*'TUSD BE'!$V$58</f>
        <v>0</v>
      </c>
      <c r="W49" s="31">
        <f>'TUSD BE'!$W$49*'TUSD BE'!$W$58</f>
        <v>0</v>
      </c>
      <c r="X49" s="31">
        <f>'TUSD BE'!$X$49*'TUSD BE'!$X$58</f>
        <v>0</v>
      </c>
      <c r="Y49" s="31">
        <f>'TUSD BE'!$Y$49*'TUSD BE'!$Y$58</f>
        <v>0.39820982110424452</v>
      </c>
      <c r="Z49" s="31">
        <f>'TUSD BE'!$Z$49*'TUSD BE'!$Z$58</f>
        <v>0</v>
      </c>
      <c r="AA49" s="31">
        <f>'TUSD BE'!$AA$49*'TUSD BE'!$AA$58</f>
        <v>0</v>
      </c>
      <c r="AB49" s="31">
        <f>SUM($U$49:$AA$49)</f>
        <v>0.39820982110424452</v>
      </c>
      <c r="AC49" s="31">
        <f>'TUSD BE'!$AC$49*'TUSD BE'!$AC$58</f>
        <v>-2.0985725537422435</v>
      </c>
      <c r="AD49" s="31">
        <f>SUM($AC$49:$AC$49)</f>
        <v>-2.0985725537422435</v>
      </c>
      <c r="AE49" s="31">
        <f ca="1">$AO$49*$AO$55</f>
        <v>0</v>
      </c>
      <c r="AF49" s="31">
        <f ca="1">$AP$49*$AP$55</f>
        <v>0</v>
      </c>
      <c r="AG49" s="31">
        <f ca="1">SUM($AE$49:$AF$49)</f>
        <v>0</v>
      </c>
      <c r="AH49" s="31">
        <f>'TUSD BE'!$AH$49*'TUSD BE'!$AH$58</f>
        <v>1.3126368552728811</v>
      </c>
      <c r="AI49" s="31">
        <f>'TUSD BE'!$AI$49*'TUSD BE'!$AI$58</f>
        <v>2.8399850394202356E-2</v>
      </c>
      <c r="AJ49" s="31">
        <f ca="1">'TUSD BE'!$AJ$49*'TUSD BE'!$AJ$58</f>
        <v>2.2743288755253759E-2</v>
      </c>
      <c r="AK49" s="31">
        <f ca="1">'TUSD BE'!$AK$49*'TUSD BE'!$AK$58</f>
        <v>3.7620352974175937E-2</v>
      </c>
      <c r="AL49" s="31">
        <f ca="1">SUM($AH$49:$AK$49)</f>
        <v>1.4014003473965131</v>
      </c>
      <c r="AM49" s="31">
        <f ca="1">SUMIF($L$4:$AL$4,"SUBTOTAL",$L$49:$AL$49)</f>
        <v>-3.5349646757672764</v>
      </c>
      <c r="AO49" s="59">
        <f ca="1">+'TUSD BE'!$T$49+'TUSD BE'!$AB$49+'TUSD BE'!$AD$49+'TUSD BE'!$AL$49</f>
        <v>396.8467543887827</v>
      </c>
      <c r="AP49" s="59">
        <f ca="1">+'TUSD BE'!$T$49+'TUSD BE'!$AB$49+'TUSD BE'!$AD$49+'TUSD BE'!$AL$49</f>
        <v>396.8467543887827</v>
      </c>
    </row>
    <row r="50" spans="1:42" ht="11.25" customHeight="1" x14ac:dyDescent="0.25">
      <c r="A50" s="149" t="s">
        <v>44</v>
      </c>
      <c r="B50" s="149" t="s">
        <v>23</v>
      </c>
      <c r="C50" s="149" t="s">
        <v>45</v>
      </c>
      <c r="D50" s="56" t="s">
        <v>46</v>
      </c>
      <c r="E50" s="56" t="s">
        <v>25</v>
      </c>
      <c r="F50" s="56" t="s">
        <v>25</v>
      </c>
      <c r="G50" s="57" t="s">
        <v>78</v>
      </c>
      <c r="H50" s="57" t="s">
        <v>74</v>
      </c>
      <c r="I50" s="57">
        <f>'MERCADO TUSD'!$U$47</f>
        <v>11805.242</v>
      </c>
      <c r="J50" s="15"/>
      <c r="L50" s="31">
        <f>'TUSD BE'!$L$50*'TUSD BE'!$L$58</f>
        <v>0</v>
      </c>
      <c r="M50" s="31">
        <f>'TUSD BE'!$M$50*'TUSD BE'!$M$58</f>
        <v>-1.6858000179063845E-2</v>
      </c>
      <c r="N50" s="31">
        <f ca="1">'TUSD BE'!$N$50*'TUSD BE'!$N$58</f>
        <v>-7.6192152696689299E-6</v>
      </c>
      <c r="O50" s="31">
        <f>'TUSD BE'!$O$50*'TUSD BE'!$O$58</f>
        <v>0</v>
      </c>
      <c r="P50" s="31">
        <f>'TUSD BE'!$P$50*'TUSD BE'!$P$58</f>
        <v>0</v>
      </c>
      <c r="Q50" s="31">
        <f>'TUSD BE'!$Q$50*'TUSD BE'!$Q$58</f>
        <v>-1.5038969056310385</v>
      </c>
      <c r="R50" s="31">
        <f>'TUSD BE'!$R$50*'TUSD BE'!$R$58</f>
        <v>-0.25903873476381317</v>
      </c>
      <c r="S50" s="31">
        <f>'TUSD BE'!$R$50*'TUSD BE'!$S$58</f>
        <v>0</v>
      </c>
      <c r="T50" s="31">
        <f ca="1">SUM($L$50:$S$50)</f>
        <v>-1.7798012597891852</v>
      </c>
      <c r="U50" s="31">
        <f>'TUSD BE'!$U$50*'TUSD BE'!$U$58</f>
        <v>0</v>
      </c>
      <c r="V50" s="31">
        <f>'TUSD BE'!$V$50*'TUSD BE'!$V$58</f>
        <v>0</v>
      </c>
      <c r="W50" s="31">
        <f>'TUSD BE'!$W$50*'TUSD BE'!$W$58</f>
        <v>0</v>
      </c>
      <c r="X50" s="31">
        <f>'TUSD BE'!$X$50*'TUSD BE'!$X$58</f>
        <v>0</v>
      </c>
      <c r="Y50" s="31">
        <f>'TUSD BE'!$Y$50*'TUSD BE'!$Y$58</f>
        <v>0.21901540160733451</v>
      </c>
      <c r="Z50" s="31">
        <f>'TUSD BE'!$Z$50*'TUSD BE'!$Z$58</f>
        <v>0</v>
      </c>
      <c r="AA50" s="31">
        <f>'TUSD BE'!$AA$50*'TUSD BE'!$AA$58</f>
        <v>0</v>
      </c>
      <c r="AB50" s="31">
        <f>SUM($U$50:$AA$50)</f>
        <v>0.21901540160733451</v>
      </c>
      <c r="AC50" s="31">
        <f>'TUSD BE'!$AC$50*'TUSD BE'!$AC$58</f>
        <v>-1.1542149045582342</v>
      </c>
      <c r="AD50" s="31">
        <f>SUM($AC$50:$AC$50)</f>
        <v>-1.1542149045582342</v>
      </c>
      <c r="AE50" s="31">
        <f ca="1">$AO$50*$AO$55</f>
        <v>0</v>
      </c>
      <c r="AF50" s="31">
        <f ca="1">$AP$50*$AP$55</f>
        <v>0</v>
      </c>
      <c r="AG50" s="31">
        <f ca="1">SUM($AE$50:$AF$50)</f>
        <v>0</v>
      </c>
      <c r="AH50" s="31">
        <f>'TUSD BE'!$AH$50*'TUSD BE'!$AH$58</f>
        <v>0.72195027040008464</v>
      </c>
      <c r="AI50" s="31">
        <f>'TUSD BE'!$AI$50*'TUSD BE'!$AI$58</f>
        <v>1.5619917716811295E-2</v>
      </c>
      <c r="AJ50" s="31">
        <f ca="1">'TUSD BE'!$AJ$50*'TUSD BE'!$AJ$58</f>
        <v>1.250880881538957E-2</v>
      </c>
      <c r="AK50" s="31">
        <f ca="1">'TUSD BE'!$AK$50*'TUSD BE'!$AK$58</f>
        <v>2.0691194135796769E-2</v>
      </c>
      <c r="AL50" s="31">
        <f ca="1">SUM($AH$50:$AK$50)</f>
        <v>0.7707701910680822</v>
      </c>
      <c r="AM50" s="31">
        <f ca="1">SUMIF($L$4:$AL$4,"SUBTOTAL",$L$50:$AL$50)</f>
        <v>-1.944230571672003</v>
      </c>
      <c r="AO50" s="59">
        <f ca="1">+'TUSD BE'!$T$50+'TUSD BE'!$AB$50+'TUSD BE'!$AD$50+'TUSD BE'!$AL$50</f>
        <v>218.26571491383052</v>
      </c>
      <c r="AP50" s="59">
        <f ca="1">+'TUSD BE'!$T$50+'TUSD BE'!$AB$50+'TUSD BE'!$AD$50+'TUSD BE'!$AL$50</f>
        <v>218.26571491383052</v>
      </c>
    </row>
    <row r="51" spans="1:42" ht="11.25" customHeight="1" x14ac:dyDescent="0.25">
      <c r="A51" s="149"/>
      <c r="B51" s="149"/>
      <c r="C51" s="149"/>
      <c r="D51" s="57" t="s">
        <v>92</v>
      </c>
      <c r="E51" s="57" t="s">
        <v>25</v>
      </c>
      <c r="F51" s="57" t="s">
        <v>25</v>
      </c>
      <c r="G51" s="57" t="s">
        <v>78</v>
      </c>
      <c r="H51" s="57" t="s">
        <v>74</v>
      </c>
      <c r="I51" s="57">
        <f>'MERCADO TUSD'!$U$48</f>
        <v>0</v>
      </c>
      <c r="J51" s="15"/>
      <c r="L51" s="31">
        <f>'TUSD BE'!$L$51*'TUSD BE'!$L$58</f>
        <v>0</v>
      </c>
      <c r="M51" s="31">
        <f>'TUSD BE'!$M$51*'TUSD BE'!$M$58</f>
        <v>-1.8390545649887829E-2</v>
      </c>
      <c r="N51" s="31">
        <f ca="1">'TUSD BE'!$N$51*'TUSD BE'!$N$58</f>
        <v>-8.3118712032751966E-6</v>
      </c>
      <c r="O51" s="31">
        <f>'TUSD BE'!$O$51*'TUSD BE'!$O$58</f>
        <v>0</v>
      </c>
      <c r="P51" s="31">
        <f>'TUSD BE'!$P$51*'TUSD BE'!$P$58</f>
        <v>0</v>
      </c>
      <c r="Q51" s="31">
        <f>'TUSD BE'!$Q$51*'TUSD BE'!$Q$58</f>
        <v>-1.6406148061429509</v>
      </c>
      <c r="R51" s="31">
        <f>'TUSD BE'!$R$51*'TUSD BE'!$R$58</f>
        <v>-0.28258771065143251</v>
      </c>
      <c r="S51" s="31">
        <f>'TUSD BE'!$R$51*'TUSD BE'!$S$58</f>
        <v>0</v>
      </c>
      <c r="T51" s="31">
        <f ca="1">SUM($L$51:$S$51)</f>
        <v>-1.9416013743154745</v>
      </c>
      <c r="U51" s="31">
        <f>'TUSD BE'!$U$51*'TUSD BE'!$U$58</f>
        <v>0</v>
      </c>
      <c r="V51" s="31">
        <f>'TUSD BE'!$V$51*'TUSD BE'!$V$58</f>
        <v>0</v>
      </c>
      <c r="W51" s="31">
        <f>'TUSD BE'!$W$51*'TUSD BE'!$W$58</f>
        <v>0</v>
      </c>
      <c r="X51" s="31">
        <f>'TUSD BE'!$X$51*'TUSD BE'!$X$58</f>
        <v>0</v>
      </c>
      <c r="Y51" s="31">
        <f>'TUSD BE'!$Y$51*'TUSD BE'!$Y$58</f>
        <v>0.23892589266254671</v>
      </c>
      <c r="Z51" s="31">
        <f>'TUSD BE'!$Z$51*'TUSD BE'!$Z$58</f>
        <v>0</v>
      </c>
      <c r="AA51" s="31">
        <f>'TUSD BE'!$AA$51*'TUSD BE'!$AA$58</f>
        <v>0</v>
      </c>
      <c r="AB51" s="31">
        <f>SUM($U$51:$AA$51)</f>
        <v>0.23892589266254671</v>
      </c>
      <c r="AC51" s="31">
        <f>'TUSD BE'!$AC$51*'TUSD BE'!$AC$58</f>
        <v>-1.2591435322453461</v>
      </c>
      <c r="AD51" s="31">
        <f>SUM($AC$51:$AC$51)</f>
        <v>-1.2591435322453461</v>
      </c>
      <c r="AE51" s="31">
        <f ca="1">$AO$51*$AO$55</f>
        <v>0</v>
      </c>
      <c r="AF51" s="31">
        <f ca="1">$AP$51*$AP$55</f>
        <v>0</v>
      </c>
      <c r="AG51" s="31">
        <f ca="1">SUM($AE$51:$AF$51)</f>
        <v>0</v>
      </c>
      <c r="AH51" s="31">
        <f>'TUSD BE'!$AH$51*'TUSD BE'!$AH$58</f>
        <v>0.78758211316372861</v>
      </c>
      <c r="AI51" s="31">
        <f>'TUSD BE'!$AI$51*'TUSD BE'!$AI$58</f>
        <v>1.7039910236521412E-2</v>
      </c>
      <c r="AJ51" s="31">
        <f ca="1">'TUSD BE'!$AJ$51*'TUSD BE'!$AJ$58</f>
        <v>1.3645973253152255E-2</v>
      </c>
      <c r="AK51" s="31">
        <f ca="1">'TUSD BE'!$AK$51*'TUSD BE'!$AK$58</f>
        <v>2.2572211784505563E-2</v>
      </c>
      <c r="AL51" s="31">
        <f ca="1">SUM($AH$51:$AK$51)</f>
        <v>0.84084020843790785</v>
      </c>
      <c r="AM51" s="31">
        <f ca="1">SUMIF($L$4:$AL$4,"SUBTOTAL",$L$51:$AL$51)</f>
        <v>-2.120978805460366</v>
      </c>
      <c r="AO51" s="59">
        <f ca="1">+'TUSD BE'!$T$51+'TUSD BE'!$AB$51+'TUSD BE'!$AD$51+'TUSD BE'!$AL$51</f>
        <v>238.10805263326964</v>
      </c>
      <c r="AP51" s="59">
        <f ca="1">+'TUSD BE'!$T$51+'TUSD BE'!$AB$51+'TUSD BE'!$AD$51+'TUSD BE'!$AL$51</f>
        <v>238.10805263326964</v>
      </c>
    </row>
    <row r="53" spans="1:42" ht="11.25" customHeight="1" x14ac:dyDescent="0.25">
      <c r="K53" s="55" t="s">
        <v>570</v>
      </c>
      <c r="L53" s="31">
        <f>SUMPRODUCT($I$5:$I51,$L$5:$L51)</f>
        <v>0</v>
      </c>
      <c r="M53" s="31">
        <f>SUMPRODUCT($I$5:$I51,$M$5:$M51)</f>
        <v>-5095.3742162426397</v>
      </c>
      <c r="N53" s="31">
        <f ca="1">SUMPRODUCT($I$5:$I51,$N$5:$N51)</f>
        <v>-2.1461305651778178</v>
      </c>
      <c r="O53" s="31">
        <f>SUMPRODUCT($I$5:$I51,$O$5:$O51)</f>
        <v>0</v>
      </c>
      <c r="P53" s="31">
        <f>SUMPRODUCT($I$5:$I51,$P$5:$P51)</f>
        <v>0</v>
      </c>
      <c r="Q53" s="31">
        <f>SUMPRODUCT($I$5:$I51,$Q$5:$Q51)</f>
        <v>-606637.6309529962</v>
      </c>
      <c r="R53" s="31">
        <f>SUMPRODUCT($I$5:$I51,$R$5:$R51)</f>
        <v>-114045.21715739089</v>
      </c>
      <c r="S53" s="31">
        <f>SUMPRODUCT($I$5:$I51,$S$5:$S51)</f>
        <v>0</v>
      </c>
      <c r="T53" s="31">
        <f ca="1">SUMPRODUCT($I$5:$I51,$T$5:$T51)</f>
        <v>-725780.36845719512</v>
      </c>
      <c r="U53" s="31">
        <f>SUMPRODUCT($I$5:$I51,$U$5:$U51)</f>
        <v>0</v>
      </c>
      <c r="V53" s="31">
        <f>SUMPRODUCT($I$5:$I51,$V$5:$V51)</f>
        <v>0</v>
      </c>
      <c r="W53" s="31">
        <f>SUMPRODUCT($I$5:$I51,$W$5:$W51)</f>
        <v>0</v>
      </c>
      <c r="X53" s="31">
        <f>SUMPRODUCT($I$5:$I51,$X$5:$X51)</f>
        <v>0</v>
      </c>
      <c r="Y53" s="31">
        <f>SUMPRODUCT($I$5:$I51,$Y$5:$Y51)</f>
        <v>89260.421168354282</v>
      </c>
      <c r="Z53" s="31">
        <f>SUMPRODUCT($I$5:$I51,$Z$5:$Z51)</f>
        <v>0</v>
      </c>
      <c r="AA53" s="31">
        <f>SUMPRODUCT($I$5:$I51,$AA$5:$AA51)</f>
        <v>0</v>
      </c>
      <c r="AB53" s="31">
        <f>SUMPRODUCT($I$5:$I51,$AB$5:$AB51)</f>
        <v>89260.421168354282</v>
      </c>
      <c r="AC53" s="31">
        <f>SUMPRODUCT($I$5:$I51,$AC$5:$AC51)</f>
        <v>-348853.91761998093</v>
      </c>
      <c r="AD53" s="31">
        <f>SUMPRODUCT($I$5:$I51,$AD$5:$AD51)</f>
        <v>-348853.91761998093</v>
      </c>
      <c r="AE53" s="31">
        <f ca="1">SUMPRODUCT($I$5:$I51,$AE$5:$AE51)</f>
        <v>0</v>
      </c>
      <c r="AF53" s="31">
        <f ca="1">SUMPRODUCT($I$5:$I51,$AF$5:$AF51)</f>
        <v>0</v>
      </c>
      <c r="AG53" s="31">
        <f ca="1">SUMPRODUCT($I$5:$I51,$AG$5:$AG51)</f>
        <v>0</v>
      </c>
      <c r="AH53" s="31">
        <f>SUMPRODUCT($I$5:$I51,$AH$5:$AH51)</f>
        <v>233527.97964365163</v>
      </c>
      <c r="AI53" s="31">
        <f>SUMPRODUCT($I$5:$I51,$AI$5:$AI51)</f>
        <v>5052.5472129618784</v>
      </c>
      <c r="AJ53" s="31">
        <f ca="1">SUMPRODUCT($I$5:$I51,$AJ$5:$AJ51)</f>
        <v>4591.3605377627364</v>
      </c>
      <c r="AK53" s="31">
        <f ca="1">SUMPRODUCT($I$5:$I51,$AK$5:$AK51)</f>
        <v>7594.7065493083383</v>
      </c>
      <c r="AL53" s="31">
        <f ca="1">SUMPRODUCT($I$5:$I51,$AL$5:$AL51)</f>
        <v>250766.59394368457</v>
      </c>
      <c r="AM53" s="31">
        <f ca="1">SUMPRODUCT($I$5:$I51,$AM$5:$AM51)</f>
        <v>-734607.27096513694</v>
      </c>
      <c r="AO53" s="57">
        <f ca="1">SUMPRODUCT($I$5:$I51,$AO$5:$AO51)</f>
        <v>78148716.64811708</v>
      </c>
      <c r="AP53" s="57">
        <f ca="1">SUMPRODUCT($I$5:$I51,$AP$5:$AP51)</f>
        <v>78148716.64811708</v>
      </c>
    </row>
    <row r="54" spans="1:42" ht="11.25" customHeight="1" x14ac:dyDescent="0.25">
      <c r="K54" s="55" t="s">
        <v>502</v>
      </c>
      <c r="L54" s="31">
        <f>'TR TUSD'!$L$56</f>
        <v>0</v>
      </c>
      <c r="M54" s="31">
        <f>'TR TUSD'!$M$56</f>
        <v>132162.35381336641</v>
      </c>
      <c r="N54" s="31">
        <f>'TR TUSD'!$N$56</f>
        <v>624527.40973006445</v>
      </c>
      <c r="O54" s="31">
        <f>'TR TUSD'!$O$56</f>
        <v>0</v>
      </c>
      <c r="P54" s="31">
        <f>'TR TUSD'!$P$56</f>
        <v>0</v>
      </c>
      <c r="Q54" s="31">
        <f>'TR TUSD'!$Q$56</f>
        <v>19906891.243956644</v>
      </c>
      <c r="R54" s="31">
        <f>'TR TUSD'!$R$56</f>
        <v>3322148.6522549647</v>
      </c>
      <c r="S54" s="31">
        <f>'TR TUSD'!$S$56</f>
        <v>0</v>
      </c>
      <c r="T54" s="31">
        <f>'TR TUSD'!$T$56</f>
        <v>23985729.65975504</v>
      </c>
      <c r="U54" s="31">
        <f>'TR TUSD'!$U$56</f>
        <v>0</v>
      </c>
      <c r="V54" s="31">
        <f>'TR TUSD'!$V$56</f>
        <v>0</v>
      </c>
      <c r="W54" s="31">
        <f>'TR TUSD'!$W$56</f>
        <v>0</v>
      </c>
      <c r="X54" s="31">
        <f>'TR TUSD'!$X$56</f>
        <v>0</v>
      </c>
      <c r="Y54" s="31">
        <f>'TR TUSD'!$Y$56</f>
        <v>23028775.62164</v>
      </c>
      <c r="Z54" s="31">
        <f>'TR TUSD'!$Z$56</f>
        <v>0</v>
      </c>
      <c r="AA54" s="31">
        <f>'TR TUSD'!$AA$56</f>
        <v>0</v>
      </c>
      <c r="AB54" s="31">
        <f>'TR TUSD'!$AB$56</f>
        <v>23028775.62164</v>
      </c>
      <c r="AC54" s="31">
        <f>'TR TUSD'!$AC$56</f>
        <v>27669405.247148588</v>
      </c>
      <c r="AD54" s="31">
        <f>'TR TUSD'!$AD$56</f>
        <v>27669405.247148588</v>
      </c>
      <c r="AE54" s="31">
        <f>'TR TUSD'!$AE$56</f>
        <v>0</v>
      </c>
      <c r="AF54" s="31">
        <f>'TR TUSD'!$AF$56</f>
        <v>0</v>
      </c>
      <c r="AG54" s="31">
        <f>'TR TUSD'!$AG$56</f>
        <v>0</v>
      </c>
      <c r="AH54" s="31">
        <f>'TR TUSD'!$AH$56</f>
        <v>3262716.0429595937</v>
      </c>
      <c r="AI54" s="31">
        <f>'TR TUSD'!$AI$56</f>
        <v>70591.227974894384</v>
      </c>
      <c r="AJ54" s="31">
        <f>'TR TUSD'!$AJ$56</f>
        <v>64147.798085818387</v>
      </c>
      <c r="AK54" s="31">
        <f>'TR TUSD'!$AK$56</f>
        <v>67351.050553161942</v>
      </c>
      <c r="AL54" s="31">
        <f>'TR TUSD'!$AL$56</f>
        <v>3464806.1195734688</v>
      </c>
      <c r="AM54" s="31">
        <f>'TUSD BE'!$AM$54</f>
        <v>78148716.648117095</v>
      </c>
      <c r="AO54" s="57">
        <f>$AE$55</f>
        <v>0</v>
      </c>
      <c r="AP54" s="57">
        <f>$AF$55</f>
        <v>0</v>
      </c>
    </row>
    <row r="55" spans="1:42" ht="11.25" customHeight="1" x14ac:dyDescent="0.25">
      <c r="K55" s="55" t="s">
        <v>503</v>
      </c>
      <c r="L55" s="31">
        <f>CUSTOS!$E$2</f>
        <v>0</v>
      </c>
      <c r="M55" s="31">
        <f>CUSTOS!$E$3</f>
        <v>-5095.3742162426397</v>
      </c>
      <c r="N55" s="31">
        <f>CUSTOS!$E$4</f>
        <v>-2.1461305651778182</v>
      </c>
      <c r="O55" s="31">
        <f>CUSTOS!$E$5</f>
        <v>0</v>
      </c>
      <c r="P55" s="31">
        <f>CUSTOS!$E$6</f>
        <v>0</v>
      </c>
      <c r="Q55" s="31">
        <f>CUSTOS!$E$7</f>
        <v>-606637.6309529962</v>
      </c>
      <c r="R55" s="31">
        <f>CUSTOS!$E$8</f>
        <v>-114045.2171573909</v>
      </c>
      <c r="S55" s="31">
        <f>CUSTOS!$E$9</f>
        <v>0</v>
      </c>
      <c r="T55" s="31">
        <f>CUSTOS!$E$10</f>
        <v>-725780.36845719488</v>
      </c>
      <c r="U55" s="31">
        <f>CUSTOS!$E$11</f>
        <v>0</v>
      </c>
      <c r="V55" s="31">
        <f>CUSTOS!$E$12</f>
        <v>0</v>
      </c>
      <c r="W55" s="31">
        <f>CUSTOS!$E$13</f>
        <v>0</v>
      </c>
      <c r="X55" s="31">
        <f>CUSTOS!$E$14</f>
        <v>0</v>
      </c>
      <c r="Y55" s="31">
        <f>CUSTOS!$E$15</f>
        <v>89260.421168354311</v>
      </c>
      <c r="Z55" s="31">
        <f>CUSTOS!$E$16</f>
        <v>0</v>
      </c>
      <c r="AA55" s="31">
        <f>CUSTOS!$E$17</f>
        <v>0</v>
      </c>
      <c r="AB55" s="31">
        <f>CUSTOS!$E$18</f>
        <v>89260.421168354311</v>
      </c>
      <c r="AC55" s="31">
        <f>CUSTOS!$E$19</f>
        <v>-348853.91761998099</v>
      </c>
      <c r="AD55" s="31">
        <f>CUSTOS!$E$20</f>
        <v>-348853.91761998099</v>
      </c>
      <c r="AE55" s="31">
        <f>CUSTOS!$E$21</f>
        <v>0</v>
      </c>
      <c r="AF55" s="31">
        <f>CUSTOS!$E$22</f>
        <v>0</v>
      </c>
      <c r="AG55" s="31">
        <f>CUSTOS!$E$23</f>
        <v>0</v>
      </c>
      <c r="AH55" s="31">
        <f>CUSTOS!$E$24</f>
        <v>233527.97964365163</v>
      </c>
      <c r="AI55" s="31">
        <f>CUSTOS!$E$25</f>
        <v>5052.5472129618793</v>
      </c>
      <c r="AJ55" s="31">
        <f>CUSTOS!$E$26</f>
        <v>4591.3605377627373</v>
      </c>
      <c r="AK55" s="31">
        <f>CUSTOS!$E$27</f>
        <v>7594.7065493083364</v>
      </c>
      <c r="AL55" s="31">
        <f>CUSTOS!$E$28</f>
        <v>250766.59394368459</v>
      </c>
      <c r="AM55" s="31">
        <f>CUSTOS!$E$29</f>
        <v>-734607.27096513694</v>
      </c>
      <c r="AO55" s="57">
        <f ca="1">IF(AO53&lt;&gt;0,AO54/AO53,0)</f>
        <v>0</v>
      </c>
      <c r="AP55" s="57">
        <f ca="1">IF(AP53&lt;&gt;0,AP54/AP53,0)</f>
        <v>0</v>
      </c>
    </row>
    <row r="56" spans="1:42" ht="11.25" customHeight="1" x14ac:dyDescent="0.25">
      <c r="K56" s="55" t="s">
        <v>504</v>
      </c>
      <c r="L56" s="31">
        <f>CUSTOS!$F$2</f>
        <v>0</v>
      </c>
      <c r="M56" s="31">
        <f>CUSTOS!$F$3</f>
        <v>0</v>
      </c>
      <c r="N56" s="31">
        <f>CUSTOS!$F$4</f>
        <v>0</v>
      </c>
      <c r="O56" s="31">
        <f>CUSTOS!$F$5</f>
        <v>0</v>
      </c>
      <c r="P56" s="31">
        <f>CUSTOS!$F$6</f>
        <v>0</v>
      </c>
      <c r="Q56" s="31">
        <f>CUSTOS!$F$7</f>
        <v>4533213.0837000003</v>
      </c>
      <c r="R56" s="31">
        <f>CUSTOS!$F$8</f>
        <v>940817.59369999997</v>
      </c>
      <c r="S56" s="31">
        <f>CUSTOS!$F$9</f>
        <v>0</v>
      </c>
      <c r="T56" s="31">
        <f>CUSTOS!$F$10</f>
        <v>5474030.6774000004</v>
      </c>
      <c r="U56" s="31">
        <f>CUSTOS!$F$11</f>
        <v>0</v>
      </c>
      <c r="V56" s="31">
        <f>CUSTOS!$F$12</f>
        <v>0</v>
      </c>
      <c r="W56" s="31">
        <f>CUSTOS!$F$13</f>
        <v>0</v>
      </c>
      <c r="X56" s="31">
        <f>CUSTOS!$F$14</f>
        <v>0</v>
      </c>
      <c r="Y56" s="31">
        <f>CUSTOS!$F$15</f>
        <v>0</v>
      </c>
      <c r="Z56" s="31">
        <f>CUSTOS!$F$16</f>
        <v>0</v>
      </c>
      <c r="AA56" s="31">
        <f>CUSTOS!$F$17</f>
        <v>0</v>
      </c>
      <c r="AB56" s="31">
        <f>CUSTOS!$F$18</f>
        <v>0</v>
      </c>
      <c r="AC56" s="31">
        <f>CUSTOS!$F$19</f>
        <v>0</v>
      </c>
      <c r="AD56" s="31">
        <f>CUSTOS!$F$20</f>
        <v>0</v>
      </c>
      <c r="AE56" s="31">
        <f>CUSTOS!$F$21</f>
        <v>0</v>
      </c>
      <c r="AF56" s="31">
        <f>CUSTOS!$F$22</f>
        <v>0</v>
      </c>
      <c r="AG56" s="31">
        <f>CUSTOS!$F$23</f>
        <v>0</v>
      </c>
      <c r="AH56" s="31">
        <f>CUSTOS!$F$24</f>
        <v>-7160.0881097381116</v>
      </c>
      <c r="AI56" s="31">
        <f>CUSTOS!$F$25</f>
        <v>-154.91369932897135</v>
      </c>
      <c r="AJ56" s="31">
        <f>CUSTOS!$F$26</f>
        <v>-140.77347838199159</v>
      </c>
      <c r="AK56" s="31">
        <f>CUSTOS!$F$27</f>
        <v>0</v>
      </c>
      <c r="AL56" s="31">
        <f>CUSTOS!$F$28</f>
        <v>-7455.7752874490743</v>
      </c>
      <c r="AM56" s="31">
        <f>CUSTOS!$F$29</f>
        <v>5466574.902112551</v>
      </c>
    </row>
    <row r="57" spans="1:42" ht="11.25" customHeight="1" x14ac:dyDescent="0.25">
      <c r="K57" s="55" t="s">
        <v>567</v>
      </c>
      <c r="L57" s="31">
        <v>0</v>
      </c>
      <c r="M57" s="31">
        <v>0</v>
      </c>
      <c r="N57" s="31">
        <v>0</v>
      </c>
      <c r="O57" s="31">
        <v>0</v>
      </c>
      <c r="P57" s="31">
        <v>0</v>
      </c>
      <c r="Q57" s="31">
        <v>0</v>
      </c>
      <c r="R57" s="31">
        <v>0</v>
      </c>
      <c r="S57" s="31">
        <v>0</v>
      </c>
      <c r="T57" s="31">
        <f>SUM($L$57:$S$57)</f>
        <v>0</v>
      </c>
      <c r="U57" s="31">
        <v>0</v>
      </c>
      <c r="V57" s="31">
        <v>0</v>
      </c>
      <c r="W57" s="31">
        <v>0</v>
      </c>
      <c r="X57" s="31">
        <v>0</v>
      </c>
      <c r="Y57" s="31">
        <v>0</v>
      </c>
      <c r="Z57" s="31">
        <v>0</v>
      </c>
      <c r="AA57" s="31">
        <v>0</v>
      </c>
      <c r="AB57" s="31">
        <f>SUM($U$57:$AA$57)</f>
        <v>0</v>
      </c>
      <c r="AC57" s="31">
        <v>0</v>
      </c>
      <c r="AD57" s="31">
        <f>SUM($AC$57:$AC$57)</f>
        <v>0</v>
      </c>
      <c r="AE57" s="31">
        <v>0</v>
      </c>
      <c r="AF57" s="31">
        <v>0</v>
      </c>
      <c r="AG57" s="31">
        <f>SUM($AE$57:$AF$57)</f>
        <v>0</v>
      </c>
      <c r="AH57" s="31">
        <v>0</v>
      </c>
      <c r="AI57" s="31">
        <v>0</v>
      </c>
      <c r="AJ57" s="31">
        <v>0</v>
      </c>
      <c r="AK57" s="31">
        <v>0</v>
      </c>
      <c r="AL57" s="31">
        <f>SUM($AH$57:$AK$57)</f>
        <v>0</v>
      </c>
      <c r="AM57" s="31"/>
    </row>
    <row r="58" spans="1:42" ht="11.25" customHeight="1" x14ac:dyDescent="0.25">
      <c r="K58" s="55" t="s">
        <v>573</v>
      </c>
      <c r="L58" s="31">
        <f t="shared" ref="L58:R58" si="0">IF((L54-(0))&lt;&gt;0,(L56)/(L54-(0)),0)</f>
        <v>0</v>
      </c>
      <c r="M58" s="31">
        <f t="shared" si="0"/>
        <v>0</v>
      </c>
      <c r="N58" s="31">
        <f t="shared" si="0"/>
        <v>0</v>
      </c>
      <c r="O58" s="31">
        <f t="shared" si="0"/>
        <v>0</v>
      </c>
      <c r="P58" s="31">
        <f t="shared" si="0"/>
        <v>0</v>
      </c>
      <c r="Q58" s="31">
        <f t="shared" si="0"/>
        <v>0.22772079417855856</v>
      </c>
      <c r="R58" s="31">
        <f t="shared" si="0"/>
        <v>0.28319551356060002</v>
      </c>
      <c r="S58" s="31">
        <f>IF((R53-(0)&lt;&gt;0),(S55)/(R53-(0)),0)</f>
        <v>0</v>
      </c>
      <c r="T58" s="31"/>
      <c r="U58" s="31">
        <f t="shared" ref="U58:AA58" si="1">IF((U54-(0))&lt;&gt;0,(U56)/(U54-(0)),0)</f>
        <v>0</v>
      </c>
      <c r="V58" s="31">
        <f t="shared" si="1"/>
        <v>0</v>
      </c>
      <c r="W58" s="31">
        <f t="shared" si="1"/>
        <v>0</v>
      </c>
      <c r="X58" s="31">
        <f t="shared" si="1"/>
        <v>0</v>
      </c>
      <c r="Y58" s="31">
        <f t="shared" si="1"/>
        <v>0</v>
      </c>
      <c r="Z58" s="31">
        <f t="shared" si="1"/>
        <v>0</v>
      </c>
      <c r="AA58" s="31">
        <f t="shared" si="1"/>
        <v>0</v>
      </c>
      <c r="AB58" s="31"/>
      <c r="AC58" s="31">
        <f>IF((AC54-(0))&lt;&gt;0,(AC56)/(AC54-(0)),0)</f>
        <v>0</v>
      </c>
      <c r="AD58" s="31"/>
      <c r="AE58" s="31">
        <f ca="1">IF(($AM53-(0))&lt;&gt;0,(AE55)/($AM53-(0)),0)</f>
        <v>0</v>
      </c>
      <c r="AF58" s="31">
        <f ca="1">IF(($AM53-(0))&lt;&gt;0,(AF55)/($AM53-(0)),0)</f>
        <v>0</v>
      </c>
      <c r="AG58" s="31"/>
      <c r="AH58" s="31">
        <f>IF((AH54-(0))&lt;&gt;0,(AH56)/(AH54-(0)),0)</f>
        <v>-2.1945177010388043E-3</v>
      </c>
      <c r="AI58" s="31">
        <f>IF((AI54-(0))&lt;&gt;0,(AI56)/(AI54-(0)),0)</f>
        <v>-2.1945177010388043E-3</v>
      </c>
      <c r="AJ58" s="31">
        <f>IF((AJ54-(0))&lt;&gt;0,(AJ56)/(AJ54-(0)),0)</f>
        <v>-2.1945177010388047E-3</v>
      </c>
      <c r="AK58" s="31">
        <f>IF((AK54-(0))&lt;&gt;0,(AK56)/(AK54-(0)),0)</f>
        <v>0</v>
      </c>
      <c r="AL58" s="31"/>
      <c r="AM58" s="31"/>
    </row>
  </sheetData>
  <mergeCells count="73">
    <mergeCell ref="D1:D4"/>
    <mergeCell ref="E1:E4"/>
    <mergeCell ref="F1:F4"/>
    <mergeCell ref="J1:J4"/>
    <mergeCell ref="L1:AM1"/>
    <mergeCell ref="G1:G4"/>
    <mergeCell ref="H1:H4"/>
    <mergeCell ref="I1:I4"/>
    <mergeCell ref="AP1:AP4"/>
    <mergeCell ref="L2:AM2"/>
    <mergeCell ref="L3:T3"/>
    <mergeCell ref="U3:AB3"/>
    <mergeCell ref="AC3:AD3"/>
    <mergeCell ref="AE3:AG3"/>
    <mergeCell ref="AH3:AL3"/>
    <mergeCell ref="AM3:AM4"/>
    <mergeCell ref="A1:A4"/>
    <mergeCell ref="C10:C14"/>
    <mergeCell ref="D10:D14"/>
    <mergeCell ref="E10:E12"/>
    <mergeCell ref="F10:F12"/>
    <mergeCell ref="E13:E14"/>
    <mergeCell ref="F13:F14"/>
    <mergeCell ref="F5:F7"/>
    <mergeCell ref="B10:B14"/>
    <mergeCell ref="A5:A14"/>
    <mergeCell ref="B5:B8"/>
    <mergeCell ref="C5:C8"/>
    <mergeCell ref="D5:D8"/>
    <mergeCell ref="E5:E7"/>
    <mergeCell ref="B1:B4"/>
    <mergeCell ref="C1:C4"/>
    <mergeCell ref="A15:A16"/>
    <mergeCell ref="B15:B16"/>
    <mergeCell ref="C15:C16"/>
    <mergeCell ref="D15:D16"/>
    <mergeCell ref="A17:A29"/>
    <mergeCell ref="B17:B19"/>
    <mergeCell ref="C17:C19"/>
    <mergeCell ref="D17:D19"/>
    <mergeCell ref="E17:E19"/>
    <mergeCell ref="F17:F19"/>
    <mergeCell ref="B20:B24"/>
    <mergeCell ref="C20:C24"/>
    <mergeCell ref="B25:B29"/>
    <mergeCell ref="C25:C29"/>
    <mergeCell ref="D38:D40"/>
    <mergeCell ref="E38:E40"/>
    <mergeCell ref="F38:F40"/>
    <mergeCell ref="D30:D32"/>
    <mergeCell ref="E30:E32"/>
    <mergeCell ref="F30:F32"/>
    <mergeCell ref="D34:D36"/>
    <mergeCell ref="E34:E36"/>
    <mergeCell ref="F34:F36"/>
    <mergeCell ref="B42:B44"/>
    <mergeCell ref="C42:C44"/>
    <mergeCell ref="A45:A49"/>
    <mergeCell ref="B45:B47"/>
    <mergeCell ref="C45:C47"/>
    <mergeCell ref="A30:A44"/>
    <mergeCell ref="B30:B32"/>
    <mergeCell ref="C30:C32"/>
    <mergeCell ref="B38:B40"/>
    <mergeCell ref="C38:C40"/>
    <mergeCell ref="B34:B36"/>
    <mergeCell ref="C34:C36"/>
    <mergeCell ref="E45:E47"/>
    <mergeCell ref="F45:F47"/>
    <mergeCell ref="A50:A51"/>
    <mergeCell ref="B50:B51"/>
    <mergeCell ref="C50:C51"/>
    <mergeCell ref="D45:D47"/>
  </mergeCells>
  <conditionalFormatting sqref="L53">
    <cfRule type="cellIs" dxfId="1023" priority="55" operator="notEqual">
      <formula>$L$55</formula>
    </cfRule>
    <cfRule type="cellIs" dxfId="1022" priority="56" operator="equal">
      <formula>$L$55</formula>
    </cfRule>
  </conditionalFormatting>
  <conditionalFormatting sqref="M53">
    <cfRule type="cellIs" dxfId="1021" priority="53" operator="notEqual">
      <formula>$M$55</formula>
    </cfRule>
    <cfRule type="cellIs" dxfId="1020" priority="54" operator="equal">
      <formula>$M$55</formula>
    </cfRule>
  </conditionalFormatting>
  <conditionalFormatting sqref="N53">
    <cfRule type="cellIs" dxfId="1019" priority="51" operator="notEqual">
      <formula>$N$55</formula>
    </cfRule>
    <cfRule type="cellIs" dxfId="1018" priority="52" operator="equal">
      <formula>$N$55</formula>
    </cfRule>
  </conditionalFormatting>
  <conditionalFormatting sqref="O53">
    <cfRule type="cellIs" dxfId="1017" priority="49" operator="notEqual">
      <formula>$O$55</formula>
    </cfRule>
    <cfRule type="cellIs" dxfId="1016" priority="50" operator="equal">
      <formula>$O$55</formula>
    </cfRule>
  </conditionalFormatting>
  <conditionalFormatting sqref="P53">
    <cfRule type="cellIs" dxfId="1015" priority="47" operator="notEqual">
      <formula>$P$55</formula>
    </cfRule>
    <cfRule type="cellIs" dxfId="1014" priority="48" operator="equal">
      <formula>$P$55</formula>
    </cfRule>
  </conditionalFormatting>
  <conditionalFormatting sqref="Q53">
    <cfRule type="cellIs" dxfId="1013" priority="45" operator="notEqual">
      <formula>$Q$55</formula>
    </cfRule>
    <cfRule type="cellIs" dxfId="1012" priority="46" operator="equal">
      <formula>$Q$55</formula>
    </cfRule>
  </conditionalFormatting>
  <conditionalFormatting sqref="R53">
    <cfRule type="cellIs" dxfId="1011" priority="43" operator="notEqual">
      <formula>$R$55</formula>
    </cfRule>
    <cfRule type="cellIs" dxfId="1010" priority="44" operator="equal">
      <formula>$R$55</formula>
    </cfRule>
  </conditionalFormatting>
  <conditionalFormatting sqref="S53">
    <cfRule type="cellIs" dxfId="1009" priority="41" operator="notEqual">
      <formula>$S$55</formula>
    </cfRule>
    <cfRule type="cellIs" dxfId="1008" priority="42" operator="equal">
      <formula>$S$55</formula>
    </cfRule>
  </conditionalFormatting>
  <conditionalFormatting sqref="T53">
    <cfRule type="cellIs" dxfId="1007" priority="39" operator="notEqual">
      <formula>$T$55</formula>
    </cfRule>
    <cfRule type="cellIs" dxfId="1006" priority="40" operator="equal">
      <formula>$T$55</formula>
    </cfRule>
  </conditionalFormatting>
  <conditionalFormatting sqref="U53">
    <cfRule type="cellIs" dxfId="1005" priority="37" operator="notEqual">
      <formula>$U$55</formula>
    </cfRule>
    <cfRule type="cellIs" dxfId="1004" priority="38" operator="equal">
      <formula>$U$55</formula>
    </cfRule>
  </conditionalFormatting>
  <conditionalFormatting sqref="V53">
    <cfRule type="cellIs" dxfId="1003" priority="35" operator="notEqual">
      <formula>$V$55</formula>
    </cfRule>
    <cfRule type="cellIs" dxfId="1002" priority="36" operator="equal">
      <formula>$V$55</formula>
    </cfRule>
  </conditionalFormatting>
  <conditionalFormatting sqref="W53">
    <cfRule type="cellIs" dxfId="1001" priority="33" operator="notEqual">
      <formula>$W$55</formula>
    </cfRule>
    <cfRule type="cellIs" dxfId="1000" priority="34" operator="equal">
      <formula>$W$55</formula>
    </cfRule>
  </conditionalFormatting>
  <conditionalFormatting sqref="X53">
    <cfRule type="cellIs" dxfId="999" priority="31" operator="notEqual">
      <formula>$X$55</formula>
    </cfRule>
    <cfRule type="cellIs" dxfId="998" priority="32" operator="equal">
      <formula>$X$55</formula>
    </cfRule>
  </conditionalFormatting>
  <conditionalFormatting sqref="Y53">
    <cfRule type="cellIs" dxfId="997" priority="29" operator="notEqual">
      <formula>$Y$55</formula>
    </cfRule>
    <cfRule type="cellIs" dxfId="996" priority="30" operator="equal">
      <formula>$Y$55</formula>
    </cfRule>
  </conditionalFormatting>
  <conditionalFormatting sqref="Z53">
    <cfRule type="cellIs" dxfId="995" priority="27" operator="notEqual">
      <formula>$Z$55</formula>
    </cfRule>
    <cfRule type="cellIs" dxfId="994" priority="28" operator="equal">
      <formula>$Z$55</formula>
    </cfRule>
  </conditionalFormatting>
  <conditionalFormatting sqref="AA53">
    <cfRule type="cellIs" dxfId="993" priority="25" operator="notEqual">
      <formula>$AA$55</formula>
    </cfRule>
    <cfRule type="cellIs" dxfId="992" priority="26" operator="equal">
      <formula>$AA$55</formula>
    </cfRule>
  </conditionalFormatting>
  <conditionalFormatting sqref="AB53">
    <cfRule type="cellIs" dxfId="991" priority="23" operator="notEqual">
      <formula>$AB$55</formula>
    </cfRule>
    <cfRule type="cellIs" dxfId="990" priority="24" operator="equal">
      <formula>$AB$55</formula>
    </cfRule>
  </conditionalFormatting>
  <conditionalFormatting sqref="AC53">
    <cfRule type="cellIs" dxfId="989" priority="21" operator="notEqual">
      <formula>$AC$55</formula>
    </cfRule>
    <cfRule type="cellIs" dxfId="988" priority="22" operator="equal">
      <formula>$AC$55</formula>
    </cfRule>
  </conditionalFormatting>
  <conditionalFormatting sqref="AD53">
    <cfRule type="cellIs" dxfId="987" priority="19" operator="notEqual">
      <formula>$AD$55</formula>
    </cfRule>
    <cfRule type="cellIs" dxfId="986" priority="20" operator="equal">
      <formula>$AD$55</formula>
    </cfRule>
  </conditionalFormatting>
  <conditionalFormatting sqref="AE53">
    <cfRule type="cellIs" dxfId="985" priority="17" operator="notEqual">
      <formula>$AE$55</formula>
    </cfRule>
    <cfRule type="cellIs" dxfId="984" priority="18" operator="equal">
      <formula>$AE$55</formula>
    </cfRule>
  </conditionalFormatting>
  <conditionalFormatting sqref="AF53">
    <cfRule type="cellIs" dxfId="983" priority="16" operator="equal">
      <formula>$AF$55</formula>
    </cfRule>
  </conditionalFormatting>
  <conditionalFormatting sqref="AF53">
    <cfRule type="cellIs" dxfId="982" priority="15" operator="notEqual">
      <formula>$AF$55</formula>
    </cfRule>
  </conditionalFormatting>
  <conditionalFormatting sqref="AG53">
    <cfRule type="cellIs" dxfId="981" priority="14" operator="equal">
      <formula>$AG$55</formula>
    </cfRule>
  </conditionalFormatting>
  <conditionalFormatting sqref="AG53">
    <cfRule type="cellIs" dxfId="980" priority="13" operator="notEqual">
      <formula>$AG$55</formula>
    </cfRule>
  </conditionalFormatting>
  <conditionalFormatting sqref="AH53">
    <cfRule type="cellIs" dxfId="979" priority="12" operator="equal">
      <formula>$AH$55</formula>
    </cfRule>
  </conditionalFormatting>
  <conditionalFormatting sqref="AH53">
    <cfRule type="cellIs" dxfId="978" priority="11" operator="notEqual">
      <formula>$AH$55</formula>
    </cfRule>
  </conditionalFormatting>
  <conditionalFormatting sqref="AI53">
    <cfRule type="cellIs" dxfId="977" priority="10" operator="equal">
      <formula>$AI$55</formula>
    </cfRule>
  </conditionalFormatting>
  <conditionalFormatting sqref="AI53">
    <cfRule type="cellIs" dxfId="976" priority="9" operator="notEqual">
      <formula>$AI$55</formula>
    </cfRule>
  </conditionalFormatting>
  <conditionalFormatting sqref="AJ53">
    <cfRule type="cellIs" dxfId="975" priority="8" operator="equal">
      <formula>$AJ$55</formula>
    </cfRule>
  </conditionalFormatting>
  <conditionalFormatting sqref="AJ53">
    <cfRule type="cellIs" dxfId="974" priority="7" operator="notEqual">
      <formula>$AJ$55</formula>
    </cfRule>
  </conditionalFormatting>
  <conditionalFormatting sqref="AK53">
    <cfRule type="cellIs" dxfId="973" priority="6" operator="equal">
      <formula>$AK$55</formula>
    </cfRule>
  </conditionalFormatting>
  <conditionalFormatting sqref="AK53">
    <cfRule type="cellIs" dxfId="972" priority="5" operator="notEqual">
      <formula>$AK$55</formula>
    </cfRule>
  </conditionalFormatting>
  <conditionalFormatting sqref="AL53">
    <cfRule type="cellIs" dxfId="971" priority="4" operator="equal">
      <formula>$AL$55</formula>
    </cfRule>
  </conditionalFormatting>
  <conditionalFormatting sqref="AL53">
    <cfRule type="cellIs" dxfId="970" priority="3" operator="notEqual">
      <formula>$AL$55</formula>
    </cfRule>
  </conditionalFormatting>
  <conditionalFormatting sqref="AM53">
    <cfRule type="cellIs" dxfId="969" priority="2" operator="equal">
      <formula>$AM$55</formula>
    </cfRule>
  </conditionalFormatting>
  <conditionalFormatting sqref="AM53">
    <cfRule type="cellIs" dxfId="968" priority="1" operator="notEqual">
      <formula>$AM$55</formula>
    </cfRule>
  </conditionalFormatting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DA6FD-C776-4EC1-BE45-88CD7C3BA8D0}">
  <sheetPr codeName="Planilha13"/>
  <dimension ref="A1:AP57"/>
  <sheetViews>
    <sheetView showGridLines="0" topLeftCell="AH35" workbookViewId="0">
      <selection activeCell="AO53" sqref="AO53:AP55"/>
    </sheetView>
  </sheetViews>
  <sheetFormatPr defaultColWidth="9.140625"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4" width="8.7109375" style="9" bestFit="1" customWidth="1"/>
    <col min="15" max="16" width="4.85546875" style="9" bestFit="1" customWidth="1"/>
    <col min="17" max="17" width="10.85546875" style="9" bestFit="1" customWidth="1"/>
    <col min="18" max="18" width="10" style="9" bestFit="1" customWidth="1"/>
    <col min="19" max="19" width="8.7109375" style="9" bestFit="1" customWidth="1"/>
    <col min="20" max="20" width="10.85546875" style="9" bestFit="1" customWidth="1"/>
    <col min="21" max="21" width="7.42578125" style="9" bestFit="1" customWidth="1"/>
    <col min="22" max="22" width="7.28515625" style="9" bestFit="1" customWidth="1"/>
    <col min="23" max="24" width="9.85546875" style="9" bestFit="1" customWidth="1"/>
    <col min="25" max="25" width="7.85546875" style="9" bestFit="1" customWidth="1"/>
    <col min="26" max="26" width="7.7109375" style="9" bestFit="1" customWidth="1"/>
    <col min="27" max="27" width="9.85546875" style="9" bestFit="1" customWidth="1"/>
    <col min="28" max="28" width="10.85546875" style="9" bestFit="1" customWidth="1"/>
    <col min="29" max="29" width="11.7109375" style="9" bestFit="1" customWidth="1"/>
    <col min="30" max="30" width="10.85546875" style="9" bestFit="1" customWidth="1"/>
    <col min="31" max="31" width="8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7.85546875" style="9" bestFit="1" customWidth="1"/>
    <col min="38" max="38" width="10" style="9" bestFit="1" customWidth="1"/>
    <col min="39" max="39" width="10.85546875" style="9" bestFit="1" customWidth="1"/>
    <col min="40" max="40" width="9.140625" style="9"/>
    <col min="41" max="42" width="10.85546875" style="9" bestFit="1" customWidth="1"/>
    <col min="43" max="16384" width="9.140625" style="9"/>
  </cols>
  <sheetData>
    <row r="1" spans="1:42" ht="11.25" customHeight="1" x14ac:dyDescent="0.25">
      <c r="A1" s="145" t="s">
        <v>64</v>
      </c>
      <c r="B1" s="145" t="s">
        <v>65</v>
      </c>
      <c r="C1" s="145" t="s">
        <v>66</v>
      </c>
      <c r="D1" s="145" t="s">
        <v>67</v>
      </c>
      <c r="E1" s="145" t="s">
        <v>68</v>
      </c>
      <c r="F1" s="145" t="s">
        <v>15</v>
      </c>
      <c r="G1" s="145" t="s">
        <v>70</v>
      </c>
      <c r="H1" s="145" t="s">
        <v>71</v>
      </c>
      <c r="I1" s="145" t="s">
        <v>561</v>
      </c>
      <c r="J1" s="141"/>
      <c r="L1" s="146" t="s">
        <v>575</v>
      </c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  <c r="AA1" s="146"/>
      <c r="AB1" s="146"/>
      <c r="AC1" s="146"/>
      <c r="AD1" s="146"/>
      <c r="AE1" s="146"/>
      <c r="AF1" s="146"/>
      <c r="AG1" s="146"/>
      <c r="AH1" s="146"/>
      <c r="AI1" s="146"/>
      <c r="AJ1" s="146"/>
      <c r="AK1" s="146"/>
      <c r="AL1" s="146"/>
      <c r="AM1" s="146"/>
      <c r="AO1" s="59"/>
      <c r="AP1" s="150" t="s">
        <v>563</v>
      </c>
    </row>
    <row r="2" spans="1:42" ht="11.25" customHeight="1" x14ac:dyDescent="0.25">
      <c r="A2" s="145"/>
      <c r="B2" s="145"/>
      <c r="C2" s="145"/>
      <c r="D2" s="145"/>
      <c r="E2" s="145"/>
      <c r="F2" s="145"/>
      <c r="G2" s="145"/>
      <c r="H2" s="145"/>
      <c r="I2" s="145"/>
      <c r="J2" s="141"/>
      <c r="L2" s="146" t="s">
        <v>460</v>
      </c>
      <c r="M2" s="146"/>
      <c r="N2" s="146"/>
      <c r="O2" s="146"/>
      <c r="P2" s="146"/>
      <c r="Q2" s="146"/>
      <c r="R2" s="146"/>
      <c r="S2" s="146"/>
      <c r="T2" s="146"/>
      <c r="U2" s="146"/>
      <c r="V2" s="146"/>
      <c r="W2" s="146"/>
      <c r="X2" s="146"/>
      <c r="Y2" s="146"/>
      <c r="Z2" s="146"/>
      <c r="AA2" s="146"/>
      <c r="AB2" s="146"/>
      <c r="AC2" s="146"/>
      <c r="AD2" s="146"/>
      <c r="AE2" s="146"/>
      <c r="AF2" s="146"/>
      <c r="AG2" s="146"/>
      <c r="AH2" s="146"/>
      <c r="AI2" s="146"/>
      <c r="AJ2" s="146"/>
      <c r="AK2" s="146"/>
      <c r="AL2" s="146"/>
      <c r="AM2" s="146"/>
      <c r="AO2" s="59"/>
      <c r="AP2" s="151"/>
    </row>
    <row r="3" spans="1:42" ht="11.25" customHeight="1" x14ac:dyDescent="0.25">
      <c r="A3" s="145"/>
      <c r="B3" s="145"/>
      <c r="C3" s="145"/>
      <c r="D3" s="145"/>
      <c r="E3" s="145"/>
      <c r="F3" s="145"/>
      <c r="G3" s="145"/>
      <c r="H3" s="145"/>
      <c r="I3" s="145"/>
      <c r="J3" s="141"/>
      <c r="L3" s="146" t="s">
        <v>461</v>
      </c>
      <c r="M3" s="146"/>
      <c r="N3" s="146"/>
      <c r="O3" s="146"/>
      <c r="P3" s="146"/>
      <c r="Q3" s="146"/>
      <c r="R3" s="146"/>
      <c r="S3" s="146"/>
      <c r="T3" s="146"/>
      <c r="U3" s="146" t="s">
        <v>470</v>
      </c>
      <c r="V3" s="146"/>
      <c r="W3" s="146"/>
      <c r="X3" s="146"/>
      <c r="Y3" s="146"/>
      <c r="Z3" s="146"/>
      <c r="AA3" s="146"/>
      <c r="AB3" s="146"/>
      <c r="AC3" s="146" t="s">
        <v>478</v>
      </c>
      <c r="AD3" s="146"/>
      <c r="AE3" s="146" t="s">
        <v>480</v>
      </c>
      <c r="AF3" s="146"/>
      <c r="AG3" s="146"/>
      <c r="AH3" s="146" t="s">
        <v>483</v>
      </c>
      <c r="AI3" s="146"/>
      <c r="AJ3" s="146"/>
      <c r="AK3" s="146"/>
      <c r="AL3" s="146"/>
      <c r="AM3" s="146" t="s">
        <v>469</v>
      </c>
      <c r="AO3" s="59"/>
      <c r="AP3" s="151"/>
    </row>
    <row r="4" spans="1:42" ht="11.25" customHeight="1" x14ac:dyDescent="0.25">
      <c r="A4" s="145"/>
      <c r="B4" s="145"/>
      <c r="C4" s="145"/>
      <c r="D4" s="145"/>
      <c r="E4" s="145"/>
      <c r="F4" s="145"/>
      <c r="G4" s="145"/>
      <c r="H4" s="145"/>
      <c r="I4" s="145"/>
      <c r="J4" s="141"/>
      <c r="L4" s="32" t="s">
        <v>546</v>
      </c>
      <c r="M4" s="32" t="s">
        <v>462</v>
      </c>
      <c r="N4" s="32" t="s">
        <v>463</v>
      </c>
      <c r="O4" s="32" t="s">
        <v>464</v>
      </c>
      <c r="P4" s="32" t="s">
        <v>465</v>
      </c>
      <c r="Q4" s="32" t="s">
        <v>466</v>
      </c>
      <c r="R4" s="32" t="s">
        <v>467</v>
      </c>
      <c r="S4" s="32" t="s">
        <v>468</v>
      </c>
      <c r="T4" s="32" t="s">
        <v>469</v>
      </c>
      <c r="U4" s="32" t="s">
        <v>471</v>
      </c>
      <c r="V4" s="32" t="s">
        <v>472</v>
      </c>
      <c r="W4" s="32" t="s">
        <v>473</v>
      </c>
      <c r="X4" s="32" t="s">
        <v>474</v>
      </c>
      <c r="Y4" s="32" t="s">
        <v>475</v>
      </c>
      <c r="Z4" s="32" t="s">
        <v>476</v>
      </c>
      <c r="AA4" s="32" t="s">
        <v>477</v>
      </c>
      <c r="AB4" s="32" t="s">
        <v>469</v>
      </c>
      <c r="AC4" s="32" t="s">
        <v>479</v>
      </c>
      <c r="AD4" s="32" t="s">
        <v>469</v>
      </c>
      <c r="AE4" s="32" t="s">
        <v>481</v>
      </c>
      <c r="AF4" s="32" t="s">
        <v>482</v>
      </c>
      <c r="AG4" s="32" t="s">
        <v>469</v>
      </c>
      <c r="AH4" s="32" t="s">
        <v>484</v>
      </c>
      <c r="AI4" s="32" t="s">
        <v>485</v>
      </c>
      <c r="AJ4" s="32" t="s">
        <v>486</v>
      </c>
      <c r="AK4" s="32" t="s">
        <v>487</v>
      </c>
      <c r="AL4" s="32" t="s">
        <v>469</v>
      </c>
      <c r="AM4" s="148"/>
      <c r="AO4" s="60" t="s">
        <v>574</v>
      </c>
      <c r="AP4" s="152"/>
    </row>
    <row r="5" spans="1:42" ht="11.25" customHeight="1" x14ac:dyDescent="0.25">
      <c r="A5" s="149" t="s">
        <v>35</v>
      </c>
      <c r="B5" s="149" t="s">
        <v>36</v>
      </c>
      <c r="C5" s="149" t="s">
        <v>25</v>
      </c>
      <c r="D5" s="149" t="s">
        <v>25</v>
      </c>
      <c r="E5" s="149" t="s">
        <v>25</v>
      </c>
      <c r="F5" s="149" t="s">
        <v>25</v>
      </c>
      <c r="G5" s="57" t="s">
        <v>80</v>
      </c>
      <c r="H5" s="57" t="s">
        <v>79</v>
      </c>
      <c r="I5" s="57">
        <f>'MERCADO TUSD'!$U$2</f>
        <v>2966</v>
      </c>
      <c r="J5" s="15"/>
      <c r="L5" s="31">
        <f>'TUSD BE'!$L$5*'TUSD BF'!$L$58</f>
        <v>0</v>
      </c>
      <c r="M5" s="31">
        <f>'TUSD BE'!$M$5*'TUSD BF'!$M$58</f>
        <v>0</v>
      </c>
      <c r="N5" s="31">
        <f ca="1">'TUSD BE'!$N$5*'TUSD BF'!$N$58</f>
        <v>0</v>
      </c>
      <c r="O5" s="31">
        <f>'TUSD BE'!$O$5*'TUSD BF'!$O$58</f>
        <v>0</v>
      </c>
      <c r="P5" s="31">
        <f>'TUSD BE'!$P$5*'TUSD BF'!$P$58</f>
        <v>0</v>
      </c>
      <c r="Q5" s="31">
        <f>'TUSD BE'!$Q$5*'TUSD BF'!$Q$58</f>
        <v>0</v>
      </c>
      <c r="R5" s="31">
        <f>'TUSD BE'!$R$5*'TUSD BF'!$R$58</f>
        <v>0</v>
      </c>
      <c r="S5" s="31">
        <f>'TUSD BE'!$R$5*'TUSD BF'!$S$58</f>
        <v>0</v>
      </c>
      <c r="T5" s="31">
        <f ca="1">SUM($L$5:$S$5)</f>
        <v>0</v>
      </c>
      <c r="U5" s="31">
        <f>'TUSD BE'!$U$5*'TUSD BF'!$U$58</f>
        <v>0</v>
      </c>
      <c r="V5" s="31">
        <f>'TUSD BE'!$V$5*'TUSD BF'!$V$58</f>
        <v>0</v>
      </c>
      <c r="W5" s="31">
        <f>'TUSD BE'!$W$5*'TUSD BF'!$W$58</f>
        <v>0</v>
      </c>
      <c r="X5" s="31">
        <f>'TUSD BE'!$X$5*'TUSD BF'!$X$58</f>
        <v>0</v>
      </c>
      <c r="Y5" s="31">
        <f>'TUSD BE'!$Y$5*'TUSD BF'!$Y$58</f>
        <v>0</v>
      </c>
      <c r="Z5" s="31">
        <f>'TUSD BE'!$Z$5*'TUSD BF'!$Z$58</f>
        <v>0</v>
      </c>
      <c r="AA5" s="31">
        <f>'TUSD BE'!$AA$5*'TUSD BF'!$AA$58</f>
        <v>0</v>
      </c>
      <c r="AB5" s="31">
        <f>SUM($U$5:$AA$5)</f>
        <v>0</v>
      </c>
      <c r="AC5" s="31">
        <f>'TUSD BE'!$AC$5*'TUSD BF'!$AC$58</f>
        <v>0</v>
      </c>
      <c r="AD5" s="31">
        <f>SUM($AC$5:$AC$5)</f>
        <v>0</v>
      </c>
      <c r="AE5" s="31">
        <f ca="1">$AO$5*$AO$55</f>
        <v>0</v>
      </c>
      <c r="AF5" s="31">
        <f ca="1">$AP$5*$AP$55</f>
        <v>0</v>
      </c>
      <c r="AG5" s="31">
        <f ca="1">SUM($AE$5:$AF$5)</f>
        <v>0</v>
      </c>
      <c r="AH5" s="31">
        <f>'TUSD BE'!$AH$5*'TUSD BF'!$AH$58</f>
        <v>0</v>
      </c>
      <c r="AI5" s="31">
        <f>'TUSD BE'!$AI$5*'TUSD BF'!$AI$58</f>
        <v>0</v>
      </c>
      <c r="AJ5" s="31">
        <f ca="1">'TUSD BE'!$AJ$5*'TUSD BF'!$AJ$58</f>
        <v>0</v>
      </c>
      <c r="AK5" s="31">
        <f ca="1">'TUSD BE'!$AK$5*'TUSD BF'!$AK$58</f>
        <v>0</v>
      </c>
      <c r="AL5" s="31">
        <f ca="1">SUM($AH$5:$AK$5)</f>
        <v>0</v>
      </c>
      <c r="AM5" s="31">
        <f ca="1">SUMIF($L$4:$AL$4,"SUBTOTAL",$L$5:$AL$5)</f>
        <v>0</v>
      </c>
      <c r="AO5" s="59">
        <f ca="1">+'TUSD BE'!$T$5+'TUSD BE'!$AB$5+'TUSD BE'!$AD$5+'TUSD BE'!$AL$5</f>
        <v>56.656286163410414</v>
      </c>
      <c r="AP5" s="59">
        <f ca="1">+'TUSD BE'!$T$5+'TUSD BE'!$AB$5+'TUSD BE'!$AD$5+'TUSD BE'!$AL$5</f>
        <v>56.656286163410414</v>
      </c>
    </row>
    <row r="6" spans="1:42" ht="11.25" customHeight="1" x14ac:dyDescent="0.25">
      <c r="A6" s="149"/>
      <c r="B6" s="149"/>
      <c r="C6" s="149"/>
      <c r="D6" s="149"/>
      <c r="E6" s="149"/>
      <c r="F6" s="149"/>
      <c r="G6" s="57" t="s">
        <v>81</v>
      </c>
      <c r="H6" s="57" t="s">
        <v>79</v>
      </c>
      <c r="I6" s="57">
        <f>'MERCADO TUSD'!$U$3</f>
        <v>31888</v>
      </c>
      <c r="J6" s="15"/>
      <c r="L6" s="31">
        <f>'TUSD BE'!$L$6*'TUSD BF'!$L$58</f>
        <v>0</v>
      </c>
      <c r="M6" s="31">
        <f>'TUSD BE'!$M$6*'TUSD BF'!$M$58</f>
        <v>0</v>
      </c>
      <c r="N6" s="31">
        <f ca="1">'TUSD BE'!$N$6*'TUSD BF'!$N$58</f>
        <v>0</v>
      </c>
      <c r="O6" s="31">
        <f>'TUSD BE'!$O$6*'TUSD BF'!$O$58</f>
        <v>0</v>
      </c>
      <c r="P6" s="31">
        <f>'TUSD BE'!$P$6*'TUSD BF'!$P$58</f>
        <v>0</v>
      </c>
      <c r="Q6" s="31">
        <f>'TUSD BE'!$Q$6*'TUSD BF'!$Q$58</f>
        <v>0</v>
      </c>
      <c r="R6" s="31">
        <f>'TUSD BE'!$R$6*'TUSD BF'!$R$58</f>
        <v>0</v>
      </c>
      <c r="S6" s="31">
        <f>'TUSD BE'!$R$6*'TUSD BF'!$S$58</f>
        <v>0</v>
      </c>
      <c r="T6" s="31">
        <f ca="1">SUM($L$6:$S$6)</f>
        <v>0</v>
      </c>
      <c r="U6" s="31">
        <f>'TUSD BE'!$U$6*'TUSD BF'!$U$58</f>
        <v>0</v>
      </c>
      <c r="V6" s="31">
        <f>'TUSD BE'!$V$6*'TUSD BF'!$V$58</f>
        <v>0</v>
      </c>
      <c r="W6" s="31">
        <f>'TUSD BE'!$W$6*'TUSD BF'!$W$58</f>
        <v>0</v>
      </c>
      <c r="X6" s="31">
        <f>'TUSD BE'!$X$6*'TUSD BF'!$X$58</f>
        <v>0</v>
      </c>
      <c r="Y6" s="31">
        <f>'TUSD BE'!$Y$6*'TUSD BF'!$Y$58</f>
        <v>0</v>
      </c>
      <c r="Z6" s="31">
        <f>'TUSD BE'!$Z$6*'TUSD BF'!$Z$58</f>
        <v>0</v>
      </c>
      <c r="AA6" s="31">
        <f>'TUSD BE'!$AA$6*'TUSD BF'!$AA$58</f>
        <v>0</v>
      </c>
      <c r="AB6" s="31">
        <f>SUM($U$6:$AA$6)</f>
        <v>0</v>
      </c>
      <c r="AC6" s="31">
        <f>'TUSD BE'!$AC$6*'TUSD BF'!$AC$58</f>
        <v>0</v>
      </c>
      <c r="AD6" s="31">
        <f>SUM($AC$6:$AC$6)</f>
        <v>0</v>
      </c>
      <c r="AE6" s="31">
        <f ca="1">$AO$6*$AO$55</f>
        <v>0</v>
      </c>
      <c r="AF6" s="31">
        <f ca="1">$AP$6*$AP$55</f>
        <v>0</v>
      </c>
      <c r="AG6" s="31">
        <f ca="1">SUM($AE$6:$AF$6)</f>
        <v>0</v>
      </c>
      <c r="AH6" s="31">
        <f>'TUSD BE'!$AH$6*'TUSD BF'!$AH$58</f>
        <v>0</v>
      </c>
      <c r="AI6" s="31">
        <f>'TUSD BE'!$AI$6*'TUSD BF'!$AI$58</f>
        <v>0</v>
      </c>
      <c r="AJ6" s="31">
        <f ca="1">'TUSD BE'!$AJ$6*'TUSD BF'!$AJ$58</f>
        <v>0</v>
      </c>
      <c r="AK6" s="31">
        <f ca="1">'TUSD BE'!$AK$6*'TUSD BF'!$AK$58</f>
        <v>0</v>
      </c>
      <c r="AL6" s="31">
        <f ca="1">SUM($AH$6:$AK$6)</f>
        <v>0</v>
      </c>
      <c r="AM6" s="31">
        <f ca="1">SUMIF($L$4:$AL$4,"SUBTOTAL",$L$6:$AL$6)</f>
        <v>0</v>
      </c>
      <c r="AO6" s="59">
        <f ca="1">+'TUSD BE'!$T$6+'TUSD BE'!$AB$6+'TUSD BE'!$AD$6+'TUSD BE'!$AL$6</f>
        <v>21.800846690356778</v>
      </c>
      <c r="AP6" s="59">
        <f ca="1">+'TUSD BE'!$T$6+'TUSD BE'!$AB$6+'TUSD BE'!$AD$6+'TUSD BE'!$AL$6</f>
        <v>21.800846690356778</v>
      </c>
    </row>
    <row r="7" spans="1:42" ht="11.25" customHeight="1" x14ac:dyDescent="0.25">
      <c r="A7" s="149"/>
      <c r="B7" s="149"/>
      <c r="C7" s="149"/>
      <c r="D7" s="149"/>
      <c r="E7" s="149"/>
      <c r="F7" s="149"/>
      <c r="G7" s="57" t="s">
        <v>78</v>
      </c>
      <c r="H7" s="57" t="s">
        <v>74</v>
      </c>
      <c r="I7" s="57">
        <f>'MERCADO TUSD'!$U$4</f>
        <v>12070.286</v>
      </c>
      <c r="J7" s="15"/>
      <c r="L7" s="31">
        <f>'TUSD BE'!$L$7*'TUSD BF'!$L$58</f>
        <v>0</v>
      </c>
      <c r="M7" s="31">
        <f>'TUSD BE'!$M$7*'TUSD BF'!$M$58</f>
        <v>0</v>
      </c>
      <c r="N7" s="31">
        <f ca="1">'TUSD BE'!$N$7*'TUSD BF'!$N$58</f>
        <v>0</v>
      </c>
      <c r="O7" s="31">
        <f>'TUSD BE'!$O$7*'TUSD BF'!$O$58</f>
        <v>0</v>
      </c>
      <c r="P7" s="31">
        <f>'TUSD BE'!$P$7*'TUSD BF'!$P$58</f>
        <v>0</v>
      </c>
      <c r="Q7" s="31">
        <f>'TUSD BE'!$Q$7*'TUSD BF'!$Q$58</f>
        <v>17.163721099810228</v>
      </c>
      <c r="R7" s="31">
        <f>'TUSD BE'!$R$7*'TUSD BF'!$R$58</f>
        <v>3.8853520350815653</v>
      </c>
      <c r="S7" s="31">
        <f>'TUSD BE'!$R$7*'TUSD BF'!$S$58</f>
        <v>0</v>
      </c>
      <c r="T7" s="31">
        <f ca="1">SUM($L$7:$S$7)</f>
        <v>21.049073134891792</v>
      </c>
      <c r="U7" s="31">
        <f>'TUSD BE'!$U$7*'TUSD BF'!$U$58</f>
        <v>0</v>
      </c>
      <c r="V7" s="31">
        <f>'TUSD BE'!$V$7*'TUSD BF'!$V$58</f>
        <v>0</v>
      </c>
      <c r="W7" s="31">
        <f>'TUSD BE'!$W$7*'TUSD BF'!$W$58</f>
        <v>0</v>
      </c>
      <c r="X7" s="31">
        <f>'TUSD BE'!$X$7*'TUSD BF'!$X$58</f>
        <v>0</v>
      </c>
      <c r="Y7" s="31">
        <f>'TUSD BE'!$Y$7*'TUSD BF'!$Y$58</f>
        <v>0</v>
      </c>
      <c r="Z7" s="31">
        <f>'TUSD BE'!$Z$7*'TUSD BF'!$Z$58</f>
        <v>0</v>
      </c>
      <c r="AA7" s="31">
        <f>'TUSD BE'!$AA$7*'TUSD BF'!$AA$58</f>
        <v>0</v>
      </c>
      <c r="AB7" s="31">
        <f>SUM($U$7:$AA$7)</f>
        <v>0</v>
      </c>
      <c r="AC7" s="31">
        <f>'TUSD BE'!$AC$7*'TUSD BF'!$AC$58</f>
        <v>0</v>
      </c>
      <c r="AD7" s="31">
        <f>SUM($AC$7:$AC$7)</f>
        <v>0</v>
      </c>
      <c r="AE7" s="31">
        <f ca="1">$AO$7*$AO$55</f>
        <v>0</v>
      </c>
      <c r="AF7" s="31">
        <f ca="1">$AP$7*$AP$55</f>
        <v>0</v>
      </c>
      <c r="AG7" s="31">
        <f ca="1">SUM($AE$7:$AF$7)</f>
        <v>0</v>
      </c>
      <c r="AH7" s="31">
        <f>'TUSD BE'!$AH$7*'TUSD BF'!$AH$58</f>
        <v>-1.8853802408911428E-2</v>
      </c>
      <c r="AI7" s="31">
        <f>'TUSD BE'!$AI$7*'TUSD BF'!$AI$58</f>
        <v>-4.0791568941862767E-4</v>
      </c>
      <c r="AJ7" s="31">
        <f ca="1">'TUSD BE'!$AJ$7*'TUSD BF'!$AJ$58</f>
        <v>-4.5849361684430673E-4</v>
      </c>
      <c r="AK7" s="31">
        <f ca="1">'TUSD BE'!$AK$7*'TUSD BF'!$AK$58</f>
        <v>0</v>
      </c>
      <c r="AL7" s="31">
        <f ca="1">SUM($AH$7:$AK$7)</f>
        <v>-1.9720211715174362E-2</v>
      </c>
      <c r="AM7" s="31">
        <f ca="1">SUMIF($L$4:$AL$4,"SUBTOTAL",$L$7:$AL$7)</f>
        <v>21.029352923176617</v>
      </c>
      <c r="AO7" s="59">
        <f ca="1">+'TUSD BE'!$T$7+'TUSD BE'!$AB$7+'TUSD BE'!$AD$7+'TUSD BE'!$AL$7</f>
        <v>98.914531839783777</v>
      </c>
      <c r="AP7" s="59">
        <f ca="1">+'TUSD BE'!$T$7+'TUSD BE'!$AB$7+'TUSD BE'!$AD$7+'TUSD BE'!$AL$7</f>
        <v>98.914531839783777</v>
      </c>
    </row>
    <row r="8" spans="1:42" ht="11.25" customHeight="1" x14ac:dyDescent="0.25">
      <c r="A8" s="149"/>
      <c r="B8" s="149"/>
      <c r="C8" s="149"/>
      <c r="D8" s="149"/>
      <c r="E8" s="56" t="s">
        <v>82</v>
      </c>
      <c r="F8" s="56" t="s">
        <v>25</v>
      </c>
      <c r="G8" s="57" t="s">
        <v>78</v>
      </c>
      <c r="H8" s="57" t="s">
        <v>74</v>
      </c>
      <c r="I8" s="57">
        <f>'MERCADO TUSD'!$U$5</f>
        <v>0</v>
      </c>
      <c r="J8" s="15"/>
      <c r="L8" s="31">
        <f>'TUSD BE'!$L$8*'TUSD BF'!$L$58</f>
        <v>0</v>
      </c>
      <c r="M8" s="31">
        <f>'TUSD BE'!$M$8*'TUSD BF'!$M$58</f>
        <v>0</v>
      </c>
      <c r="N8" s="31">
        <f ca="1">'TUSD BE'!$N$8*'TUSD BF'!$N$58</f>
        <v>0</v>
      </c>
      <c r="O8" s="31">
        <f>'TUSD BE'!$O$8*'TUSD BF'!$O$58</f>
        <v>0</v>
      </c>
      <c r="P8" s="31">
        <f>'TUSD BE'!$P$8*'TUSD BF'!$P$58</f>
        <v>0</v>
      </c>
      <c r="Q8" s="31">
        <f>'TUSD BE'!$Q$8*'TUSD BF'!$Q$58</f>
        <v>0</v>
      </c>
      <c r="R8" s="31">
        <f>'TUSD BE'!$R$8*'TUSD BF'!$R$58</f>
        <v>0</v>
      </c>
      <c r="S8" s="31">
        <f>'TUSD BE'!$R$8*'TUSD BF'!$S$58</f>
        <v>0</v>
      </c>
      <c r="T8" s="31">
        <f ca="1">SUM($L$8:$S$8)</f>
        <v>0</v>
      </c>
      <c r="U8" s="31">
        <f>'TUSD BE'!$U$8*'TUSD BF'!$U$58</f>
        <v>0</v>
      </c>
      <c r="V8" s="31">
        <f>'TUSD BE'!$V$8*'TUSD BF'!$V$58</f>
        <v>0</v>
      </c>
      <c r="W8" s="31">
        <f>'TUSD BE'!$W$8*'TUSD BF'!$W$58</f>
        <v>0</v>
      </c>
      <c r="X8" s="31">
        <f>'TUSD BE'!$X$8*'TUSD BF'!$X$58</f>
        <v>0</v>
      </c>
      <c r="Y8" s="31">
        <f>'TUSD BE'!$Y$8*'TUSD BF'!$Y$58</f>
        <v>0</v>
      </c>
      <c r="Z8" s="31">
        <f>'TUSD BE'!$Z$8*'TUSD BF'!$Z$58</f>
        <v>0</v>
      </c>
      <c r="AA8" s="31">
        <f>'TUSD BE'!$AA$8*'TUSD BF'!$AA$58</f>
        <v>0</v>
      </c>
      <c r="AB8" s="31">
        <f>SUM($U$8:$AA$8)</f>
        <v>0</v>
      </c>
      <c r="AC8" s="31">
        <f>'TUSD BE'!$AC$8*'TUSD BF'!$AC$58</f>
        <v>0</v>
      </c>
      <c r="AD8" s="31">
        <f>SUM($AC$8:$AC$8)</f>
        <v>0</v>
      </c>
      <c r="AE8" s="31">
        <f ca="1">$AO$8*$AO$55</f>
        <v>0</v>
      </c>
      <c r="AF8" s="31">
        <f ca="1">$AP$8*$AP$55</f>
        <v>0</v>
      </c>
      <c r="AG8" s="31">
        <f ca="1">SUM($AE$8:$AF$8)</f>
        <v>0</v>
      </c>
      <c r="AH8" s="31">
        <f>'TUSD BE'!$AH$8*'TUSD BF'!$AH$58</f>
        <v>-1.8853802408911428E-2</v>
      </c>
      <c r="AI8" s="31">
        <f>'TUSD BE'!$AI$8*'TUSD BF'!$AI$58</f>
        <v>-4.0791568941862767E-4</v>
      </c>
      <c r="AJ8" s="31">
        <f ca="1">'TUSD BE'!$AJ$8*'TUSD BF'!$AJ$58</f>
        <v>-4.5849361684430673E-4</v>
      </c>
      <c r="AK8" s="31">
        <f ca="1">'TUSD BE'!$AK$8*'TUSD BF'!$AK$58</f>
        <v>0</v>
      </c>
      <c r="AL8" s="31">
        <f ca="1">SUM($AH$8:$AK$8)</f>
        <v>-1.9720211715174362E-2</v>
      </c>
      <c r="AM8" s="31">
        <f ca="1">SUMIF($L$4:$AL$4,"SUBTOTAL",$L$8:$AL$8)</f>
        <v>-1.9720211715174362E-2</v>
      </c>
      <c r="AO8" s="59">
        <f ca="1">+'TUSD BE'!$T$8+'TUSD BE'!$AB$8+'TUSD BE'!$AD$8+'TUSD BE'!$AL$8</f>
        <v>9.8096149439220781</v>
      </c>
      <c r="AP8" s="59">
        <f ca="1">+'TUSD BE'!$T$8+'TUSD BE'!$AB$8+'TUSD BE'!$AD$8+'TUSD BE'!$AL$8</f>
        <v>9.8096149439220781</v>
      </c>
    </row>
    <row r="9" spans="1:42" ht="11.25" customHeight="1" x14ac:dyDescent="0.25">
      <c r="A9" s="149"/>
      <c r="B9" s="56" t="s">
        <v>83</v>
      </c>
      <c r="C9" s="56" t="s">
        <v>25</v>
      </c>
      <c r="D9" s="56" t="s">
        <v>25</v>
      </c>
      <c r="E9" s="56" t="s">
        <v>25</v>
      </c>
      <c r="F9" s="56" t="s">
        <v>25</v>
      </c>
      <c r="G9" s="57" t="s">
        <v>9</v>
      </c>
      <c r="H9" s="57" t="s">
        <v>79</v>
      </c>
      <c r="I9" s="57">
        <f>'MERCADO TUSD'!$U$6</f>
        <v>0</v>
      </c>
      <c r="J9" s="15"/>
      <c r="L9" s="31">
        <f>'TUSD BE'!$L$9*'TUSD BF'!$L$58</f>
        <v>0</v>
      </c>
      <c r="M9" s="31">
        <f>'TUSD BE'!$M$9*'TUSD BF'!$M$58</f>
        <v>0</v>
      </c>
      <c r="N9" s="31">
        <f ca="1">'TUSD BE'!$N$9*'TUSD BF'!$N$58</f>
        <v>0</v>
      </c>
      <c r="O9" s="31">
        <f>'TUSD BE'!$O$9*'TUSD BF'!$O$58</f>
        <v>0</v>
      </c>
      <c r="P9" s="31">
        <f>'TUSD BE'!$P$9*'TUSD BF'!$P$58</f>
        <v>0</v>
      </c>
      <c r="Q9" s="31">
        <f>'TUSD BE'!$Q$9*'TUSD BF'!$Q$58</f>
        <v>0</v>
      </c>
      <c r="R9" s="31">
        <f>'TUSD BE'!$R$9*'TUSD BF'!$R$58</f>
        <v>0</v>
      </c>
      <c r="S9" s="31">
        <f>'TUSD BE'!$R$9*'TUSD BF'!$S$58</f>
        <v>0</v>
      </c>
      <c r="T9" s="31">
        <f ca="1">SUM($L$9:$S$9)</f>
        <v>0</v>
      </c>
      <c r="U9" s="31">
        <f>'TUSD BE'!$U$9*'TUSD BF'!$U$58</f>
        <v>0</v>
      </c>
      <c r="V9" s="31">
        <f>'TUSD BE'!$V$9*'TUSD BF'!$V$58</f>
        <v>0</v>
      </c>
      <c r="W9" s="31">
        <f>'TUSD BE'!$W$9*'TUSD BF'!$W$58</f>
        <v>0</v>
      </c>
      <c r="X9" s="31">
        <f>'TUSD BE'!$X$9*'TUSD BF'!$X$58</f>
        <v>0</v>
      </c>
      <c r="Y9" s="31">
        <f>'TUSD BE'!$Y$9*'TUSD BF'!$Y$58</f>
        <v>0</v>
      </c>
      <c r="Z9" s="31">
        <f>'TUSD BE'!$Z$9*'TUSD BF'!$Z$58</f>
        <v>0</v>
      </c>
      <c r="AA9" s="31">
        <f>'TUSD BE'!$AA$9*'TUSD BF'!$AA$58</f>
        <v>0</v>
      </c>
      <c r="AB9" s="31">
        <f>SUM($U$9:$AA$9)</f>
        <v>0</v>
      </c>
      <c r="AC9" s="31">
        <f>'TUSD BE'!$AC$9*'TUSD BF'!$AC$58</f>
        <v>0</v>
      </c>
      <c r="AD9" s="31">
        <f>SUM($AC$9:$AC$9)</f>
        <v>0</v>
      </c>
      <c r="AE9" s="31">
        <f ca="1">$AO$9*$AO$55</f>
        <v>0</v>
      </c>
      <c r="AF9" s="31">
        <f ca="1">$AP$9*$AP$55</f>
        <v>0</v>
      </c>
      <c r="AG9" s="31">
        <f ca="1">SUM($AE$9:$AF$9)</f>
        <v>0</v>
      </c>
      <c r="AH9" s="31">
        <f>'TUSD BE'!$AH$9*'TUSD BF'!$AH$58</f>
        <v>0</v>
      </c>
      <c r="AI9" s="31">
        <f>'TUSD BE'!$AI$9*'TUSD BF'!$AI$58</f>
        <v>0</v>
      </c>
      <c r="AJ9" s="31">
        <f ca="1">'TUSD BE'!$AJ$9*'TUSD BF'!$AJ$58</f>
        <v>0</v>
      </c>
      <c r="AK9" s="31">
        <f ca="1">'TUSD BE'!$AK$9*'TUSD BF'!$AK$58</f>
        <v>0</v>
      </c>
      <c r="AL9" s="31">
        <f ca="1">SUM($AH$9:$AK$9)</f>
        <v>0</v>
      </c>
      <c r="AM9" s="31">
        <f ca="1">SUMIF($L$4:$AL$4,"SUBTOTAL",$L$9:$AL$9)</f>
        <v>0</v>
      </c>
      <c r="AO9" s="59">
        <f ca="1">+'TUSD BE'!$T$9+'TUSD BE'!$AB$9+'TUSD BE'!$AD$9+'TUSD BE'!$AL$9</f>
        <v>9.1802565922717481</v>
      </c>
      <c r="AP9" s="59">
        <f ca="1">+'TUSD BE'!$T$9+'TUSD BE'!$AB$9+'TUSD BE'!$AD$9+'TUSD BE'!$AL$9</f>
        <v>9.1802565922717481</v>
      </c>
    </row>
    <row r="10" spans="1:42" ht="11.25" customHeight="1" x14ac:dyDescent="0.25">
      <c r="A10" s="149"/>
      <c r="B10" s="149" t="s">
        <v>39</v>
      </c>
      <c r="C10" s="149" t="s">
        <v>25</v>
      </c>
      <c r="D10" s="149" t="s">
        <v>25</v>
      </c>
      <c r="E10" s="149" t="s">
        <v>25</v>
      </c>
      <c r="F10" s="149" t="s">
        <v>25</v>
      </c>
      <c r="G10" s="57" t="s">
        <v>9</v>
      </c>
      <c r="H10" s="57" t="s">
        <v>79</v>
      </c>
      <c r="I10" s="57">
        <f>'MERCADO TUSD'!$U$7</f>
        <v>426500</v>
      </c>
      <c r="J10" s="15"/>
      <c r="L10" s="31">
        <f>'TUSD BE'!$L$10*'TUSD BF'!$L$58</f>
        <v>0</v>
      </c>
      <c r="M10" s="31">
        <f>'TUSD BE'!$M$10*'TUSD BF'!$M$58</f>
        <v>0</v>
      </c>
      <c r="N10" s="31">
        <f ca="1">'TUSD BE'!$N$10*'TUSD BF'!$N$58</f>
        <v>0</v>
      </c>
      <c r="O10" s="31">
        <f>'TUSD BE'!$O$10*'TUSD BF'!$O$58</f>
        <v>0</v>
      </c>
      <c r="P10" s="31">
        <f>'TUSD BE'!$P$10*'TUSD BF'!$P$58</f>
        <v>0</v>
      </c>
      <c r="Q10" s="31">
        <f>'TUSD BE'!$Q$10*'TUSD BF'!$Q$58</f>
        <v>0</v>
      </c>
      <c r="R10" s="31">
        <f>'TUSD BE'!$R$10*'TUSD BF'!$R$58</f>
        <v>0</v>
      </c>
      <c r="S10" s="31">
        <f>'TUSD BE'!$R$10*'TUSD BF'!$S$58</f>
        <v>0</v>
      </c>
      <c r="T10" s="31">
        <f ca="1">SUM($L$10:$S$10)</f>
        <v>0</v>
      </c>
      <c r="U10" s="31">
        <f>'TUSD BE'!$U$10*'TUSD BF'!$U$58</f>
        <v>0</v>
      </c>
      <c r="V10" s="31">
        <f>'TUSD BE'!$V$10*'TUSD BF'!$V$58</f>
        <v>0</v>
      </c>
      <c r="W10" s="31">
        <f>'TUSD BE'!$W$10*'TUSD BF'!$W$58</f>
        <v>0</v>
      </c>
      <c r="X10" s="31">
        <f>'TUSD BE'!$X$10*'TUSD BF'!$X$58</f>
        <v>0</v>
      </c>
      <c r="Y10" s="31">
        <f>'TUSD BE'!$Y$10*'TUSD BF'!$Y$58</f>
        <v>0</v>
      </c>
      <c r="Z10" s="31">
        <f>'TUSD BE'!$Z$10*'TUSD BF'!$Z$58</f>
        <v>0</v>
      </c>
      <c r="AA10" s="31">
        <f>'TUSD BE'!$AA$10*'TUSD BF'!$AA$58</f>
        <v>0</v>
      </c>
      <c r="AB10" s="31">
        <f>SUM($U$10:$AA$10)</f>
        <v>0</v>
      </c>
      <c r="AC10" s="31">
        <f>'TUSD BE'!$AC$10*'TUSD BF'!$AC$58</f>
        <v>0</v>
      </c>
      <c r="AD10" s="31">
        <f>SUM($AC$10:$AC$10)</f>
        <v>0</v>
      </c>
      <c r="AE10" s="31">
        <f ca="1">$AO$10*$AO$55</f>
        <v>0</v>
      </c>
      <c r="AF10" s="31">
        <f ca="1">$AP$10*$AP$55</f>
        <v>0</v>
      </c>
      <c r="AG10" s="31">
        <f ca="1">SUM($AE$10:$AF$10)</f>
        <v>0</v>
      </c>
      <c r="AH10" s="31">
        <f>'TUSD BE'!$AH$10*'TUSD BF'!$AH$58</f>
        <v>0</v>
      </c>
      <c r="AI10" s="31">
        <f>'TUSD BE'!$AI$10*'TUSD BF'!$AI$58</f>
        <v>0</v>
      </c>
      <c r="AJ10" s="31">
        <f ca="1">'TUSD BE'!$AJ$10*'TUSD BF'!$AJ$58</f>
        <v>0</v>
      </c>
      <c r="AK10" s="31">
        <f ca="1">'TUSD BE'!$AK$10*'TUSD BF'!$AK$58</f>
        <v>0</v>
      </c>
      <c r="AL10" s="31">
        <f ca="1">SUM($AH$10:$AK$10)</f>
        <v>0</v>
      </c>
      <c r="AM10" s="31">
        <f ca="1">SUMIF($L$4:$AL$4,"SUBTOTAL",$L$10:$AL$10)</f>
        <v>0</v>
      </c>
      <c r="AO10" s="59">
        <f ca="1">+'TUSD BE'!$T$10+'TUSD BE'!$AB$10+'TUSD BE'!$AD$10+'TUSD BE'!$AL$10</f>
        <v>21.800846690356778</v>
      </c>
      <c r="AP10" s="59">
        <f ca="1">+'TUSD BE'!$T$10+'TUSD BE'!$AB$10+'TUSD BE'!$AD$10+'TUSD BE'!$AL$10</f>
        <v>21.800846690356778</v>
      </c>
    </row>
    <row r="11" spans="1:42" ht="11.25" customHeight="1" x14ac:dyDescent="0.25">
      <c r="A11" s="149"/>
      <c r="B11" s="149"/>
      <c r="C11" s="149"/>
      <c r="D11" s="149"/>
      <c r="E11" s="149"/>
      <c r="F11" s="149"/>
      <c r="G11" s="57" t="s">
        <v>75</v>
      </c>
      <c r="H11" s="57" t="s">
        <v>74</v>
      </c>
      <c r="I11" s="57">
        <f>'MERCADO TUSD'!$U$8</f>
        <v>6338.8209999999999</v>
      </c>
      <c r="J11" s="15"/>
      <c r="L11" s="31">
        <f>'TUSD BE'!$L$11*'TUSD BF'!$L$58</f>
        <v>0</v>
      </c>
      <c r="M11" s="31">
        <f>'TUSD BE'!$M$11*'TUSD BF'!$M$58</f>
        <v>0</v>
      </c>
      <c r="N11" s="31">
        <f ca="1">'TUSD BE'!$N$11*'TUSD BF'!$N$58</f>
        <v>0</v>
      </c>
      <c r="O11" s="31">
        <f>'TUSD BE'!$O$11*'TUSD BF'!$O$58</f>
        <v>0</v>
      </c>
      <c r="P11" s="31">
        <f>'TUSD BE'!$P$11*'TUSD BF'!$P$58</f>
        <v>0</v>
      </c>
      <c r="Q11" s="31">
        <f>'TUSD BE'!$Q$11*'TUSD BF'!$Q$58</f>
        <v>17.163721099810228</v>
      </c>
      <c r="R11" s="31">
        <f>'TUSD BE'!$R$11*'TUSD BF'!$R$58</f>
        <v>3.8853520350815653</v>
      </c>
      <c r="S11" s="31">
        <f>'TUSD BE'!$R$11*'TUSD BF'!$S$58</f>
        <v>0</v>
      </c>
      <c r="T11" s="31">
        <f ca="1">SUM($L$11:$S$11)</f>
        <v>21.049073134891792</v>
      </c>
      <c r="U11" s="31">
        <f>'TUSD BE'!$U$11*'TUSD BF'!$U$58</f>
        <v>0</v>
      </c>
      <c r="V11" s="31">
        <f>'TUSD BE'!$V$11*'TUSD BF'!$V$58</f>
        <v>0</v>
      </c>
      <c r="W11" s="31">
        <f>'TUSD BE'!$W$11*'TUSD BF'!$W$58</f>
        <v>0</v>
      </c>
      <c r="X11" s="31">
        <f>'TUSD BE'!$X$11*'TUSD BF'!$X$58</f>
        <v>0</v>
      </c>
      <c r="Y11" s="31">
        <f>'TUSD BE'!$Y$11*'TUSD BF'!$Y$58</f>
        <v>0</v>
      </c>
      <c r="Z11" s="31">
        <f>'TUSD BE'!$Z$11*'TUSD BF'!$Z$58</f>
        <v>0</v>
      </c>
      <c r="AA11" s="31">
        <f>'TUSD BE'!$AA$11*'TUSD BF'!$AA$58</f>
        <v>0</v>
      </c>
      <c r="AB11" s="31">
        <f>SUM($U$11:$AA$11)</f>
        <v>0</v>
      </c>
      <c r="AC11" s="31">
        <f>'TUSD BE'!$AC$11*'TUSD BF'!$AC$58</f>
        <v>0</v>
      </c>
      <c r="AD11" s="31">
        <f>SUM($AC$11:$AC$11)</f>
        <v>0</v>
      </c>
      <c r="AE11" s="31">
        <f ca="1">$AO$11*$AO$55</f>
        <v>0</v>
      </c>
      <c r="AF11" s="31">
        <f ca="1">$AP$11*$AP$55</f>
        <v>0</v>
      </c>
      <c r="AG11" s="31">
        <f ca="1">SUM($AE$11:$AF$11)</f>
        <v>0</v>
      </c>
      <c r="AH11" s="31">
        <f>'TUSD BE'!$AH$11*'TUSD BF'!$AH$58</f>
        <v>-1.8853802408911428E-2</v>
      </c>
      <c r="AI11" s="31">
        <f>'TUSD BE'!$AI$11*'TUSD BF'!$AI$58</f>
        <v>-4.0791568941862767E-4</v>
      </c>
      <c r="AJ11" s="31">
        <f ca="1">'TUSD BE'!$AJ$11*'TUSD BF'!$AJ$58</f>
        <v>-4.5849361684430673E-4</v>
      </c>
      <c r="AK11" s="31">
        <f ca="1">'TUSD BE'!$AK$11*'TUSD BF'!$AK$58</f>
        <v>0</v>
      </c>
      <c r="AL11" s="31">
        <f ca="1">SUM($AH$11:$AK$11)</f>
        <v>-1.9720211715174362E-2</v>
      </c>
      <c r="AM11" s="31">
        <f ca="1">SUMIF($L$4:$AL$4,"SUBTOTAL",$L$11:$AL$11)</f>
        <v>21.029352923176617</v>
      </c>
      <c r="AO11" s="59">
        <f ca="1">+'TUSD BE'!$T$11+'TUSD BE'!$AB$11+'TUSD BE'!$AD$11+'TUSD BE'!$AL$11</f>
        <v>1478.2969230891163</v>
      </c>
      <c r="AP11" s="59">
        <f ca="1">+'TUSD BE'!$T$11+'TUSD BE'!$AB$11+'TUSD BE'!$AD$11+'TUSD BE'!$AL$11</f>
        <v>1478.2969230891163</v>
      </c>
    </row>
    <row r="12" spans="1:42" ht="11.25" customHeight="1" x14ac:dyDescent="0.25">
      <c r="A12" s="149"/>
      <c r="B12" s="149"/>
      <c r="C12" s="149"/>
      <c r="D12" s="149"/>
      <c r="E12" s="149"/>
      <c r="F12" s="149"/>
      <c r="G12" s="57" t="s">
        <v>76</v>
      </c>
      <c r="H12" s="57" t="s">
        <v>74</v>
      </c>
      <c r="I12" s="57">
        <f>'MERCADO TUSD'!$U$9</f>
        <v>108386.66</v>
      </c>
      <c r="J12" s="15"/>
      <c r="L12" s="31">
        <f>'TUSD BE'!$L$12*'TUSD BF'!$L$58</f>
        <v>0</v>
      </c>
      <c r="M12" s="31">
        <f>'TUSD BE'!$M$12*'TUSD BF'!$M$58</f>
        <v>0</v>
      </c>
      <c r="N12" s="31">
        <f ca="1">'TUSD BE'!$N$12*'TUSD BF'!$N$58</f>
        <v>0</v>
      </c>
      <c r="O12" s="31">
        <f>'TUSD BE'!$O$12*'TUSD BF'!$O$58</f>
        <v>0</v>
      </c>
      <c r="P12" s="31">
        <f>'TUSD BE'!$P$12*'TUSD BF'!$P$58</f>
        <v>0</v>
      </c>
      <c r="Q12" s="31">
        <f>'TUSD BE'!$Q$12*'TUSD BF'!$Q$58</f>
        <v>17.163721099810228</v>
      </c>
      <c r="R12" s="31">
        <f>'TUSD BE'!$R$12*'TUSD BF'!$R$58</f>
        <v>3.8853520350815653</v>
      </c>
      <c r="S12" s="31">
        <f>'TUSD BE'!$R$12*'TUSD BF'!$S$58</f>
        <v>0</v>
      </c>
      <c r="T12" s="31">
        <f ca="1">SUM($L$12:$S$12)</f>
        <v>21.049073134891792</v>
      </c>
      <c r="U12" s="31">
        <f>'TUSD BE'!$U$12*'TUSD BF'!$U$58</f>
        <v>0</v>
      </c>
      <c r="V12" s="31">
        <f>'TUSD BE'!$V$12*'TUSD BF'!$V$58</f>
        <v>0</v>
      </c>
      <c r="W12" s="31">
        <f>'TUSD BE'!$W$12*'TUSD BF'!$W$58</f>
        <v>0</v>
      </c>
      <c r="X12" s="31">
        <f>'TUSD BE'!$X$12*'TUSD BF'!$X$58</f>
        <v>0</v>
      </c>
      <c r="Y12" s="31">
        <f>'TUSD BE'!$Y$12*'TUSD BF'!$Y$58</f>
        <v>0</v>
      </c>
      <c r="Z12" s="31">
        <f>'TUSD BE'!$Z$12*'TUSD BF'!$Z$58</f>
        <v>0</v>
      </c>
      <c r="AA12" s="31">
        <f>'TUSD BE'!$AA$12*'TUSD BF'!$AA$58</f>
        <v>0</v>
      </c>
      <c r="AB12" s="31">
        <f>SUM($U$12:$AA$12)</f>
        <v>0</v>
      </c>
      <c r="AC12" s="31">
        <f>'TUSD BE'!$AC$12*'TUSD BF'!$AC$58</f>
        <v>0</v>
      </c>
      <c r="AD12" s="31">
        <f>SUM($AC$12:$AC$12)</f>
        <v>0</v>
      </c>
      <c r="AE12" s="31">
        <f ca="1">$AO$12*$AO$55</f>
        <v>0</v>
      </c>
      <c r="AF12" s="31">
        <f ca="1">$AP$12*$AP$55</f>
        <v>0</v>
      </c>
      <c r="AG12" s="31">
        <f ca="1">SUM($AE$12:$AF$12)</f>
        <v>0</v>
      </c>
      <c r="AH12" s="31">
        <f>'TUSD BE'!$AH$12*'TUSD BF'!$AH$58</f>
        <v>-1.8853802408911428E-2</v>
      </c>
      <c r="AI12" s="31">
        <f>'TUSD BE'!$AI$12*'TUSD BF'!$AI$58</f>
        <v>-4.0791568941862767E-4</v>
      </c>
      <c r="AJ12" s="31">
        <f ca="1">'TUSD BE'!$AJ$12*'TUSD BF'!$AJ$58</f>
        <v>-4.5849361684430673E-4</v>
      </c>
      <c r="AK12" s="31">
        <f ca="1">'TUSD BE'!$AK$12*'TUSD BF'!$AK$58</f>
        <v>0</v>
      </c>
      <c r="AL12" s="31">
        <f ca="1">SUM($AH$12:$AK$12)</f>
        <v>-1.9720211715174362E-2</v>
      </c>
      <c r="AM12" s="31">
        <f ca="1">SUMIF($L$4:$AL$4,"SUBTOTAL",$L$12:$AL$12)</f>
        <v>21.029352923176617</v>
      </c>
      <c r="AO12" s="59">
        <f ca="1">+'TUSD BE'!$T$12+'TUSD BE'!$AB$12+'TUSD BE'!$AD$12+'TUSD BE'!$AL$12</f>
        <v>98.914531839783777</v>
      </c>
      <c r="AP12" s="59">
        <f ca="1">+'TUSD BE'!$T$12+'TUSD BE'!$AB$12+'TUSD BE'!$AD$12+'TUSD BE'!$AL$12</f>
        <v>98.914531839783777</v>
      </c>
    </row>
    <row r="13" spans="1:42" ht="11.25" customHeight="1" x14ac:dyDescent="0.25">
      <c r="A13" s="149"/>
      <c r="B13" s="149"/>
      <c r="C13" s="149"/>
      <c r="D13" s="149"/>
      <c r="E13" s="149" t="s">
        <v>82</v>
      </c>
      <c r="F13" s="149" t="s">
        <v>25</v>
      </c>
      <c r="G13" s="57" t="s">
        <v>75</v>
      </c>
      <c r="H13" s="57" t="s">
        <v>74</v>
      </c>
      <c r="I13" s="57">
        <f>'MERCADO TUSD'!$U$10</f>
        <v>0</v>
      </c>
      <c r="J13" s="15"/>
      <c r="L13" s="31">
        <f>'TUSD BE'!$L$13*'TUSD BF'!$L$58</f>
        <v>0</v>
      </c>
      <c r="M13" s="31">
        <f>'TUSD BE'!$M$13*'TUSD BF'!$M$58</f>
        <v>0</v>
      </c>
      <c r="N13" s="31">
        <f ca="1">'TUSD BE'!$N$13*'TUSD BF'!$N$58</f>
        <v>0</v>
      </c>
      <c r="O13" s="31">
        <f>'TUSD BE'!$O$13*'TUSD BF'!$O$58</f>
        <v>0</v>
      </c>
      <c r="P13" s="31">
        <f>'TUSD BE'!$P$13*'TUSD BF'!$P$58</f>
        <v>0</v>
      </c>
      <c r="Q13" s="31">
        <f>'TUSD BE'!$Q$13*'TUSD BF'!$Q$58</f>
        <v>0</v>
      </c>
      <c r="R13" s="31">
        <f>'TUSD BE'!$R$13*'TUSD BF'!$R$58</f>
        <v>0</v>
      </c>
      <c r="S13" s="31">
        <f>'TUSD BE'!$R$13*'TUSD BF'!$S$58</f>
        <v>0</v>
      </c>
      <c r="T13" s="31">
        <f ca="1">SUM($L$13:$S$13)</f>
        <v>0</v>
      </c>
      <c r="U13" s="31">
        <f>'TUSD BE'!$U$13*'TUSD BF'!$U$58</f>
        <v>0</v>
      </c>
      <c r="V13" s="31">
        <f>'TUSD BE'!$V$13*'TUSD BF'!$V$58</f>
        <v>0</v>
      </c>
      <c r="W13" s="31">
        <f>'TUSD BE'!$W$13*'TUSD BF'!$W$58</f>
        <v>0</v>
      </c>
      <c r="X13" s="31">
        <f>'TUSD BE'!$X$13*'TUSD BF'!$X$58</f>
        <v>0</v>
      </c>
      <c r="Y13" s="31">
        <f>'TUSD BE'!$Y$13*'TUSD BF'!$Y$58</f>
        <v>0</v>
      </c>
      <c r="Z13" s="31">
        <f>'TUSD BE'!$Z$13*'TUSD BF'!$Z$58</f>
        <v>0</v>
      </c>
      <c r="AA13" s="31">
        <f>'TUSD BE'!$AA$13*'TUSD BF'!$AA$58</f>
        <v>0</v>
      </c>
      <c r="AB13" s="31">
        <f>SUM($U$13:$AA$13)</f>
        <v>0</v>
      </c>
      <c r="AC13" s="31">
        <f>'TUSD BE'!$AC$13*'TUSD BF'!$AC$58</f>
        <v>0</v>
      </c>
      <c r="AD13" s="31">
        <f>SUM($AC$13:$AC$13)</f>
        <v>0</v>
      </c>
      <c r="AE13" s="31">
        <f ca="1">$AO$13*$AO$55</f>
        <v>0</v>
      </c>
      <c r="AF13" s="31">
        <f ca="1">$AP$13*$AP$55</f>
        <v>0</v>
      </c>
      <c r="AG13" s="31">
        <f ca="1">SUM($AE$13:$AF$13)</f>
        <v>0</v>
      </c>
      <c r="AH13" s="31">
        <f>'TUSD BE'!$AH$13*'TUSD BF'!$AH$58</f>
        <v>-1.8853802408911428E-2</v>
      </c>
      <c r="AI13" s="31">
        <f>'TUSD BE'!$AI$13*'TUSD BF'!$AI$58</f>
        <v>-4.0791568941862767E-4</v>
      </c>
      <c r="AJ13" s="31">
        <f ca="1">'TUSD BE'!$AJ$13*'TUSD BF'!$AJ$58</f>
        <v>-4.5849361684430673E-4</v>
      </c>
      <c r="AK13" s="31">
        <f ca="1">'TUSD BE'!$AK$13*'TUSD BF'!$AK$58</f>
        <v>0</v>
      </c>
      <c r="AL13" s="31">
        <f ca="1">SUM($AH$13:$AK$13)</f>
        <v>-1.9720211715174362E-2</v>
      </c>
      <c r="AM13" s="31">
        <f ca="1">SUMIF($L$4:$AL$4,"SUBTOTAL",$L$13:$AL$13)</f>
        <v>-1.9720211715174362E-2</v>
      </c>
      <c r="AO13" s="59">
        <f ca="1">+'TUSD BE'!$T$13+'TUSD BE'!$AB$13+'TUSD BE'!$AD$13+'TUSD BE'!$AL$13</f>
        <v>1389.1920061932547</v>
      </c>
      <c r="AP13" s="59">
        <f ca="1">+'TUSD BE'!$T$13+'TUSD BE'!$AB$13+'TUSD BE'!$AD$13+'TUSD BE'!$AL$13</f>
        <v>1389.1920061932547</v>
      </c>
    </row>
    <row r="14" spans="1:42" ht="11.25" customHeight="1" x14ac:dyDescent="0.25">
      <c r="A14" s="149"/>
      <c r="B14" s="149"/>
      <c r="C14" s="149"/>
      <c r="D14" s="149"/>
      <c r="E14" s="149"/>
      <c r="F14" s="149"/>
      <c r="G14" s="57" t="s">
        <v>76</v>
      </c>
      <c r="H14" s="57" t="s">
        <v>74</v>
      </c>
      <c r="I14" s="57">
        <f>'MERCADO TUSD'!$U$11</f>
        <v>0</v>
      </c>
      <c r="J14" s="15"/>
      <c r="L14" s="31">
        <f>'TUSD BE'!$L$14*'TUSD BF'!$L$58</f>
        <v>0</v>
      </c>
      <c r="M14" s="31">
        <f>'TUSD BE'!$M$14*'TUSD BF'!$M$58</f>
        <v>0</v>
      </c>
      <c r="N14" s="31">
        <f ca="1">'TUSD BE'!$N$14*'TUSD BF'!$N$58</f>
        <v>0</v>
      </c>
      <c r="O14" s="31">
        <f>'TUSD BE'!$O$14*'TUSD BF'!$O$58</f>
        <v>0</v>
      </c>
      <c r="P14" s="31">
        <f>'TUSD BE'!$P$14*'TUSD BF'!$P$58</f>
        <v>0</v>
      </c>
      <c r="Q14" s="31">
        <f>'TUSD BE'!$Q$14*'TUSD BF'!$Q$58</f>
        <v>0</v>
      </c>
      <c r="R14" s="31">
        <f>'TUSD BE'!$R$14*'TUSD BF'!$R$58</f>
        <v>0</v>
      </c>
      <c r="S14" s="31">
        <f>'TUSD BE'!$R$14*'TUSD BF'!$S$58</f>
        <v>0</v>
      </c>
      <c r="T14" s="31">
        <f ca="1">SUM($L$14:$S$14)</f>
        <v>0</v>
      </c>
      <c r="U14" s="31">
        <f>'TUSD BE'!$U$14*'TUSD BF'!$U$58</f>
        <v>0</v>
      </c>
      <c r="V14" s="31">
        <f>'TUSD BE'!$V$14*'TUSD BF'!$V$58</f>
        <v>0</v>
      </c>
      <c r="W14" s="31">
        <f>'TUSD BE'!$W$14*'TUSD BF'!$W$58</f>
        <v>0</v>
      </c>
      <c r="X14" s="31">
        <f>'TUSD BE'!$X$14*'TUSD BF'!$X$58</f>
        <v>0</v>
      </c>
      <c r="Y14" s="31">
        <f>'TUSD BE'!$Y$14*'TUSD BF'!$Y$58</f>
        <v>0</v>
      </c>
      <c r="Z14" s="31">
        <f>'TUSD BE'!$Z$14*'TUSD BF'!$Z$58</f>
        <v>0</v>
      </c>
      <c r="AA14" s="31">
        <f>'TUSD BE'!$AA$14*'TUSD BF'!$AA$58</f>
        <v>0</v>
      </c>
      <c r="AB14" s="31">
        <f>SUM($U$14:$AA$14)</f>
        <v>0</v>
      </c>
      <c r="AC14" s="31">
        <f>'TUSD BE'!$AC$14*'TUSD BF'!$AC$58</f>
        <v>0</v>
      </c>
      <c r="AD14" s="31">
        <f>SUM($AC$14:$AC$14)</f>
        <v>0</v>
      </c>
      <c r="AE14" s="31">
        <f ca="1">$AO$14*$AO$55</f>
        <v>0</v>
      </c>
      <c r="AF14" s="31">
        <f ca="1">$AP$14*$AP$55</f>
        <v>0</v>
      </c>
      <c r="AG14" s="31">
        <f ca="1">SUM($AE$14:$AF$14)</f>
        <v>0</v>
      </c>
      <c r="AH14" s="31">
        <f>'TUSD BE'!$AH$14*'TUSD BF'!$AH$58</f>
        <v>-1.8853802408911428E-2</v>
      </c>
      <c r="AI14" s="31">
        <f>'TUSD BE'!$AI$14*'TUSD BF'!$AI$58</f>
        <v>-4.0791568941862767E-4</v>
      </c>
      <c r="AJ14" s="31">
        <f ca="1">'TUSD BE'!$AJ$14*'TUSD BF'!$AJ$58</f>
        <v>-4.5849361684430673E-4</v>
      </c>
      <c r="AK14" s="31">
        <f ca="1">'TUSD BE'!$AK$14*'TUSD BF'!$AK$58</f>
        <v>0</v>
      </c>
      <c r="AL14" s="31">
        <f ca="1">SUM($AH$14:$AK$14)</f>
        <v>-1.9720211715174362E-2</v>
      </c>
      <c r="AM14" s="31">
        <f ca="1">SUMIF($L$4:$AL$4,"SUBTOTAL",$L$14:$AL$14)</f>
        <v>-1.9720211715174362E-2</v>
      </c>
      <c r="AO14" s="59">
        <f ca="1">+'TUSD BE'!$T$14+'TUSD BE'!$AB$14+'TUSD BE'!$AD$14+'TUSD BE'!$AL$14</f>
        <v>9.8096149439220781</v>
      </c>
      <c r="AP14" s="59">
        <f ca="1">+'TUSD BE'!$T$14+'TUSD BE'!$AB$14+'TUSD BE'!$AD$14+'TUSD BE'!$AL$14</f>
        <v>9.8096149439220781</v>
      </c>
    </row>
    <row r="15" spans="1:42" ht="11.25" customHeight="1" x14ac:dyDescent="0.25">
      <c r="A15" s="149" t="s">
        <v>84</v>
      </c>
      <c r="B15" s="149" t="s">
        <v>83</v>
      </c>
      <c r="C15" s="149" t="s">
        <v>25</v>
      </c>
      <c r="D15" s="149" t="s">
        <v>25</v>
      </c>
      <c r="E15" s="56" t="s">
        <v>85</v>
      </c>
      <c r="F15" s="56" t="s">
        <v>25</v>
      </c>
      <c r="G15" s="57" t="s">
        <v>9</v>
      </c>
      <c r="H15" s="57" t="s">
        <v>79</v>
      </c>
      <c r="I15" s="57">
        <f>'MERCADO TUSD'!$U$12+0.00000001</f>
        <v>1E-8</v>
      </c>
      <c r="J15" s="15"/>
      <c r="L15" s="31">
        <f>'TUSD BE'!$L$15*'TUSD BF'!$L$58</f>
        <v>0</v>
      </c>
      <c r="M15" s="31">
        <f>'TUSD BE'!$M$15*'TUSD BF'!$M$58</f>
        <v>0</v>
      </c>
      <c r="N15" s="31">
        <f ca="1">'TUSD BE'!$N$15*'TUSD BF'!$N$58</f>
        <v>0</v>
      </c>
      <c r="O15" s="31">
        <f>'TUSD BE'!$O$15*'TUSD BF'!$O$58</f>
        <v>0</v>
      </c>
      <c r="P15" s="31">
        <f>'TUSD BE'!$P$15*'TUSD BF'!$P$58</f>
        <v>0</v>
      </c>
      <c r="Q15" s="31">
        <f>'TUSD BE'!$Q$15*'TUSD BF'!$Q$58</f>
        <v>0</v>
      </c>
      <c r="R15" s="31">
        <f>'TUSD BE'!$R$15*'TUSD BF'!$R$58</f>
        <v>0</v>
      </c>
      <c r="S15" s="31">
        <f>'TUSD BE'!$R$15*'TUSD BF'!$S$58</f>
        <v>0</v>
      </c>
      <c r="T15" s="31">
        <f ca="1">SUM($L$15:$S$15)</f>
        <v>0</v>
      </c>
      <c r="U15" s="31">
        <f>'TUSD BE'!$U$15*'TUSD BF'!$U$58</f>
        <v>0</v>
      </c>
      <c r="V15" s="31">
        <f>'TUSD BE'!$V$15*'TUSD BF'!$V$58</f>
        <v>0</v>
      </c>
      <c r="W15" s="31">
        <f>'TUSD BE'!$W$15*'TUSD BF'!$W$58</f>
        <v>0</v>
      </c>
      <c r="X15" s="31">
        <f>'TUSD BE'!$X$15*'TUSD BF'!$X$58</f>
        <v>0</v>
      </c>
      <c r="Y15" s="31">
        <f>'TUSD BE'!$Y$15*'TUSD BF'!$Y$58</f>
        <v>0</v>
      </c>
      <c r="Z15" s="31">
        <f>'TUSD BE'!$Z$15*'TUSD BF'!$Z$58</f>
        <v>0</v>
      </c>
      <c r="AA15" s="31">
        <f>'TUSD BE'!$AA$15*'TUSD BF'!$AA$58</f>
        <v>0</v>
      </c>
      <c r="AB15" s="31">
        <f>SUM($U$15:$AA$15)</f>
        <v>0</v>
      </c>
      <c r="AC15" s="31">
        <f>'TUSD BE'!$AC$15*'TUSD BF'!$AC$58</f>
        <v>0</v>
      </c>
      <c r="AD15" s="31">
        <f>SUM($AC$15:$AC$15)</f>
        <v>0</v>
      </c>
      <c r="AE15" s="31">
        <f ca="1">$AO$15*$AO$55</f>
        <v>0</v>
      </c>
      <c r="AF15" s="31">
        <f ca="1">$AP$15*$AP$55</f>
        <v>0</v>
      </c>
      <c r="AG15" s="31">
        <f ca="1">SUM($AE$15:$AF$15)</f>
        <v>0</v>
      </c>
      <c r="AH15" s="31">
        <f>'TUSD BE'!$AH$15*'TUSD BF'!$AH$58</f>
        <v>0</v>
      </c>
      <c r="AI15" s="31">
        <f>'TUSD BE'!$AI$15*'TUSD BF'!$AI$58</f>
        <v>0</v>
      </c>
      <c r="AJ15" s="31">
        <f ca="1">'TUSD BE'!$AJ$15*'TUSD BF'!$AJ$58</f>
        <v>0</v>
      </c>
      <c r="AK15" s="31">
        <f ca="1">'TUSD BE'!$AK$15*'TUSD BF'!$AK$58</f>
        <v>0</v>
      </c>
      <c r="AL15" s="31">
        <f ca="1">SUM($AH$15:$AK$15)</f>
        <v>0</v>
      </c>
      <c r="AM15" s="31">
        <f ca="1">SUMIF($L$4:$AL$4,"SUBTOTAL",$L$15:$AL$15)</f>
        <v>0</v>
      </c>
      <c r="AO15" s="59">
        <f ca="1">+'TUSD BE'!$T$15+'TUSD BE'!$AB$15+'TUSD BE'!$AD$15+'TUSD BE'!$AL$15</f>
        <v>9.323084622468409</v>
      </c>
      <c r="AP15" s="59">
        <f ca="1">+'TUSD BE'!$T$15+'TUSD BE'!$AB$15+'TUSD BE'!$AD$15+'TUSD BE'!$AL$15</f>
        <v>9.323084622468409</v>
      </c>
    </row>
    <row r="16" spans="1:42" ht="11.25" customHeight="1" x14ac:dyDescent="0.25">
      <c r="A16" s="149"/>
      <c r="B16" s="149"/>
      <c r="C16" s="149"/>
      <c r="D16" s="149"/>
      <c r="E16" s="56" t="s">
        <v>86</v>
      </c>
      <c r="F16" s="56" t="s">
        <v>25</v>
      </c>
      <c r="G16" s="57" t="s">
        <v>9</v>
      </c>
      <c r="H16" s="57" t="s">
        <v>79</v>
      </c>
      <c r="I16" s="57">
        <f>'MERCADO TUSD'!$U$13+0.00000001</f>
        <v>1E-8</v>
      </c>
      <c r="J16" s="15"/>
      <c r="L16" s="31">
        <f>'TUSD BE'!$L$16*'TUSD BF'!$L$58</f>
        <v>0</v>
      </c>
      <c r="M16" s="31">
        <f>'TUSD BE'!$M$16*'TUSD BF'!$M$58</f>
        <v>0</v>
      </c>
      <c r="N16" s="31">
        <f ca="1">'TUSD BE'!$N$16*'TUSD BF'!$N$58</f>
        <v>0</v>
      </c>
      <c r="O16" s="31">
        <f>'TUSD BE'!$O$16*'TUSD BF'!$O$58</f>
        <v>0</v>
      </c>
      <c r="P16" s="31">
        <f>'TUSD BE'!$P$16*'TUSD BF'!$P$58</f>
        <v>0</v>
      </c>
      <c r="Q16" s="31">
        <f>'TUSD BE'!$Q$16*'TUSD BF'!$Q$58</f>
        <v>0</v>
      </c>
      <c r="R16" s="31">
        <f>'TUSD BE'!$R$16*'TUSD BF'!$R$58</f>
        <v>0</v>
      </c>
      <c r="S16" s="31">
        <f>'TUSD BE'!$R$16*'TUSD BF'!$S$58</f>
        <v>0</v>
      </c>
      <c r="T16" s="31">
        <f ca="1">SUM($L$16:$S$16)</f>
        <v>0</v>
      </c>
      <c r="U16" s="31">
        <f>'TUSD BE'!$U$16*'TUSD BF'!$U$58</f>
        <v>0</v>
      </c>
      <c r="V16" s="31">
        <f>'TUSD BE'!$V$16*'TUSD BF'!$V$58</f>
        <v>0</v>
      </c>
      <c r="W16" s="31">
        <f>'TUSD BE'!$W$16*'TUSD BF'!$W$58</f>
        <v>0</v>
      </c>
      <c r="X16" s="31">
        <f>'TUSD BE'!$X$16*'TUSD BF'!$X$58</f>
        <v>0</v>
      </c>
      <c r="Y16" s="31">
        <f>'TUSD BE'!$Y$16*'TUSD BF'!$Y$58</f>
        <v>0</v>
      </c>
      <c r="Z16" s="31">
        <f>'TUSD BE'!$Z$16*'TUSD BF'!$Z$58</f>
        <v>0</v>
      </c>
      <c r="AA16" s="31">
        <f>'TUSD BE'!$AA$16*'TUSD BF'!$AA$58</f>
        <v>0</v>
      </c>
      <c r="AB16" s="31">
        <f>SUM($U$16:$AA$16)</f>
        <v>0</v>
      </c>
      <c r="AC16" s="31">
        <f>'TUSD BE'!$AC$16*'TUSD BF'!$AC$58</f>
        <v>0</v>
      </c>
      <c r="AD16" s="31">
        <f>SUM($AC$16:$AC$16)</f>
        <v>0</v>
      </c>
      <c r="AE16" s="31">
        <f ca="1">$AO$16*$AO$55</f>
        <v>0</v>
      </c>
      <c r="AF16" s="31">
        <f ca="1">$AP$16*$AP$55</f>
        <v>0</v>
      </c>
      <c r="AG16" s="31">
        <f ca="1">SUM($AE$16:$AF$16)</f>
        <v>0</v>
      </c>
      <c r="AH16" s="31">
        <f>'TUSD BE'!$AH$16*'TUSD BF'!$AH$58</f>
        <v>0</v>
      </c>
      <c r="AI16" s="31">
        <f>'TUSD BE'!$AI$16*'TUSD BF'!$AI$58</f>
        <v>0</v>
      </c>
      <c r="AJ16" s="31">
        <f ca="1">'TUSD BE'!$AJ$16*'TUSD BF'!$AJ$58</f>
        <v>0</v>
      </c>
      <c r="AK16" s="31">
        <f ca="1">'TUSD BE'!$AK$16*'TUSD BF'!$AK$58</f>
        <v>0</v>
      </c>
      <c r="AL16" s="31">
        <f ca="1">SUM($AH$16:$AK$16)</f>
        <v>0</v>
      </c>
      <c r="AM16" s="31">
        <f ca="1">SUMIF($L$4:$AL$4,"SUBTOTAL",$L$16:$AL$16)</f>
        <v>0</v>
      </c>
      <c r="AO16" s="59">
        <f ca="1">+'TUSD BE'!$T$16+'TUSD BE'!$AB$16+'TUSD BE'!$AD$16+'TUSD BE'!$AL$16</f>
        <v>14.760563710962762</v>
      </c>
      <c r="AP16" s="59">
        <f ca="1">+'TUSD BE'!$T$16+'TUSD BE'!$AB$16+'TUSD BE'!$AD$16+'TUSD BE'!$AL$16</f>
        <v>14.760563710962762</v>
      </c>
    </row>
    <row r="17" spans="1:42" ht="11.25" customHeight="1" x14ac:dyDescent="0.25">
      <c r="A17" s="149" t="s">
        <v>22</v>
      </c>
      <c r="B17" s="149" t="s">
        <v>50</v>
      </c>
      <c r="C17" s="149" t="s">
        <v>24</v>
      </c>
      <c r="D17" s="149" t="s">
        <v>24</v>
      </c>
      <c r="E17" s="149" t="s">
        <v>25</v>
      </c>
      <c r="F17" s="149" t="s">
        <v>25</v>
      </c>
      <c r="G17" s="57" t="s">
        <v>75</v>
      </c>
      <c r="H17" s="57" t="s">
        <v>74</v>
      </c>
      <c r="I17" s="57">
        <f>'MERCADO TUSD'!$U$14</f>
        <v>0</v>
      </c>
      <c r="J17" s="15"/>
      <c r="L17" s="31">
        <f>'TUSD BE'!$L$17*'TUSD BF'!$L$58</f>
        <v>0</v>
      </c>
      <c r="M17" s="31">
        <f>'TUSD BE'!$M$17*'TUSD BF'!$M$58</f>
        <v>0</v>
      </c>
      <c r="N17" s="31">
        <f ca="1">'TUSD BE'!$N$17*'TUSD BF'!$N$58</f>
        <v>0</v>
      </c>
      <c r="O17" s="31">
        <f>'TUSD BE'!$O$17*'TUSD BF'!$O$58</f>
        <v>0</v>
      </c>
      <c r="P17" s="31">
        <f>'TUSD BE'!$P$17*'TUSD BF'!$P$58</f>
        <v>0</v>
      </c>
      <c r="Q17" s="31">
        <f>'TUSD BE'!$Q$17*'TUSD BF'!$Q$58</f>
        <v>20.433001309297889</v>
      </c>
      <c r="R17" s="31">
        <f>'TUSD BE'!$R$17*'TUSD BF'!$R$58</f>
        <v>3.8853520350815653</v>
      </c>
      <c r="S17" s="31">
        <f>'TUSD BE'!$R$17*'TUSD BF'!$S$58</f>
        <v>0</v>
      </c>
      <c r="T17" s="31">
        <f ca="1">SUM($L$17:$S$17)</f>
        <v>24.318353344379453</v>
      </c>
      <c r="U17" s="31">
        <f>'TUSD BE'!$U$17*'TUSD BF'!$U$58</f>
        <v>0</v>
      </c>
      <c r="V17" s="31">
        <f>'TUSD BE'!$V$17*'TUSD BF'!$V$58</f>
        <v>0</v>
      </c>
      <c r="W17" s="31">
        <f>'TUSD BE'!$W$17*'TUSD BF'!$W$58</f>
        <v>0</v>
      </c>
      <c r="X17" s="31">
        <f>'TUSD BE'!$X$17*'TUSD BF'!$X$58</f>
        <v>0</v>
      </c>
      <c r="Y17" s="31">
        <f>'TUSD BE'!$Y$17*'TUSD BF'!$Y$58</f>
        <v>0</v>
      </c>
      <c r="Z17" s="31">
        <f>'TUSD BE'!$Z$17*'TUSD BF'!$Z$58</f>
        <v>0</v>
      </c>
      <c r="AA17" s="31">
        <f>'TUSD BE'!$AA$17*'TUSD BF'!$AA$58</f>
        <v>0</v>
      </c>
      <c r="AB17" s="31">
        <f>SUM($U$17:$AA$17)</f>
        <v>0</v>
      </c>
      <c r="AC17" s="31">
        <f>'TUSD BE'!$AC$17*'TUSD BF'!$AC$58</f>
        <v>0</v>
      </c>
      <c r="AD17" s="31">
        <f>SUM($AC$17:$AC$17)</f>
        <v>0</v>
      </c>
      <c r="AE17" s="31">
        <f ca="1">$AO$17*$AO$55</f>
        <v>0</v>
      </c>
      <c r="AF17" s="31">
        <f ca="1">$AP$17*$AP$55</f>
        <v>0</v>
      </c>
      <c r="AG17" s="31">
        <f ca="1">SUM($AE$17:$AF$17)</f>
        <v>0</v>
      </c>
      <c r="AH17" s="31">
        <f>'TUSD BE'!$AH$17*'TUSD BF'!$AH$58</f>
        <v>-4.0246121917318092E-2</v>
      </c>
      <c r="AI17" s="31">
        <f>'TUSD BE'!$AI$17*'TUSD BF'!$AI$58</f>
        <v>-8.7075403742267353E-4</v>
      </c>
      <c r="AJ17" s="31">
        <f ca="1">'TUSD BE'!$AJ$17*'TUSD BF'!$AJ$58</f>
        <v>-6.9732094475926266E-4</v>
      </c>
      <c r="AK17" s="31">
        <f ca="1">'TUSD BE'!$AK$17*'TUSD BF'!$AK$58</f>
        <v>0</v>
      </c>
      <c r="AL17" s="31">
        <f ca="1">SUM($AH$17:$AK$17)</f>
        <v>-4.1814196899500028E-2</v>
      </c>
      <c r="AM17" s="31">
        <f ca="1">SUMIF($L$4:$AL$4,"SUBTOTAL",$L$17:$AL$17)</f>
        <v>24.276539147479951</v>
      </c>
      <c r="AO17" s="59">
        <f ca="1">+'TUSD BE'!$T$17+'TUSD BE'!$AB$17+'TUSD BE'!$AD$17+'TUSD BE'!$AL$17</f>
        <v>901.09853266375694</v>
      </c>
      <c r="AP17" s="59">
        <f ca="1">+'TUSD BE'!$T$17+'TUSD BE'!$AB$17+'TUSD BE'!$AD$17+'TUSD BE'!$AL$17</f>
        <v>901.09853266375694</v>
      </c>
    </row>
    <row r="18" spans="1:42" ht="11.25" customHeight="1" x14ac:dyDescent="0.25">
      <c r="A18" s="149"/>
      <c r="B18" s="149"/>
      <c r="C18" s="149"/>
      <c r="D18" s="149"/>
      <c r="E18" s="149"/>
      <c r="F18" s="149"/>
      <c r="G18" s="57" t="s">
        <v>87</v>
      </c>
      <c r="H18" s="57" t="s">
        <v>74</v>
      </c>
      <c r="I18" s="57">
        <f>'MERCADO TUSD'!$U$15</f>
        <v>0</v>
      </c>
      <c r="J18" s="15"/>
      <c r="L18" s="31">
        <f>'TUSD BE'!$L$18*'TUSD BF'!$L$58</f>
        <v>0</v>
      </c>
      <c r="M18" s="31">
        <f>'TUSD BE'!$M$18*'TUSD BF'!$M$58</f>
        <v>0</v>
      </c>
      <c r="N18" s="31">
        <f ca="1">'TUSD BE'!$N$18*'TUSD BF'!$N$58</f>
        <v>0</v>
      </c>
      <c r="O18" s="31">
        <f>'TUSD BE'!$O$18*'TUSD BF'!$O$58</f>
        <v>0</v>
      </c>
      <c r="P18" s="31">
        <f>'TUSD BE'!$P$18*'TUSD BF'!$P$58</f>
        <v>0</v>
      </c>
      <c r="Q18" s="31">
        <f>'TUSD BE'!$Q$18*'TUSD BF'!$Q$58</f>
        <v>20.433001309297889</v>
      </c>
      <c r="R18" s="31">
        <f>'TUSD BE'!$R$18*'TUSD BF'!$R$58</f>
        <v>3.8853520350815653</v>
      </c>
      <c r="S18" s="31">
        <f>'TUSD BE'!$R$18*'TUSD BF'!$S$58</f>
        <v>0</v>
      </c>
      <c r="T18" s="31">
        <f ca="1">SUM($L$18:$S$18)</f>
        <v>24.318353344379453</v>
      </c>
      <c r="U18" s="31">
        <f>'TUSD BE'!$U$18*'TUSD BF'!$U$58</f>
        <v>0</v>
      </c>
      <c r="V18" s="31">
        <f>'TUSD BE'!$V$18*'TUSD BF'!$V$58</f>
        <v>0</v>
      </c>
      <c r="W18" s="31">
        <f>'TUSD BE'!$W$18*'TUSD BF'!$W$58</f>
        <v>0</v>
      </c>
      <c r="X18" s="31">
        <f>'TUSD BE'!$X$18*'TUSD BF'!$X$58</f>
        <v>0</v>
      </c>
      <c r="Y18" s="31">
        <f>'TUSD BE'!$Y$18*'TUSD BF'!$Y$58</f>
        <v>0</v>
      </c>
      <c r="Z18" s="31">
        <f>'TUSD BE'!$Z$18*'TUSD BF'!$Z$58</f>
        <v>0</v>
      </c>
      <c r="AA18" s="31">
        <f>'TUSD BE'!$AA$18*'TUSD BF'!$AA$58</f>
        <v>0</v>
      </c>
      <c r="AB18" s="31">
        <f>SUM($U$18:$AA$18)</f>
        <v>0</v>
      </c>
      <c r="AC18" s="31">
        <f>'TUSD BE'!$AC$18*'TUSD BF'!$AC$58</f>
        <v>0</v>
      </c>
      <c r="AD18" s="31">
        <f>SUM($AC$18:$AC$18)</f>
        <v>0</v>
      </c>
      <c r="AE18" s="31">
        <f ca="1">$AO$18*$AO$55</f>
        <v>0</v>
      </c>
      <c r="AF18" s="31">
        <f ca="1">$AP$18*$AP$55</f>
        <v>0</v>
      </c>
      <c r="AG18" s="31">
        <f ca="1">SUM($AE$18:$AF$18)</f>
        <v>0</v>
      </c>
      <c r="AH18" s="31">
        <f>'TUSD BE'!$AH$18*'TUSD BF'!$AH$58</f>
        <v>-4.0246121917318092E-2</v>
      </c>
      <c r="AI18" s="31">
        <f>'TUSD BE'!$AI$18*'TUSD BF'!$AI$58</f>
        <v>-8.7075403742267353E-4</v>
      </c>
      <c r="AJ18" s="31">
        <f ca="1">'TUSD BE'!$AJ$18*'TUSD BF'!$AJ$58</f>
        <v>-6.9732094475926266E-4</v>
      </c>
      <c r="AK18" s="31">
        <f ca="1">'TUSD BE'!$AK$18*'TUSD BF'!$AK$58</f>
        <v>0</v>
      </c>
      <c r="AL18" s="31">
        <f ca="1">SUM($AH$18:$AK$18)</f>
        <v>-4.1814196899500028E-2</v>
      </c>
      <c r="AM18" s="31">
        <f ca="1">SUMIF($L$4:$AL$4,"SUBTOTAL",$L$18:$AL$18)</f>
        <v>24.276539147479951</v>
      </c>
      <c r="AO18" s="59">
        <f ca="1">+'TUSD BE'!$T$18+'TUSD BE'!$AB$18+'TUSD BE'!$AD$18+'TUSD BE'!$AL$18</f>
        <v>590.37043496150977</v>
      </c>
      <c r="AP18" s="59">
        <f ca="1">+'TUSD BE'!$T$18+'TUSD BE'!$AB$18+'TUSD BE'!$AD$18+'TUSD BE'!$AL$18</f>
        <v>590.37043496150977</v>
      </c>
    </row>
    <row r="19" spans="1:42" ht="11.25" customHeight="1" x14ac:dyDescent="0.25">
      <c r="A19" s="149"/>
      <c r="B19" s="149"/>
      <c r="C19" s="149"/>
      <c r="D19" s="149"/>
      <c r="E19" s="149"/>
      <c r="F19" s="149"/>
      <c r="G19" s="57" t="s">
        <v>76</v>
      </c>
      <c r="H19" s="57" t="s">
        <v>74</v>
      </c>
      <c r="I19" s="57">
        <f>'MERCADO TUSD'!$U$16</f>
        <v>0</v>
      </c>
      <c r="J19" s="15"/>
      <c r="L19" s="31">
        <f>'TUSD BE'!$L$19*'TUSD BF'!$L$58</f>
        <v>0</v>
      </c>
      <c r="M19" s="31">
        <f>'TUSD BE'!$M$19*'TUSD BF'!$M$58</f>
        <v>0</v>
      </c>
      <c r="N19" s="31">
        <f ca="1">'TUSD BE'!$N$19*'TUSD BF'!$N$58</f>
        <v>0</v>
      </c>
      <c r="O19" s="31">
        <f>'TUSD BE'!$O$19*'TUSD BF'!$O$58</f>
        <v>0</v>
      </c>
      <c r="P19" s="31">
        <f>'TUSD BE'!$P$19*'TUSD BF'!$P$58</f>
        <v>0</v>
      </c>
      <c r="Q19" s="31">
        <f>'TUSD BE'!$Q$19*'TUSD BF'!$Q$58</f>
        <v>20.433001309297889</v>
      </c>
      <c r="R19" s="31">
        <f>'TUSD BE'!$R$19*'TUSD BF'!$R$58</f>
        <v>3.8853520350815653</v>
      </c>
      <c r="S19" s="31">
        <f>'TUSD BE'!$R$19*'TUSD BF'!$S$58</f>
        <v>0</v>
      </c>
      <c r="T19" s="31">
        <f ca="1">SUM($L$19:$S$19)</f>
        <v>24.318353344379453</v>
      </c>
      <c r="U19" s="31">
        <f>'TUSD BE'!$U$19*'TUSD BF'!$U$58</f>
        <v>0</v>
      </c>
      <c r="V19" s="31">
        <f>'TUSD BE'!$V$19*'TUSD BF'!$V$58</f>
        <v>0</v>
      </c>
      <c r="W19" s="31">
        <f>'TUSD BE'!$W$19*'TUSD BF'!$W$58</f>
        <v>0</v>
      </c>
      <c r="X19" s="31">
        <f>'TUSD BE'!$X$19*'TUSD BF'!$X$58</f>
        <v>0</v>
      </c>
      <c r="Y19" s="31">
        <f>'TUSD BE'!$Y$19*'TUSD BF'!$Y$58</f>
        <v>0</v>
      </c>
      <c r="Z19" s="31">
        <f>'TUSD BE'!$Z$19*'TUSD BF'!$Z$58</f>
        <v>0</v>
      </c>
      <c r="AA19" s="31">
        <f>'TUSD BE'!$AA$19*'TUSD BF'!$AA$58</f>
        <v>0</v>
      </c>
      <c r="AB19" s="31">
        <f>SUM($U$19:$AA$19)</f>
        <v>0</v>
      </c>
      <c r="AC19" s="31">
        <f>'TUSD BE'!$AC$19*'TUSD BF'!$AC$58</f>
        <v>0</v>
      </c>
      <c r="AD19" s="31">
        <f>SUM($AC$19:$AC$19)</f>
        <v>0</v>
      </c>
      <c r="AE19" s="31">
        <f ca="1">$AO$19*$AO$55</f>
        <v>0</v>
      </c>
      <c r="AF19" s="31">
        <f ca="1">$AP$19*$AP$55</f>
        <v>0</v>
      </c>
      <c r="AG19" s="31">
        <f ca="1">SUM($AE$19:$AF$19)</f>
        <v>0</v>
      </c>
      <c r="AH19" s="31">
        <f>'TUSD BE'!$AH$19*'TUSD BF'!$AH$58</f>
        <v>-4.0246121917318092E-2</v>
      </c>
      <c r="AI19" s="31">
        <f>'TUSD BE'!$AI$19*'TUSD BF'!$AI$58</f>
        <v>-8.7075403742267353E-4</v>
      </c>
      <c r="AJ19" s="31">
        <f ca="1">'TUSD BE'!$AJ$19*'TUSD BF'!$AJ$58</f>
        <v>-6.9732094475926266E-4</v>
      </c>
      <c r="AK19" s="31">
        <f ca="1">'TUSD BE'!$AK$19*'TUSD BF'!$AK$58</f>
        <v>0</v>
      </c>
      <c r="AL19" s="31">
        <f ca="1">SUM($AH$19:$AK$19)</f>
        <v>-4.1814196899500028E-2</v>
      </c>
      <c r="AM19" s="31">
        <f ca="1">SUMIF($L$4:$AL$4,"SUBTOTAL",$L$19:$AL$19)</f>
        <v>24.276539147479951</v>
      </c>
      <c r="AO19" s="59">
        <f ca="1">+'TUSD BE'!$T$19+'TUSD BE'!$AB$19+'TUSD BE'!$AD$19+'TUSD BE'!$AL$19</f>
        <v>279.6422327334987</v>
      </c>
      <c r="AP19" s="59">
        <f ca="1">+'TUSD BE'!$T$19+'TUSD BE'!$AB$19+'TUSD BE'!$AD$19+'TUSD BE'!$AL$19</f>
        <v>279.6422327334987</v>
      </c>
    </row>
    <row r="20" spans="1:42" ht="11.25" customHeight="1" x14ac:dyDescent="0.25">
      <c r="A20" s="149"/>
      <c r="B20" s="149" t="s">
        <v>23</v>
      </c>
      <c r="C20" s="149" t="s">
        <v>24</v>
      </c>
      <c r="D20" s="56" t="s">
        <v>24</v>
      </c>
      <c r="E20" s="56" t="s">
        <v>25</v>
      </c>
      <c r="F20" s="56" t="s">
        <v>25</v>
      </c>
      <c r="G20" s="57" t="s">
        <v>78</v>
      </c>
      <c r="H20" s="57" t="s">
        <v>74</v>
      </c>
      <c r="I20" s="57">
        <f>'MERCADO TUSD'!$U$17</f>
        <v>67923.810000000012</v>
      </c>
      <c r="J20" s="15"/>
      <c r="L20" s="31">
        <f>'TUSD BE'!$L$20*'TUSD BF'!$L$58</f>
        <v>0</v>
      </c>
      <c r="M20" s="31">
        <f>'TUSD BE'!$M$20*'TUSD BF'!$M$58</f>
        <v>0</v>
      </c>
      <c r="N20" s="31">
        <f ca="1">'TUSD BE'!$N$20*'TUSD BF'!$N$58</f>
        <v>0</v>
      </c>
      <c r="O20" s="31">
        <f>'TUSD BE'!$O$20*'TUSD BF'!$O$58</f>
        <v>0</v>
      </c>
      <c r="P20" s="31">
        <f>'TUSD BE'!$P$20*'TUSD BF'!$P$58</f>
        <v>0</v>
      </c>
      <c r="Q20" s="31">
        <f>'TUSD BE'!$Q$20*'TUSD BF'!$Q$58</f>
        <v>20.433001309297889</v>
      </c>
      <c r="R20" s="31">
        <f>'TUSD BE'!$R$20*'TUSD BF'!$R$58</f>
        <v>3.8853520350815653</v>
      </c>
      <c r="S20" s="31">
        <f>'TUSD BE'!$R$20*'TUSD BF'!$S$58</f>
        <v>0</v>
      </c>
      <c r="T20" s="31">
        <f ca="1">SUM($L$20:$S$20)</f>
        <v>24.318353344379453</v>
      </c>
      <c r="U20" s="31">
        <f>'TUSD BE'!$U$20*'TUSD BF'!$U$58</f>
        <v>0</v>
      </c>
      <c r="V20" s="31">
        <f>'TUSD BE'!$V$20*'TUSD BF'!$V$58</f>
        <v>0</v>
      </c>
      <c r="W20" s="31">
        <f>'TUSD BE'!$W$20*'TUSD BF'!$W$58</f>
        <v>0</v>
      </c>
      <c r="X20" s="31">
        <f>'TUSD BE'!$X$20*'TUSD BF'!$X$58</f>
        <v>0</v>
      </c>
      <c r="Y20" s="31">
        <f>'TUSD BE'!$Y$20*'TUSD BF'!$Y$58</f>
        <v>0</v>
      </c>
      <c r="Z20" s="31">
        <f>'TUSD BE'!$Z$20*'TUSD BF'!$Z$58</f>
        <v>0</v>
      </c>
      <c r="AA20" s="31">
        <f>'TUSD BE'!$AA$20*'TUSD BF'!$AA$58</f>
        <v>0</v>
      </c>
      <c r="AB20" s="31">
        <f>SUM($U$20:$AA$20)</f>
        <v>0</v>
      </c>
      <c r="AC20" s="31">
        <f>'TUSD BE'!$AC$20*'TUSD BF'!$AC$58</f>
        <v>0</v>
      </c>
      <c r="AD20" s="31">
        <f>SUM($AC$20:$AC$20)</f>
        <v>0</v>
      </c>
      <c r="AE20" s="31">
        <f ca="1">$AO$20*$AO$55</f>
        <v>0</v>
      </c>
      <c r="AF20" s="31">
        <f ca="1">$AP$20*$AP$55</f>
        <v>0</v>
      </c>
      <c r="AG20" s="31">
        <f ca="1">SUM($AE$20:$AF$20)</f>
        <v>0</v>
      </c>
      <c r="AH20" s="31">
        <f>'TUSD BE'!$AH$20*'TUSD BF'!$AH$58</f>
        <v>-4.0246121917318092E-2</v>
      </c>
      <c r="AI20" s="31">
        <f>'TUSD BE'!$AI$20*'TUSD BF'!$AI$58</f>
        <v>-8.7075403742267353E-4</v>
      </c>
      <c r="AJ20" s="31">
        <f ca="1">'TUSD BE'!$AJ$20*'TUSD BF'!$AJ$58</f>
        <v>-6.9732094475926266E-4</v>
      </c>
      <c r="AK20" s="31">
        <f ca="1">'TUSD BE'!$AK$20*'TUSD BF'!$AK$58</f>
        <v>0</v>
      </c>
      <c r="AL20" s="31">
        <f ca="1">SUM($AH$20:$AK$20)</f>
        <v>-4.1814196899500028E-2</v>
      </c>
      <c r="AM20" s="31">
        <f ca="1">SUMIF($L$4:$AL$4,"SUBTOTAL",$L$20:$AL$20)</f>
        <v>24.276539147479951</v>
      </c>
      <c r="AO20" s="59">
        <f ca="1">+'TUSD BE'!$T$20+'TUSD BE'!$AB$20+'TUSD BE'!$AD$20+'TUSD BE'!$AL$20</f>
        <v>396.8467543887827</v>
      </c>
      <c r="AP20" s="59">
        <f ca="1">+'TUSD BE'!$T$20+'TUSD BE'!$AB$20+'TUSD BE'!$AD$20+'TUSD BE'!$AL$20</f>
        <v>396.8467543887827</v>
      </c>
    </row>
    <row r="21" spans="1:42" ht="11.25" customHeight="1" x14ac:dyDescent="0.25">
      <c r="A21" s="149"/>
      <c r="B21" s="149"/>
      <c r="C21" s="149"/>
      <c r="D21" s="56" t="s">
        <v>29</v>
      </c>
      <c r="E21" s="56" t="s">
        <v>25</v>
      </c>
      <c r="F21" s="56" t="s">
        <v>25</v>
      </c>
      <c r="G21" s="57" t="s">
        <v>78</v>
      </c>
      <c r="H21" s="57" t="s">
        <v>74</v>
      </c>
      <c r="I21" s="57">
        <f>'MERCADO TUSD'!$U$18</f>
        <v>515.52700000000004</v>
      </c>
      <c r="J21" s="15"/>
      <c r="L21" s="31">
        <f>'TUSD BE'!$L$21*'TUSD BF'!$L$58</f>
        <v>0</v>
      </c>
      <c r="M21" s="31">
        <f>'TUSD BE'!$M$21*'TUSD BF'!$M$58</f>
        <v>0</v>
      </c>
      <c r="N21" s="31">
        <f ca="1">'TUSD BE'!$N$21*'TUSD BF'!$N$58</f>
        <v>0</v>
      </c>
      <c r="O21" s="31">
        <f>'TUSD BE'!$O$21*'TUSD BF'!$O$58</f>
        <v>0</v>
      </c>
      <c r="P21" s="31">
        <f>'TUSD BE'!$P$21*'TUSD BF'!$P$58</f>
        <v>0</v>
      </c>
      <c r="Q21" s="31">
        <f>'TUSD BE'!$Q$21*'TUSD BF'!$Q$58</f>
        <v>0</v>
      </c>
      <c r="R21" s="31">
        <f>'TUSD BE'!$R$21*'TUSD BF'!$R$58</f>
        <v>0</v>
      </c>
      <c r="S21" s="31">
        <f>'TUSD BE'!$R$21*'TUSD BF'!$S$58</f>
        <v>0</v>
      </c>
      <c r="T21" s="31">
        <f ca="1">SUM($L$21:$S$21)</f>
        <v>0</v>
      </c>
      <c r="U21" s="31">
        <f>'TUSD BE'!$U$21*'TUSD BF'!$U$58</f>
        <v>0</v>
      </c>
      <c r="V21" s="31">
        <f>'TUSD BE'!$V$21*'TUSD BF'!$V$58</f>
        <v>0</v>
      </c>
      <c r="W21" s="31">
        <f>'TUSD BE'!$W$21*'TUSD BF'!$W$58</f>
        <v>0</v>
      </c>
      <c r="X21" s="31">
        <f>'TUSD BE'!$X$21*'TUSD BF'!$X$58</f>
        <v>0</v>
      </c>
      <c r="Y21" s="31">
        <f>'TUSD BE'!$Y$21*'TUSD BF'!$Y$58</f>
        <v>0</v>
      </c>
      <c r="Z21" s="31">
        <f>'TUSD BE'!$Z$21*'TUSD BF'!$Z$58</f>
        <v>0</v>
      </c>
      <c r="AA21" s="31">
        <f>'TUSD BE'!$AA$21*'TUSD BF'!$AA$58</f>
        <v>0</v>
      </c>
      <c r="AB21" s="31">
        <f>SUM($U$21:$AA$21)</f>
        <v>0</v>
      </c>
      <c r="AC21" s="31">
        <f>'TUSD BE'!$AC$21*'TUSD BF'!$AC$58</f>
        <v>0</v>
      </c>
      <c r="AD21" s="31">
        <f>SUM($AC$21:$AC$21)</f>
        <v>0</v>
      </c>
      <c r="AE21" s="31">
        <f ca="1">$AO$21*$AO$55</f>
        <v>0</v>
      </c>
      <c r="AF21" s="31">
        <f ca="1">$AP$21*$AP$55</f>
        <v>0</v>
      </c>
      <c r="AG21" s="31">
        <f ca="1">SUM($AE$21:$AF$21)</f>
        <v>0</v>
      </c>
      <c r="AH21" s="31">
        <f>'TUSD BE'!$AH$21*'TUSD BF'!$AH$58</f>
        <v>-4.0246121917318092E-2</v>
      </c>
      <c r="AI21" s="31">
        <f>'TUSD BE'!$AI$21*'TUSD BF'!$AI$58</f>
        <v>-8.7075403742267353E-4</v>
      </c>
      <c r="AJ21" s="31">
        <f ca="1">'TUSD BE'!$AJ$21*'TUSD BF'!$AJ$58</f>
        <v>-6.9732094475926266E-4</v>
      </c>
      <c r="AK21" s="31">
        <f ca="1">'TUSD BE'!$AK$21*'TUSD BF'!$AK$58</f>
        <v>0</v>
      </c>
      <c r="AL21" s="31">
        <f ca="1">SUM($AH$21:$AK$21)</f>
        <v>-4.1814196899500028E-2</v>
      </c>
      <c r="AM21" s="31">
        <f ca="1">SUMIF($L$4:$AL$4,"SUBTOTAL",$L$21:$AL$21)</f>
        <v>-4.1814196899500028E-2</v>
      </c>
      <c r="AO21" s="59">
        <f ca="1">+'TUSD BE'!$T$21+'TUSD BE'!$AB$21+'TUSD BE'!$AD$21+'TUSD BE'!$AL$21</f>
        <v>293.38530838770379</v>
      </c>
      <c r="AP21" s="59">
        <f ca="1">+'TUSD BE'!$T$21+'TUSD BE'!$AB$21+'TUSD BE'!$AD$21+'TUSD BE'!$AL$21</f>
        <v>293.38530838770379</v>
      </c>
    </row>
    <row r="22" spans="1:42" ht="11.25" customHeight="1" x14ac:dyDescent="0.25">
      <c r="A22" s="149"/>
      <c r="B22" s="149"/>
      <c r="C22" s="149"/>
      <c r="D22" s="56" t="s">
        <v>30</v>
      </c>
      <c r="E22" s="56" t="s">
        <v>25</v>
      </c>
      <c r="F22" s="56" t="s">
        <v>25</v>
      </c>
      <c r="G22" s="57" t="s">
        <v>78</v>
      </c>
      <c r="H22" s="57" t="s">
        <v>74</v>
      </c>
      <c r="I22" s="57">
        <f>'MERCADO TUSD'!$U$19</f>
        <v>1078.232</v>
      </c>
      <c r="J22" s="15"/>
      <c r="L22" s="31">
        <f>'TUSD BE'!$L$22*'TUSD BF'!$L$58</f>
        <v>0</v>
      </c>
      <c r="M22" s="31">
        <f>'TUSD BE'!$M$22*'TUSD BF'!$M$58</f>
        <v>0</v>
      </c>
      <c r="N22" s="31">
        <f ca="1">'TUSD BE'!$N$22*'TUSD BF'!$N$58</f>
        <v>0</v>
      </c>
      <c r="O22" s="31">
        <f>'TUSD BE'!$O$22*'TUSD BF'!$O$58</f>
        <v>0</v>
      </c>
      <c r="P22" s="31">
        <f>'TUSD BE'!$P$22*'TUSD BF'!$P$58</f>
        <v>0</v>
      </c>
      <c r="Q22" s="31">
        <f>'TUSD BE'!$Q$22*'TUSD BF'!$Q$58</f>
        <v>0</v>
      </c>
      <c r="R22" s="31">
        <f>'TUSD BE'!$R$22*'TUSD BF'!$R$58</f>
        <v>0</v>
      </c>
      <c r="S22" s="31">
        <f>'TUSD BE'!$R$22*'TUSD BF'!$S$58</f>
        <v>0</v>
      </c>
      <c r="T22" s="31">
        <f ca="1">SUM($L$22:$S$22)</f>
        <v>0</v>
      </c>
      <c r="U22" s="31">
        <f>'TUSD BE'!$U$22*'TUSD BF'!$U$58</f>
        <v>0</v>
      </c>
      <c r="V22" s="31">
        <f>'TUSD BE'!$V$22*'TUSD BF'!$V$58</f>
        <v>0</v>
      </c>
      <c r="W22" s="31">
        <f>'TUSD BE'!$W$22*'TUSD BF'!$W$58</f>
        <v>0</v>
      </c>
      <c r="X22" s="31">
        <f>'TUSD BE'!$X$22*'TUSD BF'!$X$58</f>
        <v>0</v>
      </c>
      <c r="Y22" s="31">
        <f>'TUSD BE'!$Y$22*'TUSD BF'!$Y$58</f>
        <v>0</v>
      </c>
      <c r="Z22" s="31">
        <f>'TUSD BE'!$Z$22*'TUSD BF'!$Z$58</f>
        <v>0</v>
      </c>
      <c r="AA22" s="31">
        <f>'TUSD BE'!$AA$22*'TUSD BF'!$AA$58</f>
        <v>0</v>
      </c>
      <c r="AB22" s="31">
        <f>SUM($U$22:$AA$22)</f>
        <v>0</v>
      </c>
      <c r="AC22" s="31">
        <f>'TUSD BE'!$AC$22*'TUSD BF'!$AC$58</f>
        <v>0</v>
      </c>
      <c r="AD22" s="31">
        <f>SUM($AC$22:$AC$22)</f>
        <v>0</v>
      </c>
      <c r="AE22" s="31">
        <f ca="1">$AO$22*$AO$55</f>
        <v>0</v>
      </c>
      <c r="AF22" s="31">
        <f ca="1">$AP$22*$AP$55</f>
        <v>0</v>
      </c>
      <c r="AG22" s="31">
        <f ca="1">SUM($AE$22:$AF$22)</f>
        <v>0</v>
      </c>
      <c r="AH22" s="31">
        <f>'TUSD BE'!$AH$22*'TUSD BF'!$AH$58</f>
        <v>-4.0246121917318092E-2</v>
      </c>
      <c r="AI22" s="31">
        <f>'TUSD BE'!$AI$22*'TUSD BF'!$AI$58</f>
        <v>-8.7075403742267353E-4</v>
      </c>
      <c r="AJ22" s="31">
        <f ca="1">'TUSD BE'!$AJ$22*'TUSD BF'!$AJ$58</f>
        <v>-6.9732094475926266E-4</v>
      </c>
      <c r="AK22" s="31">
        <f ca="1">'TUSD BE'!$AK$22*'TUSD BF'!$AK$58</f>
        <v>0</v>
      </c>
      <c r="AL22" s="31">
        <f ca="1">SUM($AH$22:$AK$22)</f>
        <v>-4.1814196899500028E-2</v>
      </c>
      <c r="AM22" s="31">
        <f ca="1">SUMIF($L$4:$AL$4,"SUBTOTAL",$L$22:$AL$22)</f>
        <v>-4.1814196899500028E-2</v>
      </c>
      <c r="AO22" s="59">
        <f ca="1">+'TUSD BE'!$T$22+'TUSD BE'!$AB$22+'TUSD BE'!$AD$22+'TUSD BE'!$AL$22</f>
        <v>293.38530838770379</v>
      </c>
      <c r="AP22" s="59">
        <f ca="1">+'TUSD BE'!$T$22+'TUSD BE'!$AB$22+'TUSD BE'!$AD$22+'TUSD BE'!$AL$22</f>
        <v>293.38530838770379</v>
      </c>
    </row>
    <row r="23" spans="1:42" ht="11.25" customHeight="1" x14ac:dyDescent="0.25">
      <c r="A23" s="149"/>
      <c r="B23" s="149"/>
      <c r="C23" s="149"/>
      <c r="D23" s="56" t="s">
        <v>31</v>
      </c>
      <c r="E23" s="56" t="s">
        <v>25</v>
      </c>
      <c r="F23" s="56" t="s">
        <v>25</v>
      </c>
      <c r="G23" s="57" t="s">
        <v>78</v>
      </c>
      <c r="H23" s="57" t="s">
        <v>74</v>
      </c>
      <c r="I23" s="57">
        <f>'MERCADO TUSD'!$U$20</f>
        <v>1111.8500000000001</v>
      </c>
      <c r="J23" s="15"/>
      <c r="L23" s="31">
        <f>'TUSD BE'!$L$23*'TUSD BF'!$L$58</f>
        <v>0</v>
      </c>
      <c r="M23" s="31">
        <f>'TUSD BE'!$M$23*'TUSD BF'!$M$58</f>
        <v>0</v>
      </c>
      <c r="N23" s="31">
        <f ca="1">'TUSD BE'!$N$23*'TUSD BF'!$N$58</f>
        <v>0</v>
      </c>
      <c r="O23" s="31">
        <f>'TUSD BE'!$O$23*'TUSD BF'!$O$58</f>
        <v>0</v>
      </c>
      <c r="P23" s="31">
        <f>'TUSD BE'!$P$23*'TUSD BF'!$P$58</f>
        <v>0</v>
      </c>
      <c r="Q23" s="31">
        <f>'TUSD BE'!$Q$23*'TUSD BF'!$Q$58</f>
        <v>0</v>
      </c>
      <c r="R23" s="31">
        <f>'TUSD BE'!$R$23*'TUSD BF'!$R$58</f>
        <v>0</v>
      </c>
      <c r="S23" s="31">
        <f>'TUSD BE'!$R$23*'TUSD BF'!$S$58</f>
        <v>0</v>
      </c>
      <c r="T23" s="31">
        <f ca="1">SUM($L$23:$S$23)</f>
        <v>0</v>
      </c>
      <c r="U23" s="31">
        <f>'TUSD BE'!$U$23*'TUSD BF'!$U$58</f>
        <v>0</v>
      </c>
      <c r="V23" s="31">
        <f>'TUSD BE'!$V$23*'TUSD BF'!$V$58</f>
        <v>0</v>
      </c>
      <c r="W23" s="31">
        <f>'TUSD BE'!$W$23*'TUSD BF'!$W$58</f>
        <v>0</v>
      </c>
      <c r="X23" s="31">
        <f>'TUSD BE'!$X$23*'TUSD BF'!$X$58</f>
        <v>0</v>
      </c>
      <c r="Y23" s="31">
        <f>'TUSD BE'!$Y$23*'TUSD BF'!$Y$58</f>
        <v>0</v>
      </c>
      <c r="Z23" s="31">
        <f>'TUSD BE'!$Z$23*'TUSD BF'!$Z$58</f>
        <v>0</v>
      </c>
      <c r="AA23" s="31">
        <f>'TUSD BE'!$AA$23*'TUSD BF'!$AA$58</f>
        <v>0</v>
      </c>
      <c r="AB23" s="31">
        <f>SUM($U$23:$AA$23)</f>
        <v>0</v>
      </c>
      <c r="AC23" s="31">
        <f>'TUSD BE'!$AC$23*'TUSD BF'!$AC$58</f>
        <v>0</v>
      </c>
      <c r="AD23" s="31">
        <f>SUM($AC$23:$AC$23)</f>
        <v>0</v>
      </c>
      <c r="AE23" s="31">
        <f ca="1">$AO$23*$AO$55</f>
        <v>0</v>
      </c>
      <c r="AF23" s="31">
        <f ca="1">$AP$23*$AP$55</f>
        <v>0</v>
      </c>
      <c r="AG23" s="31">
        <f ca="1">SUM($AE$23:$AF$23)</f>
        <v>0</v>
      </c>
      <c r="AH23" s="31">
        <f>'TUSD BE'!$AH$23*'TUSD BF'!$AH$58</f>
        <v>-4.0246121917318092E-2</v>
      </c>
      <c r="AI23" s="31">
        <f>'TUSD BE'!$AI$23*'TUSD BF'!$AI$58</f>
        <v>-8.7075403742267353E-4</v>
      </c>
      <c r="AJ23" s="31">
        <f ca="1">'TUSD BE'!$AJ$23*'TUSD BF'!$AJ$58</f>
        <v>-6.9732094475926266E-4</v>
      </c>
      <c r="AK23" s="31">
        <f ca="1">'TUSD BE'!$AK$23*'TUSD BF'!$AK$58</f>
        <v>0</v>
      </c>
      <c r="AL23" s="31">
        <f ca="1">SUM($AH$23:$AK$23)</f>
        <v>-4.1814196899500028E-2</v>
      </c>
      <c r="AM23" s="31">
        <f ca="1">SUMIF($L$4:$AL$4,"SUBTOTAL",$L$23:$AL$23)</f>
        <v>-4.1814196899500028E-2</v>
      </c>
      <c r="AO23" s="59">
        <f ca="1">+'TUSD BE'!$T$23+'TUSD BE'!$AB$23+'TUSD BE'!$AD$23+'TUSD BE'!$AL$23</f>
        <v>293.38530838770379</v>
      </c>
      <c r="AP23" s="59">
        <f ca="1">+'TUSD BE'!$T$23+'TUSD BE'!$AB$23+'TUSD BE'!$AD$23+'TUSD BE'!$AL$23</f>
        <v>293.38530838770379</v>
      </c>
    </row>
    <row r="24" spans="1:42" ht="11.25" customHeight="1" x14ac:dyDescent="0.25">
      <c r="A24" s="149"/>
      <c r="B24" s="149"/>
      <c r="C24" s="149"/>
      <c r="D24" s="56" t="s">
        <v>32</v>
      </c>
      <c r="E24" s="56" t="s">
        <v>25</v>
      </c>
      <c r="F24" s="56" t="s">
        <v>25</v>
      </c>
      <c r="G24" s="57" t="s">
        <v>78</v>
      </c>
      <c r="H24" s="57" t="s">
        <v>74</v>
      </c>
      <c r="I24" s="57">
        <f>'MERCADO TUSD'!$U$21</f>
        <v>453.86500000000007</v>
      </c>
      <c r="J24" s="15"/>
      <c r="L24" s="31">
        <f>'TUSD BE'!$L$24*'TUSD BF'!$L$58</f>
        <v>0</v>
      </c>
      <c r="M24" s="31">
        <f>'TUSD BE'!$M$24*'TUSD BF'!$M$58</f>
        <v>0</v>
      </c>
      <c r="N24" s="31">
        <f ca="1">'TUSD BE'!$N$24*'TUSD BF'!$N$58</f>
        <v>0</v>
      </c>
      <c r="O24" s="31">
        <f>'TUSD BE'!$O$24*'TUSD BF'!$O$58</f>
        <v>0</v>
      </c>
      <c r="P24" s="31">
        <f>'TUSD BE'!$P$24*'TUSD BF'!$P$58</f>
        <v>0</v>
      </c>
      <c r="Q24" s="31">
        <f>'TUSD BE'!$Q$24*'TUSD BF'!$Q$58</f>
        <v>0</v>
      </c>
      <c r="R24" s="31">
        <f>'TUSD BE'!$R$24*'TUSD BF'!$R$58</f>
        <v>0</v>
      </c>
      <c r="S24" s="31">
        <f>'TUSD BE'!$R$24*'TUSD BF'!$S$58</f>
        <v>0</v>
      </c>
      <c r="T24" s="31">
        <f ca="1">SUM($L$24:$S$24)</f>
        <v>0</v>
      </c>
      <c r="U24" s="31">
        <f>'TUSD BE'!$U$24*'TUSD BF'!$U$58</f>
        <v>0</v>
      </c>
      <c r="V24" s="31">
        <f>'TUSD BE'!$V$24*'TUSD BF'!$V$58</f>
        <v>0</v>
      </c>
      <c r="W24" s="31">
        <f>'TUSD BE'!$W$24*'TUSD BF'!$W$58</f>
        <v>0</v>
      </c>
      <c r="X24" s="31">
        <f>'TUSD BE'!$X$24*'TUSD BF'!$X$58</f>
        <v>0</v>
      </c>
      <c r="Y24" s="31">
        <f>'TUSD BE'!$Y$24*'TUSD BF'!$Y$58</f>
        <v>0</v>
      </c>
      <c r="Z24" s="31">
        <f>'TUSD BE'!$Z$24*'TUSD BF'!$Z$58</f>
        <v>0</v>
      </c>
      <c r="AA24" s="31">
        <f>'TUSD BE'!$AA$24*'TUSD BF'!$AA$58</f>
        <v>0</v>
      </c>
      <c r="AB24" s="31">
        <f>SUM($U$24:$AA$24)</f>
        <v>0</v>
      </c>
      <c r="AC24" s="31">
        <f>'TUSD BE'!$AC$24*'TUSD BF'!$AC$58</f>
        <v>0</v>
      </c>
      <c r="AD24" s="31">
        <f>SUM($AC$24:$AC$24)</f>
        <v>0</v>
      </c>
      <c r="AE24" s="31">
        <f ca="1">$AO$24*$AO$55</f>
        <v>0</v>
      </c>
      <c r="AF24" s="31">
        <f ca="1">$AP$24*$AP$55</f>
        <v>0</v>
      </c>
      <c r="AG24" s="31">
        <f ca="1">SUM($AE$24:$AF$24)</f>
        <v>0</v>
      </c>
      <c r="AH24" s="31">
        <f>'TUSD BE'!$AH$24*'TUSD BF'!$AH$58</f>
        <v>-4.0246121917318092E-2</v>
      </c>
      <c r="AI24" s="31">
        <f>'TUSD BE'!$AI$24*'TUSD BF'!$AI$58</f>
        <v>-8.7075403742267353E-4</v>
      </c>
      <c r="AJ24" s="31">
        <f ca="1">'TUSD BE'!$AJ$24*'TUSD BF'!$AJ$58</f>
        <v>-6.9732094475926266E-4</v>
      </c>
      <c r="AK24" s="31">
        <f ca="1">'TUSD BE'!$AK$24*'TUSD BF'!$AK$58</f>
        <v>0</v>
      </c>
      <c r="AL24" s="31">
        <f ca="1">SUM($AH$24:$AK$24)</f>
        <v>-4.1814196899500028E-2</v>
      </c>
      <c r="AM24" s="31">
        <f ca="1">SUMIF($L$4:$AL$4,"SUBTOTAL",$L$24:$AL$24)</f>
        <v>-4.1814196899500028E-2</v>
      </c>
      <c r="AO24" s="59">
        <f ca="1">+'TUSD BE'!$T$24+'TUSD BE'!$AB$24+'TUSD BE'!$AD$24+'TUSD BE'!$AL$24</f>
        <v>293.38530838770379</v>
      </c>
      <c r="AP24" s="59">
        <f ca="1">+'TUSD BE'!$T$24+'TUSD BE'!$AB$24+'TUSD BE'!$AD$24+'TUSD BE'!$AL$24</f>
        <v>293.38530838770379</v>
      </c>
    </row>
    <row r="25" spans="1:42" ht="11.25" customHeight="1" x14ac:dyDescent="0.25">
      <c r="A25" s="149"/>
      <c r="B25" s="149" t="s">
        <v>89</v>
      </c>
      <c r="C25" s="149" t="s">
        <v>24</v>
      </c>
      <c r="D25" s="56" t="s">
        <v>24</v>
      </c>
      <c r="E25" s="56" t="s">
        <v>25</v>
      </c>
      <c r="F25" s="56" t="s">
        <v>25</v>
      </c>
      <c r="G25" s="57" t="s">
        <v>78</v>
      </c>
      <c r="H25" s="57" t="s">
        <v>74</v>
      </c>
      <c r="I25" s="57">
        <f>'MERCADO TUSD'!$U$22</f>
        <v>0</v>
      </c>
      <c r="J25" s="15"/>
      <c r="L25" s="31">
        <f>'TUSD BE'!$L$25*'TUSD BF'!$L$58</f>
        <v>0</v>
      </c>
      <c r="M25" s="31">
        <f>'TUSD BE'!$M$25*'TUSD BF'!$M$58</f>
        <v>0</v>
      </c>
      <c r="N25" s="31">
        <f ca="1">'TUSD BE'!$N$25*'TUSD BF'!$N$58</f>
        <v>0</v>
      </c>
      <c r="O25" s="31">
        <f>'TUSD BE'!$O$25*'TUSD BF'!$O$58</f>
        <v>0</v>
      </c>
      <c r="P25" s="31">
        <f>'TUSD BE'!$P$25*'TUSD BF'!$P$58</f>
        <v>0</v>
      </c>
      <c r="Q25" s="31">
        <f>'TUSD BE'!$Q$25*'TUSD BF'!$Q$58</f>
        <v>20.433001309297889</v>
      </c>
      <c r="R25" s="31">
        <f>'TUSD BE'!$R$25*'TUSD BF'!$R$58</f>
        <v>3.8853520350815653</v>
      </c>
      <c r="S25" s="31">
        <f>'TUSD BE'!$R$25*'TUSD BF'!$S$58</f>
        <v>0</v>
      </c>
      <c r="T25" s="31">
        <f ca="1">SUM($L$25:$S$25)</f>
        <v>24.318353344379453</v>
      </c>
      <c r="U25" s="31">
        <f>'TUSD BE'!$U$25*'TUSD BF'!$U$58</f>
        <v>0</v>
      </c>
      <c r="V25" s="31">
        <f>'TUSD BE'!$V$25*'TUSD BF'!$V$58</f>
        <v>0</v>
      </c>
      <c r="W25" s="31">
        <f>'TUSD BE'!$W$25*'TUSD BF'!$W$58</f>
        <v>0</v>
      </c>
      <c r="X25" s="31">
        <f>'TUSD BE'!$X$25*'TUSD BF'!$X$58</f>
        <v>0</v>
      </c>
      <c r="Y25" s="31">
        <f>'TUSD BE'!$Y$25*'TUSD BF'!$Y$58</f>
        <v>0</v>
      </c>
      <c r="Z25" s="31">
        <f>'TUSD BE'!$Z$25*'TUSD BF'!$Z$58</f>
        <v>0</v>
      </c>
      <c r="AA25" s="31">
        <f>'TUSD BE'!$AA$25*'TUSD BF'!$AA$58</f>
        <v>0</v>
      </c>
      <c r="AB25" s="31">
        <f>SUM($U$25:$AA$25)</f>
        <v>0</v>
      </c>
      <c r="AC25" s="31">
        <f>'TUSD BE'!$AC$25*'TUSD BF'!$AC$58</f>
        <v>0</v>
      </c>
      <c r="AD25" s="31">
        <f>SUM($AC$25:$AC$25)</f>
        <v>0</v>
      </c>
      <c r="AE25" s="31">
        <f ca="1">$AO$25*$AO$55</f>
        <v>0</v>
      </c>
      <c r="AF25" s="31">
        <f ca="1">$AP$25*$AP$55</f>
        <v>0</v>
      </c>
      <c r="AG25" s="31">
        <f ca="1">SUM($AE$25:$AF$25)</f>
        <v>0</v>
      </c>
      <c r="AH25" s="31">
        <f>'TUSD BE'!$AH$25*'TUSD BF'!$AH$58</f>
        <v>-4.0246121917318092E-2</v>
      </c>
      <c r="AI25" s="31">
        <f>'TUSD BE'!$AI$25*'TUSD BF'!$AI$58</f>
        <v>-8.7075403742267353E-4</v>
      </c>
      <c r="AJ25" s="31">
        <f ca="1">'TUSD BE'!$AJ$25*'TUSD BF'!$AJ$58</f>
        <v>-6.9732094475926266E-4</v>
      </c>
      <c r="AK25" s="31">
        <f ca="1">'TUSD BE'!$AK$25*'TUSD BF'!$AK$58</f>
        <v>0</v>
      </c>
      <c r="AL25" s="31">
        <f ca="1">SUM($AH$25:$AK$25)</f>
        <v>-4.1814196899500028E-2</v>
      </c>
      <c r="AM25" s="31">
        <f ca="1">SUMIF($L$4:$AL$4,"SUBTOTAL",$L$25:$AL$25)</f>
        <v>24.276539147479951</v>
      </c>
      <c r="AO25" s="59">
        <f ca="1">+'TUSD BE'!$T$25+'TUSD BE'!$AB$25+'TUSD BE'!$AD$25+'TUSD BE'!$AL$25</f>
        <v>396.8467543887827</v>
      </c>
      <c r="AP25" s="59">
        <f ca="1">+'TUSD BE'!$T$25+'TUSD BE'!$AB$25+'TUSD BE'!$AD$25+'TUSD BE'!$AL$25</f>
        <v>396.8467543887827</v>
      </c>
    </row>
    <row r="26" spans="1:42" ht="11.25" customHeight="1" x14ac:dyDescent="0.25">
      <c r="A26" s="149"/>
      <c r="B26" s="149"/>
      <c r="C26" s="149"/>
      <c r="D26" s="56" t="s">
        <v>29</v>
      </c>
      <c r="E26" s="56" t="s">
        <v>25</v>
      </c>
      <c r="F26" s="56" t="s">
        <v>25</v>
      </c>
      <c r="G26" s="57" t="s">
        <v>78</v>
      </c>
      <c r="H26" s="57" t="s">
        <v>74</v>
      </c>
      <c r="I26" s="57">
        <f>'MERCADO TUSD'!$U$23</f>
        <v>0</v>
      </c>
      <c r="J26" s="15"/>
      <c r="L26" s="31">
        <f>'TUSD BE'!$L$26*'TUSD BF'!$L$58</f>
        <v>0</v>
      </c>
      <c r="M26" s="31">
        <f>'TUSD BE'!$M$26*'TUSD BF'!$M$58</f>
        <v>0</v>
      </c>
      <c r="N26" s="31">
        <f ca="1">'TUSD BE'!$N$26*'TUSD BF'!$N$58</f>
        <v>0</v>
      </c>
      <c r="O26" s="31">
        <f>'TUSD BE'!$O$26*'TUSD BF'!$O$58</f>
        <v>0</v>
      </c>
      <c r="P26" s="31">
        <f>'TUSD BE'!$P$26*'TUSD BF'!$P$58</f>
        <v>0</v>
      </c>
      <c r="Q26" s="31">
        <f>'TUSD BE'!$Q$26*'TUSD BF'!$Q$58</f>
        <v>0</v>
      </c>
      <c r="R26" s="31">
        <f>'TUSD BE'!$R$26*'TUSD BF'!$R$58</f>
        <v>0</v>
      </c>
      <c r="S26" s="31">
        <f>'TUSD BE'!$R$26*'TUSD BF'!$S$58</f>
        <v>0</v>
      </c>
      <c r="T26" s="31">
        <f ca="1">SUM($L$26:$S$26)</f>
        <v>0</v>
      </c>
      <c r="U26" s="31">
        <f>'TUSD BE'!$U$26*'TUSD BF'!$U$58</f>
        <v>0</v>
      </c>
      <c r="V26" s="31">
        <f>'TUSD BE'!$V$26*'TUSD BF'!$V$58</f>
        <v>0</v>
      </c>
      <c r="W26" s="31">
        <f>'TUSD BE'!$W$26*'TUSD BF'!$W$58</f>
        <v>0</v>
      </c>
      <c r="X26" s="31">
        <f>'TUSD BE'!$X$26*'TUSD BF'!$X$58</f>
        <v>0</v>
      </c>
      <c r="Y26" s="31">
        <f>'TUSD BE'!$Y$26*'TUSD BF'!$Y$58</f>
        <v>0</v>
      </c>
      <c r="Z26" s="31">
        <f>'TUSD BE'!$Z$26*'TUSD BF'!$Z$58</f>
        <v>0</v>
      </c>
      <c r="AA26" s="31">
        <f>'TUSD BE'!$AA$26*'TUSD BF'!$AA$58</f>
        <v>0</v>
      </c>
      <c r="AB26" s="31">
        <f>SUM($U$26:$AA$26)</f>
        <v>0</v>
      </c>
      <c r="AC26" s="31">
        <f>'TUSD BE'!$AC$26*'TUSD BF'!$AC$58</f>
        <v>0</v>
      </c>
      <c r="AD26" s="31">
        <f>SUM($AC$26:$AC$26)</f>
        <v>0</v>
      </c>
      <c r="AE26" s="31">
        <f ca="1">$AO$26*$AO$55</f>
        <v>0</v>
      </c>
      <c r="AF26" s="31">
        <f ca="1">$AP$26*$AP$55</f>
        <v>0</v>
      </c>
      <c r="AG26" s="31">
        <f ca="1">SUM($AE$26:$AF$26)</f>
        <v>0</v>
      </c>
      <c r="AH26" s="31">
        <f>'TUSD BE'!$AH$26*'TUSD BF'!$AH$58</f>
        <v>-4.0246121917318092E-2</v>
      </c>
      <c r="AI26" s="31">
        <f>'TUSD BE'!$AI$26*'TUSD BF'!$AI$58</f>
        <v>-8.7075403742267353E-4</v>
      </c>
      <c r="AJ26" s="31">
        <f ca="1">'TUSD BE'!$AJ$26*'TUSD BF'!$AJ$58</f>
        <v>-6.9732094475926266E-4</v>
      </c>
      <c r="AK26" s="31">
        <f ca="1">'TUSD BE'!$AK$26*'TUSD BF'!$AK$58</f>
        <v>0</v>
      </c>
      <c r="AL26" s="31">
        <f ca="1">SUM($AH$26:$AK$26)</f>
        <v>-4.1814196899500028E-2</v>
      </c>
      <c r="AM26" s="31">
        <f ca="1">SUMIF($L$4:$AL$4,"SUBTOTAL",$L$26:$AL$26)</f>
        <v>-4.1814196899500028E-2</v>
      </c>
      <c r="AO26" s="59">
        <f ca="1">+'TUSD BE'!$T$26+'TUSD BE'!$AB$26+'TUSD BE'!$AD$26+'TUSD BE'!$AL$26</f>
        <v>293.38530838770379</v>
      </c>
      <c r="AP26" s="59">
        <f ca="1">+'TUSD BE'!$T$26+'TUSD BE'!$AB$26+'TUSD BE'!$AD$26+'TUSD BE'!$AL$26</f>
        <v>293.38530838770379</v>
      </c>
    </row>
    <row r="27" spans="1:42" ht="11.25" customHeight="1" x14ac:dyDescent="0.25">
      <c r="A27" s="149"/>
      <c r="B27" s="149"/>
      <c r="C27" s="149"/>
      <c r="D27" s="56" t="s">
        <v>30</v>
      </c>
      <c r="E27" s="56" t="s">
        <v>25</v>
      </c>
      <c r="F27" s="56" t="s">
        <v>25</v>
      </c>
      <c r="G27" s="57" t="s">
        <v>78</v>
      </c>
      <c r="H27" s="57" t="s">
        <v>74</v>
      </c>
      <c r="I27" s="57">
        <f>'MERCADO TUSD'!$U$24</f>
        <v>0</v>
      </c>
      <c r="J27" s="15"/>
      <c r="L27" s="31">
        <f>'TUSD BE'!$L$27*'TUSD BF'!$L$58</f>
        <v>0</v>
      </c>
      <c r="M27" s="31">
        <f>'TUSD BE'!$M$27*'TUSD BF'!$M$58</f>
        <v>0</v>
      </c>
      <c r="N27" s="31">
        <f ca="1">'TUSD BE'!$N$27*'TUSD BF'!$N$58</f>
        <v>0</v>
      </c>
      <c r="O27" s="31">
        <f>'TUSD BE'!$O$27*'TUSD BF'!$O$58</f>
        <v>0</v>
      </c>
      <c r="P27" s="31">
        <f>'TUSD BE'!$P$27*'TUSD BF'!$P$58</f>
        <v>0</v>
      </c>
      <c r="Q27" s="31">
        <f>'TUSD BE'!$Q$27*'TUSD BF'!$Q$58</f>
        <v>0</v>
      </c>
      <c r="R27" s="31">
        <f>'TUSD BE'!$R$27*'TUSD BF'!$R$58</f>
        <v>0</v>
      </c>
      <c r="S27" s="31">
        <f>'TUSD BE'!$R$27*'TUSD BF'!$S$58</f>
        <v>0</v>
      </c>
      <c r="T27" s="31">
        <f ca="1">SUM($L$27:$S$27)</f>
        <v>0</v>
      </c>
      <c r="U27" s="31">
        <f>'TUSD BE'!$U$27*'TUSD BF'!$U$58</f>
        <v>0</v>
      </c>
      <c r="V27" s="31">
        <f>'TUSD BE'!$V$27*'TUSD BF'!$V$58</f>
        <v>0</v>
      </c>
      <c r="W27" s="31">
        <f>'TUSD BE'!$W$27*'TUSD BF'!$W$58</f>
        <v>0</v>
      </c>
      <c r="X27" s="31">
        <f>'TUSD BE'!$X$27*'TUSD BF'!$X$58</f>
        <v>0</v>
      </c>
      <c r="Y27" s="31">
        <f>'TUSD BE'!$Y$27*'TUSD BF'!$Y$58</f>
        <v>0</v>
      </c>
      <c r="Z27" s="31">
        <f>'TUSD BE'!$Z$27*'TUSD BF'!$Z$58</f>
        <v>0</v>
      </c>
      <c r="AA27" s="31">
        <f>'TUSD BE'!$AA$27*'TUSD BF'!$AA$58</f>
        <v>0</v>
      </c>
      <c r="AB27" s="31">
        <f>SUM($U$27:$AA$27)</f>
        <v>0</v>
      </c>
      <c r="AC27" s="31">
        <f>'TUSD BE'!$AC$27*'TUSD BF'!$AC$58</f>
        <v>0</v>
      </c>
      <c r="AD27" s="31">
        <f>SUM($AC$27:$AC$27)</f>
        <v>0</v>
      </c>
      <c r="AE27" s="31">
        <f ca="1">$AO$27*$AO$55</f>
        <v>0</v>
      </c>
      <c r="AF27" s="31">
        <f ca="1">$AP$27*$AP$55</f>
        <v>0</v>
      </c>
      <c r="AG27" s="31">
        <f ca="1">SUM($AE$27:$AF$27)</f>
        <v>0</v>
      </c>
      <c r="AH27" s="31">
        <f>'TUSD BE'!$AH$27*'TUSD BF'!$AH$58</f>
        <v>-4.0246121917318092E-2</v>
      </c>
      <c r="AI27" s="31">
        <f>'TUSD BE'!$AI$27*'TUSD BF'!$AI$58</f>
        <v>-8.7075403742267353E-4</v>
      </c>
      <c r="AJ27" s="31">
        <f ca="1">'TUSD BE'!$AJ$27*'TUSD BF'!$AJ$58</f>
        <v>-6.9732094475926266E-4</v>
      </c>
      <c r="AK27" s="31">
        <f ca="1">'TUSD BE'!$AK$27*'TUSD BF'!$AK$58</f>
        <v>0</v>
      </c>
      <c r="AL27" s="31">
        <f ca="1">SUM($AH$27:$AK$27)</f>
        <v>-4.1814196899500028E-2</v>
      </c>
      <c r="AM27" s="31">
        <f ca="1">SUMIF($L$4:$AL$4,"SUBTOTAL",$L$27:$AL$27)</f>
        <v>-4.1814196899500028E-2</v>
      </c>
      <c r="AO27" s="59">
        <f ca="1">+'TUSD BE'!$T$27+'TUSD BE'!$AB$27+'TUSD BE'!$AD$27+'TUSD BE'!$AL$27</f>
        <v>293.38530838770379</v>
      </c>
      <c r="AP27" s="59">
        <f ca="1">+'TUSD BE'!$T$27+'TUSD BE'!$AB$27+'TUSD BE'!$AD$27+'TUSD BE'!$AL$27</f>
        <v>293.38530838770379</v>
      </c>
    </row>
    <row r="28" spans="1:42" ht="11.25" customHeight="1" x14ac:dyDescent="0.25">
      <c r="A28" s="149"/>
      <c r="B28" s="149"/>
      <c r="C28" s="149"/>
      <c r="D28" s="56" t="s">
        <v>31</v>
      </c>
      <c r="E28" s="56" t="s">
        <v>25</v>
      </c>
      <c r="F28" s="56" t="s">
        <v>25</v>
      </c>
      <c r="G28" s="57" t="s">
        <v>78</v>
      </c>
      <c r="H28" s="57" t="s">
        <v>74</v>
      </c>
      <c r="I28" s="57">
        <f>'MERCADO TUSD'!$U$25</f>
        <v>0</v>
      </c>
      <c r="J28" s="15"/>
      <c r="L28" s="31">
        <f>'TUSD BE'!$L$28*'TUSD BF'!$L$58</f>
        <v>0</v>
      </c>
      <c r="M28" s="31">
        <f>'TUSD BE'!$M$28*'TUSD BF'!$M$58</f>
        <v>0</v>
      </c>
      <c r="N28" s="31">
        <f ca="1">'TUSD BE'!$N$28*'TUSD BF'!$N$58</f>
        <v>0</v>
      </c>
      <c r="O28" s="31">
        <f>'TUSD BE'!$O$28*'TUSD BF'!$O$58</f>
        <v>0</v>
      </c>
      <c r="P28" s="31">
        <f>'TUSD BE'!$P$28*'TUSD BF'!$P$58</f>
        <v>0</v>
      </c>
      <c r="Q28" s="31">
        <f>'TUSD BE'!$Q$28*'TUSD BF'!$Q$58</f>
        <v>0</v>
      </c>
      <c r="R28" s="31">
        <f>'TUSD BE'!$R$28*'TUSD BF'!$R$58</f>
        <v>0</v>
      </c>
      <c r="S28" s="31">
        <f>'TUSD BE'!$R$28*'TUSD BF'!$S$58</f>
        <v>0</v>
      </c>
      <c r="T28" s="31">
        <f ca="1">SUM($L$28:$S$28)</f>
        <v>0</v>
      </c>
      <c r="U28" s="31">
        <f>'TUSD BE'!$U$28*'TUSD BF'!$U$58</f>
        <v>0</v>
      </c>
      <c r="V28" s="31">
        <f>'TUSD BE'!$V$28*'TUSD BF'!$V$58</f>
        <v>0</v>
      </c>
      <c r="W28" s="31">
        <f>'TUSD BE'!$W$28*'TUSD BF'!$W$58</f>
        <v>0</v>
      </c>
      <c r="X28" s="31">
        <f>'TUSD BE'!$X$28*'TUSD BF'!$X$58</f>
        <v>0</v>
      </c>
      <c r="Y28" s="31">
        <f>'TUSD BE'!$Y$28*'TUSD BF'!$Y$58</f>
        <v>0</v>
      </c>
      <c r="Z28" s="31">
        <f>'TUSD BE'!$Z$28*'TUSD BF'!$Z$58</f>
        <v>0</v>
      </c>
      <c r="AA28" s="31">
        <f>'TUSD BE'!$AA$28*'TUSD BF'!$AA$58</f>
        <v>0</v>
      </c>
      <c r="AB28" s="31">
        <f>SUM($U$28:$AA$28)</f>
        <v>0</v>
      </c>
      <c r="AC28" s="31">
        <f>'TUSD BE'!$AC$28*'TUSD BF'!$AC$58</f>
        <v>0</v>
      </c>
      <c r="AD28" s="31">
        <f>SUM($AC$28:$AC$28)</f>
        <v>0</v>
      </c>
      <c r="AE28" s="31">
        <f ca="1">$AO$28*$AO$55</f>
        <v>0</v>
      </c>
      <c r="AF28" s="31">
        <f ca="1">$AP$28*$AP$55</f>
        <v>0</v>
      </c>
      <c r="AG28" s="31">
        <f ca="1">SUM($AE$28:$AF$28)</f>
        <v>0</v>
      </c>
      <c r="AH28" s="31">
        <f>'TUSD BE'!$AH$28*'TUSD BF'!$AH$58</f>
        <v>-4.0246121917318092E-2</v>
      </c>
      <c r="AI28" s="31">
        <f>'TUSD BE'!$AI$28*'TUSD BF'!$AI$58</f>
        <v>-8.7075403742267353E-4</v>
      </c>
      <c r="AJ28" s="31">
        <f ca="1">'TUSD BE'!$AJ$28*'TUSD BF'!$AJ$58</f>
        <v>-6.9732094475926266E-4</v>
      </c>
      <c r="AK28" s="31">
        <f ca="1">'TUSD BE'!$AK$28*'TUSD BF'!$AK$58</f>
        <v>0</v>
      </c>
      <c r="AL28" s="31">
        <f ca="1">SUM($AH$28:$AK$28)</f>
        <v>-4.1814196899500028E-2</v>
      </c>
      <c r="AM28" s="31">
        <f ca="1">SUMIF($L$4:$AL$4,"SUBTOTAL",$L$28:$AL$28)</f>
        <v>-4.1814196899500028E-2</v>
      </c>
      <c r="AO28" s="59">
        <f ca="1">+'TUSD BE'!$T$28+'TUSD BE'!$AB$28+'TUSD BE'!$AD$28+'TUSD BE'!$AL$28</f>
        <v>293.38530838770379</v>
      </c>
      <c r="AP28" s="59">
        <f ca="1">+'TUSD BE'!$T$28+'TUSD BE'!$AB$28+'TUSD BE'!$AD$28+'TUSD BE'!$AL$28</f>
        <v>293.38530838770379</v>
      </c>
    </row>
    <row r="29" spans="1:42" ht="11.25" customHeight="1" x14ac:dyDescent="0.25">
      <c r="A29" s="149"/>
      <c r="B29" s="149"/>
      <c r="C29" s="149"/>
      <c r="D29" s="56" t="s">
        <v>32</v>
      </c>
      <c r="E29" s="56" t="s">
        <v>25</v>
      </c>
      <c r="F29" s="56" t="s">
        <v>25</v>
      </c>
      <c r="G29" s="57" t="s">
        <v>78</v>
      </c>
      <c r="H29" s="57" t="s">
        <v>74</v>
      </c>
      <c r="I29" s="57">
        <f>'MERCADO TUSD'!$U$26</f>
        <v>0</v>
      </c>
      <c r="J29" s="15"/>
      <c r="L29" s="31">
        <f>'TUSD BE'!$L$29*'TUSD BF'!$L$58</f>
        <v>0</v>
      </c>
      <c r="M29" s="31">
        <f>'TUSD BE'!$M$29*'TUSD BF'!$M$58</f>
        <v>0</v>
      </c>
      <c r="N29" s="31">
        <f ca="1">'TUSD BE'!$N$29*'TUSD BF'!$N$58</f>
        <v>0</v>
      </c>
      <c r="O29" s="31">
        <f>'TUSD BE'!$O$29*'TUSD BF'!$O$58</f>
        <v>0</v>
      </c>
      <c r="P29" s="31">
        <f>'TUSD BE'!$P$29*'TUSD BF'!$P$58</f>
        <v>0</v>
      </c>
      <c r="Q29" s="31">
        <f>'TUSD BE'!$Q$29*'TUSD BF'!$Q$58</f>
        <v>0</v>
      </c>
      <c r="R29" s="31">
        <f>'TUSD BE'!$R$29*'TUSD BF'!$R$58</f>
        <v>0</v>
      </c>
      <c r="S29" s="31">
        <f>'TUSD BE'!$R$29*'TUSD BF'!$S$58</f>
        <v>0</v>
      </c>
      <c r="T29" s="31">
        <f ca="1">SUM($L$29:$S$29)</f>
        <v>0</v>
      </c>
      <c r="U29" s="31">
        <f>'TUSD BE'!$U$29*'TUSD BF'!$U$58</f>
        <v>0</v>
      </c>
      <c r="V29" s="31">
        <f>'TUSD BE'!$V$29*'TUSD BF'!$V$58</f>
        <v>0</v>
      </c>
      <c r="W29" s="31">
        <f>'TUSD BE'!$W$29*'TUSD BF'!$W$58</f>
        <v>0</v>
      </c>
      <c r="X29" s="31">
        <f>'TUSD BE'!$X$29*'TUSD BF'!$X$58</f>
        <v>0</v>
      </c>
      <c r="Y29" s="31">
        <f>'TUSD BE'!$Y$29*'TUSD BF'!$Y$58</f>
        <v>0</v>
      </c>
      <c r="Z29" s="31">
        <f>'TUSD BE'!$Z$29*'TUSD BF'!$Z$58</f>
        <v>0</v>
      </c>
      <c r="AA29" s="31">
        <f>'TUSD BE'!$AA$29*'TUSD BF'!$AA$58</f>
        <v>0</v>
      </c>
      <c r="AB29" s="31">
        <f>SUM($U$29:$AA$29)</f>
        <v>0</v>
      </c>
      <c r="AC29" s="31">
        <f>'TUSD BE'!$AC$29*'TUSD BF'!$AC$58</f>
        <v>0</v>
      </c>
      <c r="AD29" s="31">
        <f>SUM($AC$29:$AC$29)</f>
        <v>0</v>
      </c>
      <c r="AE29" s="31">
        <f ca="1">$AO$29*$AO$55</f>
        <v>0</v>
      </c>
      <c r="AF29" s="31">
        <f ca="1">$AP$29*$AP$55</f>
        <v>0</v>
      </c>
      <c r="AG29" s="31">
        <f ca="1">SUM($AE$29:$AF$29)</f>
        <v>0</v>
      </c>
      <c r="AH29" s="31">
        <f>'TUSD BE'!$AH$29*'TUSD BF'!$AH$58</f>
        <v>-4.0246121917318092E-2</v>
      </c>
      <c r="AI29" s="31">
        <f>'TUSD BE'!$AI$29*'TUSD BF'!$AI$58</f>
        <v>-8.7075403742267353E-4</v>
      </c>
      <c r="AJ29" s="31">
        <f ca="1">'TUSD BE'!$AJ$29*'TUSD BF'!$AJ$58</f>
        <v>-6.9732094475926266E-4</v>
      </c>
      <c r="AK29" s="31">
        <f ca="1">'TUSD BE'!$AK$29*'TUSD BF'!$AK$58</f>
        <v>0</v>
      </c>
      <c r="AL29" s="31">
        <f ca="1">SUM($AH$29:$AK$29)</f>
        <v>-4.1814196899500028E-2</v>
      </c>
      <c r="AM29" s="31">
        <f ca="1">SUMIF($L$4:$AL$4,"SUBTOTAL",$L$29:$AL$29)</f>
        <v>-4.1814196899500028E-2</v>
      </c>
      <c r="AO29" s="59">
        <f ca="1">+'TUSD BE'!$T$29+'TUSD BE'!$AB$29+'TUSD BE'!$AD$29+'TUSD BE'!$AL$29</f>
        <v>293.38530838770379</v>
      </c>
      <c r="AP29" s="59">
        <f ca="1">+'TUSD BE'!$T$29+'TUSD BE'!$AB$29+'TUSD BE'!$AD$29+'TUSD BE'!$AL$29</f>
        <v>293.38530838770379</v>
      </c>
    </row>
    <row r="30" spans="1:42" ht="11.25" customHeight="1" x14ac:dyDescent="0.25">
      <c r="A30" s="149" t="s">
        <v>41</v>
      </c>
      <c r="B30" s="149" t="s">
        <v>50</v>
      </c>
      <c r="C30" s="149" t="s">
        <v>42</v>
      </c>
      <c r="D30" s="149" t="s">
        <v>25</v>
      </c>
      <c r="E30" s="149" t="s">
        <v>25</v>
      </c>
      <c r="F30" s="149" t="s">
        <v>25</v>
      </c>
      <c r="G30" s="57" t="s">
        <v>75</v>
      </c>
      <c r="H30" s="57" t="s">
        <v>74</v>
      </c>
      <c r="I30" s="57">
        <f>'MERCADO TUSD'!$U$27</f>
        <v>0</v>
      </c>
      <c r="J30" s="15"/>
      <c r="L30" s="31">
        <f>'TUSD BE'!$L$30*'TUSD BF'!$L$58</f>
        <v>0</v>
      </c>
      <c r="M30" s="31">
        <f>'TUSD BE'!$M$30*'TUSD BF'!$M$58</f>
        <v>0</v>
      </c>
      <c r="N30" s="31">
        <f ca="1">'TUSD BE'!$N$30*'TUSD BF'!$N$58</f>
        <v>0</v>
      </c>
      <c r="O30" s="31">
        <f>'TUSD BE'!$O$30*'TUSD BF'!$O$58</f>
        <v>0</v>
      </c>
      <c r="P30" s="31">
        <f>'TUSD BE'!$P$30*'TUSD BF'!$P$58</f>
        <v>0</v>
      </c>
      <c r="Q30" s="31">
        <f>'TUSD BE'!$Q$30*'TUSD BF'!$Q$58</f>
        <v>20.433001309297889</v>
      </c>
      <c r="R30" s="31">
        <f>'TUSD BE'!$R$30*'TUSD BF'!$R$58</f>
        <v>3.8853520350815653</v>
      </c>
      <c r="S30" s="31">
        <f>'TUSD BE'!$R$30*'TUSD BF'!$S$58</f>
        <v>0</v>
      </c>
      <c r="T30" s="31">
        <f ca="1">SUM($L$30:$S$30)</f>
        <v>24.318353344379453</v>
      </c>
      <c r="U30" s="31">
        <f>'TUSD BE'!$U$30*'TUSD BF'!$U$58</f>
        <v>0</v>
      </c>
      <c r="V30" s="31">
        <f>'TUSD BE'!$V$30*'TUSD BF'!$V$58</f>
        <v>0</v>
      </c>
      <c r="W30" s="31">
        <f>'TUSD BE'!$W$30*'TUSD BF'!$W$58</f>
        <v>0</v>
      </c>
      <c r="X30" s="31">
        <f>'TUSD BE'!$X$30*'TUSD BF'!$X$58</f>
        <v>0</v>
      </c>
      <c r="Y30" s="31">
        <f>'TUSD BE'!$Y$30*'TUSD BF'!$Y$58</f>
        <v>0</v>
      </c>
      <c r="Z30" s="31">
        <f>'TUSD BE'!$Z$30*'TUSD BF'!$Z$58</f>
        <v>0</v>
      </c>
      <c r="AA30" s="31">
        <f>'TUSD BE'!$AA$30*'TUSD BF'!$AA$58</f>
        <v>0</v>
      </c>
      <c r="AB30" s="31">
        <f>SUM($U$30:$AA$30)</f>
        <v>0</v>
      </c>
      <c r="AC30" s="31">
        <f>'TUSD BE'!$AC$30*'TUSD BF'!$AC$58</f>
        <v>0</v>
      </c>
      <c r="AD30" s="31">
        <f>SUM($AC$30:$AC$30)</f>
        <v>0</v>
      </c>
      <c r="AE30" s="31">
        <f ca="1">$AO$30*$AO$55</f>
        <v>0</v>
      </c>
      <c r="AF30" s="31">
        <f ca="1">$AP$30*$AP$55</f>
        <v>0</v>
      </c>
      <c r="AG30" s="31">
        <f ca="1">SUM($AE$30:$AF$30)</f>
        <v>0</v>
      </c>
      <c r="AH30" s="31">
        <f>'TUSD BE'!$AH$30*'TUSD BF'!$AH$58</f>
        <v>-4.0246121917318092E-2</v>
      </c>
      <c r="AI30" s="31">
        <f>'TUSD BE'!$AI$30*'TUSD BF'!$AI$58</f>
        <v>-8.7075403742267353E-4</v>
      </c>
      <c r="AJ30" s="31">
        <f ca="1">'TUSD BE'!$AJ$30*'TUSD BF'!$AJ$58</f>
        <v>-6.9732094475926266E-4</v>
      </c>
      <c r="AK30" s="31">
        <f ca="1">'TUSD BE'!$AK$30*'TUSD BF'!$AK$58</f>
        <v>0</v>
      </c>
      <c r="AL30" s="31">
        <f ca="1">SUM($AH$30:$AK$30)</f>
        <v>-4.1814196899500028E-2</v>
      </c>
      <c r="AM30" s="31">
        <f ca="1">SUMIF($L$4:$AL$4,"SUBTOTAL",$L$30:$AL$30)</f>
        <v>24.276539147479951</v>
      </c>
      <c r="AO30" s="59">
        <f ca="1">+'TUSD BE'!$T$30+'TUSD BE'!$AB$30+'TUSD BE'!$AD$30+'TUSD BE'!$AL$30</f>
        <v>969.24064644711382</v>
      </c>
      <c r="AP30" s="59">
        <f ca="1">+'TUSD BE'!$T$30+'TUSD BE'!$AB$30+'TUSD BE'!$AD$30+'TUSD BE'!$AL$30</f>
        <v>969.24064644711382</v>
      </c>
    </row>
    <row r="31" spans="1:42" ht="11.25" customHeight="1" x14ac:dyDescent="0.25">
      <c r="A31" s="149"/>
      <c r="B31" s="149"/>
      <c r="C31" s="149"/>
      <c r="D31" s="149"/>
      <c r="E31" s="149"/>
      <c r="F31" s="149"/>
      <c r="G31" s="57" t="s">
        <v>87</v>
      </c>
      <c r="H31" s="57" t="s">
        <v>74</v>
      </c>
      <c r="I31" s="57">
        <f>'MERCADO TUSD'!$U$28</f>
        <v>0</v>
      </c>
      <c r="J31" s="15"/>
      <c r="L31" s="31">
        <f>'TUSD BE'!$L$31*'TUSD BF'!$L$58</f>
        <v>0</v>
      </c>
      <c r="M31" s="31">
        <f>'TUSD BE'!$M$31*'TUSD BF'!$M$58</f>
        <v>0</v>
      </c>
      <c r="N31" s="31">
        <f ca="1">'TUSD BE'!$N$31*'TUSD BF'!$N$58</f>
        <v>0</v>
      </c>
      <c r="O31" s="31">
        <f>'TUSD BE'!$O$31*'TUSD BF'!$O$58</f>
        <v>0</v>
      </c>
      <c r="P31" s="31">
        <f>'TUSD BE'!$P$31*'TUSD BF'!$P$58</f>
        <v>0</v>
      </c>
      <c r="Q31" s="31">
        <f>'TUSD BE'!$Q$31*'TUSD BF'!$Q$58</f>
        <v>20.433001309297889</v>
      </c>
      <c r="R31" s="31">
        <f>'TUSD BE'!$R$31*'TUSD BF'!$R$58</f>
        <v>3.8853520350815653</v>
      </c>
      <c r="S31" s="31">
        <f>'TUSD BE'!$R$31*'TUSD BF'!$S$58</f>
        <v>0</v>
      </c>
      <c r="T31" s="31">
        <f ca="1">SUM($L$31:$S$31)</f>
        <v>24.318353344379453</v>
      </c>
      <c r="U31" s="31">
        <f>'TUSD BE'!$U$31*'TUSD BF'!$U$58</f>
        <v>0</v>
      </c>
      <c r="V31" s="31">
        <f>'TUSD BE'!$V$31*'TUSD BF'!$V$58</f>
        <v>0</v>
      </c>
      <c r="W31" s="31">
        <f>'TUSD BE'!$W$31*'TUSD BF'!$W$58</f>
        <v>0</v>
      </c>
      <c r="X31" s="31">
        <f>'TUSD BE'!$X$31*'TUSD BF'!$X$58</f>
        <v>0</v>
      </c>
      <c r="Y31" s="31">
        <f>'TUSD BE'!$Y$31*'TUSD BF'!$Y$58</f>
        <v>0</v>
      </c>
      <c r="Z31" s="31">
        <f>'TUSD BE'!$Z$31*'TUSD BF'!$Z$58</f>
        <v>0</v>
      </c>
      <c r="AA31" s="31">
        <f>'TUSD BE'!$AA$31*'TUSD BF'!$AA$58</f>
        <v>0</v>
      </c>
      <c r="AB31" s="31">
        <f>SUM($U$31:$AA$31)</f>
        <v>0</v>
      </c>
      <c r="AC31" s="31">
        <f>'TUSD BE'!$AC$31*'TUSD BF'!$AC$58</f>
        <v>0</v>
      </c>
      <c r="AD31" s="31">
        <f>SUM($AC$31:$AC$31)</f>
        <v>0</v>
      </c>
      <c r="AE31" s="31">
        <f ca="1">$AO$31*$AO$55</f>
        <v>0</v>
      </c>
      <c r="AF31" s="31">
        <f ca="1">$AP$31*$AP$55</f>
        <v>0</v>
      </c>
      <c r="AG31" s="31">
        <f ca="1">SUM($AE$31:$AF$31)</f>
        <v>0</v>
      </c>
      <c r="AH31" s="31">
        <f>'TUSD BE'!$AH$31*'TUSD BF'!$AH$58</f>
        <v>-4.0246121917318092E-2</v>
      </c>
      <c r="AI31" s="31">
        <f>'TUSD BE'!$AI$31*'TUSD BF'!$AI$58</f>
        <v>-8.7075403742267353E-4</v>
      </c>
      <c r="AJ31" s="31">
        <f ca="1">'TUSD BE'!$AJ$31*'TUSD BF'!$AJ$58</f>
        <v>-6.9732094475926266E-4</v>
      </c>
      <c r="AK31" s="31">
        <f ca="1">'TUSD BE'!$AK$31*'TUSD BF'!$AK$58</f>
        <v>0</v>
      </c>
      <c r="AL31" s="31">
        <f ca="1">SUM($AH$31:$AK$31)</f>
        <v>-4.1814196899500028E-2</v>
      </c>
      <c r="AM31" s="31">
        <f ca="1">SUMIF($L$4:$AL$4,"SUBTOTAL",$L$31:$AL$31)</f>
        <v>24.276539147479951</v>
      </c>
      <c r="AO31" s="59">
        <f ca="1">+'TUSD BE'!$T$31+'TUSD BE'!$AB$31+'TUSD BE'!$AD$31+'TUSD BE'!$AL$31</f>
        <v>631.25568232637124</v>
      </c>
      <c r="AP31" s="59">
        <f ca="1">+'TUSD BE'!$T$31+'TUSD BE'!$AB$31+'TUSD BE'!$AD$31+'TUSD BE'!$AL$31</f>
        <v>631.25568232637124</v>
      </c>
    </row>
    <row r="32" spans="1:42" ht="11.25" customHeight="1" x14ac:dyDescent="0.25">
      <c r="A32" s="149"/>
      <c r="B32" s="149"/>
      <c r="C32" s="149"/>
      <c r="D32" s="149"/>
      <c r="E32" s="149"/>
      <c r="F32" s="149"/>
      <c r="G32" s="57" t="s">
        <v>76</v>
      </c>
      <c r="H32" s="57" t="s">
        <v>74</v>
      </c>
      <c r="I32" s="57">
        <f>'MERCADO TUSD'!$U$29</f>
        <v>0</v>
      </c>
      <c r="J32" s="15"/>
      <c r="L32" s="31">
        <f>'TUSD BE'!$L$32*'TUSD BF'!$L$58</f>
        <v>0</v>
      </c>
      <c r="M32" s="31">
        <f>'TUSD BE'!$M$32*'TUSD BF'!$M$58</f>
        <v>0</v>
      </c>
      <c r="N32" s="31">
        <f ca="1">'TUSD BE'!$N$32*'TUSD BF'!$N$58</f>
        <v>0</v>
      </c>
      <c r="O32" s="31">
        <f>'TUSD BE'!$O$32*'TUSD BF'!$O$58</f>
        <v>0</v>
      </c>
      <c r="P32" s="31">
        <f>'TUSD BE'!$P$32*'TUSD BF'!$P$58</f>
        <v>0</v>
      </c>
      <c r="Q32" s="31">
        <f>'TUSD BE'!$Q$32*'TUSD BF'!$Q$58</f>
        <v>20.433001309297889</v>
      </c>
      <c r="R32" s="31">
        <f>'TUSD BE'!$R$32*'TUSD BF'!$R$58</f>
        <v>3.8853520350815653</v>
      </c>
      <c r="S32" s="31">
        <f>'TUSD BE'!$R$32*'TUSD BF'!$S$58</f>
        <v>0</v>
      </c>
      <c r="T32" s="31">
        <f ca="1">SUM($L$32:$S$32)</f>
        <v>24.318353344379453</v>
      </c>
      <c r="U32" s="31">
        <f>'TUSD BE'!$U$32*'TUSD BF'!$U$58</f>
        <v>0</v>
      </c>
      <c r="V32" s="31">
        <f>'TUSD BE'!$V$32*'TUSD BF'!$V$58</f>
        <v>0</v>
      </c>
      <c r="W32" s="31">
        <f>'TUSD BE'!$W$32*'TUSD BF'!$W$58</f>
        <v>0</v>
      </c>
      <c r="X32" s="31">
        <f>'TUSD BE'!$X$32*'TUSD BF'!$X$58</f>
        <v>0</v>
      </c>
      <c r="Y32" s="31">
        <f>'TUSD BE'!$Y$32*'TUSD BF'!$Y$58</f>
        <v>0</v>
      </c>
      <c r="Z32" s="31">
        <f>'TUSD BE'!$Z$32*'TUSD BF'!$Z$58</f>
        <v>0</v>
      </c>
      <c r="AA32" s="31">
        <f>'TUSD BE'!$AA$32*'TUSD BF'!$AA$58</f>
        <v>0</v>
      </c>
      <c r="AB32" s="31">
        <f>SUM($U$32:$AA$32)</f>
        <v>0</v>
      </c>
      <c r="AC32" s="31">
        <f>'TUSD BE'!$AC$32*'TUSD BF'!$AC$58</f>
        <v>0</v>
      </c>
      <c r="AD32" s="31">
        <f>SUM($AC$32:$AC$32)</f>
        <v>0</v>
      </c>
      <c r="AE32" s="31">
        <f ca="1">$AO$32*$AO$55</f>
        <v>0</v>
      </c>
      <c r="AF32" s="31">
        <f ca="1">$AP$32*$AP$55</f>
        <v>0</v>
      </c>
      <c r="AG32" s="31">
        <f ca="1">SUM($AE$32:$AF$32)</f>
        <v>0</v>
      </c>
      <c r="AH32" s="31">
        <f>'TUSD BE'!$AH$32*'TUSD BF'!$AH$58</f>
        <v>-4.0246121917318092E-2</v>
      </c>
      <c r="AI32" s="31">
        <f>'TUSD BE'!$AI$32*'TUSD BF'!$AI$58</f>
        <v>-8.7075403742267353E-4</v>
      </c>
      <c r="AJ32" s="31">
        <f ca="1">'TUSD BE'!$AJ$32*'TUSD BF'!$AJ$58</f>
        <v>-6.9732094475926266E-4</v>
      </c>
      <c r="AK32" s="31">
        <f ca="1">'TUSD BE'!$AK$32*'TUSD BF'!$AK$58</f>
        <v>0</v>
      </c>
      <c r="AL32" s="31">
        <f ca="1">SUM($AH$32:$AK$32)</f>
        <v>-4.1814196899500028E-2</v>
      </c>
      <c r="AM32" s="31">
        <f ca="1">SUMIF($L$4:$AL$4,"SUBTOTAL",$L$32:$AL$32)</f>
        <v>24.276539147479951</v>
      </c>
      <c r="AO32" s="59">
        <f ca="1">+'TUSD BE'!$T$32+'TUSD BE'!$AB$32+'TUSD BE'!$AD$32+'TUSD BE'!$AL$32</f>
        <v>293.27071820562838</v>
      </c>
      <c r="AP32" s="59">
        <f ca="1">+'TUSD BE'!$T$32+'TUSD BE'!$AB$32+'TUSD BE'!$AD$32+'TUSD BE'!$AL$32</f>
        <v>293.27071820562838</v>
      </c>
    </row>
    <row r="33" spans="1:42" ht="11.25" customHeight="1" x14ac:dyDescent="0.25">
      <c r="A33" s="149"/>
      <c r="B33" s="56" t="s">
        <v>23</v>
      </c>
      <c r="C33" s="56" t="s">
        <v>42</v>
      </c>
      <c r="D33" s="56" t="s">
        <v>25</v>
      </c>
      <c r="E33" s="56" t="s">
        <v>25</v>
      </c>
      <c r="F33" s="56" t="s">
        <v>25</v>
      </c>
      <c r="G33" s="57" t="s">
        <v>78</v>
      </c>
      <c r="H33" s="57" t="s">
        <v>74</v>
      </c>
      <c r="I33" s="57">
        <f>'MERCADO TUSD'!$U$30</f>
        <v>11721.666999999998</v>
      </c>
      <c r="J33" s="15"/>
      <c r="L33" s="31">
        <f>'TUSD BE'!$L$33*'TUSD BF'!$L$58</f>
        <v>0</v>
      </c>
      <c r="M33" s="31">
        <f>'TUSD BE'!$M$33*'TUSD BF'!$M$58</f>
        <v>0</v>
      </c>
      <c r="N33" s="31">
        <f ca="1">'TUSD BE'!$N$33*'TUSD BF'!$N$58</f>
        <v>0</v>
      </c>
      <c r="O33" s="31">
        <f>'TUSD BE'!$O$33*'TUSD BF'!$O$58</f>
        <v>0</v>
      </c>
      <c r="P33" s="31">
        <f>'TUSD BE'!$P$33*'TUSD BF'!$P$58</f>
        <v>0</v>
      </c>
      <c r="Q33" s="31">
        <f>'TUSD BE'!$Q$33*'TUSD BF'!$Q$58</f>
        <v>20.433001309297889</v>
      </c>
      <c r="R33" s="31">
        <f>'TUSD BE'!$R$33*'TUSD BF'!$R$58</f>
        <v>3.8853520350815653</v>
      </c>
      <c r="S33" s="31">
        <f>'TUSD BE'!$R$33*'TUSD BF'!$S$58</f>
        <v>0</v>
      </c>
      <c r="T33" s="31">
        <f ca="1">SUM($L$33:$S$33)</f>
        <v>24.318353344379453</v>
      </c>
      <c r="U33" s="31">
        <f>'TUSD BE'!$U$33*'TUSD BF'!$U$58</f>
        <v>0</v>
      </c>
      <c r="V33" s="31">
        <f>'TUSD BE'!$V$33*'TUSD BF'!$V$58</f>
        <v>0</v>
      </c>
      <c r="W33" s="31">
        <f>'TUSD BE'!$W$33*'TUSD BF'!$W$58</f>
        <v>0</v>
      </c>
      <c r="X33" s="31">
        <f>'TUSD BE'!$X$33*'TUSD BF'!$X$58</f>
        <v>0</v>
      </c>
      <c r="Y33" s="31">
        <f>'TUSD BE'!$Y$33*'TUSD BF'!$Y$58</f>
        <v>0</v>
      </c>
      <c r="Z33" s="31">
        <f>'TUSD BE'!$Z$33*'TUSD BF'!$Z$58</f>
        <v>0</v>
      </c>
      <c r="AA33" s="31">
        <f>'TUSD BE'!$AA$33*'TUSD BF'!$AA$58</f>
        <v>0</v>
      </c>
      <c r="AB33" s="31">
        <f>SUM($U$33:$AA$33)</f>
        <v>0</v>
      </c>
      <c r="AC33" s="31">
        <f>'TUSD BE'!$AC$33*'TUSD BF'!$AC$58</f>
        <v>0</v>
      </c>
      <c r="AD33" s="31">
        <f>SUM($AC$33:$AC$33)</f>
        <v>0</v>
      </c>
      <c r="AE33" s="31">
        <f ca="1">$AO$33*$AO$55</f>
        <v>0</v>
      </c>
      <c r="AF33" s="31">
        <f ca="1">$AP$33*$AP$55</f>
        <v>0</v>
      </c>
      <c r="AG33" s="31">
        <f ca="1">SUM($AE$33:$AF$33)</f>
        <v>0</v>
      </c>
      <c r="AH33" s="31">
        <f>'TUSD BE'!$AH$33*'TUSD BF'!$AH$58</f>
        <v>-4.0246121917318092E-2</v>
      </c>
      <c r="AI33" s="31">
        <f>'TUSD BE'!$AI$33*'TUSD BF'!$AI$58</f>
        <v>-8.7075403742267353E-4</v>
      </c>
      <c r="AJ33" s="31">
        <f ca="1">'TUSD BE'!$AJ$33*'TUSD BF'!$AJ$58</f>
        <v>-6.9732094475926266E-4</v>
      </c>
      <c r="AK33" s="31">
        <f ca="1">'TUSD BE'!$AK$33*'TUSD BF'!$AK$58</f>
        <v>0</v>
      </c>
      <c r="AL33" s="31">
        <f ca="1">SUM($AH$33:$AK$33)</f>
        <v>-4.1814196899500028E-2</v>
      </c>
      <c r="AM33" s="31">
        <f ca="1">SUMIF($L$4:$AL$4,"SUBTOTAL",$L$33:$AL$33)</f>
        <v>24.276539147479951</v>
      </c>
      <c r="AO33" s="59">
        <f ca="1">+'TUSD BE'!$T$33+'TUSD BE'!$AB$33+'TUSD BE'!$AD$33+'TUSD BE'!$AL$33</f>
        <v>396.8467543887827</v>
      </c>
      <c r="AP33" s="59">
        <f ca="1">+'TUSD BE'!$T$33+'TUSD BE'!$AB$33+'TUSD BE'!$AD$33+'TUSD BE'!$AL$33</f>
        <v>396.8467543887827</v>
      </c>
    </row>
    <row r="34" spans="1:42" ht="11.25" customHeight="1" x14ac:dyDescent="0.25">
      <c r="A34" s="149"/>
      <c r="B34" s="149" t="s">
        <v>50</v>
      </c>
      <c r="C34" s="149" t="s">
        <v>42</v>
      </c>
      <c r="D34" s="149" t="s">
        <v>90</v>
      </c>
      <c r="E34" s="149" t="s">
        <v>25</v>
      </c>
      <c r="F34" s="149" t="s">
        <v>25</v>
      </c>
      <c r="G34" s="57" t="s">
        <v>75</v>
      </c>
      <c r="H34" s="57" t="s">
        <v>74</v>
      </c>
      <c r="I34" s="57">
        <f>'MERCADO TUSD'!$U$31</f>
        <v>0</v>
      </c>
      <c r="J34" s="15"/>
      <c r="L34" s="31">
        <f>'TUSD BE'!$L$34*'TUSD BF'!$L$58</f>
        <v>0</v>
      </c>
      <c r="M34" s="31">
        <f>'TUSD BE'!$M$34*'TUSD BF'!$M$58</f>
        <v>0</v>
      </c>
      <c r="N34" s="31">
        <f ca="1">'TUSD BE'!$N$34*'TUSD BF'!$N$58</f>
        <v>0</v>
      </c>
      <c r="O34" s="31">
        <f>'TUSD BE'!$O$34*'TUSD BF'!$O$58</f>
        <v>0</v>
      </c>
      <c r="P34" s="31">
        <f>'TUSD BE'!$P$34*'TUSD BF'!$P$58</f>
        <v>0</v>
      </c>
      <c r="Q34" s="31">
        <f>'TUSD BE'!$Q$34*'TUSD BF'!$Q$58</f>
        <v>20.433001309297889</v>
      </c>
      <c r="R34" s="31">
        <f>'TUSD BE'!$R$34*'TUSD BF'!$R$58</f>
        <v>3.8853520350815653</v>
      </c>
      <c r="S34" s="31">
        <f>'TUSD BE'!$R$34*'TUSD BF'!$S$58</f>
        <v>0</v>
      </c>
      <c r="T34" s="31">
        <f ca="1">SUM($L$34:$S$34)</f>
        <v>24.318353344379453</v>
      </c>
      <c r="U34" s="31">
        <f>'TUSD BE'!$U$34*'TUSD BF'!$U$58</f>
        <v>0</v>
      </c>
      <c r="V34" s="31">
        <f>'TUSD BE'!$V$34*'TUSD BF'!$V$58</f>
        <v>0</v>
      </c>
      <c r="W34" s="31">
        <f>'TUSD BE'!$W$34*'TUSD BF'!$W$58</f>
        <v>0</v>
      </c>
      <c r="X34" s="31">
        <f>'TUSD BE'!$X$34*'TUSD BF'!$X$58</f>
        <v>0</v>
      </c>
      <c r="Y34" s="31">
        <f>'TUSD BE'!$Y$34*'TUSD BF'!$Y$58</f>
        <v>0</v>
      </c>
      <c r="Z34" s="31">
        <f>'TUSD BE'!$Z$34*'TUSD BF'!$Z$58</f>
        <v>0</v>
      </c>
      <c r="AA34" s="31">
        <f>'TUSD BE'!$AA$34*'TUSD BF'!$AA$58</f>
        <v>0</v>
      </c>
      <c r="AB34" s="31">
        <f>SUM($U$34:$AA$34)</f>
        <v>0</v>
      </c>
      <c r="AC34" s="31">
        <f>'TUSD BE'!$AC$34*'TUSD BF'!$AC$58</f>
        <v>0</v>
      </c>
      <c r="AD34" s="31">
        <f>SUM($AC$34:$AC$34)</f>
        <v>0</v>
      </c>
      <c r="AE34" s="31">
        <f ca="1">$AO$34*$AO$55</f>
        <v>0</v>
      </c>
      <c r="AF34" s="31">
        <f ca="1">$AP$34*$AP$55</f>
        <v>0</v>
      </c>
      <c r="AG34" s="31">
        <f ca="1">SUM($AE$34:$AF$34)</f>
        <v>0</v>
      </c>
      <c r="AH34" s="31">
        <f>'TUSD BE'!$AH$34*'TUSD BF'!$AH$58</f>
        <v>-4.0246121917318092E-2</v>
      </c>
      <c r="AI34" s="31">
        <f>'TUSD BE'!$AI$34*'TUSD BF'!$AI$58</f>
        <v>-8.7075403742267353E-4</v>
      </c>
      <c r="AJ34" s="31">
        <f ca="1">'TUSD BE'!$AJ$34*'TUSD BF'!$AJ$58</f>
        <v>-6.9732094475926266E-4</v>
      </c>
      <c r="AK34" s="31">
        <f ca="1">'TUSD BE'!$AK$34*'TUSD BF'!$AK$58</f>
        <v>0</v>
      </c>
      <c r="AL34" s="31">
        <f ca="1">SUM($AH$34:$AK$34)</f>
        <v>-4.1814196899500028E-2</v>
      </c>
      <c r="AM34" s="31">
        <f ca="1">SUMIF($L$4:$AL$4,"SUBTOTAL",$L$34:$AL$34)</f>
        <v>24.276539147479951</v>
      </c>
      <c r="AO34" s="59">
        <f ca="1">+'TUSD BE'!$T$34+'TUSD BE'!$AB$34+'TUSD BE'!$AD$34+'TUSD BE'!$AL$34</f>
        <v>969.24064644711382</v>
      </c>
      <c r="AP34" s="59">
        <f ca="1">+'TUSD BE'!$T$34+'TUSD BE'!$AB$34+'TUSD BE'!$AD$34+'TUSD BE'!$AL$34</f>
        <v>969.24064644711382</v>
      </c>
    </row>
    <row r="35" spans="1:42" ht="11.25" customHeight="1" x14ac:dyDescent="0.25">
      <c r="A35" s="149"/>
      <c r="B35" s="149"/>
      <c r="C35" s="149"/>
      <c r="D35" s="149"/>
      <c r="E35" s="149"/>
      <c r="F35" s="149"/>
      <c r="G35" s="57" t="s">
        <v>87</v>
      </c>
      <c r="H35" s="57" t="s">
        <v>74</v>
      </c>
      <c r="I35" s="57">
        <f>'MERCADO TUSD'!$U$32</f>
        <v>0</v>
      </c>
      <c r="J35" s="15"/>
      <c r="L35" s="31">
        <f>'TUSD BE'!$L$35*'TUSD BF'!$L$58</f>
        <v>0</v>
      </c>
      <c r="M35" s="31">
        <f>'TUSD BE'!$M$35*'TUSD BF'!$M$58</f>
        <v>0</v>
      </c>
      <c r="N35" s="31">
        <f ca="1">'TUSD BE'!$N$35*'TUSD BF'!$N$58</f>
        <v>0</v>
      </c>
      <c r="O35" s="31">
        <f>'TUSD BE'!$O$35*'TUSD BF'!$O$58</f>
        <v>0</v>
      </c>
      <c r="P35" s="31">
        <f>'TUSD BE'!$P$35*'TUSD BF'!$P$58</f>
        <v>0</v>
      </c>
      <c r="Q35" s="31">
        <f>'TUSD BE'!$Q$35*'TUSD BF'!$Q$58</f>
        <v>20.433001309297889</v>
      </c>
      <c r="R35" s="31">
        <f>'TUSD BE'!$R$35*'TUSD BF'!$R$58</f>
        <v>3.8853520350815653</v>
      </c>
      <c r="S35" s="31">
        <f>'TUSD BE'!$R$35*'TUSD BF'!$S$58</f>
        <v>0</v>
      </c>
      <c r="T35" s="31">
        <f ca="1">SUM($L$35:$S$35)</f>
        <v>24.318353344379453</v>
      </c>
      <c r="U35" s="31">
        <f>'TUSD BE'!$U$35*'TUSD BF'!$U$58</f>
        <v>0</v>
      </c>
      <c r="V35" s="31">
        <f>'TUSD BE'!$V$35*'TUSD BF'!$V$58</f>
        <v>0</v>
      </c>
      <c r="W35" s="31">
        <f>'TUSD BE'!$W$35*'TUSD BF'!$W$58</f>
        <v>0</v>
      </c>
      <c r="X35" s="31">
        <f>'TUSD BE'!$X$35*'TUSD BF'!$X$58</f>
        <v>0</v>
      </c>
      <c r="Y35" s="31">
        <f>'TUSD BE'!$Y$35*'TUSD BF'!$Y$58</f>
        <v>0</v>
      </c>
      <c r="Z35" s="31">
        <f>'TUSD BE'!$Z$35*'TUSD BF'!$Z$58</f>
        <v>0</v>
      </c>
      <c r="AA35" s="31">
        <f>'TUSD BE'!$AA$35*'TUSD BF'!$AA$58</f>
        <v>0</v>
      </c>
      <c r="AB35" s="31">
        <f>SUM($U$35:$AA$35)</f>
        <v>0</v>
      </c>
      <c r="AC35" s="31">
        <f>'TUSD BE'!$AC$35*'TUSD BF'!$AC$58</f>
        <v>0</v>
      </c>
      <c r="AD35" s="31">
        <f>SUM($AC$35:$AC$35)</f>
        <v>0</v>
      </c>
      <c r="AE35" s="31">
        <f ca="1">$AO$35*$AO$55</f>
        <v>0</v>
      </c>
      <c r="AF35" s="31">
        <f ca="1">$AP$35*$AP$55</f>
        <v>0</v>
      </c>
      <c r="AG35" s="31">
        <f ca="1">SUM($AE$35:$AF$35)</f>
        <v>0</v>
      </c>
      <c r="AH35" s="31">
        <f>'TUSD BE'!$AH$35*'TUSD BF'!$AH$58</f>
        <v>-4.0246121917318092E-2</v>
      </c>
      <c r="AI35" s="31">
        <f>'TUSD BE'!$AI$35*'TUSD BF'!$AI$58</f>
        <v>-8.7075403742267353E-4</v>
      </c>
      <c r="AJ35" s="31">
        <f ca="1">'TUSD BE'!$AJ$35*'TUSD BF'!$AJ$58</f>
        <v>-6.9732094475926266E-4</v>
      </c>
      <c r="AK35" s="31">
        <f ca="1">'TUSD BE'!$AK$35*'TUSD BF'!$AK$58</f>
        <v>0</v>
      </c>
      <c r="AL35" s="31">
        <f ca="1">SUM($AH$35:$AK$35)</f>
        <v>-4.1814196899500028E-2</v>
      </c>
      <c r="AM35" s="31">
        <f ca="1">SUMIF($L$4:$AL$4,"SUBTOTAL",$L$35:$AL$35)</f>
        <v>24.276539147479951</v>
      </c>
      <c r="AO35" s="59">
        <f ca="1">+'TUSD BE'!$T$35+'TUSD BE'!$AB$35+'TUSD BE'!$AD$35+'TUSD BE'!$AL$35</f>
        <v>631.25568232637124</v>
      </c>
      <c r="AP35" s="59">
        <f ca="1">+'TUSD BE'!$T$35+'TUSD BE'!$AB$35+'TUSD BE'!$AD$35+'TUSD BE'!$AL$35</f>
        <v>631.25568232637124</v>
      </c>
    </row>
    <row r="36" spans="1:42" ht="11.25" customHeight="1" x14ac:dyDescent="0.25">
      <c r="A36" s="149"/>
      <c r="B36" s="149"/>
      <c r="C36" s="149"/>
      <c r="D36" s="149"/>
      <c r="E36" s="149"/>
      <c r="F36" s="149"/>
      <c r="G36" s="57" t="s">
        <v>76</v>
      </c>
      <c r="H36" s="57" t="s">
        <v>74</v>
      </c>
      <c r="I36" s="57">
        <f>'MERCADO TUSD'!$U$33</f>
        <v>0</v>
      </c>
      <c r="J36" s="15"/>
      <c r="L36" s="31">
        <f>'TUSD BE'!$L$36*'TUSD BF'!$L$58</f>
        <v>0</v>
      </c>
      <c r="M36" s="31">
        <f>'TUSD BE'!$M$36*'TUSD BF'!$M$58</f>
        <v>0</v>
      </c>
      <c r="N36" s="31">
        <f ca="1">'TUSD BE'!$N$36*'TUSD BF'!$N$58</f>
        <v>0</v>
      </c>
      <c r="O36" s="31">
        <f>'TUSD BE'!$O$36*'TUSD BF'!$O$58</f>
        <v>0</v>
      </c>
      <c r="P36" s="31">
        <f>'TUSD BE'!$P$36*'TUSD BF'!$P$58</f>
        <v>0</v>
      </c>
      <c r="Q36" s="31">
        <f>'TUSD BE'!$Q$36*'TUSD BF'!$Q$58</f>
        <v>20.433001309297889</v>
      </c>
      <c r="R36" s="31">
        <f>'TUSD BE'!$R$36*'TUSD BF'!$R$58</f>
        <v>3.8853520350815653</v>
      </c>
      <c r="S36" s="31">
        <f>'TUSD BE'!$R$36*'TUSD BF'!$S$58</f>
        <v>0</v>
      </c>
      <c r="T36" s="31">
        <f ca="1">SUM($L$36:$S$36)</f>
        <v>24.318353344379453</v>
      </c>
      <c r="U36" s="31">
        <f>'TUSD BE'!$U$36*'TUSD BF'!$U$58</f>
        <v>0</v>
      </c>
      <c r="V36" s="31">
        <f>'TUSD BE'!$V$36*'TUSD BF'!$V$58</f>
        <v>0</v>
      </c>
      <c r="W36" s="31">
        <f>'TUSD BE'!$W$36*'TUSD BF'!$W$58</f>
        <v>0</v>
      </c>
      <c r="X36" s="31">
        <f>'TUSD BE'!$X$36*'TUSD BF'!$X$58</f>
        <v>0</v>
      </c>
      <c r="Y36" s="31">
        <f>'TUSD BE'!$Y$36*'TUSD BF'!$Y$58</f>
        <v>0</v>
      </c>
      <c r="Z36" s="31">
        <f>'TUSD BE'!$Z$36*'TUSD BF'!$Z$58</f>
        <v>0</v>
      </c>
      <c r="AA36" s="31">
        <f>'TUSD BE'!$AA$36*'TUSD BF'!$AA$58</f>
        <v>0</v>
      </c>
      <c r="AB36" s="31">
        <f>SUM($U$36:$AA$36)</f>
        <v>0</v>
      </c>
      <c r="AC36" s="31">
        <f>'TUSD BE'!$AC$36*'TUSD BF'!$AC$58</f>
        <v>0</v>
      </c>
      <c r="AD36" s="31">
        <f>SUM($AC$36:$AC$36)</f>
        <v>0</v>
      </c>
      <c r="AE36" s="31">
        <f ca="1">$AO$36*$AO$55</f>
        <v>0</v>
      </c>
      <c r="AF36" s="31">
        <f ca="1">$AP$36*$AP$55</f>
        <v>0</v>
      </c>
      <c r="AG36" s="31">
        <f ca="1">SUM($AE$36:$AF$36)</f>
        <v>0</v>
      </c>
      <c r="AH36" s="31">
        <f>'TUSD BE'!$AH$36*'TUSD BF'!$AH$58</f>
        <v>-4.0246121917318092E-2</v>
      </c>
      <c r="AI36" s="31">
        <f>'TUSD BE'!$AI$36*'TUSD BF'!$AI$58</f>
        <v>-8.7075403742267353E-4</v>
      </c>
      <c r="AJ36" s="31">
        <f ca="1">'TUSD BE'!$AJ$36*'TUSD BF'!$AJ$58</f>
        <v>-6.9732094475926266E-4</v>
      </c>
      <c r="AK36" s="31">
        <f ca="1">'TUSD BE'!$AK$36*'TUSD BF'!$AK$58</f>
        <v>0</v>
      </c>
      <c r="AL36" s="31">
        <f ca="1">SUM($AH$36:$AK$36)</f>
        <v>-4.1814196899500028E-2</v>
      </c>
      <c r="AM36" s="31">
        <f ca="1">SUMIF($L$4:$AL$4,"SUBTOTAL",$L$36:$AL$36)</f>
        <v>24.276539147479951</v>
      </c>
      <c r="AO36" s="59">
        <f ca="1">+'TUSD BE'!$T$36+'TUSD BE'!$AB$36+'TUSD BE'!$AD$36+'TUSD BE'!$AL$36</f>
        <v>293.27071820562838</v>
      </c>
      <c r="AP36" s="59">
        <f ca="1">+'TUSD BE'!$T$36+'TUSD BE'!$AB$36+'TUSD BE'!$AD$36+'TUSD BE'!$AL$36</f>
        <v>293.27071820562838</v>
      </c>
    </row>
    <row r="37" spans="1:42" ht="11.25" customHeight="1" x14ac:dyDescent="0.25">
      <c r="A37" s="149"/>
      <c r="B37" s="56" t="s">
        <v>23</v>
      </c>
      <c r="C37" s="56" t="s">
        <v>42</v>
      </c>
      <c r="D37" s="56" t="s">
        <v>90</v>
      </c>
      <c r="E37" s="56" t="s">
        <v>25</v>
      </c>
      <c r="F37" s="56" t="s">
        <v>25</v>
      </c>
      <c r="G37" s="57" t="s">
        <v>78</v>
      </c>
      <c r="H37" s="57" t="s">
        <v>74</v>
      </c>
      <c r="I37" s="57">
        <f>'MERCADO TUSD'!$U$34</f>
        <v>0</v>
      </c>
      <c r="J37" s="15"/>
      <c r="L37" s="31">
        <f>'TUSD BE'!$L$37*'TUSD BF'!$L$58</f>
        <v>0</v>
      </c>
      <c r="M37" s="31">
        <f>'TUSD BE'!$M$37*'TUSD BF'!$M$58</f>
        <v>0</v>
      </c>
      <c r="N37" s="31">
        <f ca="1">'TUSD BE'!$N$37*'TUSD BF'!$N$58</f>
        <v>0</v>
      </c>
      <c r="O37" s="31">
        <f>'TUSD BE'!$O$37*'TUSD BF'!$O$58</f>
        <v>0</v>
      </c>
      <c r="P37" s="31">
        <f>'TUSD BE'!$P$37*'TUSD BF'!$P$58</f>
        <v>0</v>
      </c>
      <c r="Q37" s="31">
        <f>'TUSD BE'!$Q$37*'TUSD BF'!$Q$58</f>
        <v>20.433001309297889</v>
      </c>
      <c r="R37" s="31">
        <f>'TUSD BE'!$R$37*'TUSD BF'!$R$58</f>
        <v>3.8853520350815653</v>
      </c>
      <c r="S37" s="31">
        <f>'TUSD BE'!$R$37*'TUSD BF'!$S$58</f>
        <v>0</v>
      </c>
      <c r="T37" s="31">
        <f ca="1">SUM($L$37:$S$37)</f>
        <v>24.318353344379453</v>
      </c>
      <c r="U37" s="31">
        <f>'TUSD BE'!$U$37*'TUSD BF'!$U$58</f>
        <v>0</v>
      </c>
      <c r="V37" s="31">
        <f>'TUSD BE'!$V$37*'TUSD BF'!$V$58</f>
        <v>0</v>
      </c>
      <c r="W37" s="31">
        <f>'TUSD BE'!$W$37*'TUSD BF'!$W$58</f>
        <v>0</v>
      </c>
      <c r="X37" s="31">
        <f>'TUSD BE'!$X$37*'TUSD BF'!$X$58</f>
        <v>0</v>
      </c>
      <c r="Y37" s="31">
        <f>'TUSD BE'!$Y$37*'TUSD BF'!$Y$58</f>
        <v>0</v>
      </c>
      <c r="Z37" s="31">
        <f>'TUSD BE'!$Z$37*'TUSD BF'!$Z$58</f>
        <v>0</v>
      </c>
      <c r="AA37" s="31">
        <f>'TUSD BE'!$AA$37*'TUSD BF'!$AA$58</f>
        <v>0</v>
      </c>
      <c r="AB37" s="31">
        <f>SUM($U$37:$AA$37)</f>
        <v>0</v>
      </c>
      <c r="AC37" s="31">
        <f>'TUSD BE'!$AC$37*'TUSD BF'!$AC$58</f>
        <v>0</v>
      </c>
      <c r="AD37" s="31">
        <f>SUM($AC$37:$AC$37)</f>
        <v>0</v>
      </c>
      <c r="AE37" s="31">
        <f ca="1">$AO$37*$AO$55</f>
        <v>0</v>
      </c>
      <c r="AF37" s="31">
        <f ca="1">$AP$37*$AP$55</f>
        <v>0</v>
      </c>
      <c r="AG37" s="31">
        <f ca="1">SUM($AE$37:$AF$37)</f>
        <v>0</v>
      </c>
      <c r="AH37" s="31">
        <f>'TUSD BE'!$AH$37*'TUSD BF'!$AH$58</f>
        <v>-4.0246121917318092E-2</v>
      </c>
      <c r="AI37" s="31">
        <f>'TUSD BE'!$AI$37*'TUSD BF'!$AI$58</f>
        <v>-8.7075403742267353E-4</v>
      </c>
      <c r="AJ37" s="31">
        <f ca="1">'TUSD BE'!$AJ$37*'TUSD BF'!$AJ$58</f>
        <v>-6.9732094475926266E-4</v>
      </c>
      <c r="AK37" s="31">
        <f ca="1">'TUSD BE'!$AK$37*'TUSD BF'!$AK$58</f>
        <v>0</v>
      </c>
      <c r="AL37" s="31">
        <f ca="1">SUM($AH$37:$AK$37)</f>
        <v>-4.1814196899500028E-2</v>
      </c>
      <c r="AM37" s="31">
        <f ca="1">SUMIF($L$4:$AL$4,"SUBTOTAL",$L$37:$AL$37)</f>
        <v>24.276539147479951</v>
      </c>
      <c r="AO37" s="59">
        <f ca="1">+'TUSD BE'!$T$37+'TUSD BE'!$AB$37+'TUSD BE'!$AD$37+'TUSD BE'!$AL$37</f>
        <v>396.8467543887827</v>
      </c>
      <c r="AP37" s="59">
        <f ca="1">+'TUSD BE'!$T$37+'TUSD BE'!$AB$37+'TUSD BE'!$AD$37+'TUSD BE'!$AL$37</f>
        <v>396.8467543887827</v>
      </c>
    </row>
    <row r="38" spans="1:42" ht="11.25" customHeight="1" x14ac:dyDescent="0.25">
      <c r="A38" s="149"/>
      <c r="B38" s="149" t="s">
        <v>50</v>
      </c>
      <c r="C38" s="149" t="s">
        <v>42</v>
      </c>
      <c r="D38" s="149" t="s">
        <v>91</v>
      </c>
      <c r="E38" s="149" t="s">
        <v>25</v>
      </c>
      <c r="F38" s="149" t="s">
        <v>25</v>
      </c>
      <c r="G38" s="57" t="s">
        <v>75</v>
      </c>
      <c r="H38" s="57" t="s">
        <v>74</v>
      </c>
      <c r="I38" s="57">
        <f>'MERCADO TUSD'!$U$35</f>
        <v>0</v>
      </c>
      <c r="J38" s="15"/>
      <c r="L38" s="31">
        <f>'TUSD BE'!$L$38*'TUSD BF'!$L$58</f>
        <v>0</v>
      </c>
      <c r="M38" s="31">
        <f>'TUSD BE'!$M$38*'TUSD BF'!$M$58</f>
        <v>0</v>
      </c>
      <c r="N38" s="31">
        <f ca="1">'TUSD BE'!$N$38*'TUSD BF'!$N$58</f>
        <v>0</v>
      </c>
      <c r="O38" s="31">
        <f>'TUSD BE'!$O$38*'TUSD BF'!$O$58</f>
        <v>0</v>
      </c>
      <c r="P38" s="31">
        <f>'TUSD BE'!$P$38*'TUSD BF'!$P$58</f>
        <v>0</v>
      </c>
      <c r="Q38" s="31">
        <f>'TUSD BE'!$Q$38*'TUSD BF'!$Q$58</f>
        <v>20.433001309297889</v>
      </c>
      <c r="R38" s="31">
        <f>'TUSD BE'!$R$38*'TUSD BF'!$R$58</f>
        <v>3.8853520350815653</v>
      </c>
      <c r="S38" s="31">
        <f>'TUSD BE'!$R$38*'TUSD BF'!$S$58</f>
        <v>0</v>
      </c>
      <c r="T38" s="31">
        <f ca="1">SUM($L$38:$S$38)</f>
        <v>24.318353344379453</v>
      </c>
      <c r="U38" s="31">
        <f>'TUSD BE'!$U$38*'TUSD BF'!$U$58</f>
        <v>0</v>
      </c>
      <c r="V38" s="31">
        <f>'TUSD BE'!$V$38*'TUSD BF'!$V$58</f>
        <v>0</v>
      </c>
      <c r="W38" s="31">
        <f>'TUSD BE'!$W$38*'TUSD BF'!$W$58</f>
        <v>0</v>
      </c>
      <c r="X38" s="31">
        <f>'TUSD BE'!$X$38*'TUSD BF'!$X$58</f>
        <v>0</v>
      </c>
      <c r="Y38" s="31">
        <f>'TUSD BE'!$Y$38*'TUSD BF'!$Y$58</f>
        <v>0</v>
      </c>
      <c r="Z38" s="31">
        <f>'TUSD BE'!$Z$38*'TUSD BF'!$Z$58</f>
        <v>0</v>
      </c>
      <c r="AA38" s="31">
        <f>'TUSD BE'!$AA$38*'TUSD BF'!$AA$58</f>
        <v>0</v>
      </c>
      <c r="AB38" s="31">
        <f>SUM($U$38:$AA$38)</f>
        <v>0</v>
      </c>
      <c r="AC38" s="31">
        <f>'TUSD BE'!$AC$38*'TUSD BF'!$AC$58</f>
        <v>0</v>
      </c>
      <c r="AD38" s="31">
        <f>SUM($AC$38:$AC$38)</f>
        <v>0</v>
      </c>
      <c r="AE38" s="31">
        <f ca="1">$AO$38*$AO$55</f>
        <v>0</v>
      </c>
      <c r="AF38" s="31">
        <f ca="1">$AP$38*$AP$55</f>
        <v>0</v>
      </c>
      <c r="AG38" s="31">
        <f ca="1">SUM($AE$38:$AF$38)</f>
        <v>0</v>
      </c>
      <c r="AH38" s="31">
        <f>'TUSD BE'!$AH$38*'TUSD BF'!$AH$58</f>
        <v>-4.0246121917318092E-2</v>
      </c>
      <c r="AI38" s="31">
        <f>'TUSD BE'!$AI$38*'TUSD BF'!$AI$58</f>
        <v>-8.7075403742267353E-4</v>
      </c>
      <c r="AJ38" s="31">
        <f ca="1">'TUSD BE'!$AJ$38*'TUSD BF'!$AJ$58</f>
        <v>-6.9732094475926266E-4</v>
      </c>
      <c r="AK38" s="31">
        <f ca="1">'TUSD BE'!$AK$38*'TUSD BF'!$AK$58</f>
        <v>0</v>
      </c>
      <c r="AL38" s="31">
        <f ca="1">SUM($AH$38:$AK$38)</f>
        <v>-4.1814196899500028E-2</v>
      </c>
      <c r="AM38" s="31">
        <f ca="1">SUMIF($L$4:$AL$4,"SUBTOTAL",$L$38:$AL$38)</f>
        <v>24.276539147479951</v>
      </c>
      <c r="AO38" s="59">
        <f ca="1">+'TUSD BE'!$T$38+'TUSD BE'!$AB$38+'TUSD BE'!$AD$38+'TUSD BE'!$AL$38</f>
        <v>969.24064644711382</v>
      </c>
      <c r="AP38" s="59">
        <f ca="1">+'TUSD BE'!$T$38+'TUSD BE'!$AB$38+'TUSD BE'!$AD$38+'TUSD BE'!$AL$38</f>
        <v>969.24064644711382</v>
      </c>
    </row>
    <row r="39" spans="1:42" ht="11.25" customHeight="1" x14ac:dyDescent="0.25">
      <c r="A39" s="149"/>
      <c r="B39" s="149"/>
      <c r="C39" s="149"/>
      <c r="D39" s="149"/>
      <c r="E39" s="149"/>
      <c r="F39" s="149"/>
      <c r="G39" s="57" t="s">
        <v>87</v>
      </c>
      <c r="H39" s="57" t="s">
        <v>74</v>
      </c>
      <c r="I39" s="57">
        <f>'MERCADO TUSD'!$U$36</f>
        <v>0</v>
      </c>
      <c r="J39" s="15"/>
      <c r="L39" s="31">
        <f>'TUSD BE'!$L$39*'TUSD BF'!$L$58</f>
        <v>0</v>
      </c>
      <c r="M39" s="31">
        <f>'TUSD BE'!$M$39*'TUSD BF'!$M$58</f>
        <v>0</v>
      </c>
      <c r="N39" s="31">
        <f ca="1">'TUSD BE'!$N$39*'TUSD BF'!$N$58</f>
        <v>0</v>
      </c>
      <c r="O39" s="31">
        <f>'TUSD BE'!$O$39*'TUSD BF'!$O$58</f>
        <v>0</v>
      </c>
      <c r="P39" s="31">
        <f>'TUSD BE'!$P$39*'TUSD BF'!$P$58</f>
        <v>0</v>
      </c>
      <c r="Q39" s="31">
        <f>'TUSD BE'!$Q$39*'TUSD BF'!$Q$58</f>
        <v>20.433001309297889</v>
      </c>
      <c r="R39" s="31">
        <f>'TUSD BE'!$R$39*'TUSD BF'!$R$58</f>
        <v>3.8853520350815653</v>
      </c>
      <c r="S39" s="31">
        <f>'TUSD BE'!$R$39*'TUSD BF'!$S$58</f>
        <v>0</v>
      </c>
      <c r="T39" s="31">
        <f ca="1">SUM($L$39:$S$39)</f>
        <v>24.318353344379453</v>
      </c>
      <c r="U39" s="31">
        <f>'TUSD BE'!$U$39*'TUSD BF'!$U$58</f>
        <v>0</v>
      </c>
      <c r="V39" s="31">
        <f>'TUSD BE'!$V$39*'TUSD BF'!$V$58</f>
        <v>0</v>
      </c>
      <c r="W39" s="31">
        <f>'TUSD BE'!$W$39*'TUSD BF'!$W$58</f>
        <v>0</v>
      </c>
      <c r="X39" s="31">
        <f>'TUSD BE'!$X$39*'TUSD BF'!$X$58</f>
        <v>0</v>
      </c>
      <c r="Y39" s="31">
        <f>'TUSD BE'!$Y$39*'TUSD BF'!$Y$58</f>
        <v>0</v>
      </c>
      <c r="Z39" s="31">
        <f>'TUSD BE'!$Z$39*'TUSD BF'!$Z$58</f>
        <v>0</v>
      </c>
      <c r="AA39" s="31">
        <f>'TUSD BE'!$AA$39*'TUSD BF'!$AA$58</f>
        <v>0</v>
      </c>
      <c r="AB39" s="31">
        <f>SUM($U$39:$AA$39)</f>
        <v>0</v>
      </c>
      <c r="AC39" s="31">
        <f>'TUSD BE'!$AC$39*'TUSD BF'!$AC$58</f>
        <v>0</v>
      </c>
      <c r="AD39" s="31">
        <f>SUM($AC$39:$AC$39)</f>
        <v>0</v>
      </c>
      <c r="AE39" s="31">
        <f ca="1">$AO$39*$AO$55</f>
        <v>0</v>
      </c>
      <c r="AF39" s="31">
        <f ca="1">$AP$39*$AP$55</f>
        <v>0</v>
      </c>
      <c r="AG39" s="31">
        <f ca="1">SUM($AE$39:$AF$39)</f>
        <v>0</v>
      </c>
      <c r="AH39" s="31">
        <f>'TUSD BE'!$AH$39*'TUSD BF'!$AH$58</f>
        <v>-4.0246121917318092E-2</v>
      </c>
      <c r="AI39" s="31">
        <f>'TUSD BE'!$AI$39*'TUSD BF'!$AI$58</f>
        <v>-8.7075403742267353E-4</v>
      </c>
      <c r="AJ39" s="31">
        <f ca="1">'TUSD BE'!$AJ$39*'TUSD BF'!$AJ$58</f>
        <v>-6.9732094475926266E-4</v>
      </c>
      <c r="AK39" s="31">
        <f ca="1">'TUSD BE'!$AK$39*'TUSD BF'!$AK$58</f>
        <v>0</v>
      </c>
      <c r="AL39" s="31">
        <f ca="1">SUM($AH$39:$AK$39)</f>
        <v>-4.1814196899500028E-2</v>
      </c>
      <c r="AM39" s="31">
        <f ca="1">SUMIF($L$4:$AL$4,"SUBTOTAL",$L$39:$AL$39)</f>
        <v>24.276539147479951</v>
      </c>
      <c r="AO39" s="59">
        <f ca="1">+'TUSD BE'!$T$39+'TUSD BE'!$AB$39+'TUSD BE'!$AD$39+'TUSD BE'!$AL$39</f>
        <v>631.25568232637124</v>
      </c>
      <c r="AP39" s="59">
        <f ca="1">+'TUSD BE'!$T$39+'TUSD BE'!$AB$39+'TUSD BE'!$AD$39+'TUSD BE'!$AL$39</f>
        <v>631.25568232637124</v>
      </c>
    </row>
    <row r="40" spans="1:42" ht="11.25" customHeight="1" x14ac:dyDescent="0.25">
      <c r="A40" s="149"/>
      <c r="B40" s="149"/>
      <c r="C40" s="149"/>
      <c r="D40" s="149"/>
      <c r="E40" s="149"/>
      <c r="F40" s="149"/>
      <c r="G40" s="57" t="s">
        <v>76</v>
      </c>
      <c r="H40" s="57" t="s">
        <v>74</v>
      </c>
      <c r="I40" s="57">
        <f>'MERCADO TUSD'!$U$37</f>
        <v>0</v>
      </c>
      <c r="J40" s="15"/>
      <c r="L40" s="31">
        <f>'TUSD BE'!$L$40*'TUSD BF'!$L$58</f>
        <v>0</v>
      </c>
      <c r="M40" s="31">
        <f>'TUSD BE'!$M$40*'TUSD BF'!$M$58</f>
        <v>0</v>
      </c>
      <c r="N40" s="31">
        <f ca="1">'TUSD BE'!$N$40*'TUSD BF'!$N$58</f>
        <v>0</v>
      </c>
      <c r="O40" s="31">
        <f>'TUSD BE'!$O$40*'TUSD BF'!$O$58</f>
        <v>0</v>
      </c>
      <c r="P40" s="31">
        <f>'TUSD BE'!$P$40*'TUSD BF'!$P$58</f>
        <v>0</v>
      </c>
      <c r="Q40" s="31">
        <f>'TUSD BE'!$Q$40*'TUSD BF'!$Q$58</f>
        <v>20.433001309297889</v>
      </c>
      <c r="R40" s="31">
        <f>'TUSD BE'!$R$40*'TUSD BF'!$R$58</f>
        <v>3.8853520350815653</v>
      </c>
      <c r="S40" s="31">
        <f>'TUSD BE'!$R$40*'TUSD BF'!$S$58</f>
        <v>0</v>
      </c>
      <c r="T40" s="31">
        <f ca="1">SUM($L$40:$S$40)</f>
        <v>24.318353344379453</v>
      </c>
      <c r="U40" s="31">
        <f>'TUSD BE'!$U$40*'TUSD BF'!$U$58</f>
        <v>0</v>
      </c>
      <c r="V40" s="31">
        <f>'TUSD BE'!$V$40*'TUSD BF'!$V$58</f>
        <v>0</v>
      </c>
      <c r="W40" s="31">
        <f>'TUSD BE'!$W$40*'TUSD BF'!$W$58</f>
        <v>0</v>
      </c>
      <c r="X40" s="31">
        <f>'TUSD BE'!$X$40*'TUSD BF'!$X$58</f>
        <v>0</v>
      </c>
      <c r="Y40" s="31">
        <f>'TUSD BE'!$Y$40*'TUSD BF'!$Y$58</f>
        <v>0</v>
      </c>
      <c r="Z40" s="31">
        <f>'TUSD BE'!$Z$40*'TUSD BF'!$Z$58</f>
        <v>0</v>
      </c>
      <c r="AA40" s="31">
        <f>'TUSD BE'!$AA$40*'TUSD BF'!$AA$58</f>
        <v>0</v>
      </c>
      <c r="AB40" s="31">
        <f>SUM($U$40:$AA$40)</f>
        <v>0</v>
      </c>
      <c r="AC40" s="31">
        <f>'TUSD BE'!$AC$40*'TUSD BF'!$AC$58</f>
        <v>0</v>
      </c>
      <c r="AD40" s="31">
        <f>SUM($AC$40:$AC$40)</f>
        <v>0</v>
      </c>
      <c r="AE40" s="31">
        <f ca="1">$AO$40*$AO$55</f>
        <v>0</v>
      </c>
      <c r="AF40" s="31">
        <f ca="1">$AP$40*$AP$55</f>
        <v>0</v>
      </c>
      <c r="AG40" s="31">
        <f ca="1">SUM($AE$40:$AF$40)</f>
        <v>0</v>
      </c>
      <c r="AH40" s="31">
        <f>'TUSD BE'!$AH$40*'TUSD BF'!$AH$58</f>
        <v>-4.0246121917318092E-2</v>
      </c>
      <c r="AI40" s="31">
        <f>'TUSD BE'!$AI$40*'TUSD BF'!$AI$58</f>
        <v>-8.7075403742267353E-4</v>
      </c>
      <c r="AJ40" s="31">
        <f ca="1">'TUSD BE'!$AJ$40*'TUSD BF'!$AJ$58</f>
        <v>-6.9732094475926266E-4</v>
      </c>
      <c r="AK40" s="31">
        <f ca="1">'TUSD BE'!$AK$40*'TUSD BF'!$AK$58</f>
        <v>0</v>
      </c>
      <c r="AL40" s="31">
        <f ca="1">SUM($AH$40:$AK$40)</f>
        <v>-4.1814196899500028E-2</v>
      </c>
      <c r="AM40" s="31">
        <f ca="1">SUMIF($L$4:$AL$4,"SUBTOTAL",$L$40:$AL$40)</f>
        <v>24.276539147479951</v>
      </c>
      <c r="AO40" s="59">
        <f ca="1">+'TUSD BE'!$T$40+'TUSD BE'!$AB$40+'TUSD BE'!$AD$40+'TUSD BE'!$AL$40</f>
        <v>293.27071820562838</v>
      </c>
      <c r="AP40" s="59">
        <f ca="1">+'TUSD BE'!$T$40+'TUSD BE'!$AB$40+'TUSD BE'!$AD$40+'TUSD BE'!$AL$40</f>
        <v>293.27071820562838</v>
      </c>
    </row>
    <row r="41" spans="1:42" ht="11.25" customHeight="1" x14ac:dyDescent="0.25">
      <c r="A41" s="149"/>
      <c r="B41" s="56" t="s">
        <v>23</v>
      </c>
      <c r="C41" s="56" t="s">
        <v>42</v>
      </c>
      <c r="D41" s="56" t="s">
        <v>91</v>
      </c>
      <c r="E41" s="56" t="s">
        <v>25</v>
      </c>
      <c r="F41" s="56" t="s">
        <v>25</v>
      </c>
      <c r="G41" s="57" t="s">
        <v>78</v>
      </c>
      <c r="H41" s="57" t="s">
        <v>74</v>
      </c>
      <c r="I41" s="57">
        <f>'MERCADO TUSD'!$U$38</f>
        <v>0</v>
      </c>
      <c r="J41" s="15"/>
      <c r="L41" s="31">
        <f>'TUSD BE'!$L$41*'TUSD BF'!$L$58</f>
        <v>0</v>
      </c>
      <c r="M41" s="31">
        <f>'TUSD BE'!$M$41*'TUSD BF'!$M$58</f>
        <v>0</v>
      </c>
      <c r="N41" s="31">
        <f ca="1">'TUSD BE'!$N$41*'TUSD BF'!$N$58</f>
        <v>0</v>
      </c>
      <c r="O41" s="31">
        <f>'TUSD BE'!$O$41*'TUSD BF'!$O$58</f>
        <v>0</v>
      </c>
      <c r="P41" s="31">
        <f>'TUSD BE'!$P$41*'TUSD BF'!$P$58</f>
        <v>0</v>
      </c>
      <c r="Q41" s="31">
        <f>'TUSD BE'!$Q$41*'TUSD BF'!$Q$58</f>
        <v>20.433001309297889</v>
      </c>
      <c r="R41" s="31">
        <f>'TUSD BE'!$R$41*'TUSD BF'!$R$58</f>
        <v>3.8853520350815653</v>
      </c>
      <c r="S41" s="31">
        <f>'TUSD BE'!$R$41*'TUSD BF'!$S$58</f>
        <v>0</v>
      </c>
      <c r="T41" s="31">
        <f ca="1">SUM($L$41:$S$41)</f>
        <v>24.318353344379453</v>
      </c>
      <c r="U41" s="31">
        <f>'TUSD BE'!$U$41*'TUSD BF'!$U$58</f>
        <v>0</v>
      </c>
      <c r="V41" s="31">
        <f>'TUSD BE'!$V$41*'TUSD BF'!$V$58</f>
        <v>0</v>
      </c>
      <c r="W41" s="31">
        <f>'TUSD BE'!$W$41*'TUSD BF'!$W$58</f>
        <v>0</v>
      </c>
      <c r="X41" s="31">
        <f>'TUSD BE'!$X$41*'TUSD BF'!$X$58</f>
        <v>0</v>
      </c>
      <c r="Y41" s="31">
        <f>'TUSD BE'!$Y$41*'TUSD BF'!$Y$58</f>
        <v>0</v>
      </c>
      <c r="Z41" s="31">
        <f>'TUSD BE'!$Z$41*'TUSD BF'!$Z$58</f>
        <v>0</v>
      </c>
      <c r="AA41" s="31">
        <f>'TUSD BE'!$AA$41*'TUSD BF'!$AA$58</f>
        <v>0</v>
      </c>
      <c r="AB41" s="31">
        <f>SUM($U$41:$AA$41)</f>
        <v>0</v>
      </c>
      <c r="AC41" s="31">
        <f>'TUSD BE'!$AC$41*'TUSD BF'!$AC$58</f>
        <v>0</v>
      </c>
      <c r="AD41" s="31">
        <f>SUM($AC$41:$AC$41)</f>
        <v>0</v>
      </c>
      <c r="AE41" s="31">
        <f ca="1">$AO$41*$AO$55</f>
        <v>0</v>
      </c>
      <c r="AF41" s="31">
        <f ca="1">$AP$41*$AP$55</f>
        <v>0</v>
      </c>
      <c r="AG41" s="31">
        <f ca="1">SUM($AE$41:$AF$41)</f>
        <v>0</v>
      </c>
      <c r="AH41" s="31">
        <f>'TUSD BE'!$AH$41*'TUSD BF'!$AH$58</f>
        <v>-4.0246121917318092E-2</v>
      </c>
      <c r="AI41" s="31">
        <f>'TUSD BE'!$AI$41*'TUSD BF'!$AI$58</f>
        <v>-8.7075403742267353E-4</v>
      </c>
      <c r="AJ41" s="31">
        <f ca="1">'TUSD BE'!$AJ$41*'TUSD BF'!$AJ$58</f>
        <v>-6.9732094475926266E-4</v>
      </c>
      <c r="AK41" s="31">
        <f ca="1">'TUSD BE'!$AK$41*'TUSD BF'!$AK$58</f>
        <v>0</v>
      </c>
      <c r="AL41" s="31">
        <f ca="1">SUM($AH$41:$AK$41)</f>
        <v>-4.1814196899500028E-2</v>
      </c>
      <c r="AM41" s="31">
        <f ca="1">SUMIF($L$4:$AL$4,"SUBTOTAL",$L$41:$AL$41)</f>
        <v>24.276539147479951</v>
      </c>
      <c r="AO41" s="59">
        <f ca="1">+'TUSD BE'!$T$41+'TUSD BE'!$AB$41+'TUSD BE'!$AD$41+'TUSD BE'!$AL$41</f>
        <v>396.8467543887827</v>
      </c>
      <c r="AP41" s="59">
        <f ca="1">+'TUSD BE'!$T$41+'TUSD BE'!$AB$41+'TUSD BE'!$AD$41+'TUSD BE'!$AL$41</f>
        <v>396.8467543887827</v>
      </c>
    </row>
    <row r="42" spans="1:42" ht="11.25" customHeight="1" x14ac:dyDescent="0.25">
      <c r="A42" s="149"/>
      <c r="B42" s="149" t="s">
        <v>89</v>
      </c>
      <c r="C42" s="149" t="s">
        <v>42</v>
      </c>
      <c r="D42" s="56" t="s">
        <v>25</v>
      </c>
      <c r="E42" s="56" t="s">
        <v>25</v>
      </c>
      <c r="F42" s="56" t="s">
        <v>25</v>
      </c>
      <c r="G42" s="57" t="s">
        <v>78</v>
      </c>
      <c r="H42" s="57" t="s">
        <v>74</v>
      </c>
      <c r="I42" s="57">
        <f>'MERCADO TUSD'!$U$39</f>
        <v>0</v>
      </c>
      <c r="J42" s="15"/>
      <c r="L42" s="31">
        <f>'TUSD BE'!$L$42*'TUSD BF'!$L$58</f>
        <v>0</v>
      </c>
      <c r="M42" s="31">
        <f>'TUSD BE'!$M$42*'TUSD BF'!$M$58</f>
        <v>0</v>
      </c>
      <c r="N42" s="31">
        <f ca="1">'TUSD BE'!$N$42*'TUSD BF'!$N$58</f>
        <v>0</v>
      </c>
      <c r="O42" s="31">
        <f>'TUSD BE'!$O$42*'TUSD BF'!$O$58</f>
        <v>0</v>
      </c>
      <c r="P42" s="31">
        <f>'TUSD BE'!$P$42*'TUSD BF'!$P$58</f>
        <v>0</v>
      </c>
      <c r="Q42" s="31">
        <f>'TUSD BE'!$Q$42*'TUSD BF'!$Q$58</f>
        <v>20.433001309297889</v>
      </c>
      <c r="R42" s="31">
        <f>'TUSD BE'!$R$42*'TUSD BF'!$R$58</f>
        <v>3.8853520350815653</v>
      </c>
      <c r="S42" s="31">
        <f>'TUSD BE'!$R$42*'TUSD BF'!$S$58</f>
        <v>0</v>
      </c>
      <c r="T42" s="31">
        <f ca="1">SUM($L$42:$S$42)</f>
        <v>24.318353344379453</v>
      </c>
      <c r="U42" s="31">
        <f>'TUSD BE'!$U$42*'TUSD BF'!$U$58</f>
        <v>0</v>
      </c>
      <c r="V42" s="31">
        <f>'TUSD BE'!$V$42*'TUSD BF'!$V$58</f>
        <v>0</v>
      </c>
      <c r="W42" s="31">
        <f>'TUSD BE'!$W$42*'TUSD BF'!$W$58</f>
        <v>0</v>
      </c>
      <c r="X42" s="31">
        <f>'TUSD BE'!$X$42*'TUSD BF'!$X$58</f>
        <v>0</v>
      </c>
      <c r="Y42" s="31">
        <f>'TUSD BE'!$Y$42*'TUSD BF'!$Y$58</f>
        <v>0</v>
      </c>
      <c r="Z42" s="31">
        <f>'TUSD BE'!$Z$42*'TUSD BF'!$Z$58</f>
        <v>0</v>
      </c>
      <c r="AA42" s="31">
        <f>'TUSD BE'!$AA$42*'TUSD BF'!$AA$58</f>
        <v>0</v>
      </c>
      <c r="AB42" s="31">
        <f>SUM($U$42:$AA$42)</f>
        <v>0</v>
      </c>
      <c r="AC42" s="31">
        <f>'TUSD BE'!$AC$42*'TUSD BF'!$AC$58</f>
        <v>0</v>
      </c>
      <c r="AD42" s="31">
        <f>SUM($AC$42:$AC$42)</f>
        <v>0</v>
      </c>
      <c r="AE42" s="31">
        <f ca="1">$AO$42*$AO$55</f>
        <v>0</v>
      </c>
      <c r="AF42" s="31">
        <f ca="1">$AP$42*$AP$55</f>
        <v>0</v>
      </c>
      <c r="AG42" s="31">
        <f ca="1">SUM($AE$42:$AF$42)</f>
        <v>0</v>
      </c>
      <c r="AH42" s="31">
        <f>'TUSD BE'!$AH$42*'TUSD BF'!$AH$58</f>
        <v>-4.0246121917318092E-2</v>
      </c>
      <c r="AI42" s="31">
        <f>'TUSD BE'!$AI$42*'TUSD BF'!$AI$58</f>
        <v>-8.7075403742267353E-4</v>
      </c>
      <c r="AJ42" s="31">
        <f ca="1">'TUSD BE'!$AJ$42*'TUSD BF'!$AJ$58</f>
        <v>-6.9732094475926266E-4</v>
      </c>
      <c r="AK42" s="31">
        <f ca="1">'TUSD BE'!$AK$42*'TUSD BF'!$AK$58</f>
        <v>0</v>
      </c>
      <c r="AL42" s="31">
        <f ca="1">SUM($AH$42:$AK$42)</f>
        <v>-4.1814196899500028E-2</v>
      </c>
      <c r="AM42" s="31">
        <f ca="1">SUMIF($L$4:$AL$4,"SUBTOTAL",$L$42:$AL$42)</f>
        <v>24.276539147479951</v>
      </c>
      <c r="AO42" s="59">
        <f ca="1">+'TUSD BE'!$T$42+'TUSD BE'!$AB$42+'TUSD BE'!$AD$42+'TUSD BE'!$AL$42</f>
        <v>396.8467543887827</v>
      </c>
      <c r="AP42" s="59">
        <f ca="1">+'TUSD BE'!$T$42+'TUSD BE'!$AB$42+'TUSD BE'!$AD$42+'TUSD BE'!$AL$42</f>
        <v>396.8467543887827</v>
      </c>
    </row>
    <row r="43" spans="1:42" ht="11.25" customHeight="1" x14ac:dyDescent="0.25">
      <c r="A43" s="149"/>
      <c r="B43" s="149"/>
      <c r="C43" s="149"/>
      <c r="D43" s="56" t="s">
        <v>90</v>
      </c>
      <c r="E43" s="56" t="s">
        <v>25</v>
      </c>
      <c r="F43" s="56" t="s">
        <v>25</v>
      </c>
      <c r="G43" s="57" t="s">
        <v>78</v>
      </c>
      <c r="H43" s="57" t="s">
        <v>74</v>
      </c>
      <c r="I43" s="57">
        <f>'MERCADO TUSD'!$U$40</f>
        <v>0</v>
      </c>
      <c r="J43" s="15"/>
      <c r="L43" s="31">
        <f>'TUSD BE'!$L$43*'TUSD BF'!$L$58</f>
        <v>0</v>
      </c>
      <c r="M43" s="31">
        <f>'TUSD BE'!$M$43*'TUSD BF'!$M$58</f>
        <v>0</v>
      </c>
      <c r="N43" s="31">
        <f ca="1">'TUSD BE'!$N$43*'TUSD BF'!$N$58</f>
        <v>0</v>
      </c>
      <c r="O43" s="31">
        <f>'TUSD BE'!$O$43*'TUSD BF'!$O$58</f>
        <v>0</v>
      </c>
      <c r="P43" s="31">
        <f>'TUSD BE'!$P$43*'TUSD BF'!$P$58</f>
        <v>0</v>
      </c>
      <c r="Q43" s="31">
        <f>'TUSD BE'!$Q$43*'TUSD BF'!$Q$58</f>
        <v>20.433001309297889</v>
      </c>
      <c r="R43" s="31">
        <f>'TUSD BE'!$R$43*'TUSD BF'!$R$58</f>
        <v>3.8853520350815653</v>
      </c>
      <c r="S43" s="31">
        <f>'TUSD BE'!$R$43*'TUSD BF'!$S$58</f>
        <v>0</v>
      </c>
      <c r="T43" s="31">
        <f ca="1">SUM($L$43:$S$43)</f>
        <v>24.318353344379453</v>
      </c>
      <c r="U43" s="31">
        <f>'TUSD BE'!$U$43*'TUSD BF'!$U$58</f>
        <v>0</v>
      </c>
      <c r="V43" s="31">
        <f>'TUSD BE'!$V$43*'TUSD BF'!$V$58</f>
        <v>0</v>
      </c>
      <c r="W43" s="31">
        <f>'TUSD BE'!$W$43*'TUSD BF'!$W$58</f>
        <v>0</v>
      </c>
      <c r="X43" s="31">
        <f>'TUSD BE'!$X$43*'TUSD BF'!$X$58</f>
        <v>0</v>
      </c>
      <c r="Y43" s="31">
        <f>'TUSD BE'!$Y$43*'TUSD BF'!$Y$58</f>
        <v>0</v>
      </c>
      <c r="Z43" s="31">
        <f>'TUSD BE'!$Z$43*'TUSD BF'!$Z$58</f>
        <v>0</v>
      </c>
      <c r="AA43" s="31">
        <f>'TUSD BE'!$AA$43*'TUSD BF'!$AA$58</f>
        <v>0</v>
      </c>
      <c r="AB43" s="31">
        <f>SUM($U$43:$AA$43)</f>
        <v>0</v>
      </c>
      <c r="AC43" s="31">
        <f>'TUSD BE'!$AC$43*'TUSD BF'!$AC$58</f>
        <v>0</v>
      </c>
      <c r="AD43" s="31">
        <f>SUM($AC$43:$AC$43)</f>
        <v>0</v>
      </c>
      <c r="AE43" s="31">
        <f ca="1">$AO$43*$AO$55</f>
        <v>0</v>
      </c>
      <c r="AF43" s="31">
        <f ca="1">$AP$43*$AP$55</f>
        <v>0</v>
      </c>
      <c r="AG43" s="31">
        <f ca="1">SUM($AE$43:$AF$43)</f>
        <v>0</v>
      </c>
      <c r="AH43" s="31">
        <f>'TUSD BE'!$AH$43*'TUSD BF'!$AH$58</f>
        <v>-4.0246121917318092E-2</v>
      </c>
      <c r="AI43" s="31">
        <f>'TUSD BE'!$AI$43*'TUSD BF'!$AI$58</f>
        <v>-8.7075403742267353E-4</v>
      </c>
      <c r="AJ43" s="31">
        <f ca="1">'TUSD BE'!$AJ$43*'TUSD BF'!$AJ$58</f>
        <v>-6.9732094475926266E-4</v>
      </c>
      <c r="AK43" s="31">
        <f ca="1">'TUSD BE'!$AK$43*'TUSD BF'!$AK$58</f>
        <v>0</v>
      </c>
      <c r="AL43" s="31">
        <f ca="1">SUM($AH$43:$AK$43)</f>
        <v>-4.1814196899500028E-2</v>
      </c>
      <c r="AM43" s="31">
        <f ca="1">SUMIF($L$4:$AL$4,"SUBTOTAL",$L$43:$AL$43)</f>
        <v>24.276539147479951</v>
      </c>
      <c r="AO43" s="59">
        <f ca="1">+'TUSD BE'!$T$43+'TUSD BE'!$AB$43+'TUSD BE'!$AD$43+'TUSD BE'!$AL$43</f>
        <v>396.8467543887827</v>
      </c>
      <c r="AP43" s="59">
        <f ca="1">+'TUSD BE'!$T$43+'TUSD BE'!$AB$43+'TUSD BE'!$AD$43+'TUSD BE'!$AL$43</f>
        <v>396.8467543887827</v>
      </c>
    </row>
    <row r="44" spans="1:42" ht="11.25" customHeight="1" x14ac:dyDescent="0.25">
      <c r="A44" s="149"/>
      <c r="B44" s="149"/>
      <c r="C44" s="149"/>
      <c r="D44" s="56" t="s">
        <v>91</v>
      </c>
      <c r="E44" s="56" t="s">
        <v>25</v>
      </c>
      <c r="F44" s="56" t="s">
        <v>25</v>
      </c>
      <c r="G44" s="57" t="s">
        <v>78</v>
      </c>
      <c r="H44" s="57" t="s">
        <v>74</v>
      </c>
      <c r="I44" s="57">
        <f>'MERCADO TUSD'!$U$41</f>
        <v>0</v>
      </c>
      <c r="J44" s="15"/>
      <c r="L44" s="31">
        <f>'TUSD BE'!$L$44*'TUSD BF'!$L$58</f>
        <v>0</v>
      </c>
      <c r="M44" s="31">
        <f>'TUSD BE'!$M$44*'TUSD BF'!$M$58</f>
        <v>0</v>
      </c>
      <c r="N44" s="31">
        <f ca="1">'TUSD BE'!$N$44*'TUSD BF'!$N$58</f>
        <v>0</v>
      </c>
      <c r="O44" s="31">
        <f>'TUSD BE'!$O$44*'TUSD BF'!$O$58</f>
        <v>0</v>
      </c>
      <c r="P44" s="31">
        <f>'TUSD BE'!$P$44*'TUSD BF'!$P$58</f>
        <v>0</v>
      </c>
      <c r="Q44" s="31">
        <f>'TUSD BE'!$Q$44*'TUSD BF'!$Q$58</f>
        <v>20.433001309297889</v>
      </c>
      <c r="R44" s="31">
        <f>'TUSD BE'!$R$44*'TUSD BF'!$R$58</f>
        <v>3.8853520350815653</v>
      </c>
      <c r="S44" s="31">
        <f>'TUSD BE'!$R$44*'TUSD BF'!$S$58</f>
        <v>0</v>
      </c>
      <c r="T44" s="31">
        <f ca="1">SUM($L$44:$S$44)</f>
        <v>24.318353344379453</v>
      </c>
      <c r="U44" s="31">
        <f>'TUSD BE'!$U$44*'TUSD BF'!$U$58</f>
        <v>0</v>
      </c>
      <c r="V44" s="31">
        <f>'TUSD BE'!$V$44*'TUSD BF'!$V$58</f>
        <v>0</v>
      </c>
      <c r="W44" s="31">
        <f>'TUSD BE'!$W$44*'TUSD BF'!$W$58</f>
        <v>0</v>
      </c>
      <c r="X44" s="31">
        <f>'TUSD BE'!$X$44*'TUSD BF'!$X$58</f>
        <v>0</v>
      </c>
      <c r="Y44" s="31">
        <f>'TUSD BE'!$Y$44*'TUSD BF'!$Y$58</f>
        <v>0</v>
      </c>
      <c r="Z44" s="31">
        <f>'TUSD BE'!$Z$44*'TUSD BF'!$Z$58</f>
        <v>0</v>
      </c>
      <c r="AA44" s="31">
        <f>'TUSD BE'!$AA$44*'TUSD BF'!$AA$58</f>
        <v>0</v>
      </c>
      <c r="AB44" s="31">
        <f>SUM($U$44:$AA$44)</f>
        <v>0</v>
      </c>
      <c r="AC44" s="31">
        <f>'TUSD BE'!$AC$44*'TUSD BF'!$AC$58</f>
        <v>0</v>
      </c>
      <c r="AD44" s="31">
        <f>SUM($AC$44:$AC$44)</f>
        <v>0</v>
      </c>
      <c r="AE44" s="31">
        <f ca="1">$AO$44*$AO$55</f>
        <v>0</v>
      </c>
      <c r="AF44" s="31">
        <f ca="1">$AP$44*$AP$55</f>
        <v>0</v>
      </c>
      <c r="AG44" s="31">
        <f ca="1">SUM($AE$44:$AF$44)</f>
        <v>0</v>
      </c>
      <c r="AH44" s="31">
        <f>'TUSD BE'!$AH$44*'TUSD BF'!$AH$58</f>
        <v>-4.0246121917318092E-2</v>
      </c>
      <c r="AI44" s="31">
        <f>'TUSD BE'!$AI$44*'TUSD BF'!$AI$58</f>
        <v>-8.7075403742267353E-4</v>
      </c>
      <c r="AJ44" s="31">
        <f ca="1">'TUSD BE'!$AJ$44*'TUSD BF'!$AJ$58</f>
        <v>-6.9732094475926266E-4</v>
      </c>
      <c r="AK44" s="31">
        <f ca="1">'TUSD BE'!$AK$44*'TUSD BF'!$AK$58</f>
        <v>0</v>
      </c>
      <c r="AL44" s="31">
        <f ca="1">SUM($AH$44:$AK$44)</f>
        <v>-4.1814196899500028E-2</v>
      </c>
      <c r="AM44" s="31">
        <f ca="1">SUMIF($L$4:$AL$4,"SUBTOTAL",$L$44:$AL$44)</f>
        <v>24.276539147479951</v>
      </c>
      <c r="AO44" s="59">
        <f ca="1">+'TUSD BE'!$T$44+'TUSD BE'!$AB$44+'TUSD BE'!$AD$44+'TUSD BE'!$AL$44</f>
        <v>396.8467543887827</v>
      </c>
      <c r="AP44" s="59">
        <f ca="1">+'TUSD BE'!$T$44+'TUSD BE'!$AB$44+'TUSD BE'!$AD$44+'TUSD BE'!$AL$44</f>
        <v>396.8467543887827</v>
      </c>
    </row>
    <row r="45" spans="1:42" ht="11.25" customHeight="1" x14ac:dyDescent="0.25">
      <c r="A45" s="149" t="s">
        <v>33</v>
      </c>
      <c r="B45" s="149" t="s">
        <v>50</v>
      </c>
      <c r="C45" s="149" t="s">
        <v>25</v>
      </c>
      <c r="D45" s="149" t="s">
        <v>25</v>
      </c>
      <c r="E45" s="149" t="s">
        <v>25</v>
      </c>
      <c r="F45" s="149" t="s">
        <v>25</v>
      </c>
      <c r="G45" s="57" t="s">
        <v>75</v>
      </c>
      <c r="H45" s="57" t="s">
        <v>74</v>
      </c>
      <c r="I45" s="57">
        <f>'MERCADO TUSD'!$U$42</f>
        <v>1.1399999999999999</v>
      </c>
      <c r="J45" s="15"/>
      <c r="L45" s="31">
        <f>'TUSD BE'!$L$45*'TUSD BF'!$L$58</f>
        <v>0</v>
      </c>
      <c r="M45" s="31">
        <f>'TUSD BE'!$M$45*'TUSD BF'!$M$58</f>
        <v>0</v>
      </c>
      <c r="N45" s="31">
        <f ca="1">'TUSD BE'!$N$45*'TUSD BF'!$N$58</f>
        <v>0</v>
      </c>
      <c r="O45" s="31">
        <f>'TUSD BE'!$O$45*'TUSD BF'!$O$58</f>
        <v>0</v>
      </c>
      <c r="P45" s="31">
        <f>'TUSD BE'!$P$45*'TUSD BF'!$P$58</f>
        <v>0</v>
      </c>
      <c r="Q45" s="31">
        <f>'TUSD BE'!$Q$45*'TUSD BF'!$Q$58</f>
        <v>20.433001309297889</v>
      </c>
      <c r="R45" s="31">
        <f>'TUSD BE'!$R$45*'TUSD BF'!$R$58</f>
        <v>3.8853520350815653</v>
      </c>
      <c r="S45" s="31">
        <f>'TUSD BE'!$R$45*'TUSD BF'!$S$58</f>
        <v>0</v>
      </c>
      <c r="T45" s="31">
        <f ca="1">SUM($L$45:$S$45)</f>
        <v>24.318353344379453</v>
      </c>
      <c r="U45" s="31">
        <f>'TUSD BE'!$U$45*'TUSD BF'!$U$58</f>
        <v>0</v>
      </c>
      <c r="V45" s="31">
        <f>'TUSD BE'!$V$45*'TUSD BF'!$V$58</f>
        <v>0</v>
      </c>
      <c r="W45" s="31">
        <f>'TUSD BE'!$W$45*'TUSD BF'!$W$58</f>
        <v>0</v>
      </c>
      <c r="X45" s="31">
        <f>'TUSD BE'!$X$45*'TUSD BF'!$X$58</f>
        <v>0</v>
      </c>
      <c r="Y45" s="31">
        <f>'TUSD BE'!$Y$45*'TUSD BF'!$Y$58</f>
        <v>0</v>
      </c>
      <c r="Z45" s="31">
        <f>'TUSD BE'!$Z$45*'TUSD BF'!$Z$58</f>
        <v>0</v>
      </c>
      <c r="AA45" s="31">
        <f>'TUSD BE'!$AA$45*'TUSD BF'!$AA$58</f>
        <v>0</v>
      </c>
      <c r="AB45" s="31">
        <f>SUM($U$45:$AA$45)</f>
        <v>0</v>
      </c>
      <c r="AC45" s="31">
        <f>'TUSD BE'!$AC$45*'TUSD BF'!$AC$58</f>
        <v>0</v>
      </c>
      <c r="AD45" s="31">
        <f>SUM($AC$45:$AC$45)</f>
        <v>0</v>
      </c>
      <c r="AE45" s="31">
        <f ca="1">$AO$45*$AO$55</f>
        <v>0</v>
      </c>
      <c r="AF45" s="31">
        <f ca="1">$AP$45*$AP$55</f>
        <v>0</v>
      </c>
      <c r="AG45" s="31">
        <f ca="1">SUM($AE$45:$AF$45)</f>
        <v>0</v>
      </c>
      <c r="AH45" s="31">
        <f>'TUSD BE'!$AH$45*'TUSD BF'!$AH$58</f>
        <v>-4.0246121917318092E-2</v>
      </c>
      <c r="AI45" s="31">
        <f>'TUSD BE'!$AI$45*'TUSD BF'!$AI$58</f>
        <v>-8.7075403742267353E-4</v>
      </c>
      <c r="AJ45" s="31">
        <f ca="1">'TUSD BE'!$AJ$45*'TUSD BF'!$AJ$58</f>
        <v>-6.9732094475926266E-4</v>
      </c>
      <c r="AK45" s="31">
        <f ca="1">'TUSD BE'!$AK$45*'TUSD BF'!$AK$58</f>
        <v>0</v>
      </c>
      <c r="AL45" s="31">
        <f ca="1">SUM($AH$45:$AK$45)</f>
        <v>-4.1814196899500028E-2</v>
      </c>
      <c r="AM45" s="31">
        <f ca="1">SUMIF($L$4:$AL$4,"SUBTOTAL",$L$45:$AL$45)</f>
        <v>24.276539147479951</v>
      </c>
      <c r="AO45" s="59">
        <f ca="1">+'TUSD BE'!$T$45+'TUSD BE'!$AB$45+'TUSD BE'!$AD$45+'TUSD BE'!$AL$45</f>
        <v>1078.2682274940757</v>
      </c>
      <c r="AP45" s="59">
        <f ca="1">+'TUSD BE'!$T$45+'TUSD BE'!$AB$45+'TUSD BE'!$AD$45+'TUSD BE'!$AL$45</f>
        <v>1078.2682274940757</v>
      </c>
    </row>
    <row r="46" spans="1:42" ht="11.25" customHeight="1" x14ac:dyDescent="0.25">
      <c r="A46" s="149"/>
      <c r="B46" s="149"/>
      <c r="C46" s="149"/>
      <c r="D46" s="149"/>
      <c r="E46" s="149"/>
      <c r="F46" s="149"/>
      <c r="G46" s="57" t="s">
        <v>87</v>
      </c>
      <c r="H46" s="57" t="s">
        <v>74</v>
      </c>
      <c r="I46" s="57">
        <f>'MERCADO TUSD'!$U$43</f>
        <v>1.5340000000000003</v>
      </c>
      <c r="J46" s="15"/>
      <c r="L46" s="31">
        <f>'TUSD BE'!$L$46*'TUSD BF'!$L$58</f>
        <v>0</v>
      </c>
      <c r="M46" s="31">
        <f>'TUSD BE'!$M$46*'TUSD BF'!$M$58</f>
        <v>0</v>
      </c>
      <c r="N46" s="31">
        <f ca="1">'TUSD BE'!$N$46*'TUSD BF'!$N$58</f>
        <v>0</v>
      </c>
      <c r="O46" s="31">
        <f>'TUSD BE'!$O$46*'TUSD BF'!$O$58</f>
        <v>0</v>
      </c>
      <c r="P46" s="31">
        <f>'TUSD BE'!$P$46*'TUSD BF'!$P$58</f>
        <v>0</v>
      </c>
      <c r="Q46" s="31">
        <f>'TUSD BE'!$Q$46*'TUSD BF'!$Q$58</f>
        <v>20.433001309297889</v>
      </c>
      <c r="R46" s="31">
        <f>'TUSD BE'!$R$46*'TUSD BF'!$R$58</f>
        <v>3.8853520350815653</v>
      </c>
      <c r="S46" s="31">
        <f>'TUSD BE'!$R$46*'TUSD BF'!$S$58</f>
        <v>0</v>
      </c>
      <c r="T46" s="31">
        <f ca="1">SUM($L$46:$S$46)</f>
        <v>24.318353344379453</v>
      </c>
      <c r="U46" s="31">
        <f>'TUSD BE'!$U$46*'TUSD BF'!$U$58</f>
        <v>0</v>
      </c>
      <c r="V46" s="31">
        <f>'TUSD BE'!$V$46*'TUSD BF'!$V$58</f>
        <v>0</v>
      </c>
      <c r="W46" s="31">
        <f>'TUSD BE'!$W$46*'TUSD BF'!$W$58</f>
        <v>0</v>
      </c>
      <c r="X46" s="31">
        <f>'TUSD BE'!$X$46*'TUSD BF'!$X$58</f>
        <v>0</v>
      </c>
      <c r="Y46" s="31">
        <f>'TUSD BE'!$Y$46*'TUSD BF'!$Y$58</f>
        <v>0</v>
      </c>
      <c r="Z46" s="31">
        <f>'TUSD BE'!$Z$46*'TUSD BF'!$Z$58</f>
        <v>0</v>
      </c>
      <c r="AA46" s="31">
        <f>'TUSD BE'!$AA$46*'TUSD BF'!$AA$58</f>
        <v>0</v>
      </c>
      <c r="AB46" s="31">
        <f>SUM($U$46:$AA$46)</f>
        <v>0</v>
      </c>
      <c r="AC46" s="31">
        <f>'TUSD BE'!$AC$46*'TUSD BF'!$AC$58</f>
        <v>0</v>
      </c>
      <c r="AD46" s="31">
        <f>SUM($AC$46:$AC$46)</f>
        <v>0</v>
      </c>
      <c r="AE46" s="31">
        <f ca="1">$AO$46*$AO$55</f>
        <v>0</v>
      </c>
      <c r="AF46" s="31">
        <f ca="1">$AP$46*$AP$55</f>
        <v>0</v>
      </c>
      <c r="AG46" s="31">
        <f ca="1">SUM($AE$46:$AF$46)</f>
        <v>0</v>
      </c>
      <c r="AH46" s="31">
        <f>'TUSD BE'!$AH$46*'TUSD BF'!$AH$58</f>
        <v>-4.0246121917318092E-2</v>
      </c>
      <c r="AI46" s="31">
        <f>'TUSD BE'!$AI$46*'TUSD BF'!$AI$58</f>
        <v>-8.7075403742267353E-4</v>
      </c>
      <c r="AJ46" s="31">
        <f ca="1">'TUSD BE'!$AJ$46*'TUSD BF'!$AJ$58</f>
        <v>-6.9732094475926266E-4</v>
      </c>
      <c r="AK46" s="31">
        <f ca="1">'TUSD BE'!$AK$46*'TUSD BF'!$AK$58</f>
        <v>0</v>
      </c>
      <c r="AL46" s="31">
        <f ca="1">SUM($AH$46:$AK$46)</f>
        <v>-4.1814196899500028E-2</v>
      </c>
      <c r="AM46" s="31">
        <f ca="1">SUMIF($L$4:$AL$4,"SUBTOTAL",$L$46:$AL$46)</f>
        <v>24.276539147479951</v>
      </c>
      <c r="AO46" s="59">
        <f ca="1">+'TUSD BE'!$T$46+'TUSD BE'!$AB$46+'TUSD BE'!$AD$46+'TUSD BE'!$AL$46</f>
        <v>696.67219131368597</v>
      </c>
      <c r="AP46" s="59">
        <f ca="1">+'TUSD BE'!$T$46+'TUSD BE'!$AB$46+'TUSD BE'!$AD$46+'TUSD BE'!$AL$46</f>
        <v>696.67219131368597</v>
      </c>
    </row>
    <row r="47" spans="1:42" ht="11.25" customHeight="1" x14ac:dyDescent="0.25">
      <c r="A47" s="149"/>
      <c r="B47" s="149"/>
      <c r="C47" s="149"/>
      <c r="D47" s="149"/>
      <c r="E47" s="149"/>
      <c r="F47" s="149"/>
      <c r="G47" s="57" t="s">
        <v>76</v>
      </c>
      <c r="H47" s="57" t="s">
        <v>74</v>
      </c>
      <c r="I47" s="57">
        <f>'MERCADO TUSD'!$U$44</f>
        <v>27.193000000000005</v>
      </c>
      <c r="J47" s="15"/>
      <c r="L47" s="31">
        <f>'TUSD BE'!$L$47*'TUSD BF'!$L$58</f>
        <v>0</v>
      </c>
      <c r="M47" s="31">
        <f>'TUSD BE'!$M$47*'TUSD BF'!$M$58</f>
        <v>0</v>
      </c>
      <c r="N47" s="31">
        <f ca="1">'TUSD BE'!$N$47*'TUSD BF'!$N$58</f>
        <v>0</v>
      </c>
      <c r="O47" s="31">
        <f>'TUSD BE'!$O$47*'TUSD BF'!$O$58</f>
        <v>0</v>
      </c>
      <c r="P47" s="31">
        <f>'TUSD BE'!$P$47*'TUSD BF'!$P$58</f>
        <v>0</v>
      </c>
      <c r="Q47" s="31">
        <f>'TUSD BE'!$Q$47*'TUSD BF'!$Q$58</f>
        <v>20.433001309297889</v>
      </c>
      <c r="R47" s="31">
        <f>'TUSD BE'!$R$47*'TUSD BF'!$R$58</f>
        <v>3.8853520350815653</v>
      </c>
      <c r="S47" s="31">
        <f>'TUSD BE'!$R$47*'TUSD BF'!$S$58</f>
        <v>0</v>
      </c>
      <c r="T47" s="31">
        <f ca="1">SUM($L$47:$S$47)</f>
        <v>24.318353344379453</v>
      </c>
      <c r="U47" s="31">
        <f>'TUSD BE'!$U$47*'TUSD BF'!$U$58</f>
        <v>0</v>
      </c>
      <c r="V47" s="31">
        <f>'TUSD BE'!$V$47*'TUSD BF'!$V$58</f>
        <v>0</v>
      </c>
      <c r="W47" s="31">
        <f>'TUSD BE'!$W$47*'TUSD BF'!$W$58</f>
        <v>0</v>
      </c>
      <c r="X47" s="31">
        <f>'TUSD BE'!$X$47*'TUSD BF'!$X$58</f>
        <v>0</v>
      </c>
      <c r="Y47" s="31">
        <f>'TUSD BE'!$Y$47*'TUSD BF'!$Y$58</f>
        <v>0</v>
      </c>
      <c r="Z47" s="31">
        <f>'TUSD BE'!$Z$47*'TUSD BF'!$Z$58</f>
        <v>0</v>
      </c>
      <c r="AA47" s="31">
        <f>'TUSD BE'!$AA$47*'TUSD BF'!$AA$58</f>
        <v>0</v>
      </c>
      <c r="AB47" s="31">
        <f>SUM($U$47:$AA$47)</f>
        <v>0</v>
      </c>
      <c r="AC47" s="31">
        <f>'TUSD BE'!$AC$47*'TUSD BF'!$AC$58</f>
        <v>0</v>
      </c>
      <c r="AD47" s="31">
        <f>SUM($AC$47:$AC$47)</f>
        <v>0</v>
      </c>
      <c r="AE47" s="31">
        <f ca="1">$AO$47*$AO$55</f>
        <v>0</v>
      </c>
      <c r="AF47" s="31">
        <f ca="1">$AP$47*$AP$55</f>
        <v>0</v>
      </c>
      <c r="AG47" s="31">
        <f ca="1">SUM($AE$47:$AF$47)</f>
        <v>0</v>
      </c>
      <c r="AH47" s="31">
        <f>'TUSD BE'!$AH$47*'TUSD BF'!$AH$58</f>
        <v>-4.0246121917318092E-2</v>
      </c>
      <c r="AI47" s="31">
        <f>'TUSD BE'!$AI$47*'TUSD BF'!$AI$58</f>
        <v>-8.7075403742267353E-4</v>
      </c>
      <c r="AJ47" s="31">
        <f ca="1">'TUSD BE'!$AJ$47*'TUSD BF'!$AJ$58</f>
        <v>-6.9732094475926266E-4</v>
      </c>
      <c r="AK47" s="31">
        <f ca="1">'TUSD BE'!$AK$47*'TUSD BF'!$AK$58</f>
        <v>0</v>
      </c>
      <c r="AL47" s="31">
        <f ca="1">SUM($AH$47:$AK$47)</f>
        <v>-4.1814196899500028E-2</v>
      </c>
      <c r="AM47" s="31">
        <f ca="1">SUMIF($L$4:$AL$4,"SUBTOTAL",$L$47:$AL$47)</f>
        <v>24.276539147479951</v>
      </c>
      <c r="AO47" s="59">
        <f ca="1">+'TUSD BE'!$T$47+'TUSD BE'!$AB$47+'TUSD BE'!$AD$47+'TUSD BE'!$AL$47</f>
        <v>315.07625965905987</v>
      </c>
      <c r="AP47" s="59">
        <f ca="1">+'TUSD BE'!$T$47+'TUSD BE'!$AB$47+'TUSD BE'!$AD$47+'TUSD BE'!$AL$47</f>
        <v>315.07625965905987</v>
      </c>
    </row>
    <row r="48" spans="1:42" ht="11.25" customHeight="1" x14ac:dyDescent="0.25">
      <c r="A48" s="149"/>
      <c r="B48" s="56" t="s">
        <v>23</v>
      </c>
      <c r="C48" s="56" t="s">
        <v>25</v>
      </c>
      <c r="D48" s="56" t="s">
        <v>25</v>
      </c>
      <c r="E48" s="56" t="s">
        <v>25</v>
      </c>
      <c r="F48" s="56" t="s">
        <v>25</v>
      </c>
      <c r="G48" s="57" t="s">
        <v>78</v>
      </c>
      <c r="H48" s="57" t="s">
        <v>74</v>
      </c>
      <c r="I48" s="57">
        <f>'MERCADO TUSD'!$U$45</f>
        <v>29180.755000000001</v>
      </c>
      <c r="J48" s="15"/>
      <c r="L48" s="31">
        <f>'TUSD BE'!$L$48*'TUSD BF'!$L$58</f>
        <v>0</v>
      </c>
      <c r="M48" s="31">
        <f>'TUSD BE'!$M$48*'TUSD BF'!$M$58</f>
        <v>0</v>
      </c>
      <c r="N48" s="31">
        <f ca="1">'TUSD BE'!$N$48*'TUSD BF'!$N$58</f>
        <v>0</v>
      </c>
      <c r="O48" s="31">
        <f>'TUSD BE'!$O$48*'TUSD BF'!$O$58</f>
        <v>0</v>
      </c>
      <c r="P48" s="31">
        <f>'TUSD BE'!$P$48*'TUSD BF'!$P$58</f>
        <v>0</v>
      </c>
      <c r="Q48" s="31">
        <f>'TUSD BE'!$Q$48*'TUSD BF'!$Q$58</f>
        <v>20.433001309297889</v>
      </c>
      <c r="R48" s="31">
        <f>'TUSD BE'!$R$48*'TUSD BF'!$R$58</f>
        <v>3.8853520350815653</v>
      </c>
      <c r="S48" s="31">
        <f>'TUSD BE'!$R$48*'TUSD BF'!$S$58</f>
        <v>0</v>
      </c>
      <c r="T48" s="31">
        <f ca="1">SUM($L$48:$S$48)</f>
        <v>24.318353344379453</v>
      </c>
      <c r="U48" s="31">
        <f>'TUSD BE'!$U$48*'TUSD BF'!$U$58</f>
        <v>0</v>
      </c>
      <c r="V48" s="31">
        <f>'TUSD BE'!$V$48*'TUSD BF'!$V$58</f>
        <v>0</v>
      </c>
      <c r="W48" s="31">
        <f>'TUSD BE'!$W$48*'TUSD BF'!$W$58</f>
        <v>0</v>
      </c>
      <c r="X48" s="31">
        <f>'TUSD BE'!$X$48*'TUSD BF'!$X$58</f>
        <v>0</v>
      </c>
      <c r="Y48" s="31">
        <f>'TUSD BE'!$Y$48*'TUSD BF'!$Y$58</f>
        <v>0</v>
      </c>
      <c r="Z48" s="31">
        <f>'TUSD BE'!$Z$48*'TUSD BF'!$Z$58</f>
        <v>0</v>
      </c>
      <c r="AA48" s="31">
        <f>'TUSD BE'!$AA$48*'TUSD BF'!$AA$58</f>
        <v>0</v>
      </c>
      <c r="AB48" s="31">
        <f>SUM($U$48:$AA$48)</f>
        <v>0</v>
      </c>
      <c r="AC48" s="31">
        <f>'TUSD BE'!$AC$48*'TUSD BF'!$AC$58</f>
        <v>0</v>
      </c>
      <c r="AD48" s="31">
        <f>SUM($AC$48:$AC$48)</f>
        <v>0</v>
      </c>
      <c r="AE48" s="31">
        <f ca="1">$AO$48*$AO$55</f>
        <v>0</v>
      </c>
      <c r="AF48" s="31">
        <f ca="1">$AP$48*$AP$55</f>
        <v>0</v>
      </c>
      <c r="AG48" s="31">
        <f ca="1">SUM($AE$48:$AF$48)</f>
        <v>0</v>
      </c>
      <c r="AH48" s="31">
        <f>'TUSD BE'!$AH$48*'TUSD BF'!$AH$58</f>
        <v>-4.0246121917318092E-2</v>
      </c>
      <c r="AI48" s="31">
        <f>'TUSD BE'!$AI$48*'TUSD BF'!$AI$58</f>
        <v>-8.7075403742267353E-4</v>
      </c>
      <c r="AJ48" s="31">
        <f ca="1">'TUSD BE'!$AJ$48*'TUSD BF'!$AJ$58</f>
        <v>-6.9732094475926266E-4</v>
      </c>
      <c r="AK48" s="31">
        <f ca="1">'TUSD BE'!$AK$48*'TUSD BF'!$AK$58</f>
        <v>0</v>
      </c>
      <c r="AL48" s="31">
        <f ca="1">SUM($AH$48:$AK$48)</f>
        <v>-4.1814196899500028E-2</v>
      </c>
      <c r="AM48" s="31">
        <f ca="1">SUMIF($L$4:$AL$4,"SUBTOTAL",$L$48:$AL$48)</f>
        <v>24.276539147479951</v>
      </c>
      <c r="AO48" s="59">
        <f ca="1">+'TUSD BE'!$T$48+'TUSD BE'!$AB$48+'TUSD BE'!$AD$48+'TUSD BE'!$AL$48</f>
        <v>396.8467543887827</v>
      </c>
      <c r="AP48" s="59">
        <f ca="1">+'TUSD BE'!$T$48+'TUSD BE'!$AB$48+'TUSD BE'!$AD$48+'TUSD BE'!$AL$48</f>
        <v>396.8467543887827</v>
      </c>
    </row>
    <row r="49" spans="1:42" ht="11.25" customHeight="1" x14ac:dyDescent="0.25">
      <c r="A49" s="149"/>
      <c r="B49" s="56" t="s">
        <v>89</v>
      </c>
      <c r="C49" s="56" t="s">
        <v>25</v>
      </c>
      <c r="D49" s="56" t="s">
        <v>25</v>
      </c>
      <c r="E49" s="56" t="s">
        <v>25</v>
      </c>
      <c r="F49" s="56" t="s">
        <v>25</v>
      </c>
      <c r="G49" s="57" t="s">
        <v>78</v>
      </c>
      <c r="H49" s="57" t="s">
        <v>74</v>
      </c>
      <c r="I49" s="57">
        <f>'MERCADO TUSD'!$U$46</f>
        <v>0</v>
      </c>
      <c r="J49" s="15"/>
      <c r="L49" s="31">
        <f>'TUSD BE'!$L$49*'TUSD BF'!$L$58</f>
        <v>0</v>
      </c>
      <c r="M49" s="31">
        <f>'TUSD BE'!$M$49*'TUSD BF'!$M$58</f>
        <v>0</v>
      </c>
      <c r="N49" s="31">
        <f ca="1">'TUSD BE'!$N$49*'TUSD BF'!$N$58</f>
        <v>0</v>
      </c>
      <c r="O49" s="31">
        <f>'TUSD BE'!$O$49*'TUSD BF'!$O$58</f>
        <v>0</v>
      </c>
      <c r="P49" s="31">
        <f>'TUSD BE'!$P$49*'TUSD BF'!$P$58</f>
        <v>0</v>
      </c>
      <c r="Q49" s="31">
        <f>'TUSD BE'!$Q$49*'TUSD BF'!$Q$58</f>
        <v>20.433001309297889</v>
      </c>
      <c r="R49" s="31">
        <f>'TUSD BE'!$R$49*'TUSD BF'!$R$58</f>
        <v>3.8853520350815653</v>
      </c>
      <c r="S49" s="31">
        <f>'TUSD BE'!$R$49*'TUSD BF'!$S$58</f>
        <v>0</v>
      </c>
      <c r="T49" s="31">
        <f ca="1">SUM($L$49:$S$49)</f>
        <v>24.318353344379453</v>
      </c>
      <c r="U49" s="31">
        <f>'TUSD BE'!$U$49*'TUSD BF'!$U$58</f>
        <v>0</v>
      </c>
      <c r="V49" s="31">
        <f>'TUSD BE'!$V$49*'TUSD BF'!$V$58</f>
        <v>0</v>
      </c>
      <c r="W49" s="31">
        <f>'TUSD BE'!$W$49*'TUSD BF'!$W$58</f>
        <v>0</v>
      </c>
      <c r="X49" s="31">
        <f>'TUSD BE'!$X$49*'TUSD BF'!$X$58</f>
        <v>0</v>
      </c>
      <c r="Y49" s="31">
        <f>'TUSD BE'!$Y$49*'TUSD BF'!$Y$58</f>
        <v>0</v>
      </c>
      <c r="Z49" s="31">
        <f>'TUSD BE'!$Z$49*'TUSD BF'!$Z$58</f>
        <v>0</v>
      </c>
      <c r="AA49" s="31">
        <f>'TUSD BE'!$AA$49*'TUSD BF'!$AA$58</f>
        <v>0</v>
      </c>
      <c r="AB49" s="31">
        <f>SUM($U$49:$AA$49)</f>
        <v>0</v>
      </c>
      <c r="AC49" s="31">
        <f>'TUSD BE'!$AC$49*'TUSD BF'!$AC$58</f>
        <v>0</v>
      </c>
      <c r="AD49" s="31">
        <f>SUM($AC$49:$AC$49)</f>
        <v>0</v>
      </c>
      <c r="AE49" s="31">
        <f ca="1">$AO$49*$AO$55</f>
        <v>0</v>
      </c>
      <c r="AF49" s="31">
        <f ca="1">$AP$49*$AP$55</f>
        <v>0</v>
      </c>
      <c r="AG49" s="31">
        <f ca="1">SUM($AE$49:$AF$49)</f>
        <v>0</v>
      </c>
      <c r="AH49" s="31">
        <f>'TUSD BE'!$AH$49*'TUSD BF'!$AH$58</f>
        <v>-4.0246121917318092E-2</v>
      </c>
      <c r="AI49" s="31">
        <f>'TUSD BE'!$AI$49*'TUSD BF'!$AI$58</f>
        <v>-8.7075403742267353E-4</v>
      </c>
      <c r="AJ49" s="31">
        <f ca="1">'TUSD BE'!$AJ$49*'TUSD BF'!$AJ$58</f>
        <v>-6.9732094475926266E-4</v>
      </c>
      <c r="AK49" s="31">
        <f ca="1">'TUSD BE'!$AK$49*'TUSD BF'!$AK$58</f>
        <v>0</v>
      </c>
      <c r="AL49" s="31">
        <f ca="1">SUM($AH$49:$AK$49)</f>
        <v>-4.1814196899500028E-2</v>
      </c>
      <c r="AM49" s="31">
        <f ca="1">SUMIF($L$4:$AL$4,"SUBTOTAL",$L$49:$AL$49)</f>
        <v>24.276539147479951</v>
      </c>
      <c r="AO49" s="59">
        <f ca="1">+'TUSD BE'!$T$49+'TUSD BE'!$AB$49+'TUSD BE'!$AD$49+'TUSD BE'!$AL$49</f>
        <v>396.8467543887827</v>
      </c>
      <c r="AP49" s="59">
        <f ca="1">+'TUSD BE'!$T$49+'TUSD BE'!$AB$49+'TUSD BE'!$AD$49+'TUSD BE'!$AL$49</f>
        <v>396.8467543887827</v>
      </c>
    </row>
    <row r="50" spans="1:42" ht="11.25" customHeight="1" x14ac:dyDescent="0.25">
      <c r="A50" s="149" t="s">
        <v>44</v>
      </c>
      <c r="B50" s="149" t="s">
        <v>23</v>
      </c>
      <c r="C50" s="149" t="s">
        <v>45</v>
      </c>
      <c r="D50" s="56" t="s">
        <v>46</v>
      </c>
      <c r="E50" s="56" t="s">
        <v>25</v>
      </c>
      <c r="F50" s="56" t="s">
        <v>25</v>
      </c>
      <c r="G50" s="57" t="s">
        <v>78</v>
      </c>
      <c r="H50" s="57" t="s">
        <v>74</v>
      </c>
      <c r="I50" s="57">
        <f>'MERCADO TUSD'!$U$47</f>
        <v>11805.242</v>
      </c>
      <c r="J50" s="15"/>
      <c r="L50" s="31">
        <f>'TUSD BE'!$L$50*'TUSD BF'!$L$58</f>
        <v>0</v>
      </c>
      <c r="M50" s="31">
        <f>'TUSD BE'!$M$50*'TUSD BF'!$M$58</f>
        <v>0</v>
      </c>
      <c r="N50" s="31">
        <f ca="1">'TUSD BE'!$N$50*'TUSD BF'!$N$58</f>
        <v>0</v>
      </c>
      <c r="O50" s="31">
        <f>'TUSD BE'!$O$50*'TUSD BF'!$O$58</f>
        <v>0</v>
      </c>
      <c r="P50" s="31">
        <f>'TUSD BE'!$P$50*'TUSD BF'!$P$58</f>
        <v>0</v>
      </c>
      <c r="Q50" s="31">
        <f>'TUSD BE'!$Q$50*'TUSD BF'!$Q$58</f>
        <v>11.238150720113842</v>
      </c>
      <c r="R50" s="31">
        <f>'TUSD BE'!$R$50*'TUSD BF'!$R$58</f>
        <v>2.1369436192948612</v>
      </c>
      <c r="S50" s="31">
        <f>'TUSD BE'!$R$50*'TUSD BF'!$S$58</f>
        <v>0</v>
      </c>
      <c r="T50" s="31">
        <f ca="1">SUM($L$50:$S$50)</f>
        <v>13.375094339408703</v>
      </c>
      <c r="U50" s="31">
        <f>'TUSD BE'!$U$50*'TUSD BF'!$U$58</f>
        <v>0</v>
      </c>
      <c r="V50" s="31">
        <f>'TUSD BE'!$V$50*'TUSD BF'!$V$58</f>
        <v>0</v>
      </c>
      <c r="W50" s="31">
        <f>'TUSD BE'!$W$50*'TUSD BF'!$W$58</f>
        <v>0</v>
      </c>
      <c r="X50" s="31">
        <f>'TUSD BE'!$X$50*'TUSD BF'!$X$58</f>
        <v>0</v>
      </c>
      <c r="Y50" s="31">
        <f>'TUSD BE'!$Y$50*'TUSD BF'!$Y$58</f>
        <v>0</v>
      </c>
      <c r="Z50" s="31">
        <f>'TUSD BE'!$Z$50*'TUSD BF'!$Z$58</f>
        <v>0</v>
      </c>
      <c r="AA50" s="31">
        <f>'TUSD BE'!$AA$50*'TUSD BF'!$AA$58</f>
        <v>0</v>
      </c>
      <c r="AB50" s="31">
        <f>SUM($U$50:$AA$50)</f>
        <v>0</v>
      </c>
      <c r="AC50" s="31">
        <f>'TUSD BE'!$AC$50*'TUSD BF'!$AC$58</f>
        <v>0</v>
      </c>
      <c r="AD50" s="31">
        <f>SUM($AC$50:$AC$50)</f>
        <v>0</v>
      </c>
      <c r="AE50" s="31">
        <f ca="1">$AO$50*$AO$55</f>
        <v>0</v>
      </c>
      <c r="AF50" s="31">
        <f ca="1">$AP$50*$AP$55</f>
        <v>0</v>
      </c>
      <c r="AG50" s="31">
        <f ca="1">SUM($AE$50:$AF$50)</f>
        <v>0</v>
      </c>
      <c r="AH50" s="31">
        <f>'TUSD BE'!$AH$50*'TUSD BF'!$AH$58</f>
        <v>-2.2135367054524954E-2</v>
      </c>
      <c r="AI50" s="31">
        <f>'TUSD BE'!$AI$50*'TUSD BF'!$AI$58</f>
        <v>-4.7891472058247042E-4</v>
      </c>
      <c r="AJ50" s="31">
        <f ca="1">'TUSD BE'!$AJ$50*'TUSD BF'!$AJ$58</f>
        <v>-3.8352651961759453E-4</v>
      </c>
      <c r="AK50" s="31">
        <f ca="1">'TUSD BE'!$AK$50*'TUSD BF'!$AK$58</f>
        <v>0</v>
      </c>
      <c r="AL50" s="31">
        <f ca="1">SUM($AH$50:$AK$50)</f>
        <v>-2.2997808294725017E-2</v>
      </c>
      <c r="AM50" s="31">
        <f ca="1">SUMIF($L$4:$AL$4,"SUBTOTAL",$L$50:$AL$50)</f>
        <v>13.352096531113977</v>
      </c>
      <c r="AO50" s="59">
        <f ca="1">+'TUSD BE'!$T$50+'TUSD BE'!$AB$50+'TUSD BE'!$AD$50+'TUSD BE'!$AL$50</f>
        <v>218.26571491383052</v>
      </c>
      <c r="AP50" s="59">
        <f ca="1">+'TUSD BE'!$T$50+'TUSD BE'!$AB$50+'TUSD BE'!$AD$50+'TUSD BE'!$AL$50</f>
        <v>218.26571491383052</v>
      </c>
    </row>
    <row r="51" spans="1:42" ht="11.25" customHeight="1" x14ac:dyDescent="0.25">
      <c r="A51" s="149"/>
      <c r="B51" s="149"/>
      <c r="C51" s="149"/>
      <c r="D51" s="57" t="s">
        <v>92</v>
      </c>
      <c r="E51" s="57" t="s">
        <v>25</v>
      </c>
      <c r="F51" s="57" t="s">
        <v>25</v>
      </c>
      <c r="G51" s="57" t="s">
        <v>78</v>
      </c>
      <c r="H51" s="57" t="s">
        <v>74</v>
      </c>
      <c r="I51" s="57">
        <f>'MERCADO TUSD'!$U$48</f>
        <v>0</v>
      </c>
      <c r="J51" s="15"/>
      <c r="L51" s="31">
        <f>'TUSD BE'!$L$51*'TUSD BF'!$L$58</f>
        <v>0</v>
      </c>
      <c r="M51" s="31">
        <f>'TUSD BE'!$M$51*'TUSD BF'!$M$58</f>
        <v>0</v>
      </c>
      <c r="N51" s="31">
        <f ca="1">'TUSD BE'!$N$51*'TUSD BF'!$N$58</f>
        <v>0</v>
      </c>
      <c r="O51" s="31">
        <f>'TUSD BE'!$O$51*'TUSD BF'!$O$58</f>
        <v>0</v>
      </c>
      <c r="P51" s="31">
        <f>'TUSD BE'!$P$51*'TUSD BF'!$P$58</f>
        <v>0</v>
      </c>
      <c r="Q51" s="31">
        <f>'TUSD BE'!$Q$51*'TUSD BF'!$Q$58</f>
        <v>12.259800785578735</v>
      </c>
      <c r="R51" s="31">
        <f>'TUSD BE'!$R$51*'TUSD BF'!$R$58</f>
        <v>2.3312112210489389</v>
      </c>
      <c r="S51" s="31">
        <f>'TUSD BE'!$R$51*'TUSD BF'!$S$58</f>
        <v>0</v>
      </c>
      <c r="T51" s="31">
        <f ca="1">SUM($L$51:$S$51)</f>
        <v>14.591012006627674</v>
      </c>
      <c r="U51" s="31">
        <f>'TUSD BE'!$U$51*'TUSD BF'!$U$58</f>
        <v>0</v>
      </c>
      <c r="V51" s="31">
        <f>'TUSD BE'!$V$51*'TUSD BF'!$V$58</f>
        <v>0</v>
      </c>
      <c r="W51" s="31">
        <f>'TUSD BE'!$W$51*'TUSD BF'!$W$58</f>
        <v>0</v>
      </c>
      <c r="X51" s="31">
        <f>'TUSD BE'!$X$51*'TUSD BF'!$X$58</f>
        <v>0</v>
      </c>
      <c r="Y51" s="31">
        <f>'TUSD BE'!$Y$51*'TUSD BF'!$Y$58</f>
        <v>0</v>
      </c>
      <c r="Z51" s="31">
        <f>'TUSD BE'!$Z$51*'TUSD BF'!$Z$58</f>
        <v>0</v>
      </c>
      <c r="AA51" s="31">
        <f>'TUSD BE'!$AA$51*'TUSD BF'!$AA$58</f>
        <v>0</v>
      </c>
      <c r="AB51" s="31">
        <f>SUM($U$51:$AA$51)</f>
        <v>0</v>
      </c>
      <c r="AC51" s="31">
        <f>'TUSD BE'!$AC$51*'TUSD BF'!$AC$58</f>
        <v>0</v>
      </c>
      <c r="AD51" s="31">
        <f>SUM($AC$51:$AC$51)</f>
        <v>0</v>
      </c>
      <c r="AE51" s="31">
        <f ca="1">$AO$51*$AO$55</f>
        <v>0</v>
      </c>
      <c r="AF51" s="31">
        <f ca="1">$AP$51*$AP$55</f>
        <v>0</v>
      </c>
      <c r="AG51" s="31">
        <f ca="1">SUM($AE$51:$AF$51)</f>
        <v>0</v>
      </c>
      <c r="AH51" s="31">
        <f>'TUSD BE'!$AH$51*'TUSD BF'!$AH$58</f>
        <v>-2.4147673150390854E-2</v>
      </c>
      <c r="AI51" s="31">
        <f>'TUSD BE'!$AI$51*'TUSD BF'!$AI$58</f>
        <v>-5.2245242245360407E-4</v>
      </c>
      <c r="AJ51" s="31">
        <f ca="1">'TUSD BE'!$AJ$51*'TUSD BF'!$AJ$58</f>
        <v>-4.1839256685555757E-4</v>
      </c>
      <c r="AK51" s="31">
        <f ca="1">'TUSD BE'!$AK$51*'TUSD BF'!$AK$58</f>
        <v>0</v>
      </c>
      <c r="AL51" s="31">
        <f ca="1">SUM($AH$51:$AK$51)</f>
        <v>-2.5088518139700016E-2</v>
      </c>
      <c r="AM51" s="31">
        <f ca="1">SUMIF($L$4:$AL$4,"SUBTOTAL",$L$51:$AL$51)</f>
        <v>14.565923488487973</v>
      </c>
      <c r="AO51" s="59">
        <f ca="1">+'TUSD BE'!$T$51+'TUSD BE'!$AB$51+'TUSD BE'!$AD$51+'TUSD BE'!$AL$51</f>
        <v>238.10805263326964</v>
      </c>
      <c r="AP51" s="59">
        <f ca="1">+'TUSD BE'!$T$51+'TUSD BE'!$AB$51+'TUSD BE'!$AD$51+'TUSD BE'!$AL$51</f>
        <v>238.10805263326964</v>
      </c>
    </row>
    <row r="53" spans="1:42" ht="11.25" customHeight="1" x14ac:dyDescent="0.25">
      <c r="K53" s="55" t="s">
        <v>570</v>
      </c>
      <c r="L53" s="31">
        <f>SUMPRODUCT($I$5:$I51,$L$5:$L51)</f>
        <v>0</v>
      </c>
      <c r="M53" s="31">
        <f>SUMPRODUCT($I$5:$I51,$M$5:$M51)</f>
        <v>0</v>
      </c>
      <c r="N53" s="31">
        <f ca="1">SUMPRODUCT($I$5:$I51,$N$5:$N51)</f>
        <v>0</v>
      </c>
      <c r="O53" s="31">
        <f>SUMPRODUCT($I$5:$I51,$O$5:$O51)</f>
        <v>0</v>
      </c>
      <c r="P53" s="31">
        <f>SUMPRODUCT($I$5:$I51,$P$5:$P51)</f>
        <v>0</v>
      </c>
      <c r="Q53" s="31">
        <f>SUMPRODUCT($I$5:$I51,$Q$5:$Q51)</f>
        <v>4533213.0837000003</v>
      </c>
      <c r="R53" s="31">
        <f>SUMPRODUCT($I$5:$I51,$R$5:$R51)</f>
        <v>940817.59370000008</v>
      </c>
      <c r="S53" s="31">
        <f>SUMPRODUCT($I$5:$I51,$S$5:$S51)</f>
        <v>0</v>
      </c>
      <c r="T53" s="31">
        <f ca="1">SUMPRODUCT($I$5:$I51,$T$5:$T51)</f>
        <v>5474030.6774000013</v>
      </c>
      <c r="U53" s="31">
        <f>SUMPRODUCT($I$5:$I51,$U$5:$U51)</f>
        <v>0</v>
      </c>
      <c r="V53" s="31">
        <f>SUMPRODUCT($I$5:$I51,$V$5:$V51)</f>
        <v>0</v>
      </c>
      <c r="W53" s="31">
        <f>SUMPRODUCT($I$5:$I51,$W$5:$W51)</f>
        <v>0</v>
      </c>
      <c r="X53" s="31">
        <f>SUMPRODUCT($I$5:$I51,$X$5:$X51)</f>
        <v>0</v>
      </c>
      <c r="Y53" s="31">
        <f>SUMPRODUCT($I$5:$I51,$Y$5:$Y51)</f>
        <v>0</v>
      </c>
      <c r="Z53" s="31">
        <f>SUMPRODUCT($I$5:$I51,$Z$5:$Z51)</f>
        <v>0</v>
      </c>
      <c r="AA53" s="31">
        <f>SUMPRODUCT($I$5:$I51,$AA$5:$AA51)</f>
        <v>0</v>
      </c>
      <c r="AB53" s="31">
        <f>SUMPRODUCT($I$5:$I51,$AB$5:$AB51)</f>
        <v>0</v>
      </c>
      <c r="AC53" s="31">
        <f>SUMPRODUCT($I$5:$I51,$AC$5:$AC51)</f>
        <v>0</v>
      </c>
      <c r="AD53" s="31">
        <f>SUMPRODUCT($I$5:$I51,$AD$5:$AD51)</f>
        <v>0</v>
      </c>
      <c r="AE53" s="31">
        <f ca="1">SUMPRODUCT($I$5:$I51,$AE$5:$AE51)</f>
        <v>0</v>
      </c>
      <c r="AF53" s="31">
        <f ca="1">SUMPRODUCT($I$5:$I51,$AF$5:$AF51)</f>
        <v>0</v>
      </c>
      <c r="AG53" s="31">
        <f ca="1">SUMPRODUCT($I$5:$I51,$AG$5:$AG51)</f>
        <v>0</v>
      </c>
      <c r="AH53" s="31">
        <f>SUMPRODUCT($I$5:$I51,$AH$5:$AH51)</f>
        <v>-7160.0881097381125</v>
      </c>
      <c r="AI53" s="31">
        <f>SUMPRODUCT($I$5:$I51,$AI$5:$AI51)</f>
        <v>-154.91369932897135</v>
      </c>
      <c r="AJ53" s="31">
        <f ca="1">SUMPRODUCT($I$5:$I51,$AJ$5:$AJ51)</f>
        <v>-140.77347838199162</v>
      </c>
      <c r="AK53" s="31">
        <f ca="1">SUMPRODUCT($I$5:$I51,$AK$5:$AK51)</f>
        <v>0</v>
      </c>
      <c r="AL53" s="31">
        <f ca="1">SUMPRODUCT($I$5:$I51,$AL$5:$AL51)</f>
        <v>-7455.7752874490752</v>
      </c>
      <c r="AM53" s="31">
        <f ca="1">SUMPRODUCT($I$5:$I51,$AM$5:$AM51)</f>
        <v>5466574.902112551</v>
      </c>
      <c r="AO53" s="57">
        <f ca="1">SUMPRODUCT($I$5:$I51,$AO$5:$AO51)</f>
        <v>78148716.64811708</v>
      </c>
      <c r="AP53" s="57">
        <f ca="1">SUMPRODUCT($I$5:$I51,$AP$5:$AP51)</f>
        <v>78148716.64811708</v>
      </c>
    </row>
    <row r="54" spans="1:42" ht="11.25" customHeight="1" x14ac:dyDescent="0.25">
      <c r="K54" s="55" t="s">
        <v>502</v>
      </c>
      <c r="L54" s="31">
        <f>'TR TUSD'!$L$56</f>
        <v>0</v>
      </c>
      <c r="M54" s="31">
        <f>'TR TUSD'!$M$56</f>
        <v>132162.35381336641</v>
      </c>
      <c r="N54" s="31">
        <f>'TR TUSD'!$N$56</f>
        <v>624527.40973006445</v>
      </c>
      <c r="O54" s="31">
        <f>'TR TUSD'!$O$56</f>
        <v>0</v>
      </c>
      <c r="P54" s="31">
        <f>'TR TUSD'!$P$56</f>
        <v>0</v>
      </c>
      <c r="Q54" s="31">
        <f>'TR TUSD'!$Q$56</f>
        <v>19906891.243956644</v>
      </c>
      <c r="R54" s="31">
        <f>'TR TUSD'!$R$56</f>
        <v>3322148.6522549647</v>
      </c>
      <c r="S54" s="31">
        <f>'TR TUSD'!$S$56</f>
        <v>0</v>
      </c>
      <c r="T54" s="31">
        <f>'TR TUSD'!$T$56</f>
        <v>23985729.65975504</v>
      </c>
      <c r="U54" s="31">
        <f>'TR TUSD'!$U$56</f>
        <v>0</v>
      </c>
      <c r="V54" s="31">
        <f>'TR TUSD'!$V$56</f>
        <v>0</v>
      </c>
      <c r="W54" s="31">
        <f>'TR TUSD'!$W$56</f>
        <v>0</v>
      </c>
      <c r="X54" s="31">
        <f>'TR TUSD'!$X$56</f>
        <v>0</v>
      </c>
      <c r="Y54" s="31">
        <f>'TR TUSD'!$Y$56</f>
        <v>23028775.62164</v>
      </c>
      <c r="Z54" s="31">
        <f>'TR TUSD'!$Z$56</f>
        <v>0</v>
      </c>
      <c r="AA54" s="31">
        <f>'TR TUSD'!$AA$56</f>
        <v>0</v>
      </c>
      <c r="AB54" s="31">
        <f>'TR TUSD'!$AB$56</f>
        <v>23028775.62164</v>
      </c>
      <c r="AC54" s="31">
        <f>'TR TUSD'!$AC$56</f>
        <v>27669405.247148588</v>
      </c>
      <c r="AD54" s="31">
        <f>'TR TUSD'!$AD$56</f>
        <v>27669405.247148588</v>
      </c>
      <c r="AE54" s="31">
        <f>'TR TUSD'!$AE$56</f>
        <v>0</v>
      </c>
      <c r="AF54" s="31">
        <f>'TR TUSD'!$AF$56</f>
        <v>0</v>
      </c>
      <c r="AG54" s="31">
        <f>'TR TUSD'!$AG$56</f>
        <v>0</v>
      </c>
      <c r="AH54" s="31">
        <f>'TR TUSD'!$AH$56</f>
        <v>3262716.0429595937</v>
      </c>
      <c r="AI54" s="31">
        <f>'TR TUSD'!$AI$56</f>
        <v>70591.227974894384</v>
      </c>
      <c r="AJ54" s="31">
        <f>'TR TUSD'!$AJ$56</f>
        <v>64147.798085818387</v>
      </c>
      <c r="AK54" s="31">
        <f>'TR TUSD'!$AK$56</f>
        <v>67351.050553161942</v>
      </c>
      <c r="AL54" s="31">
        <f>'TR TUSD'!$AL$56</f>
        <v>3464806.1195734688</v>
      </c>
      <c r="AM54" s="31">
        <f>CUSTOS!$D$29</f>
        <v>78148716.648117095</v>
      </c>
      <c r="AO54" s="57">
        <f>$AE$56</f>
        <v>0</v>
      </c>
      <c r="AP54" s="57">
        <f>$AF$56</f>
        <v>0</v>
      </c>
    </row>
    <row r="55" spans="1:42" ht="11.25" customHeight="1" x14ac:dyDescent="0.25">
      <c r="K55" s="55" t="s">
        <v>503</v>
      </c>
      <c r="L55" s="31">
        <f>CUSTOS!$E$2</f>
        <v>0</v>
      </c>
      <c r="M55" s="31">
        <f>CUSTOS!$E$3</f>
        <v>-5095.3742162426397</v>
      </c>
      <c r="N55" s="31">
        <f>CUSTOS!$E$4</f>
        <v>-2.1461305651778182</v>
      </c>
      <c r="O55" s="31">
        <f>CUSTOS!$E$5</f>
        <v>0</v>
      </c>
      <c r="P55" s="31">
        <f>CUSTOS!$E$6</f>
        <v>0</v>
      </c>
      <c r="Q55" s="31">
        <f>CUSTOS!$E$7</f>
        <v>-606637.6309529962</v>
      </c>
      <c r="R55" s="31">
        <f>CUSTOS!$E$8</f>
        <v>-114045.2171573909</v>
      </c>
      <c r="S55" s="31">
        <f>CUSTOS!$E$9</f>
        <v>0</v>
      </c>
      <c r="T55" s="31">
        <f>CUSTOS!$E$10</f>
        <v>-725780.36845719488</v>
      </c>
      <c r="U55" s="31">
        <f>CUSTOS!$E$11</f>
        <v>0</v>
      </c>
      <c r="V55" s="31">
        <f>CUSTOS!$E$12</f>
        <v>0</v>
      </c>
      <c r="W55" s="31">
        <f>CUSTOS!$E$13</f>
        <v>0</v>
      </c>
      <c r="X55" s="31">
        <f>CUSTOS!$E$14</f>
        <v>0</v>
      </c>
      <c r="Y55" s="31">
        <f>CUSTOS!$E$15</f>
        <v>89260.421168354311</v>
      </c>
      <c r="Z55" s="31">
        <f>CUSTOS!$E$16</f>
        <v>0</v>
      </c>
      <c r="AA55" s="31">
        <f>CUSTOS!$E$17</f>
        <v>0</v>
      </c>
      <c r="AB55" s="31">
        <f>CUSTOS!$E$18</f>
        <v>89260.421168354311</v>
      </c>
      <c r="AC55" s="31">
        <f>CUSTOS!$E$19</f>
        <v>-348853.91761998099</v>
      </c>
      <c r="AD55" s="31">
        <f>CUSTOS!$E$20</f>
        <v>-348853.91761998099</v>
      </c>
      <c r="AE55" s="31">
        <f>CUSTOS!$E$21</f>
        <v>0</v>
      </c>
      <c r="AF55" s="31">
        <f>CUSTOS!$E$22</f>
        <v>0</v>
      </c>
      <c r="AG55" s="31">
        <f>CUSTOS!$E$23</f>
        <v>0</v>
      </c>
      <c r="AH55" s="31">
        <f>CUSTOS!$E$24</f>
        <v>233527.97964365163</v>
      </c>
      <c r="AI55" s="31">
        <f>CUSTOS!$E$25</f>
        <v>5052.5472129618793</v>
      </c>
      <c r="AJ55" s="31">
        <f>CUSTOS!$E$26</f>
        <v>4591.3605377627373</v>
      </c>
      <c r="AK55" s="31">
        <f>CUSTOS!$E$27</f>
        <v>7594.7065493083364</v>
      </c>
      <c r="AL55" s="31">
        <f>CUSTOS!$E$28</f>
        <v>250766.59394368459</v>
      </c>
      <c r="AM55" s="31">
        <f>CUSTOS!$E$29</f>
        <v>-734607.27096513694</v>
      </c>
      <c r="AO55" s="57">
        <f ca="1">IF(AO53&lt;&gt;0,AO54/AO53,0)</f>
        <v>0</v>
      </c>
      <c r="AP55" s="57">
        <f ca="1">IF(AP53&lt;&gt;0,AP54/AP53,0)</f>
        <v>0</v>
      </c>
    </row>
    <row r="56" spans="1:42" ht="11.25" customHeight="1" x14ac:dyDescent="0.25">
      <c r="K56" s="55" t="s">
        <v>504</v>
      </c>
      <c r="L56" s="31">
        <f>CUSTOS!$F$2</f>
        <v>0</v>
      </c>
      <c r="M56" s="31">
        <f>CUSTOS!$F$3</f>
        <v>0</v>
      </c>
      <c r="N56" s="31">
        <f>CUSTOS!$F$4</f>
        <v>0</v>
      </c>
      <c r="O56" s="31">
        <f>CUSTOS!$F$5</f>
        <v>0</v>
      </c>
      <c r="P56" s="31">
        <f>CUSTOS!$F$6</f>
        <v>0</v>
      </c>
      <c r="Q56" s="31">
        <f>CUSTOS!$F$7</f>
        <v>4533213.0837000003</v>
      </c>
      <c r="R56" s="31">
        <f>CUSTOS!$F$8</f>
        <v>940817.59369999997</v>
      </c>
      <c r="S56" s="31">
        <f>CUSTOS!$F$9</f>
        <v>0</v>
      </c>
      <c r="T56" s="31">
        <f>CUSTOS!$F$10</f>
        <v>5474030.6774000004</v>
      </c>
      <c r="U56" s="31">
        <f>CUSTOS!$F$11</f>
        <v>0</v>
      </c>
      <c r="V56" s="31">
        <f>CUSTOS!$F$12</f>
        <v>0</v>
      </c>
      <c r="W56" s="31">
        <f>CUSTOS!$F$13</f>
        <v>0</v>
      </c>
      <c r="X56" s="31">
        <f>CUSTOS!$F$14</f>
        <v>0</v>
      </c>
      <c r="Y56" s="31">
        <f>CUSTOS!$F$15</f>
        <v>0</v>
      </c>
      <c r="Z56" s="31">
        <f>CUSTOS!$F$16</f>
        <v>0</v>
      </c>
      <c r="AA56" s="31">
        <f>CUSTOS!$F$17</f>
        <v>0</v>
      </c>
      <c r="AB56" s="31">
        <f>CUSTOS!$F$18</f>
        <v>0</v>
      </c>
      <c r="AC56" s="31">
        <f>CUSTOS!$F$19</f>
        <v>0</v>
      </c>
      <c r="AD56" s="31">
        <f>CUSTOS!$F$20</f>
        <v>0</v>
      </c>
      <c r="AE56" s="31">
        <f>CUSTOS!$F$21</f>
        <v>0</v>
      </c>
      <c r="AF56" s="31">
        <f>CUSTOS!$F$22</f>
        <v>0</v>
      </c>
      <c r="AG56" s="31">
        <f>CUSTOS!$F$23</f>
        <v>0</v>
      </c>
      <c r="AH56" s="31">
        <f>CUSTOS!$F$24</f>
        <v>-7160.0881097381116</v>
      </c>
      <c r="AI56" s="31">
        <f>CUSTOS!$F$25</f>
        <v>-154.91369932897135</v>
      </c>
      <c r="AJ56" s="31">
        <f>CUSTOS!$F$26</f>
        <v>-140.77347838199159</v>
      </c>
      <c r="AK56" s="31">
        <f>CUSTOS!$F$27</f>
        <v>0</v>
      </c>
      <c r="AL56" s="31">
        <f>CUSTOS!$F$28</f>
        <v>-7455.7752874490743</v>
      </c>
      <c r="AM56" s="31">
        <f>CUSTOS!$F$29</f>
        <v>5466574.902112551</v>
      </c>
    </row>
    <row r="57" spans="1:42" ht="11.25" customHeight="1" x14ac:dyDescent="0.25">
      <c r="K57" s="55" t="s">
        <v>567</v>
      </c>
      <c r="L57" s="31">
        <v>0</v>
      </c>
      <c r="M57" s="31">
        <v>0</v>
      </c>
      <c r="N57" s="31">
        <v>0</v>
      </c>
      <c r="O57" s="31">
        <v>0</v>
      </c>
      <c r="P57" s="31">
        <v>0</v>
      </c>
      <c r="Q57" s="31">
        <v>0</v>
      </c>
      <c r="R57" s="31">
        <v>0</v>
      </c>
      <c r="S57" s="31">
        <v>0</v>
      </c>
      <c r="T57" s="31"/>
      <c r="U57" s="31">
        <v>0</v>
      </c>
      <c r="V57" s="31">
        <v>0</v>
      </c>
      <c r="W57" s="31">
        <v>0</v>
      </c>
      <c r="X57" s="31">
        <v>0</v>
      </c>
      <c r="Y57" s="31">
        <v>0</v>
      </c>
      <c r="Z57" s="31">
        <v>0</v>
      </c>
      <c r="AA57" s="31">
        <v>0</v>
      </c>
      <c r="AB57" s="31"/>
      <c r="AC57" s="31">
        <v>0</v>
      </c>
      <c r="AD57" s="31"/>
      <c r="AE57" s="31">
        <v>0</v>
      </c>
      <c r="AF57" s="31">
        <v>0</v>
      </c>
      <c r="AG57" s="31"/>
      <c r="AH57" s="31">
        <v>0</v>
      </c>
      <c r="AI57" s="31">
        <v>0</v>
      </c>
      <c r="AJ57" s="31">
        <v>0</v>
      </c>
      <c r="AK57" s="31">
        <v>0</v>
      </c>
      <c r="AL57" s="31"/>
      <c r="AM57" s="31"/>
    </row>
  </sheetData>
  <mergeCells count="73">
    <mergeCell ref="D1:D4"/>
    <mergeCell ref="E1:E4"/>
    <mergeCell ref="F1:F4"/>
    <mergeCell ref="J1:J4"/>
    <mergeCell ref="L1:AM1"/>
    <mergeCell ref="G1:G4"/>
    <mergeCell ref="H1:H4"/>
    <mergeCell ref="I1:I4"/>
    <mergeCell ref="AP1:AP4"/>
    <mergeCell ref="L2:AM2"/>
    <mergeCell ref="L3:T3"/>
    <mergeCell ref="U3:AB3"/>
    <mergeCell ref="AC3:AD3"/>
    <mergeCell ref="AE3:AG3"/>
    <mergeCell ref="AH3:AL3"/>
    <mergeCell ref="AM3:AM4"/>
    <mergeCell ref="A1:A4"/>
    <mergeCell ref="C10:C14"/>
    <mergeCell ref="D10:D14"/>
    <mergeCell ref="E10:E12"/>
    <mergeCell ref="F10:F12"/>
    <mergeCell ref="E13:E14"/>
    <mergeCell ref="F13:F14"/>
    <mergeCell ref="F5:F7"/>
    <mergeCell ref="B10:B14"/>
    <mergeCell ref="A5:A14"/>
    <mergeCell ref="B5:B8"/>
    <mergeCell ref="C5:C8"/>
    <mergeCell ref="D5:D8"/>
    <mergeCell ref="E5:E7"/>
    <mergeCell ref="B1:B4"/>
    <mergeCell ref="C1:C4"/>
    <mergeCell ref="A15:A16"/>
    <mergeCell ref="B15:B16"/>
    <mergeCell ref="C15:C16"/>
    <mergeCell ref="D15:D16"/>
    <mergeCell ref="A17:A29"/>
    <mergeCell ref="B17:B19"/>
    <mergeCell ref="C17:C19"/>
    <mergeCell ref="D17:D19"/>
    <mergeCell ref="E17:E19"/>
    <mergeCell ref="F17:F19"/>
    <mergeCell ref="B20:B24"/>
    <mergeCell ref="C20:C24"/>
    <mergeCell ref="B25:B29"/>
    <mergeCell ref="C25:C29"/>
    <mergeCell ref="D38:D40"/>
    <mergeCell ref="E38:E40"/>
    <mergeCell ref="F38:F40"/>
    <mergeCell ref="D30:D32"/>
    <mergeCell ref="E30:E32"/>
    <mergeCell ref="F30:F32"/>
    <mergeCell ref="D34:D36"/>
    <mergeCell ref="E34:E36"/>
    <mergeCell ref="F34:F36"/>
    <mergeCell ref="B42:B44"/>
    <mergeCell ref="C42:C44"/>
    <mergeCell ref="A45:A49"/>
    <mergeCell ref="B45:B47"/>
    <mergeCell ref="C45:C47"/>
    <mergeCell ref="A30:A44"/>
    <mergeCell ref="B30:B32"/>
    <mergeCell ref="C30:C32"/>
    <mergeCell ref="B38:B40"/>
    <mergeCell ref="C38:C40"/>
    <mergeCell ref="B34:B36"/>
    <mergeCell ref="C34:C36"/>
    <mergeCell ref="E45:E47"/>
    <mergeCell ref="F45:F47"/>
    <mergeCell ref="A50:A51"/>
    <mergeCell ref="B50:B51"/>
    <mergeCell ref="C50:C51"/>
    <mergeCell ref="D45:D47"/>
  </mergeCells>
  <conditionalFormatting sqref="L53">
    <cfRule type="cellIs" dxfId="967" priority="55" operator="notEqual">
      <formula>$L$56</formula>
    </cfRule>
    <cfRule type="cellIs" dxfId="966" priority="56" operator="equal">
      <formula>$L$56</formula>
    </cfRule>
  </conditionalFormatting>
  <conditionalFormatting sqref="M53">
    <cfRule type="cellIs" dxfId="965" priority="53" operator="notEqual">
      <formula>$M$56</formula>
    </cfRule>
    <cfRule type="cellIs" dxfId="964" priority="54" operator="equal">
      <formula>$M$56</formula>
    </cfRule>
  </conditionalFormatting>
  <conditionalFormatting sqref="N53">
    <cfRule type="cellIs" dxfId="963" priority="51" operator="notEqual">
      <formula>$N$56</formula>
    </cfRule>
    <cfRule type="cellIs" dxfId="962" priority="52" operator="equal">
      <formula>$N$56</formula>
    </cfRule>
  </conditionalFormatting>
  <conditionalFormatting sqref="O53">
    <cfRule type="cellIs" dxfId="961" priority="49" operator="notEqual">
      <formula>$O$56</formula>
    </cfRule>
    <cfRule type="cellIs" dxfId="960" priority="50" operator="equal">
      <formula>$O$56</formula>
    </cfRule>
  </conditionalFormatting>
  <conditionalFormatting sqref="P53">
    <cfRule type="cellIs" dxfId="959" priority="47" operator="notEqual">
      <formula>$P$56</formula>
    </cfRule>
    <cfRule type="cellIs" dxfId="958" priority="48" operator="equal">
      <formula>$P$56</formula>
    </cfRule>
  </conditionalFormatting>
  <conditionalFormatting sqref="Q53">
    <cfRule type="cellIs" dxfId="957" priority="45" operator="notEqual">
      <formula>$Q$56</formula>
    </cfRule>
    <cfRule type="cellIs" dxfId="956" priority="46" operator="equal">
      <formula>$Q$56</formula>
    </cfRule>
  </conditionalFormatting>
  <conditionalFormatting sqref="R53">
    <cfRule type="cellIs" dxfId="955" priority="43" operator="notEqual">
      <formula>$R$56</formula>
    </cfRule>
    <cfRule type="cellIs" dxfId="954" priority="44" operator="equal">
      <formula>$R$56</formula>
    </cfRule>
  </conditionalFormatting>
  <conditionalFormatting sqref="S53">
    <cfRule type="cellIs" dxfId="953" priority="41" operator="notEqual">
      <formula>$S$56</formula>
    </cfRule>
    <cfRule type="cellIs" dxfId="952" priority="42" operator="equal">
      <formula>$S$56</formula>
    </cfRule>
  </conditionalFormatting>
  <conditionalFormatting sqref="T53">
    <cfRule type="cellIs" dxfId="951" priority="39" operator="notEqual">
      <formula>$T$56</formula>
    </cfRule>
    <cfRule type="cellIs" dxfId="950" priority="40" operator="equal">
      <formula>$T$56</formula>
    </cfRule>
  </conditionalFormatting>
  <conditionalFormatting sqref="U53">
    <cfRule type="cellIs" dxfId="949" priority="37" operator="notEqual">
      <formula>$U$56</formula>
    </cfRule>
    <cfRule type="cellIs" dxfId="948" priority="38" operator="equal">
      <formula>$U$56</formula>
    </cfRule>
  </conditionalFormatting>
  <conditionalFormatting sqref="V53">
    <cfRule type="cellIs" dxfId="947" priority="35" operator="notEqual">
      <formula>$V$56</formula>
    </cfRule>
    <cfRule type="cellIs" dxfId="946" priority="36" operator="equal">
      <formula>$V$56</formula>
    </cfRule>
  </conditionalFormatting>
  <conditionalFormatting sqref="W53">
    <cfRule type="cellIs" dxfId="945" priority="33" operator="notEqual">
      <formula>$W$56</formula>
    </cfRule>
    <cfRule type="cellIs" dxfId="944" priority="34" operator="equal">
      <formula>$W$56</formula>
    </cfRule>
  </conditionalFormatting>
  <conditionalFormatting sqref="X53">
    <cfRule type="cellIs" dxfId="943" priority="31" operator="notEqual">
      <formula>$X$56</formula>
    </cfRule>
    <cfRule type="cellIs" dxfId="942" priority="32" operator="equal">
      <formula>$X$56</formula>
    </cfRule>
  </conditionalFormatting>
  <conditionalFormatting sqref="Y53">
    <cfRule type="cellIs" dxfId="941" priority="29" operator="notEqual">
      <formula>$Y$56</formula>
    </cfRule>
    <cfRule type="cellIs" dxfId="940" priority="30" operator="equal">
      <formula>$Y$56</formula>
    </cfRule>
  </conditionalFormatting>
  <conditionalFormatting sqref="Z53">
    <cfRule type="cellIs" dxfId="939" priority="27" operator="notEqual">
      <formula>$Z$56</formula>
    </cfRule>
    <cfRule type="cellIs" dxfId="938" priority="28" operator="equal">
      <formula>$Z$56</formula>
    </cfRule>
  </conditionalFormatting>
  <conditionalFormatting sqref="AA53">
    <cfRule type="cellIs" dxfId="937" priority="25" operator="notEqual">
      <formula>$AA$56</formula>
    </cfRule>
    <cfRule type="cellIs" dxfId="936" priority="26" operator="equal">
      <formula>$AA$56</formula>
    </cfRule>
  </conditionalFormatting>
  <conditionalFormatting sqref="AB53">
    <cfRule type="cellIs" dxfId="935" priority="23" operator="notEqual">
      <formula>$AB$56</formula>
    </cfRule>
    <cfRule type="cellIs" dxfId="934" priority="24" operator="equal">
      <formula>$AB$56</formula>
    </cfRule>
  </conditionalFormatting>
  <conditionalFormatting sqref="AC53">
    <cfRule type="cellIs" dxfId="933" priority="21" operator="notEqual">
      <formula>$AC$56</formula>
    </cfRule>
    <cfRule type="cellIs" dxfId="932" priority="22" operator="equal">
      <formula>$AC$56</formula>
    </cfRule>
  </conditionalFormatting>
  <conditionalFormatting sqref="AD53">
    <cfRule type="cellIs" dxfId="931" priority="19" operator="notEqual">
      <formula>$AD$56</formula>
    </cfRule>
    <cfRule type="cellIs" dxfId="930" priority="20" operator="equal">
      <formula>$AD$56</formula>
    </cfRule>
  </conditionalFormatting>
  <conditionalFormatting sqref="AE53">
    <cfRule type="cellIs" dxfId="929" priority="17" operator="notEqual">
      <formula>$AE$56</formula>
    </cfRule>
    <cfRule type="cellIs" dxfId="928" priority="18" operator="equal">
      <formula>$AE$56</formula>
    </cfRule>
  </conditionalFormatting>
  <conditionalFormatting sqref="AF53">
    <cfRule type="cellIs" dxfId="927" priority="16" operator="equal">
      <formula>$AF$56</formula>
    </cfRule>
  </conditionalFormatting>
  <conditionalFormatting sqref="AF53">
    <cfRule type="cellIs" dxfId="926" priority="15" operator="notEqual">
      <formula>$AF$56</formula>
    </cfRule>
  </conditionalFormatting>
  <conditionalFormatting sqref="AG53">
    <cfRule type="cellIs" dxfId="925" priority="14" operator="equal">
      <formula>$AG$56</formula>
    </cfRule>
  </conditionalFormatting>
  <conditionalFormatting sqref="AG53">
    <cfRule type="cellIs" dxfId="924" priority="13" operator="notEqual">
      <formula>$AG$56</formula>
    </cfRule>
  </conditionalFormatting>
  <conditionalFormatting sqref="AH53">
    <cfRule type="cellIs" dxfId="923" priority="12" operator="equal">
      <formula>$AH$56</formula>
    </cfRule>
  </conditionalFormatting>
  <conditionalFormatting sqref="AH53">
    <cfRule type="cellIs" dxfId="922" priority="11" operator="notEqual">
      <formula>$AH$56</formula>
    </cfRule>
  </conditionalFormatting>
  <conditionalFormatting sqref="AI53">
    <cfRule type="cellIs" dxfId="921" priority="10" operator="equal">
      <formula>$AI$56</formula>
    </cfRule>
  </conditionalFormatting>
  <conditionalFormatting sqref="AI53">
    <cfRule type="cellIs" dxfId="920" priority="9" operator="notEqual">
      <formula>$AI$56</formula>
    </cfRule>
  </conditionalFormatting>
  <conditionalFormatting sqref="AJ53">
    <cfRule type="cellIs" dxfId="919" priority="8" operator="equal">
      <formula>$AJ$56</formula>
    </cfRule>
  </conditionalFormatting>
  <conditionalFormatting sqref="AJ53">
    <cfRule type="cellIs" dxfId="918" priority="7" operator="notEqual">
      <formula>$AJ$56</formula>
    </cfRule>
  </conditionalFormatting>
  <conditionalFormatting sqref="AK53">
    <cfRule type="cellIs" dxfId="917" priority="6" operator="equal">
      <formula>$AK$56</formula>
    </cfRule>
  </conditionalFormatting>
  <conditionalFormatting sqref="AK53">
    <cfRule type="cellIs" dxfId="916" priority="5" operator="notEqual">
      <formula>$AK$56</formula>
    </cfRule>
  </conditionalFormatting>
  <conditionalFormatting sqref="AL53">
    <cfRule type="cellIs" dxfId="915" priority="4" operator="equal">
      <formula>$AL$56</formula>
    </cfRule>
  </conditionalFormatting>
  <conditionalFormatting sqref="AL53">
    <cfRule type="cellIs" dxfId="914" priority="3" operator="notEqual">
      <formula>$AL$56</formula>
    </cfRule>
  </conditionalFormatting>
  <conditionalFormatting sqref="AM53">
    <cfRule type="cellIs" dxfId="913" priority="2" operator="equal">
      <formula>$AM$56</formula>
    </cfRule>
  </conditionalFormatting>
  <conditionalFormatting sqref="AM53">
    <cfRule type="cellIs" dxfId="912" priority="1" operator="notEqual">
      <formula>$AM$56</formula>
    </cfRule>
  </conditionalFormatting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DFF99-FB98-46C1-AADF-FD620AA2ECC6}">
  <sheetPr codeName="Planilha14"/>
  <dimension ref="A1:AB50"/>
  <sheetViews>
    <sheetView showGridLines="0" topLeftCell="A26" workbookViewId="0">
      <selection activeCell="K44" sqref="K44:AB50"/>
    </sheetView>
  </sheetViews>
  <sheetFormatPr defaultColWidth="9.140625"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20" style="9" bestFit="1" customWidth="1"/>
    <col min="12" max="12" width="8.7109375" style="9" bestFit="1" customWidth="1"/>
    <col min="13" max="13" width="10.5703125" style="9" bestFit="1" customWidth="1"/>
    <col min="14" max="14" width="8.7109375" style="9" bestFit="1" customWidth="1"/>
    <col min="15" max="15" width="11.140625" style="9" bestFit="1" customWidth="1"/>
    <col min="16" max="17" width="10.5703125" style="9" bestFit="1" customWidth="1"/>
    <col min="18" max="18" width="15" style="9" bestFit="1" customWidth="1"/>
    <col min="19" max="19" width="10.85546875" style="9" bestFit="1" customWidth="1"/>
    <col min="20" max="20" width="8.7109375" style="9" bestFit="1" customWidth="1"/>
    <col min="21" max="21" width="10.42578125" style="9" bestFit="1" customWidth="1"/>
    <col min="22" max="22" width="8.7109375" style="9" bestFit="1" customWidth="1"/>
    <col min="23" max="23" width="10" style="9" bestFit="1" customWidth="1"/>
    <col min="24" max="24" width="8" style="9" bestFit="1" customWidth="1"/>
    <col min="25" max="25" width="9.28515625" style="9" bestFit="1" customWidth="1"/>
    <col min="26" max="26" width="11" style="9" bestFit="1" customWidth="1"/>
    <col min="27" max="27" width="9.28515625" style="9" bestFit="1" customWidth="1"/>
    <col min="28" max="28" width="10.85546875" style="9" bestFit="1" customWidth="1"/>
    <col min="29" max="16384" width="9.140625" style="9"/>
  </cols>
  <sheetData>
    <row r="1" spans="1:28" ht="11.25" customHeight="1" x14ac:dyDescent="0.25">
      <c r="A1" s="154" t="s">
        <v>64</v>
      </c>
      <c r="B1" s="154" t="s">
        <v>65</v>
      </c>
      <c r="C1" s="154" t="s">
        <v>66</v>
      </c>
      <c r="D1" s="154" t="s">
        <v>67</v>
      </c>
      <c r="E1" s="154" t="s">
        <v>68</v>
      </c>
      <c r="F1" s="154" t="s">
        <v>15</v>
      </c>
      <c r="G1" s="154" t="s">
        <v>70</v>
      </c>
      <c r="H1" s="154" t="s">
        <v>71</v>
      </c>
      <c r="I1" s="154" t="s">
        <v>561</v>
      </c>
      <c r="J1" s="141"/>
      <c r="L1" s="155" t="s">
        <v>576</v>
      </c>
      <c r="M1" s="155"/>
      <c r="N1" s="155"/>
      <c r="O1" s="155"/>
      <c r="P1" s="155"/>
      <c r="Q1" s="155"/>
      <c r="R1" s="155"/>
      <c r="S1" s="155"/>
      <c r="T1" s="155"/>
      <c r="U1" s="155"/>
      <c r="V1" s="155"/>
      <c r="W1" s="155"/>
      <c r="X1" s="155"/>
      <c r="Y1" s="155"/>
      <c r="Z1" s="155"/>
      <c r="AA1" s="155"/>
      <c r="AB1" s="155"/>
    </row>
    <row r="2" spans="1:28" ht="11.25" customHeight="1" x14ac:dyDescent="0.25">
      <c r="A2" s="154"/>
      <c r="B2" s="154"/>
      <c r="C2" s="154"/>
      <c r="D2" s="154"/>
      <c r="E2" s="154"/>
      <c r="F2" s="154"/>
      <c r="G2" s="154"/>
      <c r="H2" s="154"/>
      <c r="I2" s="154"/>
      <c r="J2" s="141"/>
      <c r="L2" s="155" t="s">
        <v>488</v>
      </c>
      <c r="M2" s="155"/>
      <c r="N2" s="155"/>
      <c r="O2" s="155"/>
      <c r="P2" s="155"/>
      <c r="Q2" s="155"/>
      <c r="R2" s="155"/>
      <c r="S2" s="155"/>
      <c r="T2" s="155"/>
      <c r="U2" s="155"/>
      <c r="V2" s="155"/>
      <c r="W2" s="155"/>
      <c r="X2" s="155"/>
      <c r="Y2" s="155"/>
      <c r="Z2" s="155"/>
      <c r="AA2" s="155"/>
      <c r="AB2" s="155"/>
    </row>
    <row r="3" spans="1:28" ht="11.25" customHeight="1" x14ac:dyDescent="0.25">
      <c r="A3" s="154"/>
      <c r="B3" s="154"/>
      <c r="C3" s="154"/>
      <c r="D3" s="154"/>
      <c r="E3" s="154"/>
      <c r="F3" s="154"/>
      <c r="G3" s="154"/>
      <c r="H3" s="154"/>
      <c r="I3" s="154"/>
      <c r="J3" s="141"/>
      <c r="L3" s="155" t="s">
        <v>461</v>
      </c>
      <c r="M3" s="155"/>
      <c r="N3" s="155"/>
      <c r="O3" s="155"/>
      <c r="P3" s="155"/>
      <c r="Q3" s="155"/>
      <c r="R3" s="155" t="s">
        <v>492</v>
      </c>
      <c r="S3" s="155"/>
      <c r="T3" s="155" t="s">
        <v>470</v>
      </c>
      <c r="U3" s="155"/>
      <c r="V3" s="155"/>
      <c r="W3" s="155"/>
      <c r="X3" s="155" t="s">
        <v>480</v>
      </c>
      <c r="Y3" s="155"/>
      <c r="Z3" s="155" t="s">
        <v>483</v>
      </c>
      <c r="AA3" s="155"/>
      <c r="AB3" s="155" t="s">
        <v>469</v>
      </c>
    </row>
    <row r="4" spans="1:28" ht="11.25" customHeight="1" x14ac:dyDescent="0.25">
      <c r="A4" s="154"/>
      <c r="B4" s="154"/>
      <c r="C4" s="154"/>
      <c r="D4" s="154"/>
      <c r="E4" s="154"/>
      <c r="F4" s="154"/>
      <c r="G4" s="154"/>
      <c r="H4" s="154"/>
      <c r="I4" s="154"/>
      <c r="J4" s="141"/>
      <c r="L4" s="63" t="s">
        <v>463</v>
      </c>
      <c r="M4" s="63" t="s">
        <v>489</v>
      </c>
      <c r="N4" s="63" t="s">
        <v>490</v>
      </c>
      <c r="O4" s="63" t="s">
        <v>549</v>
      </c>
      <c r="P4" s="63" t="s">
        <v>491</v>
      </c>
      <c r="Q4" s="63" t="s">
        <v>469</v>
      </c>
      <c r="R4" s="63" t="s">
        <v>493</v>
      </c>
      <c r="S4" s="63" t="s">
        <v>469</v>
      </c>
      <c r="T4" s="63" t="s">
        <v>494</v>
      </c>
      <c r="U4" s="63" t="s">
        <v>495</v>
      </c>
      <c r="V4" s="63" t="s">
        <v>496</v>
      </c>
      <c r="W4" s="63" t="s">
        <v>469</v>
      </c>
      <c r="X4" s="63" t="s">
        <v>481</v>
      </c>
      <c r="Y4" s="63" t="s">
        <v>469</v>
      </c>
      <c r="Z4" s="63" t="s">
        <v>497</v>
      </c>
      <c r="AA4" s="63" t="s">
        <v>469</v>
      </c>
      <c r="AB4" s="156"/>
    </row>
    <row r="5" spans="1:28" ht="11.25" customHeight="1" x14ac:dyDescent="0.25">
      <c r="A5" s="153" t="s">
        <v>35</v>
      </c>
      <c r="B5" s="153" t="s">
        <v>73</v>
      </c>
      <c r="C5" s="153" t="s">
        <v>25</v>
      </c>
      <c r="D5" s="153" t="s">
        <v>25</v>
      </c>
      <c r="E5" s="153" t="s">
        <v>25</v>
      </c>
      <c r="F5" s="153" t="s">
        <v>25</v>
      </c>
      <c r="G5" s="62" t="s">
        <v>75</v>
      </c>
      <c r="H5" s="62" t="s">
        <v>74</v>
      </c>
      <c r="I5" s="62">
        <f>'MERCADO TE'!$U$2</f>
        <v>3764.2840000000001</v>
      </c>
      <c r="J5" s="15"/>
      <c r="L5" s="59">
        <v>1</v>
      </c>
      <c r="M5" s="59">
        <v>1</v>
      </c>
      <c r="N5" s="59">
        <v>1</v>
      </c>
      <c r="O5" s="59">
        <v>1</v>
      </c>
      <c r="P5" s="59">
        <v>1</v>
      </c>
      <c r="Q5" s="59"/>
      <c r="R5" s="59">
        <v>1.72</v>
      </c>
      <c r="S5" s="59"/>
      <c r="T5" s="59">
        <v>1</v>
      </c>
      <c r="U5" s="59">
        <v>1</v>
      </c>
      <c r="V5" s="59">
        <v>1</v>
      </c>
      <c r="W5" s="59"/>
      <c r="X5" s="59"/>
      <c r="Y5" s="59"/>
      <c r="Z5" s="59">
        <v>1</v>
      </c>
      <c r="AA5" s="59"/>
      <c r="AB5" s="59"/>
    </row>
    <row r="6" spans="1:28" ht="11.25" customHeight="1" x14ac:dyDescent="0.25">
      <c r="A6" s="153"/>
      <c r="B6" s="153"/>
      <c r="C6" s="153"/>
      <c r="D6" s="153"/>
      <c r="E6" s="153"/>
      <c r="F6" s="153"/>
      <c r="G6" s="62" t="s">
        <v>76</v>
      </c>
      <c r="H6" s="62" t="s">
        <v>74</v>
      </c>
      <c r="I6" s="62">
        <f>'MERCADO TE'!$U$3</f>
        <v>77059.703999999983</v>
      </c>
      <c r="J6" s="15"/>
      <c r="L6" s="59">
        <v>1</v>
      </c>
      <c r="M6" s="59">
        <v>1</v>
      </c>
      <c r="N6" s="59">
        <v>1</v>
      </c>
      <c r="O6" s="59">
        <v>1</v>
      </c>
      <c r="P6" s="59">
        <v>1</v>
      </c>
      <c r="Q6" s="59"/>
      <c r="R6" s="59">
        <v>1</v>
      </c>
      <c r="S6" s="59"/>
      <c r="T6" s="59">
        <v>1</v>
      </c>
      <c r="U6" s="59">
        <v>1</v>
      </c>
      <c r="V6" s="59">
        <v>1</v>
      </c>
      <c r="W6" s="59"/>
      <c r="X6" s="59"/>
      <c r="Y6" s="59"/>
      <c r="Z6" s="59">
        <v>1</v>
      </c>
      <c r="AA6" s="59"/>
      <c r="AB6" s="59"/>
    </row>
    <row r="7" spans="1:28" ht="11.25" customHeight="1" x14ac:dyDescent="0.25">
      <c r="A7" s="153"/>
      <c r="B7" s="61" t="s">
        <v>77</v>
      </c>
      <c r="C7" s="61" t="s">
        <v>25</v>
      </c>
      <c r="D7" s="61" t="s">
        <v>25</v>
      </c>
      <c r="E7" s="61" t="s">
        <v>25</v>
      </c>
      <c r="F7" s="61" t="s">
        <v>25</v>
      </c>
      <c r="G7" s="62" t="s">
        <v>78</v>
      </c>
      <c r="H7" s="62" t="s">
        <v>74</v>
      </c>
      <c r="I7" s="62">
        <f>'MERCADO TE'!$U$4</f>
        <v>0</v>
      </c>
      <c r="J7" s="15"/>
      <c r="L7" s="59">
        <v>1</v>
      </c>
      <c r="M7" s="59">
        <v>1</v>
      </c>
      <c r="N7" s="59">
        <v>1</v>
      </c>
      <c r="O7" s="59">
        <v>1</v>
      </c>
      <c r="P7" s="59">
        <v>1</v>
      </c>
      <c r="Q7" s="59"/>
      <c r="R7" s="59">
        <v>1.06</v>
      </c>
      <c r="S7" s="59"/>
      <c r="T7" s="59">
        <v>1</v>
      </c>
      <c r="U7" s="59">
        <v>1</v>
      </c>
      <c r="V7" s="59">
        <v>1</v>
      </c>
      <c r="W7" s="59"/>
      <c r="X7" s="59"/>
      <c r="Y7" s="59"/>
      <c r="Z7" s="59">
        <v>1</v>
      </c>
      <c r="AA7" s="59"/>
      <c r="AB7" s="59"/>
    </row>
    <row r="8" spans="1:28" ht="11.25" customHeight="1" x14ac:dyDescent="0.25">
      <c r="A8" s="153" t="s">
        <v>22</v>
      </c>
      <c r="B8" s="153" t="s">
        <v>73</v>
      </c>
      <c r="C8" s="153" t="s">
        <v>24</v>
      </c>
      <c r="D8" s="153" t="s">
        <v>24</v>
      </c>
      <c r="E8" s="153" t="s">
        <v>25</v>
      </c>
      <c r="F8" s="153" t="s">
        <v>25</v>
      </c>
      <c r="G8" s="62" t="s">
        <v>75</v>
      </c>
      <c r="H8" s="62" t="s">
        <v>74</v>
      </c>
      <c r="I8" s="62">
        <f>'MERCADO TE'!$U$5</f>
        <v>0</v>
      </c>
      <c r="J8" s="15"/>
      <c r="L8" s="59">
        <v>1</v>
      </c>
      <c r="M8" s="59">
        <v>1</v>
      </c>
      <c r="N8" s="59">
        <v>1</v>
      </c>
      <c r="O8" s="59">
        <v>1</v>
      </c>
      <c r="P8" s="59">
        <v>1</v>
      </c>
      <c r="Q8" s="59"/>
      <c r="R8" s="59">
        <v>1.72</v>
      </c>
      <c r="S8" s="59"/>
      <c r="T8" s="59">
        <v>1</v>
      </c>
      <c r="U8" s="59">
        <v>1</v>
      </c>
      <c r="V8" s="59">
        <v>1</v>
      </c>
      <c r="W8" s="59"/>
      <c r="X8" s="59"/>
      <c r="Y8" s="59"/>
      <c r="Z8" s="59">
        <v>1</v>
      </c>
      <c r="AA8" s="59"/>
      <c r="AB8" s="59"/>
    </row>
    <row r="9" spans="1:28" ht="11.25" customHeight="1" x14ac:dyDescent="0.25">
      <c r="A9" s="153"/>
      <c r="B9" s="153"/>
      <c r="C9" s="153"/>
      <c r="D9" s="153"/>
      <c r="E9" s="153"/>
      <c r="F9" s="153"/>
      <c r="G9" s="62" t="s">
        <v>87</v>
      </c>
      <c r="H9" s="62" t="s">
        <v>74</v>
      </c>
      <c r="I9" s="62">
        <f>'MERCADO TE'!$U$6</f>
        <v>0</v>
      </c>
      <c r="J9" s="15"/>
      <c r="L9" s="59">
        <v>1</v>
      </c>
      <c r="M9" s="59">
        <v>1</v>
      </c>
      <c r="N9" s="59">
        <v>1</v>
      </c>
      <c r="O9" s="59">
        <v>1</v>
      </c>
      <c r="P9" s="59">
        <v>1</v>
      </c>
      <c r="Q9" s="59"/>
      <c r="R9" s="59">
        <v>1</v>
      </c>
      <c r="S9" s="59"/>
      <c r="T9" s="59">
        <v>1</v>
      </c>
      <c r="U9" s="59">
        <v>1</v>
      </c>
      <c r="V9" s="59">
        <v>1</v>
      </c>
      <c r="W9" s="59"/>
      <c r="X9" s="59"/>
      <c r="Y9" s="59"/>
      <c r="Z9" s="59">
        <v>1</v>
      </c>
      <c r="AA9" s="59"/>
      <c r="AB9" s="59"/>
    </row>
    <row r="10" spans="1:28" ht="11.25" customHeight="1" x14ac:dyDescent="0.25">
      <c r="A10" s="153"/>
      <c r="B10" s="153"/>
      <c r="C10" s="153"/>
      <c r="D10" s="153"/>
      <c r="E10" s="153"/>
      <c r="F10" s="153"/>
      <c r="G10" s="62" t="s">
        <v>76</v>
      </c>
      <c r="H10" s="62" t="s">
        <v>74</v>
      </c>
      <c r="I10" s="62">
        <f>'MERCADO TE'!$U$7</f>
        <v>0</v>
      </c>
      <c r="J10" s="15"/>
      <c r="L10" s="59">
        <v>1</v>
      </c>
      <c r="M10" s="59">
        <v>1</v>
      </c>
      <c r="N10" s="59">
        <v>1</v>
      </c>
      <c r="O10" s="59">
        <v>1</v>
      </c>
      <c r="P10" s="59">
        <v>1</v>
      </c>
      <c r="Q10" s="59"/>
      <c r="R10" s="59">
        <v>1</v>
      </c>
      <c r="S10" s="59"/>
      <c r="T10" s="59">
        <v>1</v>
      </c>
      <c r="U10" s="59">
        <v>1</v>
      </c>
      <c r="V10" s="59">
        <v>1</v>
      </c>
      <c r="W10" s="59"/>
      <c r="X10" s="59"/>
      <c r="Y10" s="59"/>
      <c r="Z10" s="59">
        <v>1</v>
      </c>
      <c r="AA10" s="59"/>
      <c r="AB10" s="59"/>
    </row>
    <row r="11" spans="1:28" ht="11.25" customHeight="1" x14ac:dyDescent="0.25">
      <c r="A11" s="153"/>
      <c r="B11" s="153" t="s">
        <v>77</v>
      </c>
      <c r="C11" s="153" t="s">
        <v>24</v>
      </c>
      <c r="D11" s="61" t="s">
        <v>24</v>
      </c>
      <c r="E11" s="61" t="s">
        <v>25</v>
      </c>
      <c r="F11" s="61" t="s">
        <v>25</v>
      </c>
      <c r="G11" s="62" t="s">
        <v>78</v>
      </c>
      <c r="H11" s="62" t="s">
        <v>74</v>
      </c>
      <c r="I11" s="62">
        <f>'MERCADO TE'!$U$8</f>
        <v>67923.810000000012</v>
      </c>
      <c r="J11" s="15"/>
      <c r="L11" s="59">
        <v>1</v>
      </c>
      <c r="M11" s="59">
        <v>1</v>
      </c>
      <c r="N11" s="59">
        <v>1</v>
      </c>
      <c r="O11" s="59">
        <v>1</v>
      </c>
      <c r="P11" s="59">
        <v>1</v>
      </c>
      <c r="Q11" s="59"/>
      <c r="R11" s="59">
        <v>1.06</v>
      </c>
      <c r="S11" s="59"/>
      <c r="T11" s="59">
        <v>1</v>
      </c>
      <c r="U11" s="59">
        <v>1</v>
      </c>
      <c r="V11" s="59">
        <v>1</v>
      </c>
      <c r="W11" s="59"/>
      <c r="X11" s="59"/>
      <c r="Y11" s="59"/>
      <c r="Z11" s="59">
        <v>1</v>
      </c>
      <c r="AA11" s="59"/>
      <c r="AB11" s="59"/>
    </row>
    <row r="12" spans="1:28" ht="11.25" customHeight="1" x14ac:dyDescent="0.25">
      <c r="A12" s="153"/>
      <c r="B12" s="153"/>
      <c r="C12" s="153"/>
      <c r="D12" s="61" t="s">
        <v>29</v>
      </c>
      <c r="E12" s="61" t="s">
        <v>25</v>
      </c>
      <c r="F12" s="61" t="s">
        <v>25</v>
      </c>
      <c r="G12" s="62" t="s">
        <v>78</v>
      </c>
      <c r="H12" s="62" t="s">
        <v>74</v>
      </c>
      <c r="I12" s="62">
        <f>'MERCADO TE'!$U$9</f>
        <v>515.52700000000004</v>
      </c>
      <c r="J12" s="15"/>
      <c r="L12" s="59">
        <f>1 - CUSTOS!$M$24</f>
        <v>1</v>
      </c>
      <c r="M12" s="59">
        <f>1 - CUSTOS!$M$24</f>
        <v>1</v>
      </c>
      <c r="N12" s="59">
        <f>1 - CUSTOS!$M$24</f>
        <v>1</v>
      </c>
      <c r="O12" s="59">
        <f>1 - CUSTOS!$M$24</f>
        <v>1</v>
      </c>
      <c r="P12" s="59">
        <f>1 - CUSTOS!$M$24</f>
        <v>1</v>
      </c>
      <c r="Q12" s="59"/>
      <c r="R12" s="59">
        <f>(1 - CUSTOS!$M$24)*1.06</f>
        <v>1.06</v>
      </c>
      <c r="S12" s="59"/>
      <c r="T12" s="59">
        <f>1 - CUSTOS!$M$24</f>
        <v>1</v>
      </c>
      <c r="U12" s="59">
        <f>1 - CUSTOS!$M$24</f>
        <v>1</v>
      </c>
      <c r="V12" s="59">
        <f>1 - CUSTOS!$M$24</f>
        <v>1</v>
      </c>
      <c r="W12" s="59"/>
      <c r="X12" s="59"/>
      <c r="Y12" s="59"/>
      <c r="Z12" s="59">
        <f>1 - CUSTOS!$M$24</f>
        <v>1</v>
      </c>
      <c r="AA12" s="59"/>
      <c r="AB12" s="59"/>
    </row>
    <row r="13" spans="1:28" ht="11.25" customHeight="1" x14ac:dyDescent="0.25">
      <c r="A13" s="153"/>
      <c r="B13" s="153"/>
      <c r="C13" s="153"/>
      <c r="D13" s="61" t="s">
        <v>30</v>
      </c>
      <c r="E13" s="61" t="s">
        <v>25</v>
      </c>
      <c r="F13" s="61" t="s">
        <v>25</v>
      </c>
      <c r="G13" s="62" t="s">
        <v>78</v>
      </c>
      <c r="H13" s="62" t="s">
        <v>74</v>
      </c>
      <c r="I13" s="62">
        <f>'MERCADO TE'!$U$10</f>
        <v>1078.232</v>
      </c>
      <c r="J13" s="15"/>
      <c r="L13" s="59">
        <f>1 - CUSTOS!$M$25</f>
        <v>1</v>
      </c>
      <c r="M13" s="59">
        <f>1 - CUSTOS!$M$25</f>
        <v>1</v>
      </c>
      <c r="N13" s="59">
        <f>1 - CUSTOS!$M$25</f>
        <v>1</v>
      </c>
      <c r="O13" s="59">
        <f>1 - CUSTOS!$M$25</f>
        <v>1</v>
      </c>
      <c r="P13" s="59">
        <f>1 - CUSTOS!$M$25</f>
        <v>1</v>
      </c>
      <c r="Q13" s="59"/>
      <c r="R13" s="59">
        <f>(1 - CUSTOS!$M$25)*1.06</f>
        <v>1.06</v>
      </c>
      <c r="S13" s="59"/>
      <c r="T13" s="59">
        <f>1 - CUSTOS!$M$25</f>
        <v>1</v>
      </c>
      <c r="U13" s="59">
        <f>1 - CUSTOS!$M$25</f>
        <v>1</v>
      </c>
      <c r="V13" s="59">
        <f>1 - CUSTOS!$M$25</f>
        <v>1</v>
      </c>
      <c r="W13" s="59"/>
      <c r="X13" s="59"/>
      <c r="Y13" s="59"/>
      <c r="Z13" s="59">
        <f>1 - CUSTOS!$M$25</f>
        <v>1</v>
      </c>
      <c r="AA13" s="59"/>
      <c r="AB13" s="59"/>
    </row>
    <row r="14" spans="1:28" ht="11.25" customHeight="1" x14ac:dyDescent="0.25">
      <c r="A14" s="153"/>
      <c r="B14" s="153"/>
      <c r="C14" s="153"/>
      <c r="D14" s="61" t="s">
        <v>31</v>
      </c>
      <c r="E14" s="61" t="s">
        <v>25</v>
      </c>
      <c r="F14" s="61" t="s">
        <v>25</v>
      </c>
      <c r="G14" s="62" t="s">
        <v>78</v>
      </c>
      <c r="H14" s="62" t="s">
        <v>74</v>
      </c>
      <c r="I14" s="62">
        <f>'MERCADO TE'!$U$11</f>
        <v>1111.8500000000001</v>
      </c>
      <c r="J14" s="15"/>
      <c r="L14" s="59">
        <f>1 - CUSTOS!$M$26</f>
        <v>1</v>
      </c>
      <c r="M14" s="59">
        <f>1 - CUSTOS!$M$26</f>
        <v>1</v>
      </c>
      <c r="N14" s="59">
        <f>1 - CUSTOS!$M$26</f>
        <v>1</v>
      </c>
      <c r="O14" s="59">
        <f>1 - CUSTOS!$M$26</f>
        <v>1</v>
      </c>
      <c r="P14" s="59">
        <f>1 - CUSTOS!$M$26</f>
        <v>1</v>
      </c>
      <c r="Q14" s="59"/>
      <c r="R14" s="59">
        <f>(1 - CUSTOS!$M$26)*1.06</f>
        <v>1.06</v>
      </c>
      <c r="S14" s="59"/>
      <c r="T14" s="59">
        <f>1 - CUSTOS!$M$26</f>
        <v>1</v>
      </c>
      <c r="U14" s="59">
        <f>1 - CUSTOS!$M$26</f>
        <v>1</v>
      </c>
      <c r="V14" s="59">
        <f>1 - CUSTOS!$M$26</f>
        <v>1</v>
      </c>
      <c r="W14" s="59"/>
      <c r="X14" s="59"/>
      <c r="Y14" s="59"/>
      <c r="Z14" s="59">
        <f>1 - CUSTOS!$M$26</f>
        <v>1</v>
      </c>
      <c r="AA14" s="59"/>
      <c r="AB14" s="59"/>
    </row>
    <row r="15" spans="1:28" ht="11.25" customHeight="1" x14ac:dyDescent="0.25">
      <c r="A15" s="153"/>
      <c r="B15" s="153"/>
      <c r="C15" s="153"/>
      <c r="D15" s="61" t="s">
        <v>32</v>
      </c>
      <c r="E15" s="61" t="s">
        <v>25</v>
      </c>
      <c r="F15" s="61" t="s">
        <v>25</v>
      </c>
      <c r="G15" s="62" t="s">
        <v>78</v>
      </c>
      <c r="H15" s="62" t="s">
        <v>74</v>
      </c>
      <c r="I15" s="62">
        <f>'MERCADO TE'!$U$12</f>
        <v>453.86500000000007</v>
      </c>
      <c r="J15" s="15"/>
      <c r="L15" s="59">
        <f>1 - CUSTOS!$M$27</f>
        <v>1</v>
      </c>
      <c r="M15" s="59">
        <f>1 - CUSTOS!$M$27</f>
        <v>1</v>
      </c>
      <c r="N15" s="59">
        <f>1 - CUSTOS!$M$27</f>
        <v>1</v>
      </c>
      <c r="O15" s="59">
        <f>1 - CUSTOS!$M$27</f>
        <v>1</v>
      </c>
      <c r="P15" s="59">
        <f>1 - CUSTOS!$M$27</f>
        <v>1</v>
      </c>
      <c r="Q15" s="59"/>
      <c r="R15" s="59">
        <f>(1 - CUSTOS!$M$27)*1.06</f>
        <v>1.06</v>
      </c>
      <c r="S15" s="59"/>
      <c r="T15" s="59">
        <f>1 - CUSTOS!$M$27</f>
        <v>1</v>
      </c>
      <c r="U15" s="59">
        <f>1 - CUSTOS!$M$27</f>
        <v>1</v>
      </c>
      <c r="V15" s="59">
        <f>1 - CUSTOS!$M$27</f>
        <v>1</v>
      </c>
      <c r="W15" s="59"/>
      <c r="X15" s="59"/>
      <c r="Y15" s="59"/>
      <c r="Z15" s="59">
        <f>1 - CUSTOS!$M$27</f>
        <v>1</v>
      </c>
      <c r="AA15" s="59"/>
      <c r="AB15" s="59"/>
    </row>
    <row r="16" spans="1:28" ht="11.25" customHeight="1" x14ac:dyDescent="0.25">
      <c r="A16" s="153"/>
      <c r="B16" s="153" t="s">
        <v>88</v>
      </c>
      <c r="C16" s="153" t="s">
        <v>24</v>
      </c>
      <c r="D16" s="61" t="s">
        <v>24</v>
      </c>
      <c r="E16" s="61" t="s">
        <v>25</v>
      </c>
      <c r="F16" s="61" t="s">
        <v>25</v>
      </c>
      <c r="G16" s="62" t="s">
        <v>78</v>
      </c>
      <c r="H16" s="62" t="s">
        <v>74</v>
      </c>
      <c r="I16" s="62">
        <f>'MERCADO TE'!$U$13</f>
        <v>0</v>
      </c>
      <c r="J16" s="15"/>
      <c r="L16" s="59">
        <v>1</v>
      </c>
      <c r="M16" s="59">
        <v>1</v>
      </c>
      <c r="N16" s="59">
        <v>1</v>
      </c>
      <c r="O16" s="59">
        <v>1</v>
      </c>
      <c r="P16" s="59">
        <v>1</v>
      </c>
      <c r="Q16" s="59"/>
      <c r="R16" s="59">
        <v>1.06</v>
      </c>
      <c r="S16" s="59"/>
      <c r="T16" s="59">
        <v>1</v>
      </c>
      <c r="U16" s="59">
        <v>1</v>
      </c>
      <c r="V16" s="59">
        <v>1</v>
      </c>
      <c r="W16" s="59"/>
      <c r="X16" s="59"/>
      <c r="Y16" s="59"/>
      <c r="Z16" s="59">
        <v>1</v>
      </c>
      <c r="AA16" s="59"/>
      <c r="AB16" s="59"/>
    </row>
    <row r="17" spans="1:28" ht="11.25" customHeight="1" x14ac:dyDescent="0.25">
      <c r="A17" s="153"/>
      <c r="B17" s="153"/>
      <c r="C17" s="153"/>
      <c r="D17" s="61" t="s">
        <v>29</v>
      </c>
      <c r="E17" s="61" t="s">
        <v>25</v>
      </c>
      <c r="F17" s="61" t="s">
        <v>25</v>
      </c>
      <c r="G17" s="62" t="s">
        <v>78</v>
      </c>
      <c r="H17" s="62" t="s">
        <v>74</v>
      </c>
      <c r="I17" s="62">
        <f>'MERCADO TE'!$U$14</f>
        <v>0</v>
      </c>
      <c r="J17" s="15"/>
      <c r="L17" s="59">
        <f>1 - CUSTOS!$M$24</f>
        <v>1</v>
      </c>
      <c r="M17" s="59">
        <f>1 - CUSTOS!$M$24</f>
        <v>1</v>
      </c>
      <c r="N17" s="59">
        <f>1 - CUSTOS!$M$24</f>
        <v>1</v>
      </c>
      <c r="O17" s="59">
        <f>1 - CUSTOS!$M$24</f>
        <v>1</v>
      </c>
      <c r="P17" s="59">
        <f>1 - CUSTOS!$M$24</f>
        <v>1</v>
      </c>
      <c r="Q17" s="59"/>
      <c r="R17" s="59">
        <f>(1 - CUSTOS!$M$24)*1.06</f>
        <v>1.06</v>
      </c>
      <c r="S17" s="59"/>
      <c r="T17" s="59">
        <f>1 - CUSTOS!$M$24</f>
        <v>1</v>
      </c>
      <c r="U17" s="59">
        <f>1 - CUSTOS!$M$24</f>
        <v>1</v>
      </c>
      <c r="V17" s="59">
        <f>1 - CUSTOS!$M$24</f>
        <v>1</v>
      </c>
      <c r="W17" s="59"/>
      <c r="X17" s="59"/>
      <c r="Y17" s="59"/>
      <c r="Z17" s="59">
        <f>1 - CUSTOS!$M$24</f>
        <v>1</v>
      </c>
      <c r="AA17" s="59"/>
      <c r="AB17" s="59"/>
    </row>
    <row r="18" spans="1:28" ht="11.25" customHeight="1" x14ac:dyDescent="0.25">
      <c r="A18" s="153"/>
      <c r="B18" s="153"/>
      <c r="C18" s="153"/>
      <c r="D18" s="61" t="s">
        <v>30</v>
      </c>
      <c r="E18" s="61" t="s">
        <v>25</v>
      </c>
      <c r="F18" s="61" t="s">
        <v>25</v>
      </c>
      <c r="G18" s="62" t="s">
        <v>78</v>
      </c>
      <c r="H18" s="62" t="s">
        <v>74</v>
      </c>
      <c r="I18" s="62">
        <f>'MERCADO TE'!$U$15</f>
        <v>0</v>
      </c>
      <c r="J18" s="15"/>
      <c r="L18" s="59">
        <f>1 - CUSTOS!$M$25</f>
        <v>1</v>
      </c>
      <c r="M18" s="59">
        <f>1 - CUSTOS!$M$25</f>
        <v>1</v>
      </c>
      <c r="N18" s="59">
        <f>1 - CUSTOS!$M$25</f>
        <v>1</v>
      </c>
      <c r="O18" s="59">
        <f>1 - CUSTOS!$M$25</f>
        <v>1</v>
      </c>
      <c r="P18" s="59">
        <f>1 - CUSTOS!$M$25</f>
        <v>1</v>
      </c>
      <c r="Q18" s="59"/>
      <c r="R18" s="59">
        <f>(1 - CUSTOS!$M$25)*1.06</f>
        <v>1.06</v>
      </c>
      <c r="S18" s="59"/>
      <c r="T18" s="59">
        <f>1 - CUSTOS!$M$25</f>
        <v>1</v>
      </c>
      <c r="U18" s="59">
        <f>1 - CUSTOS!$M$25</f>
        <v>1</v>
      </c>
      <c r="V18" s="59">
        <f>1 - CUSTOS!$M$25</f>
        <v>1</v>
      </c>
      <c r="W18" s="59"/>
      <c r="X18" s="59"/>
      <c r="Y18" s="59"/>
      <c r="Z18" s="59">
        <f>1 - CUSTOS!$M$25</f>
        <v>1</v>
      </c>
      <c r="AA18" s="59"/>
      <c r="AB18" s="59"/>
    </row>
    <row r="19" spans="1:28" ht="11.25" customHeight="1" x14ac:dyDescent="0.25">
      <c r="A19" s="153"/>
      <c r="B19" s="153"/>
      <c r="C19" s="153"/>
      <c r="D19" s="61" t="s">
        <v>31</v>
      </c>
      <c r="E19" s="61" t="s">
        <v>25</v>
      </c>
      <c r="F19" s="61" t="s">
        <v>25</v>
      </c>
      <c r="G19" s="62" t="s">
        <v>78</v>
      </c>
      <c r="H19" s="62" t="s">
        <v>74</v>
      </c>
      <c r="I19" s="62">
        <f>'MERCADO TE'!$U$16</f>
        <v>0</v>
      </c>
      <c r="J19" s="15"/>
      <c r="L19" s="59">
        <f>1 - CUSTOS!$M$26</f>
        <v>1</v>
      </c>
      <c r="M19" s="59">
        <f>1 - CUSTOS!$M$26</f>
        <v>1</v>
      </c>
      <c r="N19" s="59">
        <f>1 - CUSTOS!$M$26</f>
        <v>1</v>
      </c>
      <c r="O19" s="59">
        <f>1 - CUSTOS!$M$26</f>
        <v>1</v>
      </c>
      <c r="P19" s="59">
        <f>1 - CUSTOS!$M$26</f>
        <v>1</v>
      </c>
      <c r="Q19" s="59"/>
      <c r="R19" s="59">
        <f>(1 - CUSTOS!$M$26)*1.06</f>
        <v>1.06</v>
      </c>
      <c r="S19" s="59"/>
      <c r="T19" s="59">
        <f>1 - CUSTOS!$M$26</f>
        <v>1</v>
      </c>
      <c r="U19" s="59">
        <f>1 - CUSTOS!$M$26</f>
        <v>1</v>
      </c>
      <c r="V19" s="59">
        <f>1 - CUSTOS!$M$26</f>
        <v>1</v>
      </c>
      <c r="W19" s="59"/>
      <c r="X19" s="59"/>
      <c r="Y19" s="59"/>
      <c r="Z19" s="59">
        <f>1 - CUSTOS!$M$26</f>
        <v>1</v>
      </c>
      <c r="AA19" s="59"/>
      <c r="AB19" s="59"/>
    </row>
    <row r="20" spans="1:28" ht="11.25" customHeight="1" x14ac:dyDescent="0.25">
      <c r="A20" s="153"/>
      <c r="B20" s="153"/>
      <c r="C20" s="153"/>
      <c r="D20" s="61" t="s">
        <v>32</v>
      </c>
      <c r="E20" s="61" t="s">
        <v>25</v>
      </c>
      <c r="F20" s="61" t="s">
        <v>25</v>
      </c>
      <c r="G20" s="62" t="s">
        <v>78</v>
      </c>
      <c r="H20" s="62" t="s">
        <v>74</v>
      </c>
      <c r="I20" s="62">
        <f>'MERCADO TE'!$U$17</f>
        <v>0</v>
      </c>
      <c r="J20" s="15"/>
      <c r="L20" s="59">
        <f>1 - CUSTOS!$M$27</f>
        <v>1</v>
      </c>
      <c r="M20" s="59">
        <f>1 - CUSTOS!$M$27</f>
        <v>1</v>
      </c>
      <c r="N20" s="59">
        <f>1 - CUSTOS!$M$27</f>
        <v>1</v>
      </c>
      <c r="O20" s="59">
        <f>1 - CUSTOS!$M$27</f>
        <v>1</v>
      </c>
      <c r="P20" s="59">
        <f>1 - CUSTOS!$M$27</f>
        <v>1</v>
      </c>
      <c r="Q20" s="59"/>
      <c r="R20" s="59">
        <f>(1 - CUSTOS!$M$27)*1.06</f>
        <v>1.06</v>
      </c>
      <c r="S20" s="59"/>
      <c r="T20" s="59">
        <f>1 - CUSTOS!$M$27</f>
        <v>1</v>
      </c>
      <c r="U20" s="59">
        <f>1 - CUSTOS!$M$27</f>
        <v>1</v>
      </c>
      <c r="V20" s="59">
        <f>1 - CUSTOS!$M$27</f>
        <v>1</v>
      </c>
      <c r="W20" s="59"/>
      <c r="X20" s="59"/>
      <c r="Y20" s="59"/>
      <c r="Z20" s="59">
        <f>1 - CUSTOS!$M$27</f>
        <v>1</v>
      </c>
      <c r="AA20" s="59"/>
      <c r="AB20" s="59"/>
    </row>
    <row r="21" spans="1:28" ht="11.25" customHeight="1" x14ac:dyDescent="0.25">
      <c r="A21" s="153" t="s">
        <v>41</v>
      </c>
      <c r="B21" s="153" t="s">
        <v>73</v>
      </c>
      <c r="C21" s="153" t="s">
        <v>42</v>
      </c>
      <c r="D21" s="153" t="s">
        <v>25</v>
      </c>
      <c r="E21" s="153" t="s">
        <v>25</v>
      </c>
      <c r="F21" s="153" t="s">
        <v>25</v>
      </c>
      <c r="G21" s="62" t="s">
        <v>75</v>
      </c>
      <c r="H21" s="62" t="s">
        <v>74</v>
      </c>
      <c r="I21" s="62">
        <f>'MERCADO TE'!$U$18</f>
        <v>0</v>
      </c>
      <c r="J21" s="15"/>
      <c r="L21" s="59">
        <f>1 - CUSTOS!$M$28</f>
        <v>1</v>
      </c>
      <c r="M21" s="59">
        <f>1 - CUSTOS!$M$28</f>
        <v>1</v>
      </c>
      <c r="N21" s="59">
        <f>1 - CUSTOS!$M$28</f>
        <v>1</v>
      </c>
      <c r="O21" s="59">
        <f>1 - CUSTOS!$M$28</f>
        <v>1</v>
      </c>
      <c r="P21" s="59">
        <f>1 - CUSTOS!$M$28</f>
        <v>1</v>
      </c>
      <c r="Q21" s="59"/>
      <c r="R21" s="59">
        <f>(1 - CUSTOS!$M$28)*1.72</f>
        <v>1.72</v>
      </c>
      <c r="S21" s="59"/>
      <c r="T21" s="59">
        <f>1 - CUSTOS!$M$28</f>
        <v>1</v>
      </c>
      <c r="U21" s="59">
        <f>1 - CUSTOS!$M$28</f>
        <v>1</v>
      </c>
      <c r="V21" s="59">
        <f>1 - CUSTOS!$M$28</f>
        <v>1</v>
      </c>
      <c r="W21" s="59"/>
      <c r="X21" s="59"/>
      <c r="Y21" s="59"/>
      <c r="Z21" s="59">
        <f>1 - CUSTOS!$M$28</f>
        <v>1</v>
      </c>
      <c r="AA21" s="59"/>
      <c r="AB21" s="59"/>
    </row>
    <row r="22" spans="1:28" ht="11.25" customHeight="1" x14ac:dyDescent="0.25">
      <c r="A22" s="153"/>
      <c r="B22" s="153"/>
      <c r="C22" s="153"/>
      <c r="D22" s="153"/>
      <c r="E22" s="153"/>
      <c r="F22" s="153"/>
      <c r="G22" s="62" t="s">
        <v>87</v>
      </c>
      <c r="H22" s="62" t="s">
        <v>74</v>
      </c>
      <c r="I22" s="62">
        <f>'MERCADO TE'!$U$19</f>
        <v>0</v>
      </c>
      <c r="J22" s="15"/>
      <c r="L22" s="59">
        <f>1 - CUSTOS!$M$28</f>
        <v>1</v>
      </c>
      <c r="M22" s="59">
        <f>1 - CUSTOS!$M$28</f>
        <v>1</v>
      </c>
      <c r="N22" s="59">
        <f>1 - CUSTOS!$M$28</f>
        <v>1</v>
      </c>
      <c r="O22" s="59">
        <f>1 - CUSTOS!$M$28</f>
        <v>1</v>
      </c>
      <c r="P22" s="59">
        <f>1 - CUSTOS!$M$28</f>
        <v>1</v>
      </c>
      <c r="Q22" s="59"/>
      <c r="R22" s="59">
        <f>(1 - CUSTOS!$M$28)*1</f>
        <v>1</v>
      </c>
      <c r="S22" s="59"/>
      <c r="T22" s="59">
        <f>1 - CUSTOS!$M$28</f>
        <v>1</v>
      </c>
      <c r="U22" s="59">
        <f>1 - CUSTOS!$M$28</f>
        <v>1</v>
      </c>
      <c r="V22" s="59">
        <f>1 - CUSTOS!$M$28</f>
        <v>1</v>
      </c>
      <c r="W22" s="59"/>
      <c r="X22" s="59"/>
      <c r="Y22" s="59"/>
      <c r="Z22" s="59">
        <f>1 - CUSTOS!$M$28</f>
        <v>1</v>
      </c>
      <c r="AA22" s="59"/>
      <c r="AB22" s="59"/>
    </row>
    <row r="23" spans="1:28" ht="11.25" customHeight="1" x14ac:dyDescent="0.25">
      <c r="A23" s="153"/>
      <c r="B23" s="153"/>
      <c r="C23" s="153"/>
      <c r="D23" s="153"/>
      <c r="E23" s="153"/>
      <c r="F23" s="153"/>
      <c r="G23" s="62" t="s">
        <v>76</v>
      </c>
      <c r="H23" s="62" t="s">
        <v>74</v>
      </c>
      <c r="I23" s="62">
        <f>'MERCADO TE'!$U$20</f>
        <v>0</v>
      </c>
      <c r="J23" s="15"/>
      <c r="L23" s="59">
        <f>1 - CUSTOS!$M$28</f>
        <v>1</v>
      </c>
      <c r="M23" s="59">
        <f>1 - CUSTOS!$M$28</f>
        <v>1</v>
      </c>
      <c r="N23" s="59">
        <f>1 - CUSTOS!$M$28</f>
        <v>1</v>
      </c>
      <c r="O23" s="59">
        <f>1 - CUSTOS!$M$28</f>
        <v>1</v>
      </c>
      <c r="P23" s="59">
        <f>1 - CUSTOS!$M$28</f>
        <v>1</v>
      </c>
      <c r="Q23" s="59"/>
      <c r="R23" s="59">
        <f>(1 - CUSTOS!$M$28)*1</f>
        <v>1</v>
      </c>
      <c r="S23" s="59"/>
      <c r="T23" s="59">
        <f>1 - CUSTOS!$M$28</f>
        <v>1</v>
      </c>
      <c r="U23" s="59">
        <f>1 - CUSTOS!$M$28</f>
        <v>1</v>
      </c>
      <c r="V23" s="59">
        <f>1 - CUSTOS!$M$28</f>
        <v>1</v>
      </c>
      <c r="W23" s="59"/>
      <c r="X23" s="59"/>
      <c r="Y23" s="59"/>
      <c r="Z23" s="59">
        <f>1 - CUSTOS!$M$28</f>
        <v>1</v>
      </c>
      <c r="AA23" s="59"/>
      <c r="AB23" s="59"/>
    </row>
    <row r="24" spans="1:28" ht="11.25" customHeight="1" x14ac:dyDescent="0.25">
      <c r="A24" s="153"/>
      <c r="B24" s="61" t="s">
        <v>77</v>
      </c>
      <c r="C24" s="61" t="s">
        <v>42</v>
      </c>
      <c r="D24" s="61" t="s">
        <v>25</v>
      </c>
      <c r="E24" s="61" t="s">
        <v>25</v>
      </c>
      <c r="F24" s="61" t="s">
        <v>25</v>
      </c>
      <c r="G24" s="62" t="s">
        <v>78</v>
      </c>
      <c r="H24" s="62" t="s">
        <v>74</v>
      </c>
      <c r="I24" s="62">
        <f>'MERCADO TE'!$U$21</f>
        <v>11721.666999999998</v>
      </c>
      <c r="J24" s="15"/>
      <c r="L24" s="59">
        <f>1 - CUSTOS!$M$28</f>
        <v>1</v>
      </c>
      <c r="M24" s="59">
        <f>1 - CUSTOS!$M$28</f>
        <v>1</v>
      </c>
      <c r="N24" s="59">
        <f>1 - CUSTOS!$M$28</f>
        <v>1</v>
      </c>
      <c r="O24" s="59">
        <f>1 - CUSTOS!$M$28</f>
        <v>1</v>
      </c>
      <c r="P24" s="59">
        <f>1 - CUSTOS!$M$28</f>
        <v>1</v>
      </c>
      <c r="Q24" s="59"/>
      <c r="R24" s="59">
        <f>(1 - CUSTOS!$M$28)*1.06</f>
        <v>1.06</v>
      </c>
      <c r="S24" s="59"/>
      <c r="T24" s="59">
        <f>1 - CUSTOS!$M$28</f>
        <v>1</v>
      </c>
      <c r="U24" s="59">
        <f>1 - CUSTOS!$M$28</f>
        <v>1</v>
      </c>
      <c r="V24" s="59">
        <f>1 - CUSTOS!$M$28</f>
        <v>1</v>
      </c>
      <c r="W24" s="59"/>
      <c r="X24" s="59"/>
      <c r="Y24" s="59"/>
      <c r="Z24" s="59">
        <f>1 - CUSTOS!$M$28</f>
        <v>1</v>
      </c>
      <c r="AA24" s="59"/>
      <c r="AB24" s="59"/>
    </row>
    <row r="25" spans="1:28" ht="11.25" customHeight="1" x14ac:dyDescent="0.25">
      <c r="A25" s="153"/>
      <c r="B25" s="153" t="s">
        <v>73</v>
      </c>
      <c r="C25" s="153" t="s">
        <v>42</v>
      </c>
      <c r="D25" s="153" t="s">
        <v>90</v>
      </c>
      <c r="E25" s="153" t="s">
        <v>25</v>
      </c>
      <c r="F25" s="153" t="s">
        <v>25</v>
      </c>
      <c r="G25" s="62" t="s">
        <v>75</v>
      </c>
      <c r="H25" s="62" t="s">
        <v>74</v>
      </c>
      <c r="I25" s="62">
        <f>'MERCADO TE'!$U$22</f>
        <v>0</v>
      </c>
      <c r="J25" s="15"/>
      <c r="L25" s="59">
        <f>1 - CUSTOS!$M$29</f>
        <v>1</v>
      </c>
      <c r="M25" s="59">
        <f>1 - CUSTOS!$M$29</f>
        <v>1</v>
      </c>
      <c r="N25" s="59">
        <f>1 - CUSTOS!$M$29</f>
        <v>1</v>
      </c>
      <c r="O25" s="59">
        <f>1 - CUSTOS!$M$29</f>
        <v>1</v>
      </c>
      <c r="P25" s="59">
        <f>1 - CUSTOS!$M$29</f>
        <v>1</v>
      </c>
      <c r="Q25" s="59"/>
      <c r="R25" s="59">
        <f>(1 - CUSTOS!$M$29)*1.72</f>
        <v>1.72</v>
      </c>
      <c r="S25" s="59"/>
      <c r="T25" s="59">
        <f>1 - CUSTOS!$M$29</f>
        <v>1</v>
      </c>
      <c r="U25" s="59">
        <f>1 - CUSTOS!$M$29</f>
        <v>1</v>
      </c>
      <c r="V25" s="59">
        <f>1 - CUSTOS!$M$29</f>
        <v>1</v>
      </c>
      <c r="W25" s="59"/>
      <c r="X25" s="59"/>
      <c r="Y25" s="59"/>
      <c r="Z25" s="59">
        <f>1 - CUSTOS!$M$29</f>
        <v>1</v>
      </c>
      <c r="AA25" s="59"/>
      <c r="AB25" s="59"/>
    </row>
    <row r="26" spans="1:28" ht="11.25" customHeight="1" x14ac:dyDescent="0.25">
      <c r="A26" s="153"/>
      <c r="B26" s="153"/>
      <c r="C26" s="153"/>
      <c r="D26" s="153"/>
      <c r="E26" s="153"/>
      <c r="F26" s="153"/>
      <c r="G26" s="62" t="s">
        <v>87</v>
      </c>
      <c r="H26" s="62" t="s">
        <v>74</v>
      </c>
      <c r="I26" s="62">
        <f>'MERCADO TE'!$U$23</f>
        <v>0</v>
      </c>
      <c r="J26" s="15"/>
      <c r="L26" s="59">
        <f>1 - CUSTOS!$M$29</f>
        <v>1</v>
      </c>
      <c r="M26" s="59">
        <f>1 - CUSTOS!$M$29</f>
        <v>1</v>
      </c>
      <c r="N26" s="59">
        <f>1 - CUSTOS!$M$29</f>
        <v>1</v>
      </c>
      <c r="O26" s="59">
        <f>1 - CUSTOS!$M$29</f>
        <v>1</v>
      </c>
      <c r="P26" s="59">
        <f>1 - CUSTOS!$M$29</f>
        <v>1</v>
      </c>
      <c r="Q26" s="59"/>
      <c r="R26" s="59">
        <f>(1 - CUSTOS!$M$29)*1</f>
        <v>1</v>
      </c>
      <c r="S26" s="59"/>
      <c r="T26" s="59">
        <f>1 - CUSTOS!$M$29</f>
        <v>1</v>
      </c>
      <c r="U26" s="59">
        <f>1 - CUSTOS!$M$29</f>
        <v>1</v>
      </c>
      <c r="V26" s="59">
        <f>1 - CUSTOS!$M$29</f>
        <v>1</v>
      </c>
      <c r="W26" s="59"/>
      <c r="X26" s="59"/>
      <c r="Y26" s="59"/>
      <c r="Z26" s="59">
        <f>1 - CUSTOS!$M$29</f>
        <v>1</v>
      </c>
      <c r="AA26" s="59"/>
      <c r="AB26" s="59"/>
    </row>
    <row r="27" spans="1:28" ht="11.25" customHeight="1" x14ac:dyDescent="0.25">
      <c r="A27" s="153"/>
      <c r="B27" s="153"/>
      <c r="C27" s="153"/>
      <c r="D27" s="153"/>
      <c r="E27" s="153"/>
      <c r="F27" s="153"/>
      <c r="G27" s="62" t="s">
        <v>76</v>
      </c>
      <c r="H27" s="62" t="s">
        <v>74</v>
      </c>
      <c r="I27" s="62">
        <f>'MERCADO TE'!$U$24</f>
        <v>0</v>
      </c>
      <c r="J27" s="15"/>
      <c r="L27" s="59">
        <f>1 - CUSTOS!$M$29</f>
        <v>1</v>
      </c>
      <c r="M27" s="59">
        <f>1 - CUSTOS!$M$29</f>
        <v>1</v>
      </c>
      <c r="N27" s="59">
        <f>1 - CUSTOS!$M$29</f>
        <v>1</v>
      </c>
      <c r="O27" s="59">
        <f>1 - CUSTOS!$M$29</f>
        <v>1</v>
      </c>
      <c r="P27" s="59">
        <f>1 - CUSTOS!$M$29</f>
        <v>1</v>
      </c>
      <c r="Q27" s="59"/>
      <c r="R27" s="59">
        <f>(1 - CUSTOS!$M$29)*1</f>
        <v>1</v>
      </c>
      <c r="S27" s="59"/>
      <c r="T27" s="59">
        <f>1 - CUSTOS!$M$29</f>
        <v>1</v>
      </c>
      <c r="U27" s="59">
        <f>1 - CUSTOS!$M$29</f>
        <v>1</v>
      </c>
      <c r="V27" s="59">
        <f>1 - CUSTOS!$M$29</f>
        <v>1</v>
      </c>
      <c r="W27" s="59"/>
      <c r="X27" s="59"/>
      <c r="Y27" s="59"/>
      <c r="Z27" s="59">
        <f>1 - CUSTOS!$M$29</f>
        <v>1</v>
      </c>
      <c r="AA27" s="59"/>
      <c r="AB27" s="59"/>
    </row>
    <row r="28" spans="1:28" ht="11.25" customHeight="1" x14ac:dyDescent="0.25">
      <c r="A28" s="153"/>
      <c r="B28" s="61" t="s">
        <v>77</v>
      </c>
      <c r="C28" s="61" t="s">
        <v>42</v>
      </c>
      <c r="D28" s="61" t="s">
        <v>90</v>
      </c>
      <c r="E28" s="61" t="s">
        <v>25</v>
      </c>
      <c r="F28" s="61" t="s">
        <v>25</v>
      </c>
      <c r="G28" s="62" t="s">
        <v>78</v>
      </c>
      <c r="H28" s="62" t="s">
        <v>74</v>
      </c>
      <c r="I28" s="62">
        <f>'MERCADO TE'!$U$25</f>
        <v>0</v>
      </c>
      <c r="J28" s="15"/>
      <c r="L28" s="59">
        <f>1 - CUSTOS!$M$29</f>
        <v>1</v>
      </c>
      <c r="M28" s="59">
        <f>1 - CUSTOS!$M$29</f>
        <v>1</v>
      </c>
      <c r="N28" s="59">
        <f>1 - CUSTOS!$M$29</f>
        <v>1</v>
      </c>
      <c r="O28" s="59">
        <f>1 - CUSTOS!$M$29</f>
        <v>1</v>
      </c>
      <c r="P28" s="59">
        <f>1 - CUSTOS!$M$29</f>
        <v>1</v>
      </c>
      <c r="Q28" s="59"/>
      <c r="R28" s="59">
        <f>(1 - CUSTOS!$M$29)*1.06</f>
        <v>1.06</v>
      </c>
      <c r="S28" s="59"/>
      <c r="T28" s="59">
        <f>1 - CUSTOS!$M$29</f>
        <v>1</v>
      </c>
      <c r="U28" s="59">
        <f>1 - CUSTOS!$M$29</f>
        <v>1</v>
      </c>
      <c r="V28" s="59">
        <f>1 - CUSTOS!$M$29</f>
        <v>1</v>
      </c>
      <c r="W28" s="59"/>
      <c r="X28" s="59"/>
      <c r="Y28" s="59"/>
      <c r="Z28" s="59">
        <f>1 - CUSTOS!$M$29</f>
        <v>1</v>
      </c>
      <c r="AA28" s="59"/>
      <c r="AB28" s="59"/>
    </row>
    <row r="29" spans="1:28" ht="11.25" customHeight="1" x14ac:dyDescent="0.25">
      <c r="A29" s="153"/>
      <c r="B29" s="153" t="s">
        <v>73</v>
      </c>
      <c r="C29" s="153" t="s">
        <v>42</v>
      </c>
      <c r="D29" s="153" t="s">
        <v>91</v>
      </c>
      <c r="E29" s="153" t="s">
        <v>25</v>
      </c>
      <c r="F29" s="153" t="s">
        <v>25</v>
      </c>
      <c r="G29" s="62" t="s">
        <v>75</v>
      </c>
      <c r="H29" s="62" t="s">
        <v>74</v>
      </c>
      <c r="I29" s="62">
        <f>'MERCADO TE'!$U$26</f>
        <v>0</v>
      </c>
      <c r="J29" s="15"/>
      <c r="L29" s="59">
        <f>1 - CUSTOS!$M$30</f>
        <v>1</v>
      </c>
      <c r="M29" s="59">
        <f>1 - CUSTOS!$M$30</f>
        <v>1</v>
      </c>
      <c r="N29" s="59">
        <f>1 - CUSTOS!$M$30</f>
        <v>1</v>
      </c>
      <c r="O29" s="59">
        <f>1 - CUSTOS!$M$30</f>
        <v>1</v>
      </c>
      <c r="P29" s="59">
        <f>1 - CUSTOS!$M$30</f>
        <v>1</v>
      </c>
      <c r="Q29" s="59"/>
      <c r="R29" s="59">
        <f>(1 - CUSTOS!$M$30)*1.72</f>
        <v>1.72</v>
      </c>
      <c r="S29" s="59"/>
      <c r="T29" s="59">
        <f>1 - CUSTOS!$M$30</f>
        <v>1</v>
      </c>
      <c r="U29" s="59">
        <f>1 - CUSTOS!$M$30</f>
        <v>1</v>
      </c>
      <c r="V29" s="59">
        <f>1 - CUSTOS!$M$30</f>
        <v>1</v>
      </c>
      <c r="W29" s="59"/>
      <c r="X29" s="59"/>
      <c r="Y29" s="59"/>
      <c r="Z29" s="59">
        <f>1 - CUSTOS!$M$30</f>
        <v>1</v>
      </c>
      <c r="AA29" s="59"/>
      <c r="AB29" s="59"/>
    </row>
    <row r="30" spans="1:28" ht="11.25" customHeight="1" x14ac:dyDescent="0.25">
      <c r="A30" s="153"/>
      <c r="B30" s="153"/>
      <c r="C30" s="153"/>
      <c r="D30" s="153"/>
      <c r="E30" s="153"/>
      <c r="F30" s="153"/>
      <c r="G30" s="62" t="s">
        <v>87</v>
      </c>
      <c r="H30" s="62" t="s">
        <v>74</v>
      </c>
      <c r="I30" s="62">
        <f>'MERCADO TE'!$U$27</f>
        <v>0</v>
      </c>
      <c r="J30" s="15"/>
      <c r="L30" s="59">
        <f>1 - CUSTOS!$M$30</f>
        <v>1</v>
      </c>
      <c r="M30" s="59">
        <f>1 - CUSTOS!$M$30</f>
        <v>1</v>
      </c>
      <c r="N30" s="59">
        <f>1 - CUSTOS!$M$30</f>
        <v>1</v>
      </c>
      <c r="O30" s="59">
        <f>1 - CUSTOS!$M$30</f>
        <v>1</v>
      </c>
      <c r="P30" s="59">
        <f>1 - CUSTOS!$M$30</f>
        <v>1</v>
      </c>
      <c r="Q30" s="59"/>
      <c r="R30" s="59">
        <f>(1 - CUSTOS!$M$30)*1</f>
        <v>1</v>
      </c>
      <c r="S30" s="59"/>
      <c r="T30" s="59">
        <f>1 - CUSTOS!$M$30</f>
        <v>1</v>
      </c>
      <c r="U30" s="59">
        <f>1 - CUSTOS!$M$30</f>
        <v>1</v>
      </c>
      <c r="V30" s="59">
        <f>1 - CUSTOS!$M$30</f>
        <v>1</v>
      </c>
      <c r="W30" s="59"/>
      <c r="X30" s="59"/>
      <c r="Y30" s="59"/>
      <c r="Z30" s="59">
        <f>1 - CUSTOS!$M$30</f>
        <v>1</v>
      </c>
      <c r="AA30" s="59"/>
      <c r="AB30" s="59"/>
    </row>
    <row r="31" spans="1:28" ht="11.25" customHeight="1" x14ac:dyDescent="0.25">
      <c r="A31" s="153"/>
      <c r="B31" s="153"/>
      <c r="C31" s="153"/>
      <c r="D31" s="153"/>
      <c r="E31" s="153"/>
      <c r="F31" s="153"/>
      <c r="G31" s="62" t="s">
        <v>76</v>
      </c>
      <c r="H31" s="62" t="s">
        <v>74</v>
      </c>
      <c r="I31" s="62">
        <f>'MERCADO TE'!$U$28</f>
        <v>0</v>
      </c>
      <c r="J31" s="15"/>
      <c r="L31" s="59">
        <f>1 - CUSTOS!$M$30</f>
        <v>1</v>
      </c>
      <c r="M31" s="59">
        <f>1 - CUSTOS!$M$30</f>
        <v>1</v>
      </c>
      <c r="N31" s="59">
        <f>1 - CUSTOS!$M$30</f>
        <v>1</v>
      </c>
      <c r="O31" s="59">
        <f>1 - CUSTOS!$M$30</f>
        <v>1</v>
      </c>
      <c r="P31" s="59">
        <f>1 - CUSTOS!$M$30</f>
        <v>1</v>
      </c>
      <c r="Q31" s="59"/>
      <c r="R31" s="59">
        <f>(1 - CUSTOS!$M$30)*1</f>
        <v>1</v>
      </c>
      <c r="S31" s="59"/>
      <c r="T31" s="59">
        <f>1 - CUSTOS!$M$30</f>
        <v>1</v>
      </c>
      <c r="U31" s="59">
        <f>1 - CUSTOS!$M$30</f>
        <v>1</v>
      </c>
      <c r="V31" s="59">
        <f>1 - CUSTOS!$M$30</f>
        <v>1</v>
      </c>
      <c r="W31" s="59"/>
      <c r="X31" s="59"/>
      <c r="Y31" s="59"/>
      <c r="Z31" s="59">
        <f>1 - CUSTOS!$M$30</f>
        <v>1</v>
      </c>
      <c r="AA31" s="59"/>
      <c r="AB31" s="59"/>
    </row>
    <row r="32" spans="1:28" ht="11.25" customHeight="1" x14ac:dyDescent="0.25">
      <c r="A32" s="153"/>
      <c r="B32" s="61" t="s">
        <v>77</v>
      </c>
      <c r="C32" s="61" t="s">
        <v>42</v>
      </c>
      <c r="D32" s="61" t="s">
        <v>91</v>
      </c>
      <c r="E32" s="61" t="s">
        <v>25</v>
      </c>
      <c r="F32" s="61" t="s">
        <v>25</v>
      </c>
      <c r="G32" s="62" t="s">
        <v>78</v>
      </c>
      <c r="H32" s="62" t="s">
        <v>74</v>
      </c>
      <c r="I32" s="62">
        <f>'MERCADO TE'!$U$29</f>
        <v>0</v>
      </c>
      <c r="J32" s="15"/>
      <c r="L32" s="59">
        <f>1 - CUSTOS!$M$30</f>
        <v>1</v>
      </c>
      <c r="M32" s="59">
        <f>1 - CUSTOS!$M$30</f>
        <v>1</v>
      </c>
      <c r="N32" s="59">
        <f>1 - CUSTOS!$M$30</f>
        <v>1</v>
      </c>
      <c r="O32" s="59">
        <f>1 - CUSTOS!$M$30</f>
        <v>1</v>
      </c>
      <c r="P32" s="59">
        <f>1 - CUSTOS!$M$30</f>
        <v>1</v>
      </c>
      <c r="Q32" s="59"/>
      <c r="R32" s="59">
        <f>(1 - CUSTOS!$M$30)*1.06</f>
        <v>1.06</v>
      </c>
      <c r="S32" s="59"/>
      <c r="T32" s="59">
        <f>1 - CUSTOS!$M$30</f>
        <v>1</v>
      </c>
      <c r="U32" s="59">
        <f>1 - CUSTOS!$M$30</f>
        <v>1</v>
      </c>
      <c r="V32" s="59">
        <f>1 - CUSTOS!$M$30</f>
        <v>1</v>
      </c>
      <c r="W32" s="59"/>
      <c r="X32" s="59"/>
      <c r="Y32" s="59"/>
      <c r="Z32" s="59">
        <f>1 - CUSTOS!$M$30</f>
        <v>1</v>
      </c>
      <c r="AA32" s="59"/>
      <c r="AB32" s="59"/>
    </row>
    <row r="33" spans="1:28" ht="11.25" customHeight="1" x14ac:dyDescent="0.25">
      <c r="A33" s="153"/>
      <c r="B33" s="153" t="s">
        <v>88</v>
      </c>
      <c r="C33" s="153" t="s">
        <v>42</v>
      </c>
      <c r="D33" s="61" t="s">
        <v>25</v>
      </c>
      <c r="E33" s="61" t="s">
        <v>25</v>
      </c>
      <c r="F33" s="61" t="s">
        <v>25</v>
      </c>
      <c r="G33" s="62" t="s">
        <v>78</v>
      </c>
      <c r="H33" s="62" t="s">
        <v>74</v>
      </c>
      <c r="I33" s="62">
        <f>'MERCADO TE'!$U$30</f>
        <v>0</v>
      </c>
      <c r="J33" s="15"/>
      <c r="L33" s="59">
        <f>1 - CUSTOS!$M$28</f>
        <v>1</v>
      </c>
      <c r="M33" s="59">
        <f>1 - CUSTOS!$M$28</f>
        <v>1</v>
      </c>
      <c r="N33" s="59">
        <f>1 - CUSTOS!$M$28</f>
        <v>1</v>
      </c>
      <c r="O33" s="59">
        <f>1 - CUSTOS!$M$28</f>
        <v>1</v>
      </c>
      <c r="P33" s="59">
        <f>1 - CUSTOS!$M$28</f>
        <v>1</v>
      </c>
      <c r="Q33" s="59"/>
      <c r="R33" s="59">
        <f>(1 - CUSTOS!$M$28)*1.06</f>
        <v>1.06</v>
      </c>
      <c r="S33" s="59"/>
      <c r="T33" s="59">
        <f>1 - CUSTOS!$M$28</f>
        <v>1</v>
      </c>
      <c r="U33" s="59">
        <f>1 - CUSTOS!$M$28</f>
        <v>1</v>
      </c>
      <c r="V33" s="59">
        <f>1 - CUSTOS!$M$28</f>
        <v>1</v>
      </c>
      <c r="W33" s="59"/>
      <c r="X33" s="59"/>
      <c r="Y33" s="59"/>
      <c r="Z33" s="59">
        <f>1 - CUSTOS!$M$28</f>
        <v>1</v>
      </c>
      <c r="AA33" s="59"/>
      <c r="AB33" s="59"/>
    </row>
    <row r="34" spans="1:28" ht="11.25" customHeight="1" x14ac:dyDescent="0.25">
      <c r="A34" s="153"/>
      <c r="B34" s="153"/>
      <c r="C34" s="153"/>
      <c r="D34" s="61" t="s">
        <v>90</v>
      </c>
      <c r="E34" s="61" t="s">
        <v>25</v>
      </c>
      <c r="F34" s="61" t="s">
        <v>25</v>
      </c>
      <c r="G34" s="62" t="s">
        <v>78</v>
      </c>
      <c r="H34" s="62" t="s">
        <v>74</v>
      </c>
      <c r="I34" s="62">
        <f>'MERCADO TE'!$U$31</f>
        <v>0</v>
      </c>
      <c r="J34" s="15"/>
      <c r="L34" s="59">
        <f>1 - CUSTOS!$M$29</f>
        <v>1</v>
      </c>
      <c r="M34" s="59">
        <f>1 - CUSTOS!$M$29</f>
        <v>1</v>
      </c>
      <c r="N34" s="59">
        <f>1 - CUSTOS!$M$29</f>
        <v>1</v>
      </c>
      <c r="O34" s="59">
        <f>1 - CUSTOS!$M$29</f>
        <v>1</v>
      </c>
      <c r="P34" s="59">
        <f>1 - CUSTOS!$M$29</f>
        <v>1</v>
      </c>
      <c r="Q34" s="59"/>
      <c r="R34" s="59">
        <f>(1 - CUSTOS!$M$29)*1.06</f>
        <v>1.06</v>
      </c>
      <c r="S34" s="59"/>
      <c r="T34" s="59">
        <f>1 - CUSTOS!$M$29</f>
        <v>1</v>
      </c>
      <c r="U34" s="59">
        <f>1 - CUSTOS!$M$29</f>
        <v>1</v>
      </c>
      <c r="V34" s="59">
        <f>1 - CUSTOS!$M$29</f>
        <v>1</v>
      </c>
      <c r="W34" s="59"/>
      <c r="X34" s="59"/>
      <c r="Y34" s="59"/>
      <c r="Z34" s="59">
        <f>1 - CUSTOS!$M$29</f>
        <v>1</v>
      </c>
      <c r="AA34" s="59"/>
      <c r="AB34" s="59"/>
    </row>
    <row r="35" spans="1:28" ht="11.25" customHeight="1" x14ac:dyDescent="0.25">
      <c r="A35" s="153"/>
      <c r="B35" s="153"/>
      <c r="C35" s="153"/>
      <c r="D35" s="61" t="s">
        <v>91</v>
      </c>
      <c r="E35" s="61" t="s">
        <v>25</v>
      </c>
      <c r="F35" s="61" t="s">
        <v>25</v>
      </c>
      <c r="G35" s="62" t="s">
        <v>78</v>
      </c>
      <c r="H35" s="62" t="s">
        <v>74</v>
      </c>
      <c r="I35" s="62">
        <f>'MERCADO TE'!$U$32</f>
        <v>0</v>
      </c>
      <c r="J35" s="15"/>
      <c r="L35" s="59">
        <f>1 - CUSTOS!$M$30</f>
        <v>1</v>
      </c>
      <c r="M35" s="59">
        <f>1 - CUSTOS!$M$30</f>
        <v>1</v>
      </c>
      <c r="N35" s="59">
        <f>1 - CUSTOS!$M$30</f>
        <v>1</v>
      </c>
      <c r="O35" s="59">
        <f>1 - CUSTOS!$M$30</f>
        <v>1</v>
      </c>
      <c r="P35" s="59">
        <f>1 - CUSTOS!$M$30</f>
        <v>1</v>
      </c>
      <c r="Q35" s="59"/>
      <c r="R35" s="59">
        <f>(1 - CUSTOS!$M$30)*1.06</f>
        <v>1.06</v>
      </c>
      <c r="S35" s="59"/>
      <c r="T35" s="59">
        <f>1 - CUSTOS!$M$30</f>
        <v>1</v>
      </c>
      <c r="U35" s="59">
        <f>1 - CUSTOS!$M$30</f>
        <v>1</v>
      </c>
      <c r="V35" s="59">
        <f>1 - CUSTOS!$M$30</f>
        <v>1</v>
      </c>
      <c r="W35" s="59"/>
      <c r="X35" s="59"/>
      <c r="Y35" s="59"/>
      <c r="Z35" s="59">
        <f>1 - CUSTOS!$M$30</f>
        <v>1</v>
      </c>
      <c r="AA35" s="59"/>
      <c r="AB35" s="59"/>
    </row>
    <row r="36" spans="1:28" ht="11.25" customHeight="1" x14ac:dyDescent="0.25">
      <c r="A36" s="153" t="s">
        <v>33</v>
      </c>
      <c r="B36" s="153" t="s">
        <v>73</v>
      </c>
      <c r="C36" s="153" t="s">
        <v>25</v>
      </c>
      <c r="D36" s="153" t="s">
        <v>25</v>
      </c>
      <c r="E36" s="153" t="s">
        <v>25</v>
      </c>
      <c r="F36" s="153" t="s">
        <v>25</v>
      </c>
      <c r="G36" s="62" t="s">
        <v>75</v>
      </c>
      <c r="H36" s="62" t="s">
        <v>74</v>
      </c>
      <c r="I36" s="62">
        <f>'MERCADO TE'!$U$33</f>
        <v>1.1399999999999999</v>
      </c>
      <c r="J36" s="15"/>
      <c r="L36" s="59">
        <f>1 - CUSTOS!$M$31</f>
        <v>1</v>
      </c>
      <c r="M36" s="59">
        <f>1 - CUSTOS!$M$31</f>
        <v>1</v>
      </c>
      <c r="N36" s="59">
        <f>1 - CUSTOS!$M$31</f>
        <v>1</v>
      </c>
      <c r="O36" s="59">
        <f>1 - CUSTOS!$M$31</f>
        <v>1</v>
      </c>
      <c r="P36" s="59">
        <f>1 - CUSTOS!$M$31</f>
        <v>1</v>
      </c>
      <c r="Q36" s="59"/>
      <c r="R36" s="59">
        <f>(1 - CUSTOS!$M$31)*1.72</f>
        <v>1.72</v>
      </c>
      <c r="S36" s="59"/>
      <c r="T36" s="59">
        <f>1 - CUSTOS!$M$31</f>
        <v>1</v>
      </c>
      <c r="U36" s="59">
        <f>1 - CUSTOS!$M$31</f>
        <v>1</v>
      </c>
      <c r="V36" s="59">
        <f>1 - CUSTOS!$M$31</f>
        <v>1</v>
      </c>
      <c r="W36" s="59"/>
      <c r="X36" s="59"/>
      <c r="Y36" s="59"/>
      <c r="Z36" s="59">
        <f>1 - CUSTOS!$M$31</f>
        <v>1</v>
      </c>
      <c r="AA36" s="59"/>
      <c r="AB36" s="59"/>
    </row>
    <row r="37" spans="1:28" ht="11.25" customHeight="1" x14ac:dyDescent="0.25">
      <c r="A37" s="153"/>
      <c r="B37" s="153"/>
      <c r="C37" s="153"/>
      <c r="D37" s="153"/>
      <c r="E37" s="153"/>
      <c r="F37" s="153"/>
      <c r="G37" s="62" t="s">
        <v>87</v>
      </c>
      <c r="H37" s="62" t="s">
        <v>74</v>
      </c>
      <c r="I37" s="62">
        <f>'MERCADO TE'!$U$34</f>
        <v>1.5340000000000003</v>
      </c>
      <c r="J37" s="15"/>
      <c r="L37" s="59">
        <f>1 - CUSTOS!$M$31</f>
        <v>1</v>
      </c>
      <c r="M37" s="59">
        <f>1 - CUSTOS!$M$31</f>
        <v>1</v>
      </c>
      <c r="N37" s="59">
        <f>1 - CUSTOS!$M$31</f>
        <v>1</v>
      </c>
      <c r="O37" s="59">
        <f>1 - CUSTOS!$M$31</f>
        <v>1</v>
      </c>
      <c r="P37" s="59">
        <f>1 - CUSTOS!$M$31</f>
        <v>1</v>
      </c>
      <c r="Q37" s="59"/>
      <c r="R37" s="59">
        <f>(1 - CUSTOS!$M$31)*1</f>
        <v>1</v>
      </c>
      <c r="S37" s="59"/>
      <c r="T37" s="59">
        <f>1 - CUSTOS!$M$31</f>
        <v>1</v>
      </c>
      <c r="U37" s="59">
        <f>1 - CUSTOS!$M$31</f>
        <v>1</v>
      </c>
      <c r="V37" s="59">
        <f>1 - CUSTOS!$M$31</f>
        <v>1</v>
      </c>
      <c r="W37" s="59"/>
      <c r="X37" s="59"/>
      <c r="Y37" s="59"/>
      <c r="Z37" s="59">
        <f>1 - CUSTOS!$M$31</f>
        <v>1</v>
      </c>
      <c r="AA37" s="59"/>
      <c r="AB37" s="59"/>
    </row>
    <row r="38" spans="1:28" ht="11.25" customHeight="1" x14ac:dyDescent="0.25">
      <c r="A38" s="153"/>
      <c r="B38" s="153"/>
      <c r="C38" s="153"/>
      <c r="D38" s="153"/>
      <c r="E38" s="153"/>
      <c r="F38" s="153"/>
      <c r="G38" s="62" t="s">
        <v>76</v>
      </c>
      <c r="H38" s="62" t="s">
        <v>74</v>
      </c>
      <c r="I38" s="62">
        <f>'MERCADO TE'!$U$35</f>
        <v>27.193000000000005</v>
      </c>
      <c r="J38" s="15"/>
      <c r="L38" s="59">
        <f>1 - CUSTOS!$M$31</f>
        <v>1</v>
      </c>
      <c r="M38" s="59">
        <f>1 - CUSTOS!$M$31</f>
        <v>1</v>
      </c>
      <c r="N38" s="59">
        <f>1 - CUSTOS!$M$31</f>
        <v>1</v>
      </c>
      <c r="O38" s="59">
        <f>1 - CUSTOS!$M$31</f>
        <v>1</v>
      </c>
      <c r="P38" s="59">
        <f>1 - CUSTOS!$M$31</f>
        <v>1</v>
      </c>
      <c r="Q38" s="59"/>
      <c r="R38" s="59">
        <f>(1 - CUSTOS!$M$31)*1</f>
        <v>1</v>
      </c>
      <c r="S38" s="59"/>
      <c r="T38" s="59">
        <f>1 - CUSTOS!$M$31</f>
        <v>1</v>
      </c>
      <c r="U38" s="59">
        <f>1 - CUSTOS!$M$31</f>
        <v>1</v>
      </c>
      <c r="V38" s="59">
        <f>1 - CUSTOS!$M$31</f>
        <v>1</v>
      </c>
      <c r="W38" s="59"/>
      <c r="X38" s="59"/>
      <c r="Y38" s="59"/>
      <c r="Z38" s="59">
        <f>1 - CUSTOS!$M$31</f>
        <v>1</v>
      </c>
      <c r="AA38" s="59"/>
      <c r="AB38" s="59"/>
    </row>
    <row r="39" spans="1:28" ht="11.25" customHeight="1" x14ac:dyDescent="0.25">
      <c r="A39" s="153"/>
      <c r="B39" s="61" t="s">
        <v>77</v>
      </c>
      <c r="C39" s="61" t="s">
        <v>25</v>
      </c>
      <c r="D39" s="61" t="s">
        <v>25</v>
      </c>
      <c r="E39" s="61" t="s">
        <v>25</v>
      </c>
      <c r="F39" s="61" t="s">
        <v>25</v>
      </c>
      <c r="G39" s="62" t="s">
        <v>78</v>
      </c>
      <c r="H39" s="62" t="s">
        <v>74</v>
      </c>
      <c r="I39" s="62">
        <f>'MERCADO TE'!$U$36</f>
        <v>29180.755000000001</v>
      </c>
      <c r="J39" s="15"/>
      <c r="L39" s="59">
        <f>1 - CUSTOS!$M$31</f>
        <v>1</v>
      </c>
      <c r="M39" s="59">
        <f>1 - CUSTOS!$M$31</f>
        <v>1</v>
      </c>
      <c r="N39" s="59">
        <f>1 - CUSTOS!$M$31</f>
        <v>1</v>
      </c>
      <c r="O39" s="59">
        <f>1 - CUSTOS!$M$31</f>
        <v>1</v>
      </c>
      <c r="P39" s="59">
        <f>1 - CUSTOS!$M$31</f>
        <v>1</v>
      </c>
      <c r="Q39" s="59"/>
      <c r="R39" s="59">
        <f>(1 - CUSTOS!$M$31)*1.06</f>
        <v>1.06</v>
      </c>
      <c r="S39" s="59"/>
      <c r="T39" s="59">
        <f>1 - CUSTOS!$M$31</f>
        <v>1</v>
      </c>
      <c r="U39" s="59">
        <f>1 - CUSTOS!$M$31</f>
        <v>1</v>
      </c>
      <c r="V39" s="59">
        <f>1 - CUSTOS!$M$31</f>
        <v>1</v>
      </c>
      <c r="W39" s="59"/>
      <c r="X39" s="59"/>
      <c r="Y39" s="59"/>
      <c r="Z39" s="59">
        <f>1 - CUSTOS!$M$31</f>
        <v>1</v>
      </c>
      <c r="AA39" s="59"/>
      <c r="AB39" s="59"/>
    </row>
    <row r="40" spans="1:28" ht="11.25" customHeight="1" x14ac:dyDescent="0.25">
      <c r="A40" s="153"/>
      <c r="B40" s="61" t="s">
        <v>88</v>
      </c>
      <c r="C40" s="61" t="s">
        <v>25</v>
      </c>
      <c r="D40" s="61" t="s">
        <v>25</v>
      </c>
      <c r="E40" s="61" t="s">
        <v>25</v>
      </c>
      <c r="F40" s="61" t="s">
        <v>25</v>
      </c>
      <c r="G40" s="62" t="s">
        <v>78</v>
      </c>
      <c r="H40" s="62" t="s">
        <v>74</v>
      </c>
      <c r="I40" s="62">
        <f>'MERCADO TE'!$U$37</f>
        <v>0</v>
      </c>
      <c r="J40" s="15"/>
      <c r="L40" s="59">
        <f>1 - CUSTOS!$M$31</f>
        <v>1</v>
      </c>
      <c r="M40" s="59">
        <f>1 - CUSTOS!$M$31</f>
        <v>1</v>
      </c>
      <c r="N40" s="59">
        <f>1 - CUSTOS!$M$31</f>
        <v>1</v>
      </c>
      <c r="O40" s="59">
        <f>1 - CUSTOS!$M$31</f>
        <v>1</v>
      </c>
      <c r="P40" s="59">
        <f>1 - CUSTOS!$M$31</f>
        <v>1</v>
      </c>
      <c r="Q40" s="59"/>
      <c r="R40" s="59">
        <f>(1 - CUSTOS!$M$31)*1.06</f>
        <v>1.06</v>
      </c>
      <c r="S40" s="59"/>
      <c r="T40" s="59">
        <f>1 - CUSTOS!$M$31</f>
        <v>1</v>
      </c>
      <c r="U40" s="59">
        <f>1 - CUSTOS!$M$31</f>
        <v>1</v>
      </c>
      <c r="V40" s="59">
        <f>1 - CUSTOS!$M$31</f>
        <v>1</v>
      </c>
      <c r="W40" s="59"/>
      <c r="X40" s="59"/>
      <c r="Y40" s="59"/>
      <c r="Z40" s="59">
        <f>1 - CUSTOS!$M$31</f>
        <v>1</v>
      </c>
      <c r="AA40" s="59"/>
      <c r="AB40" s="59"/>
    </row>
    <row r="41" spans="1:28" ht="11.25" customHeight="1" x14ac:dyDescent="0.25">
      <c r="A41" s="153" t="s">
        <v>44</v>
      </c>
      <c r="B41" s="153" t="s">
        <v>77</v>
      </c>
      <c r="C41" s="153" t="s">
        <v>45</v>
      </c>
      <c r="D41" s="61" t="s">
        <v>46</v>
      </c>
      <c r="E41" s="61" t="s">
        <v>25</v>
      </c>
      <c r="F41" s="61" t="s">
        <v>25</v>
      </c>
      <c r="G41" s="62" t="s">
        <v>78</v>
      </c>
      <c r="H41" s="62" t="s">
        <v>74</v>
      </c>
      <c r="I41" s="62">
        <f>'MERCADO TE'!$U$38</f>
        <v>11805.242</v>
      </c>
      <c r="J41" s="15"/>
      <c r="L41" s="59">
        <f>1 - CUSTOS!$M$32</f>
        <v>0.55000000000000004</v>
      </c>
      <c r="M41" s="59">
        <f>1 - CUSTOS!$M$32</f>
        <v>0.55000000000000004</v>
      </c>
      <c r="N41" s="59">
        <f>1 - CUSTOS!$M$32</f>
        <v>0.55000000000000004</v>
      </c>
      <c r="O41" s="59">
        <f>1 - CUSTOS!$M$32</f>
        <v>0.55000000000000004</v>
      </c>
      <c r="P41" s="59">
        <f>1 - CUSTOS!$M$32</f>
        <v>0.55000000000000004</v>
      </c>
      <c r="Q41" s="59"/>
      <c r="R41" s="59">
        <f>(1 - CUSTOS!$M$32)*1.06</f>
        <v>0.58300000000000007</v>
      </c>
      <c r="S41" s="59"/>
      <c r="T41" s="59">
        <f>1 - CUSTOS!$M$32</f>
        <v>0.55000000000000004</v>
      </c>
      <c r="U41" s="59">
        <f>1 - CUSTOS!$M$32</f>
        <v>0.55000000000000004</v>
      </c>
      <c r="V41" s="59">
        <f>1 - CUSTOS!$M$32</f>
        <v>0.55000000000000004</v>
      </c>
      <c r="W41" s="59"/>
      <c r="X41" s="59"/>
      <c r="Y41" s="59"/>
      <c r="Z41" s="59">
        <f>1 - CUSTOS!$M$32</f>
        <v>0.55000000000000004</v>
      </c>
      <c r="AA41" s="59"/>
      <c r="AB41" s="59"/>
    </row>
    <row r="42" spans="1:28" ht="11.25" customHeight="1" x14ac:dyDescent="0.25">
      <c r="A42" s="153"/>
      <c r="B42" s="153"/>
      <c r="C42" s="153"/>
      <c r="D42" s="62" t="s">
        <v>92</v>
      </c>
      <c r="E42" s="62" t="s">
        <v>25</v>
      </c>
      <c r="F42" s="62" t="s">
        <v>25</v>
      </c>
      <c r="G42" s="62" t="s">
        <v>78</v>
      </c>
      <c r="H42" s="62" t="s">
        <v>74</v>
      </c>
      <c r="I42" s="62">
        <f>'MERCADO TE'!$U$39</f>
        <v>0</v>
      </c>
      <c r="J42" s="15"/>
      <c r="L42" s="59">
        <f>1 - CUSTOS!$M$33</f>
        <v>0.6</v>
      </c>
      <c r="M42" s="59">
        <f>1 - CUSTOS!$M$33</f>
        <v>0.6</v>
      </c>
      <c r="N42" s="59">
        <f>1 - CUSTOS!$M$33</f>
        <v>0.6</v>
      </c>
      <c r="O42" s="59">
        <f>1 - CUSTOS!$M$33</f>
        <v>0.6</v>
      </c>
      <c r="P42" s="59">
        <f>1 - CUSTOS!$M$33</f>
        <v>0.6</v>
      </c>
      <c r="Q42" s="59"/>
      <c r="R42" s="59">
        <f>(1 - CUSTOS!$M$33)*1.06</f>
        <v>0.63600000000000001</v>
      </c>
      <c r="S42" s="59"/>
      <c r="T42" s="59">
        <f>1 - CUSTOS!$M$33</f>
        <v>0.6</v>
      </c>
      <c r="U42" s="59">
        <f>1 - CUSTOS!$M$33</f>
        <v>0.6</v>
      </c>
      <c r="V42" s="59">
        <f>1 - CUSTOS!$M$33</f>
        <v>0.6</v>
      </c>
      <c r="W42" s="59"/>
      <c r="X42" s="59"/>
      <c r="Y42" s="59"/>
      <c r="Z42" s="59">
        <f>1 - CUSTOS!$M$33</f>
        <v>0.6</v>
      </c>
      <c r="AA42" s="59"/>
      <c r="AB42" s="59"/>
    </row>
    <row r="44" spans="1:28" ht="11.25" customHeight="1" x14ac:dyDescent="0.25">
      <c r="K44" s="64" t="s">
        <v>577</v>
      </c>
      <c r="L44" s="59">
        <f t="shared" ref="L44:AB44" si="0">SUMPRODUCT($I$5:$I$42,L$5:L$42)</f>
        <v>199332.44410000002</v>
      </c>
      <c r="M44" s="59">
        <f t="shared" si="0"/>
        <v>199332.44410000002</v>
      </c>
      <c r="N44" s="59">
        <f t="shared" si="0"/>
        <v>199332.44410000002</v>
      </c>
      <c r="O44" s="59">
        <f t="shared" si="0"/>
        <v>199332.44410000002</v>
      </c>
      <c r="P44" s="59">
        <f t="shared" si="0"/>
        <v>199332.44410000002</v>
      </c>
      <c r="Q44" s="59">
        <f t="shared" si="0"/>
        <v>0</v>
      </c>
      <c r="R44" s="59">
        <f t="shared" si="0"/>
        <v>209152.26472599999</v>
      </c>
      <c r="S44" s="59">
        <f t="shared" si="0"/>
        <v>0</v>
      </c>
      <c r="T44" s="59">
        <f t="shared" si="0"/>
        <v>199332.44410000002</v>
      </c>
      <c r="U44" s="59">
        <f t="shared" si="0"/>
        <v>199332.44410000002</v>
      </c>
      <c r="V44" s="59">
        <f t="shared" si="0"/>
        <v>199332.44410000002</v>
      </c>
      <c r="W44" s="59">
        <f t="shared" si="0"/>
        <v>0</v>
      </c>
      <c r="X44" s="59">
        <f t="shared" si="0"/>
        <v>0</v>
      </c>
      <c r="Y44" s="59">
        <f t="shared" si="0"/>
        <v>0</v>
      </c>
      <c r="Z44" s="59">
        <f t="shared" si="0"/>
        <v>199332.44410000002</v>
      </c>
      <c r="AA44" s="59">
        <f t="shared" si="0"/>
        <v>0</v>
      </c>
      <c r="AB44" s="59">
        <f t="shared" si="0"/>
        <v>0</v>
      </c>
    </row>
    <row r="45" spans="1:28" ht="11.25" customHeight="1" x14ac:dyDescent="0.25">
      <c r="K45" s="64" t="s">
        <v>502</v>
      </c>
      <c r="L45" s="59">
        <f>CUSTOS!$D$30</f>
        <v>443927.86224606709</v>
      </c>
      <c r="M45" s="59">
        <f>CUSTOS!$D$31</f>
        <v>5567368.1052542813</v>
      </c>
      <c r="N45" s="59">
        <f>CUSTOS!$D$32</f>
        <v>0</v>
      </c>
      <c r="O45" s="59">
        <f>CUSTOS!$D$33</f>
        <v>0</v>
      </c>
      <c r="P45" s="59">
        <f>CUSTOS!$D$34</f>
        <v>-2509999.9999999995</v>
      </c>
      <c r="Q45" s="59">
        <f>CUSTOS!$D$35</f>
        <v>3501295.967500349</v>
      </c>
      <c r="R45" s="59">
        <f>CUSTOS!$D$36</f>
        <v>37958523.416229047</v>
      </c>
      <c r="S45" s="59">
        <f>CUSTOS!$D$37</f>
        <v>37958523.416229047</v>
      </c>
      <c r="T45" s="59">
        <f>CUSTOS!$D$38</f>
        <v>598524.71113621967</v>
      </c>
      <c r="U45" s="59">
        <f>CUSTOS!$D$39</f>
        <v>416696.1793310651</v>
      </c>
      <c r="V45" s="59">
        <f>CUSTOS!$D$40</f>
        <v>0</v>
      </c>
      <c r="W45" s="59">
        <f>CUSTOS!$D$41</f>
        <v>1015220.8904672847</v>
      </c>
      <c r="X45" s="59">
        <f>CUSTOS!$D$42</f>
        <v>0</v>
      </c>
      <c r="Y45" s="59">
        <f>CUSTOS!$D$43</f>
        <v>0</v>
      </c>
      <c r="Z45" s="59">
        <f>CUSTOS!$D$44</f>
        <v>805424.84095874231</v>
      </c>
      <c r="AA45" s="59">
        <f>CUSTOS!$D$45</f>
        <v>805424.84095874231</v>
      </c>
      <c r="AB45" s="59">
        <f>CUSTOS!$D$46</f>
        <v>43280465.115155429</v>
      </c>
    </row>
    <row r="46" spans="1:28" ht="11.25" customHeight="1" x14ac:dyDescent="0.25">
      <c r="K46" s="64" t="s">
        <v>503</v>
      </c>
      <c r="L46" s="59">
        <f>CUSTOS!$E$30</f>
        <v>-1.5255169573936296</v>
      </c>
      <c r="M46" s="59">
        <f>CUSTOS!$E$31</f>
        <v>-1223431.7781012561</v>
      </c>
      <c r="N46" s="59">
        <f>CUSTOS!$E$32</f>
        <v>0</v>
      </c>
      <c r="O46" s="59">
        <f>CUSTOS!$E$33</f>
        <v>-1.0710678681994937E-5</v>
      </c>
      <c r="P46" s="59">
        <f>CUSTOS!$E$34</f>
        <v>0</v>
      </c>
      <c r="Q46" s="59">
        <f>CUSTOS!$E$35</f>
        <v>-1223433.3036289241</v>
      </c>
      <c r="R46" s="59">
        <f>CUSTOS!$E$36</f>
        <v>2716870.5970524414</v>
      </c>
      <c r="S46" s="59">
        <f>CUSTOS!$E$37</f>
        <v>2716870.5970524414</v>
      </c>
      <c r="T46" s="59">
        <f>CUSTOS!$E$38</f>
        <v>0</v>
      </c>
      <c r="U46" s="59">
        <f>CUSTOS!$E$39</f>
        <v>0</v>
      </c>
      <c r="V46" s="59">
        <f>CUSTOS!$E$40</f>
        <v>0</v>
      </c>
      <c r="W46" s="59">
        <f>CUSTOS!$E$41</f>
        <v>0</v>
      </c>
      <c r="X46" s="59">
        <f>CUSTOS!$E$42</f>
        <v>0</v>
      </c>
      <c r="Y46" s="59">
        <f>CUSTOS!$E$43</f>
        <v>0</v>
      </c>
      <c r="Z46" s="59">
        <f>CUSTOS!$E$44</f>
        <v>57648.055603787601</v>
      </c>
      <c r="AA46" s="59">
        <f>CUSTOS!$E$45</f>
        <v>57648.055603787601</v>
      </c>
      <c r="AB46" s="59">
        <f>CUSTOS!$E$46</f>
        <v>1551085.3490273049</v>
      </c>
    </row>
    <row r="47" spans="1:28" ht="11.25" customHeight="1" x14ac:dyDescent="0.25">
      <c r="K47" s="64" t="s">
        <v>504</v>
      </c>
      <c r="L47" s="59">
        <f>CUSTOS!$F$30</f>
        <v>0</v>
      </c>
      <c r="M47" s="59">
        <f>CUSTOS!$F$31</f>
        <v>821097.77469999995</v>
      </c>
      <c r="N47" s="59">
        <f>CUSTOS!$F$32</f>
        <v>0</v>
      </c>
      <c r="O47" s="59">
        <f>CUSTOS!$F$33</f>
        <v>0</v>
      </c>
      <c r="P47" s="59">
        <f>CUSTOS!$F$34</f>
        <v>0</v>
      </c>
      <c r="Q47" s="59">
        <f>CUSTOS!$F$35</f>
        <v>821097.77469999995</v>
      </c>
      <c r="R47" s="59">
        <f>CUSTOS!$F$36</f>
        <v>-83300.651542210588</v>
      </c>
      <c r="S47" s="59">
        <f>CUSTOS!$F$37</f>
        <v>-83300.651542210588</v>
      </c>
      <c r="T47" s="59">
        <f>CUSTOS!$F$38</f>
        <v>436375.19709999999</v>
      </c>
      <c r="U47" s="59">
        <f>CUSTOS!$F$39</f>
        <v>352805.95</v>
      </c>
      <c r="V47" s="59">
        <f>CUSTOS!$F$40</f>
        <v>0</v>
      </c>
      <c r="W47" s="59">
        <f>CUSTOS!$F$41</f>
        <v>789181.14709999994</v>
      </c>
      <c r="X47" s="59">
        <f>CUSTOS!$F$42</f>
        <v>0</v>
      </c>
      <c r="Y47" s="59">
        <f>CUSTOS!$F$43</f>
        <v>0</v>
      </c>
      <c r="Z47" s="59">
        <f>CUSTOS!$F$44</f>
        <v>-1767.5190703403237</v>
      </c>
      <c r="AA47" s="59">
        <f>CUSTOS!$F$45</f>
        <v>-1767.5190703403237</v>
      </c>
      <c r="AB47" s="59">
        <f>CUSTOS!$F$46</f>
        <v>1525210.7511874489</v>
      </c>
    </row>
    <row r="48" spans="1:28" ht="11.25" customHeight="1" x14ac:dyDescent="0.25">
      <c r="K48" s="64" t="s">
        <v>578</v>
      </c>
      <c r="L48" s="59">
        <f>IF(SUMPRODUCT($I$5:$I$42,$L$5:$L$42)&lt;&gt;0,L45/SUMPRODUCT($I$5:$I$42,$L$5:$L$42),0)</f>
        <v>2.2270727891309043</v>
      </c>
      <c r="M48" s="59">
        <f>IF(SUMPRODUCT($I$5:$I$42,$M$5:$M$42)&lt;&gt;0,M45/SUMPRODUCT($I$5:$I$42,$M$5:$M$42),0)</f>
        <v>27.930064924409766</v>
      </c>
      <c r="N48" s="59">
        <f>IF(SUMPRODUCT($I$5:$I$42,$N$5:$N$42)&lt;&gt;0,N45/SUMPRODUCT($I$5:$I$42,$N$5:$N$42),0)</f>
        <v>0</v>
      </c>
      <c r="O48" s="59">
        <f>IF(SUMPRODUCT($I$5:$I$42,$O$5:$O$42)&lt;&gt;0,O45/SUMPRODUCT($I$5:$I$42,$O$5:$O$42),0)</f>
        <v>0</v>
      </c>
      <c r="P48" s="59">
        <f>IF(SUMPRODUCT($I$5:$I$42,$P$5:$P$42)&lt;&gt;0,P45/SUMPRODUCT($I$5:$I$42,$P$5:$P$42),0)</f>
        <v>-12.592029417653638</v>
      </c>
      <c r="Q48" s="59"/>
      <c r="R48" s="59">
        <f>IF((CUSTOS!$M$12-CUSTOS!$M$13)&lt;&gt;0,(CUSTOS!$M$12*CUSTOS!$M$14)/(CUSTOS!$M$12-CUSTOS!$M$13),0)</f>
        <v>189.54113253655268</v>
      </c>
      <c r="S48" s="59"/>
      <c r="T48" s="59">
        <f>IF(SUMPRODUCT($I$5:$I$42,$T$5:$T$42)&lt;&gt;0,T45/SUMPRODUCT($I$5:$I$42,$T$5:$T$42),0)</f>
        <v>3.0026457250278589</v>
      </c>
      <c r="U48" s="59">
        <f>IF(SUMPRODUCT($I$5:$I$42,$U$5:$U$42)&lt;&gt;0,U45/SUMPRODUCT($I$5:$I$42,$U$5:$U$42),0)</f>
        <v>2.090458385801055</v>
      </c>
      <c r="V48" s="59">
        <f>IF(SUMPRODUCT($I$5:$I$42,$V$5:$V$42)&lt;&gt;0,V45/SUMPRODUCT($I$5:$I$42,$V$5:$V$42),0)</f>
        <v>0</v>
      </c>
      <c r="W48" s="59"/>
      <c r="X48" s="59">
        <f>IF(SUMPRODUCT($I$5:$I$42,$X$5:$X$42)&lt;&gt;0,X45/SUMPRODUCT($I$5:$I$42,$X$5:$X$42),0)</f>
        <v>0</v>
      </c>
      <c r="Y48" s="59"/>
      <c r="Z48" s="59">
        <f>IF(SUMPRODUCT($I$5:$I$42,$Z$5:$Z$42)&lt;&gt;0,Z45/SUMPRODUCT($I$5:$I$42,$Z$5:$Z$42),0)</f>
        <v>4.0406108729328638</v>
      </c>
      <c r="AA48" s="59"/>
      <c r="AB48" s="59"/>
    </row>
    <row r="49" spans="11:28" ht="11.25" customHeight="1" x14ac:dyDescent="0.25">
      <c r="K49" s="64" t="s">
        <v>579</v>
      </c>
      <c r="L49" s="59">
        <f>IF(L44&lt;&gt;0,(L45-L48*0)/(L44-0),0)</f>
        <v>2.2270727891309043</v>
      </c>
      <c r="M49" s="59">
        <f>IF(M44&lt;&gt;0,(M45-M48*0)/(M44-0),0)</f>
        <v>27.930064924409766</v>
      </c>
      <c r="N49" s="59">
        <f>IF(N44&lt;&gt;0,(N45-N48*0)/(N44-0),0)</f>
        <v>0</v>
      </c>
      <c r="O49" s="59">
        <f>IF(O44&lt;&gt;0,(O45-O48*0)/(O44-0),0)</f>
        <v>0</v>
      </c>
      <c r="P49" s="59">
        <f>IF(P44&lt;&gt;0,(P45-P48*0)/(P44-0),0)</f>
        <v>-12.592029417653638</v>
      </c>
      <c r="Q49" s="59"/>
      <c r="R49" s="59">
        <f>IF(R44&lt;&gt;0,(R45-R48*0)/(R44-0),0)</f>
        <v>181.48750847119263</v>
      </c>
      <c r="S49" s="59"/>
      <c r="T49" s="59">
        <f>IF(T44&lt;&gt;0,(T45-T48*0)/(T44-0),0)</f>
        <v>3.0026457250278589</v>
      </c>
      <c r="U49" s="59">
        <f>IF(U44&lt;&gt;0,(U45-U48*0)/(U44-0),0)</f>
        <v>2.090458385801055</v>
      </c>
      <c r="V49" s="59">
        <f>IF(V44&lt;&gt;0,(V45-V48*0)/(V44-0),0)</f>
        <v>0</v>
      </c>
      <c r="W49" s="59"/>
      <c r="X49" s="59">
        <f>IF(X44&lt;&gt;0,(X45-X48*0)/(X44-0),0)</f>
        <v>0</v>
      </c>
      <c r="Y49" s="59"/>
      <c r="Z49" s="59">
        <f>IF(Z44&lt;&gt;0,(Z45-Z48*0)/(Z44-0),0)</f>
        <v>4.0406108729328638</v>
      </c>
      <c r="AA49" s="59"/>
      <c r="AB49" s="59"/>
    </row>
    <row r="50" spans="11:28" ht="11.25" customHeight="1" x14ac:dyDescent="0.25">
      <c r="K50" s="64" t="s">
        <v>580</v>
      </c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  <c r="AA50" s="59"/>
      <c r="AB50" s="59"/>
    </row>
  </sheetData>
  <mergeCells count="61">
    <mergeCell ref="Z3:AA3"/>
    <mergeCell ref="AB3:AB4"/>
    <mergeCell ref="G1:G4"/>
    <mergeCell ref="H1:H4"/>
    <mergeCell ref="I1:I4"/>
    <mergeCell ref="J1:J4"/>
    <mergeCell ref="L1:AB1"/>
    <mergeCell ref="L2:AB2"/>
    <mergeCell ref="L3:Q3"/>
    <mergeCell ref="R3:S3"/>
    <mergeCell ref="T3:W3"/>
    <mergeCell ref="X3:Y3"/>
    <mergeCell ref="A1:A4"/>
    <mergeCell ref="B1:B4"/>
    <mergeCell ref="C1:C4"/>
    <mergeCell ref="D1:D4"/>
    <mergeCell ref="E1:E4"/>
    <mergeCell ref="F1:F4"/>
    <mergeCell ref="E36:E38"/>
    <mergeCell ref="F36:F38"/>
    <mergeCell ref="A41:A42"/>
    <mergeCell ref="B41:B42"/>
    <mergeCell ref="C41:C42"/>
    <mergeCell ref="B33:B35"/>
    <mergeCell ref="C33:C35"/>
    <mergeCell ref="A36:A40"/>
    <mergeCell ref="B36:B38"/>
    <mergeCell ref="C36:C38"/>
    <mergeCell ref="D36:D38"/>
    <mergeCell ref="F25:F27"/>
    <mergeCell ref="B29:B31"/>
    <mergeCell ref="C29:C31"/>
    <mergeCell ref="D29:D31"/>
    <mergeCell ref="E29:E31"/>
    <mergeCell ref="F29:F31"/>
    <mergeCell ref="A21:A35"/>
    <mergeCell ref="B21:B23"/>
    <mergeCell ref="C21:C23"/>
    <mergeCell ref="D21:D23"/>
    <mergeCell ref="E21:E23"/>
    <mergeCell ref="F21:F23"/>
    <mergeCell ref="B25:B27"/>
    <mergeCell ref="C25:C27"/>
    <mergeCell ref="D25:D27"/>
    <mergeCell ref="E25:E27"/>
    <mergeCell ref="A8:A20"/>
    <mergeCell ref="B8:B10"/>
    <mergeCell ref="C8:C10"/>
    <mergeCell ref="D8:D10"/>
    <mergeCell ref="E8:E10"/>
    <mergeCell ref="F8:F10"/>
    <mergeCell ref="B11:B15"/>
    <mergeCell ref="C11:C15"/>
    <mergeCell ref="B16:B20"/>
    <mergeCell ref="C16:C20"/>
    <mergeCell ref="F5:F6"/>
    <mergeCell ref="A5:A7"/>
    <mergeCell ref="B5:B6"/>
    <mergeCell ref="C5:C6"/>
    <mergeCell ref="D5:D6"/>
    <mergeCell ref="E5:E6"/>
  </mergeCell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B86B1-C65B-4FE6-B8FB-153A65885FD6}">
  <sheetPr codeName="Planilha15"/>
  <dimension ref="A1:AB50"/>
  <sheetViews>
    <sheetView showGridLines="0" topLeftCell="P26" workbookViewId="0">
      <selection activeCell="AB44" sqref="AB44"/>
    </sheetView>
  </sheetViews>
  <sheetFormatPr defaultColWidth="9.140625"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20" style="9" bestFit="1" customWidth="1"/>
    <col min="12" max="12" width="8.7109375" style="9" bestFit="1" customWidth="1"/>
    <col min="13" max="13" width="10.5703125" style="9" bestFit="1" customWidth="1"/>
    <col min="14" max="14" width="8.7109375" style="9" bestFit="1" customWidth="1"/>
    <col min="15" max="15" width="11.140625" style="9" bestFit="1" customWidth="1"/>
    <col min="16" max="17" width="10.5703125" style="9" bestFit="1" customWidth="1"/>
    <col min="18" max="18" width="15" style="9" bestFit="1" customWidth="1"/>
    <col min="19" max="19" width="10.85546875" style="9" bestFit="1" customWidth="1"/>
    <col min="20" max="20" width="8.7109375" style="9" bestFit="1" customWidth="1"/>
    <col min="21" max="21" width="10.42578125" style="9" bestFit="1" customWidth="1"/>
    <col min="22" max="22" width="8.7109375" style="9" bestFit="1" customWidth="1"/>
    <col min="23" max="23" width="10" style="9" bestFit="1" customWidth="1"/>
    <col min="24" max="24" width="8" style="9" bestFit="1" customWidth="1"/>
    <col min="25" max="25" width="9.28515625" style="9" bestFit="1" customWidth="1"/>
    <col min="26" max="26" width="11" style="9" bestFit="1" customWidth="1"/>
    <col min="27" max="27" width="9.28515625" style="9" bestFit="1" customWidth="1"/>
    <col min="28" max="28" width="10.85546875" style="9" bestFit="1" customWidth="1"/>
    <col min="29" max="16384" width="9.140625" style="9"/>
  </cols>
  <sheetData>
    <row r="1" spans="1:28" ht="11.25" customHeight="1" x14ac:dyDescent="0.25">
      <c r="A1" s="154" t="s">
        <v>64</v>
      </c>
      <c r="B1" s="154" t="s">
        <v>65</v>
      </c>
      <c r="C1" s="154" t="s">
        <v>66</v>
      </c>
      <c r="D1" s="154" t="s">
        <v>67</v>
      </c>
      <c r="E1" s="154" t="s">
        <v>68</v>
      </c>
      <c r="F1" s="154" t="s">
        <v>15</v>
      </c>
      <c r="G1" s="154" t="s">
        <v>70</v>
      </c>
      <c r="H1" s="154" t="s">
        <v>71</v>
      </c>
      <c r="I1" s="154" t="s">
        <v>561</v>
      </c>
      <c r="J1" s="141"/>
      <c r="L1" s="155" t="s">
        <v>581</v>
      </c>
      <c r="M1" s="155"/>
      <c r="N1" s="155"/>
      <c r="O1" s="155"/>
      <c r="P1" s="155"/>
      <c r="Q1" s="155"/>
      <c r="R1" s="155"/>
      <c r="S1" s="155"/>
      <c r="T1" s="155"/>
      <c r="U1" s="155"/>
      <c r="V1" s="155"/>
      <c r="W1" s="155"/>
      <c r="X1" s="155"/>
      <c r="Y1" s="155"/>
      <c r="Z1" s="155"/>
      <c r="AA1" s="155"/>
      <c r="AB1" s="155"/>
    </row>
    <row r="2" spans="1:28" ht="11.25" customHeight="1" x14ac:dyDescent="0.25">
      <c r="A2" s="154"/>
      <c r="B2" s="154"/>
      <c r="C2" s="154"/>
      <c r="D2" s="154"/>
      <c r="E2" s="154"/>
      <c r="F2" s="154"/>
      <c r="G2" s="154"/>
      <c r="H2" s="154"/>
      <c r="I2" s="154"/>
      <c r="J2" s="141"/>
      <c r="L2" s="155" t="s">
        <v>488</v>
      </c>
      <c r="M2" s="155"/>
      <c r="N2" s="155"/>
      <c r="O2" s="155"/>
      <c r="P2" s="155"/>
      <c r="Q2" s="155"/>
      <c r="R2" s="155"/>
      <c r="S2" s="155"/>
      <c r="T2" s="155"/>
      <c r="U2" s="155"/>
      <c r="V2" s="155"/>
      <c r="W2" s="155"/>
      <c r="X2" s="155"/>
      <c r="Y2" s="155"/>
      <c r="Z2" s="155"/>
      <c r="AA2" s="155"/>
      <c r="AB2" s="155"/>
    </row>
    <row r="3" spans="1:28" ht="11.25" customHeight="1" x14ac:dyDescent="0.25">
      <c r="A3" s="154"/>
      <c r="B3" s="154"/>
      <c r="C3" s="154"/>
      <c r="D3" s="154"/>
      <c r="E3" s="154"/>
      <c r="F3" s="154"/>
      <c r="G3" s="154"/>
      <c r="H3" s="154"/>
      <c r="I3" s="154"/>
      <c r="J3" s="141"/>
      <c r="L3" s="155" t="s">
        <v>461</v>
      </c>
      <c r="M3" s="155"/>
      <c r="N3" s="155"/>
      <c r="O3" s="155"/>
      <c r="P3" s="155"/>
      <c r="Q3" s="155"/>
      <c r="R3" s="155" t="s">
        <v>492</v>
      </c>
      <c r="S3" s="155"/>
      <c r="T3" s="155" t="s">
        <v>470</v>
      </c>
      <c r="U3" s="155"/>
      <c r="V3" s="155"/>
      <c r="W3" s="155"/>
      <c r="X3" s="155" t="s">
        <v>480</v>
      </c>
      <c r="Y3" s="155"/>
      <c r="Z3" s="155" t="s">
        <v>483</v>
      </c>
      <c r="AA3" s="155"/>
      <c r="AB3" s="155" t="s">
        <v>469</v>
      </c>
    </row>
    <row r="4" spans="1:28" ht="11.25" customHeight="1" x14ac:dyDescent="0.25">
      <c r="A4" s="154"/>
      <c r="B4" s="154"/>
      <c r="C4" s="154"/>
      <c r="D4" s="154"/>
      <c r="E4" s="154"/>
      <c r="F4" s="154"/>
      <c r="G4" s="154"/>
      <c r="H4" s="154"/>
      <c r="I4" s="154"/>
      <c r="J4" s="141"/>
      <c r="L4" s="63" t="s">
        <v>463</v>
      </c>
      <c r="M4" s="63" t="s">
        <v>489</v>
      </c>
      <c r="N4" s="63" t="s">
        <v>490</v>
      </c>
      <c r="O4" s="63" t="s">
        <v>549</v>
      </c>
      <c r="P4" s="63" t="s">
        <v>491</v>
      </c>
      <c r="Q4" s="63" t="s">
        <v>469</v>
      </c>
      <c r="R4" s="63" t="s">
        <v>493</v>
      </c>
      <c r="S4" s="63" t="s">
        <v>469</v>
      </c>
      <c r="T4" s="63" t="s">
        <v>494</v>
      </c>
      <c r="U4" s="63" t="s">
        <v>495</v>
      </c>
      <c r="V4" s="63" t="s">
        <v>496</v>
      </c>
      <c r="W4" s="63" t="s">
        <v>469</v>
      </c>
      <c r="X4" s="63" t="s">
        <v>481</v>
      </c>
      <c r="Y4" s="63" t="s">
        <v>469</v>
      </c>
      <c r="Z4" s="63" t="s">
        <v>497</v>
      </c>
      <c r="AA4" s="63" t="s">
        <v>469</v>
      </c>
      <c r="AB4" s="156"/>
    </row>
    <row r="5" spans="1:28" ht="11.25" customHeight="1" x14ac:dyDescent="0.25">
      <c r="A5" s="153" t="s">
        <v>35</v>
      </c>
      <c r="B5" s="153" t="s">
        <v>73</v>
      </c>
      <c r="C5" s="153" t="s">
        <v>25</v>
      </c>
      <c r="D5" s="153" t="s">
        <v>25</v>
      </c>
      <c r="E5" s="153" t="s">
        <v>25</v>
      </c>
      <c r="F5" s="153" t="s">
        <v>25</v>
      </c>
      <c r="G5" s="62" t="s">
        <v>75</v>
      </c>
      <c r="H5" s="62" t="s">
        <v>74</v>
      </c>
      <c r="I5" s="62">
        <f>'MERCADO TE'!$U$2</f>
        <v>3764.2840000000001</v>
      </c>
      <c r="J5" s="15"/>
      <c r="L5" s="59">
        <f>'TR TE'!$L$5*'TR TE'!$L$49</f>
        <v>2.2270727891309043</v>
      </c>
      <c r="M5" s="59">
        <f>'TR TE'!$M$5*'TR TE'!$M$49</f>
        <v>27.930064924409766</v>
      </c>
      <c r="N5" s="59">
        <f>'TR TE'!$N$5*'TR TE'!$N$49</f>
        <v>0</v>
      </c>
      <c r="O5" s="59">
        <f>'TR TE'!$O$5*'TR TE'!$O$49</f>
        <v>0</v>
      </c>
      <c r="P5" s="59">
        <f>'TR TE'!$P$5*'TR TE'!$P$49</f>
        <v>-12.592029417653638</v>
      </c>
      <c r="Q5" s="59">
        <f>SUM($L$5:$P$5)</f>
        <v>17.565108295887033</v>
      </c>
      <c r="R5" s="59">
        <f>'TR TE'!$R$5*'TR TE'!$R$49</f>
        <v>312.1585145704513</v>
      </c>
      <c r="S5" s="59">
        <f>SUM($R$5:$R$5)</f>
        <v>312.1585145704513</v>
      </c>
      <c r="T5" s="59">
        <f>'TR TE'!$T$5*'TR TE'!$T$49</f>
        <v>3.0026457250278589</v>
      </c>
      <c r="U5" s="59">
        <f>'TR TE'!$U$5*'TR TE'!$U$49</f>
        <v>2.090458385801055</v>
      </c>
      <c r="V5" s="59">
        <f>'TR TE'!$V$5*'TR TE'!$V$49</f>
        <v>0</v>
      </c>
      <c r="W5" s="59">
        <f>SUM($T$5:$V$5)</f>
        <v>5.0931041108289143</v>
      </c>
      <c r="X5" s="59"/>
      <c r="Y5" s="59">
        <f>SUM($X$5:$X$5)</f>
        <v>0</v>
      </c>
      <c r="Z5" s="59">
        <f>'TR TE'!$Z$5*'TR TE'!$Z$49</f>
        <v>4.0406108729328638</v>
      </c>
      <c r="AA5" s="59">
        <f>SUM($Z$5:$Z$5)</f>
        <v>4.0406108729328638</v>
      </c>
      <c r="AB5" s="59">
        <f>SUMIF($L$4:$AA$4,"SUBTOTAL",$L$5:$AA$5)</f>
        <v>338.85733785010012</v>
      </c>
    </row>
    <row r="6" spans="1:28" ht="11.25" customHeight="1" x14ac:dyDescent="0.25">
      <c r="A6" s="153"/>
      <c r="B6" s="153"/>
      <c r="C6" s="153"/>
      <c r="D6" s="153"/>
      <c r="E6" s="153"/>
      <c r="F6" s="153"/>
      <c r="G6" s="62" t="s">
        <v>76</v>
      </c>
      <c r="H6" s="62" t="s">
        <v>74</v>
      </c>
      <c r="I6" s="62">
        <f>'MERCADO TE'!$U$3</f>
        <v>77059.703999999983</v>
      </c>
      <c r="J6" s="15"/>
      <c r="L6" s="59">
        <f>'TR TE'!$L$6*'TR TE'!$L$49</f>
        <v>2.2270727891309043</v>
      </c>
      <c r="M6" s="59">
        <f>'TR TE'!$M$6*'TR TE'!$M$49</f>
        <v>27.930064924409766</v>
      </c>
      <c r="N6" s="59">
        <f>'TR TE'!$N$6*'TR TE'!$N$49</f>
        <v>0</v>
      </c>
      <c r="O6" s="59">
        <f>'TR TE'!$O$6*'TR TE'!$O$49</f>
        <v>0</v>
      </c>
      <c r="P6" s="59">
        <f>'TR TE'!$P$6*'TR TE'!$P$49</f>
        <v>-12.592029417653638</v>
      </c>
      <c r="Q6" s="59">
        <f>SUM($L$6:$P$6)</f>
        <v>17.565108295887033</v>
      </c>
      <c r="R6" s="59">
        <f>'TR TE'!$R$6*'TR TE'!$R$49</f>
        <v>181.48750847119263</v>
      </c>
      <c r="S6" s="59">
        <f>SUM($R$6:$R$6)</f>
        <v>181.48750847119263</v>
      </c>
      <c r="T6" s="59">
        <f>'TR TE'!$T$6*'TR TE'!$T$49</f>
        <v>3.0026457250278589</v>
      </c>
      <c r="U6" s="59">
        <f>'TR TE'!$U$6*'TR TE'!$U$49</f>
        <v>2.090458385801055</v>
      </c>
      <c r="V6" s="59">
        <f>'TR TE'!$V$6*'TR TE'!$V$49</f>
        <v>0</v>
      </c>
      <c r="W6" s="59">
        <f>SUM($T$6:$V$6)</f>
        <v>5.0931041108289143</v>
      </c>
      <c r="X6" s="59"/>
      <c r="Y6" s="59">
        <f>SUM($X$6:$X$6)</f>
        <v>0</v>
      </c>
      <c r="Z6" s="59">
        <f>'TR TE'!$Z$6*'TR TE'!$Z$49</f>
        <v>4.0406108729328638</v>
      </c>
      <c r="AA6" s="59">
        <f>SUM($Z$6:$Z$6)</f>
        <v>4.0406108729328638</v>
      </c>
      <c r="AB6" s="59">
        <f>SUMIF($L$4:$AA$4,"SUBTOTAL",$L$6:$AA$6)</f>
        <v>208.18633175084142</v>
      </c>
    </row>
    <row r="7" spans="1:28" ht="11.25" customHeight="1" x14ac:dyDescent="0.25">
      <c r="A7" s="153"/>
      <c r="B7" s="61" t="s">
        <v>77</v>
      </c>
      <c r="C7" s="61" t="s">
        <v>25</v>
      </c>
      <c r="D7" s="61" t="s">
        <v>25</v>
      </c>
      <c r="E7" s="61" t="s">
        <v>25</v>
      </c>
      <c r="F7" s="61" t="s">
        <v>25</v>
      </c>
      <c r="G7" s="62" t="s">
        <v>78</v>
      </c>
      <c r="H7" s="62" t="s">
        <v>74</v>
      </c>
      <c r="I7" s="62">
        <f>'MERCADO TE'!$U$4</f>
        <v>0</v>
      </c>
      <c r="J7" s="15"/>
      <c r="L7" s="59">
        <f>'TR TE'!$L$7*'TR TE'!$L$49</f>
        <v>2.2270727891309043</v>
      </c>
      <c r="M7" s="59">
        <f>'TR TE'!$M$7*'TR TE'!$M$49</f>
        <v>27.930064924409766</v>
      </c>
      <c r="N7" s="59">
        <f>'TR TE'!$N$7*'TR TE'!$N$49</f>
        <v>0</v>
      </c>
      <c r="O7" s="59">
        <f>'TR TE'!$O$7*'TR TE'!$O$49</f>
        <v>0</v>
      </c>
      <c r="P7" s="59">
        <f>'TR TE'!$P$7*'TR TE'!$P$49</f>
        <v>-12.592029417653638</v>
      </c>
      <c r="Q7" s="59">
        <f>SUM($L$7:$P$7)</f>
        <v>17.565108295887033</v>
      </c>
      <c r="R7" s="59">
        <f>'TR TE'!$R$7*'TR TE'!$R$49</f>
        <v>192.3767589794642</v>
      </c>
      <c r="S7" s="59">
        <f>SUM($R$7:$R$7)</f>
        <v>192.3767589794642</v>
      </c>
      <c r="T7" s="59">
        <f>'TR TE'!$T$7*'TR TE'!$T$49</f>
        <v>3.0026457250278589</v>
      </c>
      <c r="U7" s="59">
        <f>'TR TE'!$U$7*'TR TE'!$U$49</f>
        <v>2.090458385801055</v>
      </c>
      <c r="V7" s="59">
        <f>'TR TE'!$V$7*'TR TE'!$V$49</f>
        <v>0</v>
      </c>
      <c r="W7" s="59">
        <f>SUM($T$7:$V$7)</f>
        <v>5.0931041108289143</v>
      </c>
      <c r="X7" s="59"/>
      <c r="Y7" s="59">
        <f>SUM($X$7:$X$7)</f>
        <v>0</v>
      </c>
      <c r="Z7" s="59">
        <f>'TR TE'!$Z$7*'TR TE'!$Z$49</f>
        <v>4.0406108729328638</v>
      </c>
      <c r="AA7" s="59">
        <f>SUM($Z$7:$Z$7)</f>
        <v>4.0406108729328638</v>
      </c>
      <c r="AB7" s="59">
        <f>SUMIF($L$4:$AA$4,"SUBTOTAL",$L$7:$AA$7)</f>
        <v>219.07558225911299</v>
      </c>
    </row>
    <row r="8" spans="1:28" ht="11.25" customHeight="1" x14ac:dyDescent="0.25">
      <c r="A8" s="153" t="s">
        <v>22</v>
      </c>
      <c r="B8" s="153" t="s">
        <v>73</v>
      </c>
      <c r="C8" s="153" t="s">
        <v>24</v>
      </c>
      <c r="D8" s="153" t="s">
        <v>24</v>
      </c>
      <c r="E8" s="153" t="s">
        <v>25</v>
      </c>
      <c r="F8" s="153" t="s">
        <v>25</v>
      </c>
      <c r="G8" s="62" t="s">
        <v>75</v>
      </c>
      <c r="H8" s="62" t="s">
        <v>74</v>
      </c>
      <c r="I8" s="62">
        <f>'MERCADO TE'!$U$5</f>
        <v>0</v>
      </c>
      <c r="J8" s="15"/>
      <c r="L8" s="59">
        <f>'TR TE'!$L$8*'TR TE'!$L$49</f>
        <v>2.2270727891309043</v>
      </c>
      <c r="M8" s="59">
        <f>'TR TE'!$M$8*'TR TE'!$M$49</f>
        <v>27.930064924409766</v>
      </c>
      <c r="N8" s="59">
        <f>'TR TE'!$N$8*'TR TE'!$N$49</f>
        <v>0</v>
      </c>
      <c r="O8" s="59">
        <f>'TR TE'!$O$8*'TR TE'!$O$49</f>
        <v>0</v>
      </c>
      <c r="P8" s="59">
        <f>'TR TE'!$P$8*'TR TE'!$P$49</f>
        <v>-12.592029417653638</v>
      </c>
      <c r="Q8" s="59">
        <f>SUM($L$8:$P$8)</f>
        <v>17.565108295887033</v>
      </c>
      <c r="R8" s="59">
        <f>'TR TE'!$R$8*'TR TE'!$R$49</f>
        <v>312.1585145704513</v>
      </c>
      <c r="S8" s="59">
        <f>SUM($R$8:$R$8)</f>
        <v>312.1585145704513</v>
      </c>
      <c r="T8" s="59">
        <f>'TR TE'!$T$8*'TR TE'!$T$49</f>
        <v>3.0026457250278589</v>
      </c>
      <c r="U8" s="59">
        <f>'TR TE'!$U$8*'TR TE'!$U$49</f>
        <v>2.090458385801055</v>
      </c>
      <c r="V8" s="59">
        <f>'TR TE'!$V$8*'TR TE'!$V$49</f>
        <v>0</v>
      </c>
      <c r="W8" s="59">
        <f>SUM($T$8:$V$8)</f>
        <v>5.0931041108289143</v>
      </c>
      <c r="X8" s="59"/>
      <c r="Y8" s="59">
        <f>SUM($X$8:$X$8)</f>
        <v>0</v>
      </c>
      <c r="Z8" s="59">
        <f>'TR TE'!$Z$8*'TR TE'!$Z$49</f>
        <v>4.0406108729328638</v>
      </c>
      <c r="AA8" s="59">
        <f>SUM($Z$8:$Z$8)</f>
        <v>4.0406108729328638</v>
      </c>
      <c r="AB8" s="59">
        <f>SUMIF($L$4:$AA$4,"SUBTOTAL",$L$8:$AA$8)</f>
        <v>338.85733785010012</v>
      </c>
    </row>
    <row r="9" spans="1:28" ht="11.25" customHeight="1" x14ac:dyDescent="0.25">
      <c r="A9" s="153"/>
      <c r="B9" s="153"/>
      <c r="C9" s="153"/>
      <c r="D9" s="153"/>
      <c r="E9" s="153"/>
      <c r="F9" s="153"/>
      <c r="G9" s="62" t="s">
        <v>87</v>
      </c>
      <c r="H9" s="62" t="s">
        <v>74</v>
      </c>
      <c r="I9" s="62">
        <f>'MERCADO TE'!$U$6</f>
        <v>0</v>
      </c>
      <c r="J9" s="15"/>
      <c r="L9" s="59">
        <f>'TR TE'!$L$9*'TR TE'!$L$49</f>
        <v>2.2270727891309043</v>
      </c>
      <c r="M9" s="59">
        <f>'TR TE'!$M$9*'TR TE'!$M$49</f>
        <v>27.930064924409766</v>
      </c>
      <c r="N9" s="59">
        <f>'TR TE'!$N$9*'TR TE'!$N$49</f>
        <v>0</v>
      </c>
      <c r="O9" s="59">
        <f>'TR TE'!$O$9*'TR TE'!$O$49</f>
        <v>0</v>
      </c>
      <c r="P9" s="59">
        <f>'TR TE'!$P$9*'TR TE'!$P$49</f>
        <v>-12.592029417653638</v>
      </c>
      <c r="Q9" s="59">
        <f>SUM($L$9:$P$9)</f>
        <v>17.565108295887033</v>
      </c>
      <c r="R9" s="59">
        <f>'TR TE'!$R$9*'TR TE'!$R$49</f>
        <v>181.48750847119263</v>
      </c>
      <c r="S9" s="59">
        <f>SUM($R$9:$R$9)</f>
        <v>181.48750847119263</v>
      </c>
      <c r="T9" s="59">
        <f>'TR TE'!$T$9*'TR TE'!$T$49</f>
        <v>3.0026457250278589</v>
      </c>
      <c r="U9" s="59">
        <f>'TR TE'!$U$9*'TR TE'!$U$49</f>
        <v>2.090458385801055</v>
      </c>
      <c r="V9" s="59">
        <f>'TR TE'!$V$9*'TR TE'!$V$49</f>
        <v>0</v>
      </c>
      <c r="W9" s="59">
        <f>SUM($T$9:$V$9)</f>
        <v>5.0931041108289143</v>
      </c>
      <c r="X9" s="59"/>
      <c r="Y9" s="59">
        <f>SUM($X$9:$X$9)</f>
        <v>0</v>
      </c>
      <c r="Z9" s="59">
        <f>'TR TE'!$Z$9*'TR TE'!$Z$49</f>
        <v>4.0406108729328638</v>
      </c>
      <c r="AA9" s="59">
        <f>SUM($Z$9:$Z$9)</f>
        <v>4.0406108729328638</v>
      </c>
      <c r="AB9" s="59">
        <f>SUMIF($L$4:$AA$4,"SUBTOTAL",$L$9:$AA$9)</f>
        <v>208.18633175084142</v>
      </c>
    </row>
    <row r="10" spans="1:28" ht="11.25" customHeight="1" x14ac:dyDescent="0.25">
      <c r="A10" s="153"/>
      <c r="B10" s="153"/>
      <c r="C10" s="153"/>
      <c r="D10" s="153"/>
      <c r="E10" s="153"/>
      <c r="F10" s="153"/>
      <c r="G10" s="62" t="s">
        <v>76</v>
      </c>
      <c r="H10" s="62" t="s">
        <v>74</v>
      </c>
      <c r="I10" s="62">
        <f>'MERCADO TE'!$U$7</f>
        <v>0</v>
      </c>
      <c r="J10" s="15"/>
      <c r="L10" s="59">
        <f>'TR TE'!$L$10*'TR TE'!$L$49</f>
        <v>2.2270727891309043</v>
      </c>
      <c r="M10" s="59">
        <f>'TR TE'!$M$10*'TR TE'!$M$49</f>
        <v>27.930064924409766</v>
      </c>
      <c r="N10" s="59">
        <f>'TR TE'!$N$10*'TR TE'!$N$49</f>
        <v>0</v>
      </c>
      <c r="O10" s="59">
        <f>'TR TE'!$O$10*'TR TE'!$O$49</f>
        <v>0</v>
      </c>
      <c r="P10" s="59">
        <f>'TR TE'!$P$10*'TR TE'!$P$49</f>
        <v>-12.592029417653638</v>
      </c>
      <c r="Q10" s="59">
        <f>SUM($L$10:$P$10)</f>
        <v>17.565108295887033</v>
      </c>
      <c r="R10" s="59">
        <f>'TR TE'!$R$10*'TR TE'!$R$49</f>
        <v>181.48750847119263</v>
      </c>
      <c r="S10" s="59">
        <f>SUM($R$10:$R$10)</f>
        <v>181.48750847119263</v>
      </c>
      <c r="T10" s="59">
        <f>'TR TE'!$T$10*'TR TE'!$T$49</f>
        <v>3.0026457250278589</v>
      </c>
      <c r="U10" s="59">
        <f>'TR TE'!$U$10*'TR TE'!$U$49</f>
        <v>2.090458385801055</v>
      </c>
      <c r="V10" s="59">
        <f>'TR TE'!$V$10*'TR TE'!$V$49</f>
        <v>0</v>
      </c>
      <c r="W10" s="59">
        <f>SUM($T$10:$V$10)</f>
        <v>5.0931041108289143</v>
      </c>
      <c r="X10" s="59"/>
      <c r="Y10" s="59">
        <f>SUM($X$10:$X$10)</f>
        <v>0</v>
      </c>
      <c r="Z10" s="59">
        <f>'TR TE'!$Z$10*'TR TE'!$Z$49</f>
        <v>4.0406108729328638</v>
      </c>
      <c r="AA10" s="59">
        <f>SUM($Z$10:$Z$10)</f>
        <v>4.0406108729328638</v>
      </c>
      <c r="AB10" s="59">
        <f>SUMIF($L$4:$AA$4,"SUBTOTAL",$L$10:$AA$10)</f>
        <v>208.18633175084142</v>
      </c>
    </row>
    <row r="11" spans="1:28" ht="11.25" customHeight="1" x14ac:dyDescent="0.25">
      <c r="A11" s="153"/>
      <c r="B11" s="153" t="s">
        <v>77</v>
      </c>
      <c r="C11" s="153" t="s">
        <v>24</v>
      </c>
      <c r="D11" s="61" t="s">
        <v>24</v>
      </c>
      <c r="E11" s="61" t="s">
        <v>25</v>
      </c>
      <c r="F11" s="61" t="s">
        <v>25</v>
      </c>
      <c r="G11" s="62" t="s">
        <v>78</v>
      </c>
      <c r="H11" s="62" t="s">
        <v>74</v>
      </c>
      <c r="I11" s="62">
        <f>'MERCADO TE'!$U$8</f>
        <v>67923.810000000012</v>
      </c>
      <c r="J11" s="15"/>
      <c r="L11" s="59">
        <f>'TR TE'!$L$11*'TR TE'!$L$49</f>
        <v>2.2270727891309043</v>
      </c>
      <c r="M11" s="59">
        <f>'TR TE'!$M$11*'TR TE'!$M$49</f>
        <v>27.930064924409766</v>
      </c>
      <c r="N11" s="59">
        <f>'TR TE'!$N$11*'TR TE'!$N$49</f>
        <v>0</v>
      </c>
      <c r="O11" s="59">
        <f>'TR TE'!$O$11*'TR TE'!$O$49</f>
        <v>0</v>
      </c>
      <c r="P11" s="59">
        <f>'TR TE'!$P$11*'TR TE'!$P$49</f>
        <v>-12.592029417653638</v>
      </c>
      <c r="Q11" s="59">
        <f>SUM($L$11:$P$11)</f>
        <v>17.565108295887033</v>
      </c>
      <c r="R11" s="59">
        <f>'TR TE'!$R$11*'TR TE'!$R$49</f>
        <v>192.3767589794642</v>
      </c>
      <c r="S11" s="59">
        <f>SUM($R$11:$R$11)</f>
        <v>192.3767589794642</v>
      </c>
      <c r="T11" s="59">
        <f>'TR TE'!$T$11*'TR TE'!$T$49</f>
        <v>3.0026457250278589</v>
      </c>
      <c r="U11" s="59">
        <f>'TR TE'!$U$11*'TR TE'!$U$49</f>
        <v>2.090458385801055</v>
      </c>
      <c r="V11" s="59">
        <f>'TR TE'!$V$11*'TR TE'!$V$49</f>
        <v>0</v>
      </c>
      <c r="W11" s="59">
        <f>SUM($T$11:$V$11)</f>
        <v>5.0931041108289143</v>
      </c>
      <c r="X11" s="59"/>
      <c r="Y11" s="59">
        <f>SUM($X$11:$X$11)</f>
        <v>0</v>
      </c>
      <c r="Z11" s="59">
        <f>'TR TE'!$Z$11*'TR TE'!$Z$49</f>
        <v>4.0406108729328638</v>
      </c>
      <c r="AA11" s="59">
        <f>SUM($Z$11:$Z$11)</f>
        <v>4.0406108729328638</v>
      </c>
      <c r="AB11" s="59">
        <f>SUMIF($L$4:$AA$4,"SUBTOTAL",$L$11:$AA$11)</f>
        <v>219.07558225911299</v>
      </c>
    </row>
    <row r="12" spans="1:28" ht="11.25" customHeight="1" x14ac:dyDescent="0.25">
      <c r="A12" s="153"/>
      <c r="B12" s="153"/>
      <c r="C12" s="153"/>
      <c r="D12" s="61" t="s">
        <v>29</v>
      </c>
      <c r="E12" s="61" t="s">
        <v>25</v>
      </c>
      <c r="F12" s="61" t="s">
        <v>25</v>
      </c>
      <c r="G12" s="62" t="s">
        <v>78</v>
      </c>
      <c r="H12" s="62" t="s">
        <v>74</v>
      </c>
      <c r="I12" s="62">
        <f>'MERCADO TE'!$U$9</f>
        <v>515.52700000000004</v>
      </c>
      <c r="J12" s="15"/>
      <c r="L12" s="59">
        <f>'TR TE'!$L$12*'TR TE'!$L$49</f>
        <v>2.2270727891309043</v>
      </c>
      <c r="M12" s="59">
        <f>'TR TE'!$M$12*'TR TE'!$M$49</f>
        <v>27.930064924409766</v>
      </c>
      <c r="N12" s="59">
        <f>'TR TE'!$N$12*'TR TE'!$N$49</f>
        <v>0</v>
      </c>
      <c r="O12" s="59">
        <f>'TR TE'!$O$12*'TR TE'!$O$49</f>
        <v>0</v>
      </c>
      <c r="P12" s="59">
        <f>'TR TE'!$P$12*'TR TE'!$P$49</f>
        <v>-12.592029417653638</v>
      </c>
      <c r="Q12" s="59">
        <f>SUM($L$12:$P$12)</f>
        <v>17.565108295887033</v>
      </c>
      <c r="R12" s="59">
        <f>'TR TE'!$R$12*'TR TE'!$R$49</f>
        <v>192.3767589794642</v>
      </c>
      <c r="S12" s="59">
        <f>SUM($R$12:$R$12)</f>
        <v>192.3767589794642</v>
      </c>
      <c r="T12" s="59">
        <f>'TR TE'!$T$12*'TR TE'!$T$49</f>
        <v>3.0026457250278589</v>
      </c>
      <c r="U12" s="59">
        <f>'TR TE'!$U$12*'TR TE'!$U$49</f>
        <v>2.090458385801055</v>
      </c>
      <c r="V12" s="59">
        <f>'TR TE'!$V$12*'TR TE'!$V$49</f>
        <v>0</v>
      </c>
      <c r="W12" s="59">
        <f>SUM($T$12:$V$12)</f>
        <v>5.0931041108289143</v>
      </c>
      <c r="X12" s="59"/>
      <c r="Y12" s="59">
        <f>SUM($X$12:$X$12)</f>
        <v>0</v>
      </c>
      <c r="Z12" s="59">
        <f>'TR TE'!$Z$12*'TR TE'!$Z$49</f>
        <v>4.0406108729328638</v>
      </c>
      <c r="AA12" s="59">
        <f>SUM($Z$12:$Z$12)</f>
        <v>4.0406108729328638</v>
      </c>
      <c r="AB12" s="59">
        <f>SUMIF($L$4:$AA$4,"SUBTOTAL",$L$12:$AA$12)</f>
        <v>219.07558225911299</v>
      </c>
    </row>
    <row r="13" spans="1:28" ht="11.25" customHeight="1" x14ac:dyDescent="0.25">
      <c r="A13" s="153"/>
      <c r="B13" s="153"/>
      <c r="C13" s="153"/>
      <c r="D13" s="61" t="s">
        <v>30</v>
      </c>
      <c r="E13" s="61" t="s">
        <v>25</v>
      </c>
      <c r="F13" s="61" t="s">
        <v>25</v>
      </c>
      <c r="G13" s="62" t="s">
        <v>78</v>
      </c>
      <c r="H13" s="62" t="s">
        <v>74</v>
      </c>
      <c r="I13" s="62">
        <f>'MERCADO TE'!$U$10</f>
        <v>1078.232</v>
      </c>
      <c r="J13" s="15"/>
      <c r="L13" s="59">
        <f>'TR TE'!$L$13*'TR TE'!$L$49</f>
        <v>2.2270727891309043</v>
      </c>
      <c r="M13" s="59">
        <f>'TR TE'!$M$13*'TR TE'!$M$49</f>
        <v>27.930064924409766</v>
      </c>
      <c r="N13" s="59">
        <f>'TR TE'!$N$13*'TR TE'!$N$49</f>
        <v>0</v>
      </c>
      <c r="O13" s="59">
        <f>'TR TE'!$O$13*'TR TE'!$O$49</f>
        <v>0</v>
      </c>
      <c r="P13" s="59">
        <f>'TR TE'!$P$13*'TR TE'!$P$49</f>
        <v>-12.592029417653638</v>
      </c>
      <c r="Q13" s="59">
        <f>SUM($L$13:$P$13)</f>
        <v>17.565108295887033</v>
      </c>
      <c r="R13" s="59">
        <f>'TR TE'!$R$13*'TR TE'!$R$49</f>
        <v>192.3767589794642</v>
      </c>
      <c r="S13" s="59">
        <f>SUM($R$13:$R$13)</f>
        <v>192.3767589794642</v>
      </c>
      <c r="T13" s="59">
        <f>'TR TE'!$T$13*'TR TE'!$T$49</f>
        <v>3.0026457250278589</v>
      </c>
      <c r="U13" s="59">
        <f>'TR TE'!$U$13*'TR TE'!$U$49</f>
        <v>2.090458385801055</v>
      </c>
      <c r="V13" s="59">
        <f>'TR TE'!$V$13*'TR TE'!$V$49</f>
        <v>0</v>
      </c>
      <c r="W13" s="59">
        <f>SUM($T$13:$V$13)</f>
        <v>5.0931041108289143</v>
      </c>
      <c r="X13" s="59"/>
      <c r="Y13" s="59">
        <f>SUM($X$13:$X$13)</f>
        <v>0</v>
      </c>
      <c r="Z13" s="59">
        <f>'TR TE'!$Z$13*'TR TE'!$Z$49</f>
        <v>4.0406108729328638</v>
      </c>
      <c r="AA13" s="59">
        <f>SUM($Z$13:$Z$13)</f>
        <v>4.0406108729328638</v>
      </c>
      <c r="AB13" s="59">
        <f>SUMIF($L$4:$AA$4,"SUBTOTAL",$L$13:$AA$13)</f>
        <v>219.07558225911299</v>
      </c>
    </row>
    <row r="14" spans="1:28" ht="11.25" customHeight="1" x14ac:dyDescent="0.25">
      <c r="A14" s="153"/>
      <c r="B14" s="153"/>
      <c r="C14" s="153"/>
      <c r="D14" s="61" t="s">
        <v>31</v>
      </c>
      <c r="E14" s="61" t="s">
        <v>25</v>
      </c>
      <c r="F14" s="61" t="s">
        <v>25</v>
      </c>
      <c r="G14" s="62" t="s">
        <v>78</v>
      </c>
      <c r="H14" s="62" t="s">
        <v>74</v>
      </c>
      <c r="I14" s="62">
        <f>'MERCADO TE'!$U$11</f>
        <v>1111.8500000000001</v>
      </c>
      <c r="J14" s="15"/>
      <c r="L14" s="59">
        <f>'TR TE'!$L$14*'TR TE'!$L$49</f>
        <v>2.2270727891309043</v>
      </c>
      <c r="M14" s="59">
        <f>'TR TE'!$M$14*'TR TE'!$M$49</f>
        <v>27.930064924409766</v>
      </c>
      <c r="N14" s="59">
        <f>'TR TE'!$N$14*'TR TE'!$N$49</f>
        <v>0</v>
      </c>
      <c r="O14" s="59">
        <f>'TR TE'!$O$14*'TR TE'!$O$49</f>
        <v>0</v>
      </c>
      <c r="P14" s="59">
        <f>'TR TE'!$P$14*'TR TE'!$P$49</f>
        <v>-12.592029417653638</v>
      </c>
      <c r="Q14" s="59">
        <f>SUM($L$14:$P$14)</f>
        <v>17.565108295887033</v>
      </c>
      <c r="R14" s="59">
        <f>'TR TE'!$R$14*'TR TE'!$R$49</f>
        <v>192.3767589794642</v>
      </c>
      <c r="S14" s="59">
        <f>SUM($R$14:$R$14)</f>
        <v>192.3767589794642</v>
      </c>
      <c r="T14" s="59">
        <f>'TR TE'!$T$14*'TR TE'!$T$49</f>
        <v>3.0026457250278589</v>
      </c>
      <c r="U14" s="59">
        <f>'TR TE'!$U$14*'TR TE'!$U$49</f>
        <v>2.090458385801055</v>
      </c>
      <c r="V14" s="59">
        <f>'TR TE'!$V$14*'TR TE'!$V$49</f>
        <v>0</v>
      </c>
      <c r="W14" s="59">
        <f>SUM($T$14:$V$14)</f>
        <v>5.0931041108289143</v>
      </c>
      <c r="X14" s="59"/>
      <c r="Y14" s="59">
        <f>SUM($X$14:$X$14)</f>
        <v>0</v>
      </c>
      <c r="Z14" s="59">
        <f>'TR TE'!$Z$14*'TR TE'!$Z$49</f>
        <v>4.0406108729328638</v>
      </c>
      <c r="AA14" s="59">
        <f>SUM($Z$14:$Z$14)</f>
        <v>4.0406108729328638</v>
      </c>
      <c r="AB14" s="59">
        <f>SUMIF($L$4:$AA$4,"SUBTOTAL",$L$14:$AA$14)</f>
        <v>219.07558225911299</v>
      </c>
    </row>
    <row r="15" spans="1:28" ht="11.25" customHeight="1" x14ac:dyDescent="0.25">
      <c r="A15" s="153"/>
      <c r="B15" s="153"/>
      <c r="C15" s="153"/>
      <c r="D15" s="61" t="s">
        <v>32</v>
      </c>
      <c r="E15" s="61" t="s">
        <v>25</v>
      </c>
      <c r="F15" s="61" t="s">
        <v>25</v>
      </c>
      <c r="G15" s="62" t="s">
        <v>78</v>
      </c>
      <c r="H15" s="62" t="s">
        <v>74</v>
      </c>
      <c r="I15" s="62">
        <f>'MERCADO TE'!$U$12</f>
        <v>453.86500000000007</v>
      </c>
      <c r="J15" s="15"/>
      <c r="L15" s="59">
        <f>'TR TE'!$L$15*'TR TE'!$L$49</f>
        <v>2.2270727891309043</v>
      </c>
      <c r="M15" s="59">
        <f>'TR TE'!$M$15*'TR TE'!$M$49</f>
        <v>27.930064924409766</v>
      </c>
      <c r="N15" s="59">
        <f>'TR TE'!$N$15*'TR TE'!$N$49</f>
        <v>0</v>
      </c>
      <c r="O15" s="59">
        <f>'TR TE'!$O$15*'TR TE'!$O$49</f>
        <v>0</v>
      </c>
      <c r="P15" s="59">
        <f>'TR TE'!$P$15*'TR TE'!$P$49</f>
        <v>-12.592029417653638</v>
      </c>
      <c r="Q15" s="59">
        <f>SUM($L$15:$P$15)</f>
        <v>17.565108295887033</v>
      </c>
      <c r="R15" s="59">
        <f>'TR TE'!$R$15*'TR TE'!$R$49</f>
        <v>192.3767589794642</v>
      </c>
      <c r="S15" s="59">
        <f>SUM($R$15:$R$15)</f>
        <v>192.3767589794642</v>
      </c>
      <c r="T15" s="59">
        <f>'TR TE'!$T$15*'TR TE'!$T$49</f>
        <v>3.0026457250278589</v>
      </c>
      <c r="U15" s="59">
        <f>'TR TE'!$U$15*'TR TE'!$U$49</f>
        <v>2.090458385801055</v>
      </c>
      <c r="V15" s="59">
        <f>'TR TE'!$V$15*'TR TE'!$V$49</f>
        <v>0</v>
      </c>
      <c r="W15" s="59">
        <f>SUM($T$15:$V$15)</f>
        <v>5.0931041108289143</v>
      </c>
      <c r="X15" s="59"/>
      <c r="Y15" s="59">
        <f>SUM($X$15:$X$15)</f>
        <v>0</v>
      </c>
      <c r="Z15" s="59">
        <f>'TR TE'!$Z$15*'TR TE'!$Z$49</f>
        <v>4.0406108729328638</v>
      </c>
      <c r="AA15" s="59">
        <f>SUM($Z$15:$Z$15)</f>
        <v>4.0406108729328638</v>
      </c>
      <c r="AB15" s="59">
        <f>SUMIF($L$4:$AA$4,"SUBTOTAL",$L$15:$AA$15)</f>
        <v>219.07558225911299</v>
      </c>
    </row>
    <row r="16" spans="1:28" ht="11.25" customHeight="1" x14ac:dyDescent="0.25">
      <c r="A16" s="153"/>
      <c r="B16" s="153" t="s">
        <v>88</v>
      </c>
      <c r="C16" s="153" t="s">
        <v>24</v>
      </c>
      <c r="D16" s="61" t="s">
        <v>24</v>
      </c>
      <c r="E16" s="61" t="s">
        <v>25</v>
      </c>
      <c r="F16" s="61" t="s">
        <v>25</v>
      </c>
      <c r="G16" s="62" t="s">
        <v>78</v>
      </c>
      <c r="H16" s="62" t="s">
        <v>74</v>
      </c>
      <c r="I16" s="62">
        <f>'MERCADO TE'!$U$13</f>
        <v>0</v>
      </c>
      <c r="J16" s="15"/>
      <c r="L16" s="59">
        <f>'TR TE'!$L$16*'TR TE'!$L$49</f>
        <v>2.2270727891309043</v>
      </c>
      <c r="M16" s="59">
        <f>'TR TE'!$M$16*'TR TE'!$M$49</f>
        <v>27.930064924409766</v>
      </c>
      <c r="N16" s="59">
        <f>'TR TE'!$N$16*'TR TE'!$N$49</f>
        <v>0</v>
      </c>
      <c r="O16" s="59">
        <f>'TR TE'!$O$16*'TR TE'!$O$49</f>
        <v>0</v>
      </c>
      <c r="P16" s="59">
        <f>'TR TE'!$P$16*'TR TE'!$P$49</f>
        <v>-12.592029417653638</v>
      </c>
      <c r="Q16" s="59">
        <f>SUM($L$16:$P$16)</f>
        <v>17.565108295887033</v>
      </c>
      <c r="R16" s="59">
        <f>'TR TE'!$R$16*'TR TE'!$R$49</f>
        <v>192.3767589794642</v>
      </c>
      <c r="S16" s="59">
        <f>SUM($R$16:$R$16)</f>
        <v>192.3767589794642</v>
      </c>
      <c r="T16" s="59">
        <f>'TR TE'!$T$16*'TR TE'!$T$49</f>
        <v>3.0026457250278589</v>
      </c>
      <c r="U16" s="59">
        <f>'TR TE'!$U$16*'TR TE'!$U$49</f>
        <v>2.090458385801055</v>
      </c>
      <c r="V16" s="59">
        <f>'TR TE'!$V$16*'TR TE'!$V$49</f>
        <v>0</v>
      </c>
      <c r="W16" s="59">
        <f>SUM($T$16:$V$16)</f>
        <v>5.0931041108289143</v>
      </c>
      <c r="X16" s="59"/>
      <c r="Y16" s="59">
        <f>SUM($X$16:$X$16)</f>
        <v>0</v>
      </c>
      <c r="Z16" s="59">
        <f>'TR TE'!$Z$16*'TR TE'!$Z$49</f>
        <v>4.0406108729328638</v>
      </c>
      <c r="AA16" s="59">
        <f>SUM($Z$16:$Z$16)</f>
        <v>4.0406108729328638</v>
      </c>
      <c r="AB16" s="59">
        <f>SUMIF($L$4:$AA$4,"SUBTOTAL",$L$16:$AA$16)</f>
        <v>219.07558225911299</v>
      </c>
    </row>
    <row r="17" spans="1:28" ht="11.25" customHeight="1" x14ac:dyDescent="0.25">
      <c r="A17" s="153"/>
      <c r="B17" s="153"/>
      <c r="C17" s="153"/>
      <c r="D17" s="61" t="s">
        <v>29</v>
      </c>
      <c r="E17" s="61" t="s">
        <v>25</v>
      </c>
      <c r="F17" s="61" t="s">
        <v>25</v>
      </c>
      <c r="G17" s="62" t="s">
        <v>78</v>
      </c>
      <c r="H17" s="62" t="s">
        <v>74</v>
      </c>
      <c r="I17" s="62">
        <f>'MERCADO TE'!$U$14</f>
        <v>0</v>
      </c>
      <c r="J17" s="15"/>
      <c r="L17" s="59">
        <f>'TR TE'!$L$17*'TR TE'!$L$49</f>
        <v>2.2270727891309043</v>
      </c>
      <c r="M17" s="59">
        <f>'TR TE'!$M$17*'TR TE'!$M$49</f>
        <v>27.930064924409766</v>
      </c>
      <c r="N17" s="59">
        <f>'TR TE'!$N$17*'TR TE'!$N$49</f>
        <v>0</v>
      </c>
      <c r="O17" s="59">
        <f>'TR TE'!$O$17*'TR TE'!$O$49</f>
        <v>0</v>
      </c>
      <c r="P17" s="59">
        <f>'TR TE'!$P$17*'TR TE'!$P$49</f>
        <v>-12.592029417653638</v>
      </c>
      <c r="Q17" s="59">
        <f>SUM($L$17:$P$17)</f>
        <v>17.565108295887033</v>
      </c>
      <c r="R17" s="59">
        <f>'TR TE'!$R$17*'TR TE'!$R$49</f>
        <v>192.3767589794642</v>
      </c>
      <c r="S17" s="59">
        <f>SUM($R$17:$R$17)</f>
        <v>192.3767589794642</v>
      </c>
      <c r="T17" s="59">
        <f>'TR TE'!$T$17*'TR TE'!$T$49</f>
        <v>3.0026457250278589</v>
      </c>
      <c r="U17" s="59">
        <f>'TR TE'!$U$17*'TR TE'!$U$49</f>
        <v>2.090458385801055</v>
      </c>
      <c r="V17" s="59">
        <f>'TR TE'!$V$17*'TR TE'!$V$49</f>
        <v>0</v>
      </c>
      <c r="W17" s="59">
        <f>SUM($T$17:$V$17)</f>
        <v>5.0931041108289143</v>
      </c>
      <c r="X17" s="59"/>
      <c r="Y17" s="59">
        <f>SUM($X$17:$X$17)</f>
        <v>0</v>
      </c>
      <c r="Z17" s="59">
        <f>'TR TE'!$Z$17*'TR TE'!$Z$49</f>
        <v>4.0406108729328638</v>
      </c>
      <c r="AA17" s="59">
        <f>SUM($Z$17:$Z$17)</f>
        <v>4.0406108729328638</v>
      </c>
      <c r="AB17" s="59">
        <f>SUMIF($L$4:$AA$4,"SUBTOTAL",$L$17:$AA$17)</f>
        <v>219.07558225911299</v>
      </c>
    </row>
    <row r="18" spans="1:28" ht="11.25" customHeight="1" x14ac:dyDescent="0.25">
      <c r="A18" s="153"/>
      <c r="B18" s="153"/>
      <c r="C18" s="153"/>
      <c r="D18" s="61" t="s">
        <v>30</v>
      </c>
      <c r="E18" s="61" t="s">
        <v>25</v>
      </c>
      <c r="F18" s="61" t="s">
        <v>25</v>
      </c>
      <c r="G18" s="62" t="s">
        <v>78</v>
      </c>
      <c r="H18" s="62" t="s">
        <v>74</v>
      </c>
      <c r="I18" s="62">
        <f>'MERCADO TE'!$U$15</f>
        <v>0</v>
      </c>
      <c r="J18" s="15"/>
      <c r="L18" s="59">
        <f>'TR TE'!$L$18*'TR TE'!$L$49</f>
        <v>2.2270727891309043</v>
      </c>
      <c r="M18" s="59">
        <f>'TR TE'!$M$18*'TR TE'!$M$49</f>
        <v>27.930064924409766</v>
      </c>
      <c r="N18" s="59">
        <f>'TR TE'!$N$18*'TR TE'!$N$49</f>
        <v>0</v>
      </c>
      <c r="O18" s="59">
        <f>'TR TE'!$O$18*'TR TE'!$O$49</f>
        <v>0</v>
      </c>
      <c r="P18" s="59">
        <f>'TR TE'!$P$18*'TR TE'!$P$49</f>
        <v>-12.592029417653638</v>
      </c>
      <c r="Q18" s="59">
        <f>SUM($L$18:$P$18)</f>
        <v>17.565108295887033</v>
      </c>
      <c r="R18" s="59">
        <f>'TR TE'!$R$18*'TR TE'!$R$49</f>
        <v>192.3767589794642</v>
      </c>
      <c r="S18" s="59">
        <f>SUM($R$18:$R$18)</f>
        <v>192.3767589794642</v>
      </c>
      <c r="T18" s="59">
        <f>'TR TE'!$T$18*'TR TE'!$T$49</f>
        <v>3.0026457250278589</v>
      </c>
      <c r="U18" s="59">
        <f>'TR TE'!$U$18*'TR TE'!$U$49</f>
        <v>2.090458385801055</v>
      </c>
      <c r="V18" s="59">
        <f>'TR TE'!$V$18*'TR TE'!$V$49</f>
        <v>0</v>
      </c>
      <c r="W18" s="59">
        <f>SUM($T$18:$V$18)</f>
        <v>5.0931041108289143</v>
      </c>
      <c r="X18" s="59"/>
      <c r="Y18" s="59">
        <f>SUM($X$18:$X$18)</f>
        <v>0</v>
      </c>
      <c r="Z18" s="59">
        <f>'TR TE'!$Z$18*'TR TE'!$Z$49</f>
        <v>4.0406108729328638</v>
      </c>
      <c r="AA18" s="59">
        <f>SUM($Z$18:$Z$18)</f>
        <v>4.0406108729328638</v>
      </c>
      <c r="AB18" s="59">
        <f>SUMIF($L$4:$AA$4,"SUBTOTAL",$L$18:$AA$18)</f>
        <v>219.07558225911299</v>
      </c>
    </row>
    <row r="19" spans="1:28" ht="11.25" customHeight="1" x14ac:dyDescent="0.25">
      <c r="A19" s="153"/>
      <c r="B19" s="153"/>
      <c r="C19" s="153"/>
      <c r="D19" s="61" t="s">
        <v>31</v>
      </c>
      <c r="E19" s="61" t="s">
        <v>25</v>
      </c>
      <c r="F19" s="61" t="s">
        <v>25</v>
      </c>
      <c r="G19" s="62" t="s">
        <v>78</v>
      </c>
      <c r="H19" s="62" t="s">
        <v>74</v>
      </c>
      <c r="I19" s="62">
        <f>'MERCADO TE'!$U$16</f>
        <v>0</v>
      </c>
      <c r="J19" s="15"/>
      <c r="L19" s="59">
        <f>'TR TE'!$L$19*'TR TE'!$L$49</f>
        <v>2.2270727891309043</v>
      </c>
      <c r="M19" s="59">
        <f>'TR TE'!$M$19*'TR TE'!$M$49</f>
        <v>27.930064924409766</v>
      </c>
      <c r="N19" s="59">
        <f>'TR TE'!$N$19*'TR TE'!$N$49</f>
        <v>0</v>
      </c>
      <c r="O19" s="59">
        <f>'TR TE'!$O$19*'TR TE'!$O$49</f>
        <v>0</v>
      </c>
      <c r="P19" s="59">
        <f>'TR TE'!$P$19*'TR TE'!$P$49</f>
        <v>-12.592029417653638</v>
      </c>
      <c r="Q19" s="59">
        <f>SUM($L$19:$P$19)</f>
        <v>17.565108295887033</v>
      </c>
      <c r="R19" s="59">
        <f>'TR TE'!$R$19*'TR TE'!$R$49</f>
        <v>192.3767589794642</v>
      </c>
      <c r="S19" s="59">
        <f>SUM($R$19:$R$19)</f>
        <v>192.3767589794642</v>
      </c>
      <c r="T19" s="59">
        <f>'TR TE'!$T$19*'TR TE'!$T$49</f>
        <v>3.0026457250278589</v>
      </c>
      <c r="U19" s="59">
        <f>'TR TE'!$U$19*'TR TE'!$U$49</f>
        <v>2.090458385801055</v>
      </c>
      <c r="V19" s="59">
        <f>'TR TE'!$V$19*'TR TE'!$V$49</f>
        <v>0</v>
      </c>
      <c r="W19" s="59">
        <f>SUM($T$19:$V$19)</f>
        <v>5.0931041108289143</v>
      </c>
      <c r="X19" s="59"/>
      <c r="Y19" s="59">
        <f>SUM($X$19:$X$19)</f>
        <v>0</v>
      </c>
      <c r="Z19" s="59">
        <f>'TR TE'!$Z$19*'TR TE'!$Z$49</f>
        <v>4.0406108729328638</v>
      </c>
      <c r="AA19" s="59">
        <f>SUM($Z$19:$Z$19)</f>
        <v>4.0406108729328638</v>
      </c>
      <c r="AB19" s="59">
        <f>SUMIF($L$4:$AA$4,"SUBTOTAL",$L$19:$AA$19)</f>
        <v>219.07558225911299</v>
      </c>
    </row>
    <row r="20" spans="1:28" ht="11.25" customHeight="1" x14ac:dyDescent="0.25">
      <c r="A20" s="153"/>
      <c r="B20" s="153"/>
      <c r="C20" s="153"/>
      <c r="D20" s="61" t="s">
        <v>32</v>
      </c>
      <c r="E20" s="61" t="s">
        <v>25</v>
      </c>
      <c r="F20" s="61" t="s">
        <v>25</v>
      </c>
      <c r="G20" s="62" t="s">
        <v>78</v>
      </c>
      <c r="H20" s="62" t="s">
        <v>74</v>
      </c>
      <c r="I20" s="62">
        <f>'MERCADO TE'!$U$17</f>
        <v>0</v>
      </c>
      <c r="J20" s="15"/>
      <c r="L20" s="59">
        <f>'TR TE'!$L$20*'TR TE'!$L$49</f>
        <v>2.2270727891309043</v>
      </c>
      <c r="M20" s="59">
        <f>'TR TE'!$M$20*'TR TE'!$M$49</f>
        <v>27.930064924409766</v>
      </c>
      <c r="N20" s="59">
        <f>'TR TE'!$N$20*'TR TE'!$N$49</f>
        <v>0</v>
      </c>
      <c r="O20" s="59">
        <f>'TR TE'!$O$20*'TR TE'!$O$49</f>
        <v>0</v>
      </c>
      <c r="P20" s="59">
        <f>'TR TE'!$P$20*'TR TE'!$P$49</f>
        <v>-12.592029417653638</v>
      </c>
      <c r="Q20" s="59">
        <f>SUM($L$20:$P$20)</f>
        <v>17.565108295887033</v>
      </c>
      <c r="R20" s="59">
        <f>'TR TE'!$R$20*'TR TE'!$R$49</f>
        <v>192.3767589794642</v>
      </c>
      <c r="S20" s="59">
        <f>SUM($R$20:$R$20)</f>
        <v>192.3767589794642</v>
      </c>
      <c r="T20" s="59">
        <f>'TR TE'!$T$20*'TR TE'!$T$49</f>
        <v>3.0026457250278589</v>
      </c>
      <c r="U20" s="59">
        <f>'TR TE'!$U$20*'TR TE'!$U$49</f>
        <v>2.090458385801055</v>
      </c>
      <c r="V20" s="59">
        <f>'TR TE'!$V$20*'TR TE'!$V$49</f>
        <v>0</v>
      </c>
      <c r="W20" s="59">
        <f>SUM($T$20:$V$20)</f>
        <v>5.0931041108289143</v>
      </c>
      <c r="X20" s="59"/>
      <c r="Y20" s="59">
        <f>SUM($X$20:$X$20)</f>
        <v>0</v>
      </c>
      <c r="Z20" s="59">
        <f>'TR TE'!$Z$20*'TR TE'!$Z$49</f>
        <v>4.0406108729328638</v>
      </c>
      <c r="AA20" s="59">
        <f>SUM($Z$20:$Z$20)</f>
        <v>4.0406108729328638</v>
      </c>
      <c r="AB20" s="59">
        <f>SUMIF($L$4:$AA$4,"SUBTOTAL",$L$20:$AA$20)</f>
        <v>219.07558225911299</v>
      </c>
    </row>
    <row r="21" spans="1:28" ht="11.25" customHeight="1" x14ac:dyDescent="0.25">
      <c r="A21" s="153" t="s">
        <v>41</v>
      </c>
      <c r="B21" s="153" t="s">
        <v>73</v>
      </c>
      <c r="C21" s="153" t="s">
        <v>42</v>
      </c>
      <c r="D21" s="153" t="s">
        <v>25</v>
      </c>
      <c r="E21" s="153" t="s">
        <v>25</v>
      </c>
      <c r="F21" s="153" t="s">
        <v>25</v>
      </c>
      <c r="G21" s="62" t="s">
        <v>75</v>
      </c>
      <c r="H21" s="62" t="s">
        <v>74</v>
      </c>
      <c r="I21" s="62">
        <f>'MERCADO TE'!$U$18</f>
        <v>0</v>
      </c>
      <c r="J21" s="15"/>
      <c r="L21" s="59">
        <f>'TR TE'!$L$21*'TR TE'!$L$49</f>
        <v>2.2270727891309043</v>
      </c>
      <c r="M21" s="59">
        <f>'TR TE'!$M$21*'TR TE'!$M$49</f>
        <v>27.930064924409766</v>
      </c>
      <c r="N21" s="59">
        <f>'TR TE'!$N$21*'TR TE'!$N$49</f>
        <v>0</v>
      </c>
      <c r="O21" s="59">
        <f>'TR TE'!$O$21*'TR TE'!$O$49</f>
        <v>0</v>
      </c>
      <c r="P21" s="59">
        <f>'TR TE'!$P$21*'TR TE'!$P$49</f>
        <v>-12.592029417653638</v>
      </c>
      <c r="Q21" s="59">
        <f>SUM($L$21:$P$21)</f>
        <v>17.565108295887033</v>
      </c>
      <c r="R21" s="59">
        <f>'TR TE'!$R$21*'TR TE'!$R$49</f>
        <v>312.1585145704513</v>
      </c>
      <c r="S21" s="59">
        <f>SUM($R$21:$R$21)</f>
        <v>312.1585145704513</v>
      </c>
      <c r="T21" s="59">
        <f>'TR TE'!$T$21*'TR TE'!$T$49</f>
        <v>3.0026457250278589</v>
      </c>
      <c r="U21" s="59">
        <f>'TR TE'!$U$21*'TR TE'!$U$49</f>
        <v>2.090458385801055</v>
      </c>
      <c r="V21" s="59">
        <f>'TR TE'!$V$21*'TR TE'!$V$49</f>
        <v>0</v>
      </c>
      <c r="W21" s="59">
        <f>SUM($T$21:$V$21)</f>
        <v>5.0931041108289143</v>
      </c>
      <c r="X21" s="59"/>
      <c r="Y21" s="59">
        <f>SUM($X$21:$X$21)</f>
        <v>0</v>
      </c>
      <c r="Z21" s="59">
        <f>'TR TE'!$Z$21*'TR TE'!$Z$49</f>
        <v>4.0406108729328638</v>
      </c>
      <c r="AA21" s="59">
        <f>SUM($Z$21:$Z$21)</f>
        <v>4.0406108729328638</v>
      </c>
      <c r="AB21" s="59">
        <f>SUMIF($L$4:$AA$4,"SUBTOTAL",$L$21:$AA$21)</f>
        <v>338.85733785010012</v>
      </c>
    </row>
    <row r="22" spans="1:28" ht="11.25" customHeight="1" x14ac:dyDescent="0.25">
      <c r="A22" s="153"/>
      <c r="B22" s="153"/>
      <c r="C22" s="153"/>
      <c r="D22" s="153"/>
      <c r="E22" s="153"/>
      <c r="F22" s="153"/>
      <c r="G22" s="62" t="s">
        <v>87</v>
      </c>
      <c r="H22" s="62" t="s">
        <v>74</v>
      </c>
      <c r="I22" s="62">
        <f>'MERCADO TE'!$U$19</f>
        <v>0</v>
      </c>
      <c r="J22" s="15"/>
      <c r="L22" s="59">
        <f>'TR TE'!$L$22*'TR TE'!$L$49</f>
        <v>2.2270727891309043</v>
      </c>
      <c r="M22" s="59">
        <f>'TR TE'!$M$22*'TR TE'!$M$49</f>
        <v>27.930064924409766</v>
      </c>
      <c r="N22" s="59">
        <f>'TR TE'!$N$22*'TR TE'!$N$49</f>
        <v>0</v>
      </c>
      <c r="O22" s="59">
        <f>'TR TE'!$O$22*'TR TE'!$O$49</f>
        <v>0</v>
      </c>
      <c r="P22" s="59">
        <f>'TR TE'!$P$22*'TR TE'!$P$49</f>
        <v>-12.592029417653638</v>
      </c>
      <c r="Q22" s="59">
        <f>SUM($L$22:$P$22)</f>
        <v>17.565108295887033</v>
      </c>
      <c r="R22" s="59">
        <f>'TR TE'!$R$22*'TR TE'!$R$49</f>
        <v>181.48750847119263</v>
      </c>
      <c r="S22" s="59">
        <f>SUM($R$22:$R$22)</f>
        <v>181.48750847119263</v>
      </c>
      <c r="T22" s="59">
        <f>'TR TE'!$T$22*'TR TE'!$T$49</f>
        <v>3.0026457250278589</v>
      </c>
      <c r="U22" s="59">
        <f>'TR TE'!$U$22*'TR TE'!$U$49</f>
        <v>2.090458385801055</v>
      </c>
      <c r="V22" s="59">
        <f>'TR TE'!$V$22*'TR TE'!$V$49</f>
        <v>0</v>
      </c>
      <c r="W22" s="59">
        <f>SUM($T$22:$V$22)</f>
        <v>5.0931041108289143</v>
      </c>
      <c r="X22" s="59"/>
      <c r="Y22" s="59">
        <f>SUM($X$22:$X$22)</f>
        <v>0</v>
      </c>
      <c r="Z22" s="59">
        <f>'TR TE'!$Z$22*'TR TE'!$Z$49</f>
        <v>4.0406108729328638</v>
      </c>
      <c r="AA22" s="59">
        <f>SUM($Z$22:$Z$22)</f>
        <v>4.0406108729328638</v>
      </c>
      <c r="AB22" s="59">
        <f>SUMIF($L$4:$AA$4,"SUBTOTAL",$L$22:$AA$22)</f>
        <v>208.18633175084142</v>
      </c>
    </row>
    <row r="23" spans="1:28" ht="11.25" customHeight="1" x14ac:dyDescent="0.25">
      <c r="A23" s="153"/>
      <c r="B23" s="153"/>
      <c r="C23" s="153"/>
      <c r="D23" s="153"/>
      <c r="E23" s="153"/>
      <c r="F23" s="153"/>
      <c r="G23" s="62" t="s">
        <v>76</v>
      </c>
      <c r="H23" s="62" t="s">
        <v>74</v>
      </c>
      <c r="I23" s="62">
        <f>'MERCADO TE'!$U$20</f>
        <v>0</v>
      </c>
      <c r="J23" s="15"/>
      <c r="L23" s="59">
        <f>'TR TE'!$L$23*'TR TE'!$L$49</f>
        <v>2.2270727891309043</v>
      </c>
      <c r="M23" s="59">
        <f>'TR TE'!$M$23*'TR TE'!$M$49</f>
        <v>27.930064924409766</v>
      </c>
      <c r="N23" s="59">
        <f>'TR TE'!$N$23*'TR TE'!$N$49</f>
        <v>0</v>
      </c>
      <c r="O23" s="59">
        <f>'TR TE'!$O$23*'TR TE'!$O$49</f>
        <v>0</v>
      </c>
      <c r="P23" s="59">
        <f>'TR TE'!$P$23*'TR TE'!$P$49</f>
        <v>-12.592029417653638</v>
      </c>
      <c r="Q23" s="59">
        <f>SUM($L$23:$P$23)</f>
        <v>17.565108295887033</v>
      </c>
      <c r="R23" s="59">
        <f>'TR TE'!$R$23*'TR TE'!$R$49</f>
        <v>181.48750847119263</v>
      </c>
      <c r="S23" s="59">
        <f>SUM($R$23:$R$23)</f>
        <v>181.48750847119263</v>
      </c>
      <c r="T23" s="59">
        <f>'TR TE'!$T$23*'TR TE'!$T$49</f>
        <v>3.0026457250278589</v>
      </c>
      <c r="U23" s="59">
        <f>'TR TE'!$U$23*'TR TE'!$U$49</f>
        <v>2.090458385801055</v>
      </c>
      <c r="V23" s="59">
        <f>'TR TE'!$V$23*'TR TE'!$V$49</f>
        <v>0</v>
      </c>
      <c r="W23" s="59">
        <f>SUM($T$23:$V$23)</f>
        <v>5.0931041108289143</v>
      </c>
      <c r="X23" s="59"/>
      <c r="Y23" s="59">
        <f>SUM($X$23:$X$23)</f>
        <v>0</v>
      </c>
      <c r="Z23" s="59">
        <f>'TR TE'!$Z$23*'TR TE'!$Z$49</f>
        <v>4.0406108729328638</v>
      </c>
      <c r="AA23" s="59">
        <f>SUM($Z$23:$Z$23)</f>
        <v>4.0406108729328638</v>
      </c>
      <c r="AB23" s="59">
        <f>SUMIF($L$4:$AA$4,"SUBTOTAL",$L$23:$AA$23)</f>
        <v>208.18633175084142</v>
      </c>
    </row>
    <row r="24" spans="1:28" ht="11.25" customHeight="1" x14ac:dyDescent="0.25">
      <c r="A24" s="153"/>
      <c r="B24" s="61" t="s">
        <v>77</v>
      </c>
      <c r="C24" s="61" t="s">
        <v>42</v>
      </c>
      <c r="D24" s="61" t="s">
        <v>25</v>
      </c>
      <c r="E24" s="61" t="s">
        <v>25</v>
      </c>
      <c r="F24" s="61" t="s">
        <v>25</v>
      </c>
      <c r="G24" s="62" t="s">
        <v>78</v>
      </c>
      <c r="H24" s="62" t="s">
        <v>74</v>
      </c>
      <c r="I24" s="62">
        <f>'MERCADO TE'!$U$21</f>
        <v>11721.666999999998</v>
      </c>
      <c r="J24" s="15"/>
      <c r="L24" s="59">
        <f>'TR TE'!$L$24*'TR TE'!$L$49</f>
        <v>2.2270727891309043</v>
      </c>
      <c r="M24" s="59">
        <f>'TR TE'!$M$24*'TR TE'!$M$49</f>
        <v>27.930064924409766</v>
      </c>
      <c r="N24" s="59">
        <f>'TR TE'!$N$24*'TR TE'!$N$49</f>
        <v>0</v>
      </c>
      <c r="O24" s="59">
        <f>'TR TE'!$O$24*'TR TE'!$O$49</f>
        <v>0</v>
      </c>
      <c r="P24" s="59">
        <f>'TR TE'!$P$24*'TR TE'!$P$49</f>
        <v>-12.592029417653638</v>
      </c>
      <c r="Q24" s="59">
        <f>SUM($L$24:$P$24)</f>
        <v>17.565108295887033</v>
      </c>
      <c r="R24" s="59">
        <f>'TR TE'!$R$24*'TR TE'!$R$49</f>
        <v>192.3767589794642</v>
      </c>
      <c r="S24" s="59">
        <f>SUM($R$24:$R$24)</f>
        <v>192.3767589794642</v>
      </c>
      <c r="T24" s="59">
        <f>'TR TE'!$T$24*'TR TE'!$T$49</f>
        <v>3.0026457250278589</v>
      </c>
      <c r="U24" s="59">
        <f>'TR TE'!$U$24*'TR TE'!$U$49</f>
        <v>2.090458385801055</v>
      </c>
      <c r="V24" s="59">
        <f>'TR TE'!$V$24*'TR TE'!$V$49</f>
        <v>0</v>
      </c>
      <c r="W24" s="59">
        <f>SUM($T$24:$V$24)</f>
        <v>5.0931041108289143</v>
      </c>
      <c r="X24" s="59"/>
      <c r="Y24" s="59">
        <f>SUM($X$24:$X$24)</f>
        <v>0</v>
      </c>
      <c r="Z24" s="59">
        <f>'TR TE'!$Z$24*'TR TE'!$Z$49</f>
        <v>4.0406108729328638</v>
      </c>
      <c r="AA24" s="59">
        <f>SUM($Z$24:$Z$24)</f>
        <v>4.0406108729328638</v>
      </c>
      <c r="AB24" s="59">
        <f>SUMIF($L$4:$AA$4,"SUBTOTAL",$L$24:$AA$24)</f>
        <v>219.07558225911299</v>
      </c>
    </row>
    <row r="25" spans="1:28" ht="11.25" customHeight="1" x14ac:dyDescent="0.25">
      <c r="A25" s="153"/>
      <c r="B25" s="153" t="s">
        <v>73</v>
      </c>
      <c r="C25" s="153" t="s">
        <v>42</v>
      </c>
      <c r="D25" s="153" t="s">
        <v>90</v>
      </c>
      <c r="E25" s="153" t="s">
        <v>25</v>
      </c>
      <c r="F25" s="153" t="s">
        <v>25</v>
      </c>
      <c r="G25" s="62" t="s">
        <v>75</v>
      </c>
      <c r="H25" s="62" t="s">
        <v>74</v>
      </c>
      <c r="I25" s="62">
        <f>'MERCADO TE'!$U$22</f>
        <v>0</v>
      </c>
      <c r="J25" s="15"/>
      <c r="L25" s="59">
        <f>'TR TE'!$L$25*'TR TE'!$L$49</f>
        <v>2.2270727891309043</v>
      </c>
      <c r="M25" s="59">
        <f>'TR TE'!$M$25*'TR TE'!$M$49</f>
        <v>27.930064924409766</v>
      </c>
      <c r="N25" s="59">
        <f>'TR TE'!$N$25*'TR TE'!$N$49</f>
        <v>0</v>
      </c>
      <c r="O25" s="59">
        <f>'TR TE'!$O$25*'TR TE'!$O$49</f>
        <v>0</v>
      </c>
      <c r="P25" s="59">
        <f>'TR TE'!$P$25*'TR TE'!$P$49</f>
        <v>-12.592029417653638</v>
      </c>
      <c r="Q25" s="59">
        <f>SUM($L$25:$P$25)</f>
        <v>17.565108295887033</v>
      </c>
      <c r="R25" s="59">
        <f>'TR TE'!$R$25*'TR TE'!$R$49</f>
        <v>312.1585145704513</v>
      </c>
      <c r="S25" s="59">
        <f>SUM($R$25:$R$25)</f>
        <v>312.1585145704513</v>
      </c>
      <c r="T25" s="59">
        <f>'TR TE'!$T$25*'TR TE'!$T$49</f>
        <v>3.0026457250278589</v>
      </c>
      <c r="U25" s="59">
        <f>'TR TE'!$U$25*'TR TE'!$U$49</f>
        <v>2.090458385801055</v>
      </c>
      <c r="V25" s="59">
        <f>'TR TE'!$V$25*'TR TE'!$V$49</f>
        <v>0</v>
      </c>
      <c r="W25" s="59">
        <f>SUM($T$25:$V$25)</f>
        <v>5.0931041108289143</v>
      </c>
      <c r="X25" s="59"/>
      <c r="Y25" s="59">
        <f>SUM($X$25:$X$25)</f>
        <v>0</v>
      </c>
      <c r="Z25" s="59">
        <f>'TR TE'!$Z$25*'TR TE'!$Z$49</f>
        <v>4.0406108729328638</v>
      </c>
      <c r="AA25" s="59">
        <f>SUM($Z$25:$Z$25)</f>
        <v>4.0406108729328638</v>
      </c>
      <c r="AB25" s="59">
        <f>SUMIF($L$4:$AA$4,"SUBTOTAL",$L$25:$AA$25)</f>
        <v>338.85733785010012</v>
      </c>
    </row>
    <row r="26" spans="1:28" ht="11.25" customHeight="1" x14ac:dyDescent="0.25">
      <c r="A26" s="153"/>
      <c r="B26" s="153"/>
      <c r="C26" s="153"/>
      <c r="D26" s="153"/>
      <c r="E26" s="153"/>
      <c r="F26" s="153"/>
      <c r="G26" s="62" t="s">
        <v>87</v>
      </c>
      <c r="H26" s="62" t="s">
        <v>74</v>
      </c>
      <c r="I26" s="62">
        <f>'MERCADO TE'!$U$23</f>
        <v>0</v>
      </c>
      <c r="J26" s="15"/>
      <c r="L26" s="59">
        <f>'TR TE'!$L$26*'TR TE'!$L$49</f>
        <v>2.2270727891309043</v>
      </c>
      <c r="M26" s="59">
        <f>'TR TE'!$M$26*'TR TE'!$M$49</f>
        <v>27.930064924409766</v>
      </c>
      <c r="N26" s="59">
        <f>'TR TE'!$N$26*'TR TE'!$N$49</f>
        <v>0</v>
      </c>
      <c r="O26" s="59">
        <f>'TR TE'!$O$26*'TR TE'!$O$49</f>
        <v>0</v>
      </c>
      <c r="P26" s="59">
        <f>'TR TE'!$P$26*'TR TE'!$P$49</f>
        <v>-12.592029417653638</v>
      </c>
      <c r="Q26" s="59">
        <f>SUM($L$26:$P$26)</f>
        <v>17.565108295887033</v>
      </c>
      <c r="R26" s="59">
        <f>'TR TE'!$R$26*'TR TE'!$R$49</f>
        <v>181.48750847119263</v>
      </c>
      <c r="S26" s="59">
        <f>SUM($R$26:$R$26)</f>
        <v>181.48750847119263</v>
      </c>
      <c r="T26" s="59">
        <f>'TR TE'!$T$26*'TR TE'!$T$49</f>
        <v>3.0026457250278589</v>
      </c>
      <c r="U26" s="59">
        <f>'TR TE'!$U$26*'TR TE'!$U$49</f>
        <v>2.090458385801055</v>
      </c>
      <c r="V26" s="59">
        <f>'TR TE'!$V$26*'TR TE'!$V$49</f>
        <v>0</v>
      </c>
      <c r="W26" s="59">
        <f>SUM($T$26:$V$26)</f>
        <v>5.0931041108289143</v>
      </c>
      <c r="X26" s="59"/>
      <c r="Y26" s="59">
        <f>SUM($X$26:$X$26)</f>
        <v>0</v>
      </c>
      <c r="Z26" s="59">
        <f>'TR TE'!$Z$26*'TR TE'!$Z$49</f>
        <v>4.0406108729328638</v>
      </c>
      <c r="AA26" s="59">
        <f>SUM($Z$26:$Z$26)</f>
        <v>4.0406108729328638</v>
      </c>
      <c r="AB26" s="59">
        <f>SUMIF($L$4:$AA$4,"SUBTOTAL",$L$26:$AA$26)</f>
        <v>208.18633175084142</v>
      </c>
    </row>
    <row r="27" spans="1:28" ht="11.25" customHeight="1" x14ac:dyDescent="0.25">
      <c r="A27" s="153"/>
      <c r="B27" s="153"/>
      <c r="C27" s="153"/>
      <c r="D27" s="153"/>
      <c r="E27" s="153"/>
      <c r="F27" s="153"/>
      <c r="G27" s="62" t="s">
        <v>76</v>
      </c>
      <c r="H27" s="62" t="s">
        <v>74</v>
      </c>
      <c r="I27" s="62">
        <f>'MERCADO TE'!$U$24</f>
        <v>0</v>
      </c>
      <c r="J27" s="15"/>
      <c r="L27" s="59">
        <f>'TR TE'!$L$27*'TR TE'!$L$49</f>
        <v>2.2270727891309043</v>
      </c>
      <c r="M27" s="59">
        <f>'TR TE'!$M$27*'TR TE'!$M$49</f>
        <v>27.930064924409766</v>
      </c>
      <c r="N27" s="59">
        <f>'TR TE'!$N$27*'TR TE'!$N$49</f>
        <v>0</v>
      </c>
      <c r="O27" s="59">
        <f>'TR TE'!$O$27*'TR TE'!$O$49</f>
        <v>0</v>
      </c>
      <c r="P27" s="59">
        <f>'TR TE'!$P$27*'TR TE'!$P$49</f>
        <v>-12.592029417653638</v>
      </c>
      <c r="Q27" s="59">
        <f>SUM($L$27:$P$27)</f>
        <v>17.565108295887033</v>
      </c>
      <c r="R27" s="59">
        <f>'TR TE'!$R$27*'TR TE'!$R$49</f>
        <v>181.48750847119263</v>
      </c>
      <c r="S27" s="59">
        <f>SUM($R$27:$R$27)</f>
        <v>181.48750847119263</v>
      </c>
      <c r="T27" s="59">
        <f>'TR TE'!$T$27*'TR TE'!$T$49</f>
        <v>3.0026457250278589</v>
      </c>
      <c r="U27" s="59">
        <f>'TR TE'!$U$27*'TR TE'!$U$49</f>
        <v>2.090458385801055</v>
      </c>
      <c r="V27" s="59">
        <f>'TR TE'!$V$27*'TR TE'!$V$49</f>
        <v>0</v>
      </c>
      <c r="W27" s="59">
        <f>SUM($T$27:$V$27)</f>
        <v>5.0931041108289143</v>
      </c>
      <c r="X27" s="59"/>
      <c r="Y27" s="59">
        <f>SUM($X$27:$X$27)</f>
        <v>0</v>
      </c>
      <c r="Z27" s="59">
        <f>'TR TE'!$Z$27*'TR TE'!$Z$49</f>
        <v>4.0406108729328638</v>
      </c>
      <c r="AA27" s="59">
        <f>SUM($Z$27:$Z$27)</f>
        <v>4.0406108729328638</v>
      </c>
      <c r="AB27" s="59">
        <f>SUMIF($L$4:$AA$4,"SUBTOTAL",$L$27:$AA$27)</f>
        <v>208.18633175084142</v>
      </c>
    </row>
    <row r="28" spans="1:28" ht="11.25" customHeight="1" x14ac:dyDescent="0.25">
      <c r="A28" s="153"/>
      <c r="B28" s="61" t="s">
        <v>77</v>
      </c>
      <c r="C28" s="61" t="s">
        <v>42</v>
      </c>
      <c r="D28" s="61" t="s">
        <v>90</v>
      </c>
      <c r="E28" s="61" t="s">
        <v>25</v>
      </c>
      <c r="F28" s="61" t="s">
        <v>25</v>
      </c>
      <c r="G28" s="62" t="s">
        <v>78</v>
      </c>
      <c r="H28" s="62" t="s">
        <v>74</v>
      </c>
      <c r="I28" s="62">
        <f>'MERCADO TE'!$U$25</f>
        <v>0</v>
      </c>
      <c r="J28" s="15"/>
      <c r="L28" s="59">
        <f>'TR TE'!$L$28*'TR TE'!$L$49</f>
        <v>2.2270727891309043</v>
      </c>
      <c r="M28" s="59">
        <f>'TR TE'!$M$28*'TR TE'!$M$49</f>
        <v>27.930064924409766</v>
      </c>
      <c r="N28" s="59">
        <f>'TR TE'!$N$28*'TR TE'!$N$49</f>
        <v>0</v>
      </c>
      <c r="O28" s="59">
        <f>'TR TE'!$O$28*'TR TE'!$O$49</f>
        <v>0</v>
      </c>
      <c r="P28" s="59">
        <f>'TR TE'!$P$28*'TR TE'!$P$49</f>
        <v>-12.592029417653638</v>
      </c>
      <c r="Q28" s="59">
        <f>SUM($L$28:$P$28)</f>
        <v>17.565108295887033</v>
      </c>
      <c r="R28" s="59">
        <f>'TR TE'!$R$28*'TR TE'!$R$49</f>
        <v>192.3767589794642</v>
      </c>
      <c r="S28" s="59">
        <f>SUM($R$28:$R$28)</f>
        <v>192.3767589794642</v>
      </c>
      <c r="T28" s="59">
        <f>'TR TE'!$T$28*'TR TE'!$T$49</f>
        <v>3.0026457250278589</v>
      </c>
      <c r="U28" s="59">
        <f>'TR TE'!$U$28*'TR TE'!$U$49</f>
        <v>2.090458385801055</v>
      </c>
      <c r="V28" s="59">
        <f>'TR TE'!$V$28*'TR TE'!$V$49</f>
        <v>0</v>
      </c>
      <c r="W28" s="59">
        <f>SUM($T$28:$V$28)</f>
        <v>5.0931041108289143</v>
      </c>
      <c r="X28" s="59"/>
      <c r="Y28" s="59">
        <f>SUM($X$28:$X$28)</f>
        <v>0</v>
      </c>
      <c r="Z28" s="59">
        <f>'TR TE'!$Z$28*'TR TE'!$Z$49</f>
        <v>4.0406108729328638</v>
      </c>
      <c r="AA28" s="59">
        <f>SUM($Z$28:$Z$28)</f>
        <v>4.0406108729328638</v>
      </c>
      <c r="AB28" s="59">
        <f>SUMIF($L$4:$AA$4,"SUBTOTAL",$L$28:$AA$28)</f>
        <v>219.07558225911299</v>
      </c>
    </row>
    <row r="29" spans="1:28" ht="11.25" customHeight="1" x14ac:dyDescent="0.25">
      <c r="A29" s="153"/>
      <c r="B29" s="153" t="s">
        <v>73</v>
      </c>
      <c r="C29" s="153" t="s">
        <v>42</v>
      </c>
      <c r="D29" s="153" t="s">
        <v>91</v>
      </c>
      <c r="E29" s="153" t="s">
        <v>25</v>
      </c>
      <c r="F29" s="153" t="s">
        <v>25</v>
      </c>
      <c r="G29" s="62" t="s">
        <v>75</v>
      </c>
      <c r="H29" s="62" t="s">
        <v>74</v>
      </c>
      <c r="I29" s="62">
        <f>'MERCADO TE'!$U$26</f>
        <v>0</v>
      </c>
      <c r="J29" s="15"/>
      <c r="L29" s="59">
        <f>'TR TE'!$L$29*'TR TE'!$L$49</f>
        <v>2.2270727891309043</v>
      </c>
      <c r="M29" s="59">
        <f>'TR TE'!$M$29*'TR TE'!$M$49</f>
        <v>27.930064924409766</v>
      </c>
      <c r="N29" s="59">
        <f>'TR TE'!$N$29*'TR TE'!$N$49</f>
        <v>0</v>
      </c>
      <c r="O29" s="59">
        <f>'TR TE'!$O$29*'TR TE'!$O$49</f>
        <v>0</v>
      </c>
      <c r="P29" s="59">
        <f>'TR TE'!$P$29*'TR TE'!$P$49</f>
        <v>-12.592029417653638</v>
      </c>
      <c r="Q29" s="59">
        <f>SUM($L$29:$P$29)</f>
        <v>17.565108295887033</v>
      </c>
      <c r="R29" s="59">
        <f>'TR TE'!$R$29*'TR TE'!$R$49</f>
        <v>312.1585145704513</v>
      </c>
      <c r="S29" s="59">
        <f>SUM($R$29:$R$29)</f>
        <v>312.1585145704513</v>
      </c>
      <c r="T29" s="59">
        <f>'TR TE'!$T$29*'TR TE'!$T$49</f>
        <v>3.0026457250278589</v>
      </c>
      <c r="U29" s="59">
        <f>'TR TE'!$U$29*'TR TE'!$U$49</f>
        <v>2.090458385801055</v>
      </c>
      <c r="V29" s="59">
        <f>'TR TE'!$V$29*'TR TE'!$V$49</f>
        <v>0</v>
      </c>
      <c r="W29" s="59">
        <f>SUM($T$29:$V$29)</f>
        <v>5.0931041108289143</v>
      </c>
      <c r="X29" s="59"/>
      <c r="Y29" s="59">
        <f>SUM($X$29:$X$29)</f>
        <v>0</v>
      </c>
      <c r="Z29" s="59">
        <f>'TR TE'!$Z$29*'TR TE'!$Z$49</f>
        <v>4.0406108729328638</v>
      </c>
      <c r="AA29" s="59">
        <f>SUM($Z$29:$Z$29)</f>
        <v>4.0406108729328638</v>
      </c>
      <c r="AB29" s="59">
        <f>SUMIF($L$4:$AA$4,"SUBTOTAL",$L$29:$AA$29)</f>
        <v>338.85733785010012</v>
      </c>
    </row>
    <row r="30" spans="1:28" ht="11.25" customHeight="1" x14ac:dyDescent="0.25">
      <c r="A30" s="153"/>
      <c r="B30" s="153"/>
      <c r="C30" s="153"/>
      <c r="D30" s="153"/>
      <c r="E30" s="153"/>
      <c r="F30" s="153"/>
      <c r="G30" s="62" t="s">
        <v>87</v>
      </c>
      <c r="H30" s="62" t="s">
        <v>74</v>
      </c>
      <c r="I30" s="62">
        <f>'MERCADO TE'!$U$27</f>
        <v>0</v>
      </c>
      <c r="J30" s="15"/>
      <c r="L30" s="59">
        <f>'TR TE'!$L$30*'TR TE'!$L$49</f>
        <v>2.2270727891309043</v>
      </c>
      <c r="M30" s="59">
        <f>'TR TE'!$M$30*'TR TE'!$M$49</f>
        <v>27.930064924409766</v>
      </c>
      <c r="N30" s="59">
        <f>'TR TE'!$N$30*'TR TE'!$N$49</f>
        <v>0</v>
      </c>
      <c r="O30" s="59">
        <f>'TR TE'!$O$30*'TR TE'!$O$49</f>
        <v>0</v>
      </c>
      <c r="P30" s="59">
        <f>'TR TE'!$P$30*'TR TE'!$P$49</f>
        <v>-12.592029417653638</v>
      </c>
      <c r="Q30" s="59">
        <f>SUM($L$30:$P$30)</f>
        <v>17.565108295887033</v>
      </c>
      <c r="R30" s="59">
        <f>'TR TE'!$R$30*'TR TE'!$R$49</f>
        <v>181.48750847119263</v>
      </c>
      <c r="S30" s="59">
        <f>SUM($R$30:$R$30)</f>
        <v>181.48750847119263</v>
      </c>
      <c r="T30" s="59">
        <f>'TR TE'!$T$30*'TR TE'!$T$49</f>
        <v>3.0026457250278589</v>
      </c>
      <c r="U30" s="59">
        <f>'TR TE'!$U$30*'TR TE'!$U$49</f>
        <v>2.090458385801055</v>
      </c>
      <c r="V30" s="59">
        <f>'TR TE'!$V$30*'TR TE'!$V$49</f>
        <v>0</v>
      </c>
      <c r="W30" s="59">
        <f>SUM($T$30:$V$30)</f>
        <v>5.0931041108289143</v>
      </c>
      <c r="X30" s="59"/>
      <c r="Y30" s="59">
        <f>SUM($X$30:$X$30)</f>
        <v>0</v>
      </c>
      <c r="Z30" s="59">
        <f>'TR TE'!$Z$30*'TR TE'!$Z$49</f>
        <v>4.0406108729328638</v>
      </c>
      <c r="AA30" s="59">
        <f>SUM($Z$30:$Z$30)</f>
        <v>4.0406108729328638</v>
      </c>
      <c r="AB30" s="59">
        <f>SUMIF($L$4:$AA$4,"SUBTOTAL",$L$30:$AA$30)</f>
        <v>208.18633175084142</v>
      </c>
    </row>
    <row r="31" spans="1:28" ht="11.25" customHeight="1" x14ac:dyDescent="0.25">
      <c r="A31" s="153"/>
      <c r="B31" s="153"/>
      <c r="C31" s="153"/>
      <c r="D31" s="153"/>
      <c r="E31" s="153"/>
      <c r="F31" s="153"/>
      <c r="G31" s="62" t="s">
        <v>76</v>
      </c>
      <c r="H31" s="62" t="s">
        <v>74</v>
      </c>
      <c r="I31" s="62">
        <f>'MERCADO TE'!$U$28</f>
        <v>0</v>
      </c>
      <c r="J31" s="15"/>
      <c r="L31" s="59">
        <f>'TR TE'!$L$31*'TR TE'!$L$49</f>
        <v>2.2270727891309043</v>
      </c>
      <c r="M31" s="59">
        <f>'TR TE'!$M$31*'TR TE'!$M$49</f>
        <v>27.930064924409766</v>
      </c>
      <c r="N31" s="59">
        <f>'TR TE'!$N$31*'TR TE'!$N$49</f>
        <v>0</v>
      </c>
      <c r="O31" s="59">
        <f>'TR TE'!$O$31*'TR TE'!$O$49</f>
        <v>0</v>
      </c>
      <c r="P31" s="59">
        <f>'TR TE'!$P$31*'TR TE'!$P$49</f>
        <v>-12.592029417653638</v>
      </c>
      <c r="Q31" s="59">
        <f>SUM($L$31:$P$31)</f>
        <v>17.565108295887033</v>
      </c>
      <c r="R31" s="59">
        <f>'TR TE'!$R$31*'TR TE'!$R$49</f>
        <v>181.48750847119263</v>
      </c>
      <c r="S31" s="59">
        <f>SUM($R$31:$R$31)</f>
        <v>181.48750847119263</v>
      </c>
      <c r="T31" s="59">
        <f>'TR TE'!$T$31*'TR TE'!$T$49</f>
        <v>3.0026457250278589</v>
      </c>
      <c r="U31" s="59">
        <f>'TR TE'!$U$31*'TR TE'!$U$49</f>
        <v>2.090458385801055</v>
      </c>
      <c r="V31" s="59">
        <f>'TR TE'!$V$31*'TR TE'!$V$49</f>
        <v>0</v>
      </c>
      <c r="W31" s="59">
        <f>SUM($T$31:$V$31)</f>
        <v>5.0931041108289143</v>
      </c>
      <c r="X31" s="59"/>
      <c r="Y31" s="59">
        <f>SUM($X$31:$X$31)</f>
        <v>0</v>
      </c>
      <c r="Z31" s="59">
        <f>'TR TE'!$Z$31*'TR TE'!$Z$49</f>
        <v>4.0406108729328638</v>
      </c>
      <c r="AA31" s="59">
        <f>SUM($Z$31:$Z$31)</f>
        <v>4.0406108729328638</v>
      </c>
      <c r="AB31" s="59">
        <f>SUMIF($L$4:$AA$4,"SUBTOTAL",$L$31:$AA$31)</f>
        <v>208.18633175084142</v>
      </c>
    </row>
    <row r="32" spans="1:28" ht="11.25" customHeight="1" x14ac:dyDescent="0.25">
      <c r="A32" s="153"/>
      <c r="B32" s="61" t="s">
        <v>77</v>
      </c>
      <c r="C32" s="61" t="s">
        <v>42</v>
      </c>
      <c r="D32" s="61" t="s">
        <v>91</v>
      </c>
      <c r="E32" s="61" t="s">
        <v>25</v>
      </c>
      <c r="F32" s="61" t="s">
        <v>25</v>
      </c>
      <c r="G32" s="62" t="s">
        <v>78</v>
      </c>
      <c r="H32" s="62" t="s">
        <v>74</v>
      </c>
      <c r="I32" s="62">
        <f>'MERCADO TE'!$U$29</f>
        <v>0</v>
      </c>
      <c r="J32" s="15"/>
      <c r="L32" s="59">
        <f>'TR TE'!$L$32*'TR TE'!$L$49</f>
        <v>2.2270727891309043</v>
      </c>
      <c r="M32" s="59">
        <f>'TR TE'!$M$32*'TR TE'!$M$49</f>
        <v>27.930064924409766</v>
      </c>
      <c r="N32" s="59">
        <f>'TR TE'!$N$32*'TR TE'!$N$49</f>
        <v>0</v>
      </c>
      <c r="O32" s="59">
        <f>'TR TE'!$O$32*'TR TE'!$O$49</f>
        <v>0</v>
      </c>
      <c r="P32" s="59">
        <f>'TR TE'!$P$32*'TR TE'!$P$49</f>
        <v>-12.592029417653638</v>
      </c>
      <c r="Q32" s="59">
        <f>SUM($L$32:$P$32)</f>
        <v>17.565108295887033</v>
      </c>
      <c r="R32" s="59">
        <f>'TR TE'!$R$32*'TR TE'!$R$49</f>
        <v>192.3767589794642</v>
      </c>
      <c r="S32" s="59">
        <f>SUM($R$32:$R$32)</f>
        <v>192.3767589794642</v>
      </c>
      <c r="T32" s="59">
        <f>'TR TE'!$T$32*'TR TE'!$T$49</f>
        <v>3.0026457250278589</v>
      </c>
      <c r="U32" s="59">
        <f>'TR TE'!$U$32*'TR TE'!$U$49</f>
        <v>2.090458385801055</v>
      </c>
      <c r="V32" s="59">
        <f>'TR TE'!$V$32*'TR TE'!$V$49</f>
        <v>0</v>
      </c>
      <c r="W32" s="59">
        <f>SUM($T$32:$V$32)</f>
        <v>5.0931041108289143</v>
      </c>
      <c r="X32" s="59"/>
      <c r="Y32" s="59">
        <f>SUM($X$32:$X$32)</f>
        <v>0</v>
      </c>
      <c r="Z32" s="59">
        <f>'TR TE'!$Z$32*'TR TE'!$Z$49</f>
        <v>4.0406108729328638</v>
      </c>
      <c r="AA32" s="59">
        <f>SUM($Z$32:$Z$32)</f>
        <v>4.0406108729328638</v>
      </c>
      <c r="AB32" s="59">
        <f>SUMIF($L$4:$AA$4,"SUBTOTAL",$L$32:$AA$32)</f>
        <v>219.07558225911299</v>
      </c>
    </row>
    <row r="33" spans="1:28" ht="11.25" customHeight="1" x14ac:dyDescent="0.25">
      <c r="A33" s="153"/>
      <c r="B33" s="153" t="s">
        <v>88</v>
      </c>
      <c r="C33" s="153" t="s">
        <v>42</v>
      </c>
      <c r="D33" s="61" t="s">
        <v>25</v>
      </c>
      <c r="E33" s="61" t="s">
        <v>25</v>
      </c>
      <c r="F33" s="61" t="s">
        <v>25</v>
      </c>
      <c r="G33" s="62" t="s">
        <v>78</v>
      </c>
      <c r="H33" s="62" t="s">
        <v>74</v>
      </c>
      <c r="I33" s="62">
        <f>'MERCADO TE'!$U$30</f>
        <v>0</v>
      </c>
      <c r="J33" s="15"/>
      <c r="L33" s="59">
        <f>'TR TE'!$L$33*'TR TE'!$L$49</f>
        <v>2.2270727891309043</v>
      </c>
      <c r="M33" s="59">
        <f>'TR TE'!$M$33*'TR TE'!$M$49</f>
        <v>27.930064924409766</v>
      </c>
      <c r="N33" s="59">
        <f>'TR TE'!$N$33*'TR TE'!$N$49</f>
        <v>0</v>
      </c>
      <c r="O33" s="59">
        <f>'TR TE'!$O$33*'TR TE'!$O$49</f>
        <v>0</v>
      </c>
      <c r="P33" s="59">
        <f>'TR TE'!$P$33*'TR TE'!$P$49</f>
        <v>-12.592029417653638</v>
      </c>
      <c r="Q33" s="59">
        <f>SUM($L$33:$P$33)</f>
        <v>17.565108295887033</v>
      </c>
      <c r="R33" s="59">
        <f>'TR TE'!$R$33*'TR TE'!$R$49</f>
        <v>192.3767589794642</v>
      </c>
      <c r="S33" s="59">
        <f>SUM($R$33:$R$33)</f>
        <v>192.3767589794642</v>
      </c>
      <c r="T33" s="59">
        <f>'TR TE'!$T$33*'TR TE'!$T$49</f>
        <v>3.0026457250278589</v>
      </c>
      <c r="U33" s="59">
        <f>'TR TE'!$U$33*'TR TE'!$U$49</f>
        <v>2.090458385801055</v>
      </c>
      <c r="V33" s="59">
        <f>'TR TE'!$V$33*'TR TE'!$V$49</f>
        <v>0</v>
      </c>
      <c r="W33" s="59">
        <f>SUM($T$33:$V$33)</f>
        <v>5.0931041108289143</v>
      </c>
      <c r="X33" s="59"/>
      <c r="Y33" s="59">
        <f>SUM($X$33:$X$33)</f>
        <v>0</v>
      </c>
      <c r="Z33" s="59">
        <f>'TR TE'!$Z$33*'TR TE'!$Z$49</f>
        <v>4.0406108729328638</v>
      </c>
      <c r="AA33" s="59">
        <f>SUM($Z$33:$Z$33)</f>
        <v>4.0406108729328638</v>
      </c>
      <c r="AB33" s="59">
        <f>SUMIF($L$4:$AA$4,"SUBTOTAL",$L$33:$AA$33)</f>
        <v>219.07558225911299</v>
      </c>
    </row>
    <row r="34" spans="1:28" ht="11.25" customHeight="1" x14ac:dyDescent="0.25">
      <c r="A34" s="153"/>
      <c r="B34" s="153"/>
      <c r="C34" s="153"/>
      <c r="D34" s="61" t="s">
        <v>90</v>
      </c>
      <c r="E34" s="61" t="s">
        <v>25</v>
      </c>
      <c r="F34" s="61" t="s">
        <v>25</v>
      </c>
      <c r="G34" s="62" t="s">
        <v>78</v>
      </c>
      <c r="H34" s="62" t="s">
        <v>74</v>
      </c>
      <c r="I34" s="62">
        <f>'MERCADO TE'!$U$31</f>
        <v>0</v>
      </c>
      <c r="J34" s="15"/>
      <c r="L34" s="59">
        <f>'TR TE'!$L$34*'TR TE'!$L$49</f>
        <v>2.2270727891309043</v>
      </c>
      <c r="M34" s="59">
        <f>'TR TE'!$M$34*'TR TE'!$M$49</f>
        <v>27.930064924409766</v>
      </c>
      <c r="N34" s="59">
        <f>'TR TE'!$N$34*'TR TE'!$N$49</f>
        <v>0</v>
      </c>
      <c r="O34" s="59">
        <f>'TR TE'!$O$34*'TR TE'!$O$49</f>
        <v>0</v>
      </c>
      <c r="P34" s="59">
        <f>'TR TE'!$P$34*'TR TE'!$P$49</f>
        <v>-12.592029417653638</v>
      </c>
      <c r="Q34" s="59">
        <f>SUM($L$34:$P$34)</f>
        <v>17.565108295887033</v>
      </c>
      <c r="R34" s="59">
        <f>'TR TE'!$R$34*'TR TE'!$R$49</f>
        <v>192.3767589794642</v>
      </c>
      <c r="S34" s="59">
        <f>SUM($R$34:$R$34)</f>
        <v>192.3767589794642</v>
      </c>
      <c r="T34" s="59">
        <f>'TR TE'!$T$34*'TR TE'!$T$49</f>
        <v>3.0026457250278589</v>
      </c>
      <c r="U34" s="59">
        <f>'TR TE'!$U$34*'TR TE'!$U$49</f>
        <v>2.090458385801055</v>
      </c>
      <c r="V34" s="59">
        <f>'TR TE'!$V$34*'TR TE'!$V$49</f>
        <v>0</v>
      </c>
      <c r="W34" s="59">
        <f>SUM($T$34:$V$34)</f>
        <v>5.0931041108289143</v>
      </c>
      <c r="X34" s="59"/>
      <c r="Y34" s="59">
        <f>SUM($X$34:$X$34)</f>
        <v>0</v>
      </c>
      <c r="Z34" s="59">
        <f>'TR TE'!$Z$34*'TR TE'!$Z$49</f>
        <v>4.0406108729328638</v>
      </c>
      <c r="AA34" s="59">
        <f>SUM($Z$34:$Z$34)</f>
        <v>4.0406108729328638</v>
      </c>
      <c r="AB34" s="59">
        <f>SUMIF($L$4:$AA$4,"SUBTOTAL",$L$34:$AA$34)</f>
        <v>219.07558225911299</v>
      </c>
    </row>
    <row r="35" spans="1:28" ht="11.25" customHeight="1" x14ac:dyDescent="0.25">
      <c r="A35" s="153"/>
      <c r="B35" s="153"/>
      <c r="C35" s="153"/>
      <c r="D35" s="61" t="s">
        <v>91</v>
      </c>
      <c r="E35" s="61" t="s">
        <v>25</v>
      </c>
      <c r="F35" s="61" t="s">
        <v>25</v>
      </c>
      <c r="G35" s="62" t="s">
        <v>78</v>
      </c>
      <c r="H35" s="62" t="s">
        <v>74</v>
      </c>
      <c r="I35" s="62">
        <f>'MERCADO TE'!$U$32</f>
        <v>0</v>
      </c>
      <c r="J35" s="15"/>
      <c r="L35" s="59">
        <f>'TR TE'!$L$35*'TR TE'!$L$49</f>
        <v>2.2270727891309043</v>
      </c>
      <c r="M35" s="59">
        <f>'TR TE'!$M$35*'TR TE'!$M$49</f>
        <v>27.930064924409766</v>
      </c>
      <c r="N35" s="59">
        <f>'TR TE'!$N$35*'TR TE'!$N$49</f>
        <v>0</v>
      </c>
      <c r="O35" s="59">
        <f>'TR TE'!$O$35*'TR TE'!$O$49</f>
        <v>0</v>
      </c>
      <c r="P35" s="59">
        <f>'TR TE'!$P$35*'TR TE'!$P$49</f>
        <v>-12.592029417653638</v>
      </c>
      <c r="Q35" s="59">
        <f>SUM($L$35:$P$35)</f>
        <v>17.565108295887033</v>
      </c>
      <c r="R35" s="59">
        <f>'TR TE'!$R$35*'TR TE'!$R$49</f>
        <v>192.3767589794642</v>
      </c>
      <c r="S35" s="59">
        <f>SUM($R$35:$R$35)</f>
        <v>192.3767589794642</v>
      </c>
      <c r="T35" s="59">
        <f>'TR TE'!$T$35*'TR TE'!$T$49</f>
        <v>3.0026457250278589</v>
      </c>
      <c r="U35" s="59">
        <f>'TR TE'!$U$35*'TR TE'!$U$49</f>
        <v>2.090458385801055</v>
      </c>
      <c r="V35" s="59">
        <f>'TR TE'!$V$35*'TR TE'!$V$49</f>
        <v>0</v>
      </c>
      <c r="W35" s="59">
        <f>SUM($T$35:$V$35)</f>
        <v>5.0931041108289143</v>
      </c>
      <c r="X35" s="59"/>
      <c r="Y35" s="59">
        <f>SUM($X$35:$X$35)</f>
        <v>0</v>
      </c>
      <c r="Z35" s="59">
        <f>'TR TE'!$Z$35*'TR TE'!$Z$49</f>
        <v>4.0406108729328638</v>
      </c>
      <c r="AA35" s="59">
        <f>SUM($Z$35:$Z$35)</f>
        <v>4.0406108729328638</v>
      </c>
      <c r="AB35" s="59">
        <f>SUMIF($L$4:$AA$4,"SUBTOTAL",$L$35:$AA$35)</f>
        <v>219.07558225911299</v>
      </c>
    </row>
    <row r="36" spans="1:28" ht="11.25" customHeight="1" x14ac:dyDescent="0.25">
      <c r="A36" s="153" t="s">
        <v>33</v>
      </c>
      <c r="B36" s="153" t="s">
        <v>73</v>
      </c>
      <c r="C36" s="153" t="s">
        <v>25</v>
      </c>
      <c r="D36" s="153" t="s">
        <v>25</v>
      </c>
      <c r="E36" s="153" t="s">
        <v>25</v>
      </c>
      <c r="F36" s="153" t="s">
        <v>25</v>
      </c>
      <c r="G36" s="62" t="s">
        <v>75</v>
      </c>
      <c r="H36" s="62" t="s">
        <v>74</v>
      </c>
      <c r="I36" s="62">
        <f>'MERCADO TE'!$U$33</f>
        <v>1.1399999999999999</v>
      </c>
      <c r="J36" s="15"/>
      <c r="L36" s="59">
        <f>'TR TE'!$L$36*'TR TE'!$L$49</f>
        <v>2.2270727891309043</v>
      </c>
      <c r="M36" s="59">
        <f>'TR TE'!$M$36*'TR TE'!$M$49</f>
        <v>27.930064924409766</v>
      </c>
      <c r="N36" s="59">
        <f>'TR TE'!$N$36*'TR TE'!$N$49</f>
        <v>0</v>
      </c>
      <c r="O36" s="59">
        <f>'TR TE'!$O$36*'TR TE'!$O$49</f>
        <v>0</v>
      </c>
      <c r="P36" s="59">
        <f>'TR TE'!$P$36*'TR TE'!$P$49</f>
        <v>-12.592029417653638</v>
      </c>
      <c r="Q36" s="59">
        <f>SUM($L$36:$P$36)</f>
        <v>17.565108295887033</v>
      </c>
      <c r="R36" s="59">
        <f>'TR TE'!$R$36*'TR TE'!$R$49</f>
        <v>312.1585145704513</v>
      </c>
      <c r="S36" s="59">
        <f>SUM($R$36:$R$36)</f>
        <v>312.1585145704513</v>
      </c>
      <c r="T36" s="59">
        <f>'TR TE'!$T$36*'TR TE'!$T$49</f>
        <v>3.0026457250278589</v>
      </c>
      <c r="U36" s="59">
        <f>'TR TE'!$U$36*'TR TE'!$U$49</f>
        <v>2.090458385801055</v>
      </c>
      <c r="V36" s="59">
        <f>'TR TE'!$V$36*'TR TE'!$V$49</f>
        <v>0</v>
      </c>
      <c r="W36" s="59">
        <f>SUM($T$36:$V$36)</f>
        <v>5.0931041108289143</v>
      </c>
      <c r="X36" s="59"/>
      <c r="Y36" s="59">
        <f>SUM($X$36:$X$36)</f>
        <v>0</v>
      </c>
      <c r="Z36" s="59">
        <f>'TR TE'!$Z$36*'TR TE'!$Z$49</f>
        <v>4.0406108729328638</v>
      </c>
      <c r="AA36" s="59">
        <f>SUM($Z$36:$Z$36)</f>
        <v>4.0406108729328638</v>
      </c>
      <c r="AB36" s="59">
        <f>SUMIF($L$4:$AA$4,"SUBTOTAL",$L$36:$AA$36)</f>
        <v>338.85733785010012</v>
      </c>
    </row>
    <row r="37" spans="1:28" ht="11.25" customHeight="1" x14ac:dyDescent="0.25">
      <c r="A37" s="153"/>
      <c r="B37" s="153"/>
      <c r="C37" s="153"/>
      <c r="D37" s="153"/>
      <c r="E37" s="153"/>
      <c r="F37" s="153"/>
      <c r="G37" s="62" t="s">
        <v>87</v>
      </c>
      <c r="H37" s="62" t="s">
        <v>74</v>
      </c>
      <c r="I37" s="62">
        <f>'MERCADO TE'!$U$34</f>
        <v>1.5340000000000003</v>
      </c>
      <c r="J37" s="15"/>
      <c r="L37" s="59">
        <f>'TR TE'!$L$37*'TR TE'!$L$49</f>
        <v>2.2270727891309043</v>
      </c>
      <c r="M37" s="59">
        <f>'TR TE'!$M$37*'TR TE'!$M$49</f>
        <v>27.930064924409766</v>
      </c>
      <c r="N37" s="59">
        <f>'TR TE'!$N$37*'TR TE'!$N$49</f>
        <v>0</v>
      </c>
      <c r="O37" s="59">
        <f>'TR TE'!$O$37*'TR TE'!$O$49</f>
        <v>0</v>
      </c>
      <c r="P37" s="59">
        <f>'TR TE'!$P$37*'TR TE'!$P$49</f>
        <v>-12.592029417653638</v>
      </c>
      <c r="Q37" s="59">
        <f>SUM($L$37:$P$37)</f>
        <v>17.565108295887033</v>
      </c>
      <c r="R37" s="59">
        <f>'TR TE'!$R$37*'TR TE'!$R$49</f>
        <v>181.48750847119263</v>
      </c>
      <c r="S37" s="59">
        <f>SUM($R$37:$R$37)</f>
        <v>181.48750847119263</v>
      </c>
      <c r="T37" s="59">
        <f>'TR TE'!$T$37*'TR TE'!$T$49</f>
        <v>3.0026457250278589</v>
      </c>
      <c r="U37" s="59">
        <f>'TR TE'!$U$37*'TR TE'!$U$49</f>
        <v>2.090458385801055</v>
      </c>
      <c r="V37" s="59">
        <f>'TR TE'!$V$37*'TR TE'!$V$49</f>
        <v>0</v>
      </c>
      <c r="W37" s="59">
        <f>SUM($T$37:$V$37)</f>
        <v>5.0931041108289143</v>
      </c>
      <c r="X37" s="59"/>
      <c r="Y37" s="59">
        <f>SUM($X$37:$X$37)</f>
        <v>0</v>
      </c>
      <c r="Z37" s="59">
        <f>'TR TE'!$Z$37*'TR TE'!$Z$49</f>
        <v>4.0406108729328638</v>
      </c>
      <c r="AA37" s="59">
        <f>SUM($Z$37:$Z$37)</f>
        <v>4.0406108729328638</v>
      </c>
      <c r="AB37" s="59">
        <f>SUMIF($L$4:$AA$4,"SUBTOTAL",$L$37:$AA$37)</f>
        <v>208.18633175084142</v>
      </c>
    </row>
    <row r="38" spans="1:28" ht="11.25" customHeight="1" x14ac:dyDescent="0.25">
      <c r="A38" s="153"/>
      <c r="B38" s="153"/>
      <c r="C38" s="153"/>
      <c r="D38" s="153"/>
      <c r="E38" s="153"/>
      <c r="F38" s="153"/>
      <c r="G38" s="62" t="s">
        <v>76</v>
      </c>
      <c r="H38" s="62" t="s">
        <v>74</v>
      </c>
      <c r="I38" s="62">
        <f>'MERCADO TE'!$U$35</f>
        <v>27.193000000000005</v>
      </c>
      <c r="J38" s="15"/>
      <c r="L38" s="59">
        <f>'TR TE'!$L$38*'TR TE'!$L$49</f>
        <v>2.2270727891309043</v>
      </c>
      <c r="M38" s="59">
        <f>'TR TE'!$M$38*'TR TE'!$M$49</f>
        <v>27.930064924409766</v>
      </c>
      <c r="N38" s="59">
        <f>'TR TE'!$N$38*'TR TE'!$N$49</f>
        <v>0</v>
      </c>
      <c r="O38" s="59">
        <f>'TR TE'!$O$38*'TR TE'!$O$49</f>
        <v>0</v>
      </c>
      <c r="P38" s="59">
        <f>'TR TE'!$P$38*'TR TE'!$P$49</f>
        <v>-12.592029417653638</v>
      </c>
      <c r="Q38" s="59">
        <f>SUM($L$38:$P$38)</f>
        <v>17.565108295887033</v>
      </c>
      <c r="R38" s="59">
        <f>'TR TE'!$R$38*'TR TE'!$R$49</f>
        <v>181.48750847119263</v>
      </c>
      <c r="S38" s="59">
        <f>SUM($R$38:$R$38)</f>
        <v>181.48750847119263</v>
      </c>
      <c r="T38" s="59">
        <f>'TR TE'!$T$38*'TR TE'!$T$49</f>
        <v>3.0026457250278589</v>
      </c>
      <c r="U38" s="59">
        <f>'TR TE'!$U$38*'TR TE'!$U$49</f>
        <v>2.090458385801055</v>
      </c>
      <c r="V38" s="59">
        <f>'TR TE'!$V$38*'TR TE'!$V$49</f>
        <v>0</v>
      </c>
      <c r="W38" s="59">
        <f>SUM($T$38:$V$38)</f>
        <v>5.0931041108289143</v>
      </c>
      <c r="X38" s="59"/>
      <c r="Y38" s="59">
        <f>SUM($X$38:$X$38)</f>
        <v>0</v>
      </c>
      <c r="Z38" s="59">
        <f>'TR TE'!$Z$38*'TR TE'!$Z$49</f>
        <v>4.0406108729328638</v>
      </c>
      <c r="AA38" s="59">
        <f>SUM($Z$38:$Z$38)</f>
        <v>4.0406108729328638</v>
      </c>
      <c r="AB38" s="59">
        <f>SUMIF($L$4:$AA$4,"SUBTOTAL",$L$38:$AA$38)</f>
        <v>208.18633175084142</v>
      </c>
    </row>
    <row r="39" spans="1:28" ht="11.25" customHeight="1" x14ac:dyDescent="0.25">
      <c r="A39" s="153"/>
      <c r="B39" s="61" t="s">
        <v>77</v>
      </c>
      <c r="C39" s="61" t="s">
        <v>25</v>
      </c>
      <c r="D39" s="61" t="s">
        <v>25</v>
      </c>
      <c r="E39" s="61" t="s">
        <v>25</v>
      </c>
      <c r="F39" s="61" t="s">
        <v>25</v>
      </c>
      <c r="G39" s="62" t="s">
        <v>78</v>
      </c>
      <c r="H39" s="62" t="s">
        <v>74</v>
      </c>
      <c r="I39" s="62">
        <f>'MERCADO TE'!$U$36</f>
        <v>29180.755000000001</v>
      </c>
      <c r="J39" s="15"/>
      <c r="L39" s="59">
        <f>'TR TE'!$L$39*'TR TE'!$L$49</f>
        <v>2.2270727891309043</v>
      </c>
      <c r="M39" s="59">
        <f>'TR TE'!$M$39*'TR TE'!$M$49</f>
        <v>27.930064924409766</v>
      </c>
      <c r="N39" s="59">
        <f>'TR TE'!$N$39*'TR TE'!$N$49</f>
        <v>0</v>
      </c>
      <c r="O39" s="59">
        <f>'TR TE'!$O$39*'TR TE'!$O$49</f>
        <v>0</v>
      </c>
      <c r="P39" s="59">
        <f>'TR TE'!$P$39*'TR TE'!$P$49</f>
        <v>-12.592029417653638</v>
      </c>
      <c r="Q39" s="59">
        <f>SUM($L$39:$P$39)</f>
        <v>17.565108295887033</v>
      </c>
      <c r="R39" s="59">
        <f>'TR TE'!$R$39*'TR TE'!$R$49</f>
        <v>192.3767589794642</v>
      </c>
      <c r="S39" s="59">
        <f>SUM($R$39:$R$39)</f>
        <v>192.3767589794642</v>
      </c>
      <c r="T39" s="59">
        <f>'TR TE'!$T$39*'TR TE'!$T$49</f>
        <v>3.0026457250278589</v>
      </c>
      <c r="U39" s="59">
        <f>'TR TE'!$U$39*'TR TE'!$U$49</f>
        <v>2.090458385801055</v>
      </c>
      <c r="V39" s="59">
        <f>'TR TE'!$V$39*'TR TE'!$V$49</f>
        <v>0</v>
      </c>
      <c r="W39" s="59">
        <f>SUM($T$39:$V$39)</f>
        <v>5.0931041108289143</v>
      </c>
      <c r="X39" s="59"/>
      <c r="Y39" s="59">
        <f>SUM($X$39:$X$39)</f>
        <v>0</v>
      </c>
      <c r="Z39" s="59">
        <f>'TR TE'!$Z$39*'TR TE'!$Z$49</f>
        <v>4.0406108729328638</v>
      </c>
      <c r="AA39" s="59">
        <f>SUM($Z$39:$Z$39)</f>
        <v>4.0406108729328638</v>
      </c>
      <c r="AB39" s="59">
        <f>SUMIF($L$4:$AA$4,"SUBTOTAL",$L$39:$AA$39)</f>
        <v>219.07558225911299</v>
      </c>
    </row>
    <row r="40" spans="1:28" ht="11.25" customHeight="1" x14ac:dyDescent="0.25">
      <c r="A40" s="153"/>
      <c r="B40" s="61" t="s">
        <v>88</v>
      </c>
      <c r="C40" s="61" t="s">
        <v>25</v>
      </c>
      <c r="D40" s="61" t="s">
        <v>25</v>
      </c>
      <c r="E40" s="61" t="s">
        <v>25</v>
      </c>
      <c r="F40" s="61" t="s">
        <v>25</v>
      </c>
      <c r="G40" s="62" t="s">
        <v>78</v>
      </c>
      <c r="H40" s="62" t="s">
        <v>74</v>
      </c>
      <c r="I40" s="62">
        <f>'MERCADO TE'!$U$37</f>
        <v>0</v>
      </c>
      <c r="J40" s="15"/>
      <c r="L40" s="59">
        <f>'TR TE'!$L$40*'TR TE'!$L$49</f>
        <v>2.2270727891309043</v>
      </c>
      <c r="M40" s="59">
        <f>'TR TE'!$M$40*'TR TE'!$M$49</f>
        <v>27.930064924409766</v>
      </c>
      <c r="N40" s="59">
        <f>'TR TE'!$N$40*'TR TE'!$N$49</f>
        <v>0</v>
      </c>
      <c r="O40" s="59">
        <f>'TR TE'!$O$40*'TR TE'!$O$49</f>
        <v>0</v>
      </c>
      <c r="P40" s="59">
        <f>'TR TE'!$P$40*'TR TE'!$P$49</f>
        <v>-12.592029417653638</v>
      </c>
      <c r="Q40" s="59">
        <f>SUM($L$40:$P$40)</f>
        <v>17.565108295887033</v>
      </c>
      <c r="R40" s="59">
        <f>'TR TE'!$R$40*'TR TE'!$R$49</f>
        <v>192.3767589794642</v>
      </c>
      <c r="S40" s="59">
        <f>SUM($R$40:$R$40)</f>
        <v>192.3767589794642</v>
      </c>
      <c r="T40" s="59">
        <f>'TR TE'!$T$40*'TR TE'!$T$49</f>
        <v>3.0026457250278589</v>
      </c>
      <c r="U40" s="59">
        <f>'TR TE'!$U$40*'TR TE'!$U$49</f>
        <v>2.090458385801055</v>
      </c>
      <c r="V40" s="59">
        <f>'TR TE'!$V$40*'TR TE'!$V$49</f>
        <v>0</v>
      </c>
      <c r="W40" s="59">
        <f>SUM($T$40:$V$40)</f>
        <v>5.0931041108289143</v>
      </c>
      <c r="X40" s="59"/>
      <c r="Y40" s="59">
        <f>SUM($X$40:$X$40)</f>
        <v>0</v>
      </c>
      <c r="Z40" s="59">
        <f>'TR TE'!$Z$40*'TR TE'!$Z$49</f>
        <v>4.0406108729328638</v>
      </c>
      <c r="AA40" s="59">
        <f>SUM($Z$40:$Z$40)</f>
        <v>4.0406108729328638</v>
      </c>
      <c r="AB40" s="59">
        <f>SUMIF($L$4:$AA$4,"SUBTOTAL",$L$40:$AA$40)</f>
        <v>219.07558225911299</v>
      </c>
    </row>
    <row r="41" spans="1:28" ht="11.25" customHeight="1" x14ac:dyDescent="0.25">
      <c r="A41" s="153" t="s">
        <v>44</v>
      </c>
      <c r="B41" s="153" t="s">
        <v>77</v>
      </c>
      <c r="C41" s="153" t="s">
        <v>45</v>
      </c>
      <c r="D41" s="61" t="s">
        <v>46</v>
      </c>
      <c r="E41" s="61" t="s">
        <v>25</v>
      </c>
      <c r="F41" s="61" t="s">
        <v>25</v>
      </c>
      <c r="G41" s="62" t="s">
        <v>78</v>
      </c>
      <c r="H41" s="62" t="s">
        <v>74</v>
      </c>
      <c r="I41" s="62">
        <f>'MERCADO TE'!$U$38</f>
        <v>11805.242</v>
      </c>
      <c r="J41" s="15"/>
      <c r="L41" s="59">
        <f>'TR TE'!$L$41*'TR TE'!$L$49</f>
        <v>1.2248900340219975</v>
      </c>
      <c r="M41" s="59">
        <f>'TR TE'!$M$41*'TR TE'!$M$49</f>
        <v>15.361535708425373</v>
      </c>
      <c r="N41" s="59">
        <f>'TR TE'!$N$41*'TR TE'!$N$49</f>
        <v>0</v>
      </c>
      <c r="O41" s="59">
        <f>'TR TE'!$O$41*'TR TE'!$O$49</f>
        <v>0</v>
      </c>
      <c r="P41" s="59">
        <f>'TR TE'!$P$41*'TR TE'!$P$49</f>
        <v>-6.9256161797095013</v>
      </c>
      <c r="Q41" s="59">
        <f>SUM($L$41:$P$41)</f>
        <v>9.6608095627378709</v>
      </c>
      <c r="R41" s="59">
        <f>'TR TE'!$R$41*'TR TE'!$R$49</f>
        <v>105.80721743870531</v>
      </c>
      <c r="S41" s="59">
        <f>SUM($R$41:$R$41)</f>
        <v>105.80721743870531</v>
      </c>
      <c r="T41" s="59">
        <f>'TR TE'!$T$41*'TR TE'!$T$49</f>
        <v>1.6514551487653226</v>
      </c>
      <c r="U41" s="59">
        <f>'TR TE'!$U$41*'TR TE'!$U$49</f>
        <v>1.1497521121905803</v>
      </c>
      <c r="V41" s="59">
        <f>'TR TE'!$V$41*'TR TE'!$V$49</f>
        <v>0</v>
      </c>
      <c r="W41" s="59">
        <f>SUM($T$41:$V$41)</f>
        <v>2.8012072609559029</v>
      </c>
      <c r="X41" s="59"/>
      <c r="Y41" s="59">
        <f>SUM($X$41:$X$41)</f>
        <v>0</v>
      </c>
      <c r="Z41" s="59">
        <f>'TR TE'!$Z$41*'TR TE'!$Z$49</f>
        <v>2.2223359801130753</v>
      </c>
      <c r="AA41" s="59">
        <f>SUM($Z$41:$Z$41)</f>
        <v>2.2223359801130753</v>
      </c>
      <c r="AB41" s="59">
        <f>SUMIF($L$4:$AA$4,"SUBTOTAL",$L$41:$AA$41)</f>
        <v>120.49157024251215</v>
      </c>
    </row>
    <row r="42" spans="1:28" ht="11.25" customHeight="1" x14ac:dyDescent="0.25">
      <c r="A42" s="153"/>
      <c r="B42" s="153"/>
      <c r="C42" s="153"/>
      <c r="D42" s="62" t="s">
        <v>92</v>
      </c>
      <c r="E42" s="62" t="s">
        <v>25</v>
      </c>
      <c r="F42" s="62" t="s">
        <v>25</v>
      </c>
      <c r="G42" s="62" t="s">
        <v>78</v>
      </c>
      <c r="H42" s="62" t="s">
        <v>74</v>
      </c>
      <c r="I42" s="62">
        <f>'MERCADO TE'!$U$39</f>
        <v>0</v>
      </c>
      <c r="J42" s="15"/>
      <c r="L42" s="59">
        <f>'TR TE'!$L$42*'TR TE'!$L$49</f>
        <v>1.3362436734785426</v>
      </c>
      <c r="M42" s="59">
        <f>'TR TE'!$M$42*'TR TE'!$M$49</f>
        <v>16.758038954645858</v>
      </c>
      <c r="N42" s="59">
        <f>'TR TE'!$N$42*'TR TE'!$N$49</f>
        <v>0</v>
      </c>
      <c r="O42" s="59">
        <f>'TR TE'!$O$42*'TR TE'!$O$49</f>
        <v>0</v>
      </c>
      <c r="P42" s="59">
        <f>'TR TE'!$P$42*'TR TE'!$P$49</f>
        <v>-7.5552176505921826</v>
      </c>
      <c r="Q42" s="59">
        <f>SUM($L$42:$P$42)</f>
        <v>10.539064977532217</v>
      </c>
      <c r="R42" s="59">
        <f>'TR TE'!$R$42*'TR TE'!$R$49</f>
        <v>115.42605538767852</v>
      </c>
      <c r="S42" s="59">
        <f>SUM($R$42:$R$42)</f>
        <v>115.42605538767852</v>
      </c>
      <c r="T42" s="59">
        <f>'TR TE'!$T$42*'TR TE'!$T$49</f>
        <v>1.8015874350167151</v>
      </c>
      <c r="U42" s="59">
        <f>'TR TE'!$U$42*'TR TE'!$U$49</f>
        <v>1.254275031480633</v>
      </c>
      <c r="V42" s="59">
        <f>'TR TE'!$V$42*'TR TE'!$V$49</f>
        <v>0</v>
      </c>
      <c r="W42" s="59">
        <f>SUM($T$42:$V$42)</f>
        <v>3.0558624664973482</v>
      </c>
      <c r="X42" s="59"/>
      <c r="Y42" s="59">
        <f>SUM($X$42:$X$42)</f>
        <v>0</v>
      </c>
      <c r="Z42" s="59">
        <f>'TR TE'!$Z$42*'TR TE'!$Z$49</f>
        <v>2.4243665237597183</v>
      </c>
      <c r="AA42" s="59">
        <f>SUM($Z$42:$Z$42)</f>
        <v>2.4243665237597183</v>
      </c>
      <c r="AB42" s="59">
        <f>SUMIF($L$4:$AA$4,"SUBTOTAL",$L$42:$AA$42)</f>
        <v>131.44534935546781</v>
      </c>
    </row>
    <row r="44" spans="1:28" ht="11.25" customHeight="1" x14ac:dyDescent="0.25">
      <c r="K44" s="64" t="s">
        <v>577</v>
      </c>
      <c r="L44" s="59">
        <f t="shared" ref="L44:AB44" si="0">SUMPRODUCT($I$5:$I$42,L$5:L$42)</f>
        <v>443927.86224606709</v>
      </c>
      <c r="M44" s="59">
        <f t="shared" si="0"/>
        <v>5567368.1052542804</v>
      </c>
      <c r="N44" s="59">
        <f t="shared" si="0"/>
        <v>0</v>
      </c>
      <c r="O44" s="59">
        <f t="shared" si="0"/>
        <v>0</v>
      </c>
      <c r="P44" s="59">
        <f t="shared" si="0"/>
        <v>-2509999.9999999995</v>
      </c>
      <c r="Q44" s="59">
        <f t="shared" si="0"/>
        <v>3501295.9675003476</v>
      </c>
      <c r="R44" s="59">
        <f t="shared" si="0"/>
        <v>37958523.416229047</v>
      </c>
      <c r="S44" s="59">
        <f t="shared" si="0"/>
        <v>37958523.416229047</v>
      </c>
      <c r="T44" s="59">
        <f t="shared" si="0"/>
        <v>598524.71113621967</v>
      </c>
      <c r="U44" s="59">
        <f t="shared" si="0"/>
        <v>416696.17933106492</v>
      </c>
      <c r="V44" s="59">
        <f t="shared" si="0"/>
        <v>0</v>
      </c>
      <c r="W44" s="59">
        <f t="shared" si="0"/>
        <v>1015220.8904672846</v>
      </c>
      <c r="X44" s="59">
        <f t="shared" si="0"/>
        <v>0</v>
      </c>
      <c r="Y44" s="59">
        <f t="shared" si="0"/>
        <v>0</v>
      </c>
      <c r="Z44" s="59">
        <f t="shared" si="0"/>
        <v>805424.84095874242</v>
      </c>
      <c r="AA44" s="59">
        <f t="shared" si="0"/>
        <v>805424.84095874242</v>
      </c>
      <c r="AB44" s="59">
        <f t="shared" si="0"/>
        <v>43280465.115155421</v>
      </c>
    </row>
    <row r="45" spans="1:28" ht="11.25" customHeight="1" x14ac:dyDescent="0.25">
      <c r="K45" s="64" t="s">
        <v>502</v>
      </c>
      <c r="L45" s="59">
        <f>CUSTOS!$D$30</f>
        <v>443927.86224606709</v>
      </c>
      <c r="M45" s="59">
        <f>CUSTOS!$D$31</f>
        <v>5567368.1052542813</v>
      </c>
      <c r="N45" s="59">
        <f>CUSTOS!$D$32</f>
        <v>0</v>
      </c>
      <c r="O45" s="59">
        <f>CUSTOS!$D$33</f>
        <v>0</v>
      </c>
      <c r="P45" s="59">
        <f>CUSTOS!$D$34</f>
        <v>-2509999.9999999995</v>
      </c>
      <c r="Q45" s="59">
        <f>CUSTOS!$D$35</f>
        <v>3501295.967500349</v>
      </c>
      <c r="R45" s="59">
        <f>CUSTOS!$D$36</f>
        <v>37958523.416229047</v>
      </c>
      <c r="S45" s="59">
        <f>CUSTOS!$D$37</f>
        <v>37958523.416229047</v>
      </c>
      <c r="T45" s="59">
        <f>CUSTOS!$D$38</f>
        <v>598524.71113621967</v>
      </c>
      <c r="U45" s="59">
        <f>CUSTOS!$D$39</f>
        <v>416696.1793310651</v>
      </c>
      <c r="V45" s="59">
        <f>CUSTOS!$D$40</f>
        <v>0</v>
      </c>
      <c r="W45" s="59">
        <f>CUSTOS!$D$41</f>
        <v>1015220.8904672847</v>
      </c>
      <c r="X45" s="59">
        <f>CUSTOS!$D$42</f>
        <v>0</v>
      </c>
      <c r="Y45" s="59">
        <f>CUSTOS!$D$43</f>
        <v>0</v>
      </c>
      <c r="Z45" s="59">
        <f>CUSTOS!$D$44</f>
        <v>805424.84095874231</v>
      </c>
      <c r="AA45" s="59">
        <f>CUSTOS!$D$45</f>
        <v>805424.84095874231</v>
      </c>
      <c r="AB45" s="59">
        <f>CUSTOS!$D$46</f>
        <v>43280465.115155429</v>
      </c>
    </row>
    <row r="46" spans="1:28" ht="11.25" customHeight="1" x14ac:dyDescent="0.25">
      <c r="K46" s="64" t="s">
        <v>503</v>
      </c>
      <c r="L46" s="59">
        <f>CUSTOS!$E$30</f>
        <v>-1.5255169573936296</v>
      </c>
      <c r="M46" s="59">
        <f>CUSTOS!$E$31</f>
        <v>-1223431.7781012561</v>
      </c>
      <c r="N46" s="59">
        <f>CUSTOS!$E$32</f>
        <v>0</v>
      </c>
      <c r="O46" s="59">
        <f>CUSTOS!$E$33</f>
        <v>-1.0710678681994937E-5</v>
      </c>
      <c r="P46" s="59">
        <f>CUSTOS!$E$34</f>
        <v>0</v>
      </c>
      <c r="Q46" s="59">
        <f>CUSTOS!$E$35</f>
        <v>-1223433.3036289241</v>
      </c>
      <c r="R46" s="59">
        <f>CUSTOS!$E$36</f>
        <v>2716870.5970524414</v>
      </c>
      <c r="S46" s="59">
        <f>CUSTOS!$E$37</f>
        <v>2716870.5970524414</v>
      </c>
      <c r="T46" s="59">
        <f>CUSTOS!$E$38</f>
        <v>0</v>
      </c>
      <c r="U46" s="59">
        <f>CUSTOS!$E$39</f>
        <v>0</v>
      </c>
      <c r="V46" s="59">
        <f>CUSTOS!$E$40</f>
        <v>0</v>
      </c>
      <c r="W46" s="59">
        <f>CUSTOS!$E$41</f>
        <v>0</v>
      </c>
      <c r="X46" s="59">
        <f>CUSTOS!$E$42</f>
        <v>0</v>
      </c>
      <c r="Y46" s="59">
        <f>CUSTOS!$E$43</f>
        <v>0</v>
      </c>
      <c r="Z46" s="59">
        <f>CUSTOS!$E$44</f>
        <v>57648.055603787601</v>
      </c>
      <c r="AA46" s="59">
        <f>CUSTOS!$E$45</f>
        <v>57648.055603787601</v>
      </c>
      <c r="AB46" s="59">
        <f>CUSTOS!$E$46</f>
        <v>1551085.3490273049</v>
      </c>
    </row>
    <row r="47" spans="1:28" ht="11.25" customHeight="1" x14ac:dyDescent="0.25">
      <c r="K47" s="64" t="s">
        <v>504</v>
      </c>
      <c r="L47" s="59">
        <f>CUSTOS!$F$30</f>
        <v>0</v>
      </c>
      <c r="M47" s="59">
        <f>CUSTOS!$F$31</f>
        <v>821097.77469999995</v>
      </c>
      <c r="N47" s="59">
        <f>CUSTOS!$F$32</f>
        <v>0</v>
      </c>
      <c r="O47" s="59">
        <f>CUSTOS!$F$33</f>
        <v>0</v>
      </c>
      <c r="P47" s="59">
        <f>CUSTOS!$F$34</f>
        <v>0</v>
      </c>
      <c r="Q47" s="59">
        <f>CUSTOS!$F$35</f>
        <v>821097.77469999995</v>
      </c>
      <c r="R47" s="59">
        <f>CUSTOS!$F$36</f>
        <v>-83300.651542210588</v>
      </c>
      <c r="S47" s="59">
        <f>CUSTOS!$F$37</f>
        <v>-83300.651542210588</v>
      </c>
      <c r="T47" s="59">
        <f>CUSTOS!$F$38</f>
        <v>436375.19709999999</v>
      </c>
      <c r="U47" s="59">
        <f>CUSTOS!$F$39</f>
        <v>352805.95</v>
      </c>
      <c r="V47" s="59">
        <f>CUSTOS!$F$40</f>
        <v>0</v>
      </c>
      <c r="W47" s="59">
        <f>CUSTOS!$F$41</f>
        <v>789181.14709999994</v>
      </c>
      <c r="X47" s="59">
        <f>CUSTOS!$F$42</f>
        <v>0</v>
      </c>
      <c r="Y47" s="59">
        <f>CUSTOS!$F$43</f>
        <v>0</v>
      </c>
      <c r="Z47" s="59">
        <f>CUSTOS!$F$44</f>
        <v>-1767.5190703403237</v>
      </c>
      <c r="AA47" s="59">
        <f>CUSTOS!$F$45</f>
        <v>-1767.5190703403237</v>
      </c>
      <c r="AB47" s="59">
        <f>CUSTOS!$F$46</f>
        <v>1525210.7511874489</v>
      </c>
    </row>
    <row r="48" spans="1:28" ht="11.25" customHeight="1" x14ac:dyDescent="0.25">
      <c r="K48" s="64" t="s">
        <v>578</v>
      </c>
      <c r="L48" s="59">
        <f>'TR TE'!$L$48*L49</f>
        <v>-7.6531292448725331E-6</v>
      </c>
      <c r="M48" s="59">
        <f>'TR TE'!$M$48*M49</f>
        <v>-6.1376449961527157</v>
      </c>
      <c r="N48" s="59">
        <f>'TR TE'!$N$48*N49</f>
        <v>0</v>
      </c>
      <c r="O48" s="59">
        <f>'TR TE'!$O$48*O49</f>
        <v>0</v>
      </c>
      <c r="P48" s="59">
        <f>'TR TE'!$P$48*P49</f>
        <v>0</v>
      </c>
      <c r="Q48" s="59"/>
      <c r="R48" s="59">
        <f>'TR TE'!$R$48*R49</f>
        <v>13.566353049982203</v>
      </c>
      <c r="S48" s="59"/>
      <c r="T48" s="59">
        <f>'TR TE'!$T$48*T49</f>
        <v>0</v>
      </c>
      <c r="U48" s="59">
        <f>'TR TE'!$U$48*U49</f>
        <v>0</v>
      </c>
      <c r="V48" s="59">
        <f>'TR TE'!$V$48*V49</f>
        <v>0</v>
      </c>
      <c r="W48" s="59"/>
      <c r="X48" s="59"/>
      <c r="Y48" s="59"/>
      <c r="Z48" s="59">
        <f>'TR TE'!$Z$48*Z49</f>
        <v>0.28920558248343675</v>
      </c>
      <c r="AA48" s="59"/>
      <c r="AB48" s="59"/>
    </row>
    <row r="49" spans="11:28" ht="11.25" customHeight="1" x14ac:dyDescent="0.25">
      <c r="K49" s="64" t="s">
        <v>571</v>
      </c>
      <c r="L49" s="59">
        <f>IF(L45&lt;&gt;0,L46/L45,0)</f>
        <v>-3.4364073245486962E-6</v>
      </c>
      <c r="M49" s="59">
        <f>IF(M45&lt;&gt;0,M46/M45,0)</f>
        <v>-0.21975047364779515</v>
      </c>
      <c r="N49" s="59">
        <f>IF(N45&lt;&gt;0,N46/N45,0)</f>
        <v>0</v>
      </c>
      <c r="O49" s="59">
        <f>IF(O45&lt;&gt;0,O46/O45,0)</f>
        <v>0</v>
      </c>
      <c r="P49" s="59">
        <f>IF(P45&lt;&gt;0,P46/P45,0)</f>
        <v>0</v>
      </c>
      <c r="Q49" s="59"/>
      <c r="R49" s="59">
        <f>IF(R45&lt;&gt;0,R46/R45,0)</f>
        <v>7.1574717679635871E-2</v>
      </c>
      <c r="S49" s="59"/>
      <c r="T49" s="59">
        <f>IF(T45&lt;&gt;0,T46/T45,0)</f>
        <v>0</v>
      </c>
      <c r="U49" s="59">
        <f>IF(U45&lt;&gt;0,U46/U45,0)</f>
        <v>0</v>
      </c>
      <c r="V49" s="59">
        <f>IF(V45&lt;&gt;0,V46/V45,0)</f>
        <v>0</v>
      </c>
      <c r="W49" s="59"/>
      <c r="X49" s="59">
        <f>IF(($AB45-0)&lt;&gt;0,X46/($AB45-0),0)</f>
        <v>0</v>
      </c>
      <c r="Y49" s="59"/>
      <c r="Z49" s="59">
        <f>IF(Z45&lt;&gt;0,Z46/Z45,0)</f>
        <v>7.1574717679635871E-2</v>
      </c>
      <c r="AA49" s="59"/>
      <c r="AB49" s="59"/>
    </row>
    <row r="50" spans="11:28" ht="11.25" customHeight="1" x14ac:dyDescent="0.25">
      <c r="K50" s="64" t="s">
        <v>580</v>
      </c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  <c r="AA50" s="59"/>
      <c r="AB50" s="59"/>
    </row>
  </sheetData>
  <mergeCells count="61">
    <mergeCell ref="T3:W3"/>
    <mergeCell ref="X3:Y3"/>
    <mergeCell ref="A1:A4"/>
    <mergeCell ref="B1:B4"/>
    <mergeCell ref="C1:C4"/>
    <mergeCell ref="D1:D4"/>
    <mergeCell ref="E1:E4"/>
    <mergeCell ref="F1:F4"/>
    <mergeCell ref="Z3:AA3"/>
    <mergeCell ref="AB3:AB4"/>
    <mergeCell ref="A5:A7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R3:S3"/>
    <mergeCell ref="F8:F10"/>
    <mergeCell ref="B11:B15"/>
    <mergeCell ref="C11:C15"/>
    <mergeCell ref="B16:B20"/>
    <mergeCell ref="C16:C20"/>
    <mergeCell ref="A8:A20"/>
    <mergeCell ref="B8:B10"/>
    <mergeCell ref="C8:C10"/>
    <mergeCell ref="D8:D10"/>
    <mergeCell ref="E8:E10"/>
    <mergeCell ref="D29:D31"/>
    <mergeCell ref="E29:E31"/>
    <mergeCell ref="F29:F31"/>
    <mergeCell ref="D21:D23"/>
    <mergeCell ref="E21:E23"/>
    <mergeCell ref="F21:F23"/>
    <mergeCell ref="D25:D27"/>
    <mergeCell ref="E25:E27"/>
    <mergeCell ref="F25:F27"/>
    <mergeCell ref="B33:B35"/>
    <mergeCell ref="C33:C35"/>
    <mergeCell ref="A36:A40"/>
    <mergeCell ref="B36:B38"/>
    <mergeCell ref="C36:C38"/>
    <mergeCell ref="A21:A35"/>
    <mergeCell ref="B21:B23"/>
    <mergeCell ref="C21:C23"/>
    <mergeCell ref="B29:B31"/>
    <mergeCell ref="C29:C31"/>
    <mergeCell ref="B25:B27"/>
    <mergeCell ref="C25:C27"/>
    <mergeCell ref="E36:E38"/>
    <mergeCell ref="F36:F38"/>
    <mergeCell ref="A41:A42"/>
    <mergeCell ref="B41:B42"/>
    <mergeCell ref="C41:C42"/>
    <mergeCell ref="D36:D38"/>
  </mergeCells>
  <conditionalFormatting sqref="L44">
    <cfRule type="cellIs" dxfId="911" priority="33" operator="notEqual">
      <formula>$L$45</formula>
    </cfRule>
    <cfRule type="cellIs" dxfId="910" priority="34" operator="equal">
      <formula>$L$45</formula>
    </cfRule>
  </conditionalFormatting>
  <conditionalFormatting sqref="M44">
    <cfRule type="cellIs" dxfId="909" priority="31" operator="notEqual">
      <formula>$M$45</formula>
    </cfRule>
    <cfRule type="cellIs" dxfId="908" priority="32" operator="equal">
      <formula>$M$45</formula>
    </cfRule>
  </conditionalFormatting>
  <conditionalFormatting sqref="N44">
    <cfRule type="cellIs" dxfId="907" priority="29" operator="notEqual">
      <formula>$N$45</formula>
    </cfRule>
    <cfRule type="cellIs" dxfId="906" priority="30" operator="equal">
      <formula>$N$45</formula>
    </cfRule>
  </conditionalFormatting>
  <conditionalFormatting sqref="O44">
    <cfRule type="cellIs" dxfId="905" priority="27" operator="notEqual">
      <formula>$O$45</formula>
    </cfRule>
    <cfRule type="cellIs" dxfId="904" priority="28" operator="equal">
      <formula>$O$45</formula>
    </cfRule>
  </conditionalFormatting>
  <conditionalFormatting sqref="P44">
    <cfRule type="cellIs" dxfId="903" priority="25" operator="notEqual">
      <formula>$P$45</formula>
    </cfRule>
    <cfRule type="cellIs" dxfId="902" priority="26" operator="equal">
      <formula>$P$45</formula>
    </cfRule>
  </conditionalFormatting>
  <conditionalFormatting sqref="Q44">
    <cfRule type="cellIs" dxfId="901" priority="23" operator="notEqual">
      <formula>$Q$45</formula>
    </cfRule>
    <cfRule type="cellIs" dxfId="900" priority="24" operator="equal">
      <formula>$Q$45</formula>
    </cfRule>
  </conditionalFormatting>
  <conditionalFormatting sqref="R44">
    <cfRule type="cellIs" dxfId="899" priority="21" operator="notEqual">
      <formula>$R$45</formula>
    </cfRule>
    <cfRule type="cellIs" dxfId="898" priority="22" operator="equal">
      <formula>$R$45</formula>
    </cfRule>
  </conditionalFormatting>
  <conditionalFormatting sqref="S44">
    <cfRule type="cellIs" dxfId="897" priority="19" operator="notEqual">
      <formula>$S$45</formula>
    </cfRule>
    <cfRule type="cellIs" dxfId="896" priority="20" operator="equal">
      <formula>$S$45</formula>
    </cfRule>
  </conditionalFormatting>
  <conditionalFormatting sqref="T44">
    <cfRule type="cellIs" dxfId="895" priority="17" operator="notEqual">
      <formula>$T$45</formula>
    </cfRule>
    <cfRule type="cellIs" dxfId="894" priority="18" operator="equal">
      <formula>$T$45</formula>
    </cfRule>
  </conditionalFormatting>
  <conditionalFormatting sqref="U44">
    <cfRule type="cellIs" dxfId="893" priority="15" operator="notEqual">
      <formula>$U$45</formula>
    </cfRule>
    <cfRule type="cellIs" dxfId="892" priority="16" operator="equal">
      <formula>$U$45</formula>
    </cfRule>
  </conditionalFormatting>
  <conditionalFormatting sqref="V44">
    <cfRule type="cellIs" dxfId="891" priority="13" operator="notEqual">
      <formula>$V$45</formula>
    </cfRule>
    <cfRule type="cellIs" dxfId="890" priority="14" operator="equal">
      <formula>$V$45</formula>
    </cfRule>
  </conditionalFormatting>
  <conditionalFormatting sqref="W44">
    <cfRule type="cellIs" dxfId="889" priority="11" operator="notEqual">
      <formula>$W$45</formula>
    </cfRule>
    <cfRule type="cellIs" dxfId="888" priority="12" operator="equal">
      <formula>$W$45</formula>
    </cfRule>
  </conditionalFormatting>
  <conditionalFormatting sqref="X44">
    <cfRule type="cellIs" dxfId="887" priority="9" operator="notEqual">
      <formula>$X$45</formula>
    </cfRule>
    <cfRule type="cellIs" dxfId="886" priority="10" operator="equal">
      <formula>$X$45</formula>
    </cfRule>
  </conditionalFormatting>
  <conditionalFormatting sqref="Y44">
    <cfRule type="cellIs" dxfId="885" priority="7" operator="notEqual">
      <formula>$Y$45</formula>
    </cfRule>
    <cfRule type="cellIs" dxfId="884" priority="8" operator="equal">
      <formula>$Y$45</formula>
    </cfRule>
  </conditionalFormatting>
  <conditionalFormatting sqref="Z44">
    <cfRule type="cellIs" dxfId="883" priority="5" operator="notEqual">
      <formula>$Z$45</formula>
    </cfRule>
    <cfRule type="cellIs" dxfId="882" priority="6" operator="equal">
      <formula>$Z$45</formula>
    </cfRule>
  </conditionalFormatting>
  <conditionalFormatting sqref="AA44">
    <cfRule type="cellIs" dxfId="881" priority="3" operator="notEqual">
      <formula>$AA$45</formula>
    </cfRule>
    <cfRule type="cellIs" dxfId="880" priority="4" operator="equal">
      <formula>$AA$45</formula>
    </cfRule>
  </conditionalFormatting>
  <conditionalFormatting sqref="AB44">
    <cfRule type="cellIs" dxfId="879" priority="1" operator="notEqual">
      <formula>$AB$45</formula>
    </cfRule>
    <cfRule type="cellIs" dxfId="878" priority="2" operator="equal">
      <formula>$AB$45</formula>
    </cfRule>
  </conditionalFormatting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43884-7FA4-4558-9801-F35FAE6810CF}">
  <sheetPr codeName="Planilha16"/>
  <dimension ref="A1:AB50"/>
  <sheetViews>
    <sheetView showGridLines="0" topLeftCell="P26" workbookViewId="0">
      <selection activeCell="AB44" sqref="AB44"/>
    </sheetView>
  </sheetViews>
  <sheetFormatPr defaultColWidth="9.140625"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20" style="9" bestFit="1" customWidth="1"/>
    <col min="12" max="12" width="8.7109375" style="9" bestFit="1" customWidth="1"/>
    <col min="13" max="13" width="10.5703125" style="9" bestFit="1" customWidth="1"/>
    <col min="14" max="14" width="8.7109375" style="9" bestFit="1" customWidth="1"/>
    <col min="15" max="15" width="11.140625" style="9" bestFit="1" customWidth="1"/>
    <col min="16" max="17" width="10.5703125" style="9" bestFit="1" customWidth="1"/>
    <col min="18" max="18" width="15" style="9" bestFit="1" customWidth="1"/>
    <col min="19" max="19" width="10.85546875" style="9" bestFit="1" customWidth="1"/>
    <col min="20" max="20" width="8.7109375" style="9" bestFit="1" customWidth="1"/>
    <col min="21" max="21" width="10.42578125" style="9" bestFit="1" customWidth="1"/>
    <col min="22" max="22" width="8.7109375" style="9" bestFit="1" customWidth="1"/>
    <col min="23" max="23" width="10" style="9" bestFit="1" customWidth="1"/>
    <col min="24" max="24" width="8" style="9" bestFit="1" customWidth="1"/>
    <col min="25" max="25" width="9.28515625" style="9" bestFit="1" customWidth="1"/>
    <col min="26" max="26" width="11" style="9" bestFit="1" customWidth="1"/>
    <col min="27" max="27" width="9.28515625" style="9" bestFit="1" customWidth="1"/>
    <col min="28" max="28" width="10.85546875" style="9" bestFit="1" customWidth="1"/>
    <col min="29" max="16384" width="9.140625" style="9"/>
  </cols>
  <sheetData>
    <row r="1" spans="1:28" ht="11.25" customHeight="1" x14ac:dyDescent="0.25">
      <c r="A1" s="154" t="s">
        <v>64</v>
      </c>
      <c r="B1" s="154" t="s">
        <v>65</v>
      </c>
      <c r="C1" s="154" t="s">
        <v>66</v>
      </c>
      <c r="D1" s="154" t="s">
        <v>67</v>
      </c>
      <c r="E1" s="154" t="s">
        <v>68</v>
      </c>
      <c r="F1" s="154" t="s">
        <v>15</v>
      </c>
      <c r="G1" s="154" t="s">
        <v>70</v>
      </c>
      <c r="H1" s="154" t="s">
        <v>71</v>
      </c>
      <c r="I1" s="154" t="s">
        <v>561</v>
      </c>
      <c r="J1" s="141"/>
      <c r="L1" s="155" t="s">
        <v>582</v>
      </c>
      <c r="M1" s="155"/>
      <c r="N1" s="155"/>
      <c r="O1" s="155"/>
      <c r="P1" s="155"/>
      <c r="Q1" s="155"/>
      <c r="R1" s="155"/>
      <c r="S1" s="155"/>
      <c r="T1" s="155"/>
      <c r="U1" s="155"/>
      <c r="V1" s="155"/>
      <c r="W1" s="155"/>
      <c r="X1" s="155"/>
      <c r="Y1" s="155"/>
      <c r="Z1" s="155"/>
      <c r="AA1" s="155"/>
      <c r="AB1" s="155"/>
    </row>
    <row r="2" spans="1:28" ht="11.25" customHeight="1" x14ac:dyDescent="0.25">
      <c r="A2" s="154"/>
      <c r="B2" s="154"/>
      <c r="C2" s="154"/>
      <c r="D2" s="154"/>
      <c r="E2" s="154"/>
      <c r="F2" s="154"/>
      <c r="G2" s="154"/>
      <c r="H2" s="154"/>
      <c r="I2" s="154"/>
      <c r="J2" s="141"/>
      <c r="L2" s="155" t="s">
        <v>488</v>
      </c>
      <c r="M2" s="155"/>
      <c r="N2" s="155"/>
      <c r="O2" s="155"/>
      <c r="P2" s="155"/>
      <c r="Q2" s="155"/>
      <c r="R2" s="155"/>
      <c r="S2" s="155"/>
      <c r="T2" s="155"/>
      <c r="U2" s="155"/>
      <c r="V2" s="155"/>
      <c r="W2" s="155"/>
      <c r="X2" s="155"/>
      <c r="Y2" s="155"/>
      <c r="Z2" s="155"/>
      <c r="AA2" s="155"/>
      <c r="AB2" s="155"/>
    </row>
    <row r="3" spans="1:28" ht="11.25" customHeight="1" x14ac:dyDescent="0.25">
      <c r="A3" s="154"/>
      <c r="B3" s="154"/>
      <c r="C3" s="154"/>
      <c r="D3" s="154"/>
      <c r="E3" s="154"/>
      <c r="F3" s="154"/>
      <c r="G3" s="154"/>
      <c r="H3" s="154"/>
      <c r="I3" s="154"/>
      <c r="J3" s="141"/>
      <c r="L3" s="155" t="s">
        <v>461</v>
      </c>
      <c r="M3" s="155"/>
      <c r="N3" s="155"/>
      <c r="O3" s="155"/>
      <c r="P3" s="155"/>
      <c r="Q3" s="155"/>
      <c r="R3" s="155" t="s">
        <v>492</v>
      </c>
      <c r="S3" s="155"/>
      <c r="T3" s="155" t="s">
        <v>470</v>
      </c>
      <c r="U3" s="155"/>
      <c r="V3" s="155"/>
      <c r="W3" s="155"/>
      <c r="X3" s="155" t="s">
        <v>480</v>
      </c>
      <c r="Y3" s="155"/>
      <c r="Z3" s="155" t="s">
        <v>483</v>
      </c>
      <c r="AA3" s="155"/>
      <c r="AB3" s="155" t="s">
        <v>469</v>
      </c>
    </row>
    <row r="4" spans="1:28" ht="11.25" customHeight="1" x14ac:dyDescent="0.25">
      <c r="A4" s="154"/>
      <c r="B4" s="154"/>
      <c r="C4" s="154"/>
      <c r="D4" s="154"/>
      <c r="E4" s="154"/>
      <c r="F4" s="154"/>
      <c r="G4" s="154"/>
      <c r="H4" s="154"/>
      <c r="I4" s="154"/>
      <c r="J4" s="141"/>
      <c r="L4" s="63" t="s">
        <v>463</v>
      </c>
      <c r="M4" s="63" t="s">
        <v>489</v>
      </c>
      <c r="N4" s="63" t="s">
        <v>490</v>
      </c>
      <c r="O4" s="63" t="s">
        <v>549</v>
      </c>
      <c r="P4" s="63" t="s">
        <v>491</v>
      </c>
      <c r="Q4" s="63" t="s">
        <v>469</v>
      </c>
      <c r="R4" s="63" t="s">
        <v>493</v>
      </c>
      <c r="S4" s="63" t="s">
        <v>469</v>
      </c>
      <c r="T4" s="63" t="s">
        <v>494</v>
      </c>
      <c r="U4" s="63" t="s">
        <v>495</v>
      </c>
      <c r="V4" s="63" t="s">
        <v>496</v>
      </c>
      <c r="W4" s="63" t="s">
        <v>469</v>
      </c>
      <c r="X4" s="63" t="s">
        <v>481</v>
      </c>
      <c r="Y4" s="63" t="s">
        <v>469</v>
      </c>
      <c r="Z4" s="63" t="s">
        <v>497</v>
      </c>
      <c r="AA4" s="63" t="s">
        <v>469</v>
      </c>
      <c r="AB4" s="156"/>
    </row>
    <row r="5" spans="1:28" ht="11.25" customHeight="1" x14ac:dyDescent="0.25">
      <c r="A5" s="153" t="s">
        <v>35</v>
      </c>
      <c r="B5" s="153" t="s">
        <v>73</v>
      </c>
      <c r="C5" s="153" t="s">
        <v>25</v>
      </c>
      <c r="D5" s="153" t="s">
        <v>25</v>
      </c>
      <c r="E5" s="153" t="s">
        <v>25</v>
      </c>
      <c r="F5" s="153" t="s">
        <v>25</v>
      </c>
      <c r="G5" s="62" t="s">
        <v>75</v>
      </c>
      <c r="H5" s="62" t="s">
        <v>74</v>
      </c>
      <c r="I5" s="62">
        <f>'MERCADO TE'!$U$2</f>
        <v>3764.2840000000001</v>
      </c>
      <c r="J5" s="15"/>
      <c r="L5" s="59">
        <f>'TE BE'!$L$5*'TE BE'!$L$49</f>
        <v>-7.6531292448725331E-6</v>
      </c>
      <c r="M5" s="59">
        <f>'TE BE'!$M$5*'TE BE'!$M$49</f>
        <v>-6.1376449961527157</v>
      </c>
      <c r="N5" s="59">
        <f>'TE BE'!$N$5*'TE BE'!$N$49</f>
        <v>0</v>
      </c>
      <c r="O5" s="59">
        <f>'TE BE'!$O$5*'TE BE'!$O$49</f>
        <v>0</v>
      </c>
      <c r="P5" s="59">
        <f>'TE BE'!$P$5*'TE BE'!$P$49</f>
        <v>0</v>
      </c>
      <c r="Q5" s="59">
        <f>SUM($L$5:$P$5)</f>
        <v>-6.1376526492819607</v>
      </c>
      <c r="R5" s="59">
        <f>'TE BE'!$R$5*'TE BE'!$R$49</f>
        <v>22.342657551674552</v>
      </c>
      <c r="S5" s="59">
        <f>SUM($R$5:$R$5)</f>
        <v>22.342657551674552</v>
      </c>
      <c r="T5" s="59">
        <f>'TE BE'!$T$5*'TE BE'!$T$49</f>
        <v>0</v>
      </c>
      <c r="U5" s="59">
        <f>'TE BE'!$U$5*'TE BE'!$U$49</f>
        <v>0</v>
      </c>
      <c r="V5" s="59">
        <f>'TE BE'!$V$5*'TE BE'!$V$49</f>
        <v>0</v>
      </c>
      <c r="W5" s="59">
        <f>SUM($T$5:$V$5)</f>
        <v>0</v>
      </c>
      <c r="X5" s="59">
        <f>'TE BE'!$AB$5*'TE BE'!$X$49</f>
        <v>0</v>
      </c>
      <c r="Y5" s="59">
        <f>SUM($X$5:$X$5)</f>
        <v>0</v>
      </c>
      <c r="Z5" s="59">
        <f>'TE BE'!$Z$5*'TE BE'!$Z$49</f>
        <v>0.28920558248343675</v>
      </c>
      <c r="AA5" s="59">
        <f>SUM($Z$5:$Z$5)</f>
        <v>0.28920558248343675</v>
      </c>
      <c r="AB5" s="59">
        <f>SUMIF($L$4:$AA$4,"SUBTOTAL",$L$5:$AA$5)</f>
        <v>16.494210484876028</v>
      </c>
    </row>
    <row r="6" spans="1:28" ht="11.25" customHeight="1" x14ac:dyDescent="0.25">
      <c r="A6" s="153"/>
      <c r="B6" s="153"/>
      <c r="C6" s="153"/>
      <c r="D6" s="153"/>
      <c r="E6" s="153"/>
      <c r="F6" s="153"/>
      <c r="G6" s="62" t="s">
        <v>76</v>
      </c>
      <c r="H6" s="62" t="s">
        <v>74</v>
      </c>
      <c r="I6" s="62">
        <f>'MERCADO TE'!$U$3</f>
        <v>77059.703999999983</v>
      </c>
      <c r="J6" s="15"/>
      <c r="L6" s="59">
        <f>'TE BE'!$L$6*'TE BE'!$L$49</f>
        <v>-7.6531292448725331E-6</v>
      </c>
      <c r="M6" s="59">
        <f>'TE BE'!$M$6*'TE BE'!$M$49</f>
        <v>-6.1376449961527157</v>
      </c>
      <c r="N6" s="59">
        <f>'TE BE'!$N$6*'TE BE'!$N$49</f>
        <v>0</v>
      </c>
      <c r="O6" s="59">
        <f>'TE BE'!$O$6*'TE BE'!$O$49</f>
        <v>0</v>
      </c>
      <c r="P6" s="59">
        <f>'TE BE'!$P$6*'TE BE'!$P$49</f>
        <v>0</v>
      </c>
      <c r="Q6" s="59">
        <f>SUM($L$6:$P$6)</f>
        <v>-6.1376526492819607</v>
      </c>
      <c r="R6" s="59">
        <f>'TE BE'!$R$6*'TE BE'!$R$49</f>
        <v>12.989917181206136</v>
      </c>
      <c r="S6" s="59">
        <f>SUM($R$6:$R$6)</f>
        <v>12.989917181206136</v>
      </c>
      <c r="T6" s="59">
        <f>'TE BE'!$T$6*'TE BE'!$T$49</f>
        <v>0</v>
      </c>
      <c r="U6" s="59">
        <f>'TE BE'!$U$6*'TE BE'!$U$49</f>
        <v>0</v>
      </c>
      <c r="V6" s="59">
        <f>'TE BE'!$V$6*'TE BE'!$V$49</f>
        <v>0</v>
      </c>
      <c r="W6" s="59">
        <f>SUM($T$6:$V$6)</f>
        <v>0</v>
      </c>
      <c r="X6" s="59">
        <f>'TE BE'!$AB$6*'TE BE'!$X$49</f>
        <v>0</v>
      </c>
      <c r="Y6" s="59">
        <f>SUM($X$6:$X$6)</f>
        <v>0</v>
      </c>
      <c r="Z6" s="59">
        <f>'TE BE'!$Z$6*'TE BE'!$Z$49</f>
        <v>0.28920558248343675</v>
      </c>
      <c r="AA6" s="59">
        <f>SUM($Z$6:$Z$6)</f>
        <v>0.28920558248343675</v>
      </c>
      <c r="AB6" s="59">
        <f>SUMIF($L$4:$AA$4,"SUBTOTAL",$L$6:$AA$6)</f>
        <v>7.1414701144076123</v>
      </c>
    </row>
    <row r="7" spans="1:28" ht="11.25" customHeight="1" x14ac:dyDescent="0.25">
      <c r="A7" s="153"/>
      <c r="B7" s="61" t="s">
        <v>77</v>
      </c>
      <c r="C7" s="61" t="s">
        <v>25</v>
      </c>
      <c r="D7" s="61" t="s">
        <v>25</v>
      </c>
      <c r="E7" s="61" t="s">
        <v>25</v>
      </c>
      <c r="F7" s="61" t="s">
        <v>25</v>
      </c>
      <c r="G7" s="62" t="s">
        <v>78</v>
      </c>
      <c r="H7" s="62" t="s">
        <v>74</v>
      </c>
      <c r="I7" s="62">
        <f>'MERCADO TE'!$U$4</f>
        <v>0</v>
      </c>
      <c r="J7" s="15"/>
      <c r="L7" s="59">
        <f>'TE BE'!$L$7*'TE BE'!$L$49</f>
        <v>-7.6531292448725331E-6</v>
      </c>
      <c r="M7" s="59">
        <f>'TE BE'!$M$7*'TE BE'!$M$49</f>
        <v>-6.1376449961527157</v>
      </c>
      <c r="N7" s="59">
        <f>'TE BE'!$N$7*'TE BE'!$N$49</f>
        <v>0</v>
      </c>
      <c r="O7" s="59">
        <f>'TE BE'!$O$7*'TE BE'!$O$49</f>
        <v>0</v>
      </c>
      <c r="P7" s="59">
        <f>'TE BE'!$P$7*'TE BE'!$P$49</f>
        <v>0</v>
      </c>
      <c r="Q7" s="59">
        <f>SUM($L$7:$P$7)</f>
        <v>-6.1376526492819607</v>
      </c>
      <c r="R7" s="59">
        <f>'TE BE'!$R$7*'TE BE'!$R$49</f>
        <v>13.769312212078505</v>
      </c>
      <c r="S7" s="59">
        <f>SUM($R$7:$R$7)</f>
        <v>13.769312212078505</v>
      </c>
      <c r="T7" s="59">
        <f>'TE BE'!$T$7*'TE BE'!$T$49</f>
        <v>0</v>
      </c>
      <c r="U7" s="59">
        <f>'TE BE'!$U$7*'TE BE'!$U$49</f>
        <v>0</v>
      </c>
      <c r="V7" s="59">
        <f>'TE BE'!$V$7*'TE BE'!$V$49</f>
        <v>0</v>
      </c>
      <c r="W7" s="59">
        <f>SUM($T$7:$V$7)</f>
        <v>0</v>
      </c>
      <c r="X7" s="59">
        <f>'TE BE'!$AB$7*'TE BE'!$X$49</f>
        <v>0</v>
      </c>
      <c r="Y7" s="59">
        <f>SUM($X$7:$X$7)</f>
        <v>0</v>
      </c>
      <c r="Z7" s="59">
        <f>'TE BE'!$Z$7*'TE BE'!$Z$49</f>
        <v>0.28920558248343675</v>
      </c>
      <c r="AA7" s="59">
        <f>SUM($Z$7:$Z$7)</f>
        <v>0.28920558248343675</v>
      </c>
      <c r="AB7" s="59">
        <f>SUMIF($L$4:$AA$4,"SUBTOTAL",$L$7:$AA$7)</f>
        <v>7.920865145279981</v>
      </c>
    </row>
    <row r="8" spans="1:28" ht="11.25" customHeight="1" x14ac:dyDescent="0.25">
      <c r="A8" s="153" t="s">
        <v>22</v>
      </c>
      <c r="B8" s="153" t="s">
        <v>73</v>
      </c>
      <c r="C8" s="153" t="s">
        <v>24</v>
      </c>
      <c r="D8" s="153" t="s">
        <v>24</v>
      </c>
      <c r="E8" s="153" t="s">
        <v>25</v>
      </c>
      <c r="F8" s="153" t="s">
        <v>25</v>
      </c>
      <c r="G8" s="62" t="s">
        <v>75</v>
      </c>
      <c r="H8" s="62" t="s">
        <v>74</v>
      </c>
      <c r="I8" s="62">
        <f>'MERCADO TE'!$U$5</f>
        <v>0</v>
      </c>
      <c r="J8" s="15"/>
      <c r="L8" s="59">
        <f>'TE BE'!$L$8*'TE BE'!$L$49</f>
        <v>-7.6531292448725331E-6</v>
      </c>
      <c r="M8" s="59">
        <f>'TE BE'!$M$8*'TE BE'!$M$49</f>
        <v>-6.1376449961527157</v>
      </c>
      <c r="N8" s="59">
        <f>'TE BE'!$N$8*'TE BE'!$N$49</f>
        <v>0</v>
      </c>
      <c r="O8" s="59">
        <f>'TE BE'!$O$8*'TE BE'!$O$49</f>
        <v>0</v>
      </c>
      <c r="P8" s="59">
        <f>'TE BE'!$P$8*'TE BE'!$P$49</f>
        <v>0</v>
      </c>
      <c r="Q8" s="59">
        <f>SUM($L$8:$P$8)</f>
        <v>-6.1376526492819607</v>
      </c>
      <c r="R8" s="59">
        <f>'TE BE'!$R$8*'TE BE'!$R$49</f>
        <v>22.342657551674552</v>
      </c>
      <c r="S8" s="59">
        <f>SUM($R$8:$R$8)</f>
        <v>22.342657551674552</v>
      </c>
      <c r="T8" s="59">
        <f>'TE BE'!$T$8*'TE BE'!$T$49</f>
        <v>0</v>
      </c>
      <c r="U8" s="59">
        <f>'TE BE'!$U$8*'TE BE'!$U$49</f>
        <v>0</v>
      </c>
      <c r="V8" s="59">
        <f>'TE BE'!$V$8*'TE BE'!$V$49</f>
        <v>0</v>
      </c>
      <c r="W8" s="59">
        <f>SUM($T$8:$V$8)</f>
        <v>0</v>
      </c>
      <c r="X8" s="59">
        <f>'TE BE'!$AB$8*'TE BE'!$X$49</f>
        <v>0</v>
      </c>
      <c r="Y8" s="59">
        <f>SUM($X$8:$X$8)</f>
        <v>0</v>
      </c>
      <c r="Z8" s="59">
        <f>'TE BE'!$Z$8*'TE BE'!$Z$49</f>
        <v>0.28920558248343675</v>
      </c>
      <c r="AA8" s="59">
        <f>SUM($Z$8:$Z$8)</f>
        <v>0.28920558248343675</v>
      </c>
      <c r="AB8" s="59">
        <f>SUMIF($L$4:$AA$4,"SUBTOTAL",$L$8:$AA$8)</f>
        <v>16.494210484876028</v>
      </c>
    </row>
    <row r="9" spans="1:28" ht="11.25" customHeight="1" x14ac:dyDescent="0.25">
      <c r="A9" s="153"/>
      <c r="B9" s="153"/>
      <c r="C9" s="153"/>
      <c r="D9" s="153"/>
      <c r="E9" s="153"/>
      <c r="F9" s="153"/>
      <c r="G9" s="62" t="s">
        <v>87</v>
      </c>
      <c r="H9" s="62" t="s">
        <v>74</v>
      </c>
      <c r="I9" s="62">
        <f>'MERCADO TE'!$U$6</f>
        <v>0</v>
      </c>
      <c r="J9" s="15"/>
      <c r="L9" s="59">
        <f>'TE BE'!$L$9*'TE BE'!$L$49</f>
        <v>-7.6531292448725331E-6</v>
      </c>
      <c r="M9" s="59">
        <f>'TE BE'!$M$9*'TE BE'!$M$49</f>
        <v>-6.1376449961527157</v>
      </c>
      <c r="N9" s="59">
        <f>'TE BE'!$N$9*'TE BE'!$N$49</f>
        <v>0</v>
      </c>
      <c r="O9" s="59">
        <f>'TE BE'!$O$9*'TE BE'!$O$49</f>
        <v>0</v>
      </c>
      <c r="P9" s="59">
        <f>'TE BE'!$P$9*'TE BE'!$P$49</f>
        <v>0</v>
      </c>
      <c r="Q9" s="59">
        <f>SUM($L$9:$P$9)</f>
        <v>-6.1376526492819607</v>
      </c>
      <c r="R9" s="59">
        <f>'TE BE'!$R$9*'TE BE'!$R$49</f>
        <v>12.989917181206136</v>
      </c>
      <c r="S9" s="59">
        <f>SUM($R$9:$R$9)</f>
        <v>12.989917181206136</v>
      </c>
      <c r="T9" s="59">
        <f>'TE BE'!$T$9*'TE BE'!$T$49</f>
        <v>0</v>
      </c>
      <c r="U9" s="59">
        <f>'TE BE'!$U$9*'TE BE'!$U$49</f>
        <v>0</v>
      </c>
      <c r="V9" s="59">
        <f>'TE BE'!$V$9*'TE BE'!$V$49</f>
        <v>0</v>
      </c>
      <c r="W9" s="59">
        <f>SUM($T$9:$V$9)</f>
        <v>0</v>
      </c>
      <c r="X9" s="59">
        <f>'TE BE'!$AB$9*'TE BE'!$X$49</f>
        <v>0</v>
      </c>
      <c r="Y9" s="59">
        <f>SUM($X$9:$X$9)</f>
        <v>0</v>
      </c>
      <c r="Z9" s="59">
        <f>'TE BE'!$Z$9*'TE BE'!$Z$49</f>
        <v>0.28920558248343675</v>
      </c>
      <c r="AA9" s="59">
        <f>SUM($Z$9:$Z$9)</f>
        <v>0.28920558248343675</v>
      </c>
      <c r="AB9" s="59">
        <f>SUMIF($L$4:$AA$4,"SUBTOTAL",$L$9:$AA$9)</f>
        <v>7.1414701144076123</v>
      </c>
    </row>
    <row r="10" spans="1:28" ht="11.25" customHeight="1" x14ac:dyDescent="0.25">
      <c r="A10" s="153"/>
      <c r="B10" s="153"/>
      <c r="C10" s="153"/>
      <c r="D10" s="153"/>
      <c r="E10" s="153"/>
      <c r="F10" s="153"/>
      <c r="G10" s="62" t="s">
        <v>76</v>
      </c>
      <c r="H10" s="62" t="s">
        <v>74</v>
      </c>
      <c r="I10" s="62">
        <f>'MERCADO TE'!$U$7</f>
        <v>0</v>
      </c>
      <c r="J10" s="15"/>
      <c r="L10" s="59">
        <f>'TE BE'!$L$10*'TE BE'!$L$49</f>
        <v>-7.6531292448725331E-6</v>
      </c>
      <c r="M10" s="59">
        <f>'TE BE'!$M$10*'TE BE'!$M$49</f>
        <v>-6.1376449961527157</v>
      </c>
      <c r="N10" s="59">
        <f>'TE BE'!$N$10*'TE BE'!$N$49</f>
        <v>0</v>
      </c>
      <c r="O10" s="59">
        <f>'TE BE'!$O$10*'TE BE'!$O$49</f>
        <v>0</v>
      </c>
      <c r="P10" s="59">
        <f>'TE BE'!$P$10*'TE BE'!$P$49</f>
        <v>0</v>
      </c>
      <c r="Q10" s="59">
        <f>SUM($L$10:$P$10)</f>
        <v>-6.1376526492819607</v>
      </c>
      <c r="R10" s="59">
        <f>'TE BE'!$R$10*'TE BE'!$R$49</f>
        <v>12.989917181206136</v>
      </c>
      <c r="S10" s="59">
        <f>SUM($R$10:$R$10)</f>
        <v>12.989917181206136</v>
      </c>
      <c r="T10" s="59">
        <f>'TE BE'!$T$10*'TE BE'!$T$49</f>
        <v>0</v>
      </c>
      <c r="U10" s="59">
        <f>'TE BE'!$U$10*'TE BE'!$U$49</f>
        <v>0</v>
      </c>
      <c r="V10" s="59">
        <f>'TE BE'!$V$10*'TE BE'!$V$49</f>
        <v>0</v>
      </c>
      <c r="W10" s="59">
        <f>SUM($T$10:$V$10)</f>
        <v>0</v>
      </c>
      <c r="X10" s="59">
        <f>'TE BE'!$AB$10*'TE BE'!$X$49</f>
        <v>0</v>
      </c>
      <c r="Y10" s="59">
        <f>SUM($X$10:$X$10)</f>
        <v>0</v>
      </c>
      <c r="Z10" s="59">
        <f>'TE BE'!$Z$10*'TE BE'!$Z$49</f>
        <v>0.28920558248343675</v>
      </c>
      <c r="AA10" s="59">
        <f>SUM($Z$10:$Z$10)</f>
        <v>0.28920558248343675</v>
      </c>
      <c r="AB10" s="59">
        <f>SUMIF($L$4:$AA$4,"SUBTOTAL",$L$10:$AA$10)</f>
        <v>7.1414701144076123</v>
      </c>
    </row>
    <row r="11" spans="1:28" ht="11.25" customHeight="1" x14ac:dyDescent="0.25">
      <c r="A11" s="153"/>
      <c r="B11" s="153" t="s">
        <v>77</v>
      </c>
      <c r="C11" s="153" t="s">
        <v>24</v>
      </c>
      <c r="D11" s="61" t="s">
        <v>24</v>
      </c>
      <c r="E11" s="61" t="s">
        <v>25</v>
      </c>
      <c r="F11" s="61" t="s">
        <v>25</v>
      </c>
      <c r="G11" s="62" t="s">
        <v>78</v>
      </c>
      <c r="H11" s="62" t="s">
        <v>74</v>
      </c>
      <c r="I11" s="62">
        <f>'MERCADO TE'!$U$8</f>
        <v>67923.810000000012</v>
      </c>
      <c r="J11" s="15"/>
      <c r="L11" s="59">
        <f>'TE BE'!$L$11*'TE BE'!$L$49</f>
        <v>-7.6531292448725331E-6</v>
      </c>
      <c r="M11" s="59">
        <f>'TE BE'!$M$11*'TE BE'!$M$49</f>
        <v>-6.1376449961527157</v>
      </c>
      <c r="N11" s="59">
        <f>'TE BE'!$N$11*'TE BE'!$N$49</f>
        <v>0</v>
      </c>
      <c r="O11" s="59">
        <f>'TE BE'!$O$11*'TE BE'!$O$49</f>
        <v>0</v>
      </c>
      <c r="P11" s="59">
        <f>'TE BE'!$P$11*'TE BE'!$P$49</f>
        <v>0</v>
      </c>
      <c r="Q11" s="59">
        <f>SUM($L$11:$P$11)</f>
        <v>-6.1376526492819607</v>
      </c>
      <c r="R11" s="59">
        <f>'TE BE'!$R$11*'TE BE'!$R$49</f>
        <v>13.769312212078505</v>
      </c>
      <c r="S11" s="59">
        <f>SUM($R$11:$R$11)</f>
        <v>13.769312212078505</v>
      </c>
      <c r="T11" s="59">
        <f>'TE BE'!$T$11*'TE BE'!$T$49</f>
        <v>0</v>
      </c>
      <c r="U11" s="59">
        <f>'TE BE'!$U$11*'TE BE'!$U$49</f>
        <v>0</v>
      </c>
      <c r="V11" s="59">
        <f>'TE BE'!$V$11*'TE BE'!$V$49</f>
        <v>0</v>
      </c>
      <c r="W11" s="59">
        <f>SUM($T$11:$V$11)</f>
        <v>0</v>
      </c>
      <c r="X11" s="59">
        <f>'TE BE'!$AB$11*'TE BE'!$X$49</f>
        <v>0</v>
      </c>
      <c r="Y11" s="59">
        <f>SUM($X$11:$X$11)</f>
        <v>0</v>
      </c>
      <c r="Z11" s="59">
        <f>'TE BE'!$Z$11*'TE BE'!$Z$49</f>
        <v>0.28920558248343675</v>
      </c>
      <c r="AA11" s="59">
        <f>SUM($Z$11:$Z$11)</f>
        <v>0.28920558248343675</v>
      </c>
      <c r="AB11" s="59">
        <f>SUMIF($L$4:$AA$4,"SUBTOTAL",$L$11:$AA$11)</f>
        <v>7.920865145279981</v>
      </c>
    </row>
    <row r="12" spans="1:28" ht="11.25" customHeight="1" x14ac:dyDescent="0.25">
      <c r="A12" s="153"/>
      <c r="B12" s="153"/>
      <c r="C12" s="153"/>
      <c r="D12" s="61" t="s">
        <v>29</v>
      </c>
      <c r="E12" s="61" t="s">
        <v>25</v>
      </c>
      <c r="F12" s="61" t="s">
        <v>25</v>
      </c>
      <c r="G12" s="62" t="s">
        <v>78</v>
      </c>
      <c r="H12" s="62" t="s">
        <v>74</v>
      </c>
      <c r="I12" s="62">
        <f>'MERCADO TE'!$U$9</f>
        <v>515.52700000000004</v>
      </c>
      <c r="J12" s="15"/>
      <c r="L12" s="59">
        <f>'TE BE'!$L$12*'TE BE'!$L$49</f>
        <v>-7.6531292448725331E-6</v>
      </c>
      <c r="M12" s="59">
        <f>'TE BE'!$M$12*'TE BE'!$M$49</f>
        <v>-6.1376449961527157</v>
      </c>
      <c r="N12" s="59">
        <f>'TE BE'!$N$12*'TE BE'!$N$49</f>
        <v>0</v>
      </c>
      <c r="O12" s="59">
        <f>'TE BE'!$O$12*'TE BE'!$O$49</f>
        <v>0</v>
      </c>
      <c r="P12" s="59">
        <f>'TE BE'!$P$12*'TE BE'!$P$49</f>
        <v>0</v>
      </c>
      <c r="Q12" s="59">
        <f>SUM($L$12:$P$12)</f>
        <v>-6.1376526492819607</v>
      </c>
      <c r="R12" s="59">
        <f>'TE BE'!$R$12*'TE BE'!$R$49</f>
        <v>13.769312212078505</v>
      </c>
      <c r="S12" s="59">
        <f>SUM($R$12:$R$12)</f>
        <v>13.769312212078505</v>
      </c>
      <c r="T12" s="59">
        <f>'TE BE'!$T$12*'TE BE'!$T$49</f>
        <v>0</v>
      </c>
      <c r="U12" s="59">
        <f>'TE BE'!$U$12*'TE BE'!$U$49</f>
        <v>0</v>
      </c>
      <c r="V12" s="59">
        <f>'TE BE'!$V$12*'TE BE'!$V$49</f>
        <v>0</v>
      </c>
      <c r="W12" s="59">
        <f>SUM($T$12:$V$12)</f>
        <v>0</v>
      </c>
      <c r="X12" s="59">
        <f>'TE BE'!$AB$12*'TE BE'!$X$49</f>
        <v>0</v>
      </c>
      <c r="Y12" s="59">
        <f>SUM($X$12:$X$12)</f>
        <v>0</v>
      </c>
      <c r="Z12" s="59">
        <f>'TE BE'!$Z$12*'TE BE'!$Z$49</f>
        <v>0.28920558248343675</v>
      </c>
      <c r="AA12" s="59">
        <f>SUM($Z$12:$Z$12)</f>
        <v>0.28920558248343675</v>
      </c>
      <c r="AB12" s="59">
        <f>SUMIF($L$4:$AA$4,"SUBTOTAL",$L$12:$AA$12)</f>
        <v>7.920865145279981</v>
      </c>
    </row>
    <row r="13" spans="1:28" ht="11.25" customHeight="1" x14ac:dyDescent="0.25">
      <c r="A13" s="153"/>
      <c r="B13" s="153"/>
      <c r="C13" s="153"/>
      <c r="D13" s="61" t="s">
        <v>30</v>
      </c>
      <c r="E13" s="61" t="s">
        <v>25</v>
      </c>
      <c r="F13" s="61" t="s">
        <v>25</v>
      </c>
      <c r="G13" s="62" t="s">
        <v>78</v>
      </c>
      <c r="H13" s="62" t="s">
        <v>74</v>
      </c>
      <c r="I13" s="62">
        <f>'MERCADO TE'!$U$10</f>
        <v>1078.232</v>
      </c>
      <c r="J13" s="15"/>
      <c r="L13" s="59">
        <f>'TE BE'!$L$13*'TE BE'!$L$49</f>
        <v>-7.6531292448725331E-6</v>
      </c>
      <c r="M13" s="59">
        <f>'TE BE'!$M$13*'TE BE'!$M$49</f>
        <v>-6.1376449961527157</v>
      </c>
      <c r="N13" s="59">
        <f>'TE BE'!$N$13*'TE BE'!$N$49</f>
        <v>0</v>
      </c>
      <c r="O13" s="59">
        <f>'TE BE'!$O$13*'TE BE'!$O$49</f>
        <v>0</v>
      </c>
      <c r="P13" s="59">
        <f>'TE BE'!$P$13*'TE BE'!$P$49</f>
        <v>0</v>
      </c>
      <c r="Q13" s="59">
        <f>SUM($L$13:$P$13)</f>
        <v>-6.1376526492819607</v>
      </c>
      <c r="R13" s="59">
        <f>'TE BE'!$R$13*'TE BE'!$R$49</f>
        <v>13.769312212078505</v>
      </c>
      <c r="S13" s="59">
        <f>SUM($R$13:$R$13)</f>
        <v>13.769312212078505</v>
      </c>
      <c r="T13" s="59">
        <f>'TE BE'!$T$13*'TE BE'!$T$49</f>
        <v>0</v>
      </c>
      <c r="U13" s="59">
        <f>'TE BE'!$U$13*'TE BE'!$U$49</f>
        <v>0</v>
      </c>
      <c r="V13" s="59">
        <f>'TE BE'!$V$13*'TE BE'!$V$49</f>
        <v>0</v>
      </c>
      <c r="W13" s="59">
        <f>SUM($T$13:$V$13)</f>
        <v>0</v>
      </c>
      <c r="X13" s="59">
        <f>'TE BE'!$AB$13*'TE BE'!$X$49</f>
        <v>0</v>
      </c>
      <c r="Y13" s="59">
        <f>SUM($X$13:$X$13)</f>
        <v>0</v>
      </c>
      <c r="Z13" s="59">
        <f>'TE BE'!$Z$13*'TE BE'!$Z$49</f>
        <v>0.28920558248343675</v>
      </c>
      <c r="AA13" s="59">
        <f>SUM($Z$13:$Z$13)</f>
        <v>0.28920558248343675</v>
      </c>
      <c r="AB13" s="59">
        <f>SUMIF($L$4:$AA$4,"SUBTOTAL",$L$13:$AA$13)</f>
        <v>7.920865145279981</v>
      </c>
    </row>
    <row r="14" spans="1:28" ht="11.25" customHeight="1" x14ac:dyDescent="0.25">
      <c r="A14" s="153"/>
      <c r="B14" s="153"/>
      <c r="C14" s="153"/>
      <c r="D14" s="61" t="s">
        <v>31</v>
      </c>
      <c r="E14" s="61" t="s">
        <v>25</v>
      </c>
      <c r="F14" s="61" t="s">
        <v>25</v>
      </c>
      <c r="G14" s="62" t="s">
        <v>78</v>
      </c>
      <c r="H14" s="62" t="s">
        <v>74</v>
      </c>
      <c r="I14" s="62">
        <f>'MERCADO TE'!$U$11</f>
        <v>1111.8500000000001</v>
      </c>
      <c r="J14" s="15"/>
      <c r="L14" s="59">
        <f>'TE BE'!$L$14*'TE BE'!$L$49</f>
        <v>-7.6531292448725331E-6</v>
      </c>
      <c r="M14" s="59">
        <f>'TE BE'!$M$14*'TE BE'!$M$49</f>
        <v>-6.1376449961527157</v>
      </c>
      <c r="N14" s="59">
        <f>'TE BE'!$N$14*'TE BE'!$N$49</f>
        <v>0</v>
      </c>
      <c r="O14" s="59">
        <f>'TE BE'!$O$14*'TE BE'!$O$49</f>
        <v>0</v>
      </c>
      <c r="P14" s="59">
        <f>'TE BE'!$P$14*'TE BE'!$P$49</f>
        <v>0</v>
      </c>
      <c r="Q14" s="59">
        <f>SUM($L$14:$P$14)</f>
        <v>-6.1376526492819607</v>
      </c>
      <c r="R14" s="59">
        <f>'TE BE'!$R$14*'TE BE'!$R$49</f>
        <v>13.769312212078505</v>
      </c>
      <c r="S14" s="59">
        <f>SUM($R$14:$R$14)</f>
        <v>13.769312212078505</v>
      </c>
      <c r="T14" s="59">
        <f>'TE BE'!$T$14*'TE BE'!$T$49</f>
        <v>0</v>
      </c>
      <c r="U14" s="59">
        <f>'TE BE'!$U$14*'TE BE'!$U$49</f>
        <v>0</v>
      </c>
      <c r="V14" s="59">
        <f>'TE BE'!$V$14*'TE BE'!$V$49</f>
        <v>0</v>
      </c>
      <c r="W14" s="59">
        <f>SUM($T$14:$V$14)</f>
        <v>0</v>
      </c>
      <c r="X14" s="59">
        <f>'TE BE'!$AB$14*'TE BE'!$X$49</f>
        <v>0</v>
      </c>
      <c r="Y14" s="59">
        <f>SUM($X$14:$X$14)</f>
        <v>0</v>
      </c>
      <c r="Z14" s="59">
        <f>'TE BE'!$Z$14*'TE BE'!$Z$49</f>
        <v>0.28920558248343675</v>
      </c>
      <c r="AA14" s="59">
        <f>SUM($Z$14:$Z$14)</f>
        <v>0.28920558248343675</v>
      </c>
      <c r="AB14" s="59">
        <f>SUMIF($L$4:$AA$4,"SUBTOTAL",$L$14:$AA$14)</f>
        <v>7.920865145279981</v>
      </c>
    </row>
    <row r="15" spans="1:28" ht="11.25" customHeight="1" x14ac:dyDescent="0.25">
      <c r="A15" s="153"/>
      <c r="B15" s="153"/>
      <c r="C15" s="153"/>
      <c r="D15" s="61" t="s">
        <v>32</v>
      </c>
      <c r="E15" s="61" t="s">
        <v>25</v>
      </c>
      <c r="F15" s="61" t="s">
        <v>25</v>
      </c>
      <c r="G15" s="62" t="s">
        <v>78</v>
      </c>
      <c r="H15" s="62" t="s">
        <v>74</v>
      </c>
      <c r="I15" s="62">
        <f>'MERCADO TE'!$U$12</f>
        <v>453.86500000000007</v>
      </c>
      <c r="J15" s="15"/>
      <c r="L15" s="59">
        <f>'TE BE'!$L$15*'TE BE'!$L$49</f>
        <v>-7.6531292448725331E-6</v>
      </c>
      <c r="M15" s="59">
        <f>'TE BE'!$M$15*'TE BE'!$M$49</f>
        <v>-6.1376449961527157</v>
      </c>
      <c r="N15" s="59">
        <f>'TE BE'!$N$15*'TE BE'!$N$49</f>
        <v>0</v>
      </c>
      <c r="O15" s="59">
        <f>'TE BE'!$O$15*'TE BE'!$O$49</f>
        <v>0</v>
      </c>
      <c r="P15" s="59">
        <f>'TE BE'!$P$15*'TE BE'!$P$49</f>
        <v>0</v>
      </c>
      <c r="Q15" s="59">
        <f>SUM($L$15:$P$15)</f>
        <v>-6.1376526492819607</v>
      </c>
      <c r="R15" s="59">
        <f>'TE BE'!$R$15*'TE BE'!$R$49</f>
        <v>13.769312212078505</v>
      </c>
      <c r="S15" s="59">
        <f>SUM($R$15:$R$15)</f>
        <v>13.769312212078505</v>
      </c>
      <c r="T15" s="59">
        <f>'TE BE'!$T$15*'TE BE'!$T$49</f>
        <v>0</v>
      </c>
      <c r="U15" s="59">
        <f>'TE BE'!$U$15*'TE BE'!$U$49</f>
        <v>0</v>
      </c>
      <c r="V15" s="59">
        <f>'TE BE'!$V$15*'TE BE'!$V$49</f>
        <v>0</v>
      </c>
      <c r="W15" s="59">
        <f>SUM($T$15:$V$15)</f>
        <v>0</v>
      </c>
      <c r="X15" s="59">
        <f>'TE BE'!$AB$15*'TE BE'!$X$49</f>
        <v>0</v>
      </c>
      <c r="Y15" s="59">
        <f>SUM($X$15:$X$15)</f>
        <v>0</v>
      </c>
      <c r="Z15" s="59">
        <f>'TE BE'!$Z$15*'TE BE'!$Z$49</f>
        <v>0.28920558248343675</v>
      </c>
      <c r="AA15" s="59">
        <f>SUM($Z$15:$Z$15)</f>
        <v>0.28920558248343675</v>
      </c>
      <c r="AB15" s="59">
        <f>SUMIF($L$4:$AA$4,"SUBTOTAL",$L$15:$AA$15)</f>
        <v>7.920865145279981</v>
      </c>
    </row>
    <row r="16" spans="1:28" ht="11.25" customHeight="1" x14ac:dyDescent="0.25">
      <c r="A16" s="153"/>
      <c r="B16" s="153" t="s">
        <v>88</v>
      </c>
      <c r="C16" s="153" t="s">
        <v>24</v>
      </c>
      <c r="D16" s="61" t="s">
        <v>24</v>
      </c>
      <c r="E16" s="61" t="s">
        <v>25</v>
      </c>
      <c r="F16" s="61" t="s">
        <v>25</v>
      </c>
      <c r="G16" s="62" t="s">
        <v>78</v>
      </c>
      <c r="H16" s="62" t="s">
        <v>74</v>
      </c>
      <c r="I16" s="62">
        <f>'MERCADO TE'!$U$13</f>
        <v>0</v>
      </c>
      <c r="J16" s="15"/>
      <c r="L16" s="59">
        <f>'TE BE'!$L$16*'TE BE'!$L$49</f>
        <v>-7.6531292448725331E-6</v>
      </c>
      <c r="M16" s="59">
        <f>'TE BE'!$M$16*'TE BE'!$M$49</f>
        <v>-6.1376449961527157</v>
      </c>
      <c r="N16" s="59">
        <f>'TE BE'!$N$16*'TE BE'!$N$49</f>
        <v>0</v>
      </c>
      <c r="O16" s="59">
        <f>'TE BE'!$O$16*'TE BE'!$O$49</f>
        <v>0</v>
      </c>
      <c r="P16" s="59">
        <f>'TE BE'!$P$16*'TE BE'!$P$49</f>
        <v>0</v>
      </c>
      <c r="Q16" s="59">
        <f>SUM($L$16:$P$16)</f>
        <v>-6.1376526492819607</v>
      </c>
      <c r="R16" s="59">
        <f>'TE BE'!$R$16*'TE BE'!$R$49</f>
        <v>13.769312212078505</v>
      </c>
      <c r="S16" s="59">
        <f>SUM($R$16:$R$16)</f>
        <v>13.769312212078505</v>
      </c>
      <c r="T16" s="59">
        <f>'TE BE'!$T$16*'TE BE'!$T$49</f>
        <v>0</v>
      </c>
      <c r="U16" s="59">
        <f>'TE BE'!$U$16*'TE BE'!$U$49</f>
        <v>0</v>
      </c>
      <c r="V16" s="59">
        <f>'TE BE'!$V$16*'TE BE'!$V$49</f>
        <v>0</v>
      </c>
      <c r="W16" s="59">
        <f>SUM($T$16:$V$16)</f>
        <v>0</v>
      </c>
      <c r="X16" s="59">
        <f>'TE BE'!$AB$16*'TE BE'!$X$49</f>
        <v>0</v>
      </c>
      <c r="Y16" s="59">
        <f>SUM($X$16:$X$16)</f>
        <v>0</v>
      </c>
      <c r="Z16" s="59">
        <f>'TE BE'!$Z$16*'TE BE'!$Z$49</f>
        <v>0.28920558248343675</v>
      </c>
      <c r="AA16" s="59">
        <f>SUM($Z$16:$Z$16)</f>
        <v>0.28920558248343675</v>
      </c>
      <c r="AB16" s="59">
        <f>SUMIF($L$4:$AA$4,"SUBTOTAL",$L$16:$AA$16)</f>
        <v>7.920865145279981</v>
      </c>
    </row>
    <row r="17" spans="1:28" ht="11.25" customHeight="1" x14ac:dyDescent="0.25">
      <c r="A17" s="153"/>
      <c r="B17" s="153"/>
      <c r="C17" s="153"/>
      <c r="D17" s="61" t="s">
        <v>29</v>
      </c>
      <c r="E17" s="61" t="s">
        <v>25</v>
      </c>
      <c r="F17" s="61" t="s">
        <v>25</v>
      </c>
      <c r="G17" s="62" t="s">
        <v>78</v>
      </c>
      <c r="H17" s="62" t="s">
        <v>74</v>
      </c>
      <c r="I17" s="62">
        <f>'MERCADO TE'!$U$14</f>
        <v>0</v>
      </c>
      <c r="J17" s="15"/>
      <c r="L17" s="59">
        <f>'TE BE'!$L$17*'TE BE'!$L$49</f>
        <v>-7.6531292448725331E-6</v>
      </c>
      <c r="M17" s="59">
        <f>'TE BE'!$M$17*'TE BE'!$M$49</f>
        <v>-6.1376449961527157</v>
      </c>
      <c r="N17" s="59">
        <f>'TE BE'!$N$17*'TE BE'!$N$49</f>
        <v>0</v>
      </c>
      <c r="O17" s="59">
        <f>'TE BE'!$O$17*'TE BE'!$O$49</f>
        <v>0</v>
      </c>
      <c r="P17" s="59">
        <f>'TE BE'!$P$17*'TE BE'!$P$49</f>
        <v>0</v>
      </c>
      <c r="Q17" s="59">
        <f>SUM($L$17:$P$17)</f>
        <v>-6.1376526492819607</v>
      </c>
      <c r="R17" s="59">
        <f>'TE BE'!$R$17*'TE BE'!$R$49</f>
        <v>13.769312212078505</v>
      </c>
      <c r="S17" s="59">
        <f>SUM($R$17:$R$17)</f>
        <v>13.769312212078505</v>
      </c>
      <c r="T17" s="59">
        <f>'TE BE'!$T$17*'TE BE'!$T$49</f>
        <v>0</v>
      </c>
      <c r="U17" s="59">
        <f>'TE BE'!$U$17*'TE BE'!$U$49</f>
        <v>0</v>
      </c>
      <c r="V17" s="59">
        <f>'TE BE'!$V$17*'TE BE'!$V$49</f>
        <v>0</v>
      </c>
      <c r="W17" s="59">
        <f>SUM($T$17:$V$17)</f>
        <v>0</v>
      </c>
      <c r="X17" s="59">
        <f>'TE BE'!$AB$17*'TE BE'!$X$49</f>
        <v>0</v>
      </c>
      <c r="Y17" s="59">
        <f>SUM($X$17:$X$17)</f>
        <v>0</v>
      </c>
      <c r="Z17" s="59">
        <f>'TE BE'!$Z$17*'TE BE'!$Z$49</f>
        <v>0.28920558248343675</v>
      </c>
      <c r="AA17" s="59">
        <f>SUM($Z$17:$Z$17)</f>
        <v>0.28920558248343675</v>
      </c>
      <c r="AB17" s="59">
        <f>SUMIF($L$4:$AA$4,"SUBTOTAL",$L$17:$AA$17)</f>
        <v>7.920865145279981</v>
      </c>
    </row>
    <row r="18" spans="1:28" ht="11.25" customHeight="1" x14ac:dyDescent="0.25">
      <c r="A18" s="153"/>
      <c r="B18" s="153"/>
      <c r="C18" s="153"/>
      <c r="D18" s="61" t="s">
        <v>30</v>
      </c>
      <c r="E18" s="61" t="s">
        <v>25</v>
      </c>
      <c r="F18" s="61" t="s">
        <v>25</v>
      </c>
      <c r="G18" s="62" t="s">
        <v>78</v>
      </c>
      <c r="H18" s="62" t="s">
        <v>74</v>
      </c>
      <c r="I18" s="62">
        <f>'MERCADO TE'!$U$15</f>
        <v>0</v>
      </c>
      <c r="J18" s="15"/>
      <c r="L18" s="59">
        <f>'TE BE'!$L$18*'TE BE'!$L$49</f>
        <v>-7.6531292448725331E-6</v>
      </c>
      <c r="M18" s="59">
        <f>'TE BE'!$M$18*'TE BE'!$M$49</f>
        <v>-6.1376449961527157</v>
      </c>
      <c r="N18" s="59">
        <f>'TE BE'!$N$18*'TE BE'!$N$49</f>
        <v>0</v>
      </c>
      <c r="O18" s="59">
        <f>'TE BE'!$O$18*'TE BE'!$O$49</f>
        <v>0</v>
      </c>
      <c r="P18" s="59">
        <f>'TE BE'!$P$18*'TE BE'!$P$49</f>
        <v>0</v>
      </c>
      <c r="Q18" s="59">
        <f>SUM($L$18:$P$18)</f>
        <v>-6.1376526492819607</v>
      </c>
      <c r="R18" s="59">
        <f>'TE BE'!$R$18*'TE BE'!$R$49</f>
        <v>13.769312212078505</v>
      </c>
      <c r="S18" s="59">
        <f>SUM($R$18:$R$18)</f>
        <v>13.769312212078505</v>
      </c>
      <c r="T18" s="59">
        <f>'TE BE'!$T$18*'TE BE'!$T$49</f>
        <v>0</v>
      </c>
      <c r="U18" s="59">
        <f>'TE BE'!$U$18*'TE BE'!$U$49</f>
        <v>0</v>
      </c>
      <c r="V18" s="59">
        <f>'TE BE'!$V$18*'TE BE'!$V$49</f>
        <v>0</v>
      </c>
      <c r="W18" s="59">
        <f>SUM($T$18:$V$18)</f>
        <v>0</v>
      </c>
      <c r="X18" s="59">
        <f>'TE BE'!$AB$18*'TE BE'!$X$49</f>
        <v>0</v>
      </c>
      <c r="Y18" s="59">
        <f>SUM($X$18:$X$18)</f>
        <v>0</v>
      </c>
      <c r="Z18" s="59">
        <f>'TE BE'!$Z$18*'TE BE'!$Z$49</f>
        <v>0.28920558248343675</v>
      </c>
      <c r="AA18" s="59">
        <f>SUM($Z$18:$Z$18)</f>
        <v>0.28920558248343675</v>
      </c>
      <c r="AB18" s="59">
        <f>SUMIF($L$4:$AA$4,"SUBTOTAL",$L$18:$AA$18)</f>
        <v>7.920865145279981</v>
      </c>
    </row>
    <row r="19" spans="1:28" ht="11.25" customHeight="1" x14ac:dyDescent="0.25">
      <c r="A19" s="153"/>
      <c r="B19" s="153"/>
      <c r="C19" s="153"/>
      <c r="D19" s="61" t="s">
        <v>31</v>
      </c>
      <c r="E19" s="61" t="s">
        <v>25</v>
      </c>
      <c r="F19" s="61" t="s">
        <v>25</v>
      </c>
      <c r="G19" s="62" t="s">
        <v>78</v>
      </c>
      <c r="H19" s="62" t="s">
        <v>74</v>
      </c>
      <c r="I19" s="62">
        <f>'MERCADO TE'!$U$16</f>
        <v>0</v>
      </c>
      <c r="J19" s="15"/>
      <c r="L19" s="59">
        <f>'TE BE'!$L$19*'TE BE'!$L$49</f>
        <v>-7.6531292448725331E-6</v>
      </c>
      <c r="M19" s="59">
        <f>'TE BE'!$M$19*'TE BE'!$M$49</f>
        <v>-6.1376449961527157</v>
      </c>
      <c r="N19" s="59">
        <f>'TE BE'!$N$19*'TE BE'!$N$49</f>
        <v>0</v>
      </c>
      <c r="O19" s="59">
        <f>'TE BE'!$O$19*'TE BE'!$O$49</f>
        <v>0</v>
      </c>
      <c r="P19" s="59">
        <f>'TE BE'!$P$19*'TE BE'!$P$49</f>
        <v>0</v>
      </c>
      <c r="Q19" s="59">
        <f>SUM($L$19:$P$19)</f>
        <v>-6.1376526492819607</v>
      </c>
      <c r="R19" s="59">
        <f>'TE BE'!$R$19*'TE BE'!$R$49</f>
        <v>13.769312212078505</v>
      </c>
      <c r="S19" s="59">
        <f>SUM($R$19:$R$19)</f>
        <v>13.769312212078505</v>
      </c>
      <c r="T19" s="59">
        <f>'TE BE'!$T$19*'TE BE'!$T$49</f>
        <v>0</v>
      </c>
      <c r="U19" s="59">
        <f>'TE BE'!$U$19*'TE BE'!$U$49</f>
        <v>0</v>
      </c>
      <c r="V19" s="59">
        <f>'TE BE'!$V$19*'TE BE'!$V$49</f>
        <v>0</v>
      </c>
      <c r="W19" s="59">
        <f>SUM($T$19:$V$19)</f>
        <v>0</v>
      </c>
      <c r="X19" s="59">
        <f>'TE BE'!$AB$19*'TE BE'!$X$49</f>
        <v>0</v>
      </c>
      <c r="Y19" s="59">
        <f>SUM($X$19:$X$19)</f>
        <v>0</v>
      </c>
      <c r="Z19" s="59">
        <f>'TE BE'!$Z$19*'TE BE'!$Z$49</f>
        <v>0.28920558248343675</v>
      </c>
      <c r="AA19" s="59">
        <f>SUM($Z$19:$Z$19)</f>
        <v>0.28920558248343675</v>
      </c>
      <c r="AB19" s="59">
        <f>SUMIF($L$4:$AA$4,"SUBTOTAL",$L$19:$AA$19)</f>
        <v>7.920865145279981</v>
      </c>
    </row>
    <row r="20" spans="1:28" ht="11.25" customHeight="1" x14ac:dyDescent="0.25">
      <c r="A20" s="153"/>
      <c r="B20" s="153"/>
      <c r="C20" s="153"/>
      <c r="D20" s="61" t="s">
        <v>32</v>
      </c>
      <c r="E20" s="61" t="s">
        <v>25</v>
      </c>
      <c r="F20" s="61" t="s">
        <v>25</v>
      </c>
      <c r="G20" s="62" t="s">
        <v>78</v>
      </c>
      <c r="H20" s="62" t="s">
        <v>74</v>
      </c>
      <c r="I20" s="62">
        <f>'MERCADO TE'!$U$17</f>
        <v>0</v>
      </c>
      <c r="J20" s="15"/>
      <c r="L20" s="59">
        <f>'TE BE'!$L$20*'TE BE'!$L$49</f>
        <v>-7.6531292448725331E-6</v>
      </c>
      <c r="M20" s="59">
        <f>'TE BE'!$M$20*'TE BE'!$M$49</f>
        <v>-6.1376449961527157</v>
      </c>
      <c r="N20" s="59">
        <f>'TE BE'!$N$20*'TE BE'!$N$49</f>
        <v>0</v>
      </c>
      <c r="O20" s="59">
        <f>'TE BE'!$O$20*'TE BE'!$O$49</f>
        <v>0</v>
      </c>
      <c r="P20" s="59">
        <f>'TE BE'!$P$20*'TE BE'!$P$49</f>
        <v>0</v>
      </c>
      <c r="Q20" s="59">
        <f>SUM($L$20:$P$20)</f>
        <v>-6.1376526492819607</v>
      </c>
      <c r="R20" s="59">
        <f>'TE BE'!$R$20*'TE BE'!$R$49</f>
        <v>13.769312212078505</v>
      </c>
      <c r="S20" s="59">
        <f>SUM($R$20:$R$20)</f>
        <v>13.769312212078505</v>
      </c>
      <c r="T20" s="59">
        <f>'TE BE'!$T$20*'TE BE'!$T$49</f>
        <v>0</v>
      </c>
      <c r="U20" s="59">
        <f>'TE BE'!$U$20*'TE BE'!$U$49</f>
        <v>0</v>
      </c>
      <c r="V20" s="59">
        <f>'TE BE'!$V$20*'TE BE'!$V$49</f>
        <v>0</v>
      </c>
      <c r="W20" s="59">
        <f>SUM($T$20:$V$20)</f>
        <v>0</v>
      </c>
      <c r="X20" s="59">
        <f>'TE BE'!$AB$20*'TE BE'!$X$49</f>
        <v>0</v>
      </c>
      <c r="Y20" s="59">
        <f>SUM($X$20:$X$20)</f>
        <v>0</v>
      </c>
      <c r="Z20" s="59">
        <f>'TE BE'!$Z$20*'TE BE'!$Z$49</f>
        <v>0.28920558248343675</v>
      </c>
      <c r="AA20" s="59">
        <f>SUM($Z$20:$Z$20)</f>
        <v>0.28920558248343675</v>
      </c>
      <c r="AB20" s="59">
        <f>SUMIF($L$4:$AA$4,"SUBTOTAL",$L$20:$AA$20)</f>
        <v>7.920865145279981</v>
      </c>
    </row>
    <row r="21" spans="1:28" ht="11.25" customHeight="1" x14ac:dyDescent="0.25">
      <c r="A21" s="153" t="s">
        <v>41</v>
      </c>
      <c r="B21" s="153" t="s">
        <v>73</v>
      </c>
      <c r="C21" s="153" t="s">
        <v>42</v>
      </c>
      <c r="D21" s="153" t="s">
        <v>25</v>
      </c>
      <c r="E21" s="153" t="s">
        <v>25</v>
      </c>
      <c r="F21" s="153" t="s">
        <v>25</v>
      </c>
      <c r="G21" s="62" t="s">
        <v>75</v>
      </c>
      <c r="H21" s="62" t="s">
        <v>74</v>
      </c>
      <c r="I21" s="62">
        <f>'MERCADO TE'!$U$18</f>
        <v>0</v>
      </c>
      <c r="J21" s="15"/>
      <c r="L21" s="59">
        <f>'TE BE'!$L$21*'TE BE'!$L$49</f>
        <v>-7.6531292448725331E-6</v>
      </c>
      <c r="M21" s="59">
        <f>'TE BE'!$M$21*'TE BE'!$M$49</f>
        <v>-6.1376449961527157</v>
      </c>
      <c r="N21" s="59">
        <f>'TE BE'!$N$21*'TE BE'!$N$49</f>
        <v>0</v>
      </c>
      <c r="O21" s="59">
        <f>'TE BE'!$O$21*'TE BE'!$O$49</f>
        <v>0</v>
      </c>
      <c r="P21" s="59">
        <f>'TE BE'!$P$21*'TE BE'!$P$49</f>
        <v>0</v>
      </c>
      <c r="Q21" s="59">
        <f>SUM($L$21:$P$21)</f>
        <v>-6.1376526492819607</v>
      </c>
      <c r="R21" s="59">
        <f>'TE BE'!$R$21*'TE BE'!$R$49</f>
        <v>22.342657551674552</v>
      </c>
      <c r="S21" s="59">
        <f>SUM($R$21:$R$21)</f>
        <v>22.342657551674552</v>
      </c>
      <c r="T21" s="59">
        <f>'TE BE'!$T$21*'TE BE'!$T$49</f>
        <v>0</v>
      </c>
      <c r="U21" s="59">
        <f>'TE BE'!$U$21*'TE BE'!$U$49</f>
        <v>0</v>
      </c>
      <c r="V21" s="59">
        <f>'TE BE'!$V$21*'TE BE'!$V$49</f>
        <v>0</v>
      </c>
      <c r="W21" s="59">
        <f>SUM($T$21:$V$21)</f>
        <v>0</v>
      </c>
      <c r="X21" s="59">
        <f>'TE BE'!$AB$21*'TE BE'!$X$49</f>
        <v>0</v>
      </c>
      <c r="Y21" s="59">
        <f>SUM($X$21:$X$21)</f>
        <v>0</v>
      </c>
      <c r="Z21" s="59">
        <f>'TE BE'!$Z$21*'TE BE'!$Z$49</f>
        <v>0.28920558248343675</v>
      </c>
      <c r="AA21" s="59">
        <f>SUM($Z$21:$Z$21)</f>
        <v>0.28920558248343675</v>
      </c>
      <c r="AB21" s="59">
        <f>SUMIF($L$4:$AA$4,"SUBTOTAL",$L$21:$AA$21)</f>
        <v>16.494210484876028</v>
      </c>
    </row>
    <row r="22" spans="1:28" ht="11.25" customHeight="1" x14ac:dyDescent="0.25">
      <c r="A22" s="153"/>
      <c r="B22" s="153"/>
      <c r="C22" s="153"/>
      <c r="D22" s="153"/>
      <c r="E22" s="153"/>
      <c r="F22" s="153"/>
      <c r="G22" s="62" t="s">
        <v>87</v>
      </c>
      <c r="H22" s="62" t="s">
        <v>74</v>
      </c>
      <c r="I22" s="62">
        <f>'MERCADO TE'!$U$19</f>
        <v>0</v>
      </c>
      <c r="J22" s="15"/>
      <c r="L22" s="59">
        <f>'TE BE'!$L$22*'TE BE'!$L$49</f>
        <v>-7.6531292448725331E-6</v>
      </c>
      <c r="M22" s="59">
        <f>'TE BE'!$M$22*'TE BE'!$M$49</f>
        <v>-6.1376449961527157</v>
      </c>
      <c r="N22" s="59">
        <f>'TE BE'!$N$22*'TE BE'!$N$49</f>
        <v>0</v>
      </c>
      <c r="O22" s="59">
        <f>'TE BE'!$O$22*'TE BE'!$O$49</f>
        <v>0</v>
      </c>
      <c r="P22" s="59">
        <f>'TE BE'!$P$22*'TE BE'!$P$49</f>
        <v>0</v>
      </c>
      <c r="Q22" s="59">
        <f>SUM($L$22:$P$22)</f>
        <v>-6.1376526492819607</v>
      </c>
      <c r="R22" s="59">
        <f>'TE BE'!$R$22*'TE BE'!$R$49</f>
        <v>12.989917181206136</v>
      </c>
      <c r="S22" s="59">
        <f>SUM($R$22:$R$22)</f>
        <v>12.989917181206136</v>
      </c>
      <c r="T22" s="59">
        <f>'TE BE'!$T$22*'TE BE'!$T$49</f>
        <v>0</v>
      </c>
      <c r="U22" s="59">
        <f>'TE BE'!$U$22*'TE BE'!$U$49</f>
        <v>0</v>
      </c>
      <c r="V22" s="59">
        <f>'TE BE'!$V$22*'TE BE'!$V$49</f>
        <v>0</v>
      </c>
      <c r="W22" s="59">
        <f>SUM($T$22:$V$22)</f>
        <v>0</v>
      </c>
      <c r="X22" s="59">
        <f>'TE BE'!$AB$22*'TE BE'!$X$49</f>
        <v>0</v>
      </c>
      <c r="Y22" s="59">
        <f>SUM($X$22:$X$22)</f>
        <v>0</v>
      </c>
      <c r="Z22" s="59">
        <f>'TE BE'!$Z$22*'TE BE'!$Z$49</f>
        <v>0.28920558248343675</v>
      </c>
      <c r="AA22" s="59">
        <f>SUM($Z$22:$Z$22)</f>
        <v>0.28920558248343675</v>
      </c>
      <c r="AB22" s="59">
        <f>SUMIF($L$4:$AA$4,"SUBTOTAL",$L$22:$AA$22)</f>
        <v>7.1414701144076123</v>
      </c>
    </row>
    <row r="23" spans="1:28" ht="11.25" customHeight="1" x14ac:dyDescent="0.25">
      <c r="A23" s="153"/>
      <c r="B23" s="153"/>
      <c r="C23" s="153"/>
      <c r="D23" s="153"/>
      <c r="E23" s="153"/>
      <c r="F23" s="153"/>
      <c r="G23" s="62" t="s">
        <v>76</v>
      </c>
      <c r="H23" s="62" t="s">
        <v>74</v>
      </c>
      <c r="I23" s="62">
        <f>'MERCADO TE'!$U$20</f>
        <v>0</v>
      </c>
      <c r="J23" s="15"/>
      <c r="L23" s="59">
        <f>'TE BE'!$L$23*'TE BE'!$L$49</f>
        <v>-7.6531292448725331E-6</v>
      </c>
      <c r="M23" s="59">
        <f>'TE BE'!$M$23*'TE BE'!$M$49</f>
        <v>-6.1376449961527157</v>
      </c>
      <c r="N23" s="59">
        <f>'TE BE'!$N$23*'TE BE'!$N$49</f>
        <v>0</v>
      </c>
      <c r="O23" s="59">
        <f>'TE BE'!$O$23*'TE BE'!$O$49</f>
        <v>0</v>
      </c>
      <c r="P23" s="59">
        <f>'TE BE'!$P$23*'TE BE'!$P$49</f>
        <v>0</v>
      </c>
      <c r="Q23" s="59">
        <f>SUM($L$23:$P$23)</f>
        <v>-6.1376526492819607</v>
      </c>
      <c r="R23" s="59">
        <f>'TE BE'!$R$23*'TE BE'!$R$49</f>
        <v>12.989917181206136</v>
      </c>
      <c r="S23" s="59">
        <f>SUM($R$23:$R$23)</f>
        <v>12.989917181206136</v>
      </c>
      <c r="T23" s="59">
        <f>'TE BE'!$T$23*'TE BE'!$T$49</f>
        <v>0</v>
      </c>
      <c r="U23" s="59">
        <f>'TE BE'!$U$23*'TE BE'!$U$49</f>
        <v>0</v>
      </c>
      <c r="V23" s="59">
        <f>'TE BE'!$V$23*'TE BE'!$V$49</f>
        <v>0</v>
      </c>
      <c r="W23" s="59">
        <f>SUM($T$23:$V$23)</f>
        <v>0</v>
      </c>
      <c r="X23" s="59">
        <f>'TE BE'!$AB$23*'TE BE'!$X$49</f>
        <v>0</v>
      </c>
      <c r="Y23" s="59">
        <f>SUM($X$23:$X$23)</f>
        <v>0</v>
      </c>
      <c r="Z23" s="59">
        <f>'TE BE'!$Z$23*'TE BE'!$Z$49</f>
        <v>0.28920558248343675</v>
      </c>
      <c r="AA23" s="59">
        <f>SUM($Z$23:$Z$23)</f>
        <v>0.28920558248343675</v>
      </c>
      <c r="AB23" s="59">
        <f>SUMIF($L$4:$AA$4,"SUBTOTAL",$L$23:$AA$23)</f>
        <v>7.1414701144076123</v>
      </c>
    </row>
    <row r="24" spans="1:28" ht="11.25" customHeight="1" x14ac:dyDescent="0.25">
      <c r="A24" s="153"/>
      <c r="B24" s="61" t="s">
        <v>77</v>
      </c>
      <c r="C24" s="61" t="s">
        <v>42</v>
      </c>
      <c r="D24" s="61" t="s">
        <v>25</v>
      </c>
      <c r="E24" s="61" t="s">
        <v>25</v>
      </c>
      <c r="F24" s="61" t="s">
        <v>25</v>
      </c>
      <c r="G24" s="62" t="s">
        <v>78</v>
      </c>
      <c r="H24" s="62" t="s">
        <v>74</v>
      </c>
      <c r="I24" s="62">
        <f>'MERCADO TE'!$U$21</f>
        <v>11721.666999999998</v>
      </c>
      <c r="J24" s="15"/>
      <c r="L24" s="59">
        <f>'TE BE'!$L$24*'TE BE'!$L$49</f>
        <v>-7.6531292448725331E-6</v>
      </c>
      <c r="M24" s="59">
        <f>'TE BE'!$M$24*'TE BE'!$M$49</f>
        <v>-6.1376449961527157</v>
      </c>
      <c r="N24" s="59">
        <f>'TE BE'!$N$24*'TE BE'!$N$49</f>
        <v>0</v>
      </c>
      <c r="O24" s="59">
        <f>'TE BE'!$O$24*'TE BE'!$O$49</f>
        <v>0</v>
      </c>
      <c r="P24" s="59">
        <f>'TE BE'!$P$24*'TE BE'!$P$49</f>
        <v>0</v>
      </c>
      <c r="Q24" s="59">
        <f>SUM($L$24:$P$24)</f>
        <v>-6.1376526492819607</v>
      </c>
      <c r="R24" s="59">
        <f>'TE BE'!$R$24*'TE BE'!$R$49</f>
        <v>13.769312212078505</v>
      </c>
      <c r="S24" s="59">
        <f>SUM($R$24:$R$24)</f>
        <v>13.769312212078505</v>
      </c>
      <c r="T24" s="59">
        <f>'TE BE'!$T$24*'TE BE'!$T$49</f>
        <v>0</v>
      </c>
      <c r="U24" s="59">
        <f>'TE BE'!$U$24*'TE BE'!$U$49</f>
        <v>0</v>
      </c>
      <c r="V24" s="59">
        <f>'TE BE'!$V$24*'TE BE'!$V$49</f>
        <v>0</v>
      </c>
      <c r="W24" s="59">
        <f>SUM($T$24:$V$24)</f>
        <v>0</v>
      </c>
      <c r="X24" s="59">
        <f>'TE BE'!$AB$24*'TE BE'!$X$49</f>
        <v>0</v>
      </c>
      <c r="Y24" s="59">
        <f>SUM($X$24:$X$24)</f>
        <v>0</v>
      </c>
      <c r="Z24" s="59">
        <f>'TE BE'!$Z$24*'TE BE'!$Z$49</f>
        <v>0.28920558248343675</v>
      </c>
      <c r="AA24" s="59">
        <f>SUM($Z$24:$Z$24)</f>
        <v>0.28920558248343675</v>
      </c>
      <c r="AB24" s="59">
        <f>SUMIF($L$4:$AA$4,"SUBTOTAL",$L$24:$AA$24)</f>
        <v>7.920865145279981</v>
      </c>
    </row>
    <row r="25" spans="1:28" ht="11.25" customHeight="1" x14ac:dyDescent="0.25">
      <c r="A25" s="153"/>
      <c r="B25" s="153" t="s">
        <v>73</v>
      </c>
      <c r="C25" s="153" t="s">
        <v>42</v>
      </c>
      <c r="D25" s="153" t="s">
        <v>90</v>
      </c>
      <c r="E25" s="153" t="s">
        <v>25</v>
      </c>
      <c r="F25" s="153" t="s">
        <v>25</v>
      </c>
      <c r="G25" s="62" t="s">
        <v>75</v>
      </c>
      <c r="H25" s="62" t="s">
        <v>74</v>
      </c>
      <c r="I25" s="62">
        <f>'MERCADO TE'!$U$22</f>
        <v>0</v>
      </c>
      <c r="J25" s="15"/>
      <c r="L25" s="59">
        <f>'TE BE'!$L$25*'TE BE'!$L$49</f>
        <v>-7.6531292448725331E-6</v>
      </c>
      <c r="M25" s="59">
        <f>'TE BE'!$M$25*'TE BE'!$M$49</f>
        <v>-6.1376449961527157</v>
      </c>
      <c r="N25" s="59">
        <f>'TE BE'!$N$25*'TE BE'!$N$49</f>
        <v>0</v>
      </c>
      <c r="O25" s="59">
        <f>'TE BE'!$O$25*'TE BE'!$O$49</f>
        <v>0</v>
      </c>
      <c r="P25" s="59">
        <f>'TE BE'!$P$25*'TE BE'!$P$49</f>
        <v>0</v>
      </c>
      <c r="Q25" s="59">
        <f>SUM($L$25:$P$25)</f>
        <v>-6.1376526492819607</v>
      </c>
      <c r="R25" s="59">
        <f>'TE BE'!$R$25*'TE BE'!$R$49</f>
        <v>22.342657551674552</v>
      </c>
      <c r="S25" s="59">
        <f>SUM($R$25:$R$25)</f>
        <v>22.342657551674552</v>
      </c>
      <c r="T25" s="59">
        <f>'TE BE'!$T$25*'TE BE'!$T$49</f>
        <v>0</v>
      </c>
      <c r="U25" s="59">
        <f>'TE BE'!$U$25*'TE BE'!$U$49</f>
        <v>0</v>
      </c>
      <c r="V25" s="59">
        <f>'TE BE'!$V$25*'TE BE'!$V$49</f>
        <v>0</v>
      </c>
      <c r="W25" s="59">
        <f>SUM($T$25:$V$25)</f>
        <v>0</v>
      </c>
      <c r="X25" s="59">
        <f>'TE BE'!$AB$25*'TE BE'!$X$49</f>
        <v>0</v>
      </c>
      <c r="Y25" s="59">
        <f>SUM($X$25:$X$25)</f>
        <v>0</v>
      </c>
      <c r="Z25" s="59">
        <f>'TE BE'!$Z$25*'TE BE'!$Z$49</f>
        <v>0.28920558248343675</v>
      </c>
      <c r="AA25" s="59">
        <f>SUM($Z$25:$Z$25)</f>
        <v>0.28920558248343675</v>
      </c>
      <c r="AB25" s="59">
        <f>SUMIF($L$4:$AA$4,"SUBTOTAL",$L$25:$AA$25)</f>
        <v>16.494210484876028</v>
      </c>
    </row>
    <row r="26" spans="1:28" ht="11.25" customHeight="1" x14ac:dyDescent="0.25">
      <c r="A26" s="153"/>
      <c r="B26" s="153"/>
      <c r="C26" s="153"/>
      <c r="D26" s="153"/>
      <c r="E26" s="153"/>
      <c r="F26" s="153"/>
      <c r="G26" s="62" t="s">
        <v>87</v>
      </c>
      <c r="H26" s="62" t="s">
        <v>74</v>
      </c>
      <c r="I26" s="62">
        <f>'MERCADO TE'!$U$23</f>
        <v>0</v>
      </c>
      <c r="J26" s="15"/>
      <c r="L26" s="59">
        <f>'TE BE'!$L$26*'TE BE'!$L$49</f>
        <v>-7.6531292448725331E-6</v>
      </c>
      <c r="M26" s="59">
        <f>'TE BE'!$M$26*'TE BE'!$M$49</f>
        <v>-6.1376449961527157</v>
      </c>
      <c r="N26" s="59">
        <f>'TE BE'!$N$26*'TE BE'!$N$49</f>
        <v>0</v>
      </c>
      <c r="O26" s="59">
        <f>'TE BE'!$O$26*'TE BE'!$O$49</f>
        <v>0</v>
      </c>
      <c r="P26" s="59">
        <f>'TE BE'!$P$26*'TE BE'!$P$49</f>
        <v>0</v>
      </c>
      <c r="Q26" s="59">
        <f>SUM($L$26:$P$26)</f>
        <v>-6.1376526492819607</v>
      </c>
      <c r="R26" s="59">
        <f>'TE BE'!$R$26*'TE BE'!$R$49</f>
        <v>12.989917181206136</v>
      </c>
      <c r="S26" s="59">
        <f>SUM($R$26:$R$26)</f>
        <v>12.989917181206136</v>
      </c>
      <c r="T26" s="59">
        <f>'TE BE'!$T$26*'TE BE'!$T$49</f>
        <v>0</v>
      </c>
      <c r="U26" s="59">
        <f>'TE BE'!$U$26*'TE BE'!$U$49</f>
        <v>0</v>
      </c>
      <c r="V26" s="59">
        <f>'TE BE'!$V$26*'TE BE'!$V$49</f>
        <v>0</v>
      </c>
      <c r="W26" s="59">
        <f>SUM($T$26:$V$26)</f>
        <v>0</v>
      </c>
      <c r="X26" s="59">
        <f>'TE BE'!$AB$26*'TE BE'!$X$49</f>
        <v>0</v>
      </c>
      <c r="Y26" s="59">
        <f>SUM($X$26:$X$26)</f>
        <v>0</v>
      </c>
      <c r="Z26" s="59">
        <f>'TE BE'!$Z$26*'TE BE'!$Z$49</f>
        <v>0.28920558248343675</v>
      </c>
      <c r="AA26" s="59">
        <f>SUM($Z$26:$Z$26)</f>
        <v>0.28920558248343675</v>
      </c>
      <c r="AB26" s="59">
        <f>SUMIF($L$4:$AA$4,"SUBTOTAL",$L$26:$AA$26)</f>
        <v>7.1414701144076123</v>
      </c>
    </row>
    <row r="27" spans="1:28" ht="11.25" customHeight="1" x14ac:dyDescent="0.25">
      <c r="A27" s="153"/>
      <c r="B27" s="153"/>
      <c r="C27" s="153"/>
      <c r="D27" s="153"/>
      <c r="E27" s="153"/>
      <c r="F27" s="153"/>
      <c r="G27" s="62" t="s">
        <v>76</v>
      </c>
      <c r="H27" s="62" t="s">
        <v>74</v>
      </c>
      <c r="I27" s="62">
        <f>'MERCADO TE'!$U$24</f>
        <v>0</v>
      </c>
      <c r="J27" s="15"/>
      <c r="L27" s="59">
        <f>'TE BE'!$L$27*'TE BE'!$L$49</f>
        <v>-7.6531292448725331E-6</v>
      </c>
      <c r="M27" s="59">
        <f>'TE BE'!$M$27*'TE BE'!$M$49</f>
        <v>-6.1376449961527157</v>
      </c>
      <c r="N27" s="59">
        <f>'TE BE'!$N$27*'TE BE'!$N$49</f>
        <v>0</v>
      </c>
      <c r="O27" s="59">
        <f>'TE BE'!$O$27*'TE BE'!$O$49</f>
        <v>0</v>
      </c>
      <c r="P27" s="59">
        <f>'TE BE'!$P$27*'TE BE'!$P$49</f>
        <v>0</v>
      </c>
      <c r="Q27" s="59">
        <f>SUM($L$27:$P$27)</f>
        <v>-6.1376526492819607</v>
      </c>
      <c r="R27" s="59">
        <f>'TE BE'!$R$27*'TE BE'!$R$49</f>
        <v>12.989917181206136</v>
      </c>
      <c r="S27" s="59">
        <f>SUM($R$27:$R$27)</f>
        <v>12.989917181206136</v>
      </c>
      <c r="T27" s="59">
        <f>'TE BE'!$T$27*'TE BE'!$T$49</f>
        <v>0</v>
      </c>
      <c r="U27" s="59">
        <f>'TE BE'!$U$27*'TE BE'!$U$49</f>
        <v>0</v>
      </c>
      <c r="V27" s="59">
        <f>'TE BE'!$V$27*'TE BE'!$V$49</f>
        <v>0</v>
      </c>
      <c r="W27" s="59">
        <f>SUM($T$27:$V$27)</f>
        <v>0</v>
      </c>
      <c r="X27" s="59">
        <f>'TE BE'!$AB$27*'TE BE'!$X$49</f>
        <v>0</v>
      </c>
      <c r="Y27" s="59">
        <f>SUM($X$27:$X$27)</f>
        <v>0</v>
      </c>
      <c r="Z27" s="59">
        <f>'TE BE'!$Z$27*'TE BE'!$Z$49</f>
        <v>0.28920558248343675</v>
      </c>
      <c r="AA27" s="59">
        <f>SUM($Z$27:$Z$27)</f>
        <v>0.28920558248343675</v>
      </c>
      <c r="AB27" s="59">
        <f>SUMIF($L$4:$AA$4,"SUBTOTAL",$L$27:$AA$27)</f>
        <v>7.1414701144076123</v>
      </c>
    </row>
    <row r="28" spans="1:28" ht="11.25" customHeight="1" x14ac:dyDescent="0.25">
      <c r="A28" s="153"/>
      <c r="B28" s="61" t="s">
        <v>77</v>
      </c>
      <c r="C28" s="61" t="s">
        <v>42</v>
      </c>
      <c r="D28" s="61" t="s">
        <v>90</v>
      </c>
      <c r="E28" s="61" t="s">
        <v>25</v>
      </c>
      <c r="F28" s="61" t="s">
        <v>25</v>
      </c>
      <c r="G28" s="62" t="s">
        <v>78</v>
      </c>
      <c r="H28" s="62" t="s">
        <v>74</v>
      </c>
      <c r="I28" s="62">
        <f>'MERCADO TE'!$U$25</f>
        <v>0</v>
      </c>
      <c r="J28" s="15"/>
      <c r="L28" s="59">
        <f>'TE BE'!$L$28*'TE BE'!$L$49</f>
        <v>-7.6531292448725331E-6</v>
      </c>
      <c r="M28" s="59">
        <f>'TE BE'!$M$28*'TE BE'!$M$49</f>
        <v>-6.1376449961527157</v>
      </c>
      <c r="N28" s="59">
        <f>'TE BE'!$N$28*'TE BE'!$N$49</f>
        <v>0</v>
      </c>
      <c r="O28" s="59">
        <f>'TE BE'!$O$28*'TE BE'!$O$49</f>
        <v>0</v>
      </c>
      <c r="P28" s="59">
        <f>'TE BE'!$P$28*'TE BE'!$P$49</f>
        <v>0</v>
      </c>
      <c r="Q28" s="59">
        <f>SUM($L$28:$P$28)</f>
        <v>-6.1376526492819607</v>
      </c>
      <c r="R28" s="59">
        <f>'TE BE'!$R$28*'TE BE'!$R$49</f>
        <v>13.769312212078505</v>
      </c>
      <c r="S28" s="59">
        <f>SUM($R$28:$R$28)</f>
        <v>13.769312212078505</v>
      </c>
      <c r="T28" s="59">
        <f>'TE BE'!$T$28*'TE BE'!$T$49</f>
        <v>0</v>
      </c>
      <c r="U28" s="59">
        <f>'TE BE'!$U$28*'TE BE'!$U$49</f>
        <v>0</v>
      </c>
      <c r="V28" s="59">
        <f>'TE BE'!$V$28*'TE BE'!$V$49</f>
        <v>0</v>
      </c>
      <c r="W28" s="59">
        <f>SUM($T$28:$V$28)</f>
        <v>0</v>
      </c>
      <c r="X28" s="59">
        <f>'TE BE'!$AB$28*'TE BE'!$X$49</f>
        <v>0</v>
      </c>
      <c r="Y28" s="59">
        <f>SUM($X$28:$X$28)</f>
        <v>0</v>
      </c>
      <c r="Z28" s="59">
        <f>'TE BE'!$Z$28*'TE BE'!$Z$49</f>
        <v>0.28920558248343675</v>
      </c>
      <c r="AA28" s="59">
        <f>SUM($Z$28:$Z$28)</f>
        <v>0.28920558248343675</v>
      </c>
      <c r="AB28" s="59">
        <f>SUMIF($L$4:$AA$4,"SUBTOTAL",$L$28:$AA$28)</f>
        <v>7.920865145279981</v>
      </c>
    </row>
    <row r="29" spans="1:28" ht="11.25" customHeight="1" x14ac:dyDescent="0.25">
      <c r="A29" s="153"/>
      <c r="B29" s="153" t="s">
        <v>73</v>
      </c>
      <c r="C29" s="153" t="s">
        <v>42</v>
      </c>
      <c r="D29" s="153" t="s">
        <v>91</v>
      </c>
      <c r="E29" s="153" t="s">
        <v>25</v>
      </c>
      <c r="F29" s="153" t="s">
        <v>25</v>
      </c>
      <c r="G29" s="62" t="s">
        <v>75</v>
      </c>
      <c r="H29" s="62" t="s">
        <v>74</v>
      </c>
      <c r="I29" s="62">
        <f>'MERCADO TE'!$U$26</f>
        <v>0</v>
      </c>
      <c r="J29" s="15"/>
      <c r="L29" s="59">
        <f>'TE BE'!$L$29*'TE BE'!$L$49</f>
        <v>-7.6531292448725331E-6</v>
      </c>
      <c r="M29" s="59">
        <f>'TE BE'!$M$29*'TE BE'!$M$49</f>
        <v>-6.1376449961527157</v>
      </c>
      <c r="N29" s="59">
        <f>'TE BE'!$N$29*'TE BE'!$N$49</f>
        <v>0</v>
      </c>
      <c r="O29" s="59">
        <f>'TE BE'!$O$29*'TE BE'!$O$49</f>
        <v>0</v>
      </c>
      <c r="P29" s="59">
        <f>'TE BE'!$P$29*'TE BE'!$P$49</f>
        <v>0</v>
      </c>
      <c r="Q29" s="59">
        <f>SUM($L$29:$P$29)</f>
        <v>-6.1376526492819607</v>
      </c>
      <c r="R29" s="59">
        <f>'TE BE'!$R$29*'TE BE'!$R$49</f>
        <v>22.342657551674552</v>
      </c>
      <c r="S29" s="59">
        <f>SUM($R$29:$R$29)</f>
        <v>22.342657551674552</v>
      </c>
      <c r="T29" s="59">
        <f>'TE BE'!$T$29*'TE BE'!$T$49</f>
        <v>0</v>
      </c>
      <c r="U29" s="59">
        <f>'TE BE'!$U$29*'TE BE'!$U$49</f>
        <v>0</v>
      </c>
      <c r="V29" s="59">
        <f>'TE BE'!$V$29*'TE BE'!$V$49</f>
        <v>0</v>
      </c>
      <c r="W29" s="59">
        <f>SUM($T$29:$V$29)</f>
        <v>0</v>
      </c>
      <c r="X29" s="59">
        <f>'TE BE'!$AB$29*'TE BE'!$X$49</f>
        <v>0</v>
      </c>
      <c r="Y29" s="59">
        <f>SUM($X$29:$X$29)</f>
        <v>0</v>
      </c>
      <c r="Z29" s="59">
        <f>'TE BE'!$Z$29*'TE BE'!$Z$49</f>
        <v>0.28920558248343675</v>
      </c>
      <c r="AA29" s="59">
        <f>SUM($Z$29:$Z$29)</f>
        <v>0.28920558248343675</v>
      </c>
      <c r="AB29" s="59">
        <f>SUMIF($L$4:$AA$4,"SUBTOTAL",$L$29:$AA$29)</f>
        <v>16.494210484876028</v>
      </c>
    </row>
    <row r="30" spans="1:28" ht="11.25" customHeight="1" x14ac:dyDescent="0.25">
      <c r="A30" s="153"/>
      <c r="B30" s="153"/>
      <c r="C30" s="153"/>
      <c r="D30" s="153"/>
      <c r="E30" s="153"/>
      <c r="F30" s="153"/>
      <c r="G30" s="62" t="s">
        <v>87</v>
      </c>
      <c r="H30" s="62" t="s">
        <v>74</v>
      </c>
      <c r="I30" s="62">
        <f>'MERCADO TE'!$U$27</f>
        <v>0</v>
      </c>
      <c r="J30" s="15"/>
      <c r="L30" s="59">
        <f>'TE BE'!$L$30*'TE BE'!$L$49</f>
        <v>-7.6531292448725331E-6</v>
      </c>
      <c r="M30" s="59">
        <f>'TE BE'!$M$30*'TE BE'!$M$49</f>
        <v>-6.1376449961527157</v>
      </c>
      <c r="N30" s="59">
        <f>'TE BE'!$N$30*'TE BE'!$N$49</f>
        <v>0</v>
      </c>
      <c r="O30" s="59">
        <f>'TE BE'!$O$30*'TE BE'!$O$49</f>
        <v>0</v>
      </c>
      <c r="P30" s="59">
        <f>'TE BE'!$P$30*'TE BE'!$P$49</f>
        <v>0</v>
      </c>
      <c r="Q30" s="59">
        <f>SUM($L$30:$P$30)</f>
        <v>-6.1376526492819607</v>
      </c>
      <c r="R30" s="59">
        <f>'TE BE'!$R$30*'TE BE'!$R$49</f>
        <v>12.989917181206136</v>
      </c>
      <c r="S30" s="59">
        <f>SUM($R$30:$R$30)</f>
        <v>12.989917181206136</v>
      </c>
      <c r="T30" s="59">
        <f>'TE BE'!$T$30*'TE BE'!$T$49</f>
        <v>0</v>
      </c>
      <c r="U30" s="59">
        <f>'TE BE'!$U$30*'TE BE'!$U$49</f>
        <v>0</v>
      </c>
      <c r="V30" s="59">
        <f>'TE BE'!$V$30*'TE BE'!$V$49</f>
        <v>0</v>
      </c>
      <c r="W30" s="59">
        <f>SUM($T$30:$V$30)</f>
        <v>0</v>
      </c>
      <c r="X30" s="59">
        <f>'TE BE'!$AB$30*'TE BE'!$X$49</f>
        <v>0</v>
      </c>
      <c r="Y30" s="59">
        <f>SUM($X$30:$X$30)</f>
        <v>0</v>
      </c>
      <c r="Z30" s="59">
        <f>'TE BE'!$Z$30*'TE BE'!$Z$49</f>
        <v>0.28920558248343675</v>
      </c>
      <c r="AA30" s="59">
        <f>SUM($Z$30:$Z$30)</f>
        <v>0.28920558248343675</v>
      </c>
      <c r="AB30" s="59">
        <f>SUMIF($L$4:$AA$4,"SUBTOTAL",$L$30:$AA$30)</f>
        <v>7.1414701144076123</v>
      </c>
    </row>
    <row r="31" spans="1:28" ht="11.25" customHeight="1" x14ac:dyDescent="0.25">
      <c r="A31" s="153"/>
      <c r="B31" s="153"/>
      <c r="C31" s="153"/>
      <c r="D31" s="153"/>
      <c r="E31" s="153"/>
      <c r="F31" s="153"/>
      <c r="G31" s="62" t="s">
        <v>76</v>
      </c>
      <c r="H31" s="62" t="s">
        <v>74</v>
      </c>
      <c r="I31" s="62">
        <f>'MERCADO TE'!$U$28</f>
        <v>0</v>
      </c>
      <c r="J31" s="15"/>
      <c r="L31" s="59">
        <f>'TE BE'!$L$31*'TE BE'!$L$49</f>
        <v>-7.6531292448725331E-6</v>
      </c>
      <c r="M31" s="59">
        <f>'TE BE'!$M$31*'TE BE'!$M$49</f>
        <v>-6.1376449961527157</v>
      </c>
      <c r="N31" s="59">
        <f>'TE BE'!$N$31*'TE BE'!$N$49</f>
        <v>0</v>
      </c>
      <c r="O31" s="59">
        <f>'TE BE'!$O$31*'TE BE'!$O$49</f>
        <v>0</v>
      </c>
      <c r="P31" s="59">
        <f>'TE BE'!$P$31*'TE BE'!$P$49</f>
        <v>0</v>
      </c>
      <c r="Q31" s="59">
        <f>SUM($L$31:$P$31)</f>
        <v>-6.1376526492819607</v>
      </c>
      <c r="R31" s="59">
        <f>'TE BE'!$R$31*'TE BE'!$R$49</f>
        <v>12.989917181206136</v>
      </c>
      <c r="S31" s="59">
        <f>SUM($R$31:$R$31)</f>
        <v>12.989917181206136</v>
      </c>
      <c r="T31" s="59">
        <f>'TE BE'!$T$31*'TE BE'!$T$49</f>
        <v>0</v>
      </c>
      <c r="U31" s="59">
        <f>'TE BE'!$U$31*'TE BE'!$U$49</f>
        <v>0</v>
      </c>
      <c r="V31" s="59">
        <f>'TE BE'!$V$31*'TE BE'!$V$49</f>
        <v>0</v>
      </c>
      <c r="W31" s="59">
        <f>SUM($T$31:$V$31)</f>
        <v>0</v>
      </c>
      <c r="X31" s="59">
        <f>'TE BE'!$AB$31*'TE BE'!$X$49</f>
        <v>0</v>
      </c>
      <c r="Y31" s="59">
        <f>SUM($X$31:$X$31)</f>
        <v>0</v>
      </c>
      <c r="Z31" s="59">
        <f>'TE BE'!$Z$31*'TE BE'!$Z$49</f>
        <v>0.28920558248343675</v>
      </c>
      <c r="AA31" s="59">
        <f>SUM($Z$31:$Z$31)</f>
        <v>0.28920558248343675</v>
      </c>
      <c r="AB31" s="59">
        <f>SUMIF($L$4:$AA$4,"SUBTOTAL",$L$31:$AA$31)</f>
        <v>7.1414701144076123</v>
      </c>
    </row>
    <row r="32" spans="1:28" ht="11.25" customHeight="1" x14ac:dyDescent="0.25">
      <c r="A32" s="153"/>
      <c r="B32" s="61" t="s">
        <v>77</v>
      </c>
      <c r="C32" s="61" t="s">
        <v>42</v>
      </c>
      <c r="D32" s="61" t="s">
        <v>91</v>
      </c>
      <c r="E32" s="61" t="s">
        <v>25</v>
      </c>
      <c r="F32" s="61" t="s">
        <v>25</v>
      </c>
      <c r="G32" s="62" t="s">
        <v>78</v>
      </c>
      <c r="H32" s="62" t="s">
        <v>74</v>
      </c>
      <c r="I32" s="62">
        <f>'MERCADO TE'!$U$29</f>
        <v>0</v>
      </c>
      <c r="J32" s="15"/>
      <c r="L32" s="59">
        <f>'TE BE'!$L$32*'TE BE'!$L$49</f>
        <v>-7.6531292448725331E-6</v>
      </c>
      <c r="M32" s="59">
        <f>'TE BE'!$M$32*'TE BE'!$M$49</f>
        <v>-6.1376449961527157</v>
      </c>
      <c r="N32" s="59">
        <f>'TE BE'!$N$32*'TE BE'!$N$49</f>
        <v>0</v>
      </c>
      <c r="O32" s="59">
        <f>'TE BE'!$O$32*'TE BE'!$O$49</f>
        <v>0</v>
      </c>
      <c r="P32" s="59">
        <f>'TE BE'!$P$32*'TE BE'!$P$49</f>
        <v>0</v>
      </c>
      <c r="Q32" s="59">
        <f>SUM($L$32:$P$32)</f>
        <v>-6.1376526492819607</v>
      </c>
      <c r="R32" s="59">
        <f>'TE BE'!$R$32*'TE BE'!$R$49</f>
        <v>13.769312212078505</v>
      </c>
      <c r="S32" s="59">
        <f>SUM($R$32:$R$32)</f>
        <v>13.769312212078505</v>
      </c>
      <c r="T32" s="59">
        <f>'TE BE'!$T$32*'TE BE'!$T$49</f>
        <v>0</v>
      </c>
      <c r="U32" s="59">
        <f>'TE BE'!$U$32*'TE BE'!$U$49</f>
        <v>0</v>
      </c>
      <c r="V32" s="59">
        <f>'TE BE'!$V$32*'TE BE'!$V$49</f>
        <v>0</v>
      </c>
      <c r="W32" s="59">
        <f>SUM($T$32:$V$32)</f>
        <v>0</v>
      </c>
      <c r="X32" s="59">
        <f>'TE BE'!$AB$32*'TE BE'!$X$49</f>
        <v>0</v>
      </c>
      <c r="Y32" s="59">
        <f>SUM($X$32:$X$32)</f>
        <v>0</v>
      </c>
      <c r="Z32" s="59">
        <f>'TE BE'!$Z$32*'TE BE'!$Z$49</f>
        <v>0.28920558248343675</v>
      </c>
      <c r="AA32" s="59">
        <f>SUM($Z$32:$Z$32)</f>
        <v>0.28920558248343675</v>
      </c>
      <c r="AB32" s="59">
        <f>SUMIF($L$4:$AA$4,"SUBTOTAL",$L$32:$AA$32)</f>
        <v>7.920865145279981</v>
      </c>
    </row>
    <row r="33" spans="1:28" ht="11.25" customHeight="1" x14ac:dyDescent="0.25">
      <c r="A33" s="153"/>
      <c r="B33" s="153" t="s">
        <v>88</v>
      </c>
      <c r="C33" s="153" t="s">
        <v>42</v>
      </c>
      <c r="D33" s="61" t="s">
        <v>25</v>
      </c>
      <c r="E33" s="61" t="s">
        <v>25</v>
      </c>
      <c r="F33" s="61" t="s">
        <v>25</v>
      </c>
      <c r="G33" s="62" t="s">
        <v>78</v>
      </c>
      <c r="H33" s="62" t="s">
        <v>74</v>
      </c>
      <c r="I33" s="62">
        <f>'MERCADO TE'!$U$30</f>
        <v>0</v>
      </c>
      <c r="J33" s="15"/>
      <c r="L33" s="59">
        <f>'TE BE'!$L$33*'TE BE'!$L$49</f>
        <v>-7.6531292448725331E-6</v>
      </c>
      <c r="M33" s="59">
        <f>'TE BE'!$M$33*'TE BE'!$M$49</f>
        <v>-6.1376449961527157</v>
      </c>
      <c r="N33" s="59">
        <f>'TE BE'!$N$33*'TE BE'!$N$49</f>
        <v>0</v>
      </c>
      <c r="O33" s="59">
        <f>'TE BE'!$O$33*'TE BE'!$O$49</f>
        <v>0</v>
      </c>
      <c r="P33" s="59">
        <f>'TE BE'!$P$33*'TE BE'!$P$49</f>
        <v>0</v>
      </c>
      <c r="Q33" s="59">
        <f>SUM($L$33:$P$33)</f>
        <v>-6.1376526492819607</v>
      </c>
      <c r="R33" s="59">
        <f>'TE BE'!$R$33*'TE BE'!$R$49</f>
        <v>13.769312212078505</v>
      </c>
      <c r="S33" s="59">
        <f>SUM($R$33:$R$33)</f>
        <v>13.769312212078505</v>
      </c>
      <c r="T33" s="59">
        <f>'TE BE'!$T$33*'TE BE'!$T$49</f>
        <v>0</v>
      </c>
      <c r="U33" s="59">
        <f>'TE BE'!$U$33*'TE BE'!$U$49</f>
        <v>0</v>
      </c>
      <c r="V33" s="59">
        <f>'TE BE'!$V$33*'TE BE'!$V$49</f>
        <v>0</v>
      </c>
      <c r="W33" s="59">
        <f>SUM($T$33:$V$33)</f>
        <v>0</v>
      </c>
      <c r="X33" s="59">
        <f>'TE BE'!$AB$33*'TE BE'!$X$49</f>
        <v>0</v>
      </c>
      <c r="Y33" s="59">
        <f>SUM($X$33:$X$33)</f>
        <v>0</v>
      </c>
      <c r="Z33" s="59">
        <f>'TE BE'!$Z$33*'TE BE'!$Z$49</f>
        <v>0.28920558248343675</v>
      </c>
      <c r="AA33" s="59">
        <f>SUM($Z$33:$Z$33)</f>
        <v>0.28920558248343675</v>
      </c>
      <c r="AB33" s="59">
        <f>SUMIF($L$4:$AA$4,"SUBTOTAL",$L$33:$AA$33)</f>
        <v>7.920865145279981</v>
      </c>
    </row>
    <row r="34" spans="1:28" ht="11.25" customHeight="1" x14ac:dyDescent="0.25">
      <c r="A34" s="153"/>
      <c r="B34" s="153"/>
      <c r="C34" s="153"/>
      <c r="D34" s="61" t="s">
        <v>90</v>
      </c>
      <c r="E34" s="61" t="s">
        <v>25</v>
      </c>
      <c r="F34" s="61" t="s">
        <v>25</v>
      </c>
      <c r="G34" s="62" t="s">
        <v>78</v>
      </c>
      <c r="H34" s="62" t="s">
        <v>74</v>
      </c>
      <c r="I34" s="62">
        <f>'MERCADO TE'!$U$31</f>
        <v>0</v>
      </c>
      <c r="J34" s="15"/>
      <c r="L34" s="59">
        <f>'TE BE'!$L$34*'TE BE'!$L$49</f>
        <v>-7.6531292448725331E-6</v>
      </c>
      <c r="M34" s="59">
        <f>'TE BE'!$M$34*'TE BE'!$M$49</f>
        <v>-6.1376449961527157</v>
      </c>
      <c r="N34" s="59">
        <f>'TE BE'!$N$34*'TE BE'!$N$49</f>
        <v>0</v>
      </c>
      <c r="O34" s="59">
        <f>'TE BE'!$O$34*'TE BE'!$O$49</f>
        <v>0</v>
      </c>
      <c r="P34" s="59">
        <f>'TE BE'!$P$34*'TE BE'!$P$49</f>
        <v>0</v>
      </c>
      <c r="Q34" s="59">
        <f>SUM($L$34:$P$34)</f>
        <v>-6.1376526492819607</v>
      </c>
      <c r="R34" s="59">
        <f>'TE BE'!$R$34*'TE BE'!$R$49</f>
        <v>13.769312212078505</v>
      </c>
      <c r="S34" s="59">
        <f>SUM($R$34:$R$34)</f>
        <v>13.769312212078505</v>
      </c>
      <c r="T34" s="59">
        <f>'TE BE'!$T$34*'TE BE'!$T$49</f>
        <v>0</v>
      </c>
      <c r="U34" s="59">
        <f>'TE BE'!$U$34*'TE BE'!$U$49</f>
        <v>0</v>
      </c>
      <c r="V34" s="59">
        <f>'TE BE'!$V$34*'TE BE'!$V$49</f>
        <v>0</v>
      </c>
      <c r="W34" s="59">
        <f>SUM($T$34:$V$34)</f>
        <v>0</v>
      </c>
      <c r="X34" s="59">
        <f>'TE BE'!$AB$34*'TE BE'!$X$49</f>
        <v>0</v>
      </c>
      <c r="Y34" s="59">
        <f>SUM($X$34:$X$34)</f>
        <v>0</v>
      </c>
      <c r="Z34" s="59">
        <f>'TE BE'!$Z$34*'TE BE'!$Z$49</f>
        <v>0.28920558248343675</v>
      </c>
      <c r="AA34" s="59">
        <f>SUM($Z$34:$Z$34)</f>
        <v>0.28920558248343675</v>
      </c>
      <c r="AB34" s="59">
        <f>SUMIF($L$4:$AA$4,"SUBTOTAL",$L$34:$AA$34)</f>
        <v>7.920865145279981</v>
      </c>
    </row>
    <row r="35" spans="1:28" ht="11.25" customHeight="1" x14ac:dyDescent="0.25">
      <c r="A35" s="153"/>
      <c r="B35" s="153"/>
      <c r="C35" s="153"/>
      <c r="D35" s="61" t="s">
        <v>91</v>
      </c>
      <c r="E35" s="61" t="s">
        <v>25</v>
      </c>
      <c r="F35" s="61" t="s">
        <v>25</v>
      </c>
      <c r="G35" s="62" t="s">
        <v>78</v>
      </c>
      <c r="H35" s="62" t="s">
        <v>74</v>
      </c>
      <c r="I35" s="62">
        <f>'MERCADO TE'!$U$32</f>
        <v>0</v>
      </c>
      <c r="J35" s="15"/>
      <c r="L35" s="59">
        <f>'TE BE'!$L$35*'TE BE'!$L$49</f>
        <v>-7.6531292448725331E-6</v>
      </c>
      <c r="M35" s="59">
        <f>'TE BE'!$M$35*'TE BE'!$M$49</f>
        <v>-6.1376449961527157</v>
      </c>
      <c r="N35" s="59">
        <f>'TE BE'!$N$35*'TE BE'!$N$49</f>
        <v>0</v>
      </c>
      <c r="O35" s="59">
        <f>'TE BE'!$O$35*'TE BE'!$O$49</f>
        <v>0</v>
      </c>
      <c r="P35" s="59">
        <f>'TE BE'!$P$35*'TE BE'!$P$49</f>
        <v>0</v>
      </c>
      <c r="Q35" s="59">
        <f>SUM($L$35:$P$35)</f>
        <v>-6.1376526492819607</v>
      </c>
      <c r="R35" s="59">
        <f>'TE BE'!$R$35*'TE BE'!$R$49</f>
        <v>13.769312212078505</v>
      </c>
      <c r="S35" s="59">
        <f>SUM($R$35:$R$35)</f>
        <v>13.769312212078505</v>
      </c>
      <c r="T35" s="59">
        <f>'TE BE'!$T$35*'TE BE'!$T$49</f>
        <v>0</v>
      </c>
      <c r="U35" s="59">
        <f>'TE BE'!$U$35*'TE BE'!$U$49</f>
        <v>0</v>
      </c>
      <c r="V35" s="59">
        <f>'TE BE'!$V$35*'TE BE'!$V$49</f>
        <v>0</v>
      </c>
      <c r="W35" s="59">
        <f>SUM($T$35:$V$35)</f>
        <v>0</v>
      </c>
      <c r="X35" s="59">
        <f>'TE BE'!$AB$35*'TE BE'!$X$49</f>
        <v>0</v>
      </c>
      <c r="Y35" s="59">
        <f>SUM($X$35:$X$35)</f>
        <v>0</v>
      </c>
      <c r="Z35" s="59">
        <f>'TE BE'!$Z$35*'TE BE'!$Z$49</f>
        <v>0.28920558248343675</v>
      </c>
      <c r="AA35" s="59">
        <f>SUM($Z$35:$Z$35)</f>
        <v>0.28920558248343675</v>
      </c>
      <c r="AB35" s="59">
        <f>SUMIF($L$4:$AA$4,"SUBTOTAL",$L$35:$AA$35)</f>
        <v>7.920865145279981</v>
      </c>
    </row>
    <row r="36" spans="1:28" ht="11.25" customHeight="1" x14ac:dyDescent="0.25">
      <c r="A36" s="153" t="s">
        <v>33</v>
      </c>
      <c r="B36" s="153" t="s">
        <v>73</v>
      </c>
      <c r="C36" s="153" t="s">
        <v>25</v>
      </c>
      <c r="D36" s="153" t="s">
        <v>25</v>
      </c>
      <c r="E36" s="153" t="s">
        <v>25</v>
      </c>
      <c r="F36" s="153" t="s">
        <v>25</v>
      </c>
      <c r="G36" s="62" t="s">
        <v>75</v>
      </c>
      <c r="H36" s="62" t="s">
        <v>74</v>
      </c>
      <c r="I36" s="62">
        <f>'MERCADO TE'!$U$33</f>
        <v>1.1399999999999999</v>
      </c>
      <c r="J36" s="15"/>
      <c r="L36" s="59">
        <f>'TE BE'!$L$36*'TE BE'!$L$49</f>
        <v>-7.6531292448725331E-6</v>
      </c>
      <c r="M36" s="59">
        <f>'TE BE'!$M$36*'TE BE'!$M$49</f>
        <v>-6.1376449961527157</v>
      </c>
      <c r="N36" s="59">
        <f>'TE BE'!$N$36*'TE BE'!$N$49</f>
        <v>0</v>
      </c>
      <c r="O36" s="59">
        <f>'TE BE'!$O$36*'TE BE'!$O$49</f>
        <v>0</v>
      </c>
      <c r="P36" s="59">
        <f>'TE BE'!$P$36*'TE BE'!$P$49</f>
        <v>0</v>
      </c>
      <c r="Q36" s="59">
        <f>SUM($L$36:$P$36)</f>
        <v>-6.1376526492819607</v>
      </c>
      <c r="R36" s="59">
        <f>'TE BE'!$R$36*'TE BE'!$R$49</f>
        <v>22.342657551674552</v>
      </c>
      <c r="S36" s="59">
        <f>SUM($R$36:$R$36)</f>
        <v>22.342657551674552</v>
      </c>
      <c r="T36" s="59">
        <f>'TE BE'!$T$36*'TE BE'!$T$49</f>
        <v>0</v>
      </c>
      <c r="U36" s="59">
        <f>'TE BE'!$U$36*'TE BE'!$U$49</f>
        <v>0</v>
      </c>
      <c r="V36" s="59">
        <f>'TE BE'!$V$36*'TE BE'!$V$49</f>
        <v>0</v>
      </c>
      <c r="W36" s="59">
        <f>SUM($T$36:$V$36)</f>
        <v>0</v>
      </c>
      <c r="X36" s="59">
        <f>'TE BE'!$AB$36*'TE BE'!$X$49</f>
        <v>0</v>
      </c>
      <c r="Y36" s="59">
        <f>SUM($X$36:$X$36)</f>
        <v>0</v>
      </c>
      <c r="Z36" s="59">
        <f>'TE BE'!$Z$36*'TE BE'!$Z$49</f>
        <v>0.28920558248343675</v>
      </c>
      <c r="AA36" s="59">
        <f>SUM($Z$36:$Z$36)</f>
        <v>0.28920558248343675</v>
      </c>
      <c r="AB36" s="59">
        <f>SUMIF($L$4:$AA$4,"SUBTOTAL",$L$36:$AA$36)</f>
        <v>16.494210484876028</v>
      </c>
    </row>
    <row r="37" spans="1:28" ht="11.25" customHeight="1" x14ac:dyDescent="0.25">
      <c r="A37" s="153"/>
      <c r="B37" s="153"/>
      <c r="C37" s="153"/>
      <c r="D37" s="153"/>
      <c r="E37" s="153"/>
      <c r="F37" s="153"/>
      <c r="G37" s="62" t="s">
        <v>87</v>
      </c>
      <c r="H37" s="62" t="s">
        <v>74</v>
      </c>
      <c r="I37" s="62">
        <f>'MERCADO TE'!$U$34</f>
        <v>1.5340000000000003</v>
      </c>
      <c r="J37" s="15"/>
      <c r="L37" s="59">
        <f>'TE BE'!$L$37*'TE BE'!$L$49</f>
        <v>-7.6531292448725331E-6</v>
      </c>
      <c r="M37" s="59">
        <f>'TE BE'!$M$37*'TE BE'!$M$49</f>
        <v>-6.1376449961527157</v>
      </c>
      <c r="N37" s="59">
        <f>'TE BE'!$N$37*'TE BE'!$N$49</f>
        <v>0</v>
      </c>
      <c r="O37" s="59">
        <f>'TE BE'!$O$37*'TE BE'!$O$49</f>
        <v>0</v>
      </c>
      <c r="P37" s="59">
        <f>'TE BE'!$P$37*'TE BE'!$P$49</f>
        <v>0</v>
      </c>
      <c r="Q37" s="59">
        <f>SUM($L$37:$P$37)</f>
        <v>-6.1376526492819607</v>
      </c>
      <c r="R37" s="59">
        <f>'TE BE'!$R$37*'TE BE'!$R$49</f>
        <v>12.989917181206136</v>
      </c>
      <c r="S37" s="59">
        <f>SUM($R$37:$R$37)</f>
        <v>12.989917181206136</v>
      </c>
      <c r="T37" s="59">
        <f>'TE BE'!$T$37*'TE BE'!$T$49</f>
        <v>0</v>
      </c>
      <c r="U37" s="59">
        <f>'TE BE'!$U$37*'TE BE'!$U$49</f>
        <v>0</v>
      </c>
      <c r="V37" s="59">
        <f>'TE BE'!$V$37*'TE BE'!$V$49</f>
        <v>0</v>
      </c>
      <c r="W37" s="59">
        <f>SUM($T$37:$V$37)</f>
        <v>0</v>
      </c>
      <c r="X37" s="59">
        <f>'TE BE'!$AB$37*'TE BE'!$X$49</f>
        <v>0</v>
      </c>
      <c r="Y37" s="59">
        <f>SUM($X$37:$X$37)</f>
        <v>0</v>
      </c>
      <c r="Z37" s="59">
        <f>'TE BE'!$Z$37*'TE BE'!$Z$49</f>
        <v>0.28920558248343675</v>
      </c>
      <c r="AA37" s="59">
        <f>SUM($Z$37:$Z$37)</f>
        <v>0.28920558248343675</v>
      </c>
      <c r="AB37" s="59">
        <f>SUMIF($L$4:$AA$4,"SUBTOTAL",$L$37:$AA$37)</f>
        <v>7.1414701144076123</v>
      </c>
    </row>
    <row r="38" spans="1:28" ht="11.25" customHeight="1" x14ac:dyDescent="0.25">
      <c r="A38" s="153"/>
      <c r="B38" s="153"/>
      <c r="C38" s="153"/>
      <c r="D38" s="153"/>
      <c r="E38" s="153"/>
      <c r="F38" s="153"/>
      <c r="G38" s="62" t="s">
        <v>76</v>
      </c>
      <c r="H38" s="62" t="s">
        <v>74</v>
      </c>
      <c r="I38" s="62">
        <f>'MERCADO TE'!$U$35</f>
        <v>27.193000000000005</v>
      </c>
      <c r="J38" s="15"/>
      <c r="L38" s="59">
        <f>'TE BE'!$L$38*'TE BE'!$L$49</f>
        <v>-7.6531292448725331E-6</v>
      </c>
      <c r="M38" s="59">
        <f>'TE BE'!$M$38*'TE BE'!$M$49</f>
        <v>-6.1376449961527157</v>
      </c>
      <c r="N38" s="59">
        <f>'TE BE'!$N$38*'TE BE'!$N$49</f>
        <v>0</v>
      </c>
      <c r="O38" s="59">
        <f>'TE BE'!$O$38*'TE BE'!$O$49</f>
        <v>0</v>
      </c>
      <c r="P38" s="59">
        <f>'TE BE'!$P$38*'TE BE'!$P$49</f>
        <v>0</v>
      </c>
      <c r="Q38" s="59">
        <f>SUM($L$38:$P$38)</f>
        <v>-6.1376526492819607</v>
      </c>
      <c r="R38" s="59">
        <f>'TE BE'!$R$38*'TE BE'!$R$49</f>
        <v>12.989917181206136</v>
      </c>
      <c r="S38" s="59">
        <f>SUM($R$38:$R$38)</f>
        <v>12.989917181206136</v>
      </c>
      <c r="T38" s="59">
        <f>'TE BE'!$T$38*'TE BE'!$T$49</f>
        <v>0</v>
      </c>
      <c r="U38" s="59">
        <f>'TE BE'!$U$38*'TE BE'!$U$49</f>
        <v>0</v>
      </c>
      <c r="V38" s="59">
        <f>'TE BE'!$V$38*'TE BE'!$V$49</f>
        <v>0</v>
      </c>
      <c r="W38" s="59">
        <f>SUM($T$38:$V$38)</f>
        <v>0</v>
      </c>
      <c r="X38" s="59">
        <f>'TE BE'!$AB$38*'TE BE'!$X$49</f>
        <v>0</v>
      </c>
      <c r="Y38" s="59">
        <f>SUM($X$38:$X$38)</f>
        <v>0</v>
      </c>
      <c r="Z38" s="59">
        <f>'TE BE'!$Z$38*'TE BE'!$Z$49</f>
        <v>0.28920558248343675</v>
      </c>
      <c r="AA38" s="59">
        <f>SUM($Z$38:$Z$38)</f>
        <v>0.28920558248343675</v>
      </c>
      <c r="AB38" s="59">
        <f>SUMIF($L$4:$AA$4,"SUBTOTAL",$L$38:$AA$38)</f>
        <v>7.1414701144076123</v>
      </c>
    </row>
    <row r="39" spans="1:28" ht="11.25" customHeight="1" x14ac:dyDescent="0.25">
      <c r="A39" s="153"/>
      <c r="B39" s="61" t="s">
        <v>77</v>
      </c>
      <c r="C39" s="61" t="s">
        <v>25</v>
      </c>
      <c r="D39" s="61" t="s">
        <v>25</v>
      </c>
      <c r="E39" s="61" t="s">
        <v>25</v>
      </c>
      <c r="F39" s="61" t="s">
        <v>25</v>
      </c>
      <c r="G39" s="62" t="s">
        <v>78</v>
      </c>
      <c r="H39" s="62" t="s">
        <v>74</v>
      </c>
      <c r="I39" s="62">
        <f>'MERCADO TE'!$U$36</f>
        <v>29180.755000000001</v>
      </c>
      <c r="J39" s="15"/>
      <c r="L39" s="59">
        <f>'TE BE'!$L$39*'TE BE'!$L$49</f>
        <v>-7.6531292448725331E-6</v>
      </c>
      <c r="M39" s="59">
        <f>'TE BE'!$M$39*'TE BE'!$M$49</f>
        <v>-6.1376449961527157</v>
      </c>
      <c r="N39" s="59">
        <f>'TE BE'!$N$39*'TE BE'!$N$49</f>
        <v>0</v>
      </c>
      <c r="O39" s="59">
        <f>'TE BE'!$O$39*'TE BE'!$O$49</f>
        <v>0</v>
      </c>
      <c r="P39" s="59">
        <f>'TE BE'!$P$39*'TE BE'!$P$49</f>
        <v>0</v>
      </c>
      <c r="Q39" s="59">
        <f>SUM($L$39:$P$39)</f>
        <v>-6.1376526492819607</v>
      </c>
      <c r="R39" s="59">
        <f>'TE BE'!$R$39*'TE BE'!$R$49</f>
        <v>13.769312212078505</v>
      </c>
      <c r="S39" s="59">
        <f>SUM($R$39:$R$39)</f>
        <v>13.769312212078505</v>
      </c>
      <c r="T39" s="59">
        <f>'TE BE'!$T$39*'TE BE'!$T$49</f>
        <v>0</v>
      </c>
      <c r="U39" s="59">
        <f>'TE BE'!$U$39*'TE BE'!$U$49</f>
        <v>0</v>
      </c>
      <c r="V39" s="59">
        <f>'TE BE'!$V$39*'TE BE'!$V$49</f>
        <v>0</v>
      </c>
      <c r="W39" s="59">
        <f>SUM($T$39:$V$39)</f>
        <v>0</v>
      </c>
      <c r="X39" s="59">
        <f>'TE BE'!$AB$39*'TE BE'!$X$49</f>
        <v>0</v>
      </c>
      <c r="Y39" s="59">
        <f>SUM($X$39:$X$39)</f>
        <v>0</v>
      </c>
      <c r="Z39" s="59">
        <f>'TE BE'!$Z$39*'TE BE'!$Z$49</f>
        <v>0.28920558248343675</v>
      </c>
      <c r="AA39" s="59">
        <f>SUM($Z$39:$Z$39)</f>
        <v>0.28920558248343675</v>
      </c>
      <c r="AB39" s="59">
        <f>SUMIF($L$4:$AA$4,"SUBTOTAL",$L$39:$AA$39)</f>
        <v>7.920865145279981</v>
      </c>
    </row>
    <row r="40" spans="1:28" ht="11.25" customHeight="1" x14ac:dyDescent="0.25">
      <c r="A40" s="153"/>
      <c r="B40" s="61" t="s">
        <v>88</v>
      </c>
      <c r="C40" s="61" t="s">
        <v>25</v>
      </c>
      <c r="D40" s="61" t="s">
        <v>25</v>
      </c>
      <c r="E40" s="61" t="s">
        <v>25</v>
      </c>
      <c r="F40" s="61" t="s">
        <v>25</v>
      </c>
      <c r="G40" s="62" t="s">
        <v>78</v>
      </c>
      <c r="H40" s="62" t="s">
        <v>74</v>
      </c>
      <c r="I40" s="62">
        <f>'MERCADO TE'!$U$37</f>
        <v>0</v>
      </c>
      <c r="J40" s="15"/>
      <c r="L40" s="59">
        <f>'TE BE'!$L$40*'TE BE'!$L$49</f>
        <v>-7.6531292448725331E-6</v>
      </c>
      <c r="M40" s="59">
        <f>'TE BE'!$M$40*'TE BE'!$M$49</f>
        <v>-6.1376449961527157</v>
      </c>
      <c r="N40" s="59">
        <f>'TE BE'!$N$40*'TE BE'!$N$49</f>
        <v>0</v>
      </c>
      <c r="O40" s="59">
        <f>'TE BE'!$O$40*'TE BE'!$O$49</f>
        <v>0</v>
      </c>
      <c r="P40" s="59">
        <f>'TE BE'!$P$40*'TE BE'!$P$49</f>
        <v>0</v>
      </c>
      <c r="Q40" s="59">
        <f>SUM($L$40:$P$40)</f>
        <v>-6.1376526492819607</v>
      </c>
      <c r="R40" s="59">
        <f>'TE BE'!$R$40*'TE BE'!$R$49</f>
        <v>13.769312212078505</v>
      </c>
      <c r="S40" s="59">
        <f>SUM($R$40:$R$40)</f>
        <v>13.769312212078505</v>
      </c>
      <c r="T40" s="59">
        <f>'TE BE'!$T$40*'TE BE'!$T$49</f>
        <v>0</v>
      </c>
      <c r="U40" s="59">
        <f>'TE BE'!$U$40*'TE BE'!$U$49</f>
        <v>0</v>
      </c>
      <c r="V40" s="59">
        <f>'TE BE'!$V$40*'TE BE'!$V$49</f>
        <v>0</v>
      </c>
      <c r="W40" s="59">
        <f>SUM($T$40:$V$40)</f>
        <v>0</v>
      </c>
      <c r="X40" s="59">
        <f>'TE BE'!$AB$40*'TE BE'!$X$49</f>
        <v>0</v>
      </c>
      <c r="Y40" s="59">
        <f>SUM($X$40:$X$40)</f>
        <v>0</v>
      </c>
      <c r="Z40" s="59">
        <f>'TE BE'!$Z$40*'TE BE'!$Z$49</f>
        <v>0.28920558248343675</v>
      </c>
      <c r="AA40" s="59">
        <f>SUM($Z$40:$Z$40)</f>
        <v>0.28920558248343675</v>
      </c>
      <c r="AB40" s="59">
        <f>SUMIF($L$4:$AA$4,"SUBTOTAL",$L$40:$AA$40)</f>
        <v>7.920865145279981</v>
      </c>
    </row>
    <row r="41" spans="1:28" ht="11.25" customHeight="1" x14ac:dyDescent="0.25">
      <c r="A41" s="153" t="s">
        <v>44</v>
      </c>
      <c r="B41" s="153" t="s">
        <v>77</v>
      </c>
      <c r="C41" s="153" t="s">
        <v>45</v>
      </c>
      <c r="D41" s="61" t="s">
        <v>46</v>
      </c>
      <c r="E41" s="61" t="s">
        <v>25</v>
      </c>
      <c r="F41" s="61" t="s">
        <v>25</v>
      </c>
      <c r="G41" s="62" t="s">
        <v>78</v>
      </c>
      <c r="H41" s="62" t="s">
        <v>74</v>
      </c>
      <c r="I41" s="62">
        <f>'MERCADO TE'!$U$38</f>
        <v>11805.242</v>
      </c>
      <c r="J41" s="15"/>
      <c r="L41" s="59">
        <f>'TE BE'!$L$41*'TE BE'!$L$49</f>
        <v>-4.209221084679894E-6</v>
      </c>
      <c r="M41" s="59">
        <f>'TE BE'!$M$41*'TE BE'!$M$49</f>
        <v>-3.3757047478839941</v>
      </c>
      <c r="N41" s="59">
        <f>'TE BE'!$N$41*'TE BE'!$N$49</f>
        <v>0</v>
      </c>
      <c r="O41" s="59">
        <f>'TE BE'!$O$41*'TE BE'!$O$49</f>
        <v>0</v>
      </c>
      <c r="P41" s="59">
        <f>'TE BE'!$P$41*'TE BE'!$P$49</f>
        <v>0</v>
      </c>
      <c r="Q41" s="59">
        <f>SUM($L$41:$P$41)</f>
        <v>-3.3757089571050787</v>
      </c>
      <c r="R41" s="59">
        <f>'TE BE'!$R$41*'TE BE'!$R$49</f>
        <v>7.5731217166431781</v>
      </c>
      <c r="S41" s="59">
        <f>SUM($R$41:$R$41)</f>
        <v>7.5731217166431781</v>
      </c>
      <c r="T41" s="59">
        <f>'TE BE'!$T$41*'TE BE'!$T$49</f>
        <v>0</v>
      </c>
      <c r="U41" s="59">
        <f>'TE BE'!$U$41*'TE BE'!$U$49</f>
        <v>0</v>
      </c>
      <c r="V41" s="59">
        <f>'TE BE'!$V$41*'TE BE'!$V$49</f>
        <v>0</v>
      </c>
      <c r="W41" s="59">
        <f>SUM($T$41:$V$41)</f>
        <v>0</v>
      </c>
      <c r="X41" s="59">
        <f>'TE BE'!$AB$41*'TE BE'!$X$49</f>
        <v>0</v>
      </c>
      <c r="Y41" s="59">
        <f>SUM($X$41:$X$41)</f>
        <v>0</v>
      </c>
      <c r="Z41" s="59">
        <f>'TE BE'!$Z$41*'TE BE'!$Z$49</f>
        <v>0.15906307036589024</v>
      </c>
      <c r="AA41" s="59">
        <f>SUM($Z$41:$Z$41)</f>
        <v>0.15906307036589024</v>
      </c>
      <c r="AB41" s="59">
        <f>SUMIF($L$4:$AA$4,"SUBTOTAL",$L$41:$AA$41)</f>
        <v>4.3564758299039905</v>
      </c>
    </row>
    <row r="42" spans="1:28" ht="11.25" customHeight="1" x14ac:dyDescent="0.25">
      <c r="A42" s="153"/>
      <c r="B42" s="153"/>
      <c r="C42" s="153"/>
      <c r="D42" s="62" t="s">
        <v>92</v>
      </c>
      <c r="E42" s="62" t="s">
        <v>25</v>
      </c>
      <c r="F42" s="62" t="s">
        <v>25</v>
      </c>
      <c r="G42" s="62" t="s">
        <v>78</v>
      </c>
      <c r="H42" s="62" t="s">
        <v>74</v>
      </c>
      <c r="I42" s="62">
        <f>'MERCADO TE'!$U$39</f>
        <v>0</v>
      </c>
      <c r="J42" s="15"/>
      <c r="L42" s="59">
        <f>'TE BE'!$L$42*'TE BE'!$L$49</f>
        <v>-4.5918775469235197E-6</v>
      </c>
      <c r="M42" s="59">
        <f>'TE BE'!$M$42*'TE BE'!$M$49</f>
        <v>-3.6825869976916294</v>
      </c>
      <c r="N42" s="59">
        <f>'TE BE'!$N$42*'TE BE'!$N$49</f>
        <v>0</v>
      </c>
      <c r="O42" s="59">
        <f>'TE BE'!$O$42*'TE BE'!$O$49</f>
        <v>0</v>
      </c>
      <c r="P42" s="59">
        <f>'TE BE'!$P$42*'TE BE'!$P$49</f>
        <v>0</v>
      </c>
      <c r="Q42" s="59">
        <f>SUM($L$42:$P$42)</f>
        <v>-3.6825915895691765</v>
      </c>
      <c r="R42" s="59">
        <f>'TE BE'!$R$42*'TE BE'!$R$49</f>
        <v>8.2615873272471028</v>
      </c>
      <c r="S42" s="59">
        <f>SUM($R$42:$R$42)</f>
        <v>8.2615873272471028</v>
      </c>
      <c r="T42" s="59">
        <f>'TE BE'!$T$42*'TE BE'!$T$49</f>
        <v>0</v>
      </c>
      <c r="U42" s="59">
        <f>'TE BE'!$U$42*'TE BE'!$U$49</f>
        <v>0</v>
      </c>
      <c r="V42" s="59">
        <f>'TE BE'!$V$42*'TE BE'!$V$49</f>
        <v>0</v>
      </c>
      <c r="W42" s="59">
        <f>SUM($T$42:$V$42)</f>
        <v>0</v>
      </c>
      <c r="X42" s="59">
        <f>'TE BE'!$AB$42*'TE BE'!$X$49</f>
        <v>0</v>
      </c>
      <c r="Y42" s="59">
        <f>SUM($X$42:$X$42)</f>
        <v>0</v>
      </c>
      <c r="Z42" s="59">
        <f>'TE BE'!$Z$42*'TE BE'!$Z$49</f>
        <v>0.17352334949006207</v>
      </c>
      <c r="AA42" s="59">
        <f>SUM($Z$42:$Z$42)</f>
        <v>0.17352334949006207</v>
      </c>
      <c r="AB42" s="59">
        <f>SUMIF($L$4:$AA$4,"SUBTOTAL",$L$42:$AA$42)</f>
        <v>4.7525190871679888</v>
      </c>
    </row>
    <row r="44" spans="1:28" ht="11.25" customHeight="1" x14ac:dyDescent="0.25">
      <c r="K44" s="64" t="s">
        <v>577</v>
      </c>
      <c r="L44" s="59">
        <f t="shared" ref="L44:AB44" si="0">SUMPRODUCT($I$5:$I$42,L$5:L$42)</f>
        <v>-1.5255169573936294</v>
      </c>
      <c r="M44" s="59">
        <f t="shared" si="0"/>
        <v>-1223431.7781012559</v>
      </c>
      <c r="N44" s="59">
        <f t="shared" si="0"/>
        <v>0</v>
      </c>
      <c r="O44" s="59">
        <f t="shared" si="0"/>
        <v>0</v>
      </c>
      <c r="P44" s="59">
        <f t="shared" si="0"/>
        <v>0</v>
      </c>
      <c r="Q44" s="59">
        <f t="shared" si="0"/>
        <v>-1223433.3036182134</v>
      </c>
      <c r="R44" s="59">
        <f t="shared" si="0"/>
        <v>2716870.5970524419</v>
      </c>
      <c r="S44" s="59">
        <f t="shared" si="0"/>
        <v>2716870.5970524419</v>
      </c>
      <c r="T44" s="59">
        <f t="shared" si="0"/>
        <v>0</v>
      </c>
      <c r="U44" s="59">
        <f t="shared" si="0"/>
        <v>0</v>
      </c>
      <c r="V44" s="59">
        <f t="shared" si="0"/>
        <v>0</v>
      </c>
      <c r="W44" s="59">
        <f t="shared" si="0"/>
        <v>0</v>
      </c>
      <c r="X44" s="59">
        <f t="shared" si="0"/>
        <v>0</v>
      </c>
      <c r="Y44" s="59">
        <f t="shared" si="0"/>
        <v>0</v>
      </c>
      <c r="Z44" s="59">
        <f t="shared" si="0"/>
        <v>57648.055603787594</v>
      </c>
      <c r="AA44" s="59">
        <f t="shared" si="0"/>
        <v>57648.055603787594</v>
      </c>
      <c r="AB44" s="59">
        <f t="shared" si="0"/>
        <v>1551085.3490380156</v>
      </c>
    </row>
    <row r="45" spans="1:28" ht="11.25" customHeight="1" x14ac:dyDescent="0.25">
      <c r="K45" s="64" t="s">
        <v>502</v>
      </c>
      <c r="L45" s="59">
        <f>CUSTOS!$D$30</f>
        <v>443927.86224606709</v>
      </c>
      <c r="M45" s="59">
        <f>CUSTOS!$D$31</f>
        <v>5567368.1052542813</v>
      </c>
      <c r="N45" s="59">
        <f>CUSTOS!$D$32</f>
        <v>0</v>
      </c>
      <c r="O45" s="59">
        <f>CUSTOS!$D$33</f>
        <v>0</v>
      </c>
      <c r="P45" s="59">
        <f>CUSTOS!$D$34</f>
        <v>-2509999.9999999995</v>
      </c>
      <c r="Q45" s="59">
        <f>CUSTOS!$D$35</f>
        <v>3501295.967500349</v>
      </c>
      <c r="R45" s="59">
        <f>CUSTOS!$D$36</f>
        <v>37958523.416229047</v>
      </c>
      <c r="S45" s="59">
        <f>CUSTOS!$D$37</f>
        <v>37958523.416229047</v>
      </c>
      <c r="T45" s="59">
        <f>CUSTOS!$D$38</f>
        <v>598524.71113621967</v>
      </c>
      <c r="U45" s="59">
        <f>CUSTOS!$D$39</f>
        <v>416696.1793310651</v>
      </c>
      <c r="V45" s="59">
        <f>CUSTOS!$D$40</f>
        <v>0</v>
      </c>
      <c r="W45" s="59">
        <f>CUSTOS!$D$41</f>
        <v>1015220.8904672847</v>
      </c>
      <c r="X45" s="59">
        <f>CUSTOS!$D$42</f>
        <v>0</v>
      </c>
      <c r="Y45" s="59">
        <f>CUSTOS!$D$43</f>
        <v>0</v>
      </c>
      <c r="Z45" s="59">
        <f>CUSTOS!$D$44</f>
        <v>805424.84095874231</v>
      </c>
      <c r="AA45" s="59">
        <f>CUSTOS!$D$45</f>
        <v>805424.84095874231</v>
      </c>
      <c r="AB45" s="59">
        <f>CUSTOS!$D$46</f>
        <v>43280465.115155429</v>
      </c>
    </row>
    <row r="46" spans="1:28" ht="11.25" customHeight="1" x14ac:dyDescent="0.25">
      <c r="K46" s="64" t="s">
        <v>503</v>
      </c>
      <c r="L46" s="59">
        <f>CUSTOS!$E$30</f>
        <v>-1.5255169573936296</v>
      </c>
      <c r="M46" s="59">
        <f>CUSTOS!$E$31</f>
        <v>-1223431.7781012561</v>
      </c>
      <c r="N46" s="59">
        <f>CUSTOS!$E$32</f>
        <v>0</v>
      </c>
      <c r="O46" s="59">
        <f>CUSTOS!$E$33</f>
        <v>-1.0710678681994937E-5</v>
      </c>
      <c r="P46" s="59">
        <f>CUSTOS!$E$34</f>
        <v>0</v>
      </c>
      <c r="Q46" s="59">
        <f>CUSTOS!$E$35</f>
        <v>-1223433.3036289241</v>
      </c>
      <c r="R46" s="59">
        <f>CUSTOS!$E$36</f>
        <v>2716870.5970524414</v>
      </c>
      <c r="S46" s="59">
        <f>CUSTOS!$E$37</f>
        <v>2716870.5970524414</v>
      </c>
      <c r="T46" s="59">
        <f>CUSTOS!$E$38</f>
        <v>0</v>
      </c>
      <c r="U46" s="59">
        <f>CUSTOS!$E$39</f>
        <v>0</v>
      </c>
      <c r="V46" s="59">
        <f>CUSTOS!$E$40</f>
        <v>0</v>
      </c>
      <c r="W46" s="59">
        <f>CUSTOS!$E$41</f>
        <v>0</v>
      </c>
      <c r="X46" s="59">
        <f>CUSTOS!$E$42</f>
        <v>0</v>
      </c>
      <c r="Y46" s="59">
        <f>CUSTOS!$E$43</f>
        <v>0</v>
      </c>
      <c r="Z46" s="59">
        <f>CUSTOS!$E$44</f>
        <v>57648.055603787601</v>
      </c>
      <c r="AA46" s="59">
        <f>CUSTOS!$E$45</f>
        <v>57648.055603787601</v>
      </c>
      <c r="AB46" s="59">
        <f>CUSTOS!$E$46</f>
        <v>1551085.3490273049</v>
      </c>
    </row>
    <row r="47" spans="1:28" ht="11.25" customHeight="1" x14ac:dyDescent="0.25">
      <c r="K47" s="64" t="s">
        <v>504</v>
      </c>
      <c r="L47" s="59">
        <f>CUSTOS!$F$30</f>
        <v>0</v>
      </c>
      <c r="M47" s="59">
        <f>CUSTOS!$F$31</f>
        <v>821097.77469999995</v>
      </c>
      <c r="N47" s="59">
        <f>CUSTOS!$F$32</f>
        <v>0</v>
      </c>
      <c r="O47" s="59">
        <f>CUSTOS!$F$33</f>
        <v>0</v>
      </c>
      <c r="P47" s="59">
        <f>CUSTOS!$F$34</f>
        <v>0</v>
      </c>
      <c r="Q47" s="59">
        <f>CUSTOS!$F$35</f>
        <v>821097.77469999995</v>
      </c>
      <c r="R47" s="59">
        <f>CUSTOS!$F$36</f>
        <v>-83300.651542210588</v>
      </c>
      <c r="S47" s="59">
        <f>CUSTOS!$F$37</f>
        <v>-83300.651542210588</v>
      </c>
      <c r="T47" s="59">
        <f>CUSTOS!$F$38</f>
        <v>436375.19709999999</v>
      </c>
      <c r="U47" s="59">
        <f>CUSTOS!$F$39</f>
        <v>352805.95</v>
      </c>
      <c r="V47" s="59">
        <f>CUSTOS!$F$40</f>
        <v>0</v>
      </c>
      <c r="W47" s="59">
        <f>CUSTOS!$F$41</f>
        <v>789181.14709999994</v>
      </c>
      <c r="X47" s="59">
        <f>CUSTOS!$F$42</f>
        <v>0</v>
      </c>
      <c r="Y47" s="59">
        <f>CUSTOS!$F$43</f>
        <v>0</v>
      </c>
      <c r="Z47" s="59">
        <f>CUSTOS!$F$44</f>
        <v>-1767.5190703403237</v>
      </c>
      <c r="AA47" s="59">
        <f>CUSTOS!$F$45</f>
        <v>-1767.5190703403237</v>
      </c>
      <c r="AB47" s="59">
        <f>CUSTOS!$F$46</f>
        <v>1525210.7511874489</v>
      </c>
    </row>
    <row r="48" spans="1:28" ht="11.25" customHeight="1" x14ac:dyDescent="0.25">
      <c r="K48" s="64" t="s">
        <v>578</v>
      </c>
      <c r="L48" s="59">
        <f>'TR TE'!$L$48*L49</f>
        <v>0</v>
      </c>
      <c r="M48" s="59">
        <f>'TR TE'!$M$48*M49</f>
        <v>4.1192379815905733</v>
      </c>
      <c r="N48" s="59">
        <f>'TR TE'!$N$48*N49</f>
        <v>0</v>
      </c>
      <c r="O48" s="59">
        <f>'TR TE'!$O$48*O49</f>
        <v>0</v>
      </c>
      <c r="P48" s="59">
        <f>'TR TE'!$P$48*P49</f>
        <v>0</v>
      </c>
      <c r="Q48" s="59"/>
      <c r="R48" s="59">
        <f>'TR TE'!$R$48*R49</f>
        <v>-0.4159513704264069</v>
      </c>
      <c r="S48" s="59"/>
      <c r="T48" s="59">
        <f>'TR TE'!$T$48*T49</f>
        <v>2.1891829956245439</v>
      </c>
      <c r="U48" s="59">
        <f>'TR TE'!$U$48*U49</f>
        <v>1.7699374108060713</v>
      </c>
      <c r="V48" s="59">
        <f>'TR TE'!$V$48*V49</f>
        <v>0</v>
      </c>
      <c r="W48" s="59"/>
      <c r="X48" s="59"/>
      <c r="Y48" s="59"/>
      <c r="Z48" s="59">
        <f>'TR TE'!$Z$48*Z49</f>
        <v>-8.8671920836610237E-3</v>
      </c>
      <c r="AA48" s="59"/>
      <c r="AB48" s="59"/>
    </row>
    <row r="49" spans="11:28" ht="11.25" customHeight="1" x14ac:dyDescent="0.25">
      <c r="K49" s="64" t="s">
        <v>573</v>
      </c>
      <c r="L49" s="59">
        <f>IF(L45&lt;&gt;0,L47/L45,0)</f>
        <v>0</v>
      </c>
      <c r="M49" s="59">
        <f>IF(M45&lt;&gt;0,M47/M45,0)</f>
        <v>0.14748401024984811</v>
      </c>
      <c r="N49" s="59">
        <f>IF(N45&lt;&gt;0,N47/N45,0)</f>
        <v>0</v>
      </c>
      <c r="O49" s="59">
        <f>IF(O45&lt;&gt;0,O47/O45,0)</f>
        <v>0</v>
      </c>
      <c r="P49" s="59">
        <f>IF(P45&lt;&gt;0,P47/P45,0)</f>
        <v>0</v>
      </c>
      <c r="Q49" s="59"/>
      <c r="R49" s="59">
        <f>IF(R45&lt;&gt;0,R47/R45,0)</f>
        <v>-2.1945177010388043E-3</v>
      </c>
      <c r="S49" s="59"/>
      <c r="T49" s="59">
        <f>IF(T45&lt;&gt;0,T47/T45,0)</f>
        <v>0.72908467934698906</v>
      </c>
      <c r="U49" s="59">
        <f>IF(U45&lt;&gt;0,U47/U45,0)</f>
        <v>0.84667430972458158</v>
      </c>
      <c r="V49" s="59">
        <f>IF(V45&lt;&gt;0,V47/V45,0)</f>
        <v>0</v>
      </c>
      <c r="W49" s="59"/>
      <c r="X49" s="59">
        <f>IF($AB45&lt;&gt;0,X47/($AB45-SUM('TR TE'!$L48:'TR TE'!$AA48)*0),0)</f>
        <v>0</v>
      </c>
      <c r="Y49" s="59"/>
      <c r="Z49" s="59">
        <f>IF(Z45&lt;&gt;0,Z47/Z45,0)</f>
        <v>-2.1945177010388043E-3</v>
      </c>
      <c r="AA49" s="59"/>
      <c r="AB49" s="59"/>
    </row>
    <row r="50" spans="11:28" ht="11.25" customHeight="1" x14ac:dyDescent="0.25"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</row>
  </sheetData>
  <mergeCells count="61">
    <mergeCell ref="E36:E38"/>
    <mergeCell ref="F36:F38"/>
    <mergeCell ref="A41:A42"/>
    <mergeCell ref="B41:B42"/>
    <mergeCell ref="C41:C42"/>
    <mergeCell ref="D36:D38"/>
    <mergeCell ref="B33:B35"/>
    <mergeCell ref="C33:C35"/>
    <mergeCell ref="A36:A40"/>
    <mergeCell ref="B36:B38"/>
    <mergeCell ref="C36:C38"/>
    <mergeCell ref="A21:A35"/>
    <mergeCell ref="B21:B23"/>
    <mergeCell ref="C21:C23"/>
    <mergeCell ref="B29:B31"/>
    <mergeCell ref="C29:C31"/>
    <mergeCell ref="B25:B27"/>
    <mergeCell ref="C25:C27"/>
    <mergeCell ref="D29:D31"/>
    <mergeCell ref="E29:E31"/>
    <mergeCell ref="F29:F31"/>
    <mergeCell ref="D21:D23"/>
    <mergeCell ref="E21:E23"/>
    <mergeCell ref="F21:F23"/>
    <mergeCell ref="D25:D27"/>
    <mergeCell ref="E25:E27"/>
    <mergeCell ref="F25:F27"/>
    <mergeCell ref="A8:A20"/>
    <mergeCell ref="B8:B10"/>
    <mergeCell ref="C8:C10"/>
    <mergeCell ref="D8:D10"/>
    <mergeCell ref="E8:E10"/>
    <mergeCell ref="F8:F10"/>
    <mergeCell ref="B11:B15"/>
    <mergeCell ref="C11:C15"/>
    <mergeCell ref="B16:B20"/>
    <mergeCell ref="C16:C20"/>
    <mergeCell ref="Z3:AA3"/>
    <mergeCell ref="AB3:AB4"/>
    <mergeCell ref="A5:A7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R3:S3"/>
    <mergeCell ref="T3:W3"/>
    <mergeCell ref="X3:Y3"/>
    <mergeCell ref="A1:A4"/>
    <mergeCell ref="B1:B4"/>
    <mergeCell ref="C1:C4"/>
    <mergeCell ref="D1:D4"/>
    <mergeCell ref="E1:E4"/>
    <mergeCell ref="F1:F4"/>
  </mergeCells>
  <conditionalFormatting sqref="L44">
    <cfRule type="cellIs" dxfId="877" priority="33" operator="notEqual">
      <formula>$L$46</formula>
    </cfRule>
    <cfRule type="cellIs" dxfId="876" priority="34" operator="equal">
      <formula>$L$46</formula>
    </cfRule>
  </conditionalFormatting>
  <conditionalFormatting sqref="M44">
    <cfRule type="cellIs" dxfId="875" priority="31" operator="notEqual">
      <formula>$M$46</formula>
    </cfRule>
    <cfRule type="cellIs" dxfId="874" priority="32" operator="equal">
      <formula>$M$46</formula>
    </cfRule>
  </conditionalFormatting>
  <conditionalFormatting sqref="N44">
    <cfRule type="cellIs" dxfId="873" priority="29" operator="notEqual">
      <formula>$N$46</formula>
    </cfRule>
    <cfRule type="cellIs" dxfId="872" priority="30" operator="equal">
      <formula>$N$46</formula>
    </cfRule>
  </conditionalFormatting>
  <conditionalFormatting sqref="O44">
    <cfRule type="cellIs" dxfId="871" priority="27" operator="notEqual">
      <formula>$O$46</formula>
    </cfRule>
    <cfRule type="cellIs" dxfId="870" priority="28" operator="equal">
      <formula>$O$46</formula>
    </cfRule>
  </conditionalFormatting>
  <conditionalFormatting sqref="P44">
    <cfRule type="cellIs" dxfId="869" priority="25" operator="notEqual">
      <formula>$P$46</formula>
    </cfRule>
    <cfRule type="cellIs" dxfId="868" priority="26" operator="equal">
      <formula>$P$46</formula>
    </cfRule>
  </conditionalFormatting>
  <conditionalFormatting sqref="Q44">
    <cfRule type="cellIs" dxfId="867" priority="23" operator="notEqual">
      <formula>$Q$46</formula>
    </cfRule>
    <cfRule type="cellIs" dxfId="866" priority="24" operator="equal">
      <formula>$Q$46</formula>
    </cfRule>
  </conditionalFormatting>
  <conditionalFormatting sqref="R44">
    <cfRule type="cellIs" dxfId="865" priority="21" operator="notEqual">
      <formula>$R$46</formula>
    </cfRule>
    <cfRule type="cellIs" dxfId="864" priority="22" operator="equal">
      <formula>$R$46</formula>
    </cfRule>
  </conditionalFormatting>
  <conditionalFormatting sqref="S44">
    <cfRule type="cellIs" dxfId="863" priority="19" operator="notEqual">
      <formula>$S$46</formula>
    </cfRule>
    <cfRule type="cellIs" dxfId="862" priority="20" operator="equal">
      <formula>$S$46</formula>
    </cfRule>
  </conditionalFormatting>
  <conditionalFormatting sqref="T44">
    <cfRule type="cellIs" dxfId="861" priority="17" operator="notEqual">
      <formula>$T$46</formula>
    </cfRule>
    <cfRule type="cellIs" dxfId="860" priority="18" operator="equal">
      <formula>$T$46</formula>
    </cfRule>
  </conditionalFormatting>
  <conditionalFormatting sqref="U44">
    <cfRule type="cellIs" dxfId="859" priority="15" operator="notEqual">
      <formula>$U$46</formula>
    </cfRule>
    <cfRule type="cellIs" dxfId="858" priority="16" operator="equal">
      <formula>$U$46</formula>
    </cfRule>
  </conditionalFormatting>
  <conditionalFormatting sqref="V44">
    <cfRule type="cellIs" dxfId="857" priority="13" operator="notEqual">
      <formula>$V$46</formula>
    </cfRule>
    <cfRule type="cellIs" dxfId="856" priority="14" operator="equal">
      <formula>$V$46</formula>
    </cfRule>
  </conditionalFormatting>
  <conditionalFormatting sqref="W44">
    <cfRule type="cellIs" dxfId="855" priority="11" operator="notEqual">
      <formula>$W$46</formula>
    </cfRule>
    <cfRule type="cellIs" dxfId="854" priority="12" operator="equal">
      <formula>$W$46</formula>
    </cfRule>
  </conditionalFormatting>
  <conditionalFormatting sqref="X44">
    <cfRule type="cellIs" dxfId="853" priority="9" operator="notEqual">
      <formula>$X$46</formula>
    </cfRule>
    <cfRule type="cellIs" dxfId="852" priority="10" operator="equal">
      <formula>$X$46</formula>
    </cfRule>
  </conditionalFormatting>
  <conditionalFormatting sqref="Y44">
    <cfRule type="cellIs" dxfId="851" priority="7" operator="notEqual">
      <formula>$Y$46</formula>
    </cfRule>
    <cfRule type="cellIs" dxfId="850" priority="8" operator="equal">
      <formula>$Y$46</formula>
    </cfRule>
  </conditionalFormatting>
  <conditionalFormatting sqref="Z44">
    <cfRule type="cellIs" dxfId="849" priority="5" operator="notEqual">
      <formula>$Z$46</formula>
    </cfRule>
    <cfRule type="cellIs" dxfId="848" priority="6" operator="equal">
      <formula>$Z$46</formula>
    </cfRule>
  </conditionalFormatting>
  <conditionalFormatting sqref="AA44">
    <cfRule type="cellIs" dxfId="847" priority="3" operator="notEqual">
      <formula>$AA$46</formula>
    </cfRule>
    <cfRule type="cellIs" dxfId="846" priority="4" operator="equal">
      <formula>$AA$46</formula>
    </cfRule>
  </conditionalFormatting>
  <conditionalFormatting sqref="AB44">
    <cfRule type="cellIs" dxfId="845" priority="1" operator="notEqual">
      <formula>$AB$46</formula>
    </cfRule>
    <cfRule type="cellIs" dxfId="844" priority="2" operator="equal">
      <formula>$AB$46</formula>
    </cfRule>
  </conditionalFormatting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67663-3CB5-4832-BC7A-71429CDBBD52}">
  <sheetPr codeName="Planilha17"/>
  <dimension ref="A1:AB50"/>
  <sheetViews>
    <sheetView showGridLines="0" topLeftCell="P26" workbookViewId="0">
      <selection activeCell="AB44" sqref="AB44"/>
    </sheetView>
  </sheetViews>
  <sheetFormatPr defaultColWidth="9.140625"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14.28515625" style="9" bestFit="1" customWidth="1"/>
    <col min="12" max="12" width="8.7109375" style="9" bestFit="1" customWidth="1"/>
    <col min="13" max="13" width="10.5703125" style="9" bestFit="1" customWidth="1"/>
    <col min="14" max="14" width="8.7109375" style="9" bestFit="1" customWidth="1"/>
    <col min="15" max="15" width="11.140625" style="9" bestFit="1" customWidth="1"/>
    <col min="16" max="17" width="10.5703125" style="9" bestFit="1" customWidth="1"/>
    <col min="18" max="18" width="15" style="9" bestFit="1" customWidth="1"/>
    <col min="19" max="19" width="10.85546875" style="9" bestFit="1" customWidth="1"/>
    <col min="20" max="20" width="8.7109375" style="9" bestFit="1" customWidth="1"/>
    <col min="21" max="21" width="10.42578125" style="9" bestFit="1" customWidth="1"/>
    <col min="22" max="22" width="8.7109375" style="9" bestFit="1" customWidth="1"/>
    <col min="23" max="23" width="10" style="9" bestFit="1" customWidth="1"/>
    <col min="24" max="24" width="8" style="9" bestFit="1" customWidth="1"/>
    <col min="25" max="25" width="9.28515625" style="9" bestFit="1" customWidth="1"/>
    <col min="26" max="26" width="11" style="9" bestFit="1" customWidth="1"/>
    <col min="27" max="27" width="9.28515625" style="9" bestFit="1" customWidth="1"/>
    <col min="28" max="28" width="10.85546875" style="9" bestFit="1" customWidth="1"/>
    <col min="29" max="16384" width="9.140625" style="9"/>
  </cols>
  <sheetData>
    <row r="1" spans="1:28" ht="11.25" customHeight="1" x14ac:dyDescent="0.25">
      <c r="A1" s="154" t="s">
        <v>64</v>
      </c>
      <c r="B1" s="154" t="s">
        <v>65</v>
      </c>
      <c r="C1" s="154" t="s">
        <v>66</v>
      </c>
      <c r="D1" s="154" t="s">
        <v>67</v>
      </c>
      <c r="E1" s="154" t="s">
        <v>68</v>
      </c>
      <c r="F1" s="154" t="s">
        <v>15</v>
      </c>
      <c r="G1" s="154" t="s">
        <v>70</v>
      </c>
      <c r="H1" s="154" t="s">
        <v>71</v>
      </c>
      <c r="I1" s="154" t="s">
        <v>561</v>
      </c>
      <c r="J1" s="141"/>
      <c r="L1" s="155" t="s">
        <v>583</v>
      </c>
      <c r="M1" s="155"/>
      <c r="N1" s="155"/>
      <c r="O1" s="155"/>
      <c r="P1" s="155"/>
      <c r="Q1" s="155"/>
      <c r="R1" s="155"/>
      <c r="S1" s="155"/>
      <c r="T1" s="155"/>
      <c r="U1" s="155"/>
      <c r="V1" s="155"/>
      <c r="W1" s="155"/>
      <c r="X1" s="155"/>
      <c r="Y1" s="155"/>
      <c r="Z1" s="155"/>
      <c r="AA1" s="155"/>
      <c r="AB1" s="155"/>
    </row>
    <row r="2" spans="1:28" ht="11.25" customHeight="1" x14ac:dyDescent="0.25">
      <c r="A2" s="154"/>
      <c r="B2" s="154"/>
      <c r="C2" s="154"/>
      <c r="D2" s="154"/>
      <c r="E2" s="154"/>
      <c r="F2" s="154"/>
      <c r="G2" s="154"/>
      <c r="H2" s="154"/>
      <c r="I2" s="154"/>
      <c r="J2" s="141"/>
      <c r="L2" s="155" t="s">
        <v>488</v>
      </c>
      <c r="M2" s="155"/>
      <c r="N2" s="155"/>
      <c r="O2" s="155"/>
      <c r="P2" s="155"/>
      <c r="Q2" s="155"/>
      <c r="R2" s="155"/>
      <c r="S2" s="155"/>
      <c r="T2" s="155"/>
      <c r="U2" s="155"/>
      <c r="V2" s="155"/>
      <c r="W2" s="155"/>
      <c r="X2" s="155"/>
      <c r="Y2" s="155"/>
      <c r="Z2" s="155"/>
      <c r="AA2" s="155"/>
      <c r="AB2" s="155"/>
    </row>
    <row r="3" spans="1:28" ht="11.25" customHeight="1" x14ac:dyDescent="0.25">
      <c r="A3" s="154"/>
      <c r="B3" s="154"/>
      <c r="C3" s="154"/>
      <c r="D3" s="154"/>
      <c r="E3" s="154"/>
      <c r="F3" s="154"/>
      <c r="G3" s="154"/>
      <c r="H3" s="154"/>
      <c r="I3" s="154"/>
      <c r="J3" s="141"/>
      <c r="L3" s="155" t="s">
        <v>461</v>
      </c>
      <c r="M3" s="155"/>
      <c r="N3" s="155"/>
      <c r="O3" s="155"/>
      <c r="P3" s="155"/>
      <c r="Q3" s="155"/>
      <c r="R3" s="155" t="s">
        <v>492</v>
      </c>
      <c r="S3" s="155"/>
      <c r="T3" s="155" t="s">
        <v>470</v>
      </c>
      <c r="U3" s="155"/>
      <c r="V3" s="155"/>
      <c r="W3" s="155"/>
      <c r="X3" s="155" t="s">
        <v>480</v>
      </c>
      <c r="Y3" s="155"/>
      <c r="Z3" s="155" t="s">
        <v>483</v>
      </c>
      <c r="AA3" s="155"/>
      <c r="AB3" s="155" t="s">
        <v>469</v>
      </c>
    </row>
    <row r="4" spans="1:28" ht="11.25" customHeight="1" x14ac:dyDescent="0.25">
      <c r="A4" s="154"/>
      <c r="B4" s="154"/>
      <c r="C4" s="154"/>
      <c r="D4" s="154"/>
      <c r="E4" s="154"/>
      <c r="F4" s="154"/>
      <c r="G4" s="154"/>
      <c r="H4" s="154"/>
      <c r="I4" s="154"/>
      <c r="J4" s="141"/>
      <c r="L4" s="63" t="s">
        <v>463</v>
      </c>
      <c r="M4" s="63" t="s">
        <v>489</v>
      </c>
      <c r="N4" s="63" t="s">
        <v>490</v>
      </c>
      <c r="O4" s="63" t="s">
        <v>549</v>
      </c>
      <c r="P4" s="63" t="s">
        <v>491</v>
      </c>
      <c r="Q4" s="63" t="s">
        <v>469</v>
      </c>
      <c r="R4" s="63" t="s">
        <v>493</v>
      </c>
      <c r="S4" s="63" t="s">
        <v>469</v>
      </c>
      <c r="T4" s="63" t="s">
        <v>494</v>
      </c>
      <c r="U4" s="63" t="s">
        <v>495</v>
      </c>
      <c r="V4" s="63" t="s">
        <v>496</v>
      </c>
      <c r="W4" s="63" t="s">
        <v>469</v>
      </c>
      <c r="X4" s="63" t="s">
        <v>481</v>
      </c>
      <c r="Y4" s="63" t="s">
        <v>469</v>
      </c>
      <c r="Z4" s="63" t="s">
        <v>497</v>
      </c>
      <c r="AA4" s="63" t="s">
        <v>469</v>
      </c>
      <c r="AB4" s="156"/>
    </row>
    <row r="5" spans="1:28" ht="11.25" customHeight="1" x14ac:dyDescent="0.25">
      <c r="A5" s="153" t="s">
        <v>35</v>
      </c>
      <c r="B5" s="153" t="s">
        <v>73</v>
      </c>
      <c r="C5" s="153" t="s">
        <v>25</v>
      </c>
      <c r="D5" s="153" t="s">
        <v>25</v>
      </c>
      <c r="E5" s="153" t="s">
        <v>25</v>
      </c>
      <c r="F5" s="153" t="s">
        <v>25</v>
      </c>
      <c r="G5" s="62" t="s">
        <v>75</v>
      </c>
      <c r="H5" s="62" t="s">
        <v>74</v>
      </c>
      <c r="I5" s="62">
        <f>'MERCADO TE'!$U$2</f>
        <v>3764.2840000000001</v>
      </c>
      <c r="J5" s="15"/>
      <c r="L5" s="59">
        <f>'TE BE'!$L$5*'TE BF'!$L$49</f>
        <v>0</v>
      </c>
      <c r="M5" s="59">
        <f>'TE BE'!$M$5*'TE BF'!$M$49</f>
        <v>4.1192379815905733</v>
      </c>
      <c r="N5" s="59">
        <f>'TE BE'!$N$5*'TE BF'!$N$49</f>
        <v>0</v>
      </c>
      <c r="O5" s="59">
        <f>'TE BE'!$O$5*'TE BF'!$O$49</f>
        <v>0</v>
      </c>
      <c r="P5" s="59">
        <f>'TE BE'!$P$5*'TE BF'!$P$49</f>
        <v>0</v>
      </c>
      <c r="Q5" s="59">
        <f>SUM($L$5:$P$5)</f>
        <v>4.1192379815905733</v>
      </c>
      <c r="R5" s="59">
        <f>'TE BE'!$R$5*'TE BF'!$R$49</f>
        <v>-0.68503738575483486</v>
      </c>
      <c r="S5" s="59">
        <f>SUM($R$5:$R$5)</f>
        <v>-0.68503738575483486</v>
      </c>
      <c r="T5" s="59">
        <f>'TE BE'!$T$5*'TE BF'!$T$49</f>
        <v>2.1891829956245439</v>
      </c>
      <c r="U5" s="59">
        <f>'TE BE'!$U$5*'TE BF'!$U$49</f>
        <v>1.7699374108060713</v>
      </c>
      <c r="V5" s="59">
        <f>'TE BE'!$V$5*'TE BF'!$V$49</f>
        <v>0</v>
      </c>
      <c r="W5" s="59">
        <f>SUM($T$5:$V$5)</f>
        <v>3.9591204064306149</v>
      </c>
      <c r="X5" s="59">
        <f>'TE BE'!$AB$5*'TE BF'!$X$49</f>
        <v>0</v>
      </c>
      <c r="Y5" s="59">
        <f>SUM($X$5:$X$5)</f>
        <v>0</v>
      </c>
      <c r="Z5" s="59">
        <f>'TE BE'!$Z$5*'TE BF'!$Z$49</f>
        <v>-8.8671920836610237E-3</v>
      </c>
      <c r="AA5" s="59">
        <f>SUM($Z$5:$Z$5)</f>
        <v>-8.8671920836610237E-3</v>
      </c>
      <c r="AB5" s="59">
        <f>SUMIF($L$4:$AA$4,"SUBTOTAL",$L$5:$AA$5)</f>
        <v>7.3844538101826922</v>
      </c>
    </row>
    <row r="6" spans="1:28" ht="11.25" customHeight="1" x14ac:dyDescent="0.25">
      <c r="A6" s="153"/>
      <c r="B6" s="153"/>
      <c r="C6" s="153"/>
      <c r="D6" s="153"/>
      <c r="E6" s="153"/>
      <c r="F6" s="153"/>
      <c r="G6" s="62" t="s">
        <v>76</v>
      </c>
      <c r="H6" s="62" t="s">
        <v>74</v>
      </c>
      <c r="I6" s="62">
        <f>'MERCADO TE'!$U$3</f>
        <v>77059.703999999983</v>
      </c>
      <c r="J6" s="15"/>
      <c r="L6" s="59">
        <f>'TE BE'!$L$6*'TE BF'!$L$49</f>
        <v>0</v>
      </c>
      <c r="M6" s="59">
        <f>'TE BE'!$M$6*'TE BF'!$M$49</f>
        <v>4.1192379815905733</v>
      </c>
      <c r="N6" s="59">
        <f>'TE BE'!$N$6*'TE BF'!$N$49</f>
        <v>0</v>
      </c>
      <c r="O6" s="59">
        <f>'TE BE'!$O$6*'TE BF'!$O$49</f>
        <v>0</v>
      </c>
      <c r="P6" s="59">
        <f>'TE BE'!$P$6*'TE BF'!$P$49</f>
        <v>0</v>
      </c>
      <c r="Q6" s="59">
        <f>SUM($L$6:$P$6)</f>
        <v>4.1192379815905733</v>
      </c>
      <c r="R6" s="59">
        <f>'TE BE'!$R$6*'TE BF'!$R$49</f>
        <v>-0.39827754985746217</v>
      </c>
      <c r="S6" s="59">
        <f>SUM($R$6:$R$6)</f>
        <v>-0.39827754985746217</v>
      </c>
      <c r="T6" s="59">
        <f>'TE BE'!$T$6*'TE BF'!$T$49</f>
        <v>2.1891829956245439</v>
      </c>
      <c r="U6" s="59">
        <f>'TE BE'!$U$6*'TE BF'!$U$49</f>
        <v>1.7699374108060713</v>
      </c>
      <c r="V6" s="59">
        <f>'TE BE'!$V$6*'TE BF'!$V$49</f>
        <v>0</v>
      </c>
      <c r="W6" s="59">
        <f>SUM($T$6:$V$6)</f>
        <v>3.9591204064306149</v>
      </c>
      <c r="X6" s="59">
        <f>'TE BE'!$AB$6*'TE BF'!$X$49</f>
        <v>0</v>
      </c>
      <c r="Y6" s="59">
        <f>SUM($X$6:$X$6)</f>
        <v>0</v>
      </c>
      <c r="Z6" s="59">
        <f>'TE BE'!$Z$6*'TE BF'!$Z$49</f>
        <v>-8.8671920836610237E-3</v>
      </c>
      <c r="AA6" s="59">
        <f>SUM($Z$6:$Z$6)</f>
        <v>-8.8671920836610237E-3</v>
      </c>
      <c r="AB6" s="59">
        <f>SUMIF($L$4:$AA$4,"SUBTOTAL",$L$6:$AA$6)</f>
        <v>7.6712136460800648</v>
      </c>
    </row>
    <row r="7" spans="1:28" ht="11.25" customHeight="1" x14ac:dyDescent="0.25">
      <c r="A7" s="153"/>
      <c r="B7" s="61" t="s">
        <v>77</v>
      </c>
      <c r="C7" s="61" t="s">
        <v>25</v>
      </c>
      <c r="D7" s="61" t="s">
        <v>25</v>
      </c>
      <c r="E7" s="61" t="s">
        <v>25</v>
      </c>
      <c r="F7" s="61" t="s">
        <v>25</v>
      </c>
      <c r="G7" s="62" t="s">
        <v>78</v>
      </c>
      <c r="H7" s="62" t="s">
        <v>74</v>
      </c>
      <c r="I7" s="62">
        <f>'MERCADO TE'!$U$4</f>
        <v>0</v>
      </c>
      <c r="J7" s="15"/>
      <c r="L7" s="59">
        <f>'TE BE'!$L$7*'TE BF'!$L$49</f>
        <v>0</v>
      </c>
      <c r="M7" s="59">
        <f>'TE BE'!$M$7*'TE BF'!$M$49</f>
        <v>4.1192379815905733</v>
      </c>
      <c r="N7" s="59">
        <f>'TE BE'!$N$7*'TE BF'!$N$49</f>
        <v>0</v>
      </c>
      <c r="O7" s="59">
        <f>'TE BE'!$O$7*'TE BF'!$O$49</f>
        <v>0</v>
      </c>
      <c r="P7" s="59">
        <f>'TE BE'!$P$7*'TE BF'!$P$49</f>
        <v>0</v>
      </c>
      <c r="Q7" s="59">
        <f>SUM($L$7:$P$7)</f>
        <v>4.1192379815905733</v>
      </c>
      <c r="R7" s="59">
        <f>'TE BE'!$R$7*'TE BF'!$R$49</f>
        <v>-0.42217420284890994</v>
      </c>
      <c r="S7" s="59">
        <f>SUM($R$7:$R$7)</f>
        <v>-0.42217420284890994</v>
      </c>
      <c r="T7" s="59">
        <f>'TE BE'!$T$7*'TE BF'!$T$49</f>
        <v>2.1891829956245439</v>
      </c>
      <c r="U7" s="59">
        <f>'TE BE'!$U$7*'TE BF'!$U$49</f>
        <v>1.7699374108060713</v>
      </c>
      <c r="V7" s="59">
        <f>'TE BE'!$V$7*'TE BF'!$V$49</f>
        <v>0</v>
      </c>
      <c r="W7" s="59">
        <f>SUM($T$7:$V$7)</f>
        <v>3.9591204064306149</v>
      </c>
      <c r="X7" s="59">
        <f>'TE BE'!$AB$7*'TE BF'!$X$49</f>
        <v>0</v>
      </c>
      <c r="Y7" s="59">
        <f>SUM($X$7:$X$7)</f>
        <v>0</v>
      </c>
      <c r="Z7" s="59">
        <f>'TE BE'!$Z$7*'TE BF'!$Z$49</f>
        <v>-8.8671920836610237E-3</v>
      </c>
      <c r="AA7" s="59">
        <f>SUM($Z$7:$Z$7)</f>
        <v>-8.8671920836610237E-3</v>
      </c>
      <c r="AB7" s="59">
        <f>SUMIF($L$4:$AA$4,"SUBTOTAL",$L$7:$AA$7)</f>
        <v>7.6473169930886167</v>
      </c>
    </row>
    <row r="8" spans="1:28" ht="11.25" customHeight="1" x14ac:dyDescent="0.25">
      <c r="A8" s="153" t="s">
        <v>22</v>
      </c>
      <c r="B8" s="153" t="s">
        <v>73</v>
      </c>
      <c r="C8" s="153" t="s">
        <v>24</v>
      </c>
      <c r="D8" s="153" t="s">
        <v>24</v>
      </c>
      <c r="E8" s="153" t="s">
        <v>25</v>
      </c>
      <c r="F8" s="153" t="s">
        <v>25</v>
      </c>
      <c r="G8" s="62" t="s">
        <v>75</v>
      </c>
      <c r="H8" s="62" t="s">
        <v>74</v>
      </c>
      <c r="I8" s="62">
        <f>'MERCADO TE'!$U$5</f>
        <v>0</v>
      </c>
      <c r="J8" s="15"/>
      <c r="L8" s="59">
        <f>'TE BE'!$L$8*'TE BF'!$L$49</f>
        <v>0</v>
      </c>
      <c r="M8" s="59">
        <f>'TE BE'!$M$8*'TE BF'!$M$49</f>
        <v>4.1192379815905733</v>
      </c>
      <c r="N8" s="59">
        <f>'TE BE'!$N$8*'TE BF'!$N$49</f>
        <v>0</v>
      </c>
      <c r="O8" s="59">
        <f>'TE BE'!$O$8*'TE BF'!$O$49</f>
        <v>0</v>
      </c>
      <c r="P8" s="59">
        <f>'TE BE'!$P$8*'TE BF'!$P$49</f>
        <v>0</v>
      </c>
      <c r="Q8" s="59">
        <f>SUM($L$8:$P$8)</f>
        <v>4.1192379815905733</v>
      </c>
      <c r="R8" s="59">
        <f>'TE BE'!$R$8*'TE BF'!$R$49</f>
        <v>-0.68503738575483486</v>
      </c>
      <c r="S8" s="59">
        <f>SUM($R$8:$R$8)</f>
        <v>-0.68503738575483486</v>
      </c>
      <c r="T8" s="59">
        <f>'TE BE'!$T$8*'TE BF'!$T$49</f>
        <v>2.1891829956245439</v>
      </c>
      <c r="U8" s="59">
        <f>'TE BE'!$U$8*'TE BF'!$U$49</f>
        <v>1.7699374108060713</v>
      </c>
      <c r="V8" s="59">
        <f>'TE BE'!$V$8*'TE BF'!$V$49</f>
        <v>0</v>
      </c>
      <c r="W8" s="59">
        <f>SUM($T$8:$V$8)</f>
        <v>3.9591204064306149</v>
      </c>
      <c r="X8" s="59">
        <f>'TE BE'!$AB$8*'TE BF'!$X$49</f>
        <v>0</v>
      </c>
      <c r="Y8" s="59">
        <f>SUM($X$8:$X$8)</f>
        <v>0</v>
      </c>
      <c r="Z8" s="59">
        <f>'TE BE'!$Z$8*'TE BF'!$Z$49</f>
        <v>-8.8671920836610237E-3</v>
      </c>
      <c r="AA8" s="59">
        <f>SUM($Z$8:$Z$8)</f>
        <v>-8.8671920836610237E-3</v>
      </c>
      <c r="AB8" s="59">
        <f>SUMIF($L$4:$AA$4,"SUBTOTAL",$L$8:$AA$8)</f>
        <v>7.3844538101826922</v>
      </c>
    </row>
    <row r="9" spans="1:28" ht="11.25" customHeight="1" x14ac:dyDescent="0.25">
      <c r="A9" s="153"/>
      <c r="B9" s="153"/>
      <c r="C9" s="153"/>
      <c r="D9" s="153"/>
      <c r="E9" s="153"/>
      <c r="F9" s="153"/>
      <c r="G9" s="62" t="s">
        <v>87</v>
      </c>
      <c r="H9" s="62" t="s">
        <v>74</v>
      </c>
      <c r="I9" s="62">
        <f>'MERCADO TE'!$U$6</f>
        <v>0</v>
      </c>
      <c r="J9" s="15"/>
      <c r="L9" s="59">
        <f>'TE BE'!$L$9*'TE BF'!$L$49</f>
        <v>0</v>
      </c>
      <c r="M9" s="59">
        <f>'TE BE'!$M$9*'TE BF'!$M$49</f>
        <v>4.1192379815905733</v>
      </c>
      <c r="N9" s="59">
        <f>'TE BE'!$N$9*'TE BF'!$N$49</f>
        <v>0</v>
      </c>
      <c r="O9" s="59">
        <f>'TE BE'!$O$9*'TE BF'!$O$49</f>
        <v>0</v>
      </c>
      <c r="P9" s="59">
        <f>'TE BE'!$P$9*'TE BF'!$P$49</f>
        <v>0</v>
      </c>
      <c r="Q9" s="59">
        <f>SUM($L$9:$P$9)</f>
        <v>4.1192379815905733</v>
      </c>
      <c r="R9" s="59">
        <f>'TE BE'!$R$9*'TE BF'!$R$49</f>
        <v>-0.39827754985746217</v>
      </c>
      <c r="S9" s="59">
        <f>SUM($R$9:$R$9)</f>
        <v>-0.39827754985746217</v>
      </c>
      <c r="T9" s="59">
        <f>'TE BE'!$T$9*'TE BF'!$T$49</f>
        <v>2.1891829956245439</v>
      </c>
      <c r="U9" s="59">
        <f>'TE BE'!$U$9*'TE BF'!$U$49</f>
        <v>1.7699374108060713</v>
      </c>
      <c r="V9" s="59">
        <f>'TE BE'!$V$9*'TE BF'!$V$49</f>
        <v>0</v>
      </c>
      <c r="W9" s="59">
        <f>SUM($T$9:$V$9)</f>
        <v>3.9591204064306149</v>
      </c>
      <c r="X9" s="59">
        <f>'TE BE'!$AB$9*'TE BF'!$X$49</f>
        <v>0</v>
      </c>
      <c r="Y9" s="59">
        <f>SUM($X$9:$X$9)</f>
        <v>0</v>
      </c>
      <c r="Z9" s="59">
        <f>'TE BE'!$Z$9*'TE BF'!$Z$49</f>
        <v>-8.8671920836610237E-3</v>
      </c>
      <c r="AA9" s="59">
        <f>SUM($Z$9:$Z$9)</f>
        <v>-8.8671920836610237E-3</v>
      </c>
      <c r="AB9" s="59">
        <f>SUMIF($L$4:$AA$4,"SUBTOTAL",$L$9:$AA$9)</f>
        <v>7.6712136460800648</v>
      </c>
    </row>
    <row r="10" spans="1:28" ht="11.25" customHeight="1" x14ac:dyDescent="0.25">
      <c r="A10" s="153"/>
      <c r="B10" s="153"/>
      <c r="C10" s="153"/>
      <c r="D10" s="153"/>
      <c r="E10" s="153"/>
      <c r="F10" s="153"/>
      <c r="G10" s="62" t="s">
        <v>76</v>
      </c>
      <c r="H10" s="62" t="s">
        <v>74</v>
      </c>
      <c r="I10" s="62">
        <f>'MERCADO TE'!$U$7</f>
        <v>0</v>
      </c>
      <c r="J10" s="15"/>
      <c r="L10" s="59">
        <f>'TE BE'!$L$10*'TE BF'!$L$49</f>
        <v>0</v>
      </c>
      <c r="M10" s="59">
        <f>'TE BE'!$M$10*'TE BF'!$M$49</f>
        <v>4.1192379815905733</v>
      </c>
      <c r="N10" s="59">
        <f>'TE BE'!$N$10*'TE BF'!$N$49</f>
        <v>0</v>
      </c>
      <c r="O10" s="59">
        <f>'TE BE'!$O$10*'TE BF'!$O$49</f>
        <v>0</v>
      </c>
      <c r="P10" s="59">
        <f>'TE BE'!$P$10*'TE BF'!$P$49</f>
        <v>0</v>
      </c>
      <c r="Q10" s="59">
        <f>SUM($L$10:$P$10)</f>
        <v>4.1192379815905733</v>
      </c>
      <c r="R10" s="59">
        <f>'TE BE'!$R$10*'TE BF'!$R$49</f>
        <v>-0.39827754985746217</v>
      </c>
      <c r="S10" s="59">
        <f>SUM($R$10:$R$10)</f>
        <v>-0.39827754985746217</v>
      </c>
      <c r="T10" s="59">
        <f>'TE BE'!$T$10*'TE BF'!$T$49</f>
        <v>2.1891829956245439</v>
      </c>
      <c r="U10" s="59">
        <f>'TE BE'!$U$10*'TE BF'!$U$49</f>
        <v>1.7699374108060713</v>
      </c>
      <c r="V10" s="59">
        <f>'TE BE'!$V$10*'TE BF'!$V$49</f>
        <v>0</v>
      </c>
      <c r="W10" s="59">
        <f>SUM($T$10:$V$10)</f>
        <v>3.9591204064306149</v>
      </c>
      <c r="X10" s="59">
        <f>'TE BE'!$AB$10*'TE BF'!$X$49</f>
        <v>0</v>
      </c>
      <c r="Y10" s="59">
        <f>SUM($X$10:$X$10)</f>
        <v>0</v>
      </c>
      <c r="Z10" s="59">
        <f>'TE BE'!$Z$10*'TE BF'!$Z$49</f>
        <v>-8.8671920836610237E-3</v>
      </c>
      <c r="AA10" s="59">
        <f>SUM($Z$10:$Z$10)</f>
        <v>-8.8671920836610237E-3</v>
      </c>
      <c r="AB10" s="59">
        <f>SUMIF($L$4:$AA$4,"SUBTOTAL",$L$10:$AA$10)</f>
        <v>7.6712136460800648</v>
      </c>
    </row>
    <row r="11" spans="1:28" ht="11.25" customHeight="1" x14ac:dyDescent="0.25">
      <c r="A11" s="153"/>
      <c r="B11" s="153" t="s">
        <v>77</v>
      </c>
      <c r="C11" s="153" t="s">
        <v>24</v>
      </c>
      <c r="D11" s="61" t="s">
        <v>24</v>
      </c>
      <c r="E11" s="61" t="s">
        <v>25</v>
      </c>
      <c r="F11" s="61" t="s">
        <v>25</v>
      </c>
      <c r="G11" s="62" t="s">
        <v>78</v>
      </c>
      <c r="H11" s="62" t="s">
        <v>74</v>
      </c>
      <c r="I11" s="62">
        <f>'MERCADO TE'!$U$8</f>
        <v>67923.810000000012</v>
      </c>
      <c r="J11" s="15"/>
      <c r="L11" s="59">
        <f>'TE BE'!$L$11*'TE BF'!$L$49</f>
        <v>0</v>
      </c>
      <c r="M11" s="59">
        <f>'TE BE'!$M$11*'TE BF'!$M$49</f>
        <v>4.1192379815905733</v>
      </c>
      <c r="N11" s="59">
        <f>'TE BE'!$N$11*'TE BF'!$N$49</f>
        <v>0</v>
      </c>
      <c r="O11" s="59">
        <f>'TE BE'!$O$11*'TE BF'!$O$49</f>
        <v>0</v>
      </c>
      <c r="P11" s="59">
        <f>'TE BE'!$P$11*'TE BF'!$P$49</f>
        <v>0</v>
      </c>
      <c r="Q11" s="59">
        <f>SUM($L$11:$P$11)</f>
        <v>4.1192379815905733</v>
      </c>
      <c r="R11" s="59">
        <f>'TE BE'!$R$11*'TE BF'!$R$49</f>
        <v>-0.42217420284890994</v>
      </c>
      <c r="S11" s="59">
        <f>SUM($R$11:$R$11)</f>
        <v>-0.42217420284890994</v>
      </c>
      <c r="T11" s="59">
        <f>'TE BE'!$T$11*'TE BF'!$T$49</f>
        <v>2.1891829956245439</v>
      </c>
      <c r="U11" s="59">
        <f>'TE BE'!$U$11*'TE BF'!$U$49</f>
        <v>1.7699374108060713</v>
      </c>
      <c r="V11" s="59">
        <f>'TE BE'!$V$11*'TE BF'!$V$49</f>
        <v>0</v>
      </c>
      <c r="W11" s="59">
        <f>SUM($T$11:$V$11)</f>
        <v>3.9591204064306149</v>
      </c>
      <c r="X11" s="59">
        <f>'TE BE'!$AB$11*'TE BF'!$X$49</f>
        <v>0</v>
      </c>
      <c r="Y11" s="59">
        <f>SUM($X$11:$X$11)</f>
        <v>0</v>
      </c>
      <c r="Z11" s="59">
        <f>'TE BE'!$Z$11*'TE BF'!$Z$49</f>
        <v>-8.8671920836610237E-3</v>
      </c>
      <c r="AA11" s="59">
        <f>SUM($Z$11:$Z$11)</f>
        <v>-8.8671920836610237E-3</v>
      </c>
      <c r="AB11" s="59">
        <f>SUMIF($L$4:$AA$4,"SUBTOTAL",$L$11:$AA$11)</f>
        <v>7.6473169930886167</v>
      </c>
    </row>
    <row r="12" spans="1:28" ht="11.25" customHeight="1" x14ac:dyDescent="0.25">
      <c r="A12" s="153"/>
      <c r="B12" s="153"/>
      <c r="C12" s="153"/>
      <c r="D12" s="61" t="s">
        <v>29</v>
      </c>
      <c r="E12" s="61" t="s">
        <v>25</v>
      </c>
      <c r="F12" s="61" t="s">
        <v>25</v>
      </c>
      <c r="G12" s="62" t="s">
        <v>78</v>
      </c>
      <c r="H12" s="62" t="s">
        <v>74</v>
      </c>
      <c r="I12" s="62">
        <f>'MERCADO TE'!$U$9</f>
        <v>515.52700000000004</v>
      </c>
      <c r="J12" s="15"/>
      <c r="L12" s="59">
        <f>'TE BE'!$L$12*'TE BF'!$L$49</f>
        <v>0</v>
      </c>
      <c r="M12" s="59">
        <f>'TE BE'!$M$12*'TE BF'!$M$49</f>
        <v>4.1192379815905733</v>
      </c>
      <c r="N12" s="59">
        <f>'TE BE'!$N$12*'TE BF'!$N$49</f>
        <v>0</v>
      </c>
      <c r="O12" s="59">
        <f>'TE BE'!$O$12*'TE BF'!$O$49</f>
        <v>0</v>
      </c>
      <c r="P12" s="59">
        <f>'TE BE'!$P$12*'TE BF'!$P$49</f>
        <v>0</v>
      </c>
      <c r="Q12" s="59">
        <f>SUM($L$12:$P$12)</f>
        <v>4.1192379815905733</v>
      </c>
      <c r="R12" s="59">
        <f>'TE BE'!$R$12*'TE BF'!$R$49</f>
        <v>-0.42217420284890994</v>
      </c>
      <c r="S12" s="59">
        <f>SUM($R$12:$R$12)</f>
        <v>-0.42217420284890994</v>
      </c>
      <c r="T12" s="59">
        <f>'TE BE'!$T$12*'TE BF'!$T$49</f>
        <v>2.1891829956245439</v>
      </c>
      <c r="U12" s="59">
        <f>'TE BE'!$U$12*'TE BF'!$U$49</f>
        <v>1.7699374108060713</v>
      </c>
      <c r="V12" s="59">
        <f>'TE BE'!$V$12*'TE BF'!$V$49</f>
        <v>0</v>
      </c>
      <c r="W12" s="59">
        <f>SUM($T$12:$V$12)</f>
        <v>3.9591204064306149</v>
      </c>
      <c r="X12" s="59">
        <f>'TE BE'!$AB$12*'TE BF'!$X$49</f>
        <v>0</v>
      </c>
      <c r="Y12" s="59">
        <f>SUM($X$12:$X$12)</f>
        <v>0</v>
      </c>
      <c r="Z12" s="59">
        <f>'TE BE'!$Z$12*'TE BF'!$Z$49</f>
        <v>-8.8671920836610237E-3</v>
      </c>
      <c r="AA12" s="59">
        <f>SUM($Z$12:$Z$12)</f>
        <v>-8.8671920836610237E-3</v>
      </c>
      <c r="AB12" s="59">
        <f>SUMIF($L$4:$AA$4,"SUBTOTAL",$L$12:$AA$12)</f>
        <v>7.6473169930886167</v>
      </c>
    </row>
    <row r="13" spans="1:28" ht="11.25" customHeight="1" x14ac:dyDescent="0.25">
      <c r="A13" s="153"/>
      <c r="B13" s="153"/>
      <c r="C13" s="153"/>
      <c r="D13" s="61" t="s">
        <v>30</v>
      </c>
      <c r="E13" s="61" t="s">
        <v>25</v>
      </c>
      <c r="F13" s="61" t="s">
        <v>25</v>
      </c>
      <c r="G13" s="62" t="s">
        <v>78</v>
      </c>
      <c r="H13" s="62" t="s">
        <v>74</v>
      </c>
      <c r="I13" s="62">
        <f>'MERCADO TE'!$U$10</f>
        <v>1078.232</v>
      </c>
      <c r="J13" s="15"/>
      <c r="L13" s="59">
        <f>'TE BE'!$L$13*'TE BF'!$L$49</f>
        <v>0</v>
      </c>
      <c r="M13" s="59">
        <f>'TE BE'!$M$13*'TE BF'!$M$49</f>
        <v>4.1192379815905733</v>
      </c>
      <c r="N13" s="59">
        <f>'TE BE'!$N$13*'TE BF'!$N$49</f>
        <v>0</v>
      </c>
      <c r="O13" s="59">
        <f>'TE BE'!$O$13*'TE BF'!$O$49</f>
        <v>0</v>
      </c>
      <c r="P13" s="59">
        <f>'TE BE'!$P$13*'TE BF'!$P$49</f>
        <v>0</v>
      </c>
      <c r="Q13" s="59">
        <f>SUM($L$13:$P$13)</f>
        <v>4.1192379815905733</v>
      </c>
      <c r="R13" s="59">
        <f>'TE BE'!$R$13*'TE BF'!$R$49</f>
        <v>-0.42217420284890994</v>
      </c>
      <c r="S13" s="59">
        <f>SUM($R$13:$R$13)</f>
        <v>-0.42217420284890994</v>
      </c>
      <c r="T13" s="59">
        <f>'TE BE'!$T$13*'TE BF'!$T$49</f>
        <v>2.1891829956245439</v>
      </c>
      <c r="U13" s="59">
        <f>'TE BE'!$U$13*'TE BF'!$U$49</f>
        <v>1.7699374108060713</v>
      </c>
      <c r="V13" s="59">
        <f>'TE BE'!$V$13*'TE BF'!$V$49</f>
        <v>0</v>
      </c>
      <c r="W13" s="59">
        <f>SUM($T$13:$V$13)</f>
        <v>3.9591204064306149</v>
      </c>
      <c r="X13" s="59">
        <f>'TE BE'!$AB$13*'TE BF'!$X$49</f>
        <v>0</v>
      </c>
      <c r="Y13" s="59">
        <f>SUM($X$13:$X$13)</f>
        <v>0</v>
      </c>
      <c r="Z13" s="59">
        <f>'TE BE'!$Z$13*'TE BF'!$Z$49</f>
        <v>-8.8671920836610237E-3</v>
      </c>
      <c r="AA13" s="59">
        <f>SUM($Z$13:$Z$13)</f>
        <v>-8.8671920836610237E-3</v>
      </c>
      <c r="AB13" s="59">
        <f>SUMIF($L$4:$AA$4,"SUBTOTAL",$L$13:$AA$13)</f>
        <v>7.6473169930886167</v>
      </c>
    </row>
    <row r="14" spans="1:28" ht="11.25" customHeight="1" x14ac:dyDescent="0.25">
      <c r="A14" s="153"/>
      <c r="B14" s="153"/>
      <c r="C14" s="153"/>
      <c r="D14" s="61" t="s">
        <v>31</v>
      </c>
      <c r="E14" s="61" t="s">
        <v>25</v>
      </c>
      <c r="F14" s="61" t="s">
        <v>25</v>
      </c>
      <c r="G14" s="62" t="s">
        <v>78</v>
      </c>
      <c r="H14" s="62" t="s">
        <v>74</v>
      </c>
      <c r="I14" s="62">
        <f>'MERCADO TE'!$U$11</f>
        <v>1111.8500000000001</v>
      </c>
      <c r="J14" s="15"/>
      <c r="L14" s="59">
        <f>'TE BE'!$L$14*'TE BF'!$L$49</f>
        <v>0</v>
      </c>
      <c r="M14" s="59">
        <f>'TE BE'!$M$14*'TE BF'!$M$49</f>
        <v>4.1192379815905733</v>
      </c>
      <c r="N14" s="59">
        <f>'TE BE'!$N$14*'TE BF'!$N$49</f>
        <v>0</v>
      </c>
      <c r="O14" s="59">
        <f>'TE BE'!$O$14*'TE BF'!$O$49</f>
        <v>0</v>
      </c>
      <c r="P14" s="59">
        <f>'TE BE'!$P$14*'TE BF'!$P$49</f>
        <v>0</v>
      </c>
      <c r="Q14" s="59">
        <f>SUM($L$14:$P$14)</f>
        <v>4.1192379815905733</v>
      </c>
      <c r="R14" s="59">
        <f>'TE BE'!$R$14*'TE BF'!$R$49</f>
        <v>-0.42217420284890994</v>
      </c>
      <c r="S14" s="59">
        <f>SUM($R$14:$R$14)</f>
        <v>-0.42217420284890994</v>
      </c>
      <c r="T14" s="59">
        <f>'TE BE'!$T$14*'TE BF'!$T$49</f>
        <v>2.1891829956245439</v>
      </c>
      <c r="U14" s="59">
        <f>'TE BE'!$U$14*'TE BF'!$U$49</f>
        <v>1.7699374108060713</v>
      </c>
      <c r="V14" s="59">
        <f>'TE BE'!$V$14*'TE BF'!$V$49</f>
        <v>0</v>
      </c>
      <c r="W14" s="59">
        <f>SUM($T$14:$V$14)</f>
        <v>3.9591204064306149</v>
      </c>
      <c r="X14" s="59">
        <f>'TE BE'!$AB$14*'TE BF'!$X$49</f>
        <v>0</v>
      </c>
      <c r="Y14" s="59">
        <f>SUM($X$14:$X$14)</f>
        <v>0</v>
      </c>
      <c r="Z14" s="59">
        <f>'TE BE'!$Z$14*'TE BF'!$Z$49</f>
        <v>-8.8671920836610237E-3</v>
      </c>
      <c r="AA14" s="59">
        <f>SUM($Z$14:$Z$14)</f>
        <v>-8.8671920836610237E-3</v>
      </c>
      <c r="AB14" s="59">
        <f>SUMIF($L$4:$AA$4,"SUBTOTAL",$L$14:$AA$14)</f>
        <v>7.6473169930886167</v>
      </c>
    </row>
    <row r="15" spans="1:28" ht="11.25" customHeight="1" x14ac:dyDescent="0.25">
      <c r="A15" s="153"/>
      <c r="B15" s="153"/>
      <c r="C15" s="153"/>
      <c r="D15" s="61" t="s">
        <v>32</v>
      </c>
      <c r="E15" s="61" t="s">
        <v>25</v>
      </c>
      <c r="F15" s="61" t="s">
        <v>25</v>
      </c>
      <c r="G15" s="62" t="s">
        <v>78</v>
      </c>
      <c r="H15" s="62" t="s">
        <v>74</v>
      </c>
      <c r="I15" s="62">
        <f>'MERCADO TE'!$U$12</f>
        <v>453.86500000000007</v>
      </c>
      <c r="J15" s="15"/>
      <c r="L15" s="59">
        <f>'TE BE'!$L$15*'TE BF'!$L$49</f>
        <v>0</v>
      </c>
      <c r="M15" s="59">
        <f>'TE BE'!$M$15*'TE BF'!$M$49</f>
        <v>4.1192379815905733</v>
      </c>
      <c r="N15" s="59">
        <f>'TE BE'!$N$15*'TE BF'!$N$49</f>
        <v>0</v>
      </c>
      <c r="O15" s="59">
        <f>'TE BE'!$O$15*'TE BF'!$O$49</f>
        <v>0</v>
      </c>
      <c r="P15" s="59">
        <f>'TE BE'!$P$15*'TE BF'!$P$49</f>
        <v>0</v>
      </c>
      <c r="Q15" s="59">
        <f>SUM($L$15:$P$15)</f>
        <v>4.1192379815905733</v>
      </c>
      <c r="R15" s="59">
        <f>'TE BE'!$R$15*'TE BF'!$R$49</f>
        <v>-0.42217420284890994</v>
      </c>
      <c r="S15" s="59">
        <f>SUM($R$15:$R$15)</f>
        <v>-0.42217420284890994</v>
      </c>
      <c r="T15" s="59">
        <f>'TE BE'!$T$15*'TE BF'!$T$49</f>
        <v>2.1891829956245439</v>
      </c>
      <c r="U15" s="59">
        <f>'TE BE'!$U$15*'TE BF'!$U$49</f>
        <v>1.7699374108060713</v>
      </c>
      <c r="V15" s="59">
        <f>'TE BE'!$V$15*'TE BF'!$V$49</f>
        <v>0</v>
      </c>
      <c r="W15" s="59">
        <f>SUM($T$15:$V$15)</f>
        <v>3.9591204064306149</v>
      </c>
      <c r="X15" s="59">
        <f>'TE BE'!$AB$15*'TE BF'!$X$49</f>
        <v>0</v>
      </c>
      <c r="Y15" s="59">
        <f>SUM($X$15:$X$15)</f>
        <v>0</v>
      </c>
      <c r="Z15" s="59">
        <f>'TE BE'!$Z$15*'TE BF'!$Z$49</f>
        <v>-8.8671920836610237E-3</v>
      </c>
      <c r="AA15" s="59">
        <f>SUM($Z$15:$Z$15)</f>
        <v>-8.8671920836610237E-3</v>
      </c>
      <c r="AB15" s="59">
        <f>SUMIF($L$4:$AA$4,"SUBTOTAL",$L$15:$AA$15)</f>
        <v>7.6473169930886167</v>
      </c>
    </row>
    <row r="16" spans="1:28" ht="11.25" customHeight="1" x14ac:dyDescent="0.25">
      <c r="A16" s="153"/>
      <c r="B16" s="153" t="s">
        <v>88</v>
      </c>
      <c r="C16" s="153" t="s">
        <v>24</v>
      </c>
      <c r="D16" s="61" t="s">
        <v>24</v>
      </c>
      <c r="E16" s="61" t="s">
        <v>25</v>
      </c>
      <c r="F16" s="61" t="s">
        <v>25</v>
      </c>
      <c r="G16" s="62" t="s">
        <v>78</v>
      </c>
      <c r="H16" s="62" t="s">
        <v>74</v>
      </c>
      <c r="I16" s="62">
        <f>'MERCADO TE'!$U$13</f>
        <v>0</v>
      </c>
      <c r="J16" s="15"/>
      <c r="L16" s="59">
        <f>'TE BE'!$L$16*'TE BF'!$L$49</f>
        <v>0</v>
      </c>
      <c r="M16" s="59">
        <f>'TE BE'!$M$16*'TE BF'!$M$49</f>
        <v>4.1192379815905733</v>
      </c>
      <c r="N16" s="59">
        <f>'TE BE'!$N$16*'TE BF'!$N$49</f>
        <v>0</v>
      </c>
      <c r="O16" s="59">
        <f>'TE BE'!$O$16*'TE BF'!$O$49</f>
        <v>0</v>
      </c>
      <c r="P16" s="59">
        <f>'TE BE'!$P$16*'TE BF'!$P$49</f>
        <v>0</v>
      </c>
      <c r="Q16" s="59">
        <f>SUM($L$16:$P$16)</f>
        <v>4.1192379815905733</v>
      </c>
      <c r="R16" s="59">
        <f>'TE BE'!$R$16*'TE BF'!$R$49</f>
        <v>-0.42217420284890994</v>
      </c>
      <c r="S16" s="59">
        <f>SUM($R$16:$R$16)</f>
        <v>-0.42217420284890994</v>
      </c>
      <c r="T16" s="59">
        <f>'TE BE'!$T$16*'TE BF'!$T$49</f>
        <v>2.1891829956245439</v>
      </c>
      <c r="U16" s="59">
        <f>'TE BE'!$U$16*'TE BF'!$U$49</f>
        <v>1.7699374108060713</v>
      </c>
      <c r="V16" s="59">
        <f>'TE BE'!$V$16*'TE BF'!$V$49</f>
        <v>0</v>
      </c>
      <c r="W16" s="59">
        <f>SUM($T$16:$V$16)</f>
        <v>3.9591204064306149</v>
      </c>
      <c r="X16" s="59">
        <f>'TE BE'!$AB$16*'TE BF'!$X$49</f>
        <v>0</v>
      </c>
      <c r="Y16" s="59">
        <f>SUM($X$16:$X$16)</f>
        <v>0</v>
      </c>
      <c r="Z16" s="59">
        <f>'TE BE'!$Z$16*'TE BF'!$Z$49</f>
        <v>-8.8671920836610237E-3</v>
      </c>
      <c r="AA16" s="59">
        <f>SUM($Z$16:$Z$16)</f>
        <v>-8.8671920836610237E-3</v>
      </c>
      <c r="AB16" s="59">
        <f>SUMIF($L$4:$AA$4,"SUBTOTAL",$L$16:$AA$16)</f>
        <v>7.6473169930886167</v>
      </c>
    </row>
    <row r="17" spans="1:28" ht="11.25" customHeight="1" x14ac:dyDescent="0.25">
      <c r="A17" s="153"/>
      <c r="B17" s="153"/>
      <c r="C17" s="153"/>
      <c r="D17" s="61" t="s">
        <v>29</v>
      </c>
      <c r="E17" s="61" t="s">
        <v>25</v>
      </c>
      <c r="F17" s="61" t="s">
        <v>25</v>
      </c>
      <c r="G17" s="62" t="s">
        <v>78</v>
      </c>
      <c r="H17" s="62" t="s">
        <v>74</v>
      </c>
      <c r="I17" s="62">
        <f>'MERCADO TE'!$U$14</f>
        <v>0</v>
      </c>
      <c r="J17" s="15"/>
      <c r="L17" s="59">
        <f>'TE BE'!$L$17*'TE BF'!$L$49</f>
        <v>0</v>
      </c>
      <c r="M17" s="59">
        <f>'TE BE'!$M$17*'TE BF'!$M$49</f>
        <v>4.1192379815905733</v>
      </c>
      <c r="N17" s="59">
        <f>'TE BE'!$N$17*'TE BF'!$N$49</f>
        <v>0</v>
      </c>
      <c r="O17" s="59">
        <f>'TE BE'!$O$17*'TE BF'!$O$49</f>
        <v>0</v>
      </c>
      <c r="P17" s="59">
        <f>'TE BE'!$P$17*'TE BF'!$P$49</f>
        <v>0</v>
      </c>
      <c r="Q17" s="59">
        <f>SUM($L$17:$P$17)</f>
        <v>4.1192379815905733</v>
      </c>
      <c r="R17" s="59">
        <f>'TE BE'!$R$17*'TE BF'!$R$49</f>
        <v>-0.42217420284890994</v>
      </c>
      <c r="S17" s="59">
        <f>SUM($R$17:$R$17)</f>
        <v>-0.42217420284890994</v>
      </c>
      <c r="T17" s="59">
        <f>'TE BE'!$T$17*'TE BF'!$T$49</f>
        <v>2.1891829956245439</v>
      </c>
      <c r="U17" s="59">
        <f>'TE BE'!$U$17*'TE BF'!$U$49</f>
        <v>1.7699374108060713</v>
      </c>
      <c r="V17" s="59">
        <f>'TE BE'!$V$17*'TE BF'!$V$49</f>
        <v>0</v>
      </c>
      <c r="W17" s="59">
        <f>SUM($T$17:$V$17)</f>
        <v>3.9591204064306149</v>
      </c>
      <c r="X17" s="59">
        <f>'TE BE'!$AB$17*'TE BF'!$X$49</f>
        <v>0</v>
      </c>
      <c r="Y17" s="59">
        <f>SUM($X$17:$X$17)</f>
        <v>0</v>
      </c>
      <c r="Z17" s="59">
        <f>'TE BE'!$Z$17*'TE BF'!$Z$49</f>
        <v>-8.8671920836610237E-3</v>
      </c>
      <c r="AA17" s="59">
        <f>SUM($Z$17:$Z$17)</f>
        <v>-8.8671920836610237E-3</v>
      </c>
      <c r="AB17" s="59">
        <f>SUMIF($L$4:$AA$4,"SUBTOTAL",$L$17:$AA$17)</f>
        <v>7.6473169930886167</v>
      </c>
    </row>
    <row r="18" spans="1:28" ht="11.25" customHeight="1" x14ac:dyDescent="0.25">
      <c r="A18" s="153"/>
      <c r="B18" s="153"/>
      <c r="C18" s="153"/>
      <c r="D18" s="61" t="s">
        <v>30</v>
      </c>
      <c r="E18" s="61" t="s">
        <v>25</v>
      </c>
      <c r="F18" s="61" t="s">
        <v>25</v>
      </c>
      <c r="G18" s="62" t="s">
        <v>78</v>
      </c>
      <c r="H18" s="62" t="s">
        <v>74</v>
      </c>
      <c r="I18" s="62">
        <f>'MERCADO TE'!$U$15</f>
        <v>0</v>
      </c>
      <c r="J18" s="15"/>
      <c r="L18" s="59">
        <f>'TE BE'!$L$18*'TE BF'!$L$49</f>
        <v>0</v>
      </c>
      <c r="M18" s="59">
        <f>'TE BE'!$M$18*'TE BF'!$M$49</f>
        <v>4.1192379815905733</v>
      </c>
      <c r="N18" s="59">
        <f>'TE BE'!$N$18*'TE BF'!$N$49</f>
        <v>0</v>
      </c>
      <c r="O18" s="59">
        <f>'TE BE'!$O$18*'TE BF'!$O$49</f>
        <v>0</v>
      </c>
      <c r="P18" s="59">
        <f>'TE BE'!$P$18*'TE BF'!$P$49</f>
        <v>0</v>
      </c>
      <c r="Q18" s="59">
        <f>SUM($L$18:$P$18)</f>
        <v>4.1192379815905733</v>
      </c>
      <c r="R18" s="59">
        <f>'TE BE'!$R$18*'TE BF'!$R$49</f>
        <v>-0.42217420284890994</v>
      </c>
      <c r="S18" s="59">
        <f>SUM($R$18:$R$18)</f>
        <v>-0.42217420284890994</v>
      </c>
      <c r="T18" s="59">
        <f>'TE BE'!$T$18*'TE BF'!$T$49</f>
        <v>2.1891829956245439</v>
      </c>
      <c r="U18" s="59">
        <f>'TE BE'!$U$18*'TE BF'!$U$49</f>
        <v>1.7699374108060713</v>
      </c>
      <c r="V18" s="59">
        <f>'TE BE'!$V$18*'TE BF'!$V$49</f>
        <v>0</v>
      </c>
      <c r="W18" s="59">
        <f>SUM($T$18:$V$18)</f>
        <v>3.9591204064306149</v>
      </c>
      <c r="X18" s="59">
        <f>'TE BE'!$AB$18*'TE BF'!$X$49</f>
        <v>0</v>
      </c>
      <c r="Y18" s="59">
        <f>SUM($X$18:$X$18)</f>
        <v>0</v>
      </c>
      <c r="Z18" s="59">
        <f>'TE BE'!$Z$18*'TE BF'!$Z$49</f>
        <v>-8.8671920836610237E-3</v>
      </c>
      <c r="AA18" s="59">
        <f>SUM($Z$18:$Z$18)</f>
        <v>-8.8671920836610237E-3</v>
      </c>
      <c r="AB18" s="59">
        <f>SUMIF($L$4:$AA$4,"SUBTOTAL",$L$18:$AA$18)</f>
        <v>7.6473169930886167</v>
      </c>
    </row>
    <row r="19" spans="1:28" ht="11.25" customHeight="1" x14ac:dyDescent="0.25">
      <c r="A19" s="153"/>
      <c r="B19" s="153"/>
      <c r="C19" s="153"/>
      <c r="D19" s="61" t="s">
        <v>31</v>
      </c>
      <c r="E19" s="61" t="s">
        <v>25</v>
      </c>
      <c r="F19" s="61" t="s">
        <v>25</v>
      </c>
      <c r="G19" s="62" t="s">
        <v>78</v>
      </c>
      <c r="H19" s="62" t="s">
        <v>74</v>
      </c>
      <c r="I19" s="62">
        <f>'MERCADO TE'!$U$16</f>
        <v>0</v>
      </c>
      <c r="J19" s="15"/>
      <c r="L19" s="59">
        <f>'TE BE'!$L$19*'TE BF'!$L$49</f>
        <v>0</v>
      </c>
      <c r="M19" s="59">
        <f>'TE BE'!$M$19*'TE BF'!$M$49</f>
        <v>4.1192379815905733</v>
      </c>
      <c r="N19" s="59">
        <f>'TE BE'!$N$19*'TE BF'!$N$49</f>
        <v>0</v>
      </c>
      <c r="O19" s="59">
        <f>'TE BE'!$O$19*'TE BF'!$O$49</f>
        <v>0</v>
      </c>
      <c r="P19" s="59">
        <f>'TE BE'!$P$19*'TE BF'!$P$49</f>
        <v>0</v>
      </c>
      <c r="Q19" s="59">
        <f>SUM($L$19:$P$19)</f>
        <v>4.1192379815905733</v>
      </c>
      <c r="R19" s="59">
        <f>'TE BE'!$R$19*'TE BF'!$R$49</f>
        <v>-0.42217420284890994</v>
      </c>
      <c r="S19" s="59">
        <f>SUM($R$19:$R$19)</f>
        <v>-0.42217420284890994</v>
      </c>
      <c r="T19" s="59">
        <f>'TE BE'!$T$19*'TE BF'!$T$49</f>
        <v>2.1891829956245439</v>
      </c>
      <c r="U19" s="59">
        <f>'TE BE'!$U$19*'TE BF'!$U$49</f>
        <v>1.7699374108060713</v>
      </c>
      <c r="V19" s="59">
        <f>'TE BE'!$V$19*'TE BF'!$V$49</f>
        <v>0</v>
      </c>
      <c r="W19" s="59">
        <f>SUM($T$19:$V$19)</f>
        <v>3.9591204064306149</v>
      </c>
      <c r="X19" s="59">
        <f>'TE BE'!$AB$19*'TE BF'!$X$49</f>
        <v>0</v>
      </c>
      <c r="Y19" s="59">
        <f>SUM($X$19:$X$19)</f>
        <v>0</v>
      </c>
      <c r="Z19" s="59">
        <f>'TE BE'!$Z$19*'TE BF'!$Z$49</f>
        <v>-8.8671920836610237E-3</v>
      </c>
      <c r="AA19" s="59">
        <f>SUM($Z$19:$Z$19)</f>
        <v>-8.8671920836610237E-3</v>
      </c>
      <c r="AB19" s="59">
        <f>SUMIF($L$4:$AA$4,"SUBTOTAL",$L$19:$AA$19)</f>
        <v>7.6473169930886167</v>
      </c>
    </row>
    <row r="20" spans="1:28" ht="11.25" customHeight="1" x14ac:dyDescent="0.25">
      <c r="A20" s="153"/>
      <c r="B20" s="153"/>
      <c r="C20" s="153"/>
      <c r="D20" s="61" t="s">
        <v>32</v>
      </c>
      <c r="E20" s="61" t="s">
        <v>25</v>
      </c>
      <c r="F20" s="61" t="s">
        <v>25</v>
      </c>
      <c r="G20" s="62" t="s">
        <v>78</v>
      </c>
      <c r="H20" s="62" t="s">
        <v>74</v>
      </c>
      <c r="I20" s="62">
        <f>'MERCADO TE'!$U$17</f>
        <v>0</v>
      </c>
      <c r="J20" s="15"/>
      <c r="L20" s="59">
        <f>'TE BE'!$L$20*'TE BF'!$L$49</f>
        <v>0</v>
      </c>
      <c r="M20" s="59">
        <f>'TE BE'!$M$20*'TE BF'!$M$49</f>
        <v>4.1192379815905733</v>
      </c>
      <c r="N20" s="59">
        <f>'TE BE'!$N$20*'TE BF'!$N$49</f>
        <v>0</v>
      </c>
      <c r="O20" s="59">
        <f>'TE BE'!$O$20*'TE BF'!$O$49</f>
        <v>0</v>
      </c>
      <c r="P20" s="59">
        <f>'TE BE'!$P$20*'TE BF'!$P$49</f>
        <v>0</v>
      </c>
      <c r="Q20" s="59">
        <f>SUM($L$20:$P$20)</f>
        <v>4.1192379815905733</v>
      </c>
      <c r="R20" s="59">
        <f>'TE BE'!$R$20*'TE BF'!$R$49</f>
        <v>-0.42217420284890994</v>
      </c>
      <c r="S20" s="59">
        <f>SUM($R$20:$R$20)</f>
        <v>-0.42217420284890994</v>
      </c>
      <c r="T20" s="59">
        <f>'TE BE'!$T$20*'TE BF'!$T$49</f>
        <v>2.1891829956245439</v>
      </c>
      <c r="U20" s="59">
        <f>'TE BE'!$U$20*'TE BF'!$U$49</f>
        <v>1.7699374108060713</v>
      </c>
      <c r="V20" s="59">
        <f>'TE BE'!$V$20*'TE BF'!$V$49</f>
        <v>0</v>
      </c>
      <c r="W20" s="59">
        <f>SUM($T$20:$V$20)</f>
        <v>3.9591204064306149</v>
      </c>
      <c r="X20" s="59">
        <f>'TE BE'!$AB$20*'TE BF'!$X$49</f>
        <v>0</v>
      </c>
      <c r="Y20" s="59">
        <f>SUM($X$20:$X$20)</f>
        <v>0</v>
      </c>
      <c r="Z20" s="59">
        <f>'TE BE'!$Z$20*'TE BF'!$Z$49</f>
        <v>-8.8671920836610237E-3</v>
      </c>
      <c r="AA20" s="59">
        <f>SUM($Z$20:$Z$20)</f>
        <v>-8.8671920836610237E-3</v>
      </c>
      <c r="AB20" s="59">
        <f>SUMIF($L$4:$AA$4,"SUBTOTAL",$L$20:$AA$20)</f>
        <v>7.6473169930886167</v>
      </c>
    </row>
    <row r="21" spans="1:28" ht="11.25" customHeight="1" x14ac:dyDescent="0.25">
      <c r="A21" s="153" t="s">
        <v>41</v>
      </c>
      <c r="B21" s="153" t="s">
        <v>73</v>
      </c>
      <c r="C21" s="153" t="s">
        <v>42</v>
      </c>
      <c r="D21" s="153" t="s">
        <v>25</v>
      </c>
      <c r="E21" s="153" t="s">
        <v>25</v>
      </c>
      <c r="F21" s="153" t="s">
        <v>25</v>
      </c>
      <c r="G21" s="62" t="s">
        <v>75</v>
      </c>
      <c r="H21" s="62" t="s">
        <v>74</v>
      </c>
      <c r="I21" s="62">
        <f>'MERCADO TE'!$U$18</f>
        <v>0</v>
      </c>
      <c r="J21" s="15"/>
      <c r="L21" s="59">
        <f>'TE BE'!$L$21*'TE BF'!$L$49</f>
        <v>0</v>
      </c>
      <c r="M21" s="59">
        <f>'TE BE'!$M$21*'TE BF'!$M$49</f>
        <v>4.1192379815905733</v>
      </c>
      <c r="N21" s="59">
        <f>'TE BE'!$N$21*'TE BF'!$N$49</f>
        <v>0</v>
      </c>
      <c r="O21" s="59">
        <f>'TE BE'!$O$21*'TE BF'!$O$49</f>
        <v>0</v>
      </c>
      <c r="P21" s="59">
        <f>'TE BE'!$P$21*'TE BF'!$P$49</f>
        <v>0</v>
      </c>
      <c r="Q21" s="59">
        <f>SUM($L$21:$P$21)</f>
        <v>4.1192379815905733</v>
      </c>
      <c r="R21" s="59">
        <f>'TE BE'!$R$21*'TE BF'!$R$49</f>
        <v>-0.68503738575483486</v>
      </c>
      <c r="S21" s="59">
        <f>SUM($R$21:$R$21)</f>
        <v>-0.68503738575483486</v>
      </c>
      <c r="T21" s="59">
        <f>'TE BE'!$T$21*'TE BF'!$T$49</f>
        <v>2.1891829956245439</v>
      </c>
      <c r="U21" s="59">
        <f>'TE BE'!$U$21*'TE BF'!$U$49</f>
        <v>1.7699374108060713</v>
      </c>
      <c r="V21" s="59">
        <f>'TE BE'!$V$21*'TE BF'!$V$49</f>
        <v>0</v>
      </c>
      <c r="W21" s="59">
        <f>SUM($T$21:$V$21)</f>
        <v>3.9591204064306149</v>
      </c>
      <c r="X21" s="59">
        <f>'TE BE'!$AB$21*'TE BF'!$X$49</f>
        <v>0</v>
      </c>
      <c r="Y21" s="59">
        <f>SUM($X$21:$X$21)</f>
        <v>0</v>
      </c>
      <c r="Z21" s="59">
        <f>'TE BE'!$Z$21*'TE BF'!$Z$49</f>
        <v>-8.8671920836610237E-3</v>
      </c>
      <c r="AA21" s="59">
        <f>SUM($Z$21:$Z$21)</f>
        <v>-8.8671920836610237E-3</v>
      </c>
      <c r="AB21" s="59">
        <f>SUMIF($L$4:$AA$4,"SUBTOTAL",$L$21:$AA$21)</f>
        <v>7.3844538101826922</v>
      </c>
    </row>
    <row r="22" spans="1:28" ht="11.25" customHeight="1" x14ac:dyDescent="0.25">
      <c r="A22" s="153"/>
      <c r="B22" s="153"/>
      <c r="C22" s="153"/>
      <c r="D22" s="153"/>
      <c r="E22" s="153"/>
      <c r="F22" s="153"/>
      <c r="G22" s="62" t="s">
        <v>87</v>
      </c>
      <c r="H22" s="62" t="s">
        <v>74</v>
      </c>
      <c r="I22" s="62">
        <f>'MERCADO TE'!$U$19</f>
        <v>0</v>
      </c>
      <c r="J22" s="15"/>
      <c r="L22" s="59">
        <f>'TE BE'!$L$22*'TE BF'!$L$49</f>
        <v>0</v>
      </c>
      <c r="M22" s="59">
        <f>'TE BE'!$M$22*'TE BF'!$M$49</f>
        <v>4.1192379815905733</v>
      </c>
      <c r="N22" s="59">
        <f>'TE BE'!$N$22*'TE BF'!$N$49</f>
        <v>0</v>
      </c>
      <c r="O22" s="59">
        <f>'TE BE'!$O$22*'TE BF'!$O$49</f>
        <v>0</v>
      </c>
      <c r="P22" s="59">
        <f>'TE BE'!$P$22*'TE BF'!$P$49</f>
        <v>0</v>
      </c>
      <c r="Q22" s="59">
        <f>SUM($L$22:$P$22)</f>
        <v>4.1192379815905733</v>
      </c>
      <c r="R22" s="59">
        <f>'TE BE'!$R$22*'TE BF'!$R$49</f>
        <v>-0.39827754985746217</v>
      </c>
      <c r="S22" s="59">
        <f>SUM($R$22:$R$22)</f>
        <v>-0.39827754985746217</v>
      </c>
      <c r="T22" s="59">
        <f>'TE BE'!$T$22*'TE BF'!$T$49</f>
        <v>2.1891829956245439</v>
      </c>
      <c r="U22" s="59">
        <f>'TE BE'!$U$22*'TE BF'!$U$49</f>
        <v>1.7699374108060713</v>
      </c>
      <c r="V22" s="59">
        <f>'TE BE'!$V$22*'TE BF'!$V$49</f>
        <v>0</v>
      </c>
      <c r="W22" s="59">
        <f>SUM($T$22:$V$22)</f>
        <v>3.9591204064306149</v>
      </c>
      <c r="X22" s="59">
        <f>'TE BE'!$AB$22*'TE BF'!$X$49</f>
        <v>0</v>
      </c>
      <c r="Y22" s="59">
        <f>SUM($X$22:$X$22)</f>
        <v>0</v>
      </c>
      <c r="Z22" s="59">
        <f>'TE BE'!$Z$22*'TE BF'!$Z$49</f>
        <v>-8.8671920836610237E-3</v>
      </c>
      <c r="AA22" s="59">
        <f>SUM($Z$22:$Z$22)</f>
        <v>-8.8671920836610237E-3</v>
      </c>
      <c r="AB22" s="59">
        <f>SUMIF($L$4:$AA$4,"SUBTOTAL",$L$22:$AA$22)</f>
        <v>7.6712136460800648</v>
      </c>
    </row>
    <row r="23" spans="1:28" ht="11.25" customHeight="1" x14ac:dyDescent="0.25">
      <c r="A23" s="153"/>
      <c r="B23" s="153"/>
      <c r="C23" s="153"/>
      <c r="D23" s="153"/>
      <c r="E23" s="153"/>
      <c r="F23" s="153"/>
      <c r="G23" s="62" t="s">
        <v>76</v>
      </c>
      <c r="H23" s="62" t="s">
        <v>74</v>
      </c>
      <c r="I23" s="62">
        <f>'MERCADO TE'!$U$20</f>
        <v>0</v>
      </c>
      <c r="J23" s="15"/>
      <c r="L23" s="59">
        <f>'TE BE'!$L$23*'TE BF'!$L$49</f>
        <v>0</v>
      </c>
      <c r="M23" s="59">
        <f>'TE BE'!$M$23*'TE BF'!$M$49</f>
        <v>4.1192379815905733</v>
      </c>
      <c r="N23" s="59">
        <f>'TE BE'!$N$23*'TE BF'!$N$49</f>
        <v>0</v>
      </c>
      <c r="O23" s="59">
        <f>'TE BE'!$O$23*'TE BF'!$O$49</f>
        <v>0</v>
      </c>
      <c r="P23" s="59">
        <f>'TE BE'!$P$23*'TE BF'!$P$49</f>
        <v>0</v>
      </c>
      <c r="Q23" s="59">
        <f>SUM($L$23:$P$23)</f>
        <v>4.1192379815905733</v>
      </c>
      <c r="R23" s="59">
        <f>'TE BE'!$R$23*'TE BF'!$R$49</f>
        <v>-0.39827754985746217</v>
      </c>
      <c r="S23" s="59">
        <f>SUM($R$23:$R$23)</f>
        <v>-0.39827754985746217</v>
      </c>
      <c r="T23" s="59">
        <f>'TE BE'!$T$23*'TE BF'!$T$49</f>
        <v>2.1891829956245439</v>
      </c>
      <c r="U23" s="59">
        <f>'TE BE'!$U$23*'TE BF'!$U$49</f>
        <v>1.7699374108060713</v>
      </c>
      <c r="V23" s="59">
        <f>'TE BE'!$V$23*'TE BF'!$V$49</f>
        <v>0</v>
      </c>
      <c r="W23" s="59">
        <f>SUM($T$23:$V$23)</f>
        <v>3.9591204064306149</v>
      </c>
      <c r="X23" s="59">
        <f>'TE BE'!$AB$23*'TE BF'!$X$49</f>
        <v>0</v>
      </c>
      <c r="Y23" s="59">
        <f>SUM($X$23:$X$23)</f>
        <v>0</v>
      </c>
      <c r="Z23" s="59">
        <f>'TE BE'!$Z$23*'TE BF'!$Z$49</f>
        <v>-8.8671920836610237E-3</v>
      </c>
      <c r="AA23" s="59">
        <f>SUM($Z$23:$Z$23)</f>
        <v>-8.8671920836610237E-3</v>
      </c>
      <c r="AB23" s="59">
        <f>SUMIF($L$4:$AA$4,"SUBTOTAL",$L$23:$AA$23)</f>
        <v>7.6712136460800648</v>
      </c>
    </row>
    <row r="24" spans="1:28" ht="11.25" customHeight="1" x14ac:dyDescent="0.25">
      <c r="A24" s="153"/>
      <c r="B24" s="61" t="s">
        <v>77</v>
      </c>
      <c r="C24" s="61" t="s">
        <v>42</v>
      </c>
      <c r="D24" s="61" t="s">
        <v>25</v>
      </c>
      <c r="E24" s="61" t="s">
        <v>25</v>
      </c>
      <c r="F24" s="61" t="s">
        <v>25</v>
      </c>
      <c r="G24" s="62" t="s">
        <v>78</v>
      </c>
      <c r="H24" s="62" t="s">
        <v>74</v>
      </c>
      <c r="I24" s="62">
        <f>'MERCADO TE'!$U$21</f>
        <v>11721.666999999998</v>
      </c>
      <c r="J24" s="15"/>
      <c r="L24" s="59">
        <f>'TE BE'!$L$24*'TE BF'!$L$49</f>
        <v>0</v>
      </c>
      <c r="M24" s="59">
        <f>'TE BE'!$M$24*'TE BF'!$M$49</f>
        <v>4.1192379815905733</v>
      </c>
      <c r="N24" s="59">
        <f>'TE BE'!$N$24*'TE BF'!$N$49</f>
        <v>0</v>
      </c>
      <c r="O24" s="59">
        <f>'TE BE'!$O$24*'TE BF'!$O$49</f>
        <v>0</v>
      </c>
      <c r="P24" s="59">
        <f>'TE BE'!$P$24*'TE BF'!$P$49</f>
        <v>0</v>
      </c>
      <c r="Q24" s="59">
        <f>SUM($L$24:$P$24)</f>
        <v>4.1192379815905733</v>
      </c>
      <c r="R24" s="59">
        <f>'TE BE'!$R$24*'TE BF'!$R$49</f>
        <v>-0.42217420284890994</v>
      </c>
      <c r="S24" s="59">
        <f>SUM($R$24:$R$24)</f>
        <v>-0.42217420284890994</v>
      </c>
      <c r="T24" s="59">
        <f>'TE BE'!$T$24*'TE BF'!$T$49</f>
        <v>2.1891829956245439</v>
      </c>
      <c r="U24" s="59">
        <f>'TE BE'!$U$24*'TE BF'!$U$49</f>
        <v>1.7699374108060713</v>
      </c>
      <c r="V24" s="59">
        <f>'TE BE'!$V$24*'TE BF'!$V$49</f>
        <v>0</v>
      </c>
      <c r="W24" s="59">
        <f>SUM($T$24:$V$24)</f>
        <v>3.9591204064306149</v>
      </c>
      <c r="X24" s="59">
        <f>'TE BE'!$AB$24*'TE BF'!$X$49</f>
        <v>0</v>
      </c>
      <c r="Y24" s="59">
        <f>SUM($X$24:$X$24)</f>
        <v>0</v>
      </c>
      <c r="Z24" s="59">
        <f>'TE BE'!$Z$24*'TE BF'!$Z$49</f>
        <v>-8.8671920836610237E-3</v>
      </c>
      <c r="AA24" s="59">
        <f>SUM($Z$24:$Z$24)</f>
        <v>-8.8671920836610237E-3</v>
      </c>
      <c r="AB24" s="59">
        <f>SUMIF($L$4:$AA$4,"SUBTOTAL",$L$24:$AA$24)</f>
        <v>7.6473169930886167</v>
      </c>
    </row>
    <row r="25" spans="1:28" ht="11.25" customHeight="1" x14ac:dyDescent="0.25">
      <c r="A25" s="153"/>
      <c r="B25" s="153" t="s">
        <v>73</v>
      </c>
      <c r="C25" s="153" t="s">
        <v>42</v>
      </c>
      <c r="D25" s="153" t="s">
        <v>90</v>
      </c>
      <c r="E25" s="153" t="s">
        <v>25</v>
      </c>
      <c r="F25" s="153" t="s">
        <v>25</v>
      </c>
      <c r="G25" s="62" t="s">
        <v>75</v>
      </c>
      <c r="H25" s="62" t="s">
        <v>74</v>
      </c>
      <c r="I25" s="62">
        <f>'MERCADO TE'!$U$22</f>
        <v>0</v>
      </c>
      <c r="J25" s="15"/>
      <c r="L25" s="59">
        <f>'TE BE'!$L$25*'TE BF'!$L$49</f>
        <v>0</v>
      </c>
      <c r="M25" s="59">
        <f>'TE BE'!$M$25*'TE BF'!$M$49</f>
        <v>4.1192379815905733</v>
      </c>
      <c r="N25" s="59">
        <f>'TE BE'!$N$25*'TE BF'!$N$49</f>
        <v>0</v>
      </c>
      <c r="O25" s="59">
        <f>'TE BE'!$O$25*'TE BF'!$O$49</f>
        <v>0</v>
      </c>
      <c r="P25" s="59">
        <f>'TE BE'!$P$25*'TE BF'!$P$49</f>
        <v>0</v>
      </c>
      <c r="Q25" s="59">
        <f>SUM($L$25:$P$25)</f>
        <v>4.1192379815905733</v>
      </c>
      <c r="R25" s="59">
        <f>'TE BE'!$R$25*'TE BF'!$R$49</f>
        <v>-0.68503738575483486</v>
      </c>
      <c r="S25" s="59">
        <f>SUM($R$25:$R$25)</f>
        <v>-0.68503738575483486</v>
      </c>
      <c r="T25" s="59">
        <f>'TE BE'!$T$25*'TE BF'!$T$49</f>
        <v>2.1891829956245439</v>
      </c>
      <c r="U25" s="59">
        <f>'TE BE'!$U$25*'TE BF'!$U$49</f>
        <v>1.7699374108060713</v>
      </c>
      <c r="V25" s="59">
        <f>'TE BE'!$V$25*'TE BF'!$V$49</f>
        <v>0</v>
      </c>
      <c r="W25" s="59">
        <f>SUM($T$25:$V$25)</f>
        <v>3.9591204064306149</v>
      </c>
      <c r="X25" s="59">
        <f>'TE BE'!$AB$25*'TE BF'!$X$49</f>
        <v>0</v>
      </c>
      <c r="Y25" s="59">
        <f>SUM($X$25:$X$25)</f>
        <v>0</v>
      </c>
      <c r="Z25" s="59">
        <f>'TE BE'!$Z$25*'TE BF'!$Z$49</f>
        <v>-8.8671920836610237E-3</v>
      </c>
      <c r="AA25" s="59">
        <f>SUM($Z$25:$Z$25)</f>
        <v>-8.8671920836610237E-3</v>
      </c>
      <c r="AB25" s="59">
        <f>SUMIF($L$4:$AA$4,"SUBTOTAL",$L$25:$AA$25)</f>
        <v>7.3844538101826922</v>
      </c>
    </row>
    <row r="26" spans="1:28" ht="11.25" customHeight="1" x14ac:dyDescent="0.25">
      <c r="A26" s="153"/>
      <c r="B26" s="153"/>
      <c r="C26" s="153"/>
      <c r="D26" s="153"/>
      <c r="E26" s="153"/>
      <c r="F26" s="153"/>
      <c r="G26" s="62" t="s">
        <v>87</v>
      </c>
      <c r="H26" s="62" t="s">
        <v>74</v>
      </c>
      <c r="I26" s="62">
        <f>'MERCADO TE'!$U$23</f>
        <v>0</v>
      </c>
      <c r="J26" s="15"/>
      <c r="L26" s="59">
        <f>'TE BE'!$L$26*'TE BF'!$L$49</f>
        <v>0</v>
      </c>
      <c r="M26" s="59">
        <f>'TE BE'!$M$26*'TE BF'!$M$49</f>
        <v>4.1192379815905733</v>
      </c>
      <c r="N26" s="59">
        <f>'TE BE'!$N$26*'TE BF'!$N$49</f>
        <v>0</v>
      </c>
      <c r="O26" s="59">
        <f>'TE BE'!$O$26*'TE BF'!$O$49</f>
        <v>0</v>
      </c>
      <c r="P26" s="59">
        <f>'TE BE'!$P$26*'TE BF'!$P$49</f>
        <v>0</v>
      </c>
      <c r="Q26" s="59">
        <f>SUM($L$26:$P$26)</f>
        <v>4.1192379815905733</v>
      </c>
      <c r="R26" s="59">
        <f>'TE BE'!$R$26*'TE BF'!$R$49</f>
        <v>-0.39827754985746217</v>
      </c>
      <c r="S26" s="59">
        <f>SUM($R$26:$R$26)</f>
        <v>-0.39827754985746217</v>
      </c>
      <c r="T26" s="59">
        <f>'TE BE'!$T$26*'TE BF'!$T$49</f>
        <v>2.1891829956245439</v>
      </c>
      <c r="U26" s="59">
        <f>'TE BE'!$U$26*'TE BF'!$U$49</f>
        <v>1.7699374108060713</v>
      </c>
      <c r="V26" s="59">
        <f>'TE BE'!$V$26*'TE BF'!$V$49</f>
        <v>0</v>
      </c>
      <c r="W26" s="59">
        <f>SUM($T$26:$V$26)</f>
        <v>3.9591204064306149</v>
      </c>
      <c r="X26" s="59">
        <f>'TE BE'!$AB$26*'TE BF'!$X$49</f>
        <v>0</v>
      </c>
      <c r="Y26" s="59">
        <f>SUM($X$26:$X$26)</f>
        <v>0</v>
      </c>
      <c r="Z26" s="59">
        <f>'TE BE'!$Z$26*'TE BF'!$Z$49</f>
        <v>-8.8671920836610237E-3</v>
      </c>
      <c r="AA26" s="59">
        <f>SUM($Z$26:$Z$26)</f>
        <v>-8.8671920836610237E-3</v>
      </c>
      <c r="AB26" s="59">
        <f>SUMIF($L$4:$AA$4,"SUBTOTAL",$L$26:$AA$26)</f>
        <v>7.6712136460800648</v>
      </c>
    </row>
    <row r="27" spans="1:28" ht="11.25" customHeight="1" x14ac:dyDescent="0.25">
      <c r="A27" s="153"/>
      <c r="B27" s="153"/>
      <c r="C27" s="153"/>
      <c r="D27" s="153"/>
      <c r="E27" s="153"/>
      <c r="F27" s="153"/>
      <c r="G27" s="62" t="s">
        <v>76</v>
      </c>
      <c r="H27" s="62" t="s">
        <v>74</v>
      </c>
      <c r="I27" s="62">
        <f>'MERCADO TE'!$U$24</f>
        <v>0</v>
      </c>
      <c r="J27" s="15"/>
      <c r="L27" s="59">
        <f>'TE BE'!$L$27*'TE BF'!$L$49</f>
        <v>0</v>
      </c>
      <c r="M27" s="59">
        <f>'TE BE'!$M$27*'TE BF'!$M$49</f>
        <v>4.1192379815905733</v>
      </c>
      <c r="N27" s="59">
        <f>'TE BE'!$N$27*'TE BF'!$N$49</f>
        <v>0</v>
      </c>
      <c r="O27" s="59">
        <f>'TE BE'!$O$27*'TE BF'!$O$49</f>
        <v>0</v>
      </c>
      <c r="P27" s="59">
        <f>'TE BE'!$P$27*'TE BF'!$P$49</f>
        <v>0</v>
      </c>
      <c r="Q27" s="59">
        <f>SUM($L$27:$P$27)</f>
        <v>4.1192379815905733</v>
      </c>
      <c r="R27" s="59">
        <f>'TE BE'!$R$27*'TE BF'!$R$49</f>
        <v>-0.39827754985746217</v>
      </c>
      <c r="S27" s="59">
        <f>SUM($R$27:$R$27)</f>
        <v>-0.39827754985746217</v>
      </c>
      <c r="T27" s="59">
        <f>'TE BE'!$T$27*'TE BF'!$T$49</f>
        <v>2.1891829956245439</v>
      </c>
      <c r="U27" s="59">
        <f>'TE BE'!$U$27*'TE BF'!$U$49</f>
        <v>1.7699374108060713</v>
      </c>
      <c r="V27" s="59">
        <f>'TE BE'!$V$27*'TE BF'!$V$49</f>
        <v>0</v>
      </c>
      <c r="W27" s="59">
        <f>SUM($T$27:$V$27)</f>
        <v>3.9591204064306149</v>
      </c>
      <c r="X27" s="59">
        <f>'TE BE'!$AB$27*'TE BF'!$X$49</f>
        <v>0</v>
      </c>
      <c r="Y27" s="59">
        <f>SUM($X$27:$X$27)</f>
        <v>0</v>
      </c>
      <c r="Z27" s="59">
        <f>'TE BE'!$Z$27*'TE BF'!$Z$49</f>
        <v>-8.8671920836610237E-3</v>
      </c>
      <c r="AA27" s="59">
        <f>SUM($Z$27:$Z$27)</f>
        <v>-8.8671920836610237E-3</v>
      </c>
      <c r="AB27" s="59">
        <f>SUMIF($L$4:$AA$4,"SUBTOTAL",$L$27:$AA$27)</f>
        <v>7.6712136460800648</v>
      </c>
    </row>
    <row r="28" spans="1:28" ht="11.25" customHeight="1" x14ac:dyDescent="0.25">
      <c r="A28" s="153"/>
      <c r="B28" s="61" t="s">
        <v>77</v>
      </c>
      <c r="C28" s="61" t="s">
        <v>42</v>
      </c>
      <c r="D28" s="61" t="s">
        <v>90</v>
      </c>
      <c r="E28" s="61" t="s">
        <v>25</v>
      </c>
      <c r="F28" s="61" t="s">
        <v>25</v>
      </c>
      <c r="G28" s="62" t="s">
        <v>78</v>
      </c>
      <c r="H28" s="62" t="s">
        <v>74</v>
      </c>
      <c r="I28" s="62">
        <f>'MERCADO TE'!$U$25</f>
        <v>0</v>
      </c>
      <c r="J28" s="15"/>
      <c r="L28" s="59">
        <f>'TE BE'!$L$28*'TE BF'!$L$49</f>
        <v>0</v>
      </c>
      <c r="M28" s="59">
        <f>'TE BE'!$M$28*'TE BF'!$M$49</f>
        <v>4.1192379815905733</v>
      </c>
      <c r="N28" s="59">
        <f>'TE BE'!$N$28*'TE BF'!$N$49</f>
        <v>0</v>
      </c>
      <c r="O28" s="59">
        <f>'TE BE'!$O$28*'TE BF'!$O$49</f>
        <v>0</v>
      </c>
      <c r="P28" s="59">
        <f>'TE BE'!$P$28*'TE BF'!$P$49</f>
        <v>0</v>
      </c>
      <c r="Q28" s="59">
        <f>SUM($L$28:$P$28)</f>
        <v>4.1192379815905733</v>
      </c>
      <c r="R28" s="59">
        <f>'TE BE'!$R$28*'TE BF'!$R$49</f>
        <v>-0.42217420284890994</v>
      </c>
      <c r="S28" s="59">
        <f>SUM($R$28:$R$28)</f>
        <v>-0.42217420284890994</v>
      </c>
      <c r="T28" s="59">
        <f>'TE BE'!$T$28*'TE BF'!$T$49</f>
        <v>2.1891829956245439</v>
      </c>
      <c r="U28" s="59">
        <f>'TE BE'!$U$28*'TE BF'!$U$49</f>
        <v>1.7699374108060713</v>
      </c>
      <c r="V28" s="59">
        <f>'TE BE'!$V$28*'TE BF'!$V$49</f>
        <v>0</v>
      </c>
      <c r="W28" s="59">
        <f>SUM($T$28:$V$28)</f>
        <v>3.9591204064306149</v>
      </c>
      <c r="X28" s="59">
        <f>'TE BE'!$AB$28*'TE BF'!$X$49</f>
        <v>0</v>
      </c>
      <c r="Y28" s="59">
        <f>SUM($X$28:$X$28)</f>
        <v>0</v>
      </c>
      <c r="Z28" s="59">
        <f>'TE BE'!$Z$28*'TE BF'!$Z$49</f>
        <v>-8.8671920836610237E-3</v>
      </c>
      <c r="AA28" s="59">
        <f>SUM($Z$28:$Z$28)</f>
        <v>-8.8671920836610237E-3</v>
      </c>
      <c r="AB28" s="59">
        <f>SUMIF($L$4:$AA$4,"SUBTOTAL",$L$28:$AA$28)</f>
        <v>7.6473169930886167</v>
      </c>
    </row>
    <row r="29" spans="1:28" ht="11.25" customHeight="1" x14ac:dyDescent="0.25">
      <c r="A29" s="153"/>
      <c r="B29" s="153" t="s">
        <v>73</v>
      </c>
      <c r="C29" s="153" t="s">
        <v>42</v>
      </c>
      <c r="D29" s="153" t="s">
        <v>91</v>
      </c>
      <c r="E29" s="153" t="s">
        <v>25</v>
      </c>
      <c r="F29" s="153" t="s">
        <v>25</v>
      </c>
      <c r="G29" s="62" t="s">
        <v>75</v>
      </c>
      <c r="H29" s="62" t="s">
        <v>74</v>
      </c>
      <c r="I29" s="62">
        <f>'MERCADO TE'!$U$26</f>
        <v>0</v>
      </c>
      <c r="J29" s="15"/>
      <c r="L29" s="59">
        <f>'TE BE'!$L$29*'TE BF'!$L$49</f>
        <v>0</v>
      </c>
      <c r="M29" s="59">
        <f>'TE BE'!$M$29*'TE BF'!$M$49</f>
        <v>4.1192379815905733</v>
      </c>
      <c r="N29" s="59">
        <f>'TE BE'!$N$29*'TE BF'!$N$49</f>
        <v>0</v>
      </c>
      <c r="O29" s="59">
        <f>'TE BE'!$O$29*'TE BF'!$O$49</f>
        <v>0</v>
      </c>
      <c r="P29" s="59">
        <f>'TE BE'!$P$29*'TE BF'!$P$49</f>
        <v>0</v>
      </c>
      <c r="Q29" s="59">
        <f>SUM($L$29:$P$29)</f>
        <v>4.1192379815905733</v>
      </c>
      <c r="R29" s="59">
        <f>'TE BE'!$R$29*'TE BF'!$R$49</f>
        <v>-0.68503738575483486</v>
      </c>
      <c r="S29" s="59">
        <f>SUM($R$29:$R$29)</f>
        <v>-0.68503738575483486</v>
      </c>
      <c r="T29" s="59">
        <f>'TE BE'!$T$29*'TE BF'!$T$49</f>
        <v>2.1891829956245439</v>
      </c>
      <c r="U29" s="59">
        <f>'TE BE'!$U$29*'TE BF'!$U$49</f>
        <v>1.7699374108060713</v>
      </c>
      <c r="V29" s="59">
        <f>'TE BE'!$V$29*'TE BF'!$V$49</f>
        <v>0</v>
      </c>
      <c r="W29" s="59">
        <f>SUM($T$29:$V$29)</f>
        <v>3.9591204064306149</v>
      </c>
      <c r="X29" s="59">
        <f>'TE BE'!$AB$29*'TE BF'!$X$49</f>
        <v>0</v>
      </c>
      <c r="Y29" s="59">
        <f>SUM($X$29:$X$29)</f>
        <v>0</v>
      </c>
      <c r="Z29" s="59">
        <f>'TE BE'!$Z$29*'TE BF'!$Z$49</f>
        <v>-8.8671920836610237E-3</v>
      </c>
      <c r="AA29" s="59">
        <f>SUM($Z$29:$Z$29)</f>
        <v>-8.8671920836610237E-3</v>
      </c>
      <c r="AB29" s="59">
        <f>SUMIF($L$4:$AA$4,"SUBTOTAL",$L$29:$AA$29)</f>
        <v>7.3844538101826922</v>
      </c>
    </row>
    <row r="30" spans="1:28" ht="11.25" customHeight="1" x14ac:dyDescent="0.25">
      <c r="A30" s="153"/>
      <c r="B30" s="153"/>
      <c r="C30" s="153"/>
      <c r="D30" s="153"/>
      <c r="E30" s="153"/>
      <c r="F30" s="153"/>
      <c r="G30" s="62" t="s">
        <v>87</v>
      </c>
      <c r="H30" s="62" t="s">
        <v>74</v>
      </c>
      <c r="I30" s="62">
        <f>'MERCADO TE'!$U$27</f>
        <v>0</v>
      </c>
      <c r="J30" s="15"/>
      <c r="L30" s="59">
        <f>'TE BE'!$L$30*'TE BF'!$L$49</f>
        <v>0</v>
      </c>
      <c r="M30" s="59">
        <f>'TE BE'!$M$30*'TE BF'!$M$49</f>
        <v>4.1192379815905733</v>
      </c>
      <c r="N30" s="59">
        <f>'TE BE'!$N$30*'TE BF'!$N$49</f>
        <v>0</v>
      </c>
      <c r="O30" s="59">
        <f>'TE BE'!$O$30*'TE BF'!$O$49</f>
        <v>0</v>
      </c>
      <c r="P30" s="59">
        <f>'TE BE'!$P$30*'TE BF'!$P$49</f>
        <v>0</v>
      </c>
      <c r="Q30" s="59">
        <f>SUM($L$30:$P$30)</f>
        <v>4.1192379815905733</v>
      </c>
      <c r="R30" s="59">
        <f>'TE BE'!$R$30*'TE BF'!$R$49</f>
        <v>-0.39827754985746217</v>
      </c>
      <c r="S30" s="59">
        <f>SUM($R$30:$R$30)</f>
        <v>-0.39827754985746217</v>
      </c>
      <c r="T30" s="59">
        <f>'TE BE'!$T$30*'TE BF'!$T$49</f>
        <v>2.1891829956245439</v>
      </c>
      <c r="U30" s="59">
        <f>'TE BE'!$U$30*'TE BF'!$U$49</f>
        <v>1.7699374108060713</v>
      </c>
      <c r="V30" s="59">
        <f>'TE BE'!$V$30*'TE BF'!$V$49</f>
        <v>0</v>
      </c>
      <c r="W30" s="59">
        <f>SUM($T$30:$V$30)</f>
        <v>3.9591204064306149</v>
      </c>
      <c r="X30" s="59">
        <f>'TE BE'!$AB$30*'TE BF'!$X$49</f>
        <v>0</v>
      </c>
      <c r="Y30" s="59">
        <f>SUM($X$30:$X$30)</f>
        <v>0</v>
      </c>
      <c r="Z30" s="59">
        <f>'TE BE'!$Z$30*'TE BF'!$Z$49</f>
        <v>-8.8671920836610237E-3</v>
      </c>
      <c r="AA30" s="59">
        <f>SUM($Z$30:$Z$30)</f>
        <v>-8.8671920836610237E-3</v>
      </c>
      <c r="AB30" s="59">
        <f>SUMIF($L$4:$AA$4,"SUBTOTAL",$L$30:$AA$30)</f>
        <v>7.6712136460800648</v>
      </c>
    </row>
    <row r="31" spans="1:28" ht="11.25" customHeight="1" x14ac:dyDescent="0.25">
      <c r="A31" s="153"/>
      <c r="B31" s="153"/>
      <c r="C31" s="153"/>
      <c r="D31" s="153"/>
      <c r="E31" s="153"/>
      <c r="F31" s="153"/>
      <c r="G31" s="62" t="s">
        <v>76</v>
      </c>
      <c r="H31" s="62" t="s">
        <v>74</v>
      </c>
      <c r="I31" s="62">
        <f>'MERCADO TE'!$U$28</f>
        <v>0</v>
      </c>
      <c r="J31" s="15"/>
      <c r="L31" s="59">
        <f>'TE BE'!$L$31*'TE BF'!$L$49</f>
        <v>0</v>
      </c>
      <c r="M31" s="59">
        <f>'TE BE'!$M$31*'TE BF'!$M$49</f>
        <v>4.1192379815905733</v>
      </c>
      <c r="N31" s="59">
        <f>'TE BE'!$N$31*'TE BF'!$N$49</f>
        <v>0</v>
      </c>
      <c r="O31" s="59">
        <f>'TE BE'!$O$31*'TE BF'!$O$49</f>
        <v>0</v>
      </c>
      <c r="P31" s="59">
        <f>'TE BE'!$P$31*'TE BF'!$P$49</f>
        <v>0</v>
      </c>
      <c r="Q31" s="59">
        <f>SUM($L$31:$P$31)</f>
        <v>4.1192379815905733</v>
      </c>
      <c r="R31" s="59">
        <f>'TE BE'!$R$31*'TE BF'!$R$49</f>
        <v>-0.39827754985746217</v>
      </c>
      <c r="S31" s="59">
        <f>SUM($R$31:$R$31)</f>
        <v>-0.39827754985746217</v>
      </c>
      <c r="T31" s="59">
        <f>'TE BE'!$T$31*'TE BF'!$T$49</f>
        <v>2.1891829956245439</v>
      </c>
      <c r="U31" s="59">
        <f>'TE BE'!$U$31*'TE BF'!$U$49</f>
        <v>1.7699374108060713</v>
      </c>
      <c r="V31" s="59">
        <f>'TE BE'!$V$31*'TE BF'!$V$49</f>
        <v>0</v>
      </c>
      <c r="W31" s="59">
        <f>SUM($T$31:$V$31)</f>
        <v>3.9591204064306149</v>
      </c>
      <c r="X31" s="59">
        <f>'TE BE'!$AB$31*'TE BF'!$X$49</f>
        <v>0</v>
      </c>
      <c r="Y31" s="59">
        <f>SUM($X$31:$X$31)</f>
        <v>0</v>
      </c>
      <c r="Z31" s="59">
        <f>'TE BE'!$Z$31*'TE BF'!$Z$49</f>
        <v>-8.8671920836610237E-3</v>
      </c>
      <c r="AA31" s="59">
        <f>SUM($Z$31:$Z$31)</f>
        <v>-8.8671920836610237E-3</v>
      </c>
      <c r="AB31" s="59">
        <f>SUMIF($L$4:$AA$4,"SUBTOTAL",$L$31:$AA$31)</f>
        <v>7.6712136460800648</v>
      </c>
    </row>
    <row r="32" spans="1:28" ht="11.25" customHeight="1" x14ac:dyDescent="0.25">
      <c r="A32" s="153"/>
      <c r="B32" s="61" t="s">
        <v>77</v>
      </c>
      <c r="C32" s="61" t="s">
        <v>42</v>
      </c>
      <c r="D32" s="61" t="s">
        <v>91</v>
      </c>
      <c r="E32" s="61" t="s">
        <v>25</v>
      </c>
      <c r="F32" s="61" t="s">
        <v>25</v>
      </c>
      <c r="G32" s="62" t="s">
        <v>78</v>
      </c>
      <c r="H32" s="62" t="s">
        <v>74</v>
      </c>
      <c r="I32" s="62">
        <f>'MERCADO TE'!$U$29</f>
        <v>0</v>
      </c>
      <c r="J32" s="15"/>
      <c r="L32" s="59">
        <f>'TE BE'!$L$32*'TE BF'!$L$49</f>
        <v>0</v>
      </c>
      <c r="M32" s="59">
        <f>'TE BE'!$M$32*'TE BF'!$M$49</f>
        <v>4.1192379815905733</v>
      </c>
      <c r="N32" s="59">
        <f>'TE BE'!$N$32*'TE BF'!$N$49</f>
        <v>0</v>
      </c>
      <c r="O32" s="59">
        <f>'TE BE'!$O$32*'TE BF'!$O$49</f>
        <v>0</v>
      </c>
      <c r="P32" s="59">
        <f>'TE BE'!$P$32*'TE BF'!$P$49</f>
        <v>0</v>
      </c>
      <c r="Q32" s="59">
        <f>SUM($L$32:$P$32)</f>
        <v>4.1192379815905733</v>
      </c>
      <c r="R32" s="59">
        <f>'TE BE'!$R$32*'TE BF'!$R$49</f>
        <v>-0.42217420284890994</v>
      </c>
      <c r="S32" s="59">
        <f>SUM($R$32:$R$32)</f>
        <v>-0.42217420284890994</v>
      </c>
      <c r="T32" s="59">
        <f>'TE BE'!$T$32*'TE BF'!$T$49</f>
        <v>2.1891829956245439</v>
      </c>
      <c r="U32" s="59">
        <f>'TE BE'!$U$32*'TE BF'!$U$49</f>
        <v>1.7699374108060713</v>
      </c>
      <c r="V32" s="59">
        <f>'TE BE'!$V$32*'TE BF'!$V$49</f>
        <v>0</v>
      </c>
      <c r="W32" s="59">
        <f>SUM($T$32:$V$32)</f>
        <v>3.9591204064306149</v>
      </c>
      <c r="X32" s="59">
        <f>'TE BE'!$AB$32*'TE BF'!$X$49</f>
        <v>0</v>
      </c>
      <c r="Y32" s="59">
        <f>SUM($X$32:$X$32)</f>
        <v>0</v>
      </c>
      <c r="Z32" s="59">
        <f>'TE BE'!$Z$32*'TE BF'!$Z$49</f>
        <v>-8.8671920836610237E-3</v>
      </c>
      <c r="AA32" s="59">
        <f>SUM($Z$32:$Z$32)</f>
        <v>-8.8671920836610237E-3</v>
      </c>
      <c r="AB32" s="59">
        <f>SUMIF($L$4:$AA$4,"SUBTOTAL",$L$32:$AA$32)</f>
        <v>7.6473169930886167</v>
      </c>
    </row>
    <row r="33" spans="1:28" ht="11.25" customHeight="1" x14ac:dyDescent="0.25">
      <c r="A33" s="153"/>
      <c r="B33" s="153" t="s">
        <v>88</v>
      </c>
      <c r="C33" s="153" t="s">
        <v>42</v>
      </c>
      <c r="D33" s="61" t="s">
        <v>25</v>
      </c>
      <c r="E33" s="61" t="s">
        <v>25</v>
      </c>
      <c r="F33" s="61" t="s">
        <v>25</v>
      </c>
      <c r="G33" s="62" t="s">
        <v>78</v>
      </c>
      <c r="H33" s="62" t="s">
        <v>74</v>
      </c>
      <c r="I33" s="62">
        <f>'MERCADO TE'!$U$30</f>
        <v>0</v>
      </c>
      <c r="J33" s="15"/>
      <c r="L33" s="59">
        <f>'TE BE'!$L$33*'TE BF'!$L$49</f>
        <v>0</v>
      </c>
      <c r="M33" s="59">
        <f>'TE BE'!$M$33*'TE BF'!$M$49</f>
        <v>4.1192379815905733</v>
      </c>
      <c r="N33" s="59">
        <f>'TE BE'!$N$33*'TE BF'!$N$49</f>
        <v>0</v>
      </c>
      <c r="O33" s="59">
        <f>'TE BE'!$O$33*'TE BF'!$O$49</f>
        <v>0</v>
      </c>
      <c r="P33" s="59">
        <f>'TE BE'!$P$33*'TE BF'!$P$49</f>
        <v>0</v>
      </c>
      <c r="Q33" s="59">
        <f>SUM($L$33:$P$33)</f>
        <v>4.1192379815905733</v>
      </c>
      <c r="R33" s="59">
        <f>'TE BE'!$R$33*'TE BF'!$R$49</f>
        <v>-0.42217420284890994</v>
      </c>
      <c r="S33" s="59">
        <f>SUM($R$33:$R$33)</f>
        <v>-0.42217420284890994</v>
      </c>
      <c r="T33" s="59">
        <f>'TE BE'!$T$33*'TE BF'!$T$49</f>
        <v>2.1891829956245439</v>
      </c>
      <c r="U33" s="59">
        <f>'TE BE'!$U$33*'TE BF'!$U$49</f>
        <v>1.7699374108060713</v>
      </c>
      <c r="V33" s="59">
        <f>'TE BE'!$V$33*'TE BF'!$V$49</f>
        <v>0</v>
      </c>
      <c r="W33" s="59">
        <f>SUM($T$33:$V$33)</f>
        <v>3.9591204064306149</v>
      </c>
      <c r="X33" s="59">
        <f>'TE BE'!$AB$33*'TE BF'!$X$49</f>
        <v>0</v>
      </c>
      <c r="Y33" s="59">
        <f>SUM($X$33:$X$33)</f>
        <v>0</v>
      </c>
      <c r="Z33" s="59">
        <f>'TE BE'!$Z$33*'TE BF'!$Z$49</f>
        <v>-8.8671920836610237E-3</v>
      </c>
      <c r="AA33" s="59">
        <f>SUM($Z$33:$Z$33)</f>
        <v>-8.8671920836610237E-3</v>
      </c>
      <c r="AB33" s="59">
        <f>SUMIF($L$4:$AA$4,"SUBTOTAL",$L$33:$AA$33)</f>
        <v>7.6473169930886167</v>
      </c>
    </row>
    <row r="34" spans="1:28" ht="11.25" customHeight="1" x14ac:dyDescent="0.25">
      <c r="A34" s="153"/>
      <c r="B34" s="153"/>
      <c r="C34" s="153"/>
      <c r="D34" s="61" t="s">
        <v>90</v>
      </c>
      <c r="E34" s="61" t="s">
        <v>25</v>
      </c>
      <c r="F34" s="61" t="s">
        <v>25</v>
      </c>
      <c r="G34" s="62" t="s">
        <v>78</v>
      </c>
      <c r="H34" s="62" t="s">
        <v>74</v>
      </c>
      <c r="I34" s="62">
        <f>'MERCADO TE'!$U$31</f>
        <v>0</v>
      </c>
      <c r="J34" s="15"/>
      <c r="L34" s="59">
        <f>'TE BE'!$L$34*'TE BF'!$L$49</f>
        <v>0</v>
      </c>
      <c r="M34" s="59">
        <f>'TE BE'!$M$34*'TE BF'!$M$49</f>
        <v>4.1192379815905733</v>
      </c>
      <c r="N34" s="59">
        <f>'TE BE'!$N$34*'TE BF'!$N$49</f>
        <v>0</v>
      </c>
      <c r="O34" s="59">
        <f>'TE BE'!$O$34*'TE BF'!$O$49</f>
        <v>0</v>
      </c>
      <c r="P34" s="59">
        <f>'TE BE'!$P$34*'TE BF'!$P$49</f>
        <v>0</v>
      </c>
      <c r="Q34" s="59">
        <f>SUM($L$34:$P$34)</f>
        <v>4.1192379815905733</v>
      </c>
      <c r="R34" s="59">
        <f>'TE BE'!$R$34*'TE BF'!$R$49</f>
        <v>-0.42217420284890994</v>
      </c>
      <c r="S34" s="59">
        <f>SUM($R$34:$R$34)</f>
        <v>-0.42217420284890994</v>
      </c>
      <c r="T34" s="59">
        <f>'TE BE'!$T$34*'TE BF'!$T$49</f>
        <v>2.1891829956245439</v>
      </c>
      <c r="U34" s="59">
        <f>'TE BE'!$U$34*'TE BF'!$U$49</f>
        <v>1.7699374108060713</v>
      </c>
      <c r="V34" s="59">
        <f>'TE BE'!$V$34*'TE BF'!$V$49</f>
        <v>0</v>
      </c>
      <c r="W34" s="59">
        <f>SUM($T$34:$V$34)</f>
        <v>3.9591204064306149</v>
      </c>
      <c r="X34" s="59">
        <f>'TE BE'!$AB$34*'TE BF'!$X$49</f>
        <v>0</v>
      </c>
      <c r="Y34" s="59">
        <f>SUM($X$34:$X$34)</f>
        <v>0</v>
      </c>
      <c r="Z34" s="59">
        <f>'TE BE'!$Z$34*'TE BF'!$Z$49</f>
        <v>-8.8671920836610237E-3</v>
      </c>
      <c r="AA34" s="59">
        <f>SUM($Z$34:$Z$34)</f>
        <v>-8.8671920836610237E-3</v>
      </c>
      <c r="AB34" s="59">
        <f>SUMIF($L$4:$AA$4,"SUBTOTAL",$L$34:$AA$34)</f>
        <v>7.6473169930886167</v>
      </c>
    </row>
    <row r="35" spans="1:28" ht="11.25" customHeight="1" x14ac:dyDescent="0.25">
      <c r="A35" s="153"/>
      <c r="B35" s="153"/>
      <c r="C35" s="153"/>
      <c r="D35" s="61" t="s">
        <v>91</v>
      </c>
      <c r="E35" s="61" t="s">
        <v>25</v>
      </c>
      <c r="F35" s="61" t="s">
        <v>25</v>
      </c>
      <c r="G35" s="62" t="s">
        <v>78</v>
      </c>
      <c r="H35" s="62" t="s">
        <v>74</v>
      </c>
      <c r="I35" s="62">
        <f>'MERCADO TE'!$U$32</f>
        <v>0</v>
      </c>
      <c r="J35" s="15"/>
      <c r="L35" s="59">
        <f>'TE BE'!$L$35*'TE BF'!$L$49</f>
        <v>0</v>
      </c>
      <c r="M35" s="59">
        <f>'TE BE'!$M$35*'TE BF'!$M$49</f>
        <v>4.1192379815905733</v>
      </c>
      <c r="N35" s="59">
        <f>'TE BE'!$N$35*'TE BF'!$N$49</f>
        <v>0</v>
      </c>
      <c r="O35" s="59">
        <f>'TE BE'!$O$35*'TE BF'!$O$49</f>
        <v>0</v>
      </c>
      <c r="P35" s="59">
        <f>'TE BE'!$P$35*'TE BF'!$P$49</f>
        <v>0</v>
      </c>
      <c r="Q35" s="59">
        <f>SUM($L$35:$P$35)</f>
        <v>4.1192379815905733</v>
      </c>
      <c r="R35" s="59">
        <f>'TE BE'!$R$35*'TE BF'!$R$49</f>
        <v>-0.42217420284890994</v>
      </c>
      <c r="S35" s="59">
        <f>SUM($R$35:$R$35)</f>
        <v>-0.42217420284890994</v>
      </c>
      <c r="T35" s="59">
        <f>'TE BE'!$T$35*'TE BF'!$T$49</f>
        <v>2.1891829956245439</v>
      </c>
      <c r="U35" s="59">
        <f>'TE BE'!$U$35*'TE BF'!$U$49</f>
        <v>1.7699374108060713</v>
      </c>
      <c r="V35" s="59">
        <f>'TE BE'!$V$35*'TE BF'!$V$49</f>
        <v>0</v>
      </c>
      <c r="W35" s="59">
        <f>SUM($T$35:$V$35)</f>
        <v>3.9591204064306149</v>
      </c>
      <c r="X35" s="59">
        <f>'TE BE'!$AB$35*'TE BF'!$X$49</f>
        <v>0</v>
      </c>
      <c r="Y35" s="59">
        <f>SUM($X$35:$X$35)</f>
        <v>0</v>
      </c>
      <c r="Z35" s="59">
        <f>'TE BE'!$Z$35*'TE BF'!$Z$49</f>
        <v>-8.8671920836610237E-3</v>
      </c>
      <c r="AA35" s="59">
        <f>SUM($Z$35:$Z$35)</f>
        <v>-8.8671920836610237E-3</v>
      </c>
      <c r="AB35" s="59">
        <f>SUMIF($L$4:$AA$4,"SUBTOTAL",$L$35:$AA$35)</f>
        <v>7.6473169930886167</v>
      </c>
    </row>
    <row r="36" spans="1:28" ht="11.25" customHeight="1" x14ac:dyDescent="0.25">
      <c r="A36" s="153" t="s">
        <v>33</v>
      </c>
      <c r="B36" s="153" t="s">
        <v>73</v>
      </c>
      <c r="C36" s="153" t="s">
        <v>25</v>
      </c>
      <c r="D36" s="153" t="s">
        <v>25</v>
      </c>
      <c r="E36" s="153" t="s">
        <v>25</v>
      </c>
      <c r="F36" s="153" t="s">
        <v>25</v>
      </c>
      <c r="G36" s="62" t="s">
        <v>75</v>
      </c>
      <c r="H36" s="62" t="s">
        <v>74</v>
      </c>
      <c r="I36" s="62">
        <f>'MERCADO TE'!$U$33</f>
        <v>1.1399999999999999</v>
      </c>
      <c r="J36" s="15"/>
      <c r="L36" s="59">
        <f>'TE BE'!$L$36*'TE BF'!$L$49</f>
        <v>0</v>
      </c>
      <c r="M36" s="59">
        <f>'TE BE'!$M$36*'TE BF'!$M$49</f>
        <v>4.1192379815905733</v>
      </c>
      <c r="N36" s="59">
        <f>'TE BE'!$N$36*'TE BF'!$N$49</f>
        <v>0</v>
      </c>
      <c r="O36" s="59">
        <f>'TE BE'!$O$36*'TE BF'!$O$49</f>
        <v>0</v>
      </c>
      <c r="P36" s="59">
        <f>'TE BE'!$P$36*'TE BF'!$P$49</f>
        <v>0</v>
      </c>
      <c r="Q36" s="59">
        <f>SUM($L$36:$P$36)</f>
        <v>4.1192379815905733</v>
      </c>
      <c r="R36" s="59">
        <f>'TE BE'!$R$36*'TE BF'!$R$49</f>
        <v>-0.68503738575483486</v>
      </c>
      <c r="S36" s="59">
        <f>SUM($R$36:$R$36)</f>
        <v>-0.68503738575483486</v>
      </c>
      <c r="T36" s="59">
        <f>'TE BE'!$T$36*'TE BF'!$T$49</f>
        <v>2.1891829956245439</v>
      </c>
      <c r="U36" s="59">
        <f>'TE BE'!$U$36*'TE BF'!$U$49</f>
        <v>1.7699374108060713</v>
      </c>
      <c r="V36" s="59">
        <f>'TE BE'!$V$36*'TE BF'!$V$49</f>
        <v>0</v>
      </c>
      <c r="W36" s="59">
        <f>SUM($T$36:$V$36)</f>
        <v>3.9591204064306149</v>
      </c>
      <c r="X36" s="59">
        <f>'TE BE'!$AB$36*'TE BF'!$X$49</f>
        <v>0</v>
      </c>
      <c r="Y36" s="59">
        <f>SUM($X$36:$X$36)</f>
        <v>0</v>
      </c>
      <c r="Z36" s="59">
        <f>'TE BE'!$Z$36*'TE BF'!$Z$49</f>
        <v>-8.8671920836610237E-3</v>
      </c>
      <c r="AA36" s="59">
        <f>SUM($Z$36:$Z$36)</f>
        <v>-8.8671920836610237E-3</v>
      </c>
      <c r="AB36" s="59">
        <f>SUMIF($L$4:$AA$4,"SUBTOTAL",$L$36:$AA$36)</f>
        <v>7.3844538101826922</v>
      </c>
    </row>
    <row r="37" spans="1:28" ht="11.25" customHeight="1" x14ac:dyDescent="0.25">
      <c r="A37" s="153"/>
      <c r="B37" s="153"/>
      <c r="C37" s="153"/>
      <c r="D37" s="153"/>
      <c r="E37" s="153"/>
      <c r="F37" s="153"/>
      <c r="G37" s="62" t="s">
        <v>87</v>
      </c>
      <c r="H37" s="62" t="s">
        <v>74</v>
      </c>
      <c r="I37" s="62">
        <f>'MERCADO TE'!$U$34</f>
        <v>1.5340000000000003</v>
      </c>
      <c r="J37" s="15"/>
      <c r="L37" s="59">
        <f>'TE BE'!$L$37*'TE BF'!$L$49</f>
        <v>0</v>
      </c>
      <c r="M37" s="59">
        <f>'TE BE'!$M$37*'TE BF'!$M$49</f>
        <v>4.1192379815905733</v>
      </c>
      <c r="N37" s="59">
        <f>'TE BE'!$N$37*'TE BF'!$N$49</f>
        <v>0</v>
      </c>
      <c r="O37" s="59">
        <f>'TE BE'!$O$37*'TE BF'!$O$49</f>
        <v>0</v>
      </c>
      <c r="P37" s="59">
        <f>'TE BE'!$P$37*'TE BF'!$P$49</f>
        <v>0</v>
      </c>
      <c r="Q37" s="59">
        <f>SUM($L$37:$P$37)</f>
        <v>4.1192379815905733</v>
      </c>
      <c r="R37" s="59">
        <f>'TE BE'!$R$37*'TE BF'!$R$49</f>
        <v>-0.39827754985746217</v>
      </c>
      <c r="S37" s="59">
        <f>SUM($R$37:$R$37)</f>
        <v>-0.39827754985746217</v>
      </c>
      <c r="T37" s="59">
        <f>'TE BE'!$T$37*'TE BF'!$T$49</f>
        <v>2.1891829956245439</v>
      </c>
      <c r="U37" s="59">
        <f>'TE BE'!$U$37*'TE BF'!$U$49</f>
        <v>1.7699374108060713</v>
      </c>
      <c r="V37" s="59">
        <f>'TE BE'!$V$37*'TE BF'!$V$49</f>
        <v>0</v>
      </c>
      <c r="W37" s="59">
        <f>SUM($T$37:$V$37)</f>
        <v>3.9591204064306149</v>
      </c>
      <c r="X37" s="59">
        <f>'TE BE'!$AB$37*'TE BF'!$X$49</f>
        <v>0</v>
      </c>
      <c r="Y37" s="59">
        <f>SUM($X$37:$X$37)</f>
        <v>0</v>
      </c>
      <c r="Z37" s="59">
        <f>'TE BE'!$Z$37*'TE BF'!$Z$49</f>
        <v>-8.8671920836610237E-3</v>
      </c>
      <c r="AA37" s="59">
        <f>SUM($Z$37:$Z$37)</f>
        <v>-8.8671920836610237E-3</v>
      </c>
      <c r="AB37" s="59">
        <f>SUMIF($L$4:$AA$4,"SUBTOTAL",$L$37:$AA$37)</f>
        <v>7.6712136460800648</v>
      </c>
    </row>
    <row r="38" spans="1:28" ht="11.25" customHeight="1" x14ac:dyDescent="0.25">
      <c r="A38" s="153"/>
      <c r="B38" s="153"/>
      <c r="C38" s="153"/>
      <c r="D38" s="153"/>
      <c r="E38" s="153"/>
      <c r="F38" s="153"/>
      <c r="G38" s="62" t="s">
        <v>76</v>
      </c>
      <c r="H38" s="62" t="s">
        <v>74</v>
      </c>
      <c r="I38" s="62">
        <f>'MERCADO TE'!$U$35</f>
        <v>27.193000000000005</v>
      </c>
      <c r="J38" s="15"/>
      <c r="L38" s="59">
        <f>'TE BE'!$L$38*'TE BF'!$L$49</f>
        <v>0</v>
      </c>
      <c r="M38" s="59">
        <f>'TE BE'!$M$38*'TE BF'!$M$49</f>
        <v>4.1192379815905733</v>
      </c>
      <c r="N38" s="59">
        <f>'TE BE'!$N$38*'TE BF'!$N$49</f>
        <v>0</v>
      </c>
      <c r="O38" s="59">
        <f>'TE BE'!$O$38*'TE BF'!$O$49</f>
        <v>0</v>
      </c>
      <c r="P38" s="59">
        <f>'TE BE'!$P$38*'TE BF'!$P$49</f>
        <v>0</v>
      </c>
      <c r="Q38" s="59">
        <f>SUM($L$38:$P$38)</f>
        <v>4.1192379815905733</v>
      </c>
      <c r="R38" s="59">
        <f>'TE BE'!$R$38*'TE BF'!$R$49</f>
        <v>-0.39827754985746217</v>
      </c>
      <c r="S38" s="59">
        <f>SUM($R$38:$R$38)</f>
        <v>-0.39827754985746217</v>
      </c>
      <c r="T38" s="59">
        <f>'TE BE'!$T$38*'TE BF'!$T$49</f>
        <v>2.1891829956245439</v>
      </c>
      <c r="U38" s="59">
        <f>'TE BE'!$U$38*'TE BF'!$U$49</f>
        <v>1.7699374108060713</v>
      </c>
      <c r="V38" s="59">
        <f>'TE BE'!$V$38*'TE BF'!$V$49</f>
        <v>0</v>
      </c>
      <c r="W38" s="59">
        <f>SUM($T$38:$V$38)</f>
        <v>3.9591204064306149</v>
      </c>
      <c r="X38" s="59">
        <f>'TE BE'!$AB$38*'TE BF'!$X$49</f>
        <v>0</v>
      </c>
      <c r="Y38" s="59">
        <f>SUM($X$38:$X$38)</f>
        <v>0</v>
      </c>
      <c r="Z38" s="59">
        <f>'TE BE'!$Z$38*'TE BF'!$Z$49</f>
        <v>-8.8671920836610237E-3</v>
      </c>
      <c r="AA38" s="59">
        <f>SUM($Z$38:$Z$38)</f>
        <v>-8.8671920836610237E-3</v>
      </c>
      <c r="AB38" s="59">
        <f>SUMIF($L$4:$AA$4,"SUBTOTAL",$L$38:$AA$38)</f>
        <v>7.6712136460800648</v>
      </c>
    </row>
    <row r="39" spans="1:28" ht="11.25" customHeight="1" x14ac:dyDescent="0.25">
      <c r="A39" s="153"/>
      <c r="B39" s="61" t="s">
        <v>77</v>
      </c>
      <c r="C39" s="61" t="s">
        <v>25</v>
      </c>
      <c r="D39" s="61" t="s">
        <v>25</v>
      </c>
      <c r="E39" s="61" t="s">
        <v>25</v>
      </c>
      <c r="F39" s="61" t="s">
        <v>25</v>
      </c>
      <c r="G39" s="62" t="s">
        <v>78</v>
      </c>
      <c r="H39" s="62" t="s">
        <v>74</v>
      </c>
      <c r="I39" s="62">
        <f>'MERCADO TE'!$U$36</f>
        <v>29180.755000000001</v>
      </c>
      <c r="J39" s="15"/>
      <c r="L39" s="59">
        <f>'TE BE'!$L$39*'TE BF'!$L$49</f>
        <v>0</v>
      </c>
      <c r="M39" s="59">
        <f>'TE BE'!$M$39*'TE BF'!$M$49</f>
        <v>4.1192379815905733</v>
      </c>
      <c r="N39" s="59">
        <f>'TE BE'!$N$39*'TE BF'!$N$49</f>
        <v>0</v>
      </c>
      <c r="O39" s="59">
        <f>'TE BE'!$O$39*'TE BF'!$O$49</f>
        <v>0</v>
      </c>
      <c r="P39" s="59">
        <f>'TE BE'!$P$39*'TE BF'!$P$49</f>
        <v>0</v>
      </c>
      <c r="Q39" s="59">
        <f>SUM($L$39:$P$39)</f>
        <v>4.1192379815905733</v>
      </c>
      <c r="R39" s="59">
        <f>'TE BE'!$R$39*'TE BF'!$R$49</f>
        <v>-0.42217420284890994</v>
      </c>
      <c r="S39" s="59">
        <f>SUM($R$39:$R$39)</f>
        <v>-0.42217420284890994</v>
      </c>
      <c r="T39" s="59">
        <f>'TE BE'!$T$39*'TE BF'!$T$49</f>
        <v>2.1891829956245439</v>
      </c>
      <c r="U39" s="59">
        <f>'TE BE'!$U$39*'TE BF'!$U$49</f>
        <v>1.7699374108060713</v>
      </c>
      <c r="V39" s="59">
        <f>'TE BE'!$V$39*'TE BF'!$V$49</f>
        <v>0</v>
      </c>
      <c r="W39" s="59">
        <f>SUM($T$39:$V$39)</f>
        <v>3.9591204064306149</v>
      </c>
      <c r="X39" s="59">
        <f>'TE BE'!$AB$39*'TE BF'!$X$49</f>
        <v>0</v>
      </c>
      <c r="Y39" s="59">
        <f>SUM($X$39:$X$39)</f>
        <v>0</v>
      </c>
      <c r="Z39" s="59">
        <f>'TE BE'!$Z$39*'TE BF'!$Z$49</f>
        <v>-8.8671920836610237E-3</v>
      </c>
      <c r="AA39" s="59">
        <f>SUM($Z$39:$Z$39)</f>
        <v>-8.8671920836610237E-3</v>
      </c>
      <c r="AB39" s="59">
        <f>SUMIF($L$4:$AA$4,"SUBTOTAL",$L$39:$AA$39)</f>
        <v>7.6473169930886167</v>
      </c>
    </row>
    <row r="40" spans="1:28" ht="11.25" customHeight="1" x14ac:dyDescent="0.25">
      <c r="A40" s="153"/>
      <c r="B40" s="61" t="s">
        <v>88</v>
      </c>
      <c r="C40" s="61" t="s">
        <v>25</v>
      </c>
      <c r="D40" s="61" t="s">
        <v>25</v>
      </c>
      <c r="E40" s="61" t="s">
        <v>25</v>
      </c>
      <c r="F40" s="61" t="s">
        <v>25</v>
      </c>
      <c r="G40" s="62" t="s">
        <v>78</v>
      </c>
      <c r="H40" s="62" t="s">
        <v>74</v>
      </c>
      <c r="I40" s="62">
        <f>'MERCADO TE'!$U$37</f>
        <v>0</v>
      </c>
      <c r="J40" s="15"/>
      <c r="L40" s="59">
        <f>'TE BE'!$L$40*'TE BF'!$L$49</f>
        <v>0</v>
      </c>
      <c r="M40" s="59">
        <f>'TE BE'!$M$40*'TE BF'!$M$49</f>
        <v>4.1192379815905733</v>
      </c>
      <c r="N40" s="59">
        <f>'TE BE'!$N$40*'TE BF'!$N$49</f>
        <v>0</v>
      </c>
      <c r="O40" s="59">
        <f>'TE BE'!$O$40*'TE BF'!$O$49</f>
        <v>0</v>
      </c>
      <c r="P40" s="59">
        <f>'TE BE'!$P$40*'TE BF'!$P$49</f>
        <v>0</v>
      </c>
      <c r="Q40" s="59">
        <f>SUM($L$40:$P$40)</f>
        <v>4.1192379815905733</v>
      </c>
      <c r="R40" s="59">
        <f>'TE BE'!$R$40*'TE BF'!$R$49</f>
        <v>-0.42217420284890994</v>
      </c>
      <c r="S40" s="59">
        <f>SUM($R$40:$R$40)</f>
        <v>-0.42217420284890994</v>
      </c>
      <c r="T40" s="59">
        <f>'TE BE'!$T$40*'TE BF'!$T$49</f>
        <v>2.1891829956245439</v>
      </c>
      <c r="U40" s="59">
        <f>'TE BE'!$U$40*'TE BF'!$U$49</f>
        <v>1.7699374108060713</v>
      </c>
      <c r="V40" s="59">
        <f>'TE BE'!$V$40*'TE BF'!$V$49</f>
        <v>0</v>
      </c>
      <c r="W40" s="59">
        <f>SUM($T$40:$V$40)</f>
        <v>3.9591204064306149</v>
      </c>
      <c r="X40" s="59">
        <f>'TE BE'!$AB$40*'TE BF'!$X$49</f>
        <v>0</v>
      </c>
      <c r="Y40" s="59">
        <f>SUM($X$40:$X$40)</f>
        <v>0</v>
      </c>
      <c r="Z40" s="59">
        <f>'TE BE'!$Z$40*'TE BF'!$Z$49</f>
        <v>-8.8671920836610237E-3</v>
      </c>
      <c r="AA40" s="59">
        <f>SUM($Z$40:$Z$40)</f>
        <v>-8.8671920836610237E-3</v>
      </c>
      <c r="AB40" s="59">
        <f>SUMIF($L$4:$AA$4,"SUBTOTAL",$L$40:$AA$40)</f>
        <v>7.6473169930886167</v>
      </c>
    </row>
    <row r="41" spans="1:28" ht="11.25" customHeight="1" x14ac:dyDescent="0.25">
      <c r="A41" s="153" t="s">
        <v>44</v>
      </c>
      <c r="B41" s="153" t="s">
        <v>77</v>
      </c>
      <c r="C41" s="153" t="s">
        <v>45</v>
      </c>
      <c r="D41" s="61" t="s">
        <v>46</v>
      </c>
      <c r="E41" s="61" t="s">
        <v>25</v>
      </c>
      <c r="F41" s="61" t="s">
        <v>25</v>
      </c>
      <c r="G41" s="62" t="s">
        <v>78</v>
      </c>
      <c r="H41" s="62" t="s">
        <v>74</v>
      </c>
      <c r="I41" s="62">
        <f>'MERCADO TE'!$U$38</f>
        <v>11805.242</v>
      </c>
      <c r="J41" s="15"/>
      <c r="L41" s="59">
        <f>'TE BE'!$L$41*'TE BF'!$L$49</f>
        <v>0</v>
      </c>
      <c r="M41" s="59">
        <f>'TE BE'!$M$41*'TE BF'!$M$49</f>
        <v>2.2655808898748155</v>
      </c>
      <c r="N41" s="59">
        <f>'TE BE'!$N$41*'TE BF'!$N$49</f>
        <v>0</v>
      </c>
      <c r="O41" s="59">
        <f>'TE BE'!$O$41*'TE BF'!$O$49</f>
        <v>0</v>
      </c>
      <c r="P41" s="59">
        <f>'TE BE'!$P$41*'TE BF'!$P$49</f>
        <v>0</v>
      </c>
      <c r="Q41" s="59">
        <f>SUM($L$41:$P$41)</f>
        <v>2.2655808898748155</v>
      </c>
      <c r="R41" s="59">
        <f>'TE BE'!$R$41*'TE BF'!$R$49</f>
        <v>-0.23219581156690045</v>
      </c>
      <c r="S41" s="59">
        <f>SUM($R$41:$R$41)</f>
        <v>-0.23219581156690045</v>
      </c>
      <c r="T41" s="59">
        <f>'TE BE'!$T$41*'TE BF'!$T$49</f>
        <v>1.2040506475934993</v>
      </c>
      <c r="U41" s="59">
        <f>'TE BE'!$U$41*'TE BF'!$U$49</f>
        <v>0.97346557594333927</v>
      </c>
      <c r="V41" s="59">
        <f>'TE BE'!$V$41*'TE BF'!$V$49</f>
        <v>0</v>
      </c>
      <c r="W41" s="59">
        <f>SUM($T$41:$V$41)</f>
        <v>2.1775162235368386</v>
      </c>
      <c r="X41" s="59">
        <f>'TE BE'!$AB$41*'TE BF'!$X$49</f>
        <v>0</v>
      </c>
      <c r="Y41" s="59">
        <f>SUM($X$41:$X$41)</f>
        <v>0</v>
      </c>
      <c r="Z41" s="59">
        <f>'TE BE'!$Z$41*'TE BF'!$Z$49</f>
        <v>-4.8769556460135635E-3</v>
      </c>
      <c r="AA41" s="59">
        <f>SUM($Z$41:$Z$41)</f>
        <v>-4.8769556460135635E-3</v>
      </c>
      <c r="AB41" s="59">
        <f>SUMIF($L$4:$AA$4,"SUBTOTAL",$L$41:$AA$41)</f>
        <v>4.2060243461987401</v>
      </c>
    </row>
    <row r="42" spans="1:28" ht="11.25" customHeight="1" x14ac:dyDescent="0.25">
      <c r="A42" s="153"/>
      <c r="B42" s="153"/>
      <c r="C42" s="153"/>
      <c r="D42" s="62" t="s">
        <v>92</v>
      </c>
      <c r="E42" s="62" t="s">
        <v>25</v>
      </c>
      <c r="F42" s="62" t="s">
        <v>25</v>
      </c>
      <c r="G42" s="62" t="s">
        <v>78</v>
      </c>
      <c r="H42" s="62" t="s">
        <v>74</v>
      </c>
      <c r="I42" s="62">
        <f>'MERCADO TE'!$U$39</f>
        <v>0</v>
      </c>
      <c r="J42" s="15"/>
      <c r="L42" s="59">
        <f>'TE BE'!$L$42*'TE BF'!$L$49</f>
        <v>0</v>
      </c>
      <c r="M42" s="59">
        <f>'TE BE'!$M$42*'TE BF'!$M$49</f>
        <v>2.4715427889543435</v>
      </c>
      <c r="N42" s="59">
        <f>'TE BE'!$N$42*'TE BF'!$N$49</f>
        <v>0</v>
      </c>
      <c r="O42" s="59">
        <f>'TE BE'!$O$42*'TE BF'!$O$49</f>
        <v>0</v>
      </c>
      <c r="P42" s="59">
        <f>'TE BE'!$P$42*'TE BF'!$P$49</f>
        <v>0</v>
      </c>
      <c r="Q42" s="59">
        <f>SUM($L$42:$P$42)</f>
        <v>2.4715427889543435</v>
      </c>
      <c r="R42" s="59">
        <f>'TE BE'!$R$42*'TE BF'!$R$49</f>
        <v>-0.25330452170934592</v>
      </c>
      <c r="S42" s="59">
        <f>SUM($R$42:$R$42)</f>
        <v>-0.25330452170934592</v>
      </c>
      <c r="T42" s="59">
        <f>'TE BE'!$T$42*'TE BF'!$T$49</f>
        <v>1.3135097973747263</v>
      </c>
      <c r="U42" s="59">
        <f>'TE BE'!$U$42*'TE BF'!$U$49</f>
        <v>1.0619624464836428</v>
      </c>
      <c r="V42" s="59">
        <f>'TE BE'!$V$42*'TE BF'!$V$49</f>
        <v>0</v>
      </c>
      <c r="W42" s="59">
        <f>SUM($T$42:$V$42)</f>
        <v>2.3754722438583693</v>
      </c>
      <c r="X42" s="59">
        <f>'TE BE'!$AB$42*'TE BF'!$X$49</f>
        <v>0</v>
      </c>
      <c r="Y42" s="59">
        <f>SUM($X$42:$X$42)</f>
        <v>0</v>
      </c>
      <c r="Z42" s="59">
        <f>'TE BE'!$Z$42*'TE BF'!$Z$49</f>
        <v>-5.3203152501966142E-3</v>
      </c>
      <c r="AA42" s="59">
        <f>SUM($Z$42:$Z$42)</f>
        <v>-5.3203152501966142E-3</v>
      </c>
      <c r="AB42" s="59">
        <f>SUMIF($L$4:$AA$4,"SUBTOTAL",$L$42:$AA$42)</f>
        <v>4.5883901958531705</v>
      </c>
    </row>
    <row r="44" spans="1:28" ht="11.25" customHeight="1" x14ac:dyDescent="0.25">
      <c r="K44" s="64" t="s">
        <v>577</v>
      </c>
      <c r="L44" s="59">
        <f t="shared" ref="L44:AB44" si="0">SUMPRODUCT($I$5:$I$42,L$5:L$42)</f>
        <v>0</v>
      </c>
      <c r="M44" s="59">
        <f t="shared" si="0"/>
        <v>821097.77469999972</v>
      </c>
      <c r="N44" s="59">
        <f t="shared" si="0"/>
        <v>0</v>
      </c>
      <c r="O44" s="59">
        <f t="shared" si="0"/>
        <v>0</v>
      </c>
      <c r="P44" s="59">
        <f t="shared" si="0"/>
        <v>0</v>
      </c>
      <c r="Q44" s="59">
        <f t="shared" si="0"/>
        <v>821097.77469999972</v>
      </c>
      <c r="R44" s="59">
        <f t="shared" si="0"/>
        <v>-83300.651542210602</v>
      </c>
      <c r="S44" s="59">
        <f t="shared" si="0"/>
        <v>-83300.651542210602</v>
      </c>
      <c r="T44" s="59">
        <f t="shared" si="0"/>
        <v>436375.19709999993</v>
      </c>
      <c r="U44" s="59">
        <f t="shared" si="0"/>
        <v>352805.9499999999</v>
      </c>
      <c r="V44" s="59">
        <f t="shared" si="0"/>
        <v>0</v>
      </c>
      <c r="W44" s="59">
        <f t="shared" si="0"/>
        <v>789181.14710000006</v>
      </c>
      <c r="X44" s="59">
        <f t="shared" si="0"/>
        <v>0</v>
      </c>
      <c r="Y44" s="59">
        <f t="shared" si="0"/>
        <v>0</v>
      </c>
      <c r="Z44" s="59">
        <f t="shared" si="0"/>
        <v>-1767.5190703403237</v>
      </c>
      <c r="AA44" s="59">
        <f t="shared" si="0"/>
        <v>-1767.5190703403237</v>
      </c>
      <c r="AB44" s="59">
        <f t="shared" si="0"/>
        <v>1525210.7511874484</v>
      </c>
    </row>
    <row r="45" spans="1:28" ht="11.25" customHeight="1" x14ac:dyDescent="0.25">
      <c r="K45" s="64" t="s">
        <v>502</v>
      </c>
      <c r="L45" s="59">
        <f>CUSTOS!$D$30</f>
        <v>443927.86224606709</v>
      </c>
      <c r="M45" s="59">
        <f>CUSTOS!$D$31</f>
        <v>5567368.1052542813</v>
      </c>
      <c r="N45" s="59">
        <f>CUSTOS!$D$32</f>
        <v>0</v>
      </c>
      <c r="O45" s="59">
        <f>CUSTOS!$D$33</f>
        <v>0</v>
      </c>
      <c r="P45" s="59">
        <f>CUSTOS!$D$34</f>
        <v>-2509999.9999999995</v>
      </c>
      <c r="Q45" s="59">
        <f>CUSTOS!$D$35</f>
        <v>3501295.967500349</v>
      </c>
      <c r="R45" s="59">
        <f>CUSTOS!$D$36</f>
        <v>37958523.416229047</v>
      </c>
      <c r="S45" s="59">
        <f>CUSTOS!$D$37</f>
        <v>37958523.416229047</v>
      </c>
      <c r="T45" s="59">
        <f>CUSTOS!$D$38</f>
        <v>598524.71113621967</v>
      </c>
      <c r="U45" s="59">
        <f>CUSTOS!$D$39</f>
        <v>416696.1793310651</v>
      </c>
      <c r="V45" s="59">
        <f>CUSTOS!$D$40</f>
        <v>0</v>
      </c>
      <c r="W45" s="59">
        <f>CUSTOS!$D$41</f>
        <v>1015220.8904672847</v>
      </c>
      <c r="X45" s="59">
        <f>CUSTOS!$D$42</f>
        <v>0</v>
      </c>
      <c r="Y45" s="59">
        <f>CUSTOS!$D$43</f>
        <v>0</v>
      </c>
      <c r="Z45" s="59">
        <f>CUSTOS!$D$44</f>
        <v>805424.84095874231</v>
      </c>
      <c r="AA45" s="59">
        <f>CUSTOS!$D$45</f>
        <v>805424.84095874231</v>
      </c>
      <c r="AB45" s="59">
        <f>CUSTOS!$D$46</f>
        <v>43280465.115155429</v>
      </c>
    </row>
    <row r="46" spans="1:28" ht="11.25" customHeight="1" x14ac:dyDescent="0.25">
      <c r="K46" s="64" t="s">
        <v>503</v>
      </c>
      <c r="L46" s="59">
        <f>CUSTOS!$E$30</f>
        <v>-1.5255169573936296</v>
      </c>
      <c r="M46" s="59">
        <f>CUSTOS!$E$31</f>
        <v>-1223431.7781012561</v>
      </c>
      <c r="N46" s="59">
        <f>CUSTOS!$E$32</f>
        <v>0</v>
      </c>
      <c r="O46" s="59">
        <f>CUSTOS!$E$33</f>
        <v>-1.0710678681994937E-5</v>
      </c>
      <c r="P46" s="59">
        <f>CUSTOS!$E$34</f>
        <v>0</v>
      </c>
      <c r="Q46" s="59">
        <f>CUSTOS!$E$35</f>
        <v>-1223433.3036289241</v>
      </c>
      <c r="R46" s="59">
        <f>CUSTOS!$E$36</f>
        <v>2716870.5970524414</v>
      </c>
      <c r="S46" s="59">
        <f>CUSTOS!$E$37</f>
        <v>2716870.5970524414</v>
      </c>
      <c r="T46" s="59">
        <f>CUSTOS!$E$38</f>
        <v>0</v>
      </c>
      <c r="U46" s="59">
        <f>CUSTOS!$E$39</f>
        <v>0</v>
      </c>
      <c r="V46" s="59">
        <f>CUSTOS!$E$40</f>
        <v>0</v>
      </c>
      <c r="W46" s="59">
        <f>CUSTOS!$E$41</f>
        <v>0</v>
      </c>
      <c r="X46" s="59">
        <f>CUSTOS!$E$42</f>
        <v>0</v>
      </c>
      <c r="Y46" s="59">
        <f>CUSTOS!$E$43</f>
        <v>0</v>
      </c>
      <c r="Z46" s="59">
        <f>CUSTOS!$E$44</f>
        <v>57648.055603787601</v>
      </c>
      <c r="AA46" s="59">
        <f>CUSTOS!$E$45</f>
        <v>57648.055603787601</v>
      </c>
      <c r="AB46" s="59">
        <f>CUSTOS!$E$46</f>
        <v>1551085.3490273049</v>
      </c>
    </row>
    <row r="47" spans="1:28" ht="11.25" customHeight="1" x14ac:dyDescent="0.25">
      <c r="K47" s="64" t="s">
        <v>504</v>
      </c>
      <c r="L47" s="59">
        <f>CUSTOS!$F$30</f>
        <v>0</v>
      </c>
      <c r="M47" s="59">
        <f>CUSTOS!$F$31</f>
        <v>821097.77469999995</v>
      </c>
      <c r="N47" s="59">
        <f>CUSTOS!$F$32</f>
        <v>0</v>
      </c>
      <c r="O47" s="59">
        <f>CUSTOS!$F$33</f>
        <v>0</v>
      </c>
      <c r="P47" s="59">
        <f>CUSTOS!$F$34</f>
        <v>0</v>
      </c>
      <c r="Q47" s="59">
        <f>CUSTOS!$F$35</f>
        <v>821097.77469999995</v>
      </c>
      <c r="R47" s="59">
        <f>CUSTOS!$F$36</f>
        <v>-83300.651542210588</v>
      </c>
      <c r="S47" s="59">
        <f>CUSTOS!$F$37</f>
        <v>-83300.651542210588</v>
      </c>
      <c r="T47" s="59">
        <f>CUSTOS!$F$38</f>
        <v>436375.19709999999</v>
      </c>
      <c r="U47" s="59">
        <f>CUSTOS!$F$39</f>
        <v>352805.95</v>
      </c>
      <c r="V47" s="59">
        <f>CUSTOS!$F$40</f>
        <v>0</v>
      </c>
      <c r="W47" s="59">
        <f>CUSTOS!$F$41</f>
        <v>789181.14709999994</v>
      </c>
      <c r="X47" s="59">
        <f>CUSTOS!$F$42</f>
        <v>0</v>
      </c>
      <c r="Y47" s="59">
        <f>CUSTOS!$F$43</f>
        <v>0</v>
      </c>
      <c r="Z47" s="59">
        <f>CUSTOS!$F$44</f>
        <v>-1767.5190703403237</v>
      </c>
      <c r="AA47" s="59">
        <f>CUSTOS!$F$45</f>
        <v>-1767.5190703403237</v>
      </c>
      <c r="AB47" s="59">
        <f>CUSTOS!$F$46</f>
        <v>1525210.7511874489</v>
      </c>
    </row>
    <row r="48" spans="1:28" ht="11.25" customHeight="1" x14ac:dyDescent="0.25"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</row>
    <row r="49" spans="11:28" ht="11.25" customHeight="1" x14ac:dyDescent="0.25"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</row>
    <row r="50" spans="11:28" ht="11.25" customHeight="1" x14ac:dyDescent="0.25"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</row>
  </sheetData>
  <mergeCells count="61">
    <mergeCell ref="E36:E38"/>
    <mergeCell ref="F36:F38"/>
    <mergeCell ref="A41:A42"/>
    <mergeCell ref="B41:B42"/>
    <mergeCell ref="C41:C42"/>
    <mergeCell ref="D36:D38"/>
    <mergeCell ref="B33:B35"/>
    <mergeCell ref="C33:C35"/>
    <mergeCell ref="A36:A40"/>
    <mergeCell ref="B36:B38"/>
    <mergeCell ref="C36:C38"/>
    <mergeCell ref="A21:A35"/>
    <mergeCell ref="B21:B23"/>
    <mergeCell ref="C21:C23"/>
    <mergeCell ref="B29:B31"/>
    <mergeCell ref="C29:C31"/>
    <mergeCell ref="B25:B27"/>
    <mergeCell ref="C25:C27"/>
    <mergeCell ref="D29:D31"/>
    <mergeCell ref="E29:E31"/>
    <mergeCell ref="F29:F31"/>
    <mergeCell ref="D21:D23"/>
    <mergeCell ref="E21:E23"/>
    <mergeCell ref="F21:F23"/>
    <mergeCell ref="D25:D27"/>
    <mergeCell ref="E25:E27"/>
    <mergeCell ref="F25:F27"/>
    <mergeCell ref="A8:A20"/>
    <mergeCell ref="B8:B10"/>
    <mergeCell ref="C8:C10"/>
    <mergeCell ref="D8:D10"/>
    <mergeCell ref="E8:E10"/>
    <mergeCell ref="F8:F10"/>
    <mergeCell ref="B11:B15"/>
    <mergeCell ref="C11:C15"/>
    <mergeCell ref="B16:B20"/>
    <mergeCell ref="C16:C20"/>
    <mergeCell ref="Z3:AA3"/>
    <mergeCell ref="AB3:AB4"/>
    <mergeCell ref="A5:A7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R3:S3"/>
    <mergeCell ref="T3:W3"/>
    <mergeCell ref="X3:Y3"/>
    <mergeCell ref="A1:A4"/>
    <mergeCell ref="B1:B4"/>
    <mergeCell ref="C1:C4"/>
    <mergeCell ref="D1:D4"/>
    <mergeCell ref="E1:E4"/>
    <mergeCell ref="F1:F4"/>
  </mergeCells>
  <conditionalFormatting sqref="L44">
    <cfRule type="cellIs" dxfId="843" priority="33" operator="notEqual">
      <formula>$L$47</formula>
    </cfRule>
    <cfRule type="cellIs" dxfId="842" priority="34" operator="equal">
      <formula>$L$47</formula>
    </cfRule>
  </conditionalFormatting>
  <conditionalFormatting sqref="M44">
    <cfRule type="cellIs" dxfId="841" priority="31" operator="notEqual">
      <formula>$M$47</formula>
    </cfRule>
    <cfRule type="cellIs" dxfId="840" priority="32" operator="equal">
      <formula>$M$47</formula>
    </cfRule>
  </conditionalFormatting>
  <conditionalFormatting sqref="N44">
    <cfRule type="cellIs" dxfId="839" priority="29" operator="notEqual">
      <formula>$N$47</formula>
    </cfRule>
    <cfRule type="cellIs" dxfId="838" priority="30" operator="equal">
      <formula>$N$47</formula>
    </cfRule>
  </conditionalFormatting>
  <conditionalFormatting sqref="O44">
    <cfRule type="cellIs" dxfId="837" priority="27" operator="notEqual">
      <formula>$O$47</formula>
    </cfRule>
    <cfRule type="cellIs" dxfId="836" priority="28" operator="equal">
      <formula>$O$47</formula>
    </cfRule>
  </conditionalFormatting>
  <conditionalFormatting sqref="P44">
    <cfRule type="cellIs" dxfId="835" priority="25" operator="notEqual">
      <formula>$P$47</formula>
    </cfRule>
    <cfRule type="cellIs" dxfId="834" priority="26" operator="equal">
      <formula>$P$47</formula>
    </cfRule>
  </conditionalFormatting>
  <conditionalFormatting sqref="Q44">
    <cfRule type="cellIs" dxfId="833" priority="23" operator="notEqual">
      <formula>$Q$47</formula>
    </cfRule>
    <cfRule type="cellIs" dxfId="832" priority="24" operator="equal">
      <formula>$Q$47</formula>
    </cfRule>
  </conditionalFormatting>
  <conditionalFormatting sqref="R44">
    <cfRule type="cellIs" dxfId="831" priority="21" operator="notEqual">
      <formula>$R$47</formula>
    </cfRule>
    <cfRule type="cellIs" dxfId="830" priority="22" operator="equal">
      <formula>$R$47</formula>
    </cfRule>
  </conditionalFormatting>
  <conditionalFormatting sqref="S44">
    <cfRule type="cellIs" dxfId="829" priority="19" operator="notEqual">
      <formula>$S$47</formula>
    </cfRule>
    <cfRule type="cellIs" dxfId="828" priority="20" operator="equal">
      <formula>$S$47</formula>
    </cfRule>
  </conditionalFormatting>
  <conditionalFormatting sqref="T44">
    <cfRule type="cellIs" dxfId="827" priority="17" operator="notEqual">
      <formula>$T$47</formula>
    </cfRule>
    <cfRule type="cellIs" dxfId="826" priority="18" operator="equal">
      <formula>$T$47</formula>
    </cfRule>
  </conditionalFormatting>
  <conditionalFormatting sqref="U44">
    <cfRule type="cellIs" dxfId="825" priority="15" operator="notEqual">
      <formula>$U$47</formula>
    </cfRule>
    <cfRule type="cellIs" dxfId="824" priority="16" operator="equal">
      <formula>$U$47</formula>
    </cfRule>
  </conditionalFormatting>
  <conditionalFormatting sqref="V44">
    <cfRule type="cellIs" dxfId="823" priority="13" operator="notEqual">
      <formula>$V$47</formula>
    </cfRule>
    <cfRule type="cellIs" dxfId="822" priority="14" operator="equal">
      <formula>$V$47</formula>
    </cfRule>
  </conditionalFormatting>
  <conditionalFormatting sqref="W44">
    <cfRule type="cellIs" dxfId="821" priority="11" operator="notEqual">
      <formula>$W$47</formula>
    </cfRule>
    <cfRule type="cellIs" dxfId="820" priority="12" operator="equal">
      <formula>$W$47</formula>
    </cfRule>
  </conditionalFormatting>
  <conditionalFormatting sqref="X44">
    <cfRule type="cellIs" dxfId="819" priority="9" operator="notEqual">
      <formula>$X$47</formula>
    </cfRule>
    <cfRule type="cellIs" dxfId="818" priority="10" operator="equal">
      <formula>$X$47</formula>
    </cfRule>
  </conditionalFormatting>
  <conditionalFormatting sqref="Y44">
    <cfRule type="cellIs" dxfId="817" priority="7" operator="notEqual">
      <formula>$Y$47</formula>
    </cfRule>
    <cfRule type="cellIs" dxfId="816" priority="8" operator="equal">
      <formula>$Y$47</formula>
    </cfRule>
  </conditionalFormatting>
  <conditionalFormatting sqref="Z44">
    <cfRule type="cellIs" dxfId="815" priority="5" operator="notEqual">
      <formula>$Z$47</formula>
    </cfRule>
    <cfRule type="cellIs" dxfId="814" priority="6" operator="equal">
      <formula>$Z$47</formula>
    </cfRule>
  </conditionalFormatting>
  <conditionalFormatting sqref="AA44">
    <cfRule type="cellIs" dxfId="813" priority="3" operator="notEqual">
      <formula>$AA$47</formula>
    </cfRule>
    <cfRule type="cellIs" dxfId="812" priority="4" operator="equal">
      <formula>$AA$47</formula>
    </cfRule>
  </conditionalFormatting>
  <conditionalFormatting sqref="AB44">
    <cfRule type="cellIs" dxfId="811" priority="1" operator="notEqual">
      <formula>$AB$47</formula>
    </cfRule>
    <cfRule type="cellIs" dxfId="810" priority="2" operator="equal">
      <formula>$AB$47</formula>
    </cfRule>
  </conditionalFormatting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9633D-CA7C-417C-8BF8-8E968BC42EC2}">
  <dimension ref="A1:AV641"/>
  <sheetViews>
    <sheetView showGridLines="0" workbookViewId="0">
      <selection sqref="A1:AG641"/>
    </sheetView>
  </sheetViews>
  <sheetFormatPr defaultColWidth="9.140625" defaultRowHeight="11.25" customHeight="1" x14ac:dyDescent="0.25"/>
  <cols>
    <col min="1" max="1" width="19.140625" style="4" bestFit="1" customWidth="1"/>
    <col min="2" max="2" width="13.28515625" style="4" bestFit="1" customWidth="1"/>
    <col min="3" max="3" width="14.5703125" style="4" bestFit="1" customWidth="1"/>
    <col min="4" max="4" width="13.5703125" style="4" bestFit="1" customWidth="1"/>
    <col min="5" max="5" width="25.140625" style="4" bestFit="1" customWidth="1"/>
    <col min="6" max="6" width="13.28515625" style="4" bestFit="1" customWidth="1"/>
    <col min="7" max="7" width="11.28515625" style="4" bestFit="1" customWidth="1"/>
    <col min="8" max="8" width="10.28515625" style="4" bestFit="1" customWidth="1"/>
    <col min="9" max="9" width="12.140625" style="5" bestFit="1" customWidth="1"/>
    <col min="10" max="11" width="7.85546875" style="6" bestFit="1" customWidth="1"/>
    <col min="12" max="12" width="11.28515625" style="6" bestFit="1" customWidth="1"/>
    <col min="13" max="13" width="12.5703125" style="6" bestFit="1" customWidth="1"/>
    <col min="14" max="14" width="9.140625" style="6" bestFit="1" customWidth="1"/>
    <col min="15" max="15" width="10.42578125" style="6" bestFit="1" customWidth="1"/>
    <col min="16" max="16" width="7.85546875" style="6" bestFit="1" customWidth="1"/>
    <col min="17" max="17" width="11.140625" style="4" bestFit="1" customWidth="1"/>
    <col min="18" max="18" width="13.140625" style="4" bestFit="1" customWidth="1"/>
    <col min="19" max="19" width="23" style="4" bestFit="1" customWidth="1"/>
    <col min="20" max="20" width="24.42578125" style="4" bestFit="1" customWidth="1"/>
    <col min="21" max="21" width="22.28515625" style="4" bestFit="1" customWidth="1"/>
    <col min="22" max="22" width="15.85546875" style="4" bestFit="1" customWidth="1"/>
    <col min="23" max="23" width="17.28515625" style="4" bestFit="1" customWidth="1"/>
    <col min="24" max="24" width="15.140625" style="4" bestFit="1" customWidth="1"/>
    <col min="25" max="25" width="20.85546875" style="4" bestFit="1" customWidth="1"/>
    <col min="26" max="26" width="22.42578125" style="4" bestFit="1" customWidth="1"/>
    <col min="27" max="27" width="20.140625" style="4" bestFit="1" customWidth="1"/>
    <col min="28" max="28" width="23.28515625" style="4" bestFit="1" customWidth="1"/>
    <col min="29" max="29" width="24.7109375" style="4" bestFit="1" customWidth="1"/>
    <col min="30" max="30" width="22.5703125" style="4" bestFit="1" customWidth="1"/>
    <col min="31" max="31" width="24.140625" style="4" bestFit="1" customWidth="1"/>
    <col min="32" max="32" width="25.5703125" style="4" bestFit="1" customWidth="1"/>
    <col min="33" max="33" width="23.42578125" style="4" bestFit="1" customWidth="1"/>
    <col min="34" max="34" width="9.140625" style="4"/>
    <col min="35" max="35" width="9.28515625" style="4" bestFit="1" customWidth="1"/>
    <col min="36" max="36" width="14.5703125" style="4" bestFit="1" customWidth="1"/>
    <col min="37" max="37" width="15.42578125" style="4" bestFit="1" customWidth="1"/>
    <col min="38" max="38" width="9.28515625" style="4" bestFit="1" customWidth="1"/>
    <col min="39" max="39" width="9.140625" style="4"/>
    <col min="40" max="40" width="9.28515625" style="4" bestFit="1" customWidth="1"/>
    <col min="41" max="41" width="12.28515625" style="4" bestFit="1" customWidth="1"/>
    <col min="42" max="42" width="13.28515625" style="4" bestFit="1" customWidth="1"/>
    <col min="43" max="43" width="9.28515625" style="4" bestFit="1" customWidth="1"/>
    <col min="44" max="44" width="9.140625" style="4"/>
    <col min="45" max="45" width="9.28515625" style="4" bestFit="1" customWidth="1"/>
    <col min="46" max="47" width="11.7109375" style="4" bestFit="1" customWidth="1"/>
    <col min="48" max="48" width="9.28515625" style="4" bestFit="1" customWidth="1"/>
    <col min="49" max="16384" width="9.140625" style="4"/>
  </cols>
  <sheetData>
    <row r="1" spans="1:48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603</v>
      </c>
      <c r="W1" s="1" t="s">
        <v>604</v>
      </c>
      <c r="X1" s="1" t="s">
        <v>605</v>
      </c>
      <c r="Y1" s="1" t="s">
        <v>606</v>
      </c>
      <c r="Z1" s="1" t="s">
        <v>607</v>
      </c>
      <c r="AA1" s="1" t="s">
        <v>608</v>
      </c>
      <c r="AB1" s="1" t="s">
        <v>621</v>
      </c>
      <c r="AC1" s="1" t="s">
        <v>622</v>
      </c>
      <c r="AD1" s="1" t="s">
        <v>623</v>
      </c>
      <c r="AE1" s="1" t="s">
        <v>624</v>
      </c>
      <c r="AF1" s="1" t="s">
        <v>625</v>
      </c>
      <c r="AG1" s="1" t="s">
        <v>626</v>
      </c>
      <c r="AI1" s="73" t="s">
        <v>64</v>
      </c>
      <c r="AJ1" s="73" t="s">
        <v>627</v>
      </c>
      <c r="AK1" s="73" t="s">
        <v>628</v>
      </c>
      <c r="AL1" s="73" t="s">
        <v>629</v>
      </c>
      <c r="AN1" s="73" t="s">
        <v>64</v>
      </c>
      <c r="AO1" s="73" t="s">
        <v>630</v>
      </c>
      <c r="AP1" s="73" t="s">
        <v>631</v>
      </c>
      <c r="AQ1" s="73" t="s">
        <v>629</v>
      </c>
      <c r="AS1" s="73" t="s">
        <v>64</v>
      </c>
      <c r="AT1" s="73" t="s">
        <v>632</v>
      </c>
      <c r="AU1" s="73" t="s">
        <v>633</v>
      </c>
      <c r="AV1" s="73" t="s">
        <v>629</v>
      </c>
    </row>
    <row r="2" spans="1:48" ht="11.25" customHeight="1" x14ac:dyDescent="0.25">
      <c r="A2" s="4" t="s">
        <v>21</v>
      </c>
      <c r="B2" s="4" t="s">
        <v>35</v>
      </c>
      <c r="C2" s="4" t="s">
        <v>36</v>
      </c>
      <c r="D2" s="4" t="s">
        <v>34</v>
      </c>
      <c r="E2" s="4" t="s">
        <v>25</v>
      </c>
      <c r="F2" s="4" t="s">
        <v>56</v>
      </c>
      <c r="G2" s="4" t="s">
        <v>25</v>
      </c>
      <c r="H2" s="4" t="s">
        <v>38</v>
      </c>
      <c r="I2" s="5">
        <v>44409</v>
      </c>
      <c r="J2" s="6">
        <v>2514</v>
      </c>
      <c r="K2" s="6">
        <v>1257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4" t="s">
        <v>57</v>
      </c>
      <c r="R2" s="4">
        <v>0</v>
      </c>
      <c r="S2" s="6">
        <v>1</v>
      </c>
      <c r="T2" s="6">
        <v>0</v>
      </c>
      <c r="U2" s="6">
        <v>0</v>
      </c>
      <c r="V2" s="6">
        <f>IF(ISERROR(VLOOKUP($S$2,'TAR FIN'!$A$1:$O$86,15,0)),0,VLOOKUP($S$2,'TAR FIN'!$A$1:$O$86,15,0))</f>
        <v>22.9</v>
      </c>
      <c r="W2" s="6">
        <f>IF(ISERROR(VLOOKUP($T$2,'TAR FIN'!$A$1:$O$86,15,0)),0,VLOOKUP($T$2,'TAR FIN'!$A$1:$O$86,15,0))</f>
        <v>0</v>
      </c>
      <c r="X2" s="6">
        <f>IF(ISERROR(VLOOKUP($U$2,'TAR FIN'!$A$1:$O$86,15,0)),0,VLOOKUP($U$2,'TAR FIN'!$A$1:$O$86,15,0))</f>
        <v>0</v>
      </c>
      <c r="Y2" s="6">
        <f ca="1">('TUSD BE'!$AM$6+'TUSD BF'!$AM$6+'TUSD CVA'!$AM$6)*1</f>
        <v>21.733731888847863</v>
      </c>
      <c r="Z2" s="6">
        <f ca="1">('TUSD BE'!$AM$7+'TUSD BF'!$AM$7+'TUSD CVA'!$AM$7)*1</f>
        <v>117.83242038312405</v>
      </c>
      <c r="AA2" s="6"/>
      <c r="AB2" s="6">
        <f>$K$2*$V$2</f>
        <v>28785.3</v>
      </c>
      <c r="AC2" s="6">
        <f>$M$2*$W$2</f>
        <v>0</v>
      </c>
      <c r="AD2" s="6">
        <f>$O$2*$X$2</f>
        <v>0</v>
      </c>
      <c r="AE2" s="6">
        <f ca="1">$K$2*$Y$2</f>
        <v>27319.300984281763</v>
      </c>
      <c r="AF2" s="6">
        <f ca="1">$M$2*$Z$2</f>
        <v>0</v>
      </c>
      <c r="AG2" s="6">
        <f>$O$2*$AA$2</f>
        <v>0</v>
      </c>
      <c r="AI2" s="74" t="s">
        <v>35</v>
      </c>
      <c r="AJ2" s="75">
        <f>SUMIF($B$2:$B$641,AI2,$AB$2:$AB$641)+SUMIF($B$2:$B$641,AI2,$AC$2:$AC$641)</f>
        <v>25125170.171441432</v>
      </c>
      <c r="AK2" s="75">
        <f ca="1">SUMIF($B$2:$B$641,AI2,$AE$2:$AE$641)+SUMIF($B$2:$B$641,AI2,$AF$2:$AF$641)</f>
        <v>29942014.945339117</v>
      </c>
      <c r="AL2" s="76">
        <f t="shared" ref="AL2:AL9" ca="1" si="0">IF(AJ2&lt;&gt;0,AK2/AJ2-1,0)</f>
        <v>0.19171391640454472</v>
      </c>
      <c r="AN2" s="74" t="s">
        <v>35</v>
      </c>
      <c r="AO2" s="75">
        <f>SUMIF($B$2:$B$641,AN2,$AD$2:$AD$641)</f>
        <v>17637399.056862801</v>
      </c>
      <c r="AP2" s="75">
        <f>SUMIF($B$2:$B$641,AN2,$AG$2:$AG$641)</f>
        <v>18534224.758710373</v>
      </c>
      <c r="AQ2" s="76">
        <f t="shared" ref="AQ2:AQ9" si="1">IF(AO2&lt;&gt;0,AP2/AO2-1,0)</f>
        <v>5.0847956603817579E-2</v>
      </c>
      <c r="AS2" s="74" t="s">
        <v>35</v>
      </c>
      <c r="AT2" s="75">
        <f>SUMIF($B$2:$B$641,AS2,$AB$2:$AB$641)+SUMIF($B$2:$B$641,AS2,$AC$2:$AC$641)+SUMIF($B$2:$B$641,AS2,$AD$2:$AD$641)</f>
        <v>42762569.228304237</v>
      </c>
      <c r="AU2" s="75">
        <f ca="1">SUMIF($B$2:$B$641,AS2,$AE$2:$AE$641)+SUMIF($B$2:$B$641,AS2,$AF$2:$AF$641)+SUMIF($B$2:$B$641,AS2,$AG$2:$AG$641)</f>
        <v>48476239.70404949</v>
      </c>
      <c r="AV2" s="76">
        <f t="shared" ref="AV2:AV9" ca="1" si="2">IF(AT2&lt;&gt;0,AU2/AT2-1,0)</f>
        <v>0.13361382580266978</v>
      </c>
    </row>
    <row r="3" spans="1:48" ht="11.25" customHeight="1" x14ac:dyDescent="0.25">
      <c r="A3" s="4" t="s">
        <v>21</v>
      </c>
      <c r="B3" s="4" t="s">
        <v>35</v>
      </c>
      <c r="C3" s="4" t="s">
        <v>36</v>
      </c>
      <c r="D3" s="4" t="s">
        <v>34</v>
      </c>
      <c r="E3" s="4" t="s">
        <v>25</v>
      </c>
      <c r="F3" s="4" t="s">
        <v>56</v>
      </c>
      <c r="G3" s="4" t="s">
        <v>25</v>
      </c>
      <c r="H3" s="4" t="s">
        <v>38</v>
      </c>
      <c r="I3" s="5">
        <v>44440</v>
      </c>
      <c r="J3" s="6">
        <v>2432</v>
      </c>
      <c r="K3" s="6">
        <v>1216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4" t="s">
        <v>57</v>
      </c>
      <c r="R3" s="4">
        <v>0</v>
      </c>
      <c r="S3" s="6">
        <v>1</v>
      </c>
      <c r="T3" s="6">
        <v>0</v>
      </c>
      <c r="U3" s="6">
        <v>0</v>
      </c>
      <c r="V3" s="6">
        <f>IF(ISERROR(VLOOKUP($S$3,'TAR FIN'!$A$1:$O$86,15,0)),0,VLOOKUP($S$3,'TAR FIN'!$A$1:$O$86,15,0))</f>
        <v>22.9</v>
      </c>
      <c r="W3" s="6">
        <f>IF(ISERROR(VLOOKUP($T$3,'TAR FIN'!$A$1:$O$86,15,0)),0,VLOOKUP($T$3,'TAR FIN'!$A$1:$O$86,15,0))</f>
        <v>0</v>
      </c>
      <c r="X3" s="6">
        <f>IF(ISERROR(VLOOKUP($U$3,'TAR FIN'!$A$1:$O$86,15,0)),0,VLOOKUP($U$3,'TAR FIN'!$A$1:$O$86,15,0))</f>
        <v>0</v>
      </c>
      <c r="Y3" s="6">
        <f ca="1">('TUSD BE'!$AM$6+'TUSD BF'!$AM$6+'TUSD CVA'!$AM$6)*1</f>
        <v>21.733731888847863</v>
      </c>
      <c r="Z3" s="6">
        <f ca="1">('TUSD BE'!$AM$7+'TUSD BF'!$AM$7+'TUSD CVA'!$AM$7)*1</f>
        <v>117.83242038312405</v>
      </c>
      <c r="AA3" s="6"/>
      <c r="AB3" s="6">
        <f>$K$3*$V$3</f>
        <v>27846.399999999998</v>
      </c>
      <c r="AC3" s="6">
        <f>$M$3*$W$3</f>
        <v>0</v>
      </c>
      <c r="AD3" s="6">
        <f>$O$3*$X$3</f>
        <v>0</v>
      </c>
      <c r="AE3" s="6">
        <f ca="1">$K$3*$Y$3</f>
        <v>26428.217976839001</v>
      </c>
      <c r="AF3" s="6">
        <f ca="1">$M$3*$Z$3</f>
        <v>0</v>
      </c>
      <c r="AG3" s="6">
        <f>$O$3*$AA$3</f>
        <v>0</v>
      </c>
      <c r="AI3" s="74" t="s">
        <v>22</v>
      </c>
      <c r="AJ3" s="75">
        <f>SUMIF($B$2:$B$641,AI3,$AB$2:$AB$641)+SUMIF($B$2:$B$641,AI3,$AC$2:$AC$641)</f>
        <v>23609288.987567984</v>
      </c>
      <c r="AK3" s="75">
        <f ca="1">SUMIF($B$2:$B$641,AI3,$AE$2:$AE$641)+SUMIF($B$2:$B$641,AI3,$AF$2:$AF$641)</f>
        <v>29032799.783885926</v>
      </c>
      <c r="AL3" s="76">
        <f t="shared" ca="1" si="0"/>
        <v>0.2297193616958908</v>
      </c>
      <c r="AN3" s="74" t="s">
        <v>22</v>
      </c>
      <c r="AO3" s="75">
        <f>SUMIF($B$2:$B$641,AN3,$AD$2:$AD$641)</f>
        <v>15726759.511889992</v>
      </c>
      <c r="AP3" s="75">
        <f>SUMIF($B$2:$B$641,AN3,$AG$2:$AG$641)</f>
        <v>16473316.967885932</v>
      </c>
      <c r="AQ3" s="76">
        <f t="shared" si="1"/>
        <v>4.7470520257623106E-2</v>
      </c>
      <c r="AS3" s="74" t="s">
        <v>22</v>
      </c>
      <c r="AT3" s="75">
        <f>SUMIF($B$2:$B$641,AS3,$AB$2:$AB$641)+SUMIF($B$2:$B$641,AS3,$AC$2:$AC$641)+SUMIF($B$2:$B$641,AS3,$AD$2:$AD$641)</f>
        <v>39336048.499457978</v>
      </c>
      <c r="AU3" s="75">
        <f ca="1">SUMIF($B$2:$B$641,AS3,$AE$2:$AE$641)+SUMIF($B$2:$B$641,AS3,$AF$2:$AF$641)+SUMIF($B$2:$B$641,AS3,$AG$2:$AG$641)</f>
        <v>45506116.75177186</v>
      </c>
      <c r="AV3" s="76">
        <f t="shared" ca="1" si="2"/>
        <v>0.15685531434096389</v>
      </c>
    </row>
    <row r="4" spans="1:48" ht="11.25" customHeight="1" x14ac:dyDescent="0.25">
      <c r="A4" s="4" t="s">
        <v>21</v>
      </c>
      <c r="B4" s="4" t="s">
        <v>35</v>
      </c>
      <c r="C4" s="4" t="s">
        <v>36</v>
      </c>
      <c r="D4" s="4" t="s">
        <v>34</v>
      </c>
      <c r="E4" s="4" t="s">
        <v>25</v>
      </c>
      <c r="F4" s="4" t="s">
        <v>56</v>
      </c>
      <c r="G4" s="4" t="s">
        <v>25</v>
      </c>
      <c r="H4" s="4" t="s">
        <v>38</v>
      </c>
      <c r="I4" s="5">
        <v>44470</v>
      </c>
      <c r="J4" s="6">
        <v>2500</v>
      </c>
      <c r="K4" s="6">
        <v>1250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4" t="s">
        <v>57</v>
      </c>
      <c r="R4" s="4">
        <v>0</v>
      </c>
      <c r="S4" s="6">
        <v>1</v>
      </c>
      <c r="T4" s="6">
        <v>0</v>
      </c>
      <c r="U4" s="6">
        <v>0</v>
      </c>
      <c r="V4" s="6">
        <f>IF(ISERROR(VLOOKUP($S$4,'TAR FIN'!$A$1:$O$86,15,0)),0,VLOOKUP($S$4,'TAR FIN'!$A$1:$O$86,15,0))</f>
        <v>22.9</v>
      </c>
      <c r="W4" s="6">
        <f>IF(ISERROR(VLOOKUP($T$4,'TAR FIN'!$A$1:$O$86,15,0)),0,VLOOKUP($T$4,'TAR FIN'!$A$1:$O$86,15,0))</f>
        <v>0</v>
      </c>
      <c r="X4" s="6">
        <f>IF(ISERROR(VLOOKUP($U$4,'TAR FIN'!$A$1:$O$86,15,0)),0,VLOOKUP($U$4,'TAR FIN'!$A$1:$O$86,15,0))</f>
        <v>0</v>
      </c>
      <c r="Y4" s="6">
        <f ca="1">('TUSD BE'!$AM$6+'TUSD BF'!$AM$6+'TUSD CVA'!$AM$6)*1</f>
        <v>21.733731888847863</v>
      </c>
      <c r="Z4" s="6">
        <f ca="1">('TUSD BE'!$AM$7+'TUSD BF'!$AM$7+'TUSD CVA'!$AM$7)*1</f>
        <v>117.83242038312405</v>
      </c>
      <c r="AA4" s="6"/>
      <c r="AB4" s="6">
        <f>$K$4*$V$4</f>
        <v>28625</v>
      </c>
      <c r="AC4" s="6">
        <f>$M$4*$W$4</f>
        <v>0</v>
      </c>
      <c r="AD4" s="6">
        <f>$O$4*$X$4</f>
        <v>0</v>
      </c>
      <c r="AE4" s="6">
        <f ca="1">$K$4*$Y$4</f>
        <v>27167.164861059828</v>
      </c>
      <c r="AF4" s="6">
        <f ca="1">$M$4*$Z$4</f>
        <v>0</v>
      </c>
      <c r="AG4" s="6">
        <f>$O$4*$AA$4</f>
        <v>0</v>
      </c>
      <c r="AI4" s="74" t="s">
        <v>41</v>
      </c>
      <c r="AJ4" s="75">
        <f>SUMIF($B$2:$B$641,AI4,$AB$2:$AB$641)+SUMIF($B$2:$B$641,AI4,$AC$2:$AC$641)</f>
        <v>3489104.4247639999</v>
      </c>
      <c r="AK4" s="75">
        <f ca="1">SUMIF($B$2:$B$641,AI4,$AE$2:$AE$641)+SUMIF($B$2:$B$641,AI4,$AF$2:$AF$641)</f>
        <v>4597632.4441892672</v>
      </c>
      <c r="AL4" s="76">
        <f t="shared" ca="1" si="0"/>
        <v>0.31771133347499259</v>
      </c>
      <c r="AN4" s="74" t="s">
        <v>41</v>
      </c>
      <c r="AO4" s="75">
        <f>SUMIF($B$2:$B$641,AN4,$AD$2:$AD$641)</f>
        <v>2308929.9917880003</v>
      </c>
      <c r="AP4" s="75">
        <f>SUMIF($B$2:$B$641,AN4,$AG$2:$AG$641)</f>
        <v>2583419.3857007031</v>
      </c>
      <c r="AQ4" s="76">
        <f t="shared" si="1"/>
        <v>0.11888164426334225</v>
      </c>
      <c r="AS4" s="74" t="s">
        <v>41</v>
      </c>
      <c r="AT4" s="75">
        <f>SUMIF($B$2:$B$641,AS4,$AB$2:$AB$641)+SUMIF($B$2:$B$641,AS4,$AC$2:$AC$641)+SUMIF($B$2:$B$641,AS4,$AD$2:$AD$641)</f>
        <v>5798034.4165519997</v>
      </c>
      <c r="AU4" s="75">
        <f ca="1">SUMIF($B$2:$B$641,AS4,$AE$2:$AE$641)+SUMIF($B$2:$B$641,AS4,$AF$2:$AF$641)+SUMIF($B$2:$B$641,AS4,$AG$2:$AG$641)</f>
        <v>7181051.8298899699</v>
      </c>
      <c r="AV4" s="76">
        <f t="shared" ca="1" si="2"/>
        <v>0.23853211519231188</v>
      </c>
    </row>
    <row r="5" spans="1:48" ht="11.25" customHeight="1" x14ac:dyDescent="0.25">
      <c r="A5" s="4" t="s">
        <v>21</v>
      </c>
      <c r="B5" s="4" t="s">
        <v>35</v>
      </c>
      <c r="C5" s="4" t="s">
        <v>36</v>
      </c>
      <c r="D5" s="4" t="s">
        <v>34</v>
      </c>
      <c r="E5" s="4" t="s">
        <v>25</v>
      </c>
      <c r="F5" s="4" t="s">
        <v>56</v>
      </c>
      <c r="G5" s="4" t="s">
        <v>25</v>
      </c>
      <c r="H5" s="4" t="s">
        <v>38</v>
      </c>
      <c r="I5" s="5">
        <v>44501</v>
      </c>
      <c r="J5" s="6">
        <v>2623</v>
      </c>
      <c r="K5" s="6">
        <v>1311.5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4" t="s">
        <v>57</v>
      </c>
      <c r="R5" s="4">
        <v>0</v>
      </c>
      <c r="S5" s="6">
        <v>1</v>
      </c>
      <c r="T5" s="6">
        <v>0</v>
      </c>
      <c r="U5" s="6">
        <v>0</v>
      </c>
      <c r="V5" s="6">
        <f>IF(ISERROR(VLOOKUP($S$5,'TAR FIN'!$A$1:$O$86,15,0)),0,VLOOKUP($S$5,'TAR FIN'!$A$1:$O$86,15,0))</f>
        <v>22.9</v>
      </c>
      <c r="W5" s="6">
        <f>IF(ISERROR(VLOOKUP($T$5,'TAR FIN'!$A$1:$O$86,15,0)),0,VLOOKUP($T$5,'TAR FIN'!$A$1:$O$86,15,0))</f>
        <v>0</v>
      </c>
      <c r="X5" s="6">
        <f>IF(ISERROR(VLOOKUP($U$5,'TAR FIN'!$A$1:$O$86,15,0)),0,VLOOKUP($U$5,'TAR FIN'!$A$1:$O$86,15,0))</f>
        <v>0</v>
      </c>
      <c r="Y5" s="6">
        <f ca="1">('TUSD BE'!$AM$6+'TUSD BF'!$AM$6+'TUSD CVA'!$AM$6)*1</f>
        <v>21.733731888847863</v>
      </c>
      <c r="Z5" s="6">
        <f ca="1">('TUSD BE'!$AM$7+'TUSD BF'!$AM$7+'TUSD CVA'!$AM$7)*1</f>
        <v>117.83242038312405</v>
      </c>
      <c r="AA5" s="6"/>
      <c r="AB5" s="6">
        <f>$K$5*$V$5</f>
        <v>30033.35</v>
      </c>
      <c r="AC5" s="6">
        <f>$M$5*$W$5</f>
        <v>0</v>
      </c>
      <c r="AD5" s="6">
        <f>$O$5*$X$5</f>
        <v>0</v>
      </c>
      <c r="AE5" s="6">
        <f ca="1">$K$5*$Y$5</f>
        <v>28503.789372223971</v>
      </c>
      <c r="AF5" s="6">
        <f ca="1">$M$5*$Z$5</f>
        <v>0</v>
      </c>
      <c r="AG5" s="6">
        <f>$O$5*$AA$5</f>
        <v>0</v>
      </c>
      <c r="AI5" s="74" t="s">
        <v>33</v>
      </c>
      <c r="AJ5" s="75">
        <f>SUMIF($B$2:$B$641,AI5,$AB$2:$AB$641)+SUMIF($B$2:$B$641,AI5,$AC$2:$AC$641)</f>
        <v>9875419.4038323984</v>
      </c>
      <c r="AK5" s="75">
        <f ca="1">SUMIF($B$2:$B$641,AI5,$AE$2:$AE$641)+SUMIF($B$2:$B$641,AI5,$AF$2:$AF$641)</f>
        <v>12189539.533363026</v>
      </c>
      <c r="AL5" s="76">
        <f t="shared" ca="1" si="0"/>
        <v>0.23433132658979283</v>
      </c>
      <c r="AN5" s="74" t="s">
        <v>33</v>
      </c>
      <c r="AO5" s="75">
        <f>SUMIF($B$2:$B$641,AN5,$AD$2:$AD$641)</f>
        <v>6535231.5717324009</v>
      </c>
      <c r="AP5" s="75">
        <f>SUMIF($B$2:$B$641,AN5,$AG$2:$AG$641)</f>
        <v>6849690.5721174022</v>
      </c>
      <c r="AQ5" s="76">
        <f t="shared" si="1"/>
        <v>4.8117499270441622E-2</v>
      </c>
      <c r="AS5" s="74" t="s">
        <v>33</v>
      </c>
      <c r="AT5" s="75">
        <f>SUMIF($B$2:$B$641,AS5,$AB$2:$AB$641)+SUMIF($B$2:$B$641,AS5,$AC$2:$AC$641)+SUMIF($B$2:$B$641,AS5,$AD$2:$AD$641)</f>
        <v>16410650.9755648</v>
      </c>
      <c r="AU5" s="75">
        <f ca="1">SUMIF($B$2:$B$641,AS5,$AE$2:$AE$641)+SUMIF($B$2:$B$641,AS5,$AF$2:$AF$641)+SUMIF($B$2:$B$641,AS5,$AG$2:$AG$641)</f>
        <v>19039230.105480429</v>
      </c>
      <c r="AV5" s="76">
        <f t="shared" ca="1" si="2"/>
        <v>0.16017518950525123</v>
      </c>
    </row>
    <row r="6" spans="1:48" ht="11.25" customHeight="1" x14ac:dyDescent="0.25">
      <c r="A6" s="4" t="s">
        <v>21</v>
      </c>
      <c r="B6" s="4" t="s">
        <v>35</v>
      </c>
      <c r="C6" s="4" t="s">
        <v>36</v>
      </c>
      <c r="D6" s="4" t="s">
        <v>34</v>
      </c>
      <c r="E6" s="4" t="s">
        <v>25</v>
      </c>
      <c r="F6" s="4" t="s">
        <v>56</v>
      </c>
      <c r="G6" s="4" t="s">
        <v>25</v>
      </c>
      <c r="H6" s="4" t="s">
        <v>38</v>
      </c>
      <c r="I6" s="5">
        <v>44531</v>
      </c>
      <c r="J6" s="6">
        <v>2533</v>
      </c>
      <c r="K6" s="6">
        <v>1266.5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4" t="s">
        <v>57</v>
      </c>
      <c r="R6" s="4">
        <v>0</v>
      </c>
      <c r="S6" s="6">
        <v>1</v>
      </c>
      <c r="T6" s="6">
        <v>0</v>
      </c>
      <c r="U6" s="6">
        <v>0</v>
      </c>
      <c r="V6" s="6">
        <f>IF(ISERROR(VLOOKUP($S$6,'TAR FIN'!$A$1:$O$86,15,0)),0,VLOOKUP($S$6,'TAR FIN'!$A$1:$O$86,15,0))</f>
        <v>22.9</v>
      </c>
      <c r="W6" s="6">
        <f>IF(ISERROR(VLOOKUP($T$6,'TAR FIN'!$A$1:$O$86,15,0)),0,VLOOKUP($T$6,'TAR FIN'!$A$1:$O$86,15,0))</f>
        <v>0</v>
      </c>
      <c r="X6" s="6">
        <f>IF(ISERROR(VLOOKUP($U$6,'TAR FIN'!$A$1:$O$86,15,0)),0,VLOOKUP($U$6,'TAR FIN'!$A$1:$O$86,15,0))</f>
        <v>0</v>
      </c>
      <c r="Y6" s="6">
        <f ca="1">('TUSD BE'!$AM$6+'TUSD BF'!$AM$6+'TUSD CVA'!$AM$6)*1</f>
        <v>21.733731888847863</v>
      </c>
      <c r="Z6" s="6">
        <f ca="1">('TUSD BE'!$AM$7+'TUSD BF'!$AM$7+'TUSD CVA'!$AM$7)*1</f>
        <v>117.83242038312405</v>
      </c>
      <c r="AA6" s="6"/>
      <c r="AB6" s="6">
        <f>$K$6*$V$6</f>
        <v>29002.85</v>
      </c>
      <c r="AC6" s="6">
        <f>$M$6*$W$6</f>
        <v>0</v>
      </c>
      <c r="AD6" s="6">
        <f>$O$6*$X$6</f>
        <v>0</v>
      </c>
      <c r="AE6" s="6">
        <f ca="1">$K$6*$Y$6</f>
        <v>27525.77143722582</v>
      </c>
      <c r="AF6" s="6">
        <f ca="1">$M$6*$Z$6</f>
        <v>0</v>
      </c>
      <c r="AG6" s="6">
        <f>$O$6*$AA$6</f>
        <v>0</v>
      </c>
      <c r="AI6" s="74" t="s">
        <v>44</v>
      </c>
      <c r="AJ6" s="75">
        <f>SUMIF($B$2:$B$641,AI6,$AB$2:$AB$641)+SUMIF($B$2:$B$641,AI6,$AC$2:$AC$641)</f>
        <v>2197899.9555600001</v>
      </c>
      <c r="AK6" s="75">
        <f ca="1">SUMIF($B$2:$B$641,AI6,$AE$2:$AE$641)+SUMIF($B$2:$B$641,AI6,$AF$2:$AF$641)</f>
        <v>2711352.203215553</v>
      </c>
      <c r="AL6" s="76">
        <f t="shared" ca="1" si="0"/>
        <v>0.23361038174493753</v>
      </c>
      <c r="AN6" s="74" t="s">
        <v>44</v>
      </c>
      <c r="AO6" s="75">
        <f>SUMIF($B$2:$B$641,AN6,$AD$2:$AD$641)</f>
        <v>1454405.8144</v>
      </c>
      <c r="AP6" s="75">
        <f>SUMIF($B$2:$B$641,AN6,$AG$2:$AG$641)</f>
        <v>1523514.5323767902</v>
      </c>
      <c r="AQ6" s="76">
        <f t="shared" si="1"/>
        <v>4.7516805345900082E-2</v>
      </c>
      <c r="AS6" s="74" t="s">
        <v>44</v>
      </c>
      <c r="AT6" s="75">
        <f>SUMIF($B$2:$B$641,AS6,$AB$2:$AB$641)+SUMIF($B$2:$B$641,AS6,$AC$2:$AC$641)+SUMIF($B$2:$B$641,AS6,$AD$2:$AD$641)</f>
        <v>3652305.7699600002</v>
      </c>
      <c r="AU6" s="75">
        <f ca="1">SUMIF($B$2:$B$641,AS6,$AE$2:$AE$641)+SUMIF($B$2:$B$641,AS6,$AF$2:$AF$641)+SUMIF($B$2:$B$641,AS6,$AG$2:$AG$641)</f>
        <v>4234866.7355923429</v>
      </c>
      <c r="AV6" s="76">
        <f t="shared" ca="1" si="2"/>
        <v>0.15950498187306006</v>
      </c>
    </row>
    <row r="7" spans="1:48" ht="11.25" customHeight="1" x14ac:dyDescent="0.25">
      <c r="A7" s="4" t="s">
        <v>21</v>
      </c>
      <c r="B7" s="4" t="s">
        <v>35</v>
      </c>
      <c r="C7" s="4" t="s">
        <v>36</v>
      </c>
      <c r="D7" s="4" t="s">
        <v>34</v>
      </c>
      <c r="E7" s="4" t="s">
        <v>25</v>
      </c>
      <c r="F7" s="4" t="s">
        <v>56</v>
      </c>
      <c r="G7" s="4" t="s">
        <v>25</v>
      </c>
      <c r="H7" s="4" t="s">
        <v>38</v>
      </c>
      <c r="I7" s="5">
        <v>44562</v>
      </c>
      <c r="J7" s="6">
        <v>2500</v>
      </c>
      <c r="K7" s="6">
        <v>1250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4" t="s">
        <v>57</v>
      </c>
      <c r="R7" s="4">
        <v>0</v>
      </c>
      <c r="S7" s="6">
        <v>1</v>
      </c>
      <c r="T7" s="6">
        <v>0</v>
      </c>
      <c r="U7" s="6">
        <v>0</v>
      </c>
      <c r="V7" s="6">
        <f>IF(ISERROR(VLOOKUP($S$7,'TAR FIN'!$A$1:$O$86,15,0)),0,VLOOKUP($S$7,'TAR FIN'!$A$1:$O$86,15,0))</f>
        <v>22.9</v>
      </c>
      <c r="W7" s="6">
        <f>IF(ISERROR(VLOOKUP($T$7,'TAR FIN'!$A$1:$O$86,15,0)),0,VLOOKUP($T$7,'TAR FIN'!$A$1:$O$86,15,0))</f>
        <v>0</v>
      </c>
      <c r="X7" s="6">
        <f>IF(ISERROR(VLOOKUP($U$7,'TAR FIN'!$A$1:$O$86,15,0)),0,VLOOKUP($U$7,'TAR FIN'!$A$1:$O$86,15,0))</f>
        <v>0</v>
      </c>
      <c r="Y7" s="6">
        <f ca="1">('TUSD BE'!$AM$6+'TUSD BF'!$AM$6+'TUSD CVA'!$AM$6)*1</f>
        <v>21.733731888847863</v>
      </c>
      <c r="Z7" s="6">
        <f ca="1">('TUSD BE'!$AM$7+'TUSD BF'!$AM$7+'TUSD CVA'!$AM$7)*1</f>
        <v>117.83242038312405</v>
      </c>
      <c r="AA7" s="6"/>
      <c r="AB7" s="6">
        <f>$K$7*$V$7</f>
        <v>28625</v>
      </c>
      <c r="AC7" s="6">
        <f>$M$7*$W$7</f>
        <v>0</v>
      </c>
      <c r="AD7" s="6">
        <f>$O$7*$X$7</f>
        <v>0</v>
      </c>
      <c r="AE7" s="6">
        <f ca="1">$K$7*$Y$7</f>
        <v>27167.164861059828</v>
      </c>
      <c r="AF7" s="6">
        <f ca="1">$M$7*$Z$7</f>
        <v>0</v>
      </c>
      <c r="AG7" s="6">
        <f>$O$7*$AA$7</f>
        <v>0</v>
      </c>
      <c r="AI7" s="74" t="s">
        <v>634</v>
      </c>
      <c r="AJ7" s="75">
        <f>+$AJ$2</f>
        <v>25125170.171441432</v>
      </c>
      <c r="AK7" s="75">
        <f ca="1">+$AK$2</f>
        <v>29942014.945339117</v>
      </c>
      <c r="AL7" s="76">
        <f t="shared" ca="1" si="0"/>
        <v>0.19171391640454472</v>
      </c>
      <c r="AN7" s="74" t="s">
        <v>634</v>
      </c>
      <c r="AO7" s="75">
        <f>+$AO$2</f>
        <v>17637399.056862801</v>
      </c>
      <c r="AP7" s="75">
        <f>+$AP$2</f>
        <v>18534224.758710373</v>
      </c>
      <c r="AQ7" s="76">
        <f t="shared" si="1"/>
        <v>5.0847956603817579E-2</v>
      </c>
      <c r="AS7" s="74" t="s">
        <v>634</v>
      </c>
      <c r="AT7" s="75">
        <f>+$AT$2</f>
        <v>42762569.228304237</v>
      </c>
      <c r="AU7" s="75">
        <f ca="1">+$AU$2</f>
        <v>48476239.70404949</v>
      </c>
      <c r="AV7" s="76">
        <f t="shared" ca="1" si="2"/>
        <v>0.13361382580266978</v>
      </c>
    </row>
    <row r="8" spans="1:48" ht="11.25" customHeight="1" x14ac:dyDescent="0.25">
      <c r="A8" s="4" t="s">
        <v>21</v>
      </c>
      <c r="B8" s="4" t="s">
        <v>35</v>
      </c>
      <c r="C8" s="4" t="s">
        <v>36</v>
      </c>
      <c r="D8" s="4" t="s">
        <v>34</v>
      </c>
      <c r="E8" s="4" t="s">
        <v>25</v>
      </c>
      <c r="F8" s="4" t="s">
        <v>56</v>
      </c>
      <c r="G8" s="4" t="s">
        <v>25</v>
      </c>
      <c r="H8" s="4" t="s">
        <v>38</v>
      </c>
      <c r="I8" s="5">
        <v>44593</v>
      </c>
      <c r="J8" s="6">
        <v>2500</v>
      </c>
      <c r="K8" s="6">
        <v>1250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4" t="s">
        <v>57</v>
      </c>
      <c r="R8" s="4">
        <v>0</v>
      </c>
      <c r="S8" s="6">
        <v>1</v>
      </c>
      <c r="T8" s="6">
        <v>0</v>
      </c>
      <c r="U8" s="6">
        <v>0</v>
      </c>
      <c r="V8" s="6">
        <f>IF(ISERROR(VLOOKUP($S$8,'TAR FIN'!$A$1:$O$86,15,0)),0,VLOOKUP($S$8,'TAR FIN'!$A$1:$O$86,15,0))</f>
        <v>22.9</v>
      </c>
      <c r="W8" s="6">
        <f>IF(ISERROR(VLOOKUP($T$8,'TAR FIN'!$A$1:$O$86,15,0)),0,VLOOKUP($T$8,'TAR FIN'!$A$1:$O$86,15,0))</f>
        <v>0</v>
      </c>
      <c r="X8" s="6">
        <f>IF(ISERROR(VLOOKUP($U$8,'TAR FIN'!$A$1:$O$86,15,0)),0,VLOOKUP($U$8,'TAR FIN'!$A$1:$O$86,15,0))</f>
        <v>0</v>
      </c>
      <c r="Y8" s="6">
        <f ca="1">('TUSD BE'!$AM$6+'TUSD BF'!$AM$6+'TUSD CVA'!$AM$6)*1</f>
        <v>21.733731888847863</v>
      </c>
      <c r="Z8" s="6">
        <f ca="1">('TUSD BE'!$AM$7+'TUSD BF'!$AM$7+'TUSD CVA'!$AM$7)*1</f>
        <v>117.83242038312405</v>
      </c>
      <c r="AA8" s="6"/>
      <c r="AB8" s="6">
        <f>$K$8*$V$8</f>
        <v>28625</v>
      </c>
      <c r="AC8" s="6">
        <f>$M$8*$W$8</f>
        <v>0</v>
      </c>
      <c r="AD8" s="6">
        <f>$O$8*$X$8</f>
        <v>0</v>
      </c>
      <c r="AE8" s="6">
        <f ca="1">$K$8*$Y$8</f>
        <v>27167.164861059828</v>
      </c>
      <c r="AF8" s="6">
        <f ca="1">$M$8*$Z$8</f>
        <v>0</v>
      </c>
      <c r="AG8" s="6">
        <f>$O$8*$AA$8</f>
        <v>0</v>
      </c>
      <c r="AI8" s="74" t="s">
        <v>84</v>
      </c>
      <c r="AJ8" s="75">
        <f>+$AJ$3+$AJ$4+$AJ$5+$AJ$6</f>
        <v>39171712.771724381</v>
      </c>
      <c r="AK8" s="75">
        <f ca="1">+$AK$3+$AK$4+$AK$5+$AK$6</f>
        <v>48531323.964653775</v>
      </c>
      <c r="AL8" s="76">
        <f t="shared" ca="1" si="0"/>
        <v>0.23893801242424906</v>
      </c>
      <c r="AN8" s="74" t="s">
        <v>84</v>
      </c>
      <c r="AO8" s="75">
        <f>+$AO$3+$AO$4+$AO$5+$AO$6</f>
        <v>26025326.889810394</v>
      </c>
      <c r="AP8" s="75">
        <f>+$AP$3+$AP$4+$AP$5+$AP$6</f>
        <v>27429941.458080828</v>
      </c>
      <c r="AQ8" s="76">
        <f t="shared" si="1"/>
        <v>5.397106342669522E-2</v>
      </c>
      <c r="AS8" s="74" t="s">
        <v>84</v>
      </c>
      <c r="AT8" s="75">
        <f>+$AT$3+$AT$4+$AT$5+$AT$6</f>
        <v>65197039.661534779</v>
      </c>
      <c r="AU8" s="75">
        <f ca="1">+$AU$3+$AU$4+$AU$5+$AU$6</f>
        <v>75961265.422734588</v>
      </c>
      <c r="AV8" s="76">
        <f t="shared" ca="1" si="2"/>
        <v>0.16510298346491536</v>
      </c>
    </row>
    <row r="9" spans="1:48" ht="11.25" customHeight="1" x14ac:dyDescent="0.25">
      <c r="A9" s="4" t="s">
        <v>21</v>
      </c>
      <c r="B9" s="4" t="s">
        <v>35</v>
      </c>
      <c r="C9" s="4" t="s">
        <v>36</v>
      </c>
      <c r="D9" s="4" t="s">
        <v>34</v>
      </c>
      <c r="E9" s="4" t="s">
        <v>25</v>
      </c>
      <c r="F9" s="4" t="s">
        <v>56</v>
      </c>
      <c r="G9" s="4" t="s">
        <v>25</v>
      </c>
      <c r="H9" s="4" t="s">
        <v>38</v>
      </c>
      <c r="I9" s="5">
        <v>44621</v>
      </c>
      <c r="J9" s="6">
        <v>2061</v>
      </c>
      <c r="K9" s="6">
        <v>1030.5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4" t="s">
        <v>57</v>
      </c>
      <c r="R9" s="4">
        <v>0</v>
      </c>
      <c r="S9" s="6">
        <v>1</v>
      </c>
      <c r="T9" s="6">
        <v>0</v>
      </c>
      <c r="U9" s="6">
        <v>0</v>
      </c>
      <c r="V9" s="6">
        <f>IF(ISERROR(VLOOKUP($S$9,'TAR FIN'!$A$1:$O$86,15,0)),0,VLOOKUP($S$9,'TAR FIN'!$A$1:$O$86,15,0))</f>
        <v>22.9</v>
      </c>
      <c r="W9" s="6">
        <f>IF(ISERROR(VLOOKUP($T$9,'TAR FIN'!$A$1:$O$86,15,0)),0,VLOOKUP($T$9,'TAR FIN'!$A$1:$O$86,15,0))</f>
        <v>0</v>
      </c>
      <c r="X9" s="6">
        <f>IF(ISERROR(VLOOKUP($U$9,'TAR FIN'!$A$1:$O$86,15,0)),0,VLOOKUP($U$9,'TAR FIN'!$A$1:$O$86,15,0))</f>
        <v>0</v>
      </c>
      <c r="Y9" s="6">
        <f ca="1">('TUSD BE'!$AM$6+'TUSD BF'!$AM$6+'TUSD CVA'!$AM$6)*1</f>
        <v>21.733731888847863</v>
      </c>
      <c r="Z9" s="6">
        <f ca="1">('TUSD BE'!$AM$7+'TUSD BF'!$AM$7+'TUSD CVA'!$AM$7)*1</f>
        <v>117.83242038312405</v>
      </c>
      <c r="AA9" s="6"/>
      <c r="AB9" s="6">
        <f>$K$9*$V$9</f>
        <v>23598.449999999997</v>
      </c>
      <c r="AC9" s="6">
        <f>$M$9*$W$9</f>
        <v>0</v>
      </c>
      <c r="AD9" s="6">
        <f>$O$9*$X$9</f>
        <v>0</v>
      </c>
      <c r="AE9" s="6">
        <f ca="1">$K$9*$Y$9</f>
        <v>22396.610711457724</v>
      </c>
      <c r="AF9" s="6">
        <f ca="1">$M$9*$Z$9</f>
        <v>0</v>
      </c>
      <c r="AG9" s="6">
        <f>$O$9*$AA$9</f>
        <v>0</v>
      </c>
      <c r="AI9" s="74" t="s">
        <v>635</v>
      </c>
      <c r="AJ9" s="75">
        <f>AJ8+AJ7</f>
        <v>64296882.943165809</v>
      </c>
      <c r="AK9" s="75">
        <f ca="1">AK8+AK7</f>
        <v>78473338.909992889</v>
      </c>
      <c r="AL9" s="76">
        <f t="shared" ca="1" si="0"/>
        <v>0.22048434259804051</v>
      </c>
      <c r="AN9" s="74" t="s">
        <v>635</v>
      </c>
      <c r="AO9" s="75">
        <f>AO8+AO7</f>
        <v>43662725.9466732</v>
      </c>
      <c r="AP9" s="75">
        <f>AP8+AP7</f>
        <v>45964166.216791198</v>
      </c>
      <c r="AQ9" s="76">
        <f t="shared" si="1"/>
        <v>5.270949580493034E-2</v>
      </c>
      <c r="AS9" s="74" t="s">
        <v>635</v>
      </c>
      <c r="AT9" s="75">
        <f>AT8+AT7</f>
        <v>107959608.88983902</v>
      </c>
      <c r="AU9" s="75">
        <f ca="1">AU8+AU7</f>
        <v>124437505.12678409</v>
      </c>
      <c r="AV9" s="76">
        <f t="shared" ca="1" si="2"/>
        <v>0.15263019574069547</v>
      </c>
    </row>
    <row r="10" spans="1:48" ht="11.25" customHeight="1" x14ac:dyDescent="0.25">
      <c r="A10" s="4" t="s">
        <v>21</v>
      </c>
      <c r="B10" s="4" t="s">
        <v>35</v>
      </c>
      <c r="C10" s="4" t="s">
        <v>36</v>
      </c>
      <c r="D10" s="4" t="s">
        <v>34</v>
      </c>
      <c r="E10" s="4" t="s">
        <v>25</v>
      </c>
      <c r="F10" s="4" t="s">
        <v>56</v>
      </c>
      <c r="G10" s="4" t="s">
        <v>25</v>
      </c>
      <c r="H10" s="4" t="s">
        <v>38</v>
      </c>
      <c r="I10" s="5">
        <v>44652</v>
      </c>
      <c r="J10" s="6">
        <v>2421</v>
      </c>
      <c r="K10" s="6">
        <v>1210.5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4" t="s">
        <v>57</v>
      </c>
      <c r="R10" s="4">
        <v>0</v>
      </c>
      <c r="S10" s="6">
        <v>1</v>
      </c>
      <c r="T10" s="6">
        <v>0</v>
      </c>
      <c r="U10" s="6">
        <v>0</v>
      </c>
      <c r="V10" s="6">
        <f>IF(ISERROR(VLOOKUP($S$10,'TAR FIN'!$A$1:$O$86,15,0)),0,VLOOKUP($S$10,'TAR FIN'!$A$1:$O$86,15,0))</f>
        <v>22.9</v>
      </c>
      <c r="W10" s="6">
        <f>IF(ISERROR(VLOOKUP($T$10,'TAR FIN'!$A$1:$O$86,15,0)),0,VLOOKUP($T$10,'TAR FIN'!$A$1:$O$86,15,0))</f>
        <v>0</v>
      </c>
      <c r="X10" s="6">
        <f>IF(ISERROR(VLOOKUP($U$10,'TAR FIN'!$A$1:$O$86,15,0)),0,VLOOKUP($U$10,'TAR FIN'!$A$1:$O$86,15,0))</f>
        <v>0</v>
      </c>
      <c r="Y10" s="6">
        <f ca="1">('TUSD BE'!$AM$6+'TUSD BF'!$AM$6+'TUSD CVA'!$AM$6)*1</f>
        <v>21.733731888847863</v>
      </c>
      <c r="Z10" s="6">
        <f ca="1">('TUSD BE'!$AM$7+'TUSD BF'!$AM$7+'TUSD CVA'!$AM$7)*1</f>
        <v>117.83242038312405</v>
      </c>
      <c r="AA10" s="6"/>
      <c r="AB10" s="6">
        <f>$K$10*$V$10</f>
        <v>27720.449999999997</v>
      </c>
      <c r="AC10" s="6">
        <f>$M$10*$W$10</f>
        <v>0</v>
      </c>
      <c r="AD10" s="6">
        <f>$O$10*$X$10</f>
        <v>0</v>
      </c>
      <c r="AE10" s="6">
        <f ca="1">$K$10*$Y$10</f>
        <v>26308.682451450339</v>
      </c>
      <c r="AF10" s="6">
        <f ca="1">$M$10*$Z$10</f>
        <v>0</v>
      </c>
      <c r="AG10" s="6">
        <f>$O$10*$AA$10</f>
        <v>0</v>
      </c>
    </row>
    <row r="11" spans="1:48" ht="11.25" customHeight="1" x14ac:dyDescent="0.25">
      <c r="A11" s="4" t="s">
        <v>21</v>
      </c>
      <c r="B11" s="4" t="s">
        <v>35</v>
      </c>
      <c r="C11" s="4" t="s">
        <v>36</v>
      </c>
      <c r="D11" s="4" t="s">
        <v>34</v>
      </c>
      <c r="E11" s="4" t="s">
        <v>25</v>
      </c>
      <c r="F11" s="4" t="s">
        <v>56</v>
      </c>
      <c r="G11" s="4" t="s">
        <v>25</v>
      </c>
      <c r="H11" s="4" t="s">
        <v>38</v>
      </c>
      <c r="I11" s="5">
        <v>44682</v>
      </c>
      <c r="J11" s="6">
        <v>2500</v>
      </c>
      <c r="K11" s="6">
        <v>1250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4" t="s">
        <v>57</v>
      </c>
      <c r="R11" s="4">
        <v>0</v>
      </c>
      <c r="S11" s="6">
        <v>1</v>
      </c>
      <c r="T11" s="6">
        <v>0</v>
      </c>
      <c r="U11" s="6">
        <v>0</v>
      </c>
      <c r="V11" s="6">
        <f>IF(ISERROR(VLOOKUP($S$11,'TAR FIN'!$A$1:$O$86,15,0)),0,VLOOKUP($S$11,'TAR FIN'!$A$1:$O$86,15,0))</f>
        <v>22.9</v>
      </c>
      <c r="W11" s="6">
        <f>IF(ISERROR(VLOOKUP($T$11,'TAR FIN'!$A$1:$O$86,15,0)),0,VLOOKUP($T$11,'TAR FIN'!$A$1:$O$86,15,0))</f>
        <v>0</v>
      </c>
      <c r="X11" s="6">
        <f>IF(ISERROR(VLOOKUP($U$11,'TAR FIN'!$A$1:$O$86,15,0)),0,VLOOKUP($U$11,'TAR FIN'!$A$1:$O$86,15,0))</f>
        <v>0</v>
      </c>
      <c r="Y11" s="6">
        <f ca="1">('TUSD BE'!$AM$6+'TUSD BF'!$AM$6+'TUSD CVA'!$AM$6)*1</f>
        <v>21.733731888847863</v>
      </c>
      <c r="Z11" s="6">
        <f ca="1">('TUSD BE'!$AM$7+'TUSD BF'!$AM$7+'TUSD CVA'!$AM$7)*1</f>
        <v>117.83242038312405</v>
      </c>
      <c r="AA11" s="6"/>
      <c r="AB11" s="6">
        <f>$K$11*$V$11</f>
        <v>28625</v>
      </c>
      <c r="AC11" s="6">
        <f>$M$11*$W$11</f>
        <v>0</v>
      </c>
      <c r="AD11" s="6">
        <f>$O$11*$X$11</f>
        <v>0</v>
      </c>
      <c r="AE11" s="6">
        <f ca="1">$K$11*$Y$11</f>
        <v>27167.164861059828</v>
      </c>
      <c r="AF11" s="6">
        <f ca="1">$M$11*$Z$11</f>
        <v>0</v>
      </c>
      <c r="AG11" s="6">
        <f>$O$11*$AA$11</f>
        <v>0</v>
      </c>
    </row>
    <row r="12" spans="1:48" ht="11.25" customHeight="1" x14ac:dyDescent="0.25">
      <c r="A12" s="4" t="s">
        <v>21</v>
      </c>
      <c r="B12" s="4" t="s">
        <v>35</v>
      </c>
      <c r="C12" s="4" t="s">
        <v>36</v>
      </c>
      <c r="D12" s="4" t="s">
        <v>34</v>
      </c>
      <c r="E12" s="4" t="s">
        <v>25</v>
      </c>
      <c r="F12" s="4" t="s">
        <v>56</v>
      </c>
      <c r="G12" s="4" t="s">
        <v>25</v>
      </c>
      <c r="H12" s="4" t="s">
        <v>38</v>
      </c>
      <c r="I12" s="5">
        <v>44713</v>
      </c>
      <c r="J12" s="6">
        <v>2500</v>
      </c>
      <c r="K12" s="6">
        <v>1250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4" t="s">
        <v>57</v>
      </c>
      <c r="R12" s="4">
        <v>0</v>
      </c>
      <c r="S12" s="6">
        <v>1</v>
      </c>
      <c r="T12" s="6">
        <v>0</v>
      </c>
      <c r="U12" s="6">
        <v>0</v>
      </c>
      <c r="V12" s="6">
        <f>IF(ISERROR(VLOOKUP($S$12,'TAR FIN'!$A$1:$O$86,15,0)),0,VLOOKUP($S$12,'TAR FIN'!$A$1:$O$86,15,0))</f>
        <v>22.9</v>
      </c>
      <c r="W12" s="6">
        <f>IF(ISERROR(VLOOKUP($T$12,'TAR FIN'!$A$1:$O$86,15,0)),0,VLOOKUP($T$12,'TAR FIN'!$A$1:$O$86,15,0))</f>
        <v>0</v>
      </c>
      <c r="X12" s="6">
        <f>IF(ISERROR(VLOOKUP($U$12,'TAR FIN'!$A$1:$O$86,15,0)),0,VLOOKUP($U$12,'TAR FIN'!$A$1:$O$86,15,0))</f>
        <v>0</v>
      </c>
      <c r="Y12" s="6">
        <f ca="1">('TUSD BE'!$AM$6+'TUSD BF'!$AM$6+'TUSD CVA'!$AM$6)*1</f>
        <v>21.733731888847863</v>
      </c>
      <c r="Z12" s="6">
        <f ca="1">('TUSD BE'!$AM$7+'TUSD BF'!$AM$7+'TUSD CVA'!$AM$7)*1</f>
        <v>117.83242038312405</v>
      </c>
      <c r="AA12" s="6"/>
      <c r="AB12" s="6">
        <f>$K$12*$V$12</f>
        <v>28625</v>
      </c>
      <c r="AC12" s="6">
        <f>$M$12*$W$12</f>
        <v>0</v>
      </c>
      <c r="AD12" s="6">
        <f>$O$12*$X$12</f>
        <v>0</v>
      </c>
      <c r="AE12" s="6">
        <f ca="1">$K$12*$Y$12</f>
        <v>27167.164861059828</v>
      </c>
      <c r="AF12" s="6">
        <f ca="1">$M$12*$Z$12</f>
        <v>0</v>
      </c>
      <c r="AG12" s="6">
        <f>$O$12*$AA$12</f>
        <v>0</v>
      </c>
    </row>
    <row r="13" spans="1:48" ht="11.25" customHeight="1" x14ac:dyDescent="0.25">
      <c r="A13" s="4" t="s">
        <v>55</v>
      </c>
      <c r="B13" s="4" t="s">
        <v>35</v>
      </c>
      <c r="C13" s="4" t="s">
        <v>36</v>
      </c>
      <c r="D13" s="4" t="s">
        <v>34</v>
      </c>
      <c r="E13" s="4" t="s">
        <v>25</v>
      </c>
      <c r="F13" s="4" t="s">
        <v>56</v>
      </c>
      <c r="G13" s="4" t="s">
        <v>25</v>
      </c>
      <c r="H13" s="4" t="s">
        <v>38</v>
      </c>
      <c r="I13" s="5">
        <v>44743</v>
      </c>
      <c r="J13" s="6">
        <v>2500</v>
      </c>
      <c r="K13" s="6">
        <v>1250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4" t="s">
        <v>57</v>
      </c>
      <c r="R13" s="4">
        <v>0</v>
      </c>
      <c r="S13" s="6">
        <v>1</v>
      </c>
      <c r="T13" s="6">
        <v>0</v>
      </c>
      <c r="U13" s="6">
        <v>0</v>
      </c>
      <c r="V13" s="6">
        <f>IF(ISERROR(VLOOKUP($S$13,'TAR FIN'!$A$1:$O$86,15,0)),0,VLOOKUP($S$13,'TAR FIN'!$A$1:$O$86,15,0))</f>
        <v>22.9</v>
      </c>
      <c r="W13" s="6">
        <f>IF(ISERROR(VLOOKUP($T$13,'TAR FIN'!$A$1:$O$86,15,0)),0,VLOOKUP($T$13,'TAR FIN'!$A$1:$O$86,15,0))</f>
        <v>0</v>
      </c>
      <c r="X13" s="6">
        <f>IF(ISERROR(VLOOKUP($U$13,'TAR FIN'!$A$1:$O$86,15,0)),0,VLOOKUP($U$13,'TAR FIN'!$A$1:$O$86,15,0))</f>
        <v>0</v>
      </c>
      <c r="Y13" s="6">
        <f ca="1">('TUSD BE'!$AM$6+'TUSD BF'!$AM$6+'TUSD CVA'!$AM$6)*1</f>
        <v>21.733731888847863</v>
      </c>
      <c r="Z13" s="6">
        <f ca="1">('TUSD BE'!$AM$7+'TUSD BF'!$AM$7+'TUSD CVA'!$AM$7)*1</f>
        <v>117.83242038312405</v>
      </c>
      <c r="AA13" s="6"/>
      <c r="AB13" s="6">
        <f>$K$13*$V$13</f>
        <v>28625</v>
      </c>
      <c r="AC13" s="6">
        <f>$M$13*$W$13</f>
        <v>0</v>
      </c>
      <c r="AD13" s="6">
        <f>$O$13*$X$13</f>
        <v>0</v>
      </c>
      <c r="AE13" s="6">
        <f ca="1">$K$13*$Y$13</f>
        <v>27167.164861059828</v>
      </c>
      <c r="AF13" s="6">
        <f ca="1">$M$13*$Z$13</f>
        <v>0</v>
      </c>
      <c r="AG13" s="6">
        <f>$O$13*$AA$13</f>
        <v>0</v>
      </c>
    </row>
    <row r="14" spans="1:48" ht="11.25" customHeight="1" x14ac:dyDescent="0.25">
      <c r="A14" s="4" t="s">
        <v>21</v>
      </c>
      <c r="B14" s="4" t="s">
        <v>35</v>
      </c>
      <c r="C14" s="4" t="s">
        <v>36</v>
      </c>
      <c r="D14" s="4" t="s">
        <v>34</v>
      </c>
      <c r="E14" s="4" t="s">
        <v>25</v>
      </c>
      <c r="F14" s="4" t="s">
        <v>56</v>
      </c>
      <c r="G14" s="4" t="s">
        <v>25</v>
      </c>
      <c r="H14" s="4" t="s">
        <v>25</v>
      </c>
      <c r="I14" s="5">
        <v>44409</v>
      </c>
      <c r="J14" s="6">
        <v>0</v>
      </c>
      <c r="K14" s="6">
        <v>0</v>
      </c>
      <c r="L14" s="6">
        <v>1047.816</v>
      </c>
      <c r="M14" s="6">
        <v>1047.816</v>
      </c>
      <c r="N14" s="6">
        <v>0</v>
      </c>
      <c r="O14" s="6">
        <v>0</v>
      </c>
      <c r="P14" s="6">
        <v>1</v>
      </c>
      <c r="Q14" s="4" t="s">
        <v>57</v>
      </c>
      <c r="R14" s="4">
        <v>0</v>
      </c>
      <c r="S14" s="6">
        <v>0</v>
      </c>
      <c r="T14" s="6">
        <v>27</v>
      </c>
      <c r="U14" s="6">
        <v>0</v>
      </c>
      <c r="V14" s="6">
        <f>IF(ISERROR(VLOOKUP($S$14,'TAR FIN'!$A$1:$O$86,15,0)),0,VLOOKUP($S$14,'TAR FIN'!$A$1:$O$86,15,0))</f>
        <v>0</v>
      </c>
      <c r="W14" s="6">
        <f>IF(ISERROR(VLOOKUP($T$14,'TAR FIN'!$A$1:$O$86,15,0)),0,VLOOKUP($T$14,'TAR FIN'!$A$1:$O$86,15,0))</f>
        <v>73.19</v>
      </c>
      <c r="X14" s="6">
        <f>IF(ISERROR(VLOOKUP($U$14,'TAR FIN'!$A$1:$O$86,15,0)),0,VLOOKUP($U$14,'TAR FIN'!$A$1:$O$86,15,0))</f>
        <v>0</v>
      </c>
      <c r="Y14" s="6"/>
      <c r="Z14" s="6">
        <f ca="1">('TUSD BE'!$AM$7+'TUSD BF'!$AM$7+'TUSD CVA'!$AM$7)*1</f>
        <v>117.83242038312405</v>
      </c>
      <c r="AA14" s="6"/>
      <c r="AB14" s="6">
        <f>$K$14*$V$14</f>
        <v>0</v>
      </c>
      <c r="AC14" s="6">
        <f>$M$14*$W$14</f>
        <v>76689.653040000005</v>
      </c>
      <c r="AD14" s="6">
        <f>$O$14*$X$14</f>
        <v>0</v>
      </c>
      <c r="AE14" s="6">
        <f>$K$14*$Y$14</f>
        <v>0</v>
      </c>
      <c r="AF14" s="6">
        <f ca="1">$M$14*$Z$14</f>
        <v>123466.69539616352</v>
      </c>
      <c r="AG14" s="6">
        <f>$O$14*$AA$14</f>
        <v>0</v>
      </c>
    </row>
    <row r="15" spans="1:48" ht="11.25" customHeight="1" x14ac:dyDescent="0.25">
      <c r="A15" s="4" t="s">
        <v>21</v>
      </c>
      <c r="B15" s="4" t="s">
        <v>35</v>
      </c>
      <c r="C15" s="4" t="s">
        <v>36</v>
      </c>
      <c r="D15" s="4" t="s">
        <v>34</v>
      </c>
      <c r="E15" s="4" t="s">
        <v>25</v>
      </c>
      <c r="F15" s="4" t="s">
        <v>56</v>
      </c>
      <c r="G15" s="4" t="s">
        <v>25</v>
      </c>
      <c r="H15" s="4" t="s">
        <v>25</v>
      </c>
      <c r="I15" s="5">
        <v>44440</v>
      </c>
      <c r="J15" s="6">
        <v>0</v>
      </c>
      <c r="K15" s="6">
        <v>0</v>
      </c>
      <c r="L15" s="6">
        <v>1103.0350000000001</v>
      </c>
      <c r="M15" s="6">
        <v>1103.0350000000001</v>
      </c>
      <c r="N15" s="6">
        <v>0</v>
      </c>
      <c r="O15" s="6">
        <v>0</v>
      </c>
      <c r="P15" s="6">
        <v>1</v>
      </c>
      <c r="Q15" s="4" t="s">
        <v>57</v>
      </c>
      <c r="R15" s="4">
        <v>0</v>
      </c>
      <c r="S15" s="6">
        <v>0</v>
      </c>
      <c r="T15" s="6">
        <v>27</v>
      </c>
      <c r="U15" s="6">
        <v>0</v>
      </c>
      <c r="V15" s="6">
        <f>IF(ISERROR(VLOOKUP($S$15,'TAR FIN'!$A$1:$O$86,15,0)),0,VLOOKUP($S$15,'TAR FIN'!$A$1:$O$86,15,0))</f>
        <v>0</v>
      </c>
      <c r="W15" s="6">
        <f>IF(ISERROR(VLOOKUP($T$15,'TAR FIN'!$A$1:$O$86,15,0)),0,VLOOKUP($T$15,'TAR FIN'!$A$1:$O$86,15,0))</f>
        <v>73.19</v>
      </c>
      <c r="X15" s="6">
        <f>IF(ISERROR(VLOOKUP($U$15,'TAR FIN'!$A$1:$O$86,15,0)),0,VLOOKUP($U$15,'TAR FIN'!$A$1:$O$86,15,0))</f>
        <v>0</v>
      </c>
      <c r="Y15" s="6"/>
      <c r="Z15" s="6">
        <f ca="1">('TUSD BE'!$AM$7+'TUSD BF'!$AM$7+'TUSD CVA'!$AM$7)*1</f>
        <v>117.83242038312405</v>
      </c>
      <c r="AA15" s="6"/>
      <c r="AB15" s="6">
        <f>$K$15*$V$15</f>
        <v>0</v>
      </c>
      <c r="AC15" s="6">
        <f>$M$15*$W$15</f>
        <v>80731.13165000001</v>
      </c>
      <c r="AD15" s="6">
        <f>$O$15*$X$15</f>
        <v>0</v>
      </c>
      <c r="AE15" s="6">
        <f>$K$15*$Y$15</f>
        <v>0</v>
      </c>
      <c r="AF15" s="6">
        <f ca="1">$M$15*$Z$15</f>
        <v>129973.28381729923</v>
      </c>
      <c r="AG15" s="6">
        <f>$O$15*$AA$15</f>
        <v>0</v>
      </c>
    </row>
    <row r="16" spans="1:48" ht="11.25" customHeight="1" x14ac:dyDescent="0.25">
      <c r="A16" s="4" t="s">
        <v>21</v>
      </c>
      <c r="B16" s="4" t="s">
        <v>35</v>
      </c>
      <c r="C16" s="4" t="s">
        <v>36</v>
      </c>
      <c r="D16" s="4" t="s">
        <v>34</v>
      </c>
      <c r="E16" s="4" t="s">
        <v>25</v>
      </c>
      <c r="F16" s="4" t="s">
        <v>56</v>
      </c>
      <c r="G16" s="4" t="s">
        <v>25</v>
      </c>
      <c r="H16" s="4" t="s">
        <v>25</v>
      </c>
      <c r="I16" s="5">
        <v>44470</v>
      </c>
      <c r="J16" s="6">
        <v>0</v>
      </c>
      <c r="K16" s="6">
        <v>0</v>
      </c>
      <c r="L16" s="6">
        <v>833.274</v>
      </c>
      <c r="M16" s="6">
        <v>833.274</v>
      </c>
      <c r="N16" s="6">
        <v>0</v>
      </c>
      <c r="O16" s="6">
        <v>0</v>
      </c>
      <c r="P16" s="6">
        <v>1</v>
      </c>
      <c r="Q16" s="4" t="s">
        <v>57</v>
      </c>
      <c r="R16" s="4">
        <v>0</v>
      </c>
      <c r="S16" s="6">
        <v>0</v>
      </c>
      <c r="T16" s="6">
        <v>27</v>
      </c>
      <c r="U16" s="6">
        <v>0</v>
      </c>
      <c r="V16" s="6">
        <f>IF(ISERROR(VLOOKUP($S$16,'TAR FIN'!$A$1:$O$86,15,0)),0,VLOOKUP($S$16,'TAR FIN'!$A$1:$O$86,15,0))</f>
        <v>0</v>
      </c>
      <c r="W16" s="6">
        <f>IF(ISERROR(VLOOKUP($T$16,'TAR FIN'!$A$1:$O$86,15,0)),0,VLOOKUP($T$16,'TAR FIN'!$A$1:$O$86,15,0))</f>
        <v>73.19</v>
      </c>
      <c r="X16" s="6">
        <f>IF(ISERROR(VLOOKUP($U$16,'TAR FIN'!$A$1:$O$86,15,0)),0,VLOOKUP($U$16,'TAR FIN'!$A$1:$O$86,15,0))</f>
        <v>0</v>
      </c>
      <c r="Y16" s="6"/>
      <c r="Z16" s="6">
        <f ca="1">('TUSD BE'!$AM$7+'TUSD BF'!$AM$7+'TUSD CVA'!$AM$7)*1</f>
        <v>117.83242038312405</v>
      </c>
      <c r="AA16" s="6"/>
      <c r="AB16" s="6">
        <f>$K$16*$V$16</f>
        <v>0</v>
      </c>
      <c r="AC16" s="6">
        <f>$M$16*$W$16</f>
        <v>60987.324059999999</v>
      </c>
      <c r="AD16" s="6">
        <f>$O$16*$X$16</f>
        <v>0</v>
      </c>
      <c r="AE16" s="6">
        <f>$K$16*$Y$16</f>
        <v>0</v>
      </c>
      <c r="AF16" s="6">
        <f ca="1">$M$16*$Z$16</f>
        <v>98186.692262327313</v>
      </c>
      <c r="AG16" s="6">
        <f>$O$16*$AA$16</f>
        <v>0</v>
      </c>
    </row>
    <row r="17" spans="1:33" ht="11.25" customHeight="1" x14ac:dyDescent="0.25">
      <c r="A17" s="4" t="s">
        <v>21</v>
      </c>
      <c r="B17" s="4" t="s">
        <v>35</v>
      </c>
      <c r="C17" s="4" t="s">
        <v>36</v>
      </c>
      <c r="D17" s="4" t="s">
        <v>34</v>
      </c>
      <c r="E17" s="4" t="s">
        <v>25</v>
      </c>
      <c r="F17" s="4" t="s">
        <v>56</v>
      </c>
      <c r="G17" s="4" t="s">
        <v>25</v>
      </c>
      <c r="H17" s="4" t="s">
        <v>25</v>
      </c>
      <c r="I17" s="5">
        <v>44501</v>
      </c>
      <c r="J17" s="6">
        <v>0</v>
      </c>
      <c r="K17" s="6">
        <v>0</v>
      </c>
      <c r="L17" s="6">
        <v>1142.8879999999999</v>
      </c>
      <c r="M17" s="6">
        <v>1142.8879999999999</v>
      </c>
      <c r="N17" s="6">
        <v>0</v>
      </c>
      <c r="O17" s="6">
        <v>0</v>
      </c>
      <c r="P17" s="6">
        <v>1</v>
      </c>
      <c r="Q17" s="4" t="s">
        <v>57</v>
      </c>
      <c r="R17" s="4">
        <v>0</v>
      </c>
      <c r="S17" s="6">
        <v>0</v>
      </c>
      <c r="T17" s="6">
        <v>27</v>
      </c>
      <c r="U17" s="6">
        <v>0</v>
      </c>
      <c r="V17" s="6">
        <f>IF(ISERROR(VLOOKUP($S$17,'TAR FIN'!$A$1:$O$86,15,0)),0,VLOOKUP($S$17,'TAR FIN'!$A$1:$O$86,15,0))</f>
        <v>0</v>
      </c>
      <c r="W17" s="6">
        <f>IF(ISERROR(VLOOKUP($T$17,'TAR FIN'!$A$1:$O$86,15,0)),0,VLOOKUP($T$17,'TAR FIN'!$A$1:$O$86,15,0))</f>
        <v>73.19</v>
      </c>
      <c r="X17" s="6">
        <f>IF(ISERROR(VLOOKUP($U$17,'TAR FIN'!$A$1:$O$86,15,0)),0,VLOOKUP($U$17,'TAR FIN'!$A$1:$O$86,15,0))</f>
        <v>0</v>
      </c>
      <c r="Y17" s="6"/>
      <c r="Z17" s="6">
        <f ca="1">('TUSD BE'!$AM$7+'TUSD BF'!$AM$7+'TUSD CVA'!$AM$7)*1</f>
        <v>117.83242038312405</v>
      </c>
      <c r="AA17" s="6"/>
      <c r="AB17" s="6">
        <f>$K$17*$V$17</f>
        <v>0</v>
      </c>
      <c r="AC17" s="6">
        <f>$M$17*$W$17</f>
        <v>83647.972719999991</v>
      </c>
      <c r="AD17" s="6">
        <f>$O$17*$X$17</f>
        <v>0</v>
      </c>
      <c r="AE17" s="6">
        <f>$K$17*$Y$17</f>
        <v>0</v>
      </c>
      <c r="AF17" s="6">
        <f ca="1">$M$17*$Z$17</f>
        <v>134669.25926682787</v>
      </c>
      <c r="AG17" s="6">
        <f>$O$17*$AA$17</f>
        <v>0</v>
      </c>
    </row>
    <row r="18" spans="1:33" ht="11.25" customHeight="1" x14ac:dyDescent="0.25">
      <c r="A18" s="4" t="s">
        <v>21</v>
      </c>
      <c r="B18" s="4" t="s">
        <v>35</v>
      </c>
      <c r="C18" s="4" t="s">
        <v>36</v>
      </c>
      <c r="D18" s="4" t="s">
        <v>34</v>
      </c>
      <c r="E18" s="4" t="s">
        <v>25</v>
      </c>
      <c r="F18" s="4" t="s">
        <v>56</v>
      </c>
      <c r="G18" s="4" t="s">
        <v>25</v>
      </c>
      <c r="H18" s="4" t="s">
        <v>25</v>
      </c>
      <c r="I18" s="5">
        <v>44531</v>
      </c>
      <c r="J18" s="6">
        <v>0</v>
      </c>
      <c r="K18" s="6">
        <v>0</v>
      </c>
      <c r="L18" s="6">
        <v>967.81600000000003</v>
      </c>
      <c r="M18" s="6">
        <v>967.81600000000003</v>
      </c>
      <c r="N18" s="6">
        <v>0</v>
      </c>
      <c r="O18" s="6">
        <v>0</v>
      </c>
      <c r="P18" s="6">
        <v>1</v>
      </c>
      <c r="Q18" s="4" t="s">
        <v>57</v>
      </c>
      <c r="R18" s="4">
        <v>0</v>
      </c>
      <c r="S18" s="6">
        <v>0</v>
      </c>
      <c r="T18" s="6">
        <v>27</v>
      </c>
      <c r="U18" s="6">
        <v>0</v>
      </c>
      <c r="V18" s="6">
        <f>IF(ISERROR(VLOOKUP($S$18,'TAR FIN'!$A$1:$O$86,15,0)),0,VLOOKUP($S$18,'TAR FIN'!$A$1:$O$86,15,0))</f>
        <v>0</v>
      </c>
      <c r="W18" s="6">
        <f>IF(ISERROR(VLOOKUP($T$18,'TAR FIN'!$A$1:$O$86,15,0)),0,VLOOKUP($T$18,'TAR FIN'!$A$1:$O$86,15,0))</f>
        <v>73.19</v>
      </c>
      <c r="X18" s="6">
        <f>IF(ISERROR(VLOOKUP($U$18,'TAR FIN'!$A$1:$O$86,15,0)),0,VLOOKUP($U$18,'TAR FIN'!$A$1:$O$86,15,0))</f>
        <v>0</v>
      </c>
      <c r="Y18" s="6"/>
      <c r="Z18" s="6">
        <f ca="1">('TUSD BE'!$AM$7+'TUSD BF'!$AM$7+'TUSD CVA'!$AM$7)*1</f>
        <v>117.83242038312405</v>
      </c>
      <c r="AA18" s="6"/>
      <c r="AB18" s="6">
        <f>$K$18*$V$18</f>
        <v>0</v>
      </c>
      <c r="AC18" s="6">
        <f>$M$18*$W$18</f>
        <v>70834.453039999993</v>
      </c>
      <c r="AD18" s="6">
        <f>$O$18*$X$18</f>
        <v>0</v>
      </c>
      <c r="AE18" s="6">
        <f>$K$18*$Y$18</f>
        <v>0</v>
      </c>
      <c r="AF18" s="6">
        <f ca="1">$M$18*$Z$18</f>
        <v>114040.10176551358</v>
      </c>
      <c r="AG18" s="6">
        <f>$O$18*$AA$18</f>
        <v>0</v>
      </c>
    </row>
    <row r="19" spans="1:33" ht="11.25" customHeight="1" x14ac:dyDescent="0.25">
      <c r="A19" s="4" t="s">
        <v>21</v>
      </c>
      <c r="B19" s="4" t="s">
        <v>35</v>
      </c>
      <c r="C19" s="4" t="s">
        <v>36</v>
      </c>
      <c r="D19" s="4" t="s">
        <v>34</v>
      </c>
      <c r="E19" s="4" t="s">
        <v>25</v>
      </c>
      <c r="F19" s="4" t="s">
        <v>56</v>
      </c>
      <c r="G19" s="4" t="s">
        <v>25</v>
      </c>
      <c r="H19" s="4" t="s">
        <v>25</v>
      </c>
      <c r="I19" s="5">
        <v>44562</v>
      </c>
      <c r="J19" s="6">
        <v>0</v>
      </c>
      <c r="K19" s="6">
        <v>0</v>
      </c>
      <c r="L19" s="6">
        <v>829.04499999999996</v>
      </c>
      <c r="M19" s="6">
        <v>829.04499999999996</v>
      </c>
      <c r="N19" s="6">
        <v>0</v>
      </c>
      <c r="O19" s="6">
        <v>0</v>
      </c>
      <c r="P19" s="6">
        <v>1</v>
      </c>
      <c r="Q19" s="4" t="s">
        <v>57</v>
      </c>
      <c r="R19" s="4">
        <v>0</v>
      </c>
      <c r="S19" s="6">
        <v>0</v>
      </c>
      <c r="T19" s="6">
        <v>27</v>
      </c>
      <c r="U19" s="6">
        <v>0</v>
      </c>
      <c r="V19" s="6">
        <f>IF(ISERROR(VLOOKUP($S$19,'TAR FIN'!$A$1:$O$86,15,0)),0,VLOOKUP($S$19,'TAR FIN'!$A$1:$O$86,15,0))</f>
        <v>0</v>
      </c>
      <c r="W19" s="6">
        <f>IF(ISERROR(VLOOKUP($T$19,'TAR FIN'!$A$1:$O$86,15,0)),0,VLOOKUP($T$19,'TAR FIN'!$A$1:$O$86,15,0))</f>
        <v>73.19</v>
      </c>
      <c r="X19" s="6">
        <f>IF(ISERROR(VLOOKUP($U$19,'TAR FIN'!$A$1:$O$86,15,0)),0,VLOOKUP($U$19,'TAR FIN'!$A$1:$O$86,15,0))</f>
        <v>0</v>
      </c>
      <c r="Y19" s="6"/>
      <c r="Z19" s="6">
        <f ca="1">('TUSD BE'!$AM$7+'TUSD BF'!$AM$7+'TUSD CVA'!$AM$7)*1</f>
        <v>117.83242038312405</v>
      </c>
      <c r="AA19" s="6"/>
      <c r="AB19" s="6">
        <f>$K$19*$V$19</f>
        <v>0</v>
      </c>
      <c r="AC19" s="6">
        <f>$M$19*$W$19</f>
        <v>60677.803549999997</v>
      </c>
      <c r="AD19" s="6">
        <f>$O$19*$X$19</f>
        <v>0</v>
      </c>
      <c r="AE19" s="6">
        <f>$K$19*$Y$19</f>
        <v>0</v>
      </c>
      <c r="AF19" s="6">
        <f ca="1">$M$19*$Z$19</f>
        <v>97688.378956527071</v>
      </c>
      <c r="AG19" s="6">
        <f>$O$19*$AA$19</f>
        <v>0</v>
      </c>
    </row>
    <row r="20" spans="1:33" ht="11.25" customHeight="1" x14ac:dyDescent="0.25">
      <c r="A20" s="4" t="s">
        <v>21</v>
      </c>
      <c r="B20" s="4" t="s">
        <v>35</v>
      </c>
      <c r="C20" s="4" t="s">
        <v>36</v>
      </c>
      <c r="D20" s="4" t="s">
        <v>34</v>
      </c>
      <c r="E20" s="4" t="s">
        <v>25</v>
      </c>
      <c r="F20" s="4" t="s">
        <v>56</v>
      </c>
      <c r="G20" s="4" t="s">
        <v>25</v>
      </c>
      <c r="H20" s="4" t="s">
        <v>25</v>
      </c>
      <c r="I20" s="5">
        <v>44593</v>
      </c>
      <c r="J20" s="6">
        <v>0</v>
      </c>
      <c r="K20" s="6">
        <v>0</v>
      </c>
      <c r="L20" s="6">
        <v>770.24199999999996</v>
      </c>
      <c r="M20" s="6">
        <v>770.24199999999996</v>
      </c>
      <c r="N20" s="6">
        <v>0</v>
      </c>
      <c r="O20" s="6">
        <v>0</v>
      </c>
      <c r="P20" s="6">
        <v>1</v>
      </c>
      <c r="Q20" s="4" t="s">
        <v>57</v>
      </c>
      <c r="R20" s="4">
        <v>0</v>
      </c>
      <c r="S20" s="6">
        <v>0</v>
      </c>
      <c r="T20" s="6">
        <v>27</v>
      </c>
      <c r="U20" s="6">
        <v>0</v>
      </c>
      <c r="V20" s="6">
        <f>IF(ISERROR(VLOOKUP($S$20,'TAR FIN'!$A$1:$O$86,15,0)),0,VLOOKUP($S$20,'TAR FIN'!$A$1:$O$86,15,0))</f>
        <v>0</v>
      </c>
      <c r="W20" s="6">
        <f>IF(ISERROR(VLOOKUP($T$20,'TAR FIN'!$A$1:$O$86,15,0)),0,VLOOKUP($T$20,'TAR FIN'!$A$1:$O$86,15,0))</f>
        <v>73.19</v>
      </c>
      <c r="X20" s="6">
        <f>IF(ISERROR(VLOOKUP($U$20,'TAR FIN'!$A$1:$O$86,15,0)),0,VLOOKUP($U$20,'TAR FIN'!$A$1:$O$86,15,0))</f>
        <v>0</v>
      </c>
      <c r="Y20" s="6"/>
      <c r="Z20" s="6">
        <f ca="1">('TUSD BE'!$AM$7+'TUSD BF'!$AM$7+'TUSD CVA'!$AM$7)*1</f>
        <v>117.83242038312405</v>
      </c>
      <c r="AA20" s="6"/>
      <c r="AB20" s="6">
        <f>$K$20*$V$20</f>
        <v>0</v>
      </c>
      <c r="AC20" s="6">
        <f>$M$20*$W$20</f>
        <v>56374.011979999996</v>
      </c>
      <c r="AD20" s="6">
        <f>$O$20*$X$20</f>
        <v>0</v>
      </c>
      <c r="AE20" s="6">
        <f>$K$20*$Y$20</f>
        <v>0</v>
      </c>
      <c r="AF20" s="6">
        <f ca="1">$M$20*$Z$20</f>
        <v>90759.479140738229</v>
      </c>
      <c r="AG20" s="6">
        <f>$O$20*$AA$20</f>
        <v>0</v>
      </c>
    </row>
    <row r="21" spans="1:33" ht="11.25" customHeight="1" x14ac:dyDescent="0.25">
      <c r="A21" s="4" t="s">
        <v>21</v>
      </c>
      <c r="B21" s="4" t="s">
        <v>35</v>
      </c>
      <c r="C21" s="4" t="s">
        <v>36</v>
      </c>
      <c r="D21" s="4" t="s">
        <v>34</v>
      </c>
      <c r="E21" s="4" t="s">
        <v>25</v>
      </c>
      <c r="F21" s="4" t="s">
        <v>56</v>
      </c>
      <c r="G21" s="4" t="s">
        <v>25</v>
      </c>
      <c r="H21" s="4" t="s">
        <v>25</v>
      </c>
      <c r="I21" s="5">
        <v>44621</v>
      </c>
      <c r="J21" s="6">
        <v>0</v>
      </c>
      <c r="K21" s="6">
        <v>0</v>
      </c>
      <c r="L21" s="6">
        <v>790.34799999999996</v>
      </c>
      <c r="M21" s="6">
        <v>790.34799999999996</v>
      </c>
      <c r="N21" s="6">
        <v>0</v>
      </c>
      <c r="O21" s="6">
        <v>0</v>
      </c>
      <c r="P21" s="6">
        <v>1</v>
      </c>
      <c r="Q21" s="4" t="s">
        <v>57</v>
      </c>
      <c r="R21" s="4">
        <v>0</v>
      </c>
      <c r="S21" s="6">
        <v>0</v>
      </c>
      <c r="T21" s="6">
        <v>27</v>
      </c>
      <c r="U21" s="6">
        <v>0</v>
      </c>
      <c r="V21" s="6">
        <f>IF(ISERROR(VLOOKUP($S$21,'TAR FIN'!$A$1:$O$86,15,0)),0,VLOOKUP($S$21,'TAR FIN'!$A$1:$O$86,15,0))</f>
        <v>0</v>
      </c>
      <c r="W21" s="6">
        <f>IF(ISERROR(VLOOKUP($T$21,'TAR FIN'!$A$1:$O$86,15,0)),0,VLOOKUP($T$21,'TAR FIN'!$A$1:$O$86,15,0))</f>
        <v>73.19</v>
      </c>
      <c r="X21" s="6">
        <f>IF(ISERROR(VLOOKUP($U$21,'TAR FIN'!$A$1:$O$86,15,0)),0,VLOOKUP($U$21,'TAR FIN'!$A$1:$O$86,15,0))</f>
        <v>0</v>
      </c>
      <c r="Y21" s="6"/>
      <c r="Z21" s="6">
        <f ca="1">('TUSD BE'!$AM$7+'TUSD BF'!$AM$7+'TUSD CVA'!$AM$7)*1</f>
        <v>117.83242038312405</v>
      </c>
      <c r="AA21" s="6"/>
      <c r="AB21" s="6">
        <f>$K$21*$V$21</f>
        <v>0</v>
      </c>
      <c r="AC21" s="6">
        <f>$M$21*$W$21</f>
        <v>57845.570119999997</v>
      </c>
      <c r="AD21" s="6">
        <f>$O$21*$X$21</f>
        <v>0</v>
      </c>
      <c r="AE21" s="6">
        <f>$K$21*$Y$21</f>
        <v>0</v>
      </c>
      <c r="AF21" s="6">
        <f ca="1">$M$21*$Z$21</f>
        <v>93128.617784961316</v>
      </c>
      <c r="AG21" s="6">
        <f>$O$21*$AA$21</f>
        <v>0</v>
      </c>
    </row>
    <row r="22" spans="1:33" ht="11.25" customHeight="1" x14ac:dyDescent="0.25">
      <c r="A22" s="4" t="s">
        <v>21</v>
      </c>
      <c r="B22" s="4" t="s">
        <v>35</v>
      </c>
      <c r="C22" s="4" t="s">
        <v>36</v>
      </c>
      <c r="D22" s="4" t="s">
        <v>34</v>
      </c>
      <c r="E22" s="4" t="s">
        <v>25</v>
      </c>
      <c r="F22" s="4" t="s">
        <v>56</v>
      </c>
      <c r="G22" s="4" t="s">
        <v>25</v>
      </c>
      <c r="H22" s="4" t="s">
        <v>25</v>
      </c>
      <c r="I22" s="5">
        <v>44652</v>
      </c>
      <c r="J22" s="6">
        <v>0</v>
      </c>
      <c r="K22" s="6">
        <v>0</v>
      </c>
      <c r="L22" s="6">
        <v>945.61</v>
      </c>
      <c r="M22" s="6">
        <v>945.61</v>
      </c>
      <c r="N22" s="6">
        <v>0</v>
      </c>
      <c r="O22" s="6">
        <v>0</v>
      </c>
      <c r="P22" s="6">
        <v>1</v>
      </c>
      <c r="Q22" s="4" t="s">
        <v>57</v>
      </c>
      <c r="R22" s="4">
        <v>0</v>
      </c>
      <c r="S22" s="6">
        <v>0</v>
      </c>
      <c r="T22" s="6">
        <v>27</v>
      </c>
      <c r="U22" s="6">
        <v>0</v>
      </c>
      <c r="V22" s="6">
        <f>IF(ISERROR(VLOOKUP($S$22,'TAR FIN'!$A$1:$O$86,15,0)),0,VLOOKUP($S$22,'TAR FIN'!$A$1:$O$86,15,0))</f>
        <v>0</v>
      </c>
      <c r="W22" s="6">
        <f>IF(ISERROR(VLOOKUP($T$22,'TAR FIN'!$A$1:$O$86,15,0)),0,VLOOKUP($T$22,'TAR FIN'!$A$1:$O$86,15,0))</f>
        <v>73.19</v>
      </c>
      <c r="X22" s="6">
        <f>IF(ISERROR(VLOOKUP($U$22,'TAR FIN'!$A$1:$O$86,15,0)),0,VLOOKUP($U$22,'TAR FIN'!$A$1:$O$86,15,0))</f>
        <v>0</v>
      </c>
      <c r="Y22" s="6"/>
      <c r="Z22" s="6">
        <f ca="1">('TUSD BE'!$AM$7+'TUSD BF'!$AM$7+'TUSD CVA'!$AM$7)*1</f>
        <v>117.83242038312405</v>
      </c>
      <c r="AA22" s="6"/>
      <c r="AB22" s="6">
        <f>$K$22*$V$22</f>
        <v>0</v>
      </c>
      <c r="AC22" s="6">
        <f>$M$22*$W$22</f>
        <v>69209.195900000006</v>
      </c>
      <c r="AD22" s="6">
        <f>$O$22*$X$22</f>
        <v>0</v>
      </c>
      <c r="AE22" s="6">
        <f>$K$22*$Y$22</f>
        <v>0</v>
      </c>
      <c r="AF22" s="6">
        <f ca="1">$M$22*$Z$22</f>
        <v>111423.51503848593</v>
      </c>
      <c r="AG22" s="6">
        <f>$O$22*$AA$22</f>
        <v>0</v>
      </c>
    </row>
    <row r="23" spans="1:33" ht="11.25" customHeight="1" x14ac:dyDescent="0.25">
      <c r="A23" s="4" t="s">
        <v>21</v>
      </c>
      <c r="B23" s="4" t="s">
        <v>35</v>
      </c>
      <c r="C23" s="4" t="s">
        <v>36</v>
      </c>
      <c r="D23" s="4" t="s">
        <v>34</v>
      </c>
      <c r="E23" s="4" t="s">
        <v>25</v>
      </c>
      <c r="F23" s="4" t="s">
        <v>56</v>
      </c>
      <c r="G23" s="4" t="s">
        <v>25</v>
      </c>
      <c r="H23" s="4" t="s">
        <v>25</v>
      </c>
      <c r="I23" s="5">
        <v>44682</v>
      </c>
      <c r="J23" s="6">
        <v>0</v>
      </c>
      <c r="K23" s="6">
        <v>0</v>
      </c>
      <c r="L23" s="6">
        <v>1069.9860000000001</v>
      </c>
      <c r="M23" s="6">
        <v>1069.9860000000001</v>
      </c>
      <c r="N23" s="6">
        <v>0</v>
      </c>
      <c r="O23" s="6">
        <v>0</v>
      </c>
      <c r="P23" s="6">
        <v>1</v>
      </c>
      <c r="Q23" s="4" t="s">
        <v>57</v>
      </c>
      <c r="R23" s="4">
        <v>0</v>
      </c>
      <c r="S23" s="6">
        <v>0</v>
      </c>
      <c r="T23" s="6">
        <v>27</v>
      </c>
      <c r="U23" s="6">
        <v>0</v>
      </c>
      <c r="V23" s="6">
        <f>IF(ISERROR(VLOOKUP($S$23,'TAR FIN'!$A$1:$O$86,15,0)),0,VLOOKUP($S$23,'TAR FIN'!$A$1:$O$86,15,0))</f>
        <v>0</v>
      </c>
      <c r="W23" s="6">
        <f>IF(ISERROR(VLOOKUP($T$23,'TAR FIN'!$A$1:$O$86,15,0)),0,VLOOKUP($T$23,'TAR FIN'!$A$1:$O$86,15,0))</f>
        <v>73.19</v>
      </c>
      <c r="X23" s="6">
        <f>IF(ISERROR(VLOOKUP($U$23,'TAR FIN'!$A$1:$O$86,15,0)),0,VLOOKUP($U$23,'TAR FIN'!$A$1:$O$86,15,0))</f>
        <v>0</v>
      </c>
      <c r="Y23" s="6"/>
      <c r="Z23" s="6">
        <f ca="1">('TUSD BE'!$AM$7+'TUSD BF'!$AM$7+'TUSD CVA'!$AM$7)*1</f>
        <v>117.83242038312405</v>
      </c>
      <c r="AA23" s="6"/>
      <c r="AB23" s="6">
        <f>$K$23*$V$23</f>
        <v>0</v>
      </c>
      <c r="AC23" s="6">
        <f>$M$23*$W$23</f>
        <v>78312.275340000007</v>
      </c>
      <c r="AD23" s="6">
        <f>$O$23*$X$23</f>
        <v>0</v>
      </c>
      <c r="AE23" s="6">
        <f>$K$23*$Y$23</f>
        <v>0</v>
      </c>
      <c r="AF23" s="6">
        <f ca="1">$M$23*$Z$23</f>
        <v>126079.04015605738</v>
      </c>
      <c r="AG23" s="6">
        <f>$O$23*$AA$23</f>
        <v>0</v>
      </c>
    </row>
    <row r="24" spans="1:33" ht="11.25" customHeight="1" x14ac:dyDescent="0.25">
      <c r="A24" s="4" t="s">
        <v>21</v>
      </c>
      <c r="B24" s="4" t="s">
        <v>35</v>
      </c>
      <c r="C24" s="4" t="s">
        <v>36</v>
      </c>
      <c r="D24" s="4" t="s">
        <v>34</v>
      </c>
      <c r="E24" s="4" t="s">
        <v>25</v>
      </c>
      <c r="F24" s="4" t="s">
        <v>56</v>
      </c>
      <c r="G24" s="4" t="s">
        <v>25</v>
      </c>
      <c r="H24" s="4" t="s">
        <v>25</v>
      </c>
      <c r="I24" s="5">
        <v>44713</v>
      </c>
      <c r="J24" s="6">
        <v>0</v>
      </c>
      <c r="K24" s="6">
        <v>0</v>
      </c>
      <c r="L24" s="6">
        <v>838.41700000000003</v>
      </c>
      <c r="M24" s="6">
        <v>838.41700000000003</v>
      </c>
      <c r="N24" s="6">
        <v>0</v>
      </c>
      <c r="O24" s="6">
        <v>0</v>
      </c>
      <c r="P24" s="6">
        <v>1</v>
      </c>
      <c r="Q24" s="4" t="s">
        <v>57</v>
      </c>
      <c r="R24" s="4">
        <v>0</v>
      </c>
      <c r="S24" s="6">
        <v>0</v>
      </c>
      <c r="T24" s="6">
        <v>27</v>
      </c>
      <c r="U24" s="6">
        <v>0</v>
      </c>
      <c r="V24" s="6">
        <f>IF(ISERROR(VLOOKUP($S$24,'TAR FIN'!$A$1:$O$86,15,0)),0,VLOOKUP($S$24,'TAR FIN'!$A$1:$O$86,15,0))</f>
        <v>0</v>
      </c>
      <c r="W24" s="6">
        <f>IF(ISERROR(VLOOKUP($T$24,'TAR FIN'!$A$1:$O$86,15,0)),0,VLOOKUP($T$24,'TAR FIN'!$A$1:$O$86,15,0))</f>
        <v>73.19</v>
      </c>
      <c r="X24" s="6">
        <f>IF(ISERROR(VLOOKUP($U$24,'TAR FIN'!$A$1:$O$86,15,0)),0,VLOOKUP($U$24,'TAR FIN'!$A$1:$O$86,15,0))</f>
        <v>0</v>
      </c>
      <c r="Y24" s="6"/>
      <c r="Z24" s="6">
        <f ca="1">('TUSD BE'!$AM$7+'TUSD BF'!$AM$7+'TUSD CVA'!$AM$7)*1</f>
        <v>117.83242038312405</v>
      </c>
      <c r="AA24" s="6"/>
      <c r="AB24" s="6">
        <f>$K$24*$V$24</f>
        <v>0</v>
      </c>
      <c r="AC24" s="6">
        <f>$M$24*$W$24</f>
        <v>61363.740230000003</v>
      </c>
      <c r="AD24" s="6">
        <f>$O$24*$X$24</f>
        <v>0</v>
      </c>
      <c r="AE24" s="6">
        <f>$K$24*$Y$24</f>
        <v>0</v>
      </c>
      <c r="AF24" s="6">
        <f ca="1">$M$24*$Z$24</f>
        <v>98792.704400357718</v>
      </c>
      <c r="AG24" s="6">
        <f>$O$24*$AA$24</f>
        <v>0</v>
      </c>
    </row>
    <row r="25" spans="1:33" ht="11.25" customHeight="1" x14ac:dyDescent="0.25">
      <c r="A25" s="4" t="s">
        <v>55</v>
      </c>
      <c r="B25" s="4" t="s">
        <v>35</v>
      </c>
      <c r="C25" s="4" t="s">
        <v>36</v>
      </c>
      <c r="D25" s="4" t="s">
        <v>34</v>
      </c>
      <c r="E25" s="4" t="s">
        <v>25</v>
      </c>
      <c r="F25" s="4" t="s">
        <v>56</v>
      </c>
      <c r="G25" s="4" t="s">
        <v>25</v>
      </c>
      <c r="H25" s="4" t="s">
        <v>25</v>
      </c>
      <c r="I25" s="5">
        <v>44743</v>
      </c>
      <c r="J25" s="6">
        <v>0</v>
      </c>
      <c r="K25" s="6">
        <v>0</v>
      </c>
      <c r="L25" s="6">
        <v>838.41700000000003</v>
      </c>
      <c r="M25" s="6">
        <v>838.41700000000003</v>
      </c>
      <c r="N25" s="6">
        <v>0</v>
      </c>
      <c r="O25" s="6">
        <v>0</v>
      </c>
      <c r="P25" s="6">
        <v>1</v>
      </c>
      <c r="Q25" s="4" t="s">
        <v>57</v>
      </c>
      <c r="R25" s="4">
        <v>0</v>
      </c>
      <c r="S25" s="6">
        <v>0</v>
      </c>
      <c r="T25" s="6">
        <v>27</v>
      </c>
      <c r="U25" s="6">
        <v>0</v>
      </c>
      <c r="V25" s="6">
        <f>IF(ISERROR(VLOOKUP($S$25,'TAR FIN'!$A$1:$O$86,15,0)),0,VLOOKUP($S$25,'TAR FIN'!$A$1:$O$86,15,0))</f>
        <v>0</v>
      </c>
      <c r="W25" s="6">
        <f>IF(ISERROR(VLOOKUP($T$25,'TAR FIN'!$A$1:$O$86,15,0)),0,VLOOKUP($T$25,'TAR FIN'!$A$1:$O$86,15,0))</f>
        <v>73.19</v>
      </c>
      <c r="X25" s="6">
        <f>IF(ISERROR(VLOOKUP($U$25,'TAR FIN'!$A$1:$O$86,15,0)),0,VLOOKUP($U$25,'TAR FIN'!$A$1:$O$86,15,0))</f>
        <v>0</v>
      </c>
      <c r="Y25" s="6"/>
      <c r="Z25" s="6">
        <f ca="1">('TUSD BE'!$AM$7+'TUSD BF'!$AM$7+'TUSD CVA'!$AM$7)*1</f>
        <v>117.83242038312405</v>
      </c>
      <c r="AA25" s="6"/>
      <c r="AB25" s="6">
        <f>$K$25*$V$25</f>
        <v>0</v>
      </c>
      <c r="AC25" s="6">
        <f>$M$25*$W$25</f>
        <v>61363.740230000003</v>
      </c>
      <c r="AD25" s="6">
        <f>$O$25*$X$25</f>
        <v>0</v>
      </c>
      <c r="AE25" s="6">
        <f>$K$25*$Y$25</f>
        <v>0</v>
      </c>
      <c r="AF25" s="6">
        <f ca="1">$M$25*$Z$25</f>
        <v>98792.704400357718</v>
      </c>
      <c r="AG25" s="6">
        <f>$O$25*$AA$25</f>
        <v>0</v>
      </c>
    </row>
    <row r="26" spans="1:33" ht="11.25" customHeight="1" x14ac:dyDescent="0.25">
      <c r="A26" s="4" t="s">
        <v>21</v>
      </c>
      <c r="B26" s="4" t="s">
        <v>35</v>
      </c>
      <c r="C26" s="4" t="s">
        <v>36</v>
      </c>
      <c r="D26" s="4" t="s">
        <v>34</v>
      </c>
      <c r="E26" s="4" t="s">
        <v>25</v>
      </c>
      <c r="F26" s="4" t="s">
        <v>56</v>
      </c>
      <c r="G26" s="4" t="s">
        <v>25</v>
      </c>
      <c r="H26" s="4" t="s">
        <v>37</v>
      </c>
      <c r="I26" s="5">
        <v>44409</v>
      </c>
      <c r="J26" s="6">
        <v>121</v>
      </c>
      <c r="K26" s="6">
        <v>60.5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4" t="s">
        <v>57</v>
      </c>
      <c r="R26" s="4">
        <v>0</v>
      </c>
      <c r="S26" s="6">
        <v>7</v>
      </c>
      <c r="T26" s="6">
        <v>0</v>
      </c>
      <c r="U26" s="6">
        <v>0</v>
      </c>
      <c r="V26" s="6">
        <f>IF(ISERROR(VLOOKUP($S$26,'TAR FIN'!$A$1:$O$86,15,0)),0,VLOOKUP($S$26,'TAR FIN'!$A$1:$O$86,15,0))</f>
        <v>59.47</v>
      </c>
      <c r="W26" s="6">
        <f>IF(ISERROR(VLOOKUP($T$26,'TAR FIN'!$A$1:$O$86,15,0)),0,VLOOKUP($T$26,'TAR FIN'!$A$1:$O$86,15,0))</f>
        <v>0</v>
      </c>
      <c r="X26" s="6">
        <f>IF(ISERROR(VLOOKUP($U$26,'TAR FIN'!$A$1:$O$86,15,0)),0,VLOOKUP($U$26,'TAR FIN'!$A$1:$O$86,15,0))</f>
        <v>0</v>
      </c>
      <c r="Y26" s="6">
        <f ca="1">('TUSD BE'!$AM$5+'TUSD BF'!$AM$5+'TUSD CVA'!$AM$5)*1</f>
        <v>56.480448697803254</v>
      </c>
      <c r="Z26" s="6">
        <f ca="1">('TUSD BE'!$AM$7+'TUSD BF'!$AM$7+'TUSD CVA'!$AM$7)*1</f>
        <v>117.83242038312405</v>
      </c>
      <c r="AA26" s="6"/>
      <c r="AB26" s="6">
        <f>$K$26*$V$26</f>
        <v>3597.9349999999999</v>
      </c>
      <c r="AC26" s="6">
        <f>$M$26*$W$26</f>
        <v>0</v>
      </c>
      <c r="AD26" s="6">
        <f>$O$26*$X$26</f>
        <v>0</v>
      </c>
      <c r="AE26" s="6">
        <f ca="1">$K$26*$Y$26</f>
        <v>3417.0671462170967</v>
      </c>
      <c r="AF26" s="6">
        <f ca="1">$M$26*$Z$26</f>
        <v>0</v>
      </c>
      <c r="AG26" s="6">
        <f>$O$26*$AA$26</f>
        <v>0</v>
      </c>
    </row>
    <row r="27" spans="1:33" ht="11.25" customHeight="1" x14ac:dyDescent="0.25">
      <c r="A27" s="4" t="s">
        <v>21</v>
      </c>
      <c r="B27" s="4" t="s">
        <v>35</v>
      </c>
      <c r="C27" s="4" t="s">
        <v>36</v>
      </c>
      <c r="D27" s="4" t="s">
        <v>34</v>
      </c>
      <c r="E27" s="4" t="s">
        <v>25</v>
      </c>
      <c r="F27" s="4" t="s">
        <v>56</v>
      </c>
      <c r="G27" s="4" t="s">
        <v>25</v>
      </c>
      <c r="H27" s="4" t="s">
        <v>37</v>
      </c>
      <c r="I27" s="5">
        <v>44440</v>
      </c>
      <c r="J27" s="6">
        <v>123</v>
      </c>
      <c r="K27" s="6">
        <v>61.5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4" t="s">
        <v>57</v>
      </c>
      <c r="R27" s="4">
        <v>0</v>
      </c>
      <c r="S27" s="6">
        <v>7</v>
      </c>
      <c r="T27" s="6">
        <v>0</v>
      </c>
      <c r="U27" s="6">
        <v>0</v>
      </c>
      <c r="V27" s="6">
        <f>IF(ISERROR(VLOOKUP($S$27,'TAR FIN'!$A$1:$O$86,15,0)),0,VLOOKUP($S$27,'TAR FIN'!$A$1:$O$86,15,0))</f>
        <v>59.47</v>
      </c>
      <c r="W27" s="6">
        <f>IF(ISERROR(VLOOKUP($T$27,'TAR FIN'!$A$1:$O$86,15,0)),0,VLOOKUP($T$27,'TAR FIN'!$A$1:$O$86,15,0))</f>
        <v>0</v>
      </c>
      <c r="X27" s="6">
        <f>IF(ISERROR(VLOOKUP($U$27,'TAR FIN'!$A$1:$O$86,15,0)),0,VLOOKUP($U$27,'TAR FIN'!$A$1:$O$86,15,0))</f>
        <v>0</v>
      </c>
      <c r="Y27" s="6">
        <f ca="1">('TUSD BE'!$AM$5+'TUSD BF'!$AM$5+'TUSD CVA'!$AM$5)*1</f>
        <v>56.480448697803254</v>
      </c>
      <c r="Z27" s="6">
        <f ca="1">('TUSD BE'!$AM$7+'TUSD BF'!$AM$7+'TUSD CVA'!$AM$7)*1</f>
        <v>117.83242038312405</v>
      </c>
      <c r="AA27" s="6"/>
      <c r="AB27" s="6">
        <f>$K$27*$V$27</f>
        <v>3657.4049999999997</v>
      </c>
      <c r="AC27" s="6">
        <f>$M$27*$W$27</f>
        <v>0</v>
      </c>
      <c r="AD27" s="6">
        <f>$O$27*$X$27</f>
        <v>0</v>
      </c>
      <c r="AE27" s="6">
        <f ca="1">$K$27*$Y$27</f>
        <v>3473.5475949148999</v>
      </c>
      <c r="AF27" s="6">
        <f ca="1">$M$27*$Z$27</f>
        <v>0</v>
      </c>
      <c r="AG27" s="6">
        <f>$O$27*$AA$27</f>
        <v>0</v>
      </c>
    </row>
    <row r="28" spans="1:33" ht="11.25" customHeight="1" x14ac:dyDescent="0.25">
      <c r="A28" s="4" t="s">
        <v>21</v>
      </c>
      <c r="B28" s="4" t="s">
        <v>35</v>
      </c>
      <c r="C28" s="4" t="s">
        <v>36</v>
      </c>
      <c r="D28" s="4" t="s">
        <v>34</v>
      </c>
      <c r="E28" s="4" t="s">
        <v>25</v>
      </c>
      <c r="F28" s="4" t="s">
        <v>56</v>
      </c>
      <c r="G28" s="4" t="s">
        <v>25</v>
      </c>
      <c r="H28" s="4" t="s">
        <v>37</v>
      </c>
      <c r="I28" s="5">
        <v>44470</v>
      </c>
      <c r="J28" s="6">
        <v>110</v>
      </c>
      <c r="K28" s="6">
        <v>55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4" t="s">
        <v>57</v>
      </c>
      <c r="R28" s="4">
        <v>0</v>
      </c>
      <c r="S28" s="6">
        <v>7</v>
      </c>
      <c r="T28" s="6">
        <v>0</v>
      </c>
      <c r="U28" s="6">
        <v>0</v>
      </c>
      <c r="V28" s="6">
        <f>IF(ISERROR(VLOOKUP($S$28,'TAR FIN'!$A$1:$O$86,15,0)),0,VLOOKUP($S$28,'TAR FIN'!$A$1:$O$86,15,0))</f>
        <v>59.47</v>
      </c>
      <c r="W28" s="6">
        <f>IF(ISERROR(VLOOKUP($T$28,'TAR FIN'!$A$1:$O$86,15,0)),0,VLOOKUP($T$28,'TAR FIN'!$A$1:$O$86,15,0))</f>
        <v>0</v>
      </c>
      <c r="X28" s="6">
        <f>IF(ISERROR(VLOOKUP($U$28,'TAR FIN'!$A$1:$O$86,15,0)),0,VLOOKUP($U$28,'TAR FIN'!$A$1:$O$86,15,0))</f>
        <v>0</v>
      </c>
      <c r="Y28" s="6">
        <f ca="1">('TUSD BE'!$AM$5+'TUSD BF'!$AM$5+'TUSD CVA'!$AM$5)*1</f>
        <v>56.480448697803254</v>
      </c>
      <c r="Z28" s="6">
        <f ca="1">('TUSD BE'!$AM$7+'TUSD BF'!$AM$7+'TUSD CVA'!$AM$7)*1</f>
        <v>117.83242038312405</v>
      </c>
      <c r="AA28" s="6"/>
      <c r="AB28" s="6">
        <f>$K$28*$V$28</f>
        <v>3270.85</v>
      </c>
      <c r="AC28" s="6">
        <f>$M$28*$W$28</f>
        <v>0</v>
      </c>
      <c r="AD28" s="6">
        <f>$O$28*$X$28</f>
        <v>0</v>
      </c>
      <c r="AE28" s="6">
        <f ca="1">$K$28*$Y$28</f>
        <v>3106.4246783791791</v>
      </c>
      <c r="AF28" s="6">
        <f ca="1">$M$28*$Z$28</f>
        <v>0</v>
      </c>
      <c r="AG28" s="6">
        <f>$O$28*$AA$28</f>
        <v>0</v>
      </c>
    </row>
    <row r="29" spans="1:33" ht="11.25" customHeight="1" x14ac:dyDescent="0.25">
      <c r="A29" s="4" t="s">
        <v>21</v>
      </c>
      <c r="B29" s="4" t="s">
        <v>35</v>
      </c>
      <c r="C29" s="4" t="s">
        <v>36</v>
      </c>
      <c r="D29" s="4" t="s">
        <v>34</v>
      </c>
      <c r="E29" s="4" t="s">
        <v>25</v>
      </c>
      <c r="F29" s="4" t="s">
        <v>56</v>
      </c>
      <c r="G29" s="4" t="s">
        <v>25</v>
      </c>
      <c r="H29" s="4" t="s">
        <v>37</v>
      </c>
      <c r="I29" s="5">
        <v>44501</v>
      </c>
      <c r="J29" s="6">
        <v>110</v>
      </c>
      <c r="K29" s="6">
        <v>55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4" t="s">
        <v>57</v>
      </c>
      <c r="R29" s="4">
        <v>0</v>
      </c>
      <c r="S29" s="6">
        <v>7</v>
      </c>
      <c r="T29" s="6">
        <v>0</v>
      </c>
      <c r="U29" s="6">
        <v>0</v>
      </c>
      <c r="V29" s="6">
        <f>IF(ISERROR(VLOOKUP($S$29,'TAR FIN'!$A$1:$O$86,15,0)),0,VLOOKUP($S$29,'TAR FIN'!$A$1:$O$86,15,0))</f>
        <v>59.47</v>
      </c>
      <c r="W29" s="6">
        <f>IF(ISERROR(VLOOKUP($T$29,'TAR FIN'!$A$1:$O$86,15,0)),0,VLOOKUP($T$29,'TAR FIN'!$A$1:$O$86,15,0))</f>
        <v>0</v>
      </c>
      <c r="X29" s="6">
        <f>IF(ISERROR(VLOOKUP($U$29,'TAR FIN'!$A$1:$O$86,15,0)),0,VLOOKUP($U$29,'TAR FIN'!$A$1:$O$86,15,0))</f>
        <v>0</v>
      </c>
      <c r="Y29" s="6">
        <f ca="1">('TUSD BE'!$AM$5+'TUSD BF'!$AM$5+'TUSD CVA'!$AM$5)*1</f>
        <v>56.480448697803254</v>
      </c>
      <c r="Z29" s="6">
        <f ca="1">('TUSD BE'!$AM$7+'TUSD BF'!$AM$7+'TUSD CVA'!$AM$7)*1</f>
        <v>117.83242038312405</v>
      </c>
      <c r="AA29" s="6"/>
      <c r="AB29" s="6">
        <f>$K$29*$V$29</f>
        <v>3270.85</v>
      </c>
      <c r="AC29" s="6">
        <f>$M$29*$W$29</f>
        <v>0</v>
      </c>
      <c r="AD29" s="6">
        <f>$O$29*$X$29</f>
        <v>0</v>
      </c>
      <c r="AE29" s="6">
        <f ca="1">$K$29*$Y$29</f>
        <v>3106.4246783791791</v>
      </c>
      <c r="AF29" s="6">
        <f ca="1">$M$29*$Z$29</f>
        <v>0</v>
      </c>
      <c r="AG29" s="6">
        <f>$O$29*$AA$29</f>
        <v>0</v>
      </c>
    </row>
    <row r="30" spans="1:33" ht="11.25" customHeight="1" x14ac:dyDescent="0.25">
      <c r="A30" s="4" t="s">
        <v>21</v>
      </c>
      <c r="B30" s="4" t="s">
        <v>35</v>
      </c>
      <c r="C30" s="4" t="s">
        <v>36</v>
      </c>
      <c r="D30" s="4" t="s">
        <v>34</v>
      </c>
      <c r="E30" s="4" t="s">
        <v>25</v>
      </c>
      <c r="F30" s="4" t="s">
        <v>56</v>
      </c>
      <c r="G30" s="4" t="s">
        <v>25</v>
      </c>
      <c r="H30" s="4" t="s">
        <v>37</v>
      </c>
      <c r="I30" s="5">
        <v>44531</v>
      </c>
      <c r="J30" s="6">
        <v>110</v>
      </c>
      <c r="K30" s="6">
        <v>55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4" t="s">
        <v>57</v>
      </c>
      <c r="R30" s="4">
        <v>0</v>
      </c>
      <c r="S30" s="6">
        <v>7</v>
      </c>
      <c r="T30" s="6">
        <v>0</v>
      </c>
      <c r="U30" s="6">
        <v>0</v>
      </c>
      <c r="V30" s="6">
        <f>IF(ISERROR(VLOOKUP($S$30,'TAR FIN'!$A$1:$O$86,15,0)),0,VLOOKUP($S$30,'TAR FIN'!$A$1:$O$86,15,0))</f>
        <v>59.47</v>
      </c>
      <c r="W30" s="6">
        <f>IF(ISERROR(VLOOKUP($T$30,'TAR FIN'!$A$1:$O$86,15,0)),0,VLOOKUP($T$30,'TAR FIN'!$A$1:$O$86,15,0))</f>
        <v>0</v>
      </c>
      <c r="X30" s="6">
        <f>IF(ISERROR(VLOOKUP($U$30,'TAR FIN'!$A$1:$O$86,15,0)),0,VLOOKUP($U$30,'TAR FIN'!$A$1:$O$86,15,0))</f>
        <v>0</v>
      </c>
      <c r="Y30" s="6">
        <f ca="1">('TUSD BE'!$AM$5+'TUSD BF'!$AM$5+'TUSD CVA'!$AM$5)*1</f>
        <v>56.480448697803254</v>
      </c>
      <c r="Z30" s="6">
        <f ca="1">('TUSD BE'!$AM$7+'TUSD BF'!$AM$7+'TUSD CVA'!$AM$7)*1</f>
        <v>117.83242038312405</v>
      </c>
      <c r="AA30" s="6"/>
      <c r="AB30" s="6">
        <f>$K$30*$V$30</f>
        <v>3270.85</v>
      </c>
      <c r="AC30" s="6">
        <f>$M$30*$W$30</f>
        <v>0</v>
      </c>
      <c r="AD30" s="6">
        <f>$O$30*$X$30</f>
        <v>0</v>
      </c>
      <c r="AE30" s="6">
        <f ca="1">$K$30*$Y$30</f>
        <v>3106.4246783791791</v>
      </c>
      <c r="AF30" s="6">
        <f ca="1">$M$30*$Z$30</f>
        <v>0</v>
      </c>
      <c r="AG30" s="6">
        <f>$O$30*$AA$30</f>
        <v>0</v>
      </c>
    </row>
    <row r="31" spans="1:33" ht="11.25" customHeight="1" x14ac:dyDescent="0.25">
      <c r="A31" s="4" t="s">
        <v>21</v>
      </c>
      <c r="B31" s="4" t="s">
        <v>35</v>
      </c>
      <c r="C31" s="4" t="s">
        <v>36</v>
      </c>
      <c r="D31" s="4" t="s">
        <v>34</v>
      </c>
      <c r="E31" s="4" t="s">
        <v>25</v>
      </c>
      <c r="F31" s="4" t="s">
        <v>56</v>
      </c>
      <c r="G31" s="4" t="s">
        <v>25</v>
      </c>
      <c r="H31" s="4" t="s">
        <v>37</v>
      </c>
      <c r="I31" s="5">
        <v>44562</v>
      </c>
      <c r="J31" s="6">
        <v>110</v>
      </c>
      <c r="K31" s="6">
        <v>55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4" t="s">
        <v>57</v>
      </c>
      <c r="R31" s="4">
        <v>0</v>
      </c>
      <c r="S31" s="6">
        <v>7</v>
      </c>
      <c r="T31" s="6">
        <v>0</v>
      </c>
      <c r="U31" s="6">
        <v>0</v>
      </c>
      <c r="V31" s="6">
        <f>IF(ISERROR(VLOOKUP($S$31,'TAR FIN'!$A$1:$O$86,15,0)),0,VLOOKUP($S$31,'TAR FIN'!$A$1:$O$86,15,0))</f>
        <v>59.47</v>
      </c>
      <c r="W31" s="6">
        <f>IF(ISERROR(VLOOKUP($T$31,'TAR FIN'!$A$1:$O$86,15,0)),0,VLOOKUP($T$31,'TAR FIN'!$A$1:$O$86,15,0))</f>
        <v>0</v>
      </c>
      <c r="X31" s="6">
        <f>IF(ISERROR(VLOOKUP($U$31,'TAR FIN'!$A$1:$O$86,15,0)),0,VLOOKUP($U$31,'TAR FIN'!$A$1:$O$86,15,0))</f>
        <v>0</v>
      </c>
      <c r="Y31" s="6">
        <f ca="1">('TUSD BE'!$AM$5+'TUSD BF'!$AM$5+'TUSD CVA'!$AM$5)*1</f>
        <v>56.480448697803254</v>
      </c>
      <c r="Z31" s="6">
        <f ca="1">('TUSD BE'!$AM$7+'TUSD BF'!$AM$7+'TUSD CVA'!$AM$7)*1</f>
        <v>117.83242038312405</v>
      </c>
      <c r="AA31" s="6"/>
      <c r="AB31" s="6">
        <f>$K$31*$V$31</f>
        <v>3270.85</v>
      </c>
      <c r="AC31" s="6">
        <f>$M$31*$W$31</f>
        <v>0</v>
      </c>
      <c r="AD31" s="6">
        <f>$O$31*$X$31</f>
        <v>0</v>
      </c>
      <c r="AE31" s="6">
        <f ca="1">$K$31*$Y$31</f>
        <v>3106.4246783791791</v>
      </c>
      <c r="AF31" s="6">
        <f ca="1">$M$31*$Z$31</f>
        <v>0</v>
      </c>
      <c r="AG31" s="6">
        <f>$O$31*$AA$31</f>
        <v>0</v>
      </c>
    </row>
    <row r="32" spans="1:33" ht="11.25" customHeight="1" x14ac:dyDescent="0.25">
      <c r="A32" s="4" t="s">
        <v>21</v>
      </c>
      <c r="B32" s="4" t="s">
        <v>35</v>
      </c>
      <c r="C32" s="4" t="s">
        <v>36</v>
      </c>
      <c r="D32" s="4" t="s">
        <v>34</v>
      </c>
      <c r="E32" s="4" t="s">
        <v>25</v>
      </c>
      <c r="F32" s="4" t="s">
        <v>56</v>
      </c>
      <c r="G32" s="4" t="s">
        <v>25</v>
      </c>
      <c r="H32" s="4" t="s">
        <v>37</v>
      </c>
      <c r="I32" s="5">
        <v>44593</v>
      </c>
      <c r="J32" s="6">
        <v>110</v>
      </c>
      <c r="K32" s="6">
        <v>55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4" t="s">
        <v>57</v>
      </c>
      <c r="R32" s="4">
        <v>0</v>
      </c>
      <c r="S32" s="6">
        <v>7</v>
      </c>
      <c r="T32" s="6">
        <v>0</v>
      </c>
      <c r="U32" s="6">
        <v>0</v>
      </c>
      <c r="V32" s="6">
        <f>IF(ISERROR(VLOOKUP($S$32,'TAR FIN'!$A$1:$O$86,15,0)),0,VLOOKUP($S$32,'TAR FIN'!$A$1:$O$86,15,0))</f>
        <v>59.47</v>
      </c>
      <c r="W32" s="6">
        <f>IF(ISERROR(VLOOKUP($T$32,'TAR FIN'!$A$1:$O$86,15,0)),0,VLOOKUP($T$32,'TAR FIN'!$A$1:$O$86,15,0))</f>
        <v>0</v>
      </c>
      <c r="X32" s="6">
        <f>IF(ISERROR(VLOOKUP($U$32,'TAR FIN'!$A$1:$O$86,15,0)),0,VLOOKUP($U$32,'TAR FIN'!$A$1:$O$86,15,0))</f>
        <v>0</v>
      </c>
      <c r="Y32" s="6">
        <f ca="1">('TUSD BE'!$AM$5+'TUSD BF'!$AM$5+'TUSD CVA'!$AM$5)*1</f>
        <v>56.480448697803254</v>
      </c>
      <c r="Z32" s="6">
        <f ca="1">('TUSD BE'!$AM$7+'TUSD BF'!$AM$7+'TUSD CVA'!$AM$7)*1</f>
        <v>117.83242038312405</v>
      </c>
      <c r="AA32" s="6"/>
      <c r="AB32" s="6">
        <f>$K$32*$V$32</f>
        <v>3270.85</v>
      </c>
      <c r="AC32" s="6">
        <f>$M$32*$W$32</f>
        <v>0</v>
      </c>
      <c r="AD32" s="6">
        <f>$O$32*$X$32</f>
        <v>0</v>
      </c>
      <c r="AE32" s="6">
        <f ca="1">$K$32*$Y$32</f>
        <v>3106.4246783791791</v>
      </c>
      <c r="AF32" s="6">
        <f ca="1">$M$32*$Z$32</f>
        <v>0</v>
      </c>
      <c r="AG32" s="6">
        <f>$O$32*$AA$32</f>
        <v>0</v>
      </c>
    </row>
    <row r="33" spans="1:33" ht="11.25" customHeight="1" x14ac:dyDescent="0.25">
      <c r="A33" s="4" t="s">
        <v>21</v>
      </c>
      <c r="B33" s="4" t="s">
        <v>35</v>
      </c>
      <c r="C33" s="4" t="s">
        <v>36</v>
      </c>
      <c r="D33" s="4" t="s">
        <v>34</v>
      </c>
      <c r="E33" s="4" t="s">
        <v>25</v>
      </c>
      <c r="F33" s="4" t="s">
        <v>56</v>
      </c>
      <c r="G33" s="4" t="s">
        <v>25</v>
      </c>
      <c r="H33" s="4" t="s">
        <v>37</v>
      </c>
      <c r="I33" s="5">
        <v>44621</v>
      </c>
      <c r="J33" s="6">
        <v>110</v>
      </c>
      <c r="K33" s="6">
        <v>55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4" t="s">
        <v>57</v>
      </c>
      <c r="R33" s="4">
        <v>0</v>
      </c>
      <c r="S33" s="6">
        <v>7</v>
      </c>
      <c r="T33" s="6">
        <v>0</v>
      </c>
      <c r="U33" s="6">
        <v>0</v>
      </c>
      <c r="V33" s="6">
        <f>IF(ISERROR(VLOOKUP($S$33,'TAR FIN'!$A$1:$O$86,15,0)),0,VLOOKUP($S$33,'TAR FIN'!$A$1:$O$86,15,0))</f>
        <v>59.47</v>
      </c>
      <c r="W33" s="6">
        <f>IF(ISERROR(VLOOKUP($T$33,'TAR FIN'!$A$1:$O$86,15,0)),0,VLOOKUP($T$33,'TAR FIN'!$A$1:$O$86,15,0))</f>
        <v>0</v>
      </c>
      <c r="X33" s="6">
        <f>IF(ISERROR(VLOOKUP($U$33,'TAR FIN'!$A$1:$O$86,15,0)),0,VLOOKUP($U$33,'TAR FIN'!$A$1:$O$86,15,0))</f>
        <v>0</v>
      </c>
      <c r="Y33" s="6">
        <f ca="1">('TUSD BE'!$AM$5+'TUSD BF'!$AM$5+'TUSD CVA'!$AM$5)*1</f>
        <v>56.480448697803254</v>
      </c>
      <c r="Z33" s="6">
        <f ca="1">('TUSD BE'!$AM$7+'TUSD BF'!$AM$7+'TUSD CVA'!$AM$7)*1</f>
        <v>117.83242038312405</v>
      </c>
      <c r="AA33" s="6"/>
      <c r="AB33" s="6">
        <f>$K$33*$V$33</f>
        <v>3270.85</v>
      </c>
      <c r="AC33" s="6">
        <f>$M$33*$W$33</f>
        <v>0</v>
      </c>
      <c r="AD33" s="6">
        <f>$O$33*$X$33</f>
        <v>0</v>
      </c>
      <c r="AE33" s="6">
        <f ca="1">$K$33*$Y$33</f>
        <v>3106.4246783791791</v>
      </c>
      <c r="AF33" s="6">
        <f ca="1">$M$33*$Z$33</f>
        <v>0</v>
      </c>
      <c r="AG33" s="6">
        <f>$O$33*$AA$33</f>
        <v>0</v>
      </c>
    </row>
    <row r="34" spans="1:33" ht="11.25" customHeight="1" x14ac:dyDescent="0.25">
      <c r="A34" s="4" t="s">
        <v>21</v>
      </c>
      <c r="B34" s="4" t="s">
        <v>35</v>
      </c>
      <c r="C34" s="4" t="s">
        <v>36</v>
      </c>
      <c r="D34" s="4" t="s">
        <v>34</v>
      </c>
      <c r="E34" s="4" t="s">
        <v>25</v>
      </c>
      <c r="F34" s="4" t="s">
        <v>56</v>
      </c>
      <c r="G34" s="4" t="s">
        <v>25</v>
      </c>
      <c r="H34" s="4" t="s">
        <v>37</v>
      </c>
      <c r="I34" s="5">
        <v>44652</v>
      </c>
      <c r="J34" s="6">
        <v>110</v>
      </c>
      <c r="K34" s="6">
        <v>55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4" t="s">
        <v>57</v>
      </c>
      <c r="R34" s="4">
        <v>0</v>
      </c>
      <c r="S34" s="6">
        <v>7</v>
      </c>
      <c r="T34" s="6">
        <v>0</v>
      </c>
      <c r="U34" s="6">
        <v>0</v>
      </c>
      <c r="V34" s="6">
        <f>IF(ISERROR(VLOOKUP($S$34,'TAR FIN'!$A$1:$O$86,15,0)),0,VLOOKUP($S$34,'TAR FIN'!$A$1:$O$86,15,0))</f>
        <v>59.47</v>
      </c>
      <c r="W34" s="6">
        <f>IF(ISERROR(VLOOKUP($T$34,'TAR FIN'!$A$1:$O$86,15,0)),0,VLOOKUP($T$34,'TAR FIN'!$A$1:$O$86,15,0))</f>
        <v>0</v>
      </c>
      <c r="X34" s="6">
        <f>IF(ISERROR(VLOOKUP($U$34,'TAR FIN'!$A$1:$O$86,15,0)),0,VLOOKUP($U$34,'TAR FIN'!$A$1:$O$86,15,0))</f>
        <v>0</v>
      </c>
      <c r="Y34" s="6">
        <f ca="1">('TUSD BE'!$AM$5+'TUSD BF'!$AM$5+'TUSD CVA'!$AM$5)*1</f>
        <v>56.480448697803254</v>
      </c>
      <c r="Z34" s="6">
        <f ca="1">('TUSD BE'!$AM$7+'TUSD BF'!$AM$7+'TUSD CVA'!$AM$7)*1</f>
        <v>117.83242038312405</v>
      </c>
      <c r="AA34" s="6"/>
      <c r="AB34" s="6">
        <f>$K$34*$V$34</f>
        <v>3270.85</v>
      </c>
      <c r="AC34" s="6">
        <f>$M$34*$W$34</f>
        <v>0</v>
      </c>
      <c r="AD34" s="6">
        <f>$O$34*$X$34</f>
        <v>0</v>
      </c>
      <c r="AE34" s="6">
        <f ca="1">$K$34*$Y$34</f>
        <v>3106.4246783791791</v>
      </c>
      <c r="AF34" s="6">
        <f ca="1">$M$34*$Z$34</f>
        <v>0</v>
      </c>
      <c r="AG34" s="6">
        <f>$O$34*$AA$34</f>
        <v>0</v>
      </c>
    </row>
    <row r="35" spans="1:33" ht="11.25" customHeight="1" x14ac:dyDescent="0.25">
      <c r="A35" s="4" t="s">
        <v>21</v>
      </c>
      <c r="B35" s="4" t="s">
        <v>35</v>
      </c>
      <c r="C35" s="4" t="s">
        <v>36</v>
      </c>
      <c r="D35" s="4" t="s">
        <v>34</v>
      </c>
      <c r="E35" s="4" t="s">
        <v>25</v>
      </c>
      <c r="F35" s="4" t="s">
        <v>56</v>
      </c>
      <c r="G35" s="4" t="s">
        <v>25</v>
      </c>
      <c r="H35" s="4" t="s">
        <v>37</v>
      </c>
      <c r="I35" s="5">
        <v>44682</v>
      </c>
      <c r="J35" s="6">
        <v>110</v>
      </c>
      <c r="K35" s="6">
        <v>55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4" t="s">
        <v>57</v>
      </c>
      <c r="R35" s="4">
        <v>0</v>
      </c>
      <c r="S35" s="6">
        <v>7</v>
      </c>
      <c r="T35" s="6">
        <v>0</v>
      </c>
      <c r="U35" s="6">
        <v>0</v>
      </c>
      <c r="V35" s="6">
        <f>IF(ISERROR(VLOOKUP($S$35,'TAR FIN'!$A$1:$O$86,15,0)),0,VLOOKUP($S$35,'TAR FIN'!$A$1:$O$86,15,0))</f>
        <v>59.47</v>
      </c>
      <c r="W35" s="6">
        <f>IF(ISERROR(VLOOKUP($T$35,'TAR FIN'!$A$1:$O$86,15,0)),0,VLOOKUP($T$35,'TAR FIN'!$A$1:$O$86,15,0))</f>
        <v>0</v>
      </c>
      <c r="X35" s="6">
        <f>IF(ISERROR(VLOOKUP($U$35,'TAR FIN'!$A$1:$O$86,15,0)),0,VLOOKUP($U$35,'TAR FIN'!$A$1:$O$86,15,0))</f>
        <v>0</v>
      </c>
      <c r="Y35" s="6">
        <f ca="1">('TUSD BE'!$AM$5+'TUSD BF'!$AM$5+'TUSD CVA'!$AM$5)*1</f>
        <v>56.480448697803254</v>
      </c>
      <c r="Z35" s="6">
        <f ca="1">('TUSD BE'!$AM$7+'TUSD BF'!$AM$7+'TUSD CVA'!$AM$7)*1</f>
        <v>117.83242038312405</v>
      </c>
      <c r="AA35" s="6"/>
      <c r="AB35" s="6">
        <f>$K$35*$V$35</f>
        <v>3270.85</v>
      </c>
      <c r="AC35" s="6">
        <f>$M$35*$W$35</f>
        <v>0</v>
      </c>
      <c r="AD35" s="6">
        <f>$O$35*$X$35</f>
        <v>0</v>
      </c>
      <c r="AE35" s="6">
        <f ca="1">$K$35*$Y$35</f>
        <v>3106.4246783791791</v>
      </c>
      <c r="AF35" s="6">
        <f ca="1">$M$35*$Z$35</f>
        <v>0</v>
      </c>
      <c r="AG35" s="6">
        <f>$O$35*$AA$35</f>
        <v>0</v>
      </c>
    </row>
    <row r="36" spans="1:33" ht="11.25" customHeight="1" x14ac:dyDescent="0.25">
      <c r="A36" s="4" t="s">
        <v>21</v>
      </c>
      <c r="B36" s="4" t="s">
        <v>35</v>
      </c>
      <c r="C36" s="4" t="s">
        <v>36</v>
      </c>
      <c r="D36" s="4" t="s">
        <v>34</v>
      </c>
      <c r="E36" s="4" t="s">
        <v>25</v>
      </c>
      <c r="F36" s="4" t="s">
        <v>56</v>
      </c>
      <c r="G36" s="4" t="s">
        <v>25</v>
      </c>
      <c r="H36" s="4" t="s">
        <v>37</v>
      </c>
      <c r="I36" s="5">
        <v>44713</v>
      </c>
      <c r="J36" s="6">
        <v>110</v>
      </c>
      <c r="K36" s="6">
        <v>55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4" t="s">
        <v>57</v>
      </c>
      <c r="R36" s="4">
        <v>0</v>
      </c>
      <c r="S36" s="6">
        <v>7</v>
      </c>
      <c r="T36" s="6">
        <v>0</v>
      </c>
      <c r="U36" s="6">
        <v>0</v>
      </c>
      <c r="V36" s="6">
        <f>IF(ISERROR(VLOOKUP($S$36,'TAR FIN'!$A$1:$O$86,15,0)),0,VLOOKUP($S$36,'TAR FIN'!$A$1:$O$86,15,0))</f>
        <v>59.47</v>
      </c>
      <c r="W36" s="6">
        <f>IF(ISERROR(VLOOKUP($T$36,'TAR FIN'!$A$1:$O$86,15,0)),0,VLOOKUP($T$36,'TAR FIN'!$A$1:$O$86,15,0))</f>
        <v>0</v>
      </c>
      <c r="X36" s="6">
        <f>IF(ISERROR(VLOOKUP($U$36,'TAR FIN'!$A$1:$O$86,15,0)),0,VLOOKUP($U$36,'TAR FIN'!$A$1:$O$86,15,0))</f>
        <v>0</v>
      </c>
      <c r="Y36" s="6">
        <f ca="1">('TUSD BE'!$AM$5+'TUSD BF'!$AM$5+'TUSD CVA'!$AM$5)*1</f>
        <v>56.480448697803254</v>
      </c>
      <c r="Z36" s="6">
        <f ca="1">('TUSD BE'!$AM$7+'TUSD BF'!$AM$7+'TUSD CVA'!$AM$7)*1</f>
        <v>117.83242038312405</v>
      </c>
      <c r="AA36" s="6"/>
      <c r="AB36" s="6">
        <f>$K$36*$V$36</f>
        <v>3270.85</v>
      </c>
      <c r="AC36" s="6">
        <f>$M$36*$W$36</f>
        <v>0</v>
      </c>
      <c r="AD36" s="6">
        <f>$O$36*$X$36</f>
        <v>0</v>
      </c>
      <c r="AE36" s="6">
        <f ca="1">$K$36*$Y$36</f>
        <v>3106.4246783791791</v>
      </c>
      <c r="AF36" s="6">
        <f ca="1">$M$36*$Z$36</f>
        <v>0</v>
      </c>
      <c r="AG36" s="6">
        <f>$O$36*$AA$36</f>
        <v>0</v>
      </c>
    </row>
    <row r="37" spans="1:33" ht="11.25" customHeight="1" x14ac:dyDescent="0.25">
      <c r="A37" s="4" t="s">
        <v>55</v>
      </c>
      <c r="B37" s="4" t="s">
        <v>35</v>
      </c>
      <c r="C37" s="4" t="s">
        <v>36</v>
      </c>
      <c r="D37" s="4" t="s">
        <v>34</v>
      </c>
      <c r="E37" s="4" t="s">
        <v>25</v>
      </c>
      <c r="F37" s="4" t="s">
        <v>56</v>
      </c>
      <c r="G37" s="4" t="s">
        <v>25</v>
      </c>
      <c r="H37" s="4" t="s">
        <v>37</v>
      </c>
      <c r="I37" s="5">
        <v>44743</v>
      </c>
      <c r="J37" s="6">
        <v>110</v>
      </c>
      <c r="K37" s="6">
        <v>55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4" t="s">
        <v>57</v>
      </c>
      <c r="R37" s="4">
        <v>0</v>
      </c>
      <c r="S37" s="6">
        <v>7</v>
      </c>
      <c r="T37" s="6">
        <v>0</v>
      </c>
      <c r="U37" s="6">
        <v>0</v>
      </c>
      <c r="V37" s="6">
        <f>IF(ISERROR(VLOOKUP($S$37,'TAR FIN'!$A$1:$O$86,15,0)),0,VLOOKUP($S$37,'TAR FIN'!$A$1:$O$86,15,0))</f>
        <v>59.47</v>
      </c>
      <c r="W37" s="6">
        <f>IF(ISERROR(VLOOKUP($T$37,'TAR FIN'!$A$1:$O$86,15,0)),0,VLOOKUP($T$37,'TAR FIN'!$A$1:$O$86,15,0))</f>
        <v>0</v>
      </c>
      <c r="X37" s="6">
        <f>IF(ISERROR(VLOOKUP($U$37,'TAR FIN'!$A$1:$O$86,15,0)),0,VLOOKUP($U$37,'TAR FIN'!$A$1:$O$86,15,0))</f>
        <v>0</v>
      </c>
      <c r="Y37" s="6">
        <f ca="1">('TUSD BE'!$AM$5+'TUSD BF'!$AM$5+'TUSD CVA'!$AM$5)*1</f>
        <v>56.480448697803254</v>
      </c>
      <c r="Z37" s="6">
        <f ca="1">('TUSD BE'!$AM$7+'TUSD BF'!$AM$7+'TUSD CVA'!$AM$7)*1</f>
        <v>117.83242038312405</v>
      </c>
      <c r="AA37" s="6"/>
      <c r="AB37" s="6">
        <f>$K$37*$V$37</f>
        <v>3270.85</v>
      </c>
      <c r="AC37" s="6">
        <f>$M$37*$W$37</f>
        <v>0</v>
      </c>
      <c r="AD37" s="6">
        <f>$O$37*$X$37</f>
        <v>0</v>
      </c>
      <c r="AE37" s="6">
        <f ca="1">$K$37*$Y$37</f>
        <v>3106.4246783791791</v>
      </c>
      <c r="AF37" s="6">
        <f ca="1">$M$37*$Z$37</f>
        <v>0</v>
      </c>
      <c r="AG37" s="6">
        <f>$O$37*$AA$37</f>
        <v>0</v>
      </c>
    </row>
    <row r="38" spans="1:33" ht="11.25" customHeight="1" x14ac:dyDescent="0.25">
      <c r="A38" s="4" t="s">
        <v>21</v>
      </c>
      <c r="B38" s="4" t="s">
        <v>35</v>
      </c>
      <c r="C38" s="4" t="s">
        <v>36</v>
      </c>
      <c r="D38" s="4" t="s">
        <v>34</v>
      </c>
      <c r="E38" s="4" t="s">
        <v>25</v>
      </c>
      <c r="F38" s="4" t="s">
        <v>25</v>
      </c>
      <c r="G38" s="4" t="s">
        <v>25</v>
      </c>
      <c r="H38" s="4" t="s">
        <v>38</v>
      </c>
      <c r="I38" s="5">
        <v>44409</v>
      </c>
      <c r="J38" s="6">
        <v>192</v>
      </c>
      <c r="K38" s="6">
        <v>192</v>
      </c>
      <c r="L38" s="6">
        <v>69.471000000000004</v>
      </c>
      <c r="M38" s="6">
        <v>69.471000000000004</v>
      </c>
      <c r="N38" s="6">
        <v>69.471000000000004</v>
      </c>
      <c r="O38" s="6">
        <v>69.471000000000004</v>
      </c>
      <c r="P38" s="6">
        <v>0</v>
      </c>
      <c r="Q38" s="4" t="s">
        <v>26</v>
      </c>
      <c r="R38" s="4">
        <v>0</v>
      </c>
      <c r="S38" s="6">
        <v>1</v>
      </c>
      <c r="T38" s="6">
        <v>27</v>
      </c>
      <c r="U38" s="6">
        <v>73</v>
      </c>
      <c r="V38" s="6">
        <f>IF(ISERROR(VLOOKUP($S$38,'TAR FIN'!$A$1:$O$86,15,0)),0,VLOOKUP($S$38,'TAR FIN'!$A$1:$O$86,15,0))</f>
        <v>22.9</v>
      </c>
      <c r="W38" s="6">
        <f>IF(ISERROR(VLOOKUP($T$38,'TAR FIN'!$A$1:$O$86,15,0)),0,VLOOKUP($T$38,'TAR FIN'!$A$1:$O$86,15,0))</f>
        <v>73.19</v>
      </c>
      <c r="X38" s="6">
        <f>IF(ISERROR(VLOOKUP($U$38,'TAR FIN'!$A$1:$O$86,15,0)),0,VLOOKUP($U$38,'TAR FIN'!$A$1:$O$86,15,0))</f>
        <v>211.71</v>
      </c>
      <c r="Y38" s="6">
        <f ca="1">('TUSD BE'!$AM$6+'TUSD BF'!$AM$6+'TUSD CVA'!$AM$6)*1</f>
        <v>21.733731888847863</v>
      </c>
      <c r="Z38" s="6">
        <f ca="1">('TUSD BE'!$AM$7+'TUSD BF'!$AM$7+'TUSD CVA'!$AM$7)*1</f>
        <v>117.83242038312405</v>
      </c>
      <c r="AA38" s="6">
        <f>('TE BE'!$AB$6+'TE BF'!$AB$6+'TE CVA'!$AB$6)*1</f>
        <v>222.99901551132911</v>
      </c>
      <c r="AB38" s="6">
        <f>$K$38*$V$38</f>
        <v>4396.7999999999993</v>
      </c>
      <c r="AC38" s="6">
        <f>$M$38*$W$38</f>
        <v>5084.5824899999998</v>
      </c>
      <c r="AD38" s="6">
        <f>$O$38*$X$38</f>
        <v>14707.70541</v>
      </c>
      <c r="AE38" s="6">
        <f ca="1">$K$38*$Y$38</f>
        <v>4172.8765226587893</v>
      </c>
      <c r="AF38" s="6">
        <f ca="1">$M$38*$Z$38</f>
        <v>8185.9360764360108</v>
      </c>
      <c r="AG38" s="6">
        <f>$O$38*$AA$38</f>
        <v>15491.964606587546</v>
      </c>
    </row>
    <row r="39" spans="1:33" ht="11.25" customHeight="1" x14ac:dyDescent="0.25">
      <c r="A39" s="4" t="s">
        <v>21</v>
      </c>
      <c r="B39" s="4" t="s">
        <v>35</v>
      </c>
      <c r="C39" s="4" t="s">
        <v>36</v>
      </c>
      <c r="D39" s="4" t="s">
        <v>34</v>
      </c>
      <c r="E39" s="4" t="s">
        <v>25</v>
      </c>
      <c r="F39" s="4" t="s">
        <v>25</v>
      </c>
      <c r="G39" s="4" t="s">
        <v>25</v>
      </c>
      <c r="H39" s="4" t="s">
        <v>38</v>
      </c>
      <c r="I39" s="5">
        <v>44440</v>
      </c>
      <c r="J39" s="6">
        <v>186</v>
      </c>
      <c r="K39" s="6">
        <v>186</v>
      </c>
      <c r="L39" s="6">
        <v>65.379000000000005</v>
      </c>
      <c r="M39" s="6">
        <v>65.379000000000005</v>
      </c>
      <c r="N39" s="6">
        <v>65.379000000000005</v>
      </c>
      <c r="O39" s="6">
        <v>65.379000000000005</v>
      </c>
      <c r="P39" s="6">
        <v>0</v>
      </c>
      <c r="Q39" s="4" t="s">
        <v>26</v>
      </c>
      <c r="R39" s="4">
        <v>0</v>
      </c>
      <c r="S39" s="6">
        <v>1</v>
      </c>
      <c r="T39" s="6">
        <v>27</v>
      </c>
      <c r="U39" s="6">
        <v>73</v>
      </c>
      <c r="V39" s="6">
        <f>IF(ISERROR(VLOOKUP($S$39,'TAR FIN'!$A$1:$O$86,15,0)),0,VLOOKUP($S$39,'TAR FIN'!$A$1:$O$86,15,0))</f>
        <v>22.9</v>
      </c>
      <c r="W39" s="6">
        <f>IF(ISERROR(VLOOKUP($T$39,'TAR FIN'!$A$1:$O$86,15,0)),0,VLOOKUP($T$39,'TAR FIN'!$A$1:$O$86,15,0))</f>
        <v>73.19</v>
      </c>
      <c r="X39" s="6">
        <f>IF(ISERROR(VLOOKUP($U$39,'TAR FIN'!$A$1:$O$86,15,0)),0,VLOOKUP($U$39,'TAR FIN'!$A$1:$O$86,15,0))</f>
        <v>211.71</v>
      </c>
      <c r="Y39" s="6">
        <f ca="1">('TUSD BE'!$AM$6+'TUSD BF'!$AM$6+'TUSD CVA'!$AM$6)*1</f>
        <v>21.733731888847863</v>
      </c>
      <c r="Z39" s="6">
        <f ca="1">('TUSD BE'!$AM$7+'TUSD BF'!$AM$7+'TUSD CVA'!$AM$7)*1</f>
        <v>117.83242038312405</v>
      </c>
      <c r="AA39" s="6">
        <f>('TE BE'!$AB$6+'TE BF'!$AB$6+'TE CVA'!$AB$6)*1</f>
        <v>222.99901551132911</v>
      </c>
      <c r="AB39" s="6">
        <f>$K$39*$V$39</f>
        <v>4259.3999999999996</v>
      </c>
      <c r="AC39" s="6">
        <f>$M$39*$W$39</f>
        <v>4785.0890100000006</v>
      </c>
      <c r="AD39" s="6">
        <f>$O$39*$X$39</f>
        <v>13841.388090000002</v>
      </c>
      <c r="AE39" s="6">
        <f ca="1">$K$39*$Y$39</f>
        <v>4042.4741313257027</v>
      </c>
      <c r="AF39" s="6">
        <f ca="1">$M$39*$Z$39</f>
        <v>7703.7658122282674</v>
      </c>
      <c r="AG39" s="6">
        <f>$O$39*$AA$39</f>
        <v>14579.452635115187</v>
      </c>
    </row>
    <row r="40" spans="1:33" ht="11.25" customHeight="1" x14ac:dyDescent="0.25">
      <c r="A40" s="4" t="s">
        <v>21</v>
      </c>
      <c r="B40" s="4" t="s">
        <v>35</v>
      </c>
      <c r="C40" s="4" t="s">
        <v>36</v>
      </c>
      <c r="D40" s="4" t="s">
        <v>34</v>
      </c>
      <c r="E40" s="4" t="s">
        <v>25</v>
      </c>
      <c r="F40" s="4" t="s">
        <v>25</v>
      </c>
      <c r="G40" s="4" t="s">
        <v>25</v>
      </c>
      <c r="H40" s="4" t="s">
        <v>38</v>
      </c>
      <c r="I40" s="5">
        <v>44470</v>
      </c>
      <c r="J40" s="6">
        <v>191</v>
      </c>
      <c r="K40" s="6">
        <v>191</v>
      </c>
      <c r="L40" s="6">
        <v>69.84</v>
      </c>
      <c r="M40" s="6">
        <v>69.84</v>
      </c>
      <c r="N40" s="6">
        <v>69.84</v>
      </c>
      <c r="O40" s="6">
        <v>69.84</v>
      </c>
      <c r="P40" s="6">
        <v>0</v>
      </c>
      <c r="Q40" s="4" t="s">
        <v>26</v>
      </c>
      <c r="R40" s="4">
        <v>0</v>
      </c>
      <c r="S40" s="6">
        <v>1</v>
      </c>
      <c r="T40" s="6">
        <v>27</v>
      </c>
      <c r="U40" s="6">
        <v>73</v>
      </c>
      <c r="V40" s="6">
        <f>IF(ISERROR(VLOOKUP($S$40,'TAR FIN'!$A$1:$O$86,15,0)),0,VLOOKUP($S$40,'TAR FIN'!$A$1:$O$86,15,0))</f>
        <v>22.9</v>
      </c>
      <c r="W40" s="6">
        <f>IF(ISERROR(VLOOKUP($T$40,'TAR FIN'!$A$1:$O$86,15,0)),0,VLOOKUP($T$40,'TAR FIN'!$A$1:$O$86,15,0))</f>
        <v>73.19</v>
      </c>
      <c r="X40" s="6">
        <f>IF(ISERROR(VLOOKUP($U$40,'TAR FIN'!$A$1:$O$86,15,0)),0,VLOOKUP($U$40,'TAR FIN'!$A$1:$O$86,15,0))</f>
        <v>211.71</v>
      </c>
      <c r="Y40" s="6">
        <f ca="1">('TUSD BE'!$AM$6+'TUSD BF'!$AM$6+'TUSD CVA'!$AM$6)*1</f>
        <v>21.733731888847863</v>
      </c>
      <c r="Z40" s="6">
        <f ca="1">('TUSD BE'!$AM$7+'TUSD BF'!$AM$7+'TUSD CVA'!$AM$7)*1</f>
        <v>117.83242038312405</v>
      </c>
      <c r="AA40" s="6">
        <f>('TE BE'!$AB$6+'TE BF'!$AB$6+'TE CVA'!$AB$6)*1</f>
        <v>222.99901551132911</v>
      </c>
      <c r="AB40" s="6">
        <f>$K$40*$V$40</f>
        <v>4373.8999999999996</v>
      </c>
      <c r="AC40" s="6">
        <f>$M$40*$W$40</f>
        <v>5111.5896000000002</v>
      </c>
      <c r="AD40" s="6">
        <f>$O$40*$X$40</f>
        <v>14785.826400000002</v>
      </c>
      <c r="AE40" s="6">
        <f ca="1">$K$40*$Y$40</f>
        <v>4151.1427907699417</v>
      </c>
      <c r="AF40" s="6">
        <f ca="1">$M$40*$Z$40</f>
        <v>8229.416239557384</v>
      </c>
      <c r="AG40" s="6">
        <f>$O$40*$AA$40</f>
        <v>15574.251243311226</v>
      </c>
    </row>
    <row r="41" spans="1:33" ht="11.25" customHeight="1" x14ac:dyDescent="0.25">
      <c r="A41" s="4" t="s">
        <v>21</v>
      </c>
      <c r="B41" s="4" t="s">
        <v>35</v>
      </c>
      <c r="C41" s="4" t="s">
        <v>36</v>
      </c>
      <c r="D41" s="4" t="s">
        <v>34</v>
      </c>
      <c r="E41" s="4" t="s">
        <v>25</v>
      </c>
      <c r="F41" s="4" t="s">
        <v>25</v>
      </c>
      <c r="G41" s="4" t="s">
        <v>25</v>
      </c>
      <c r="H41" s="4" t="s">
        <v>38</v>
      </c>
      <c r="I41" s="5">
        <v>44501</v>
      </c>
      <c r="J41" s="6">
        <v>186</v>
      </c>
      <c r="K41" s="6">
        <v>186</v>
      </c>
      <c r="L41" s="6">
        <v>68.825000000000003</v>
      </c>
      <c r="M41" s="6">
        <v>68.825000000000003</v>
      </c>
      <c r="N41" s="6">
        <v>68.825000000000003</v>
      </c>
      <c r="O41" s="6">
        <v>68.825000000000003</v>
      </c>
      <c r="P41" s="6">
        <v>0</v>
      </c>
      <c r="Q41" s="4" t="s">
        <v>26</v>
      </c>
      <c r="R41" s="4">
        <v>0</v>
      </c>
      <c r="S41" s="6">
        <v>1</v>
      </c>
      <c r="T41" s="6">
        <v>27</v>
      </c>
      <c r="U41" s="6">
        <v>73</v>
      </c>
      <c r="V41" s="6">
        <f>IF(ISERROR(VLOOKUP($S$41,'TAR FIN'!$A$1:$O$86,15,0)),0,VLOOKUP($S$41,'TAR FIN'!$A$1:$O$86,15,0))</f>
        <v>22.9</v>
      </c>
      <c r="W41" s="6">
        <f>IF(ISERROR(VLOOKUP($T$41,'TAR FIN'!$A$1:$O$86,15,0)),0,VLOOKUP($T$41,'TAR FIN'!$A$1:$O$86,15,0))</f>
        <v>73.19</v>
      </c>
      <c r="X41" s="6">
        <f>IF(ISERROR(VLOOKUP($U$41,'TAR FIN'!$A$1:$O$86,15,0)),0,VLOOKUP($U$41,'TAR FIN'!$A$1:$O$86,15,0))</f>
        <v>211.71</v>
      </c>
      <c r="Y41" s="6">
        <f ca="1">('TUSD BE'!$AM$6+'TUSD BF'!$AM$6+'TUSD CVA'!$AM$6)*1</f>
        <v>21.733731888847863</v>
      </c>
      <c r="Z41" s="6">
        <f ca="1">('TUSD BE'!$AM$7+'TUSD BF'!$AM$7+'TUSD CVA'!$AM$7)*1</f>
        <v>117.83242038312405</v>
      </c>
      <c r="AA41" s="6">
        <f>('TE BE'!$AB$6+'TE BF'!$AB$6+'TE CVA'!$AB$6)*1</f>
        <v>222.99901551132911</v>
      </c>
      <c r="AB41" s="6">
        <f>$K$41*$V$41</f>
        <v>4259.3999999999996</v>
      </c>
      <c r="AC41" s="6">
        <f>$M$41*$W$41</f>
        <v>5037.3017499999996</v>
      </c>
      <c r="AD41" s="6">
        <f>$O$41*$X$41</f>
        <v>14570.940750000002</v>
      </c>
      <c r="AE41" s="6">
        <f ca="1">$K$41*$Y$41</f>
        <v>4042.4741313257027</v>
      </c>
      <c r="AF41" s="6">
        <f ca="1">$M$41*$Z$41</f>
        <v>8109.8163328685132</v>
      </c>
      <c r="AG41" s="6">
        <f>$O$41*$AA$41</f>
        <v>15347.907242567226</v>
      </c>
    </row>
    <row r="42" spans="1:33" ht="11.25" customHeight="1" x14ac:dyDescent="0.25">
      <c r="A42" s="4" t="s">
        <v>21</v>
      </c>
      <c r="B42" s="4" t="s">
        <v>35</v>
      </c>
      <c r="C42" s="4" t="s">
        <v>36</v>
      </c>
      <c r="D42" s="4" t="s">
        <v>34</v>
      </c>
      <c r="E42" s="4" t="s">
        <v>25</v>
      </c>
      <c r="F42" s="4" t="s">
        <v>25</v>
      </c>
      <c r="G42" s="4" t="s">
        <v>25</v>
      </c>
      <c r="H42" s="4" t="s">
        <v>38</v>
      </c>
      <c r="I42" s="5">
        <v>44531</v>
      </c>
      <c r="J42" s="6">
        <v>188</v>
      </c>
      <c r="K42" s="6">
        <v>188</v>
      </c>
      <c r="L42" s="6">
        <v>53.982999999999997</v>
      </c>
      <c r="M42" s="6">
        <v>53.982999999999997</v>
      </c>
      <c r="N42" s="6">
        <v>53.982999999999997</v>
      </c>
      <c r="O42" s="6">
        <v>53.982999999999997</v>
      </c>
      <c r="P42" s="6">
        <v>0</v>
      </c>
      <c r="Q42" s="4" t="s">
        <v>26</v>
      </c>
      <c r="R42" s="4">
        <v>0</v>
      </c>
      <c r="S42" s="6">
        <v>1</v>
      </c>
      <c r="T42" s="6">
        <v>27</v>
      </c>
      <c r="U42" s="6">
        <v>73</v>
      </c>
      <c r="V42" s="6">
        <f>IF(ISERROR(VLOOKUP($S$42,'TAR FIN'!$A$1:$O$86,15,0)),0,VLOOKUP($S$42,'TAR FIN'!$A$1:$O$86,15,0))</f>
        <v>22.9</v>
      </c>
      <c r="W42" s="6">
        <f>IF(ISERROR(VLOOKUP($T$42,'TAR FIN'!$A$1:$O$86,15,0)),0,VLOOKUP($T$42,'TAR FIN'!$A$1:$O$86,15,0))</f>
        <v>73.19</v>
      </c>
      <c r="X42" s="6">
        <f>IF(ISERROR(VLOOKUP($U$42,'TAR FIN'!$A$1:$O$86,15,0)),0,VLOOKUP($U$42,'TAR FIN'!$A$1:$O$86,15,0))</f>
        <v>211.71</v>
      </c>
      <c r="Y42" s="6">
        <f ca="1">('TUSD BE'!$AM$6+'TUSD BF'!$AM$6+'TUSD CVA'!$AM$6)*1</f>
        <v>21.733731888847863</v>
      </c>
      <c r="Z42" s="6">
        <f ca="1">('TUSD BE'!$AM$7+'TUSD BF'!$AM$7+'TUSD CVA'!$AM$7)*1</f>
        <v>117.83242038312405</v>
      </c>
      <c r="AA42" s="6">
        <f>('TE BE'!$AB$6+'TE BF'!$AB$6+'TE CVA'!$AB$6)*1</f>
        <v>222.99901551132911</v>
      </c>
      <c r="AB42" s="6">
        <f>$K$42*$V$42</f>
        <v>4305.2</v>
      </c>
      <c r="AC42" s="6">
        <f>$M$42*$W$42</f>
        <v>3951.0157699999995</v>
      </c>
      <c r="AD42" s="6">
        <f>$O$42*$X$42</f>
        <v>11428.74093</v>
      </c>
      <c r="AE42" s="6">
        <f ca="1">$K$42*$Y$42</f>
        <v>4085.9415951033984</v>
      </c>
      <c r="AF42" s="6">
        <f ca="1">$M$42*$Z$42</f>
        <v>6360.9475495421848</v>
      </c>
      <c r="AG42" s="6">
        <f>$O$42*$AA$42</f>
        <v>12038.155854348079</v>
      </c>
    </row>
    <row r="43" spans="1:33" ht="11.25" customHeight="1" x14ac:dyDescent="0.25">
      <c r="A43" s="4" t="s">
        <v>21</v>
      </c>
      <c r="B43" s="4" t="s">
        <v>35</v>
      </c>
      <c r="C43" s="4" t="s">
        <v>36</v>
      </c>
      <c r="D43" s="4" t="s">
        <v>34</v>
      </c>
      <c r="E43" s="4" t="s">
        <v>25</v>
      </c>
      <c r="F43" s="4" t="s">
        <v>25</v>
      </c>
      <c r="G43" s="4" t="s">
        <v>25</v>
      </c>
      <c r="H43" s="4" t="s">
        <v>38</v>
      </c>
      <c r="I43" s="5">
        <v>44562</v>
      </c>
      <c r="J43" s="6">
        <v>193</v>
      </c>
      <c r="K43" s="6">
        <v>193</v>
      </c>
      <c r="L43" s="6">
        <v>52.811999999999998</v>
      </c>
      <c r="M43" s="6">
        <v>52.811999999999998</v>
      </c>
      <c r="N43" s="6">
        <v>52.811999999999998</v>
      </c>
      <c r="O43" s="6">
        <v>52.811999999999998</v>
      </c>
      <c r="P43" s="6">
        <v>0</v>
      </c>
      <c r="Q43" s="4" t="s">
        <v>26</v>
      </c>
      <c r="R43" s="4">
        <v>0</v>
      </c>
      <c r="S43" s="6">
        <v>1</v>
      </c>
      <c r="T43" s="6">
        <v>27</v>
      </c>
      <c r="U43" s="6">
        <v>73</v>
      </c>
      <c r="V43" s="6">
        <f>IF(ISERROR(VLOOKUP($S$43,'TAR FIN'!$A$1:$O$86,15,0)),0,VLOOKUP($S$43,'TAR FIN'!$A$1:$O$86,15,0))</f>
        <v>22.9</v>
      </c>
      <c r="W43" s="6">
        <f>IF(ISERROR(VLOOKUP($T$43,'TAR FIN'!$A$1:$O$86,15,0)),0,VLOOKUP($T$43,'TAR FIN'!$A$1:$O$86,15,0))</f>
        <v>73.19</v>
      </c>
      <c r="X43" s="6">
        <f>IF(ISERROR(VLOOKUP($U$43,'TAR FIN'!$A$1:$O$86,15,0)),0,VLOOKUP($U$43,'TAR FIN'!$A$1:$O$86,15,0))</f>
        <v>211.71</v>
      </c>
      <c r="Y43" s="6">
        <f ca="1">('TUSD BE'!$AM$6+'TUSD BF'!$AM$6+'TUSD CVA'!$AM$6)*1</f>
        <v>21.733731888847863</v>
      </c>
      <c r="Z43" s="6">
        <f ca="1">('TUSD BE'!$AM$7+'TUSD BF'!$AM$7+'TUSD CVA'!$AM$7)*1</f>
        <v>117.83242038312405</v>
      </c>
      <c r="AA43" s="6">
        <f>('TE BE'!$AB$6+'TE BF'!$AB$6+'TE CVA'!$AB$6)*1</f>
        <v>222.99901551132911</v>
      </c>
      <c r="AB43" s="6">
        <f>$K$43*$V$43</f>
        <v>4419.7</v>
      </c>
      <c r="AC43" s="6">
        <f>$M$43*$W$43</f>
        <v>3865.3102799999997</v>
      </c>
      <c r="AD43" s="6">
        <f>$O$43*$X$43</f>
        <v>11180.828519999999</v>
      </c>
      <c r="AE43" s="6">
        <f ca="1">$K$43*$Y$43</f>
        <v>4194.6102545476379</v>
      </c>
      <c r="AF43" s="6">
        <f ca="1">$M$43*$Z$43</f>
        <v>6222.9657852735472</v>
      </c>
      <c r="AG43" s="6">
        <f>$O$43*$AA$43</f>
        <v>11777.024007184313</v>
      </c>
    </row>
    <row r="44" spans="1:33" ht="11.25" customHeight="1" x14ac:dyDescent="0.25">
      <c r="A44" s="4" t="s">
        <v>21</v>
      </c>
      <c r="B44" s="4" t="s">
        <v>35</v>
      </c>
      <c r="C44" s="4" t="s">
        <v>36</v>
      </c>
      <c r="D44" s="4" t="s">
        <v>34</v>
      </c>
      <c r="E44" s="4" t="s">
        <v>25</v>
      </c>
      <c r="F44" s="4" t="s">
        <v>25</v>
      </c>
      <c r="G44" s="4" t="s">
        <v>25</v>
      </c>
      <c r="H44" s="4" t="s">
        <v>38</v>
      </c>
      <c r="I44" s="5">
        <v>44593</v>
      </c>
      <c r="J44" s="6">
        <v>194</v>
      </c>
      <c r="K44" s="6">
        <v>194</v>
      </c>
      <c r="L44" s="6">
        <v>64.382000000000005</v>
      </c>
      <c r="M44" s="6">
        <v>64.382000000000005</v>
      </c>
      <c r="N44" s="6">
        <v>64.382000000000005</v>
      </c>
      <c r="O44" s="6">
        <v>64.382000000000005</v>
      </c>
      <c r="P44" s="6">
        <v>0</v>
      </c>
      <c r="Q44" s="4" t="s">
        <v>26</v>
      </c>
      <c r="R44" s="4">
        <v>0</v>
      </c>
      <c r="S44" s="6">
        <v>1</v>
      </c>
      <c r="T44" s="6">
        <v>27</v>
      </c>
      <c r="U44" s="6">
        <v>73</v>
      </c>
      <c r="V44" s="6">
        <f>IF(ISERROR(VLOOKUP($S$44,'TAR FIN'!$A$1:$O$86,15,0)),0,VLOOKUP($S$44,'TAR FIN'!$A$1:$O$86,15,0))</f>
        <v>22.9</v>
      </c>
      <c r="W44" s="6">
        <f>IF(ISERROR(VLOOKUP($T$44,'TAR FIN'!$A$1:$O$86,15,0)),0,VLOOKUP($T$44,'TAR FIN'!$A$1:$O$86,15,0))</f>
        <v>73.19</v>
      </c>
      <c r="X44" s="6">
        <f>IF(ISERROR(VLOOKUP($U$44,'TAR FIN'!$A$1:$O$86,15,0)),0,VLOOKUP($U$44,'TAR FIN'!$A$1:$O$86,15,0))</f>
        <v>211.71</v>
      </c>
      <c r="Y44" s="6">
        <f ca="1">('TUSD BE'!$AM$6+'TUSD BF'!$AM$6+'TUSD CVA'!$AM$6)*1</f>
        <v>21.733731888847863</v>
      </c>
      <c r="Z44" s="6">
        <f ca="1">('TUSD BE'!$AM$7+'TUSD BF'!$AM$7+'TUSD CVA'!$AM$7)*1</f>
        <v>117.83242038312405</v>
      </c>
      <c r="AA44" s="6">
        <f>('TE BE'!$AB$6+'TE BF'!$AB$6+'TE CVA'!$AB$6)*1</f>
        <v>222.99901551132911</v>
      </c>
      <c r="AB44" s="6">
        <f>$K$44*$V$44</f>
        <v>4442.5999999999995</v>
      </c>
      <c r="AC44" s="6">
        <f>$M$44*$W$44</f>
        <v>4712.1185800000003</v>
      </c>
      <c r="AD44" s="6">
        <f>$O$44*$X$44</f>
        <v>13630.313220000002</v>
      </c>
      <c r="AE44" s="6">
        <f ca="1">$K$44*$Y$44</f>
        <v>4216.3439864364855</v>
      </c>
      <c r="AF44" s="6">
        <f ca="1">$M$44*$Z$44</f>
        <v>7586.2868891062926</v>
      </c>
      <c r="AG44" s="6">
        <f>$O$44*$AA$44</f>
        <v>14357.122616650391</v>
      </c>
    </row>
    <row r="45" spans="1:33" ht="11.25" customHeight="1" x14ac:dyDescent="0.25">
      <c r="A45" s="4" t="s">
        <v>21</v>
      </c>
      <c r="B45" s="4" t="s">
        <v>35</v>
      </c>
      <c r="C45" s="4" t="s">
        <v>36</v>
      </c>
      <c r="D45" s="4" t="s">
        <v>34</v>
      </c>
      <c r="E45" s="4" t="s">
        <v>25</v>
      </c>
      <c r="F45" s="4" t="s">
        <v>25</v>
      </c>
      <c r="G45" s="4" t="s">
        <v>25</v>
      </c>
      <c r="H45" s="4" t="s">
        <v>38</v>
      </c>
      <c r="I45" s="5">
        <v>44621</v>
      </c>
      <c r="J45" s="6">
        <v>199</v>
      </c>
      <c r="K45" s="6">
        <v>199</v>
      </c>
      <c r="L45" s="6">
        <v>73.945999999999998</v>
      </c>
      <c r="M45" s="6">
        <v>73.945999999999998</v>
      </c>
      <c r="N45" s="6">
        <v>73.945999999999998</v>
      </c>
      <c r="O45" s="6">
        <v>73.945999999999998</v>
      </c>
      <c r="P45" s="6">
        <v>0</v>
      </c>
      <c r="Q45" s="4" t="s">
        <v>26</v>
      </c>
      <c r="R45" s="4">
        <v>0</v>
      </c>
      <c r="S45" s="6">
        <v>1</v>
      </c>
      <c r="T45" s="6">
        <v>27</v>
      </c>
      <c r="U45" s="6">
        <v>73</v>
      </c>
      <c r="V45" s="6">
        <f>IF(ISERROR(VLOOKUP($S$45,'TAR FIN'!$A$1:$O$86,15,0)),0,VLOOKUP($S$45,'TAR FIN'!$A$1:$O$86,15,0))</f>
        <v>22.9</v>
      </c>
      <c r="W45" s="6">
        <f>IF(ISERROR(VLOOKUP($T$45,'TAR FIN'!$A$1:$O$86,15,0)),0,VLOOKUP($T$45,'TAR FIN'!$A$1:$O$86,15,0))</f>
        <v>73.19</v>
      </c>
      <c r="X45" s="6">
        <f>IF(ISERROR(VLOOKUP($U$45,'TAR FIN'!$A$1:$O$86,15,0)),0,VLOOKUP($U$45,'TAR FIN'!$A$1:$O$86,15,0))</f>
        <v>211.71</v>
      </c>
      <c r="Y45" s="6">
        <f ca="1">('TUSD BE'!$AM$6+'TUSD BF'!$AM$6+'TUSD CVA'!$AM$6)*1</f>
        <v>21.733731888847863</v>
      </c>
      <c r="Z45" s="6">
        <f ca="1">('TUSD BE'!$AM$7+'TUSD BF'!$AM$7+'TUSD CVA'!$AM$7)*1</f>
        <v>117.83242038312405</v>
      </c>
      <c r="AA45" s="6">
        <f>('TE BE'!$AB$6+'TE BF'!$AB$6+'TE CVA'!$AB$6)*1</f>
        <v>222.99901551132911</v>
      </c>
      <c r="AB45" s="6">
        <f>$K$45*$V$45</f>
        <v>4557.0999999999995</v>
      </c>
      <c r="AC45" s="6">
        <f>$M$45*$W$45</f>
        <v>5412.1077399999995</v>
      </c>
      <c r="AD45" s="6">
        <f>$O$45*$X$45</f>
        <v>15655.10766</v>
      </c>
      <c r="AE45" s="6">
        <f ca="1">$K$45*$Y$45</f>
        <v>4325.0126458807244</v>
      </c>
      <c r="AF45" s="6">
        <f ca="1">$M$45*$Z$45</f>
        <v>8713.23615765049</v>
      </c>
      <c r="AG45" s="6">
        <f>$O$45*$AA$45</f>
        <v>16489.885201000743</v>
      </c>
    </row>
    <row r="46" spans="1:33" ht="11.25" customHeight="1" x14ac:dyDescent="0.25">
      <c r="A46" s="4" t="s">
        <v>21</v>
      </c>
      <c r="B46" s="4" t="s">
        <v>35</v>
      </c>
      <c r="C46" s="4" t="s">
        <v>36</v>
      </c>
      <c r="D46" s="4" t="s">
        <v>34</v>
      </c>
      <c r="E46" s="4" t="s">
        <v>25</v>
      </c>
      <c r="F46" s="4" t="s">
        <v>25</v>
      </c>
      <c r="G46" s="4" t="s">
        <v>25</v>
      </c>
      <c r="H46" s="4" t="s">
        <v>38</v>
      </c>
      <c r="I46" s="5">
        <v>44652</v>
      </c>
      <c r="J46" s="6">
        <v>195</v>
      </c>
      <c r="K46" s="6">
        <v>195</v>
      </c>
      <c r="L46" s="6">
        <v>71.290999999999997</v>
      </c>
      <c r="M46" s="6">
        <v>71.290999999999997</v>
      </c>
      <c r="N46" s="6">
        <v>71.290999999999997</v>
      </c>
      <c r="O46" s="6">
        <v>71.290999999999997</v>
      </c>
      <c r="P46" s="6">
        <v>0</v>
      </c>
      <c r="Q46" s="4" t="s">
        <v>26</v>
      </c>
      <c r="R46" s="4">
        <v>0</v>
      </c>
      <c r="S46" s="6">
        <v>1</v>
      </c>
      <c r="T46" s="6">
        <v>27</v>
      </c>
      <c r="U46" s="6">
        <v>73</v>
      </c>
      <c r="V46" s="6">
        <f>IF(ISERROR(VLOOKUP($S$46,'TAR FIN'!$A$1:$O$86,15,0)),0,VLOOKUP($S$46,'TAR FIN'!$A$1:$O$86,15,0))</f>
        <v>22.9</v>
      </c>
      <c r="W46" s="6">
        <f>IF(ISERROR(VLOOKUP($T$46,'TAR FIN'!$A$1:$O$86,15,0)),0,VLOOKUP($T$46,'TAR FIN'!$A$1:$O$86,15,0))</f>
        <v>73.19</v>
      </c>
      <c r="X46" s="6">
        <f>IF(ISERROR(VLOOKUP($U$46,'TAR FIN'!$A$1:$O$86,15,0)),0,VLOOKUP($U$46,'TAR FIN'!$A$1:$O$86,15,0))</f>
        <v>211.71</v>
      </c>
      <c r="Y46" s="6">
        <f ca="1">('TUSD BE'!$AM$6+'TUSD BF'!$AM$6+'TUSD CVA'!$AM$6)*1</f>
        <v>21.733731888847863</v>
      </c>
      <c r="Z46" s="6">
        <f ca="1">('TUSD BE'!$AM$7+'TUSD BF'!$AM$7+'TUSD CVA'!$AM$7)*1</f>
        <v>117.83242038312405</v>
      </c>
      <c r="AA46" s="6">
        <f>('TE BE'!$AB$6+'TE BF'!$AB$6+'TE CVA'!$AB$6)*1</f>
        <v>222.99901551132911</v>
      </c>
      <c r="AB46" s="6">
        <f>$K$46*$V$46</f>
        <v>4465.5</v>
      </c>
      <c r="AC46" s="6">
        <f>$M$46*$W$46</f>
        <v>5217.7882899999995</v>
      </c>
      <c r="AD46" s="6">
        <f>$O$46*$X$46</f>
        <v>15093.017610000001</v>
      </c>
      <c r="AE46" s="6">
        <f ca="1">$K$46*$Y$46</f>
        <v>4238.0777183253331</v>
      </c>
      <c r="AF46" s="6">
        <f ca="1">$M$46*$Z$46</f>
        <v>8400.3910815332965</v>
      </c>
      <c r="AG46" s="6">
        <f>$O$46*$AA$46</f>
        <v>15897.822814818162</v>
      </c>
    </row>
    <row r="47" spans="1:33" ht="11.25" customHeight="1" x14ac:dyDescent="0.25">
      <c r="A47" s="4" t="s">
        <v>21</v>
      </c>
      <c r="B47" s="4" t="s">
        <v>35</v>
      </c>
      <c r="C47" s="4" t="s">
        <v>36</v>
      </c>
      <c r="D47" s="4" t="s">
        <v>34</v>
      </c>
      <c r="E47" s="4" t="s">
        <v>25</v>
      </c>
      <c r="F47" s="4" t="s">
        <v>25</v>
      </c>
      <c r="G47" s="4" t="s">
        <v>25</v>
      </c>
      <c r="H47" s="4" t="s">
        <v>38</v>
      </c>
      <c r="I47" s="5">
        <v>44682</v>
      </c>
      <c r="J47" s="6">
        <v>194</v>
      </c>
      <c r="K47" s="6">
        <v>194</v>
      </c>
      <c r="L47" s="6">
        <v>71.894999999999996</v>
      </c>
      <c r="M47" s="6">
        <v>71.894999999999996</v>
      </c>
      <c r="N47" s="6">
        <v>71.894999999999996</v>
      </c>
      <c r="O47" s="6">
        <v>71.894999999999996</v>
      </c>
      <c r="P47" s="6">
        <v>0</v>
      </c>
      <c r="Q47" s="4" t="s">
        <v>26</v>
      </c>
      <c r="R47" s="4">
        <v>0</v>
      </c>
      <c r="S47" s="6">
        <v>1</v>
      </c>
      <c r="T47" s="6">
        <v>27</v>
      </c>
      <c r="U47" s="6">
        <v>73</v>
      </c>
      <c r="V47" s="6">
        <f>IF(ISERROR(VLOOKUP($S$47,'TAR FIN'!$A$1:$O$86,15,0)),0,VLOOKUP($S$47,'TAR FIN'!$A$1:$O$86,15,0))</f>
        <v>22.9</v>
      </c>
      <c r="W47" s="6">
        <f>IF(ISERROR(VLOOKUP($T$47,'TAR FIN'!$A$1:$O$86,15,0)),0,VLOOKUP($T$47,'TAR FIN'!$A$1:$O$86,15,0))</f>
        <v>73.19</v>
      </c>
      <c r="X47" s="6">
        <f>IF(ISERROR(VLOOKUP($U$47,'TAR FIN'!$A$1:$O$86,15,0)),0,VLOOKUP($U$47,'TAR FIN'!$A$1:$O$86,15,0))</f>
        <v>211.71</v>
      </c>
      <c r="Y47" s="6">
        <f ca="1">('TUSD BE'!$AM$6+'TUSD BF'!$AM$6+'TUSD CVA'!$AM$6)*1</f>
        <v>21.733731888847863</v>
      </c>
      <c r="Z47" s="6">
        <f ca="1">('TUSD BE'!$AM$7+'TUSD BF'!$AM$7+'TUSD CVA'!$AM$7)*1</f>
        <v>117.83242038312405</v>
      </c>
      <c r="AA47" s="6">
        <f>('TE BE'!$AB$6+'TE BF'!$AB$6+'TE CVA'!$AB$6)*1</f>
        <v>222.99901551132911</v>
      </c>
      <c r="AB47" s="6">
        <f>$K$47*$V$47</f>
        <v>4442.5999999999995</v>
      </c>
      <c r="AC47" s="6">
        <f>$M$47*$W$47</f>
        <v>5261.9950499999995</v>
      </c>
      <c r="AD47" s="6">
        <f>$O$47*$X$47</f>
        <v>15220.890449999999</v>
      </c>
      <c r="AE47" s="6">
        <f ca="1">$K$47*$Y$47</f>
        <v>4216.3439864364855</v>
      </c>
      <c r="AF47" s="6">
        <f ca="1">$M$47*$Z$47</f>
        <v>8471.5618634447019</v>
      </c>
      <c r="AG47" s="6">
        <f>$O$47*$AA$47</f>
        <v>16032.514220187006</v>
      </c>
    </row>
    <row r="48" spans="1:33" ht="11.25" customHeight="1" x14ac:dyDescent="0.25">
      <c r="A48" s="4" t="s">
        <v>21</v>
      </c>
      <c r="B48" s="4" t="s">
        <v>35</v>
      </c>
      <c r="C48" s="4" t="s">
        <v>36</v>
      </c>
      <c r="D48" s="4" t="s">
        <v>34</v>
      </c>
      <c r="E48" s="4" t="s">
        <v>25</v>
      </c>
      <c r="F48" s="4" t="s">
        <v>25</v>
      </c>
      <c r="G48" s="4" t="s">
        <v>25</v>
      </c>
      <c r="H48" s="4" t="s">
        <v>38</v>
      </c>
      <c r="I48" s="5">
        <v>44713</v>
      </c>
      <c r="J48" s="6">
        <v>193</v>
      </c>
      <c r="K48" s="6">
        <v>193</v>
      </c>
      <c r="L48" s="6">
        <v>72.581000000000003</v>
      </c>
      <c r="M48" s="6">
        <v>72.581000000000003</v>
      </c>
      <c r="N48" s="6">
        <v>72.581000000000003</v>
      </c>
      <c r="O48" s="6">
        <v>72.581000000000003</v>
      </c>
      <c r="P48" s="6">
        <v>0</v>
      </c>
      <c r="Q48" s="4" t="s">
        <v>26</v>
      </c>
      <c r="R48" s="4">
        <v>0</v>
      </c>
      <c r="S48" s="6">
        <v>1</v>
      </c>
      <c r="T48" s="6">
        <v>27</v>
      </c>
      <c r="U48" s="6">
        <v>73</v>
      </c>
      <c r="V48" s="6">
        <f>IF(ISERROR(VLOOKUP($S$48,'TAR FIN'!$A$1:$O$86,15,0)),0,VLOOKUP($S$48,'TAR FIN'!$A$1:$O$86,15,0))</f>
        <v>22.9</v>
      </c>
      <c r="W48" s="6">
        <f>IF(ISERROR(VLOOKUP($T$48,'TAR FIN'!$A$1:$O$86,15,0)),0,VLOOKUP($T$48,'TAR FIN'!$A$1:$O$86,15,0))</f>
        <v>73.19</v>
      </c>
      <c r="X48" s="6">
        <f>IF(ISERROR(VLOOKUP($U$48,'TAR FIN'!$A$1:$O$86,15,0)),0,VLOOKUP($U$48,'TAR FIN'!$A$1:$O$86,15,0))</f>
        <v>211.71</v>
      </c>
      <c r="Y48" s="6">
        <f ca="1">('TUSD BE'!$AM$6+'TUSD BF'!$AM$6+'TUSD CVA'!$AM$6)*1</f>
        <v>21.733731888847863</v>
      </c>
      <c r="Z48" s="6">
        <f ca="1">('TUSD BE'!$AM$7+'TUSD BF'!$AM$7+'TUSD CVA'!$AM$7)*1</f>
        <v>117.83242038312405</v>
      </c>
      <c r="AA48" s="6">
        <f>('TE BE'!$AB$6+'TE BF'!$AB$6+'TE CVA'!$AB$6)*1</f>
        <v>222.99901551132911</v>
      </c>
      <c r="AB48" s="6">
        <f>$K$48*$V$48</f>
        <v>4419.7</v>
      </c>
      <c r="AC48" s="6">
        <f>$M$48*$W$48</f>
        <v>5312.2033899999997</v>
      </c>
      <c r="AD48" s="6">
        <f>$O$48*$X$48</f>
        <v>15366.123510000001</v>
      </c>
      <c r="AE48" s="6">
        <f ca="1">$K$48*$Y$48</f>
        <v>4194.6102545476379</v>
      </c>
      <c r="AF48" s="6">
        <f ca="1">$M$48*$Z$48</f>
        <v>8552.3949038275259</v>
      </c>
      <c r="AG48" s="6">
        <f>$O$48*$AA$48</f>
        <v>16185.491544827779</v>
      </c>
    </row>
    <row r="49" spans="1:33" ht="11.25" customHeight="1" x14ac:dyDescent="0.25">
      <c r="A49" s="4" t="s">
        <v>55</v>
      </c>
      <c r="B49" s="4" t="s">
        <v>35</v>
      </c>
      <c r="C49" s="4" t="s">
        <v>36</v>
      </c>
      <c r="D49" s="4" t="s">
        <v>34</v>
      </c>
      <c r="E49" s="4" t="s">
        <v>25</v>
      </c>
      <c r="F49" s="4" t="s">
        <v>25</v>
      </c>
      <c r="G49" s="4" t="s">
        <v>25</v>
      </c>
      <c r="H49" s="4" t="s">
        <v>38</v>
      </c>
      <c r="I49" s="5">
        <v>44743</v>
      </c>
      <c r="J49" s="6">
        <v>193</v>
      </c>
      <c r="K49" s="6">
        <v>193</v>
      </c>
      <c r="L49" s="6">
        <v>72.581000000000003</v>
      </c>
      <c r="M49" s="6">
        <v>72.581000000000003</v>
      </c>
      <c r="N49" s="6">
        <v>72.581000000000003</v>
      </c>
      <c r="O49" s="6">
        <v>72.581000000000003</v>
      </c>
      <c r="P49" s="6">
        <v>0</v>
      </c>
      <c r="Q49" s="4" t="s">
        <v>26</v>
      </c>
      <c r="R49" s="4">
        <v>0</v>
      </c>
      <c r="S49" s="6">
        <v>1</v>
      </c>
      <c r="T49" s="6">
        <v>27</v>
      </c>
      <c r="U49" s="6">
        <v>73</v>
      </c>
      <c r="V49" s="6">
        <f>IF(ISERROR(VLOOKUP($S$49,'TAR FIN'!$A$1:$O$86,15,0)),0,VLOOKUP($S$49,'TAR FIN'!$A$1:$O$86,15,0))</f>
        <v>22.9</v>
      </c>
      <c r="W49" s="6">
        <f>IF(ISERROR(VLOOKUP($T$49,'TAR FIN'!$A$1:$O$86,15,0)),0,VLOOKUP($T$49,'TAR FIN'!$A$1:$O$86,15,0))</f>
        <v>73.19</v>
      </c>
      <c r="X49" s="6">
        <f>IF(ISERROR(VLOOKUP($U$49,'TAR FIN'!$A$1:$O$86,15,0)),0,VLOOKUP($U$49,'TAR FIN'!$A$1:$O$86,15,0))</f>
        <v>211.71</v>
      </c>
      <c r="Y49" s="6">
        <f ca="1">('TUSD BE'!$AM$6+'TUSD BF'!$AM$6+'TUSD CVA'!$AM$6)*1</f>
        <v>21.733731888847863</v>
      </c>
      <c r="Z49" s="6">
        <f ca="1">('TUSD BE'!$AM$7+'TUSD BF'!$AM$7+'TUSD CVA'!$AM$7)*1</f>
        <v>117.83242038312405</v>
      </c>
      <c r="AA49" s="6">
        <f>('TE BE'!$AB$6+'TE BF'!$AB$6+'TE CVA'!$AB$6)*1</f>
        <v>222.99901551132911</v>
      </c>
      <c r="AB49" s="6">
        <f>$K$49*$V$49</f>
        <v>4419.7</v>
      </c>
      <c r="AC49" s="6">
        <f>$M$49*$W$49</f>
        <v>5312.2033899999997</v>
      </c>
      <c r="AD49" s="6">
        <f>$O$49*$X$49</f>
        <v>15366.123510000001</v>
      </c>
      <c r="AE49" s="6">
        <f ca="1">$K$49*$Y$49</f>
        <v>4194.6102545476379</v>
      </c>
      <c r="AF49" s="6">
        <f ca="1">$M$49*$Z$49</f>
        <v>8552.3949038275259</v>
      </c>
      <c r="AG49" s="6">
        <f>$O$49*$AA$49</f>
        <v>16185.491544827779</v>
      </c>
    </row>
    <row r="50" spans="1:33" ht="11.25" customHeight="1" x14ac:dyDescent="0.25">
      <c r="A50" s="4" t="s">
        <v>21</v>
      </c>
      <c r="B50" s="4" t="s">
        <v>35</v>
      </c>
      <c r="C50" s="4" t="s">
        <v>36</v>
      </c>
      <c r="D50" s="4" t="s">
        <v>34</v>
      </c>
      <c r="E50" s="4" t="s">
        <v>25</v>
      </c>
      <c r="F50" s="4" t="s">
        <v>25</v>
      </c>
      <c r="G50" s="4" t="s">
        <v>25</v>
      </c>
      <c r="H50" s="4" t="s">
        <v>37</v>
      </c>
      <c r="I50" s="5">
        <v>44409</v>
      </c>
      <c r="J50" s="6">
        <v>136</v>
      </c>
      <c r="K50" s="6">
        <v>136</v>
      </c>
      <c r="L50" s="6">
        <v>8.016</v>
      </c>
      <c r="M50" s="6">
        <v>8.016</v>
      </c>
      <c r="N50" s="6">
        <v>8.016</v>
      </c>
      <c r="O50" s="6">
        <v>8.016</v>
      </c>
      <c r="P50" s="6">
        <v>0</v>
      </c>
      <c r="Q50" s="4" t="s">
        <v>26</v>
      </c>
      <c r="R50" s="4">
        <v>0</v>
      </c>
      <c r="S50" s="6">
        <v>7</v>
      </c>
      <c r="T50" s="6">
        <v>27</v>
      </c>
      <c r="U50" s="6">
        <v>69</v>
      </c>
      <c r="V50" s="6">
        <f>IF(ISERROR(VLOOKUP($S$50,'TAR FIN'!$A$1:$O$86,15,0)),0,VLOOKUP($S$50,'TAR FIN'!$A$1:$O$86,15,0))</f>
        <v>59.47</v>
      </c>
      <c r="W50" s="6">
        <f>IF(ISERROR(VLOOKUP($T$50,'TAR FIN'!$A$1:$O$86,15,0)),0,VLOOKUP($T$50,'TAR FIN'!$A$1:$O$86,15,0))</f>
        <v>73.19</v>
      </c>
      <c r="X50" s="6">
        <f>IF(ISERROR(VLOOKUP($U$50,'TAR FIN'!$A$1:$O$86,15,0)),0,VLOOKUP($U$50,'TAR FIN'!$A$1:$O$86,15,0))</f>
        <v>359.33</v>
      </c>
      <c r="Y50" s="6">
        <f ca="1">('TUSD BE'!$AM$5+'TUSD BF'!$AM$5+'TUSD CVA'!$AM$5)*1</f>
        <v>56.480448697803254</v>
      </c>
      <c r="Z50" s="6">
        <f ca="1">('TUSD BE'!$AM$7+'TUSD BF'!$AM$7+'TUSD CVA'!$AM$7)*1</f>
        <v>117.83242038312405</v>
      </c>
      <c r="AA50" s="6">
        <f>('TE BE'!$AB$5+'TE BF'!$AB$5+'TE CVA'!$AB$5)*1</f>
        <v>362.73600214515886</v>
      </c>
      <c r="AB50" s="6">
        <f>$K$50*$V$50</f>
        <v>8087.92</v>
      </c>
      <c r="AC50" s="6">
        <f>$M$50*$W$50</f>
        <v>586.69103999999993</v>
      </c>
      <c r="AD50" s="6">
        <f>$O$50*$X$50</f>
        <v>2880.3892799999999</v>
      </c>
      <c r="AE50" s="6">
        <f ca="1">$K$50*$Y$50</f>
        <v>7681.3410229012425</v>
      </c>
      <c r="AF50" s="6">
        <f ca="1">$M$50*$Z$50</f>
        <v>944.54468179112234</v>
      </c>
      <c r="AG50" s="6">
        <f>$O$50*$AA$50</f>
        <v>2907.6917931955936</v>
      </c>
    </row>
    <row r="51" spans="1:33" ht="11.25" customHeight="1" x14ac:dyDescent="0.25">
      <c r="A51" s="4" t="s">
        <v>21</v>
      </c>
      <c r="B51" s="4" t="s">
        <v>35</v>
      </c>
      <c r="C51" s="4" t="s">
        <v>36</v>
      </c>
      <c r="D51" s="4" t="s">
        <v>34</v>
      </c>
      <c r="E51" s="4" t="s">
        <v>25</v>
      </c>
      <c r="F51" s="4" t="s">
        <v>25</v>
      </c>
      <c r="G51" s="4" t="s">
        <v>25</v>
      </c>
      <c r="H51" s="4" t="s">
        <v>37</v>
      </c>
      <c r="I51" s="5">
        <v>44440</v>
      </c>
      <c r="J51" s="6">
        <v>130</v>
      </c>
      <c r="K51" s="6">
        <v>130</v>
      </c>
      <c r="L51" s="6">
        <v>7.15</v>
      </c>
      <c r="M51" s="6">
        <v>7.15</v>
      </c>
      <c r="N51" s="6">
        <v>7.15</v>
      </c>
      <c r="O51" s="6">
        <v>7.15</v>
      </c>
      <c r="P51" s="6">
        <v>0</v>
      </c>
      <c r="Q51" s="4" t="s">
        <v>26</v>
      </c>
      <c r="R51" s="4">
        <v>0</v>
      </c>
      <c r="S51" s="6">
        <v>7</v>
      </c>
      <c r="T51" s="6">
        <v>27</v>
      </c>
      <c r="U51" s="6">
        <v>69</v>
      </c>
      <c r="V51" s="6">
        <f>IF(ISERROR(VLOOKUP($S$51,'TAR FIN'!$A$1:$O$86,15,0)),0,VLOOKUP($S$51,'TAR FIN'!$A$1:$O$86,15,0))</f>
        <v>59.47</v>
      </c>
      <c r="W51" s="6">
        <f>IF(ISERROR(VLOOKUP($T$51,'TAR FIN'!$A$1:$O$86,15,0)),0,VLOOKUP($T$51,'TAR FIN'!$A$1:$O$86,15,0))</f>
        <v>73.19</v>
      </c>
      <c r="X51" s="6">
        <f>IF(ISERROR(VLOOKUP($U$51,'TAR FIN'!$A$1:$O$86,15,0)),0,VLOOKUP($U$51,'TAR FIN'!$A$1:$O$86,15,0))</f>
        <v>359.33</v>
      </c>
      <c r="Y51" s="6">
        <f ca="1">('TUSD BE'!$AM$5+'TUSD BF'!$AM$5+'TUSD CVA'!$AM$5)*1</f>
        <v>56.480448697803254</v>
      </c>
      <c r="Z51" s="6">
        <f ca="1">('TUSD BE'!$AM$7+'TUSD BF'!$AM$7+'TUSD CVA'!$AM$7)*1</f>
        <v>117.83242038312405</v>
      </c>
      <c r="AA51" s="6">
        <f>('TE BE'!$AB$5+'TE BF'!$AB$5+'TE CVA'!$AB$5)*1</f>
        <v>362.73600214515886</v>
      </c>
      <c r="AB51" s="6">
        <f>$K$51*$V$51</f>
        <v>7731.0999999999995</v>
      </c>
      <c r="AC51" s="6">
        <f>$M$51*$W$51</f>
        <v>523.30849999999998</v>
      </c>
      <c r="AD51" s="6">
        <f>$O$51*$X$51</f>
        <v>2569.2094999999999</v>
      </c>
      <c r="AE51" s="6">
        <f ca="1">$K$51*$Y$51</f>
        <v>7342.458330714423</v>
      </c>
      <c r="AF51" s="6">
        <f ca="1">$M$51*$Z$51</f>
        <v>842.50180573933699</v>
      </c>
      <c r="AG51" s="6">
        <f>$O$51*$AA$51</f>
        <v>2593.5624153378858</v>
      </c>
    </row>
    <row r="52" spans="1:33" ht="11.25" customHeight="1" x14ac:dyDescent="0.25">
      <c r="A52" s="4" t="s">
        <v>21</v>
      </c>
      <c r="B52" s="4" t="s">
        <v>35</v>
      </c>
      <c r="C52" s="4" t="s">
        <v>36</v>
      </c>
      <c r="D52" s="4" t="s">
        <v>34</v>
      </c>
      <c r="E52" s="4" t="s">
        <v>25</v>
      </c>
      <c r="F52" s="4" t="s">
        <v>25</v>
      </c>
      <c r="G52" s="4" t="s">
        <v>25</v>
      </c>
      <c r="H52" s="4" t="s">
        <v>37</v>
      </c>
      <c r="I52" s="5">
        <v>44470</v>
      </c>
      <c r="J52" s="6">
        <v>135</v>
      </c>
      <c r="K52" s="6">
        <v>135</v>
      </c>
      <c r="L52" s="6">
        <v>7.1479999999999997</v>
      </c>
      <c r="M52" s="6">
        <v>7.1479999999999997</v>
      </c>
      <c r="N52" s="6">
        <v>7.1479999999999997</v>
      </c>
      <c r="O52" s="6">
        <v>7.1479999999999997</v>
      </c>
      <c r="P52" s="6">
        <v>0</v>
      </c>
      <c r="Q52" s="4" t="s">
        <v>26</v>
      </c>
      <c r="R52" s="4">
        <v>0</v>
      </c>
      <c r="S52" s="6">
        <v>7</v>
      </c>
      <c r="T52" s="6">
        <v>27</v>
      </c>
      <c r="U52" s="6">
        <v>69</v>
      </c>
      <c r="V52" s="6">
        <f>IF(ISERROR(VLOOKUP($S$52,'TAR FIN'!$A$1:$O$86,15,0)),0,VLOOKUP($S$52,'TAR FIN'!$A$1:$O$86,15,0))</f>
        <v>59.47</v>
      </c>
      <c r="W52" s="6">
        <f>IF(ISERROR(VLOOKUP($T$52,'TAR FIN'!$A$1:$O$86,15,0)),0,VLOOKUP($T$52,'TAR FIN'!$A$1:$O$86,15,0))</f>
        <v>73.19</v>
      </c>
      <c r="X52" s="6">
        <f>IF(ISERROR(VLOOKUP($U$52,'TAR FIN'!$A$1:$O$86,15,0)),0,VLOOKUP($U$52,'TAR FIN'!$A$1:$O$86,15,0))</f>
        <v>359.33</v>
      </c>
      <c r="Y52" s="6">
        <f ca="1">('TUSD BE'!$AM$5+'TUSD BF'!$AM$5+'TUSD CVA'!$AM$5)*1</f>
        <v>56.480448697803254</v>
      </c>
      <c r="Z52" s="6">
        <f ca="1">('TUSD BE'!$AM$7+'TUSD BF'!$AM$7+'TUSD CVA'!$AM$7)*1</f>
        <v>117.83242038312405</v>
      </c>
      <c r="AA52" s="6">
        <f>('TE BE'!$AB$5+'TE BF'!$AB$5+'TE CVA'!$AB$5)*1</f>
        <v>362.73600214515886</v>
      </c>
      <c r="AB52" s="6">
        <f>$K$52*$V$52</f>
        <v>8028.45</v>
      </c>
      <c r="AC52" s="6">
        <f>$M$52*$W$52</f>
        <v>523.16211999999996</v>
      </c>
      <c r="AD52" s="6">
        <f>$O$52*$X$52</f>
        <v>2568.4908399999999</v>
      </c>
      <c r="AE52" s="6">
        <f ca="1">$K$52*$Y$52</f>
        <v>7624.8605742034397</v>
      </c>
      <c r="AF52" s="6">
        <f ca="1">$M$52*$Z$52</f>
        <v>842.2661408985706</v>
      </c>
      <c r="AG52" s="6">
        <f>$O$52*$AA$52</f>
        <v>2592.8369433335956</v>
      </c>
    </row>
    <row r="53" spans="1:33" ht="11.25" customHeight="1" x14ac:dyDescent="0.25">
      <c r="A53" s="4" t="s">
        <v>21</v>
      </c>
      <c r="B53" s="4" t="s">
        <v>35</v>
      </c>
      <c r="C53" s="4" t="s">
        <v>36</v>
      </c>
      <c r="D53" s="4" t="s">
        <v>34</v>
      </c>
      <c r="E53" s="4" t="s">
        <v>25</v>
      </c>
      <c r="F53" s="4" t="s">
        <v>25</v>
      </c>
      <c r="G53" s="4" t="s">
        <v>25</v>
      </c>
      <c r="H53" s="4" t="s">
        <v>37</v>
      </c>
      <c r="I53" s="5">
        <v>44501</v>
      </c>
      <c r="J53" s="6">
        <v>130</v>
      </c>
      <c r="K53" s="6">
        <v>130</v>
      </c>
      <c r="L53" s="6">
        <v>6.9379999999999997</v>
      </c>
      <c r="M53" s="6">
        <v>6.9379999999999997</v>
      </c>
      <c r="N53" s="6">
        <v>6.9379999999999997</v>
      </c>
      <c r="O53" s="6">
        <v>6.9379999999999997</v>
      </c>
      <c r="P53" s="6">
        <v>0</v>
      </c>
      <c r="Q53" s="4" t="s">
        <v>26</v>
      </c>
      <c r="R53" s="4">
        <v>0</v>
      </c>
      <c r="S53" s="6">
        <v>7</v>
      </c>
      <c r="T53" s="6">
        <v>27</v>
      </c>
      <c r="U53" s="6">
        <v>69</v>
      </c>
      <c r="V53" s="6">
        <f>IF(ISERROR(VLOOKUP($S$53,'TAR FIN'!$A$1:$O$86,15,0)),0,VLOOKUP($S$53,'TAR FIN'!$A$1:$O$86,15,0))</f>
        <v>59.47</v>
      </c>
      <c r="W53" s="6">
        <f>IF(ISERROR(VLOOKUP($T$53,'TAR FIN'!$A$1:$O$86,15,0)),0,VLOOKUP($T$53,'TAR FIN'!$A$1:$O$86,15,0))</f>
        <v>73.19</v>
      </c>
      <c r="X53" s="6">
        <f>IF(ISERROR(VLOOKUP($U$53,'TAR FIN'!$A$1:$O$86,15,0)),0,VLOOKUP($U$53,'TAR FIN'!$A$1:$O$86,15,0))</f>
        <v>359.33</v>
      </c>
      <c r="Y53" s="6">
        <f ca="1">('TUSD BE'!$AM$5+'TUSD BF'!$AM$5+'TUSD CVA'!$AM$5)*1</f>
        <v>56.480448697803254</v>
      </c>
      <c r="Z53" s="6">
        <f ca="1">('TUSD BE'!$AM$7+'TUSD BF'!$AM$7+'TUSD CVA'!$AM$7)*1</f>
        <v>117.83242038312405</v>
      </c>
      <c r="AA53" s="6">
        <f>('TE BE'!$AB$5+'TE BF'!$AB$5+'TE CVA'!$AB$5)*1</f>
        <v>362.73600214515886</v>
      </c>
      <c r="AB53" s="6">
        <f>$K$53*$V$53</f>
        <v>7731.0999999999995</v>
      </c>
      <c r="AC53" s="6">
        <f>$M$53*$W$53</f>
        <v>507.79221999999999</v>
      </c>
      <c r="AD53" s="6">
        <f>$O$53*$X$53</f>
        <v>2493.0315399999999</v>
      </c>
      <c r="AE53" s="6">
        <f ca="1">$K$53*$Y$53</f>
        <v>7342.458330714423</v>
      </c>
      <c r="AF53" s="6">
        <f ca="1">$M$53*$Z$53</f>
        <v>817.52133261811457</v>
      </c>
      <c r="AG53" s="6">
        <f>$O$53*$AA$53</f>
        <v>2516.6623828831121</v>
      </c>
    </row>
    <row r="54" spans="1:33" ht="11.25" customHeight="1" x14ac:dyDescent="0.25">
      <c r="A54" s="4" t="s">
        <v>21</v>
      </c>
      <c r="B54" s="4" t="s">
        <v>35</v>
      </c>
      <c r="C54" s="4" t="s">
        <v>36</v>
      </c>
      <c r="D54" s="4" t="s">
        <v>34</v>
      </c>
      <c r="E54" s="4" t="s">
        <v>25</v>
      </c>
      <c r="F54" s="4" t="s">
        <v>25</v>
      </c>
      <c r="G54" s="4" t="s">
        <v>25</v>
      </c>
      <c r="H54" s="4" t="s">
        <v>37</v>
      </c>
      <c r="I54" s="5">
        <v>44531</v>
      </c>
      <c r="J54" s="6">
        <v>134</v>
      </c>
      <c r="K54" s="6">
        <v>134</v>
      </c>
      <c r="L54" s="6">
        <v>5.9080000000000004</v>
      </c>
      <c r="M54" s="6">
        <v>5.9080000000000004</v>
      </c>
      <c r="N54" s="6">
        <v>5.9080000000000004</v>
      </c>
      <c r="O54" s="6">
        <v>5.9080000000000004</v>
      </c>
      <c r="P54" s="6">
        <v>0</v>
      </c>
      <c r="Q54" s="4" t="s">
        <v>26</v>
      </c>
      <c r="R54" s="4">
        <v>0</v>
      </c>
      <c r="S54" s="6">
        <v>7</v>
      </c>
      <c r="T54" s="6">
        <v>27</v>
      </c>
      <c r="U54" s="6">
        <v>69</v>
      </c>
      <c r="V54" s="6">
        <f>IF(ISERROR(VLOOKUP($S$54,'TAR FIN'!$A$1:$O$86,15,0)),0,VLOOKUP($S$54,'TAR FIN'!$A$1:$O$86,15,0))</f>
        <v>59.47</v>
      </c>
      <c r="W54" s="6">
        <f>IF(ISERROR(VLOOKUP($T$54,'TAR FIN'!$A$1:$O$86,15,0)),0,VLOOKUP($T$54,'TAR FIN'!$A$1:$O$86,15,0))</f>
        <v>73.19</v>
      </c>
      <c r="X54" s="6">
        <f>IF(ISERROR(VLOOKUP($U$54,'TAR FIN'!$A$1:$O$86,15,0)),0,VLOOKUP($U$54,'TAR FIN'!$A$1:$O$86,15,0))</f>
        <v>359.33</v>
      </c>
      <c r="Y54" s="6">
        <f ca="1">('TUSD BE'!$AM$5+'TUSD BF'!$AM$5+'TUSD CVA'!$AM$5)*1</f>
        <v>56.480448697803254</v>
      </c>
      <c r="Z54" s="6">
        <f ca="1">('TUSD BE'!$AM$7+'TUSD BF'!$AM$7+'TUSD CVA'!$AM$7)*1</f>
        <v>117.83242038312405</v>
      </c>
      <c r="AA54" s="6">
        <f>('TE BE'!$AB$5+'TE BF'!$AB$5+'TE CVA'!$AB$5)*1</f>
        <v>362.73600214515886</v>
      </c>
      <c r="AB54" s="6">
        <f>$K$54*$V$54</f>
        <v>7968.98</v>
      </c>
      <c r="AC54" s="6">
        <f>$M$54*$W$54</f>
        <v>432.40652</v>
      </c>
      <c r="AD54" s="6">
        <f>$O$54*$X$54</f>
        <v>2122.92164</v>
      </c>
      <c r="AE54" s="6">
        <f ca="1">$K$54*$Y$54</f>
        <v>7568.380125505636</v>
      </c>
      <c r="AF54" s="6">
        <f ca="1">$M$54*$Z$54</f>
        <v>696.15393962349685</v>
      </c>
      <c r="AG54" s="6">
        <f>$O$54*$AA$54</f>
        <v>2143.0443006735986</v>
      </c>
    </row>
    <row r="55" spans="1:33" ht="11.25" customHeight="1" x14ac:dyDescent="0.25">
      <c r="A55" s="4" t="s">
        <v>21</v>
      </c>
      <c r="B55" s="4" t="s">
        <v>35</v>
      </c>
      <c r="C55" s="4" t="s">
        <v>36</v>
      </c>
      <c r="D55" s="4" t="s">
        <v>34</v>
      </c>
      <c r="E55" s="4" t="s">
        <v>25</v>
      </c>
      <c r="F55" s="4" t="s">
        <v>25</v>
      </c>
      <c r="G55" s="4" t="s">
        <v>25</v>
      </c>
      <c r="H55" s="4" t="s">
        <v>37</v>
      </c>
      <c r="I55" s="5">
        <v>44562</v>
      </c>
      <c r="J55" s="6">
        <v>133</v>
      </c>
      <c r="K55" s="6">
        <v>133</v>
      </c>
      <c r="L55" s="6">
        <v>5.8380000000000001</v>
      </c>
      <c r="M55" s="6">
        <v>5.8380000000000001</v>
      </c>
      <c r="N55" s="6">
        <v>5.8380000000000001</v>
      </c>
      <c r="O55" s="6">
        <v>5.8380000000000001</v>
      </c>
      <c r="P55" s="6">
        <v>0</v>
      </c>
      <c r="Q55" s="4" t="s">
        <v>26</v>
      </c>
      <c r="R55" s="4">
        <v>0</v>
      </c>
      <c r="S55" s="6">
        <v>7</v>
      </c>
      <c r="T55" s="6">
        <v>27</v>
      </c>
      <c r="U55" s="6">
        <v>69</v>
      </c>
      <c r="V55" s="6">
        <f>IF(ISERROR(VLOOKUP($S$55,'TAR FIN'!$A$1:$O$86,15,0)),0,VLOOKUP($S$55,'TAR FIN'!$A$1:$O$86,15,0))</f>
        <v>59.47</v>
      </c>
      <c r="W55" s="6">
        <f>IF(ISERROR(VLOOKUP($T$55,'TAR FIN'!$A$1:$O$86,15,0)),0,VLOOKUP($T$55,'TAR FIN'!$A$1:$O$86,15,0))</f>
        <v>73.19</v>
      </c>
      <c r="X55" s="6">
        <f>IF(ISERROR(VLOOKUP($U$55,'TAR FIN'!$A$1:$O$86,15,0)),0,VLOOKUP($U$55,'TAR FIN'!$A$1:$O$86,15,0))</f>
        <v>359.33</v>
      </c>
      <c r="Y55" s="6">
        <f ca="1">('TUSD BE'!$AM$5+'TUSD BF'!$AM$5+'TUSD CVA'!$AM$5)*1</f>
        <v>56.480448697803254</v>
      </c>
      <c r="Z55" s="6">
        <f ca="1">('TUSD BE'!$AM$7+'TUSD BF'!$AM$7+'TUSD CVA'!$AM$7)*1</f>
        <v>117.83242038312405</v>
      </c>
      <c r="AA55" s="6">
        <f>('TE BE'!$AB$5+'TE BF'!$AB$5+'TE CVA'!$AB$5)*1</f>
        <v>362.73600214515886</v>
      </c>
      <c r="AB55" s="6">
        <f>$K$55*$V$55</f>
        <v>7909.51</v>
      </c>
      <c r="AC55" s="6">
        <f>$M$55*$W$55</f>
        <v>427.28321999999997</v>
      </c>
      <c r="AD55" s="6">
        <f>$O$55*$X$55</f>
        <v>2097.76854</v>
      </c>
      <c r="AE55" s="6">
        <f ca="1">$K$55*$Y$55</f>
        <v>7511.8996768078332</v>
      </c>
      <c r="AF55" s="6">
        <f ca="1">$M$55*$Z$55</f>
        <v>687.90567019667822</v>
      </c>
      <c r="AG55" s="6">
        <f>$O$55*$AA$55</f>
        <v>2117.6527805234373</v>
      </c>
    </row>
    <row r="56" spans="1:33" ht="11.25" customHeight="1" x14ac:dyDescent="0.25">
      <c r="A56" s="4" t="s">
        <v>21</v>
      </c>
      <c r="B56" s="4" t="s">
        <v>35</v>
      </c>
      <c r="C56" s="4" t="s">
        <v>36</v>
      </c>
      <c r="D56" s="4" t="s">
        <v>34</v>
      </c>
      <c r="E56" s="4" t="s">
        <v>25</v>
      </c>
      <c r="F56" s="4" t="s">
        <v>25</v>
      </c>
      <c r="G56" s="4" t="s">
        <v>25</v>
      </c>
      <c r="H56" s="4" t="s">
        <v>37</v>
      </c>
      <c r="I56" s="5">
        <v>44593</v>
      </c>
      <c r="J56" s="6">
        <v>136</v>
      </c>
      <c r="K56" s="6">
        <v>136</v>
      </c>
      <c r="L56" s="6">
        <v>7.2439999999999998</v>
      </c>
      <c r="M56" s="6">
        <v>7.2439999999999998</v>
      </c>
      <c r="N56" s="6">
        <v>7.2439999999999998</v>
      </c>
      <c r="O56" s="6">
        <v>7.2439999999999998</v>
      </c>
      <c r="P56" s="6">
        <v>0</v>
      </c>
      <c r="Q56" s="4" t="s">
        <v>26</v>
      </c>
      <c r="R56" s="4">
        <v>0</v>
      </c>
      <c r="S56" s="6">
        <v>7</v>
      </c>
      <c r="T56" s="6">
        <v>27</v>
      </c>
      <c r="U56" s="6">
        <v>69</v>
      </c>
      <c r="V56" s="6">
        <f>IF(ISERROR(VLOOKUP($S$56,'TAR FIN'!$A$1:$O$86,15,0)),0,VLOOKUP($S$56,'TAR FIN'!$A$1:$O$86,15,0))</f>
        <v>59.47</v>
      </c>
      <c r="W56" s="6">
        <f>IF(ISERROR(VLOOKUP($T$56,'TAR FIN'!$A$1:$O$86,15,0)),0,VLOOKUP($T$56,'TAR FIN'!$A$1:$O$86,15,0))</f>
        <v>73.19</v>
      </c>
      <c r="X56" s="6">
        <f>IF(ISERROR(VLOOKUP($U$56,'TAR FIN'!$A$1:$O$86,15,0)),0,VLOOKUP($U$56,'TAR FIN'!$A$1:$O$86,15,0))</f>
        <v>359.33</v>
      </c>
      <c r="Y56" s="6">
        <f ca="1">('TUSD BE'!$AM$5+'TUSD BF'!$AM$5+'TUSD CVA'!$AM$5)*1</f>
        <v>56.480448697803254</v>
      </c>
      <c r="Z56" s="6">
        <f ca="1">('TUSD BE'!$AM$7+'TUSD BF'!$AM$7+'TUSD CVA'!$AM$7)*1</f>
        <v>117.83242038312405</v>
      </c>
      <c r="AA56" s="6">
        <f>('TE BE'!$AB$5+'TE BF'!$AB$5+'TE CVA'!$AB$5)*1</f>
        <v>362.73600214515886</v>
      </c>
      <c r="AB56" s="6">
        <f>$K$56*$V$56</f>
        <v>8087.92</v>
      </c>
      <c r="AC56" s="6">
        <f>$M$56*$W$56</f>
        <v>530.18835999999999</v>
      </c>
      <c r="AD56" s="6">
        <f>$O$56*$X$56</f>
        <v>2602.9865199999999</v>
      </c>
      <c r="AE56" s="6">
        <f ca="1">$K$56*$Y$56</f>
        <v>7681.3410229012425</v>
      </c>
      <c r="AF56" s="6">
        <f ca="1">$M$56*$Z$56</f>
        <v>853.5780532553506</v>
      </c>
      <c r="AG56" s="6">
        <f>$O$56*$AA$56</f>
        <v>2627.6595995395305</v>
      </c>
    </row>
    <row r="57" spans="1:33" ht="11.25" customHeight="1" x14ac:dyDescent="0.25">
      <c r="A57" s="4" t="s">
        <v>21</v>
      </c>
      <c r="B57" s="4" t="s">
        <v>35</v>
      </c>
      <c r="C57" s="4" t="s">
        <v>36</v>
      </c>
      <c r="D57" s="4" t="s">
        <v>34</v>
      </c>
      <c r="E57" s="4" t="s">
        <v>25</v>
      </c>
      <c r="F57" s="4" t="s">
        <v>25</v>
      </c>
      <c r="G57" s="4" t="s">
        <v>25</v>
      </c>
      <c r="H57" s="4" t="s">
        <v>37</v>
      </c>
      <c r="I57" s="5">
        <v>44621</v>
      </c>
      <c r="J57" s="6">
        <v>140</v>
      </c>
      <c r="K57" s="6">
        <v>140</v>
      </c>
      <c r="L57" s="6">
        <v>8.2309999999999999</v>
      </c>
      <c r="M57" s="6">
        <v>8.2309999999999999</v>
      </c>
      <c r="N57" s="6">
        <v>8.2309999999999999</v>
      </c>
      <c r="O57" s="6">
        <v>8.2309999999999999</v>
      </c>
      <c r="P57" s="6">
        <v>0</v>
      </c>
      <c r="Q57" s="4" t="s">
        <v>26</v>
      </c>
      <c r="R57" s="4">
        <v>0</v>
      </c>
      <c r="S57" s="6">
        <v>7</v>
      </c>
      <c r="T57" s="6">
        <v>27</v>
      </c>
      <c r="U57" s="6">
        <v>69</v>
      </c>
      <c r="V57" s="6">
        <f>IF(ISERROR(VLOOKUP($S$57,'TAR FIN'!$A$1:$O$86,15,0)),0,VLOOKUP($S$57,'TAR FIN'!$A$1:$O$86,15,0))</f>
        <v>59.47</v>
      </c>
      <c r="W57" s="6">
        <f>IF(ISERROR(VLOOKUP($T$57,'TAR FIN'!$A$1:$O$86,15,0)),0,VLOOKUP($T$57,'TAR FIN'!$A$1:$O$86,15,0))</f>
        <v>73.19</v>
      </c>
      <c r="X57" s="6">
        <f>IF(ISERROR(VLOOKUP($U$57,'TAR FIN'!$A$1:$O$86,15,0)),0,VLOOKUP($U$57,'TAR FIN'!$A$1:$O$86,15,0))</f>
        <v>359.33</v>
      </c>
      <c r="Y57" s="6">
        <f ca="1">('TUSD BE'!$AM$5+'TUSD BF'!$AM$5+'TUSD CVA'!$AM$5)*1</f>
        <v>56.480448697803254</v>
      </c>
      <c r="Z57" s="6">
        <f ca="1">('TUSD BE'!$AM$7+'TUSD BF'!$AM$7+'TUSD CVA'!$AM$7)*1</f>
        <v>117.83242038312405</v>
      </c>
      <c r="AA57" s="6">
        <f>('TE BE'!$AB$5+'TE BF'!$AB$5+'TE CVA'!$AB$5)*1</f>
        <v>362.73600214515886</v>
      </c>
      <c r="AB57" s="6">
        <f>$K$57*$V$57</f>
        <v>8325.7999999999993</v>
      </c>
      <c r="AC57" s="6">
        <f>$M$57*$W$57</f>
        <v>602.42688999999996</v>
      </c>
      <c r="AD57" s="6">
        <f>$O$57*$X$57</f>
        <v>2957.6452299999996</v>
      </c>
      <c r="AE57" s="6">
        <f ca="1">$K$57*$Y$57</f>
        <v>7907.2628176924554</v>
      </c>
      <c r="AF57" s="6">
        <f ca="1">$M$57*$Z$57</f>
        <v>969.87865217349395</v>
      </c>
      <c r="AG57" s="6">
        <f>$O$57*$AA$57</f>
        <v>2985.6800336568026</v>
      </c>
    </row>
    <row r="58" spans="1:33" ht="11.25" customHeight="1" x14ac:dyDescent="0.25">
      <c r="A58" s="4" t="s">
        <v>21</v>
      </c>
      <c r="B58" s="4" t="s">
        <v>35</v>
      </c>
      <c r="C58" s="4" t="s">
        <v>36</v>
      </c>
      <c r="D58" s="4" t="s">
        <v>34</v>
      </c>
      <c r="E58" s="4" t="s">
        <v>25</v>
      </c>
      <c r="F58" s="4" t="s">
        <v>25</v>
      </c>
      <c r="G58" s="4" t="s">
        <v>25</v>
      </c>
      <c r="H58" s="4" t="s">
        <v>37</v>
      </c>
      <c r="I58" s="5">
        <v>44652</v>
      </c>
      <c r="J58" s="6">
        <v>138</v>
      </c>
      <c r="K58" s="6">
        <v>138</v>
      </c>
      <c r="L58" s="6">
        <v>6.8380000000000001</v>
      </c>
      <c r="M58" s="6">
        <v>6.8380000000000001</v>
      </c>
      <c r="N58" s="6">
        <v>6.8380000000000001</v>
      </c>
      <c r="O58" s="6">
        <v>6.8380000000000001</v>
      </c>
      <c r="P58" s="6">
        <v>0</v>
      </c>
      <c r="Q58" s="4" t="s">
        <v>26</v>
      </c>
      <c r="R58" s="4">
        <v>0</v>
      </c>
      <c r="S58" s="6">
        <v>7</v>
      </c>
      <c r="T58" s="6">
        <v>27</v>
      </c>
      <c r="U58" s="6">
        <v>69</v>
      </c>
      <c r="V58" s="6">
        <f>IF(ISERROR(VLOOKUP($S$58,'TAR FIN'!$A$1:$O$86,15,0)),0,VLOOKUP($S$58,'TAR FIN'!$A$1:$O$86,15,0))</f>
        <v>59.47</v>
      </c>
      <c r="W58" s="6">
        <f>IF(ISERROR(VLOOKUP($T$58,'TAR FIN'!$A$1:$O$86,15,0)),0,VLOOKUP($T$58,'TAR FIN'!$A$1:$O$86,15,0))</f>
        <v>73.19</v>
      </c>
      <c r="X58" s="6">
        <f>IF(ISERROR(VLOOKUP($U$58,'TAR FIN'!$A$1:$O$86,15,0)),0,VLOOKUP($U$58,'TAR FIN'!$A$1:$O$86,15,0))</f>
        <v>359.33</v>
      </c>
      <c r="Y58" s="6">
        <f ca="1">('TUSD BE'!$AM$5+'TUSD BF'!$AM$5+'TUSD CVA'!$AM$5)*1</f>
        <v>56.480448697803254</v>
      </c>
      <c r="Z58" s="6">
        <f ca="1">('TUSD BE'!$AM$7+'TUSD BF'!$AM$7+'TUSD CVA'!$AM$7)*1</f>
        <v>117.83242038312405</v>
      </c>
      <c r="AA58" s="6">
        <f>('TE BE'!$AB$5+'TE BF'!$AB$5+'TE CVA'!$AB$5)*1</f>
        <v>362.73600214515886</v>
      </c>
      <c r="AB58" s="6">
        <f>$K$58*$V$58</f>
        <v>8206.86</v>
      </c>
      <c r="AC58" s="6">
        <f>$M$58*$W$58</f>
        <v>500.47321999999997</v>
      </c>
      <c r="AD58" s="6">
        <f>$O$58*$X$58</f>
        <v>2457.09854</v>
      </c>
      <c r="AE58" s="6">
        <f ca="1">$K$58*$Y$58</f>
        <v>7794.3019202968489</v>
      </c>
      <c r="AF58" s="6">
        <f ca="1">$M$58*$Z$58</f>
        <v>805.73809057980225</v>
      </c>
      <c r="AG58" s="6">
        <f>$O$58*$AA$58</f>
        <v>2480.3887826685964</v>
      </c>
    </row>
    <row r="59" spans="1:33" ht="11.25" customHeight="1" x14ac:dyDescent="0.25">
      <c r="A59" s="4" t="s">
        <v>21</v>
      </c>
      <c r="B59" s="4" t="s">
        <v>35</v>
      </c>
      <c r="C59" s="4" t="s">
        <v>36</v>
      </c>
      <c r="D59" s="4" t="s">
        <v>34</v>
      </c>
      <c r="E59" s="4" t="s">
        <v>25</v>
      </c>
      <c r="F59" s="4" t="s">
        <v>25</v>
      </c>
      <c r="G59" s="4" t="s">
        <v>25</v>
      </c>
      <c r="H59" s="4" t="s">
        <v>37</v>
      </c>
      <c r="I59" s="5">
        <v>44682</v>
      </c>
      <c r="J59" s="6">
        <v>138</v>
      </c>
      <c r="K59" s="6">
        <v>138</v>
      </c>
      <c r="L59" s="6">
        <v>7.8890000000000002</v>
      </c>
      <c r="M59" s="6">
        <v>7.8890000000000002</v>
      </c>
      <c r="N59" s="6">
        <v>7.8890000000000002</v>
      </c>
      <c r="O59" s="6">
        <v>7.8890000000000002</v>
      </c>
      <c r="P59" s="6">
        <v>0</v>
      </c>
      <c r="Q59" s="4" t="s">
        <v>26</v>
      </c>
      <c r="R59" s="4">
        <v>0</v>
      </c>
      <c r="S59" s="6">
        <v>7</v>
      </c>
      <c r="T59" s="6">
        <v>27</v>
      </c>
      <c r="U59" s="6">
        <v>69</v>
      </c>
      <c r="V59" s="6">
        <f>IF(ISERROR(VLOOKUP($S$59,'TAR FIN'!$A$1:$O$86,15,0)),0,VLOOKUP($S$59,'TAR FIN'!$A$1:$O$86,15,0))</f>
        <v>59.47</v>
      </c>
      <c r="W59" s="6">
        <f>IF(ISERROR(VLOOKUP($T$59,'TAR FIN'!$A$1:$O$86,15,0)),0,VLOOKUP($T$59,'TAR FIN'!$A$1:$O$86,15,0))</f>
        <v>73.19</v>
      </c>
      <c r="X59" s="6">
        <f>IF(ISERROR(VLOOKUP($U$59,'TAR FIN'!$A$1:$O$86,15,0)),0,VLOOKUP($U$59,'TAR FIN'!$A$1:$O$86,15,0))</f>
        <v>359.33</v>
      </c>
      <c r="Y59" s="6">
        <f ca="1">('TUSD BE'!$AM$5+'TUSD BF'!$AM$5+'TUSD CVA'!$AM$5)*1</f>
        <v>56.480448697803254</v>
      </c>
      <c r="Z59" s="6">
        <f ca="1">('TUSD BE'!$AM$7+'TUSD BF'!$AM$7+'TUSD CVA'!$AM$7)*1</f>
        <v>117.83242038312405</v>
      </c>
      <c r="AA59" s="6">
        <f>('TE BE'!$AB$5+'TE BF'!$AB$5+'TE CVA'!$AB$5)*1</f>
        <v>362.73600214515886</v>
      </c>
      <c r="AB59" s="6">
        <f>$K$59*$V$59</f>
        <v>8206.86</v>
      </c>
      <c r="AC59" s="6">
        <f>$M$59*$W$59</f>
        <v>577.39590999999996</v>
      </c>
      <c r="AD59" s="6">
        <f>$O$59*$X$59</f>
        <v>2834.7543700000001</v>
      </c>
      <c r="AE59" s="6">
        <f ca="1">$K$59*$Y$59</f>
        <v>7794.3019202968489</v>
      </c>
      <c r="AF59" s="6">
        <f ca="1">$M$59*$Z$59</f>
        <v>929.57996440246563</v>
      </c>
      <c r="AG59" s="6">
        <f>$O$59*$AA$59</f>
        <v>2861.6243209231584</v>
      </c>
    </row>
    <row r="60" spans="1:33" ht="11.25" customHeight="1" x14ac:dyDescent="0.25">
      <c r="A60" s="4" t="s">
        <v>21</v>
      </c>
      <c r="B60" s="4" t="s">
        <v>35</v>
      </c>
      <c r="C60" s="4" t="s">
        <v>36</v>
      </c>
      <c r="D60" s="4" t="s">
        <v>34</v>
      </c>
      <c r="E60" s="4" t="s">
        <v>25</v>
      </c>
      <c r="F60" s="4" t="s">
        <v>25</v>
      </c>
      <c r="G60" s="4" t="s">
        <v>25</v>
      </c>
      <c r="H60" s="4" t="s">
        <v>37</v>
      </c>
      <c r="I60" s="5">
        <v>44713</v>
      </c>
      <c r="J60" s="6">
        <v>136</v>
      </c>
      <c r="K60" s="6">
        <v>136</v>
      </c>
      <c r="L60" s="6">
        <v>7.6029999999999998</v>
      </c>
      <c r="M60" s="6">
        <v>7.6029999999999998</v>
      </c>
      <c r="N60" s="6">
        <v>7.6029999999999998</v>
      </c>
      <c r="O60" s="6">
        <v>7.6029999999999998</v>
      </c>
      <c r="P60" s="6">
        <v>0</v>
      </c>
      <c r="Q60" s="4" t="s">
        <v>26</v>
      </c>
      <c r="R60" s="4">
        <v>0</v>
      </c>
      <c r="S60" s="6">
        <v>7</v>
      </c>
      <c r="T60" s="6">
        <v>27</v>
      </c>
      <c r="U60" s="6">
        <v>69</v>
      </c>
      <c r="V60" s="6">
        <f>IF(ISERROR(VLOOKUP($S$60,'TAR FIN'!$A$1:$O$86,15,0)),0,VLOOKUP($S$60,'TAR FIN'!$A$1:$O$86,15,0))</f>
        <v>59.47</v>
      </c>
      <c r="W60" s="6">
        <f>IF(ISERROR(VLOOKUP($T$60,'TAR FIN'!$A$1:$O$86,15,0)),0,VLOOKUP($T$60,'TAR FIN'!$A$1:$O$86,15,0))</f>
        <v>73.19</v>
      </c>
      <c r="X60" s="6">
        <f>IF(ISERROR(VLOOKUP($U$60,'TAR FIN'!$A$1:$O$86,15,0)),0,VLOOKUP($U$60,'TAR FIN'!$A$1:$O$86,15,0))</f>
        <v>359.33</v>
      </c>
      <c r="Y60" s="6">
        <f ca="1">('TUSD BE'!$AM$5+'TUSD BF'!$AM$5+'TUSD CVA'!$AM$5)*1</f>
        <v>56.480448697803254</v>
      </c>
      <c r="Z60" s="6">
        <f ca="1">('TUSD BE'!$AM$7+'TUSD BF'!$AM$7+'TUSD CVA'!$AM$7)*1</f>
        <v>117.83242038312405</v>
      </c>
      <c r="AA60" s="6">
        <f>('TE BE'!$AB$5+'TE BF'!$AB$5+'TE CVA'!$AB$5)*1</f>
        <v>362.73600214515886</v>
      </c>
      <c r="AB60" s="6">
        <f>$K$60*$V$60</f>
        <v>8087.92</v>
      </c>
      <c r="AC60" s="6">
        <f>$M$60*$W$60</f>
        <v>556.46357</v>
      </c>
      <c r="AD60" s="6">
        <f>$O$60*$X$60</f>
        <v>2731.9859899999997</v>
      </c>
      <c r="AE60" s="6">
        <f ca="1">$K$60*$Y$60</f>
        <v>7681.3410229012425</v>
      </c>
      <c r="AF60" s="6">
        <f ca="1">$M$60*$Z$60</f>
        <v>895.87989217289214</v>
      </c>
      <c r="AG60" s="6">
        <f>$O$60*$AA$60</f>
        <v>2757.881824309643</v>
      </c>
    </row>
    <row r="61" spans="1:33" ht="11.25" customHeight="1" x14ac:dyDescent="0.25">
      <c r="A61" s="4" t="s">
        <v>55</v>
      </c>
      <c r="B61" s="4" t="s">
        <v>35</v>
      </c>
      <c r="C61" s="4" t="s">
        <v>36</v>
      </c>
      <c r="D61" s="4" t="s">
        <v>34</v>
      </c>
      <c r="E61" s="4" t="s">
        <v>25</v>
      </c>
      <c r="F61" s="4" t="s">
        <v>25</v>
      </c>
      <c r="G61" s="4" t="s">
        <v>25</v>
      </c>
      <c r="H61" s="4" t="s">
        <v>37</v>
      </c>
      <c r="I61" s="5">
        <v>44743</v>
      </c>
      <c r="J61" s="6">
        <v>136</v>
      </c>
      <c r="K61" s="6">
        <v>136</v>
      </c>
      <c r="L61" s="6">
        <v>7.6029999999999998</v>
      </c>
      <c r="M61" s="6">
        <v>7.6029999999999998</v>
      </c>
      <c r="N61" s="6">
        <v>7.6029999999999998</v>
      </c>
      <c r="O61" s="6">
        <v>7.6029999999999998</v>
      </c>
      <c r="P61" s="6">
        <v>0</v>
      </c>
      <c r="Q61" s="4" t="s">
        <v>26</v>
      </c>
      <c r="R61" s="4">
        <v>0</v>
      </c>
      <c r="S61" s="6">
        <v>7</v>
      </c>
      <c r="T61" s="6">
        <v>27</v>
      </c>
      <c r="U61" s="6">
        <v>69</v>
      </c>
      <c r="V61" s="6">
        <f>IF(ISERROR(VLOOKUP($S$61,'TAR FIN'!$A$1:$O$86,15,0)),0,VLOOKUP($S$61,'TAR FIN'!$A$1:$O$86,15,0))</f>
        <v>59.47</v>
      </c>
      <c r="W61" s="6">
        <f>IF(ISERROR(VLOOKUP($T$61,'TAR FIN'!$A$1:$O$86,15,0)),0,VLOOKUP($T$61,'TAR FIN'!$A$1:$O$86,15,0))</f>
        <v>73.19</v>
      </c>
      <c r="X61" s="6">
        <f>IF(ISERROR(VLOOKUP($U$61,'TAR FIN'!$A$1:$O$86,15,0)),0,VLOOKUP($U$61,'TAR FIN'!$A$1:$O$86,15,0))</f>
        <v>359.33</v>
      </c>
      <c r="Y61" s="6">
        <f ca="1">('TUSD BE'!$AM$5+'TUSD BF'!$AM$5+'TUSD CVA'!$AM$5)*1</f>
        <v>56.480448697803254</v>
      </c>
      <c r="Z61" s="6">
        <f ca="1">('TUSD BE'!$AM$7+'TUSD BF'!$AM$7+'TUSD CVA'!$AM$7)*1</f>
        <v>117.83242038312405</v>
      </c>
      <c r="AA61" s="6">
        <f>('TE BE'!$AB$5+'TE BF'!$AB$5+'TE CVA'!$AB$5)*1</f>
        <v>362.73600214515886</v>
      </c>
      <c r="AB61" s="6">
        <f>$K$61*$V$61</f>
        <v>8087.92</v>
      </c>
      <c r="AC61" s="6">
        <f>$M$61*$W$61</f>
        <v>556.46357</v>
      </c>
      <c r="AD61" s="6">
        <f>$O$61*$X$61</f>
        <v>2731.9859899999997</v>
      </c>
      <c r="AE61" s="6">
        <f ca="1">$K$61*$Y$61</f>
        <v>7681.3410229012425</v>
      </c>
      <c r="AF61" s="6">
        <f ca="1">$M$61*$Z$61</f>
        <v>895.87989217289214</v>
      </c>
      <c r="AG61" s="6">
        <f>$O$61*$AA$61</f>
        <v>2757.881824309643</v>
      </c>
    </row>
    <row r="62" spans="1:33" ht="11.25" customHeight="1" x14ac:dyDescent="0.25">
      <c r="A62" s="4" t="s">
        <v>21</v>
      </c>
      <c r="B62" s="4" t="s">
        <v>35</v>
      </c>
      <c r="C62" s="4" t="s">
        <v>39</v>
      </c>
      <c r="D62" s="4" t="s">
        <v>40</v>
      </c>
      <c r="E62" s="4" t="s">
        <v>25</v>
      </c>
      <c r="F62" s="4" t="s">
        <v>25</v>
      </c>
      <c r="G62" s="4" t="s">
        <v>25</v>
      </c>
      <c r="H62" s="4" t="s">
        <v>38</v>
      </c>
      <c r="I62" s="5">
        <v>44409</v>
      </c>
      <c r="J62" s="6">
        <v>0</v>
      </c>
      <c r="K62" s="6">
        <v>0</v>
      </c>
      <c r="L62" s="6">
        <v>2035.172</v>
      </c>
      <c r="M62" s="6">
        <v>2035.172</v>
      </c>
      <c r="N62" s="6">
        <v>2035.172</v>
      </c>
      <c r="O62" s="6">
        <v>2035.172</v>
      </c>
      <c r="P62" s="6">
        <v>0</v>
      </c>
      <c r="Q62" s="4" t="s">
        <v>26</v>
      </c>
      <c r="R62" s="4">
        <v>0</v>
      </c>
      <c r="S62" s="6">
        <v>0</v>
      </c>
      <c r="T62" s="6">
        <v>18</v>
      </c>
      <c r="U62" s="6">
        <v>73</v>
      </c>
      <c r="V62" s="6">
        <f>IF(ISERROR(VLOOKUP($S$62,'TAR FIN'!$A$1:$O$86,15,0)),0,VLOOKUP($S$62,'TAR FIN'!$A$1:$O$86,15,0))</f>
        <v>0</v>
      </c>
      <c r="W62" s="6">
        <f>IF(ISERROR(VLOOKUP($T$62,'TAR FIN'!$A$1:$O$86,15,0)),0,VLOOKUP($T$62,'TAR FIN'!$A$1:$O$86,15,0))</f>
        <v>73.19</v>
      </c>
      <c r="X62" s="6">
        <f>IF(ISERROR(VLOOKUP($U$62,'TAR FIN'!$A$1:$O$86,15,0)),0,VLOOKUP($U$62,'TAR FIN'!$A$1:$O$86,15,0))</f>
        <v>211.71</v>
      </c>
      <c r="Y62" s="6"/>
      <c r="Z62" s="6">
        <f ca="1">('TUSD BE'!$AM$12+'TUSD BF'!$AM$12+'TUSD CVA'!$AM$12)*1</f>
        <v>117.83242038312405</v>
      </c>
      <c r="AA62" s="6">
        <f>('TE BE'!$AB$6+'TE BF'!$AB$6+'TE CVA'!$AB$6)*1</f>
        <v>222.99901551132911</v>
      </c>
      <c r="AB62" s="6">
        <f>$K$62*$V$62</f>
        <v>0</v>
      </c>
      <c r="AC62" s="6">
        <f>$M$62*$W$62</f>
        <v>148954.23868000001</v>
      </c>
      <c r="AD62" s="6">
        <f>$O$62*$X$62</f>
        <v>430866.26412000001</v>
      </c>
      <c r="AE62" s="6">
        <f>$K$62*$Y$62</f>
        <v>0</v>
      </c>
      <c r="AF62" s="6">
        <f ca="1">$M$62*$Z$62</f>
        <v>239809.24265596335</v>
      </c>
      <c r="AG62" s="6">
        <f>$O$62*$AA$62</f>
        <v>453841.3523962227</v>
      </c>
    </row>
    <row r="63" spans="1:33" ht="11.25" customHeight="1" x14ac:dyDescent="0.25">
      <c r="A63" s="4" t="s">
        <v>21</v>
      </c>
      <c r="B63" s="4" t="s">
        <v>35</v>
      </c>
      <c r="C63" s="4" t="s">
        <v>39</v>
      </c>
      <c r="D63" s="4" t="s">
        <v>40</v>
      </c>
      <c r="E63" s="4" t="s">
        <v>25</v>
      </c>
      <c r="F63" s="4" t="s">
        <v>25</v>
      </c>
      <c r="G63" s="4" t="s">
        <v>25</v>
      </c>
      <c r="H63" s="4" t="s">
        <v>38</v>
      </c>
      <c r="I63" s="5">
        <v>44440</v>
      </c>
      <c r="J63" s="6">
        <v>0</v>
      </c>
      <c r="K63" s="6">
        <v>0</v>
      </c>
      <c r="L63" s="6">
        <v>2211.12</v>
      </c>
      <c r="M63" s="6">
        <v>2211.12</v>
      </c>
      <c r="N63" s="6">
        <v>2211.12</v>
      </c>
      <c r="O63" s="6">
        <v>2211.12</v>
      </c>
      <c r="P63" s="6">
        <v>0</v>
      </c>
      <c r="Q63" s="4" t="s">
        <v>26</v>
      </c>
      <c r="R63" s="4">
        <v>0</v>
      </c>
      <c r="S63" s="6">
        <v>0</v>
      </c>
      <c r="T63" s="6">
        <v>18</v>
      </c>
      <c r="U63" s="6">
        <v>73</v>
      </c>
      <c r="V63" s="6">
        <f>IF(ISERROR(VLOOKUP($S$63,'TAR FIN'!$A$1:$O$86,15,0)),0,VLOOKUP($S$63,'TAR FIN'!$A$1:$O$86,15,0))</f>
        <v>0</v>
      </c>
      <c r="W63" s="6">
        <f>IF(ISERROR(VLOOKUP($T$63,'TAR FIN'!$A$1:$O$86,15,0)),0,VLOOKUP($T$63,'TAR FIN'!$A$1:$O$86,15,0))</f>
        <v>73.19</v>
      </c>
      <c r="X63" s="6">
        <f>IF(ISERROR(VLOOKUP($U$63,'TAR FIN'!$A$1:$O$86,15,0)),0,VLOOKUP($U$63,'TAR FIN'!$A$1:$O$86,15,0))</f>
        <v>211.71</v>
      </c>
      <c r="Y63" s="6"/>
      <c r="Z63" s="6">
        <f ca="1">('TUSD BE'!$AM$12+'TUSD BF'!$AM$12+'TUSD CVA'!$AM$12)*1</f>
        <v>117.83242038312405</v>
      </c>
      <c r="AA63" s="6">
        <f>('TE BE'!$AB$6+'TE BF'!$AB$6+'TE CVA'!$AB$6)*1</f>
        <v>222.99901551132911</v>
      </c>
      <c r="AB63" s="6">
        <f>$K$63*$V$63</f>
        <v>0</v>
      </c>
      <c r="AC63" s="6">
        <f>$M$63*$W$63</f>
        <v>161831.87279999998</v>
      </c>
      <c r="AD63" s="6">
        <f>$O$63*$X$63</f>
        <v>468116.21519999998</v>
      </c>
      <c r="AE63" s="6">
        <f>$K$63*$Y$63</f>
        <v>0</v>
      </c>
      <c r="AF63" s="6">
        <f ca="1">$M$63*$Z$63</f>
        <v>260541.62135753324</v>
      </c>
      <c r="AG63" s="6">
        <f>$O$63*$AA$63</f>
        <v>493077.58317741001</v>
      </c>
    </row>
    <row r="64" spans="1:33" ht="11.25" customHeight="1" x14ac:dyDescent="0.25">
      <c r="A64" s="4" t="s">
        <v>21</v>
      </c>
      <c r="B64" s="4" t="s">
        <v>35</v>
      </c>
      <c r="C64" s="4" t="s">
        <v>39</v>
      </c>
      <c r="D64" s="4" t="s">
        <v>40</v>
      </c>
      <c r="E64" s="4" t="s">
        <v>25</v>
      </c>
      <c r="F64" s="4" t="s">
        <v>25</v>
      </c>
      <c r="G64" s="4" t="s">
        <v>25</v>
      </c>
      <c r="H64" s="4" t="s">
        <v>38</v>
      </c>
      <c r="I64" s="5">
        <v>44470</v>
      </c>
      <c r="J64" s="6">
        <v>0</v>
      </c>
      <c r="K64" s="6">
        <v>0</v>
      </c>
      <c r="L64" s="6">
        <v>2145.2460000000001</v>
      </c>
      <c r="M64" s="6">
        <v>2145.2460000000001</v>
      </c>
      <c r="N64" s="6">
        <v>2145.2460000000001</v>
      </c>
      <c r="O64" s="6">
        <v>2145.2460000000001</v>
      </c>
      <c r="P64" s="6">
        <v>0</v>
      </c>
      <c r="Q64" s="4" t="s">
        <v>26</v>
      </c>
      <c r="R64" s="4">
        <v>0</v>
      </c>
      <c r="S64" s="6">
        <v>0</v>
      </c>
      <c r="T64" s="6">
        <v>18</v>
      </c>
      <c r="U64" s="6">
        <v>73</v>
      </c>
      <c r="V64" s="6">
        <f>IF(ISERROR(VLOOKUP($S$64,'TAR FIN'!$A$1:$O$86,15,0)),0,VLOOKUP($S$64,'TAR FIN'!$A$1:$O$86,15,0))</f>
        <v>0</v>
      </c>
      <c r="W64" s="6">
        <f>IF(ISERROR(VLOOKUP($T$64,'TAR FIN'!$A$1:$O$86,15,0)),0,VLOOKUP($T$64,'TAR FIN'!$A$1:$O$86,15,0))</f>
        <v>73.19</v>
      </c>
      <c r="X64" s="6">
        <f>IF(ISERROR(VLOOKUP($U$64,'TAR FIN'!$A$1:$O$86,15,0)),0,VLOOKUP($U$64,'TAR FIN'!$A$1:$O$86,15,0))</f>
        <v>211.71</v>
      </c>
      <c r="Y64" s="6"/>
      <c r="Z64" s="6">
        <f ca="1">('TUSD BE'!$AM$12+'TUSD BF'!$AM$12+'TUSD CVA'!$AM$12)*1</f>
        <v>117.83242038312405</v>
      </c>
      <c r="AA64" s="6">
        <f>('TE BE'!$AB$6+'TE BF'!$AB$6+'TE CVA'!$AB$6)*1</f>
        <v>222.99901551132911</v>
      </c>
      <c r="AB64" s="6">
        <f>$K$64*$V$64</f>
        <v>0</v>
      </c>
      <c r="AC64" s="6">
        <f>$M$64*$W$64</f>
        <v>157010.55473999999</v>
      </c>
      <c r="AD64" s="6">
        <f>$O$64*$X$64</f>
        <v>454170.03066000005</v>
      </c>
      <c r="AE64" s="6">
        <f>$K$64*$Y$64</f>
        <v>0</v>
      </c>
      <c r="AF64" s="6">
        <f ca="1">$M$64*$Z$64</f>
        <v>252779.52849721533</v>
      </c>
      <c r="AG64" s="6">
        <f>$O$64*$AA$64</f>
        <v>478387.74602961674</v>
      </c>
    </row>
    <row r="65" spans="1:33" ht="11.25" customHeight="1" x14ac:dyDescent="0.25">
      <c r="A65" s="4" t="s">
        <v>21</v>
      </c>
      <c r="B65" s="4" t="s">
        <v>35</v>
      </c>
      <c r="C65" s="4" t="s">
        <v>39</v>
      </c>
      <c r="D65" s="4" t="s">
        <v>40</v>
      </c>
      <c r="E65" s="4" t="s">
        <v>25</v>
      </c>
      <c r="F65" s="4" t="s">
        <v>25</v>
      </c>
      <c r="G65" s="4" t="s">
        <v>25</v>
      </c>
      <c r="H65" s="4" t="s">
        <v>38</v>
      </c>
      <c r="I65" s="5">
        <v>44501</v>
      </c>
      <c r="J65" s="6">
        <v>0</v>
      </c>
      <c r="K65" s="6">
        <v>0</v>
      </c>
      <c r="L65" s="6">
        <v>2449.5129999999999</v>
      </c>
      <c r="M65" s="6">
        <v>2449.5129999999999</v>
      </c>
      <c r="N65" s="6">
        <v>2449.5129999999999</v>
      </c>
      <c r="O65" s="6">
        <v>2449.5129999999999</v>
      </c>
      <c r="P65" s="6">
        <v>0</v>
      </c>
      <c r="Q65" s="4" t="s">
        <v>26</v>
      </c>
      <c r="R65" s="4">
        <v>0</v>
      </c>
      <c r="S65" s="6">
        <v>0</v>
      </c>
      <c r="T65" s="6">
        <v>18</v>
      </c>
      <c r="U65" s="6">
        <v>73</v>
      </c>
      <c r="V65" s="6">
        <f>IF(ISERROR(VLOOKUP($S$65,'TAR FIN'!$A$1:$O$86,15,0)),0,VLOOKUP($S$65,'TAR FIN'!$A$1:$O$86,15,0))</f>
        <v>0</v>
      </c>
      <c r="W65" s="6">
        <f>IF(ISERROR(VLOOKUP($T$65,'TAR FIN'!$A$1:$O$86,15,0)),0,VLOOKUP($T$65,'TAR FIN'!$A$1:$O$86,15,0))</f>
        <v>73.19</v>
      </c>
      <c r="X65" s="6">
        <f>IF(ISERROR(VLOOKUP($U$65,'TAR FIN'!$A$1:$O$86,15,0)),0,VLOOKUP($U$65,'TAR FIN'!$A$1:$O$86,15,0))</f>
        <v>211.71</v>
      </c>
      <c r="Y65" s="6"/>
      <c r="Z65" s="6">
        <f ca="1">('TUSD BE'!$AM$12+'TUSD BF'!$AM$12+'TUSD CVA'!$AM$12)*1</f>
        <v>117.83242038312405</v>
      </c>
      <c r="AA65" s="6">
        <f>('TE BE'!$AB$6+'TE BF'!$AB$6+'TE CVA'!$AB$6)*1</f>
        <v>222.99901551132911</v>
      </c>
      <c r="AB65" s="6">
        <f>$K$65*$V$65</f>
        <v>0</v>
      </c>
      <c r="AC65" s="6">
        <f>$M$65*$W$65</f>
        <v>179279.85647</v>
      </c>
      <c r="AD65" s="6">
        <f>$O$65*$X$65</f>
        <v>518586.39723</v>
      </c>
      <c r="AE65" s="6">
        <f>$K$65*$Y$65</f>
        <v>0</v>
      </c>
      <c r="AF65" s="6">
        <f ca="1">$M$65*$Z$65</f>
        <v>288632.04554992734</v>
      </c>
      <c r="AG65" s="6">
        <f>$O$65*$AA$65</f>
        <v>546238.98748220224</v>
      </c>
    </row>
    <row r="66" spans="1:33" ht="11.25" customHeight="1" x14ac:dyDescent="0.25">
      <c r="A66" s="4" t="s">
        <v>21</v>
      </c>
      <c r="B66" s="4" t="s">
        <v>35</v>
      </c>
      <c r="C66" s="4" t="s">
        <v>39</v>
      </c>
      <c r="D66" s="4" t="s">
        <v>40</v>
      </c>
      <c r="E66" s="4" t="s">
        <v>25</v>
      </c>
      <c r="F66" s="4" t="s">
        <v>25</v>
      </c>
      <c r="G66" s="4" t="s">
        <v>25</v>
      </c>
      <c r="H66" s="4" t="s">
        <v>38</v>
      </c>
      <c r="I66" s="5">
        <v>44531</v>
      </c>
      <c r="J66" s="6">
        <v>0</v>
      </c>
      <c r="K66" s="6">
        <v>0</v>
      </c>
      <c r="L66" s="6">
        <v>2745.7040000000002</v>
      </c>
      <c r="M66" s="6">
        <v>2745.7040000000002</v>
      </c>
      <c r="N66" s="6">
        <v>2745.7040000000002</v>
      </c>
      <c r="O66" s="6">
        <v>2745.7040000000002</v>
      </c>
      <c r="P66" s="6">
        <v>0</v>
      </c>
      <c r="Q66" s="4" t="s">
        <v>26</v>
      </c>
      <c r="R66" s="4">
        <v>0</v>
      </c>
      <c r="S66" s="6">
        <v>0</v>
      </c>
      <c r="T66" s="6">
        <v>18</v>
      </c>
      <c r="U66" s="6">
        <v>73</v>
      </c>
      <c r="V66" s="6">
        <f>IF(ISERROR(VLOOKUP($S$66,'TAR FIN'!$A$1:$O$86,15,0)),0,VLOOKUP($S$66,'TAR FIN'!$A$1:$O$86,15,0))</f>
        <v>0</v>
      </c>
      <c r="W66" s="6">
        <f>IF(ISERROR(VLOOKUP($T$66,'TAR FIN'!$A$1:$O$86,15,0)),0,VLOOKUP($T$66,'TAR FIN'!$A$1:$O$86,15,0))</f>
        <v>73.19</v>
      </c>
      <c r="X66" s="6">
        <f>IF(ISERROR(VLOOKUP($U$66,'TAR FIN'!$A$1:$O$86,15,0)),0,VLOOKUP($U$66,'TAR FIN'!$A$1:$O$86,15,0))</f>
        <v>211.71</v>
      </c>
      <c r="Y66" s="6"/>
      <c r="Z66" s="6">
        <f ca="1">('TUSD BE'!$AM$12+'TUSD BF'!$AM$12+'TUSD CVA'!$AM$12)*1</f>
        <v>117.83242038312405</v>
      </c>
      <c r="AA66" s="6">
        <f>('TE BE'!$AB$6+'TE BF'!$AB$6+'TE CVA'!$AB$6)*1</f>
        <v>222.99901551132911</v>
      </c>
      <c r="AB66" s="6">
        <f>$K$66*$V$66</f>
        <v>0</v>
      </c>
      <c r="AC66" s="6">
        <f>$M$66*$W$66</f>
        <v>200958.07576000001</v>
      </c>
      <c r="AD66" s="6">
        <f>$O$66*$X$66</f>
        <v>581292.99384000001</v>
      </c>
      <c r="AE66" s="6">
        <f>$K$66*$Y$66</f>
        <v>0</v>
      </c>
      <c r="AF66" s="6">
        <f ca="1">$M$66*$Z$66</f>
        <v>323532.94797562523</v>
      </c>
      <c r="AG66" s="6">
        <f>$O$66*$AA$66</f>
        <v>612289.28888551844</v>
      </c>
    </row>
    <row r="67" spans="1:33" ht="11.25" customHeight="1" x14ac:dyDescent="0.25">
      <c r="A67" s="4" t="s">
        <v>28</v>
      </c>
      <c r="B67" s="4" t="s">
        <v>35</v>
      </c>
      <c r="C67" s="4" t="s">
        <v>39</v>
      </c>
      <c r="D67" s="4" t="s">
        <v>40</v>
      </c>
      <c r="E67" s="4" t="s">
        <v>25</v>
      </c>
      <c r="F67" s="4" t="s">
        <v>25</v>
      </c>
      <c r="G67" s="4" t="s">
        <v>25</v>
      </c>
      <c r="H67" s="4" t="s">
        <v>38</v>
      </c>
      <c r="I67" s="5">
        <v>44531</v>
      </c>
      <c r="J67" s="6">
        <v>0</v>
      </c>
      <c r="K67" s="6">
        <v>0</v>
      </c>
      <c r="L67" s="6">
        <v>45.22</v>
      </c>
      <c r="M67" s="6">
        <v>45.22</v>
      </c>
      <c r="N67" s="6">
        <v>45.22</v>
      </c>
      <c r="O67" s="6">
        <v>45.22</v>
      </c>
      <c r="P67" s="6">
        <v>0</v>
      </c>
      <c r="Q67" s="4" t="s">
        <v>26</v>
      </c>
      <c r="R67" s="4">
        <v>0</v>
      </c>
      <c r="S67" s="6">
        <v>0</v>
      </c>
      <c r="T67" s="6">
        <v>18</v>
      </c>
      <c r="U67" s="6">
        <v>73</v>
      </c>
      <c r="V67" s="6">
        <f>IF(ISERROR(VLOOKUP($S$67,'TAR FIN'!$A$1:$O$86,15,0)),0,VLOOKUP($S$67,'TAR FIN'!$A$1:$O$86,15,0))</f>
        <v>0</v>
      </c>
      <c r="W67" s="6">
        <f>IF(ISERROR(VLOOKUP($T$67,'TAR FIN'!$A$1:$O$86,15,0)),0,VLOOKUP($T$67,'TAR FIN'!$A$1:$O$86,15,0))</f>
        <v>73.19</v>
      </c>
      <c r="X67" s="6">
        <f>IF(ISERROR(VLOOKUP($U$67,'TAR FIN'!$A$1:$O$86,15,0)),0,VLOOKUP($U$67,'TAR FIN'!$A$1:$O$86,15,0))</f>
        <v>211.71</v>
      </c>
      <c r="Y67" s="6"/>
      <c r="Z67" s="6">
        <f ca="1">('TUSD BE'!$AM$12+'TUSD BF'!$AM$12+'TUSD CVA'!$AM$12)*1</f>
        <v>117.83242038312405</v>
      </c>
      <c r="AA67" s="6">
        <f>('TE BE'!$AB$6+'TE BF'!$AB$6+'TE CVA'!$AB$6)*1</f>
        <v>222.99901551132911</v>
      </c>
      <c r="AB67" s="6">
        <f>$K$67*$V$67</f>
        <v>0</v>
      </c>
      <c r="AC67" s="6">
        <f>$M$67*$W$67</f>
        <v>3309.6517999999996</v>
      </c>
      <c r="AD67" s="6">
        <f>$O$67*$X$67</f>
        <v>9573.5262000000002</v>
      </c>
      <c r="AE67" s="6">
        <f>$K$67*$Y$67</f>
        <v>0</v>
      </c>
      <c r="AF67" s="6">
        <f ca="1">$M$67*$Z$67</f>
        <v>5328.3820497248689</v>
      </c>
      <c r="AG67" s="6">
        <f>$O$67*$AA$67</f>
        <v>10084.015481422302</v>
      </c>
    </row>
    <row r="68" spans="1:33" ht="11.25" customHeight="1" x14ac:dyDescent="0.25">
      <c r="A68" s="4" t="s">
        <v>21</v>
      </c>
      <c r="B68" s="4" t="s">
        <v>35</v>
      </c>
      <c r="C68" s="4" t="s">
        <v>39</v>
      </c>
      <c r="D68" s="4" t="s">
        <v>40</v>
      </c>
      <c r="E68" s="4" t="s">
        <v>25</v>
      </c>
      <c r="F68" s="4" t="s">
        <v>25</v>
      </c>
      <c r="G68" s="4" t="s">
        <v>25</v>
      </c>
      <c r="H68" s="4" t="s">
        <v>38</v>
      </c>
      <c r="I68" s="5">
        <v>44562</v>
      </c>
      <c r="J68" s="6">
        <v>0</v>
      </c>
      <c r="K68" s="6">
        <v>0</v>
      </c>
      <c r="L68" s="6">
        <v>2724.8580000000002</v>
      </c>
      <c r="M68" s="6">
        <v>2724.8580000000002</v>
      </c>
      <c r="N68" s="6">
        <v>2724.8580000000002</v>
      </c>
      <c r="O68" s="6">
        <v>2724.8580000000002</v>
      </c>
      <c r="P68" s="6">
        <v>0</v>
      </c>
      <c r="Q68" s="4" t="s">
        <v>26</v>
      </c>
      <c r="R68" s="4">
        <v>0</v>
      </c>
      <c r="S68" s="6">
        <v>0</v>
      </c>
      <c r="T68" s="6">
        <v>18</v>
      </c>
      <c r="U68" s="6">
        <v>73</v>
      </c>
      <c r="V68" s="6">
        <f>IF(ISERROR(VLOOKUP($S$68,'TAR FIN'!$A$1:$O$86,15,0)),0,VLOOKUP($S$68,'TAR FIN'!$A$1:$O$86,15,0))</f>
        <v>0</v>
      </c>
      <c r="W68" s="6">
        <f>IF(ISERROR(VLOOKUP($T$68,'TAR FIN'!$A$1:$O$86,15,0)),0,VLOOKUP($T$68,'TAR FIN'!$A$1:$O$86,15,0))</f>
        <v>73.19</v>
      </c>
      <c r="X68" s="6">
        <f>IF(ISERROR(VLOOKUP($U$68,'TAR FIN'!$A$1:$O$86,15,0)),0,VLOOKUP($U$68,'TAR FIN'!$A$1:$O$86,15,0))</f>
        <v>211.71</v>
      </c>
      <c r="Y68" s="6"/>
      <c r="Z68" s="6">
        <f ca="1">('TUSD BE'!$AM$12+'TUSD BF'!$AM$12+'TUSD CVA'!$AM$12)*1</f>
        <v>117.83242038312405</v>
      </c>
      <c r="AA68" s="6">
        <f>('TE BE'!$AB$6+'TE BF'!$AB$6+'TE CVA'!$AB$6)*1</f>
        <v>222.99901551132911</v>
      </c>
      <c r="AB68" s="6">
        <f>$K$68*$V$68</f>
        <v>0</v>
      </c>
      <c r="AC68" s="6">
        <f>$M$68*$W$68</f>
        <v>199432.35702</v>
      </c>
      <c r="AD68" s="6">
        <f>$O$68*$X$68</f>
        <v>576879.68718000001</v>
      </c>
      <c r="AE68" s="6">
        <f>$K$68*$Y$68</f>
        <v>0</v>
      </c>
      <c r="AF68" s="6">
        <f ca="1">$M$68*$Z$68</f>
        <v>321076.61334031867</v>
      </c>
      <c r="AG68" s="6">
        <f>$O$68*$AA$68</f>
        <v>607640.65140816919</v>
      </c>
    </row>
    <row r="69" spans="1:33" ht="11.25" customHeight="1" x14ac:dyDescent="0.25">
      <c r="A69" s="4" t="s">
        <v>28</v>
      </c>
      <c r="B69" s="4" t="s">
        <v>35</v>
      </c>
      <c r="C69" s="4" t="s">
        <v>39</v>
      </c>
      <c r="D69" s="4" t="s">
        <v>40</v>
      </c>
      <c r="E69" s="4" t="s">
        <v>25</v>
      </c>
      <c r="F69" s="4" t="s">
        <v>25</v>
      </c>
      <c r="G69" s="4" t="s">
        <v>25</v>
      </c>
      <c r="H69" s="4" t="s">
        <v>38</v>
      </c>
      <c r="I69" s="5">
        <v>44562</v>
      </c>
      <c r="J69" s="6">
        <v>0</v>
      </c>
      <c r="K69" s="6">
        <v>0</v>
      </c>
      <c r="L69" s="6">
        <v>45.866999999999997</v>
      </c>
      <c r="M69" s="6">
        <v>45.866999999999997</v>
      </c>
      <c r="N69" s="6">
        <v>45.866999999999997</v>
      </c>
      <c r="O69" s="6">
        <v>45.866999999999997</v>
      </c>
      <c r="P69" s="6">
        <v>0</v>
      </c>
      <c r="Q69" s="4" t="s">
        <v>26</v>
      </c>
      <c r="R69" s="4">
        <v>0</v>
      </c>
      <c r="S69" s="6">
        <v>0</v>
      </c>
      <c r="T69" s="6">
        <v>18</v>
      </c>
      <c r="U69" s="6">
        <v>73</v>
      </c>
      <c r="V69" s="6">
        <f>IF(ISERROR(VLOOKUP($S$69,'TAR FIN'!$A$1:$O$86,15,0)),0,VLOOKUP($S$69,'TAR FIN'!$A$1:$O$86,15,0))</f>
        <v>0</v>
      </c>
      <c r="W69" s="6">
        <f>IF(ISERROR(VLOOKUP($T$69,'TAR FIN'!$A$1:$O$86,15,0)),0,VLOOKUP($T$69,'TAR FIN'!$A$1:$O$86,15,0))</f>
        <v>73.19</v>
      </c>
      <c r="X69" s="6">
        <f>IF(ISERROR(VLOOKUP($U$69,'TAR FIN'!$A$1:$O$86,15,0)),0,VLOOKUP($U$69,'TAR FIN'!$A$1:$O$86,15,0))</f>
        <v>211.71</v>
      </c>
      <c r="Y69" s="6"/>
      <c r="Z69" s="6">
        <f ca="1">('TUSD BE'!$AM$12+'TUSD BF'!$AM$12+'TUSD CVA'!$AM$12)*1</f>
        <v>117.83242038312405</v>
      </c>
      <c r="AA69" s="6">
        <f>('TE BE'!$AB$6+'TE BF'!$AB$6+'TE CVA'!$AB$6)*1</f>
        <v>222.99901551132911</v>
      </c>
      <c r="AB69" s="6">
        <f>$K$69*$V$69</f>
        <v>0</v>
      </c>
      <c r="AC69" s="6">
        <f>$M$69*$W$69</f>
        <v>3357.0057299999999</v>
      </c>
      <c r="AD69" s="6">
        <f>$O$69*$X$69</f>
        <v>9710.5025700000006</v>
      </c>
      <c r="AE69" s="6">
        <f>$K$69*$Y$69</f>
        <v>0</v>
      </c>
      <c r="AF69" s="6">
        <f ca="1">$M$69*$Z$69</f>
        <v>5404.6196257127503</v>
      </c>
      <c r="AG69" s="6">
        <f>$O$69*$AA$69</f>
        <v>10228.295844458131</v>
      </c>
    </row>
    <row r="70" spans="1:33" ht="11.25" customHeight="1" x14ac:dyDescent="0.25">
      <c r="A70" s="4" t="s">
        <v>21</v>
      </c>
      <c r="B70" s="4" t="s">
        <v>35</v>
      </c>
      <c r="C70" s="4" t="s">
        <v>39</v>
      </c>
      <c r="D70" s="4" t="s">
        <v>40</v>
      </c>
      <c r="E70" s="4" t="s">
        <v>25</v>
      </c>
      <c r="F70" s="4" t="s">
        <v>25</v>
      </c>
      <c r="G70" s="4" t="s">
        <v>25</v>
      </c>
      <c r="H70" s="4" t="s">
        <v>38</v>
      </c>
      <c r="I70" s="5">
        <v>44593</v>
      </c>
      <c r="J70" s="6">
        <v>0</v>
      </c>
      <c r="K70" s="6">
        <v>0</v>
      </c>
      <c r="L70" s="6">
        <v>2615.8589999999999</v>
      </c>
      <c r="M70" s="6">
        <v>2615.8589999999999</v>
      </c>
      <c r="N70" s="6">
        <v>2615.8589999999999</v>
      </c>
      <c r="O70" s="6">
        <v>2615.8589999999999</v>
      </c>
      <c r="P70" s="6">
        <v>0</v>
      </c>
      <c r="Q70" s="4" t="s">
        <v>26</v>
      </c>
      <c r="R70" s="4">
        <v>0</v>
      </c>
      <c r="S70" s="6">
        <v>0</v>
      </c>
      <c r="T70" s="6">
        <v>18</v>
      </c>
      <c r="U70" s="6">
        <v>73</v>
      </c>
      <c r="V70" s="6">
        <f>IF(ISERROR(VLOOKUP($S$70,'TAR FIN'!$A$1:$O$86,15,0)),0,VLOOKUP($S$70,'TAR FIN'!$A$1:$O$86,15,0))</f>
        <v>0</v>
      </c>
      <c r="W70" s="6">
        <f>IF(ISERROR(VLOOKUP($T$70,'TAR FIN'!$A$1:$O$86,15,0)),0,VLOOKUP($T$70,'TAR FIN'!$A$1:$O$86,15,0))</f>
        <v>73.19</v>
      </c>
      <c r="X70" s="6">
        <f>IF(ISERROR(VLOOKUP($U$70,'TAR FIN'!$A$1:$O$86,15,0)),0,VLOOKUP($U$70,'TAR FIN'!$A$1:$O$86,15,0))</f>
        <v>211.71</v>
      </c>
      <c r="Y70" s="6"/>
      <c r="Z70" s="6">
        <f ca="1">('TUSD BE'!$AM$12+'TUSD BF'!$AM$12+'TUSD CVA'!$AM$12)*1</f>
        <v>117.83242038312405</v>
      </c>
      <c r="AA70" s="6">
        <f>('TE BE'!$AB$6+'TE BF'!$AB$6+'TE CVA'!$AB$6)*1</f>
        <v>222.99901551132911</v>
      </c>
      <c r="AB70" s="6">
        <f>$K$70*$V$70</f>
        <v>0</v>
      </c>
      <c r="AC70" s="6">
        <f>$M$70*$W$70</f>
        <v>191454.72021</v>
      </c>
      <c r="AD70" s="6">
        <f>$O$70*$X$70</f>
        <v>553803.50889000006</v>
      </c>
      <c r="AE70" s="6">
        <f>$K$70*$Y$70</f>
        <v>0</v>
      </c>
      <c r="AF70" s="6">
        <f ca="1">$M$70*$Z$70</f>
        <v>308232.99735097849</v>
      </c>
      <c r="AG70" s="6">
        <f>$O$70*$AA$70</f>
        <v>583333.98171644984</v>
      </c>
    </row>
    <row r="71" spans="1:33" ht="11.25" customHeight="1" x14ac:dyDescent="0.25">
      <c r="A71" s="4" t="s">
        <v>28</v>
      </c>
      <c r="B71" s="4" t="s">
        <v>35</v>
      </c>
      <c r="C71" s="4" t="s">
        <v>39</v>
      </c>
      <c r="D71" s="4" t="s">
        <v>40</v>
      </c>
      <c r="E71" s="4" t="s">
        <v>25</v>
      </c>
      <c r="F71" s="4" t="s">
        <v>25</v>
      </c>
      <c r="G71" s="4" t="s">
        <v>25</v>
      </c>
      <c r="H71" s="4" t="s">
        <v>38</v>
      </c>
      <c r="I71" s="5">
        <v>44593</v>
      </c>
      <c r="J71" s="6">
        <v>0</v>
      </c>
      <c r="K71" s="6">
        <v>0</v>
      </c>
      <c r="L71" s="6">
        <v>46.393999999999998</v>
      </c>
      <c r="M71" s="6">
        <v>46.393999999999998</v>
      </c>
      <c r="N71" s="6">
        <v>46.393999999999998</v>
      </c>
      <c r="O71" s="6">
        <v>46.393999999999998</v>
      </c>
      <c r="P71" s="6">
        <v>0</v>
      </c>
      <c r="Q71" s="4" t="s">
        <v>26</v>
      </c>
      <c r="R71" s="4">
        <v>0</v>
      </c>
      <c r="S71" s="6">
        <v>0</v>
      </c>
      <c r="T71" s="6">
        <v>18</v>
      </c>
      <c r="U71" s="6">
        <v>73</v>
      </c>
      <c r="V71" s="6">
        <f>IF(ISERROR(VLOOKUP($S$71,'TAR FIN'!$A$1:$O$86,15,0)),0,VLOOKUP($S$71,'TAR FIN'!$A$1:$O$86,15,0))</f>
        <v>0</v>
      </c>
      <c r="W71" s="6">
        <f>IF(ISERROR(VLOOKUP($T$71,'TAR FIN'!$A$1:$O$86,15,0)),0,VLOOKUP($T$71,'TAR FIN'!$A$1:$O$86,15,0))</f>
        <v>73.19</v>
      </c>
      <c r="X71" s="6">
        <f>IF(ISERROR(VLOOKUP($U$71,'TAR FIN'!$A$1:$O$86,15,0)),0,VLOOKUP($U$71,'TAR FIN'!$A$1:$O$86,15,0))</f>
        <v>211.71</v>
      </c>
      <c r="Y71" s="6"/>
      <c r="Z71" s="6">
        <f ca="1">('TUSD BE'!$AM$12+'TUSD BF'!$AM$12+'TUSD CVA'!$AM$12)*1</f>
        <v>117.83242038312405</v>
      </c>
      <c r="AA71" s="6">
        <f>('TE BE'!$AB$6+'TE BF'!$AB$6+'TE CVA'!$AB$6)*1</f>
        <v>222.99901551132911</v>
      </c>
      <c r="AB71" s="6">
        <f>$K$71*$V$71</f>
        <v>0</v>
      </c>
      <c r="AC71" s="6">
        <f>$M$71*$W$71</f>
        <v>3395.5768599999997</v>
      </c>
      <c r="AD71" s="6">
        <f>$O$71*$X$71</f>
        <v>9822.0737399999998</v>
      </c>
      <c r="AE71" s="6">
        <f>$K$71*$Y$71</f>
        <v>0</v>
      </c>
      <c r="AF71" s="6">
        <f ca="1">$M$71*$Z$71</f>
        <v>5466.717311254657</v>
      </c>
      <c r="AG71" s="6">
        <f>$O$71*$AA$71</f>
        <v>10345.816325632602</v>
      </c>
    </row>
    <row r="72" spans="1:33" ht="11.25" customHeight="1" x14ac:dyDescent="0.25">
      <c r="A72" s="4" t="s">
        <v>21</v>
      </c>
      <c r="B72" s="4" t="s">
        <v>35</v>
      </c>
      <c r="C72" s="4" t="s">
        <v>39</v>
      </c>
      <c r="D72" s="4" t="s">
        <v>40</v>
      </c>
      <c r="E72" s="4" t="s">
        <v>25</v>
      </c>
      <c r="F72" s="4" t="s">
        <v>25</v>
      </c>
      <c r="G72" s="4" t="s">
        <v>25</v>
      </c>
      <c r="H72" s="4" t="s">
        <v>38</v>
      </c>
      <c r="I72" s="5">
        <v>44621</v>
      </c>
      <c r="J72" s="6">
        <v>0</v>
      </c>
      <c r="K72" s="6">
        <v>0</v>
      </c>
      <c r="L72" s="6">
        <v>2779.0639999999999</v>
      </c>
      <c r="M72" s="6">
        <v>2779.0639999999999</v>
      </c>
      <c r="N72" s="6">
        <v>2779.0639999999999</v>
      </c>
      <c r="O72" s="6">
        <v>2779.0639999999999</v>
      </c>
      <c r="P72" s="6">
        <v>0</v>
      </c>
      <c r="Q72" s="4" t="s">
        <v>26</v>
      </c>
      <c r="R72" s="4">
        <v>0</v>
      </c>
      <c r="S72" s="6">
        <v>0</v>
      </c>
      <c r="T72" s="6">
        <v>18</v>
      </c>
      <c r="U72" s="6">
        <v>73</v>
      </c>
      <c r="V72" s="6">
        <f>IF(ISERROR(VLOOKUP($S$72,'TAR FIN'!$A$1:$O$86,15,0)),0,VLOOKUP($S$72,'TAR FIN'!$A$1:$O$86,15,0))</f>
        <v>0</v>
      </c>
      <c r="W72" s="6">
        <f>IF(ISERROR(VLOOKUP($T$72,'TAR FIN'!$A$1:$O$86,15,0)),0,VLOOKUP($T$72,'TAR FIN'!$A$1:$O$86,15,0))</f>
        <v>73.19</v>
      </c>
      <c r="X72" s="6">
        <f>IF(ISERROR(VLOOKUP($U$72,'TAR FIN'!$A$1:$O$86,15,0)),0,VLOOKUP($U$72,'TAR FIN'!$A$1:$O$86,15,0))</f>
        <v>211.71</v>
      </c>
      <c r="Y72" s="6"/>
      <c r="Z72" s="6">
        <f ca="1">('TUSD BE'!$AM$12+'TUSD BF'!$AM$12+'TUSD CVA'!$AM$12)*1</f>
        <v>117.83242038312405</v>
      </c>
      <c r="AA72" s="6">
        <f>('TE BE'!$AB$6+'TE BF'!$AB$6+'TE CVA'!$AB$6)*1</f>
        <v>222.99901551132911</v>
      </c>
      <c r="AB72" s="6">
        <f>$K$72*$V$72</f>
        <v>0</v>
      </c>
      <c r="AC72" s="6">
        <f>$M$72*$W$72</f>
        <v>203399.69415999998</v>
      </c>
      <c r="AD72" s="6">
        <f>$O$72*$X$72</f>
        <v>588355.63943999994</v>
      </c>
      <c r="AE72" s="6">
        <f>$K$72*$Y$72</f>
        <v>0</v>
      </c>
      <c r="AF72" s="6">
        <f ca="1">$M$72*$Z$72</f>
        <v>327463.83751960623</v>
      </c>
      <c r="AG72" s="6">
        <f>$O$72*$AA$72</f>
        <v>619728.53604297631</v>
      </c>
    </row>
    <row r="73" spans="1:33" ht="11.25" customHeight="1" x14ac:dyDescent="0.25">
      <c r="A73" s="4" t="s">
        <v>28</v>
      </c>
      <c r="B73" s="4" t="s">
        <v>35</v>
      </c>
      <c r="C73" s="4" t="s">
        <v>39</v>
      </c>
      <c r="D73" s="4" t="s">
        <v>40</v>
      </c>
      <c r="E73" s="4" t="s">
        <v>25</v>
      </c>
      <c r="F73" s="4" t="s">
        <v>25</v>
      </c>
      <c r="G73" s="4" t="s">
        <v>25</v>
      </c>
      <c r="H73" s="4" t="s">
        <v>38</v>
      </c>
      <c r="I73" s="5">
        <v>44621</v>
      </c>
      <c r="J73" s="6">
        <v>0</v>
      </c>
      <c r="K73" s="6">
        <v>0</v>
      </c>
      <c r="L73" s="6">
        <v>44.688000000000002</v>
      </c>
      <c r="M73" s="6">
        <v>44.688000000000002</v>
      </c>
      <c r="N73" s="6">
        <v>44.688000000000002</v>
      </c>
      <c r="O73" s="6">
        <v>44.688000000000002</v>
      </c>
      <c r="P73" s="6">
        <v>0</v>
      </c>
      <c r="Q73" s="4" t="s">
        <v>26</v>
      </c>
      <c r="R73" s="4">
        <v>0</v>
      </c>
      <c r="S73" s="6">
        <v>0</v>
      </c>
      <c r="T73" s="6">
        <v>18</v>
      </c>
      <c r="U73" s="6">
        <v>73</v>
      </c>
      <c r="V73" s="6">
        <f>IF(ISERROR(VLOOKUP($S$73,'TAR FIN'!$A$1:$O$86,15,0)),0,VLOOKUP($S$73,'TAR FIN'!$A$1:$O$86,15,0))</f>
        <v>0</v>
      </c>
      <c r="W73" s="6">
        <f>IF(ISERROR(VLOOKUP($T$73,'TAR FIN'!$A$1:$O$86,15,0)),0,VLOOKUP($T$73,'TAR FIN'!$A$1:$O$86,15,0))</f>
        <v>73.19</v>
      </c>
      <c r="X73" s="6">
        <f>IF(ISERROR(VLOOKUP($U$73,'TAR FIN'!$A$1:$O$86,15,0)),0,VLOOKUP($U$73,'TAR FIN'!$A$1:$O$86,15,0))</f>
        <v>211.71</v>
      </c>
      <c r="Y73" s="6"/>
      <c r="Z73" s="6">
        <f ca="1">('TUSD BE'!$AM$12+'TUSD BF'!$AM$12+'TUSD CVA'!$AM$12)*1</f>
        <v>117.83242038312405</v>
      </c>
      <c r="AA73" s="6">
        <f>('TE BE'!$AB$6+'TE BF'!$AB$6+'TE CVA'!$AB$6)*1</f>
        <v>222.99901551132911</v>
      </c>
      <c r="AB73" s="6">
        <f>$K$73*$V$73</f>
        <v>0</v>
      </c>
      <c r="AC73" s="6">
        <f>$M$73*$W$73</f>
        <v>3270.7147199999999</v>
      </c>
      <c r="AD73" s="6">
        <f>$O$73*$X$73</f>
        <v>9460.8964800000012</v>
      </c>
      <c r="AE73" s="6">
        <f>$K$73*$Y$73</f>
        <v>0</v>
      </c>
      <c r="AF73" s="6">
        <f ca="1">$M$73*$Z$73</f>
        <v>5265.6952020810477</v>
      </c>
      <c r="AG73" s="6">
        <f>$O$73*$AA$73</f>
        <v>9965.3800051702765</v>
      </c>
    </row>
    <row r="74" spans="1:33" ht="11.25" customHeight="1" x14ac:dyDescent="0.25">
      <c r="A74" s="4" t="s">
        <v>21</v>
      </c>
      <c r="B74" s="4" t="s">
        <v>35</v>
      </c>
      <c r="C74" s="4" t="s">
        <v>39</v>
      </c>
      <c r="D74" s="4" t="s">
        <v>40</v>
      </c>
      <c r="E74" s="4" t="s">
        <v>25</v>
      </c>
      <c r="F74" s="4" t="s">
        <v>25</v>
      </c>
      <c r="G74" s="4" t="s">
        <v>25</v>
      </c>
      <c r="H74" s="4" t="s">
        <v>38</v>
      </c>
      <c r="I74" s="5">
        <v>44652</v>
      </c>
      <c r="J74" s="6">
        <v>0</v>
      </c>
      <c r="K74" s="6">
        <v>0</v>
      </c>
      <c r="L74" s="6">
        <v>2255.348</v>
      </c>
      <c r="M74" s="6">
        <v>2255.348</v>
      </c>
      <c r="N74" s="6">
        <v>2255.348</v>
      </c>
      <c r="O74" s="6">
        <v>2255.348</v>
      </c>
      <c r="P74" s="6">
        <v>0</v>
      </c>
      <c r="Q74" s="4" t="s">
        <v>26</v>
      </c>
      <c r="R74" s="4">
        <v>0</v>
      </c>
      <c r="S74" s="6">
        <v>0</v>
      </c>
      <c r="T74" s="6">
        <v>18</v>
      </c>
      <c r="U74" s="6">
        <v>73</v>
      </c>
      <c r="V74" s="6">
        <f>IF(ISERROR(VLOOKUP($S$74,'TAR FIN'!$A$1:$O$86,15,0)),0,VLOOKUP($S$74,'TAR FIN'!$A$1:$O$86,15,0))</f>
        <v>0</v>
      </c>
      <c r="W74" s="6">
        <f>IF(ISERROR(VLOOKUP($T$74,'TAR FIN'!$A$1:$O$86,15,0)),0,VLOOKUP($T$74,'TAR FIN'!$A$1:$O$86,15,0))</f>
        <v>73.19</v>
      </c>
      <c r="X74" s="6">
        <f>IF(ISERROR(VLOOKUP($U$74,'TAR FIN'!$A$1:$O$86,15,0)),0,VLOOKUP($U$74,'TAR FIN'!$A$1:$O$86,15,0))</f>
        <v>211.71</v>
      </c>
      <c r="Y74" s="6"/>
      <c r="Z74" s="6">
        <f ca="1">('TUSD BE'!$AM$12+'TUSD BF'!$AM$12+'TUSD CVA'!$AM$12)*1</f>
        <v>117.83242038312405</v>
      </c>
      <c r="AA74" s="6">
        <f>('TE BE'!$AB$6+'TE BF'!$AB$6+'TE CVA'!$AB$6)*1</f>
        <v>222.99901551132911</v>
      </c>
      <c r="AB74" s="6">
        <f>$K$74*$V$74</f>
        <v>0</v>
      </c>
      <c r="AC74" s="6">
        <f>$M$74*$W$74</f>
        <v>165068.92012</v>
      </c>
      <c r="AD74" s="6">
        <f>$O$74*$X$74</f>
        <v>477479.72508</v>
      </c>
      <c r="AE74" s="6">
        <f>$K$74*$Y$74</f>
        <v>0</v>
      </c>
      <c r="AF74" s="6">
        <f ca="1">$M$74*$Z$74</f>
        <v>265753.11364623805</v>
      </c>
      <c r="AG74" s="6">
        <f>$O$74*$AA$74</f>
        <v>502940.38363544509</v>
      </c>
    </row>
    <row r="75" spans="1:33" ht="11.25" customHeight="1" x14ac:dyDescent="0.25">
      <c r="A75" s="4" t="s">
        <v>28</v>
      </c>
      <c r="B75" s="4" t="s">
        <v>35</v>
      </c>
      <c r="C75" s="4" t="s">
        <v>39</v>
      </c>
      <c r="D75" s="4" t="s">
        <v>40</v>
      </c>
      <c r="E75" s="4" t="s">
        <v>25</v>
      </c>
      <c r="F75" s="4" t="s">
        <v>25</v>
      </c>
      <c r="G75" s="4" t="s">
        <v>25</v>
      </c>
      <c r="H75" s="4" t="s">
        <v>38</v>
      </c>
      <c r="I75" s="5">
        <v>44652</v>
      </c>
      <c r="J75" s="6">
        <v>0</v>
      </c>
      <c r="K75" s="6">
        <v>0</v>
      </c>
      <c r="L75" s="6">
        <v>32.241</v>
      </c>
      <c r="M75" s="6">
        <v>32.241</v>
      </c>
      <c r="N75" s="6">
        <v>32.241</v>
      </c>
      <c r="O75" s="6">
        <v>32.241</v>
      </c>
      <c r="P75" s="6">
        <v>0</v>
      </c>
      <c r="Q75" s="4" t="s">
        <v>26</v>
      </c>
      <c r="R75" s="4">
        <v>0</v>
      </c>
      <c r="S75" s="6">
        <v>0</v>
      </c>
      <c r="T75" s="6">
        <v>18</v>
      </c>
      <c r="U75" s="6">
        <v>73</v>
      </c>
      <c r="V75" s="6">
        <f>IF(ISERROR(VLOOKUP($S$75,'TAR FIN'!$A$1:$O$86,15,0)),0,VLOOKUP($S$75,'TAR FIN'!$A$1:$O$86,15,0))</f>
        <v>0</v>
      </c>
      <c r="W75" s="6">
        <f>IF(ISERROR(VLOOKUP($T$75,'TAR FIN'!$A$1:$O$86,15,0)),0,VLOOKUP($T$75,'TAR FIN'!$A$1:$O$86,15,0))</f>
        <v>73.19</v>
      </c>
      <c r="X75" s="6">
        <f>IF(ISERROR(VLOOKUP($U$75,'TAR FIN'!$A$1:$O$86,15,0)),0,VLOOKUP($U$75,'TAR FIN'!$A$1:$O$86,15,0))</f>
        <v>211.71</v>
      </c>
      <c r="Y75" s="6"/>
      <c r="Z75" s="6">
        <f ca="1">('TUSD BE'!$AM$12+'TUSD BF'!$AM$12+'TUSD CVA'!$AM$12)*1</f>
        <v>117.83242038312405</v>
      </c>
      <c r="AA75" s="6">
        <f>('TE BE'!$AB$6+'TE BF'!$AB$6+'TE CVA'!$AB$6)*1</f>
        <v>222.99901551132911</v>
      </c>
      <c r="AB75" s="6">
        <f>$K$75*$V$75</f>
        <v>0</v>
      </c>
      <c r="AC75" s="6">
        <f>$M$75*$W$75</f>
        <v>2359.7187899999999</v>
      </c>
      <c r="AD75" s="6">
        <f>$O$75*$X$75</f>
        <v>6825.7421100000001</v>
      </c>
      <c r="AE75" s="6">
        <f>$K$75*$Y$75</f>
        <v>0</v>
      </c>
      <c r="AF75" s="6">
        <f ca="1">$M$75*$Z$75</f>
        <v>3799.0350655723023</v>
      </c>
      <c r="AG75" s="6">
        <f>$O$75*$AA$75</f>
        <v>7189.7112591007617</v>
      </c>
    </row>
    <row r="76" spans="1:33" ht="11.25" customHeight="1" x14ac:dyDescent="0.25">
      <c r="A76" s="4" t="s">
        <v>21</v>
      </c>
      <c r="B76" s="4" t="s">
        <v>35</v>
      </c>
      <c r="C76" s="4" t="s">
        <v>39</v>
      </c>
      <c r="D76" s="4" t="s">
        <v>40</v>
      </c>
      <c r="E76" s="4" t="s">
        <v>25</v>
      </c>
      <c r="F76" s="4" t="s">
        <v>25</v>
      </c>
      <c r="G76" s="4" t="s">
        <v>25</v>
      </c>
      <c r="H76" s="4" t="s">
        <v>38</v>
      </c>
      <c r="I76" s="5">
        <v>44682</v>
      </c>
      <c r="J76" s="6">
        <v>0</v>
      </c>
      <c r="K76" s="6">
        <v>0</v>
      </c>
      <c r="L76" s="6">
        <v>2097.8850000000002</v>
      </c>
      <c r="M76" s="6">
        <v>2097.8850000000002</v>
      </c>
      <c r="N76" s="6">
        <v>2097.8850000000002</v>
      </c>
      <c r="O76" s="6">
        <v>2097.8850000000002</v>
      </c>
      <c r="P76" s="6">
        <v>0</v>
      </c>
      <c r="Q76" s="4" t="s">
        <v>26</v>
      </c>
      <c r="R76" s="4">
        <v>0</v>
      </c>
      <c r="S76" s="6">
        <v>0</v>
      </c>
      <c r="T76" s="6">
        <v>18</v>
      </c>
      <c r="U76" s="6">
        <v>73</v>
      </c>
      <c r="V76" s="6">
        <f>IF(ISERROR(VLOOKUP($S$76,'TAR FIN'!$A$1:$O$86,15,0)),0,VLOOKUP($S$76,'TAR FIN'!$A$1:$O$86,15,0))</f>
        <v>0</v>
      </c>
      <c r="W76" s="6">
        <f>IF(ISERROR(VLOOKUP($T$76,'TAR FIN'!$A$1:$O$86,15,0)),0,VLOOKUP($T$76,'TAR FIN'!$A$1:$O$86,15,0))</f>
        <v>73.19</v>
      </c>
      <c r="X76" s="6">
        <f>IF(ISERROR(VLOOKUP($U$76,'TAR FIN'!$A$1:$O$86,15,0)),0,VLOOKUP($U$76,'TAR FIN'!$A$1:$O$86,15,0))</f>
        <v>211.71</v>
      </c>
      <c r="Y76" s="6"/>
      <c r="Z76" s="6">
        <f ca="1">('TUSD BE'!$AM$12+'TUSD BF'!$AM$12+'TUSD CVA'!$AM$12)*1</f>
        <v>117.83242038312405</v>
      </c>
      <c r="AA76" s="6">
        <f>('TE BE'!$AB$6+'TE BF'!$AB$6+'TE CVA'!$AB$6)*1</f>
        <v>222.99901551132911</v>
      </c>
      <c r="AB76" s="6">
        <f>$K$76*$V$76</f>
        <v>0</v>
      </c>
      <c r="AC76" s="6">
        <f>$M$76*$W$76</f>
        <v>153544.20315000002</v>
      </c>
      <c r="AD76" s="6">
        <f>$O$76*$X$76</f>
        <v>444143.23335000005</v>
      </c>
      <c r="AE76" s="6">
        <f>$K$76*$Y$76</f>
        <v>0</v>
      </c>
      <c r="AF76" s="6">
        <f ca="1">$M$76*$Z$76</f>
        <v>247198.86723545022</v>
      </c>
      <c r="AG76" s="6">
        <f>$O$76*$AA$76</f>
        <v>467826.28965598473</v>
      </c>
    </row>
    <row r="77" spans="1:33" ht="11.25" customHeight="1" x14ac:dyDescent="0.25">
      <c r="A77" s="4" t="s">
        <v>28</v>
      </c>
      <c r="B77" s="4" t="s">
        <v>35</v>
      </c>
      <c r="C77" s="4" t="s">
        <v>39</v>
      </c>
      <c r="D77" s="4" t="s">
        <v>40</v>
      </c>
      <c r="E77" s="4" t="s">
        <v>25</v>
      </c>
      <c r="F77" s="4" t="s">
        <v>25</v>
      </c>
      <c r="G77" s="4" t="s">
        <v>25</v>
      </c>
      <c r="H77" s="4" t="s">
        <v>38</v>
      </c>
      <c r="I77" s="5">
        <v>44682</v>
      </c>
      <c r="J77" s="6">
        <v>0</v>
      </c>
      <c r="K77" s="6">
        <v>0</v>
      </c>
      <c r="L77" s="6">
        <v>32.703000000000003</v>
      </c>
      <c r="M77" s="6">
        <v>32.703000000000003</v>
      </c>
      <c r="N77" s="6">
        <v>32.703000000000003</v>
      </c>
      <c r="O77" s="6">
        <v>32.703000000000003</v>
      </c>
      <c r="P77" s="6">
        <v>0</v>
      </c>
      <c r="Q77" s="4" t="s">
        <v>26</v>
      </c>
      <c r="R77" s="4">
        <v>0</v>
      </c>
      <c r="S77" s="6">
        <v>0</v>
      </c>
      <c r="T77" s="6">
        <v>18</v>
      </c>
      <c r="U77" s="6">
        <v>73</v>
      </c>
      <c r="V77" s="6">
        <f>IF(ISERROR(VLOOKUP($S$77,'TAR FIN'!$A$1:$O$86,15,0)),0,VLOOKUP($S$77,'TAR FIN'!$A$1:$O$86,15,0))</f>
        <v>0</v>
      </c>
      <c r="W77" s="6">
        <f>IF(ISERROR(VLOOKUP($T$77,'TAR FIN'!$A$1:$O$86,15,0)),0,VLOOKUP($T$77,'TAR FIN'!$A$1:$O$86,15,0))</f>
        <v>73.19</v>
      </c>
      <c r="X77" s="6">
        <f>IF(ISERROR(VLOOKUP($U$77,'TAR FIN'!$A$1:$O$86,15,0)),0,VLOOKUP($U$77,'TAR FIN'!$A$1:$O$86,15,0))</f>
        <v>211.71</v>
      </c>
      <c r="Y77" s="6"/>
      <c r="Z77" s="6">
        <f ca="1">('TUSD BE'!$AM$12+'TUSD BF'!$AM$12+'TUSD CVA'!$AM$12)*1</f>
        <v>117.83242038312405</v>
      </c>
      <c r="AA77" s="6">
        <f>('TE BE'!$AB$6+'TE BF'!$AB$6+'TE CVA'!$AB$6)*1</f>
        <v>222.99901551132911</v>
      </c>
      <c r="AB77" s="6">
        <f>$K$77*$V$77</f>
        <v>0</v>
      </c>
      <c r="AC77" s="6">
        <f>$M$77*$W$77</f>
        <v>2393.5325700000003</v>
      </c>
      <c r="AD77" s="6">
        <f>$O$77*$X$77</f>
        <v>6923.5521300000009</v>
      </c>
      <c r="AE77" s="6">
        <f>$K$77*$Y$77</f>
        <v>0</v>
      </c>
      <c r="AF77" s="6">
        <f ca="1">$M$77*$Z$77</f>
        <v>3853.4736437893062</v>
      </c>
      <c r="AG77" s="6">
        <f>$O$77*$AA$77</f>
        <v>7292.7368042669968</v>
      </c>
    </row>
    <row r="78" spans="1:33" ht="11.25" customHeight="1" x14ac:dyDescent="0.25">
      <c r="A78" s="4" t="s">
        <v>21</v>
      </c>
      <c r="B78" s="4" t="s">
        <v>35</v>
      </c>
      <c r="C78" s="4" t="s">
        <v>39</v>
      </c>
      <c r="D78" s="4" t="s">
        <v>40</v>
      </c>
      <c r="E78" s="4" t="s">
        <v>25</v>
      </c>
      <c r="F78" s="4" t="s">
        <v>25</v>
      </c>
      <c r="G78" s="4" t="s">
        <v>25</v>
      </c>
      <c r="H78" s="4" t="s">
        <v>38</v>
      </c>
      <c r="I78" s="5">
        <v>44713</v>
      </c>
      <c r="J78" s="6">
        <v>0</v>
      </c>
      <c r="K78" s="6">
        <v>0</v>
      </c>
      <c r="L78" s="6">
        <v>1974.92</v>
      </c>
      <c r="M78" s="6">
        <v>1974.92</v>
      </c>
      <c r="N78" s="6">
        <v>1974.92</v>
      </c>
      <c r="O78" s="6">
        <v>1974.92</v>
      </c>
      <c r="P78" s="6">
        <v>0</v>
      </c>
      <c r="Q78" s="4" t="s">
        <v>26</v>
      </c>
      <c r="R78" s="4">
        <v>0</v>
      </c>
      <c r="S78" s="6">
        <v>0</v>
      </c>
      <c r="T78" s="6">
        <v>18</v>
      </c>
      <c r="U78" s="6">
        <v>73</v>
      </c>
      <c r="V78" s="6">
        <f>IF(ISERROR(VLOOKUP($S$78,'TAR FIN'!$A$1:$O$86,15,0)),0,VLOOKUP($S$78,'TAR FIN'!$A$1:$O$86,15,0))</f>
        <v>0</v>
      </c>
      <c r="W78" s="6">
        <f>IF(ISERROR(VLOOKUP($T$78,'TAR FIN'!$A$1:$O$86,15,0)),0,VLOOKUP($T$78,'TAR FIN'!$A$1:$O$86,15,0))</f>
        <v>73.19</v>
      </c>
      <c r="X78" s="6">
        <f>IF(ISERROR(VLOOKUP($U$78,'TAR FIN'!$A$1:$O$86,15,0)),0,VLOOKUP($U$78,'TAR FIN'!$A$1:$O$86,15,0))</f>
        <v>211.71</v>
      </c>
      <c r="Y78" s="6"/>
      <c r="Z78" s="6">
        <f ca="1">('TUSD BE'!$AM$12+'TUSD BF'!$AM$12+'TUSD CVA'!$AM$12)*1</f>
        <v>117.83242038312405</v>
      </c>
      <c r="AA78" s="6">
        <f>('TE BE'!$AB$6+'TE BF'!$AB$6+'TE CVA'!$AB$6)*1</f>
        <v>222.99901551132911</v>
      </c>
      <c r="AB78" s="6">
        <f>$K$78*$V$78</f>
        <v>0</v>
      </c>
      <c r="AC78" s="6">
        <f>$M$78*$W$78</f>
        <v>144544.39480000001</v>
      </c>
      <c r="AD78" s="6">
        <f>$O$78*$X$78</f>
        <v>418110.31320000003</v>
      </c>
      <c r="AE78" s="6">
        <f>$K$78*$Y$78</f>
        <v>0</v>
      </c>
      <c r="AF78" s="6">
        <f ca="1">$M$78*$Z$78</f>
        <v>232709.60366303934</v>
      </c>
      <c r="AG78" s="6">
        <f>$O$78*$AA$78</f>
        <v>440405.2157136341</v>
      </c>
    </row>
    <row r="79" spans="1:33" ht="11.25" customHeight="1" x14ac:dyDescent="0.25">
      <c r="A79" s="4" t="s">
        <v>28</v>
      </c>
      <c r="B79" s="4" t="s">
        <v>35</v>
      </c>
      <c r="C79" s="4" t="s">
        <v>39</v>
      </c>
      <c r="D79" s="4" t="s">
        <v>40</v>
      </c>
      <c r="E79" s="4" t="s">
        <v>25</v>
      </c>
      <c r="F79" s="4" t="s">
        <v>25</v>
      </c>
      <c r="G79" s="4" t="s">
        <v>25</v>
      </c>
      <c r="H79" s="4" t="s">
        <v>38</v>
      </c>
      <c r="I79" s="5">
        <v>44713</v>
      </c>
      <c r="J79" s="6">
        <v>0</v>
      </c>
      <c r="K79" s="6">
        <v>0</v>
      </c>
      <c r="L79" s="6">
        <v>37.793999999999997</v>
      </c>
      <c r="M79" s="6">
        <v>37.793999999999997</v>
      </c>
      <c r="N79" s="6">
        <v>37.793999999999997</v>
      </c>
      <c r="O79" s="6">
        <v>37.793999999999997</v>
      </c>
      <c r="P79" s="6">
        <v>0</v>
      </c>
      <c r="Q79" s="4" t="s">
        <v>26</v>
      </c>
      <c r="R79" s="4">
        <v>0</v>
      </c>
      <c r="S79" s="6">
        <v>0</v>
      </c>
      <c r="T79" s="6">
        <v>18</v>
      </c>
      <c r="U79" s="6">
        <v>73</v>
      </c>
      <c r="V79" s="6">
        <f>IF(ISERROR(VLOOKUP($S$79,'TAR FIN'!$A$1:$O$86,15,0)),0,VLOOKUP($S$79,'TAR FIN'!$A$1:$O$86,15,0))</f>
        <v>0</v>
      </c>
      <c r="W79" s="6">
        <f>IF(ISERROR(VLOOKUP($T$79,'TAR FIN'!$A$1:$O$86,15,0)),0,VLOOKUP($T$79,'TAR FIN'!$A$1:$O$86,15,0))</f>
        <v>73.19</v>
      </c>
      <c r="X79" s="6">
        <f>IF(ISERROR(VLOOKUP($U$79,'TAR FIN'!$A$1:$O$86,15,0)),0,VLOOKUP($U$79,'TAR FIN'!$A$1:$O$86,15,0))</f>
        <v>211.71</v>
      </c>
      <c r="Y79" s="6"/>
      <c r="Z79" s="6">
        <f ca="1">('TUSD BE'!$AM$12+'TUSD BF'!$AM$12+'TUSD CVA'!$AM$12)*1</f>
        <v>117.83242038312405</v>
      </c>
      <c r="AA79" s="6">
        <f>('TE BE'!$AB$6+'TE BF'!$AB$6+'TE CVA'!$AB$6)*1</f>
        <v>222.99901551132911</v>
      </c>
      <c r="AB79" s="6">
        <f>$K$79*$V$79</f>
        <v>0</v>
      </c>
      <c r="AC79" s="6">
        <f>$M$79*$W$79</f>
        <v>2766.1428599999995</v>
      </c>
      <c r="AD79" s="6">
        <f>$O$79*$X$79</f>
        <v>8001.3677399999997</v>
      </c>
      <c r="AE79" s="6">
        <f>$K$79*$Y$79</f>
        <v>0</v>
      </c>
      <c r="AF79" s="6">
        <f ca="1">$M$79*$Z$79</f>
        <v>4453.3584959597902</v>
      </c>
      <c r="AG79" s="6">
        <f>$O$79*$AA$79</f>
        <v>8428.0247922351718</v>
      </c>
    </row>
    <row r="80" spans="1:33" ht="11.25" customHeight="1" x14ac:dyDescent="0.25">
      <c r="A80" s="4" t="s">
        <v>55</v>
      </c>
      <c r="B80" s="4" t="s">
        <v>35</v>
      </c>
      <c r="C80" s="4" t="s">
        <v>39</v>
      </c>
      <c r="D80" s="4" t="s">
        <v>40</v>
      </c>
      <c r="E80" s="4" t="s">
        <v>25</v>
      </c>
      <c r="F80" s="4" t="s">
        <v>25</v>
      </c>
      <c r="G80" s="4" t="s">
        <v>25</v>
      </c>
      <c r="H80" s="4" t="s">
        <v>38</v>
      </c>
      <c r="I80" s="5">
        <v>44743</v>
      </c>
      <c r="J80" s="6">
        <v>0</v>
      </c>
      <c r="K80" s="6">
        <v>0</v>
      </c>
      <c r="L80" s="6">
        <v>1974.92</v>
      </c>
      <c r="M80" s="6">
        <v>1974.92</v>
      </c>
      <c r="N80" s="6">
        <v>1974.92</v>
      </c>
      <c r="O80" s="6">
        <v>1974.92</v>
      </c>
      <c r="P80" s="6">
        <v>0</v>
      </c>
      <c r="Q80" s="4" t="s">
        <v>26</v>
      </c>
      <c r="R80" s="4">
        <v>0</v>
      </c>
      <c r="S80" s="6">
        <v>0</v>
      </c>
      <c r="T80" s="6">
        <v>18</v>
      </c>
      <c r="U80" s="6">
        <v>73</v>
      </c>
      <c r="V80" s="6">
        <f>IF(ISERROR(VLOOKUP($S$80,'TAR FIN'!$A$1:$O$86,15,0)),0,VLOOKUP($S$80,'TAR FIN'!$A$1:$O$86,15,0))</f>
        <v>0</v>
      </c>
      <c r="W80" s="6">
        <f>IF(ISERROR(VLOOKUP($T$80,'TAR FIN'!$A$1:$O$86,15,0)),0,VLOOKUP($T$80,'TAR FIN'!$A$1:$O$86,15,0))</f>
        <v>73.19</v>
      </c>
      <c r="X80" s="6">
        <f>IF(ISERROR(VLOOKUP($U$80,'TAR FIN'!$A$1:$O$86,15,0)),0,VLOOKUP($U$80,'TAR FIN'!$A$1:$O$86,15,0))</f>
        <v>211.71</v>
      </c>
      <c r="Y80" s="6"/>
      <c r="Z80" s="6">
        <f ca="1">('TUSD BE'!$AM$12+'TUSD BF'!$AM$12+'TUSD CVA'!$AM$12)*1</f>
        <v>117.83242038312405</v>
      </c>
      <c r="AA80" s="6">
        <f>('TE BE'!$AB$6+'TE BF'!$AB$6+'TE CVA'!$AB$6)*1</f>
        <v>222.99901551132911</v>
      </c>
      <c r="AB80" s="6">
        <f>$K$80*$V$80</f>
        <v>0</v>
      </c>
      <c r="AC80" s="6">
        <f>$M$80*$W$80</f>
        <v>144544.39480000001</v>
      </c>
      <c r="AD80" s="6">
        <f>$O$80*$X$80</f>
        <v>418110.31320000003</v>
      </c>
      <c r="AE80" s="6">
        <f>$K$80*$Y$80</f>
        <v>0</v>
      </c>
      <c r="AF80" s="6">
        <f ca="1">$M$80*$Z$80</f>
        <v>232709.60366303934</v>
      </c>
      <c r="AG80" s="6">
        <f>$O$80*$AA$80</f>
        <v>440405.2157136341</v>
      </c>
    </row>
    <row r="81" spans="1:33" ht="11.25" customHeight="1" x14ac:dyDescent="0.25">
      <c r="A81" s="4" t="s">
        <v>55</v>
      </c>
      <c r="B81" s="4" t="s">
        <v>35</v>
      </c>
      <c r="C81" s="4" t="s">
        <v>39</v>
      </c>
      <c r="D81" s="4" t="s">
        <v>40</v>
      </c>
      <c r="E81" s="4" t="s">
        <v>25</v>
      </c>
      <c r="F81" s="4" t="s">
        <v>25</v>
      </c>
      <c r="G81" s="4" t="s">
        <v>25</v>
      </c>
      <c r="H81" s="4" t="s">
        <v>38</v>
      </c>
      <c r="I81" s="5">
        <v>44743</v>
      </c>
      <c r="J81" s="6">
        <v>0</v>
      </c>
      <c r="K81" s="6">
        <v>0</v>
      </c>
      <c r="L81" s="6">
        <v>37.793999999999997</v>
      </c>
      <c r="M81" s="6">
        <v>37.793999999999997</v>
      </c>
      <c r="N81" s="6">
        <v>37.793999999999997</v>
      </c>
      <c r="O81" s="6">
        <v>37.793999999999997</v>
      </c>
      <c r="P81" s="6">
        <v>0</v>
      </c>
      <c r="Q81" s="4" t="s">
        <v>26</v>
      </c>
      <c r="R81" s="4">
        <v>0</v>
      </c>
      <c r="S81" s="6">
        <v>0</v>
      </c>
      <c r="T81" s="6">
        <v>18</v>
      </c>
      <c r="U81" s="6">
        <v>73</v>
      </c>
      <c r="V81" s="6">
        <f>IF(ISERROR(VLOOKUP($S$81,'TAR FIN'!$A$1:$O$86,15,0)),0,VLOOKUP($S$81,'TAR FIN'!$A$1:$O$86,15,0))</f>
        <v>0</v>
      </c>
      <c r="W81" s="6">
        <f>IF(ISERROR(VLOOKUP($T$81,'TAR FIN'!$A$1:$O$86,15,0)),0,VLOOKUP($T$81,'TAR FIN'!$A$1:$O$86,15,0))</f>
        <v>73.19</v>
      </c>
      <c r="X81" s="6">
        <f>IF(ISERROR(VLOOKUP($U$81,'TAR FIN'!$A$1:$O$86,15,0)),0,VLOOKUP($U$81,'TAR FIN'!$A$1:$O$86,15,0))</f>
        <v>211.71</v>
      </c>
      <c r="Y81" s="6"/>
      <c r="Z81" s="6">
        <f ca="1">('TUSD BE'!$AM$12+'TUSD BF'!$AM$12+'TUSD CVA'!$AM$12)*1</f>
        <v>117.83242038312405</v>
      </c>
      <c r="AA81" s="6">
        <f>('TE BE'!$AB$6+'TE BF'!$AB$6+'TE CVA'!$AB$6)*1</f>
        <v>222.99901551132911</v>
      </c>
      <c r="AB81" s="6">
        <f>$K$81*$V$81</f>
        <v>0</v>
      </c>
      <c r="AC81" s="6">
        <f>$M$81*$W$81</f>
        <v>2766.1428599999995</v>
      </c>
      <c r="AD81" s="6">
        <f>$O$81*$X$81</f>
        <v>8001.3677399999997</v>
      </c>
      <c r="AE81" s="6">
        <f>$K$81*$Y$81</f>
        <v>0</v>
      </c>
      <c r="AF81" s="6">
        <f ca="1">$M$81*$Z$81</f>
        <v>4453.3584959597902</v>
      </c>
      <c r="AG81" s="6">
        <f>$O$81*$AA$81</f>
        <v>8428.0247922351718</v>
      </c>
    </row>
    <row r="82" spans="1:33" ht="11.25" customHeight="1" x14ac:dyDescent="0.25">
      <c r="A82" s="4" t="s">
        <v>21</v>
      </c>
      <c r="B82" s="4" t="s">
        <v>35</v>
      </c>
      <c r="C82" s="4" t="s">
        <v>39</v>
      </c>
      <c r="D82" s="4" t="s">
        <v>40</v>
      </c>
      <c r="E82" s="4" t="s">
        <v>25</v>
      </c>
      <c r="F82" s="4" t="s">
        <v>25</v>
      </c>
      <c r="G82" s="4" t="s">
        <v>25</v>
      </c>
      <c r="H82" s="4" t="s">
        <v>25</v>
      </c>
      <c r="I82" s="5">
        <v>44409</v>
      </c>
      <c r="J82" s="6">
        <v>8353</v>
      </c>
      <c r="K82" s="6">
        <v>8353</v>
      </c>
      <c r="L82" s="6">
        <v>0</v>
      </c>
      <c r="M82" s="6">
        <v>0</v>
      </c>
      <c r="N82" s="6">
        <v>0</v>
      </c>
      <c r="O82" s="6">
        <v>0</v>
      </c>
      <c r="P82" s="6">
        <v>35</v>
      </c>
      <c r="Q82" s="4" t="s">
        <v>26</v>
      </c>
      <c r="R82" s="4">
        <v>0</v>
      </c>
      <c r="S82" s="6">
        <v>24</v>
      </c>
      <c r="T82" s="6">
        <v>0</v>
      </c>
      <c r="U82" s="6">
        <v>0</v>
      </c>
      <c r="V82" s="6">
        <f>IF(ISERROR(VLOOKUP($S$82,'TAR FIN'!$A$1:$O$86,15,0)),0,VLOOKUP($S$82,'TAR FIN'!$A$1:$O$86,15,0))</f>
        <v>22.9</v>
      </c>
      <c r="W82" s="6">
        <f>IF(ISERROR(VLOOKUP($T$82,'TAR FIN'!$A$1:$O$86,15,0)),0,VLOOKUP($T$82,'TAR FIN'!$A$1:$O$86,15,0))</f>
        <v>0</v>
      </c>
      <c r="X82" s="6">
        <f>IF(ISERROR(VLOOKUP($U$82,'TAR FIN'!$A$1:$O$86,15,0)),0,VLOOKUP($U$82,'TAR FIN'!$A$1:$O$86,15,0))</f>
        <v>0</v>
      </c>
      <c r="Y82" s="6">
        <f ca="1">('TUSD BE'!$AM$10+'TUSD BF'!$AM$10+'TUSD CVA'!$AM$10)*1</f>
        <v>21.733731888847863</v>
      </c>
      <c r="Z82" s="6"/>
      <c r="AA82" s="6"/>
      <c r="AB82" s="6">
        <f>$K$82*$V$82</f>
        <v>191283.69999999998</v>
      </c>
      <c r="AC82" s="6">
        <f>$M$82*$W$82</f>
        <v>0</v>
      </c>
      <c r="AD82" s="6">
        <f>$O$82*$X$82</f>
        <v>0</v>
      </c>
      <c r="AE82" s="6">
        <f ca="1">$K$82*$Y$82</f>
        <v>181541.86246754619</v>
      </c>
      <c r="AF82" s="6">
        <f>$M$82*$Z$82</f>
        <v>0</v>
      </c>
      <c r="AG82" s="6">
        <f>$O$82*$AA$82</f>
        <v>0</v>
      </c>
    </row>
    <row r="83" spans="1:33" ht="11.25" customHeight="1" x14ac:dyDescent="0.25">
      <c r="A83" s="4" t="s">
        <v>21</v>
      </c>
      <c r="B83" s="4" t="s">
        <v>35</v>
      </c>
      <c r="C83" s="4" t="s">
        <v>39</v>
      </c>
      <c r="D83" s="4" t="s">
        <v>40</v>
      </c>
      <c r="E83" s="4" t="s">
        <v>25</v>
      </c>
      <c r="F83" s="4" t="s">
        <v>25</v>
      </c>
      <c r="G83" s="4" t="s">
        <v>25</v>
      </c>
      <c r="H83" s="4" t="s">
        <v>25</v>
      </c>
      <c r="I83" s="5">
        <v>44440</v>
      </c>
      <c r="J83" s="6">
        <v>8501</v>
      </c>
      <c r="K83" s="6">
        <v>8501</v>
      </c>
      <c r="L83" s="6">
        <v>0</v>
      </c>
      <c r="M83" s="6">
        <v>0</v>
      </c>
      <c r="N83" s="6">
        <v>0</v>
      </c>
      <c r="O83" s="6">
        <v>0</v>
      </c>
      <c r="P83" s="6">
        <v>35</v>
      </c>
      <c r="Q83" s="4" t="s">
        <v>26</v>
      </c>
      <c r="R83" s="4">
        <v>0</v>
      </c>
      <c r="S83" s="6">
        <v>24</v>
      </c>
      <c r="T83" s="6">
        <v>0</v>
      </c>
      <c r="U83" s="6">
        <v>0</v>
      </c>
      <c r="V83" s="6">
        <f>IF(ISERROR(VLOOKUP($S$83,'TAR FIN'!$A$1:$O$86,15,0)),0,VLOOKUP($S$83,'TAR FIN'!$A$1:$O$86,15,0))</f>
        <v>22.9</v>
      </c>
      <c r="W83" s="6">
        <f>IF(ISERROR(VLOOKUP($T$83,'TAR FIN'!$A$1:$O$86,15,0)),0,VLOOKUP($T$83,'TAR FIN'!$A$1:$O$86,15,0))</f>
        <v>0</v>
      </c>
      <c r="X83" s="6">
        <f>IF(ISERROR(VLOOKUP($U$83,'TAR FIN'!$A$1:$O$86,15,0)),0,VLOOKUP($U$83,'TAR FIN'!$A$1:$O$86,15,0))</f>
        <v>0</v>
      </c>
      <c r="Y83" s="6">
        <f ca="1">('TUSD BE'!$AM$10+'TUSD BF'!$AM$10+'TUSD CVA'!$AM$10)*1</f>
        <v>21.733731888847863</v>
      </c>
      <c r="Z83" s="6"/>
      <c r="AA83" s="6"/>
      <c r="AB83" s="6">
        <f>$K$83*$V$83</f>
        <v>194672.9</v>
      </c>
      <c r="AC83" s="6">
        <f>$M$83*$W$83</f>
        <v>0</v>
      </c>
      <c r="AD83" s="6">
        <f>$O$83*$X$83</f>
        <v>0</v>
      </c>
      <c r="AE83" s="6">
        <f ca="1">$K$83*$Y$83</f>
        <v>184758.45478709569</v>
      </c>
      <c r="AF83" s="6">
        <f>$M$83*$Z$83</f>
        <v>0</v>
      </c>
      <c r="AG83" s="6">
        <f>$O$83*$AA$83</f>
        <v>0</v>
      </c>
    </row>
    <row r="84" spans="1:33" ht="11.25" customHeight="1" x14ac:dyDescent="0.25">
      <c r="A84" s="4" t="s">
        <v>21</v>
      </c>
      <c r="B84" s="4" t="s">
        <v>35</v>
      </c>
      <c r="C84" s="4" t="s">
        <v>39</v>
      </c>
      <c r="D84" s="4" t="s">
        <v>40</v>
      </c>
      <c r="E84" s="4" t="s">
        <v>25</v>
      </c>
      <c r="F84" s="4" t="s">
        <v>25</v>
      </c>
      <c r="G84" s="4" t="s">
        <v>25</v>
      </c>
      <c r="H84" s="4" t="s">
        <v>25</v>
      </c>
      <c r="I84" s="5">
        <v>44470</v>
      </c>
      <c r="J84" s="6">
        <v>9098</v>
      </c>
      <c r="K84" s="6">
        <v>9098</v>
      </c>
      <c r="L84" s="6">
        <v>0</v>
      </c>
      <c r="M84" s="6">
        <v>0</v>
      </c>
      <c r="N84" s="6">
        <v>0</v>
      </c>
      <c r="O84" s="6">
        <v>0</v>
      </c>
      <c r="P84" s="6">
        <v>35</v>
      </c>
      <c r="Q84" s="4" t="s">
        <v>26</v>
      </c>
      <c r="R84" s="4">
        <v>0</v>
      </c>
      <c r="S84" s="6">
        <v>24</v>
      </c>
      <c r="T84" s="6">
        <v>0</v>
      </c>
      <c r="U84" s="6">
        <v>0</v>
      </c>
      <c r="V84" s="6">
        <f>IF(ISERROR(VLOOKUP($S$84,'TAR FIN'!$A$1:$O$86,15,0)),0,VLOOKUP($S$84,'TAR FIN'!$A$1:$O$86,15,0))</f>
        <v>22.9</v>
      </c>
      <c r="W84" s="6">
        <f>IF(ISERROR(VLOOKUP($T$84,'TAR FIN'!$A$1:$O$86,15,0)),0,VLOOKUP($T$84,'TAR FIN'!$A$1:$O$86,15,0))</f>
        <v>0</v>
      </c>
      <c r="X84" s="6">
        <f>IF(ISERROR(VLOOKUP($U$84,'TAR FIN'!$A$1:$O$86,15,0)),0,VLOOKUP($U$84,'TAR FIN'!$A$1:$O$86,15,0))</f>
        <v>0</v>
      </c>
      <c r="Y84" s="6">
        <f ca="1">('TUSD BE'!$AM$10+'TUSD BF'!$AM$10+'TUSD CVA'!$AM$10)*1</f>
        <v>21.733731888847863</v>
      </c>
      <c r="Z84" s="6"/>
      <c r="AA84" s="6"/>
      <c r="AB84" s="6">
        <f>$K$84*$V$84</f>
        <v>208344.19999999998</v>
      </c>
      <c r="AC84" s="6">
        <f>$M$84*$W$84</f>
        <v>0</v>
      </c>
      <c r="AD84" s="6">
        <f>$O$84*$X$84</f>
        <v>0</v>
      </c>
      <c r="AE84" s="6">
        <f ca="1">$K$84*$Y$84</f>
        <v>197733.49272473785</v>
      </c>
      <c r="AF84" s="6">
        <f>$M$84*$Z$84</f>
        <v>0</v>
      </c>
      <c r="AG84" s="6">
        <f>$O$84*$AA$84</f>
        <v>0</v>
      </c>
    </row>
    <row r="85" spans="1:33" ht="11.25" customHeight="1" x14ac:dyDescent="0.25">
      <c r="A85" s="4" t="s">
        <v>21</v>
      </c>
      <c r="B85" s="4" t="s">
        <v>35</v>
      </c>
      <c r="C85" s="4" t="s">
        <v>39</v>
      </c>
      <c r="D85" s="4" t="s">
        <v>40</v>
      </c>
      <c r="E85" s="4" t="s">
        <v>25</v>
      </c>
      <c r="F85" s="4" t="s">
        <v>25</v>
      </c>
      <c r="G85" s="4" t="s">
        <v>25</v>
      </c>
      <c r="H85" s="4" t="s">
        <v>25</v>
      </c>
      <c r="I85" s="5">
        <v>44501</v>
      </c>
      <c r="J85" s="6">
        <v>9165</v>
      </c>
      <c r="K85" s="6">
        <v>9165</v>
      </c>
      <c r="L85" s="6">
        <v>0</v>
      </c>
      <c r="M85" s="6">
        <v>0</v>
      </c>
      <c r="N85" s="6">
        <v>0</v>
      </c>
      <c r="O85" s="6">
        <v>0</v>
      </c>
      <c r="P85" s="6">
        <v>35</v>
      </c>
      <c r="Q85" s="4" t="s">
        <v>26</v>
      </c>
      <c r="R85" s="4">
        <v>0</v>
      </c>
      <c r="S85" s="6">
        <v>24</v>
      </c>
      <c r="T85" s="6">
        <v>0</v>
      </c>
      <c r="U85" s="6">
        <v>0</v>
      </c>
      <c r="V85" s="6">
        <f>IF(ISERROR(VLOOKUP($S$85,'TAR FIN'!$A$1:$O$86,15,0)),0,VLOOKUP($S$85,'TAR FIN'!$A$1:$O$86,15,0))</f>
        <v>22.9</v>
      </c>
      <c r="W85" s="6">
        <f>IF(ISERROR(VLOOKUP($T$85,'TAR FIN'!$A$1:$O$86,15,0)),0,VLOOKUP($T$85,'TAR FIN'!$A$1:$O$86,15,0))</f>
        <v>0</v>
      </c>
      <c r="X85" s="6">
        <f>IF(ISERROR(VLOOKUP($U$85,'TAR FIN'!$A$1:$O$86,15,0)),0,VLOOKUP($U$85,'TAR FIN'!$A$1:$O$86,15,0))</f>
        <v>0</v>
      </c>
      <c r="Y85" s="6">
        <f ca="1">('TUSD BE'!$AM$10+'TUSD BF'!$AM$10+'TUSD CVA'!$AM$10)*1</f>
        <v>21.733731888847863</v>
      </c>
      <c r="Z85" s="6"/>
      <c r="AA85" s="6"/>
      <c r="AB85" s="6">
        <f>$K$85*$V$85</f>
        <v>209878.5</v>
      </c>
      <c r="AC85" s="6">
        <f>$M$85*$W$85</f>
        <v>0</v>
      </c>
      <c r="AD85" s="6">
        <f>$O$85*$X$85</f>
        <v>0</v>
      </c>
      <c r="AE85" s="6">
        <f ca="1">$K$85*$Y$85</f>
        <v>199189.65276129066</v>
      </c>
      <c r="AF85" s="6">
        <f>$M$85*$Z$85</f>
        <v>0</v>
      </c>
      <c r="AG85" s="6">
        <f>$O$85*$AA$85</f>
        <v>0</v>
      </c>
    </row>
    <row r="86" spans="1:33" ht="11.25" customHeight="1" x14ac:dyDescent="0.25">
      <c r="A86" s="4" t="s">
        <v>21</v>
      </c>
      <c r="B86" s="4" t="s">
        <v>35</v>
      </c>
      <c r="C86" s="4" t="s">
        <v>39</v>
      </c>
      <c r="D86" s="4" t="s">
        <v>40</v>
      </c>
      <c r="E86" s="4" t="s">
        <v>25</v>
      </c>
      <c r="F86" s="4" t="s">
        <v>25</v>
      </c>
      <c r="G86" s="4" t="s">
        <v>25</v>
      </c>
      <c r="H86" s="4" t="s">
        <v>25</v>
      </c>
      <c r="I86" s="5">
        <v>44531</v>
      </c>
      <c r="J86" s="6">
        <v>9247</v>
      </c>
      <c r="K86" s="6">
        <v>9247</v>
      </c>
      <c r="L86" s="6">
        <v>0</v>
      </c>
      <c r="M86" s="6">
        <v>0</v>
      </c>
      <c r="N86" s="6">
        <v>0</v>
      </c>
      <c r="O86" s="6">
        <v>0</v>
      </c>
      <c r="P86" s="6">
        <v>35</v>
      </c>
      <c r="Q86" s="4" t="s">
        <v>26</v>
      </c>
      <c r="R86" s="4">
        <v>0</v>
      </c>
      <c r="S86" s="6">
        <v>24</v>
      </c>
      <c r="T86" s="6">
        <v>0</v>
      </c>
      <c r="U86" s="6">
        <v>0</v>
      </c>
      <c r="V86" s="6">
        <f>IF(ISERROR(VLOOKUP($S$86,'TAR FIN'!$A$1:$O$86,15,0)),0,VLOOKUP($S$86,'TAR FIN'!$A$1:$O$86,15,0))</f>
        <v>22.9</v>
      </c>
      <c r="W86" s="6">
        <f>IF(ISERROR(VLOOKUP($T$86,'TAR FIN'!$A$1:$O$86,15,0)),0,VLOOKUP($T$86,'TAR FIN'!$A$1:$O$86,15,0))</f>
        <v>0</v>
      </c>
      <c r="X86" s="6">
        <f>IF(ISERROR(VLOOKUP($U$86,'TAR FIN'!$A$1:$O$86,15,0)),0,VLOOKUP($U$86,'TAR FIN'!$A$1:$O$86,15,0))</f>
        <v>0</v>
      </c>
      <c r="Y86" s="6">
        <f ca="1">('TUSD BE'!$AM$10+'TUSD BF'!$AM$10+'TUSD CVA'!$AM$10)*1</f>
        <v>21.733731888847863</v>
      </c>
      <c r="Z86" s="6"/>
      <c r="AA86" s="6"/>
      <c r="AB86" s="6">
        <f>$K$86*$V$86</f>
        <v>211756.3</v>
      </c>
      <c r="AC86" s="6">
        <f>$M$86*$W$86</f>
        <v>0</v>
      </c>
      <c r="AD86" s="6">
        <f>$O$86*$X$86</f>
        <v>0</v>
      </c>
      <c r="AE86" s="6">
        <f ca="1">$K$86*$Y$86</f>
        <v>200971.81877617619</v>
      </c>
      <c r="AF86" s="6">
        <f>$M$86*$Z$86</f>
        <v>0</v>
      </c>
      <c r="AG86" s="6">
        <f>$O$86*$AA$86</f>
        <v>0</v>
      </c>
    </row>
    <row r="87" spans="1:33" ht="11.25" customHeight="1" x14ac:dyDescent="0.25">
      <c r="A87" s="4" t="s">
        <v>28</v>
      </c>
      <c r="B87" s="4" t="s">
        <v>35</v>
      </c>
      <c r="C87" s="4" t="s">
        <v>39</v>
      </c>
      <c r="D87" s="4" t="s">
        <v>40</v>
      </c>
      <c r="E87" s="4" t="s">
        <v>25</v>
      </c>
      <c r="F87" s="4" t="s">
        <v>25</v>
      </c>
      <c r="G87" s="4" t="s">
        <v>25</v>
      </c>
      <c r="H87" s="4" t="s">
        <v>25</v>
      </c>
      <c r="I87" s="5">
        <v>44531</v>
      </c>
      <c r="J87" s="6">
        <v>195</v>
      </c>
      <c r="K87" s="6">
        <v>195</v>
      </c>
      <c r="L87" s="6">
        <v>0</v>
      </c>
      <c r="M87" s="6">
        <v>0</v>
      </c>
      <c r="N87" s="6">
        <v>0</v>
      </c>
      <c r="O87" s="6">
        <v>0</v>
      </c>
      <c r="P87" s="6">
        <v>1</v>
      </c>
      <c r="Q87" s="4" t="s">
        <v>26</v>
      </c>
      <c r="R87" s="4">
        <v>0</v>
      </c>
      <c r="S87" s="6">
        <v>24</v>
      </c>
      <c r="T87" s="6">
        <v>0</v>
      </c>
      <c r="U87" s="6">
        <v>0</v>
      </c>
      <c r="V87" s="6">
        <f>IF(ISERROR(VLOOKUP($S$87,'TAR FIN'!$A$1:$O$86,15,0)),0,VLOOKUP($S$87,'TAR FIN'!$A$1:$O$86,15,0))</f>
        <v>22.9</v>
      </c>
      <c r="W87" s="6">
        <f>IF(ISERROR(VLOOKUP($T$87,'TAR FIN'!$A$1:$O$86,15,0)),0,VLOOKUP($T$87,'TAR FIN'!$A$1:$O$86,15,0))</f>
        <v>0</v>
      </c>
      <c r="X87" s="6">
        <f>IF(ISERROR(VLOOKUP($U$87,'TAR FIN'!$A$1:$O$86,15,0)),0,VLOOKUP($U$87,'TAR FIN'!$A$1:$O$86,15,0))</f>
        <v>0</v>
      </c>
      <c r="Y87" s="6">
        <f ca="1">('TUSD BE'!$AM$10+'TUSD BF'!$AM$10+'TUSD CVA'!$AM$10)*1</f>
        <v>21.733731888847863</v>
      </c>
      <c r="Z87" s="6"/>
      <c r="AA87" s="6"/>
      <c r="AB87" s="6">
        <f>$K$87*$V$87</f>
        <v>4465.5</v>
      </c>
      <c r="AC87" s="6">
        <f>$M$87*$W$87</f>
        <v>0</v>
      </c>
      <c r="AD87" s="6">
        <f>$O$87*$X$87</f>
        <v>0</v>
      </c>
      <c r="AE87" s="6">
        <f ca="1">$K$87*$Y$87</f>
        <v>4238.0777183253331</v>
      </c>
      <c r="AF87" s="6">
        <f>$M$87*$Z$87</f>
        <v>0</v>
      </c>
      <c r="AG87" s="6">
        <f>$O$87*$AA$87</f>
        <v>0</v>
      </c>
    </row>
    <row r="88" spans="1:33" ht="11.25" customHeight="1" x14ac:dyDescent="0.25">
      <c r="A88" s="4" t="s">
        <v>21</v>
      </c>
      <c r="B88" s="4" t="s">
        <v>35</v>
      </c>
      <c r="C88" s="4" t="s">
        <v>39</v>
      </c>
      <c r="D88" s="4" t="s">
        <v>40</v>
      </c>
      <c r="E88" s="4" t="s">
        <v>25</v>
      </c>
      <c r="F88" s="4" t="s">
        <v>25</v>
      </c>
      <c r="G88" s="4" t="s">
        <v>25</v>
      </c>
      <c r="H88" s="4" t="s">
        <v>25</v>
      </c>
      <c r="I88" s="5">
        <v>44562</v>
      </c>
      <c r="J88" s="6">
        <v>9263</v>
      </c>
      <c r="K88" s="6">
        <v>9263</v>
      </c>
      <c r="L88" s="6">
        <v>0</v>
      </c>
      <c r="M88" s="6">
        <v>0</v>
      </c>
      <c r="N88" s="6">
        <v>0</v>
      </c>
      <c r="O88" s="6">
        <v>0</v>
      </c>
      <c r="P88" s="6">
        <v>35</v>
      </c>
      <c r="Q88" s="4" t="s">
        <v>26</v>
      </c>
      <c r="R88" s="4">
        <v>0</v>
      </c>
      <c r="S88" s="6">
        <v>24</v>
      </c>
      <c r="T88" s="6">
        <v>0</v>
      </c>
      <c r="U88" s="6">
        <v>0</v>
      </c>
      <c r="V88" s="6">
        <f>IF(ISERROR(VLOOKUP($S$88,'TAR FIN'!$A$1:$O$86,15,0)),0,VLOOKUP($S$88,'TAR FIN'!$A$1:$O$86,15,0))</f>
        <v>22.9</v>
      </c>
      <c r="W88" s="6">
        <f>IF(ISERROR(VLOOKUP($T$88,'TAR FIN'!$A$1:$O$86,15,0)),0,VLOOKUP($T$88,'TAR FIN'!$A$1:$O$86,15,0))</f>
        <v>0</v>
      </c>
      <c r="X88" s="6">
        <f>IF(ISERROR(VLOOKUP($U$88,'TAR FIN'!$A$1:$O$86,15,0)),0,VLOOKUP($U$88,'TAR FIN'!$A$1:$O$86,15,0))</f>
        <v>0</v>
      </c>
      <c r="Y88" s="6">
        <f ca="1">('TUSD BE'!$AM$10+'TUSD BF'!$AM$10+'TUSD CVA'!$AM$10)*1</f>
        <v>21.733731888847863</v>
      </c>
      <c r="Z88" s="6"/>
      <c r="AA88" s="6"/>
      <c r="AB88" s="6">
        <f>$K$88*$V$88</f>
        <v>212122.69999999998</v>
      </c>
      <c r="AC88" s="6">
        <f>$M$88*$W$88</f>
        <v>0</v>
      </c>
      <c r="AD88" s="6">
        <f>$O$88*$X$88</f>
        <v>0</v>
      </c>
      <c r="AE88" s="6">
        <f ca="1">$K$88*$Y$88</f>
        <v>201319.55848639776</v>
      </c>
      <c r="AF88" s="6">
        <f>$M$88*$Z$88</f>
        <v>0</v>
      </c>
      <c r="AG88" s="6">
        <f>$O$88*$AA$88</f>
        <v>0</v>
      </c>
    </row>
    <row r="89" spans="1:33" ht="11.25" customHeight="1" x14ac:dyDescent="0.25">
      <c r="A89" s="4" t="s">
        <v>28</v>
      </c>
      <c r="B89" s="4" t="s">
        <v>35</v>
      </c>
      <c r="C89" s="4" t="s">
        <v>39</v>
      </c>
      <c r="D89" s="4" t="s">
        <v>40</v>
      </c>
      <c r="E89" s="4" t="s">
        <v>25</v>
      </c>
      <c r="F89" s="4" t="s">
        <v>25</v>
      </c>
      <c r="G89" s="4" t="s">
        <v>25</v>
      </c>
      <c r="H89" s="4" t="s">
        <v>25</v>
      </c>
      <c r="I89" s="5">
        <v>44562</v>
      </c>
      <c r="J89" s="6">
        <v>176</v>
      </c>
      <c r="K89" s="6">
        <v>176</v>
      </c>
      <c r="L89" s="6">
        <v>0</v>
      </c>
      <c r="M89" s="6">
        <v>0</v>
      </c>
      <c r="N89" s="6">
        <v>0</v>
      </c>
      <c r="O89" s="6">
        <v>0</v>
      </c>
      <c r="P89" s="6">
        <v>1</v>
      </c>
      <c r="Q89" s="4" t="s">
        <v>26</v>
      </c>
      <c r="R89" s="4">
        <v>0</v>
      </c>
      <c r="S89" s="6">
        <v>24</v>
      </c>
      <c r="T89" s="6">
        <v>0</v>
      </c>
      <c r="U89" s="6">
        <v>0</v>
      </c>
      <c r="V89" s="6">
        <f>IF(ISERROR(VLOOKUP($S$89,'TAR FIN'!$A$1:$O$86,15,0)),0,VLOOKUP($S$89,'TAR FIN'!$A$1:$O$86,15,0))</f>
        <v>22.9</v>
      </c>
      <c r="W89" s="6">
        <f>IF(ISERROR(VLOOKUP($T$89,'TAR FIN'!$A$1:$O$86,15,0)),0,VLOOKUP($T$89,'TAR FIN'!$A$1:$O$86,15,0))</f>
        <v>0</v>
      </c>
      <c r="X89" s="6">
        <f>IF(ISERROR(VLOOKUP($U$89,'TAR FIN'!$A$1:$O$86,15,0)),0,VLOOKUP($U$89,'TAR FIN'!$A$1:$O$86,15,0))</f>
        <v>0</v>
      </c>
      <c r="Y89" s="6">
        <f ca="1">('TUSD BE'!$AM$10+'TUSD BF'!$AM$10+'TUSD CVA'!$AM$10)*1</f>
        <v>21.733731888847863</v>
      </c>
      <c r="Z89" s="6"/>
      <c r="AA89" s="6"/>
      <c r="AB89" s="6">
        <f>$K$89*$V$89</f>
        <v>4030.3999999999996</v>
      </c>
      <c r="AC89" s="6">
        <f>$M$89*$W$89</f>
        <v>0</v>
      </c>
      <c r="AD89" s="6">
        <f>$O$89*$X$89</f>
        <v>0</v>
      </c>
      <c r="AE89" s="6">
        <f ca="1">$K$89*$Y$89</f>
        <v>3825.1368124372239</v>
      </c>
      <c r="AF89" s="6">
        <f>$M$89*$Z$89</f>
        <v>0</v>
      </c>
      <c r="AG89" s="6">
        <f>$O$89*$AA$89</f>
        <v>0</v>
      </c>
    </row>
    <row r="90" spans="1:33" ht="11.25" customHeight="1" x14ac:dyDescent="0.25">
      <c r="A90" s="4" t="s">
        <v>21</v>
      </c>
      <c r="B90" s="4" t="s">
        <v>35</v>
      </c>
      <c r="C90" s="4" t="s">
        <v>39</v>
      </c>
      <c r="D90" s="4" t="s">
        <v>40</v>
      </c>
      <c r="E90" s="4" t="s">
        <v>25</v>
      </c>
      <c r="F90" s="4" t="s">
        <v>25</v>
      </c>
      <c r="G90" s="4" t="s">
        <v>25</v>
      </c>
      <c r="H90" s="4" t="s">
        <v>25</v>
      </c>
      <c r="I90" s="5">
        <v>44593</v>
      </c>
      <c r="J90" s="6">
        <v>9208</v>
      </c>
      <c r="K90" s="6">
        <v>9208</v>
      </c>
      <c r="L90" s="6">
        <v>0</v>
      </c>
      <c r="M90" s="6">
        <v>0</v>
      </c>
      <c r="N90" s="6">
        <v>0</v>
      </c>
      <c r="O90" s="6">
        <v>0</v>
      </c>
      <c r="P90" s="6">
        <v>35</v>
      </c>
      <c r="Q90" s="4" t="s">
        <v>26</v>
      </c>
      <c r="R90" s="4">
        <v>0</v>
      </c>
      <c r="S90" s="6">
        <v>24</v>
      </c>
      <c r="T90" s="6">
        <v>0</v>
      </c>
      <c r="U90" s="6">
        <v>0</v>
      </c>
      <c r="V90" s="6">
        <f>IF(ISERROR(VLOOKUP($S$90,'TAR FIN'!$A$1:$O$86,15,0)),0,VLOOKUP($S$90,'TAR FIN'!$A$1:$O$86,15,0))</f>
        <v>22.9</v>
      </c>
      <c r="W90" s="6">
        <f>IF(ISERROR(VLOOKUP($T$90,'TAR FIN'!$A$1:$O$86,15,0)),0,VLOOKUP($T$90,'TAR FIN'!$A$1:$O$86,15,0))</f>
        <v>0</v>
      </c>
      <c r="X90" s="6">
        <f>IF(ISERROR(VLOOKUP($U$90,'TAR FIN'!$A$1:$O$86,15,0)),0,VLOOKUP($U$90,'TAR FIN'!$A$1:$O$86,15,0))</f>
        <v>0</v>
      </c>
      <c r="Y90" s="6">
        <f ca="1">('TUSD BE'!$AM$10+'TUSD BF'!$AM$10+'TUSD CVA'!$AM$10)*1</f>
        <v>21.733731888847863</v>
      </c>
      <c r="Z90" s="6"/>
      <c r="AA90" s="6"/>
      <c r="AB90" s="6">
        <f>$K$90*$V$90</f>
        <v>210863.19999999998</v>
      </c>
      <c r="AC90" s="6">
        <f>$M$90*$W$90</f>
        <v>0</v>
      </c>
      <c r="AD90" s="6">
        <f>$O$90*$X$90</f>
        <v>0</v>
      </c>
      <c r="AE90" s="6">
        <f ca="1">$K$90*$Y$90</f>
        <v>200124.20323251112</v>
      </c>
      <c r="AF90" s="6">
        <f>$M$90*$Z$90</f>
        <v>0</v>
      </c>
      <c r="AG90" s="6">
        <f>$O$90*$AA$90</f>
        <v>0</v>
      </c>
    </row>
    <row r="91" spans="1:33" ht="11.25" customHeight="1" x14ac:dyDescent="0.25">
      <c r="A91" s="4" t="s">
        <v>28</v>
      </c>
      <c r="B91" s="4" t="s">
        <v>35</v>
      </c>
      <c r="C91" s="4" t="s">
        <v>39</v>
      </c>
      <c r="D91" s="4" t="s">
        <v>40</v>
      </c>
      <c r="E91" s="4" t="s">
        <v>25</v>
      </c>
      <c r="F91" s="4" t="s">
        <v>25</v>
      </c>
      <c r="G91" s="4" t="s">
        <v>25</v>
      </c>
      <c r="H91" s="4" t="s">
        <v>25</v>
      </c>
      <c r="I91" s="5">
        <v>44593</v>
      </c>
      <c r="J91" s="6">
        <v>172</v>
      </c>
      <c r="K91" s="6">
        <v>172</v>
      </c>
      <c r="L91" s="6">
        <v>0</v>
      </c>
      <c r="M91" s="6">
        <v>0</v>
      </c>
      <c r="N91" s="6">
        <v>0</v>
      </c>
      <c r="O91" s="6">
        <v>0</v>
      </c>
      <c r="P91" s="6">
        <v>1</v>
      </c>
      <c r="Q91" s="4" t="s">
        <v>26</v>
      </c>
      <c r="R91" s="4">
        <v>0</v>
      </c>
      <c r="S91" s="6">
        <v>24</v>
      </c>
      <c r="T91" s="6">
        <v>0</v>
      </c>
      <c r="U91" s="6">
        <v>0</v>
      </c>
      <c r="V91" s="6">
        <f>IF(ISERROR(VLOOKUP($S$91,'TAR FIN'!$A$1:$O$86,15,0)),0,VLOOKUP($S$91,'TAR FIN'!$A$1:$O$86,15,0))</f>
        <v>22.9</v>
      </c>
      <c r="W91" s="6">
        <f>IF(ISERROR(VLOOKUP($T$91,'TAR FIN'!$A$1:$O$86,15,0)),0,VLOOKUP($T$91,'TAR FIN'!$A$1:$O$86,15,0))</f>
        <v>0</v>
      </c>
      <c r="X91" s="6">
        <f>IF(ISERROR(VLOOKUP($U$91,'TAR FIN'!$A$1:$O$86,15,0)),0,VLOOKUP($U$91,'TAR FIN'!$A$1:$O$86,15,0))</f>
        <v>0</v>
      </c>
      <c r="Y91" s="6">
        <f ca="1">('TUSD BE'!$AM$10+'TUSD BF'!$AM$10+'TUSD CVA'!$AM$10)*1</f>
        <v>21.733731888847863</v>
      </c>
      <c r="Z91" s="6"/>
      <c r="AA91" s="6"/>
      <c r="AB91" s="6">
        <f>$K$91*$V$91</f>
        <v>3938.7999999999997</v>
      </c>
      <c r="AC91" s="6">
        <f>$M$91*$W$91</f>
        <v>0</v>
      </c>
      <c r="AD91" s="6">
        <f>$O$91*$X$91</f>
        <v>0</v>
      </c>
      <c r="AE91" s="6">
        <f ca="1">$K$91*$Y$91</f>
        <v>3738.2018848818325</v>
      </c>
      <c r="AF91" s="6">
        <f>$M$91*$Z$91</f>
        <v>0</v>
      </c>
      <c r="AG91" s="6">
        <f>$O$91*$AA$91</f>
        <v>0</v>
      </c>
    </row>
    <row r="92" spans="1:33" ht="11.25" customHeight="1" x14ac:dyDescent="0.25">
      <c r="A92" s="4" t="s">
        <v>21</v>
      </c>
      <c r="B92" s="4" t="s">
        <v>35</v>
      </c>
      <c r="C92" s="4" t="s">
        <v>39</v>
      </c>
      <c r="D92" s="4" t="s">
        <v>40</v>
      </c>
      <c r="E92" s="4" t="s">
        <v>25</v>
      </c>
      <c r="F92" s="4" t="s">
        <v>25</v>
      </c>
      <c r="G92" s="4" t="s">
        <v>25</v>
      </c>
      <c r="H92" s="4" t="s">
        <v>25</v>
      </c>
      <c r="I92" s="5">
        <v>44621</v>
      </c>
      <c r="J92" s="6">
        <v>9345</v>
      </c>
      <c r="K92" s="6">
        <v>9345</v>
      </c>
      <c r="L92" s="6">
        <v>0</v>
      </c>
      <c r="M92" s="6">
        <v>0</v>
      </c>
      <c r="N92" s="6">
        <v>0</v>
      </c>
      <c r="O92" s="6">
        <v>0</v>
      </c>
      <c r="P92" s="6">
        <v>35</v>
      </c>
      <c r="Q92" s="4" t="s">
        <v>26</v>
      </c>
      <c r="R92" s="4">
        <v>0</v>
      </c>
      <c r="S92" s="6">
        <v>24</v>
      </c>
      <c r="T92" s="6">
        <v>0</v>
      </c>
      <c r="U92" s="6">
        <v>0</v>
      </c>
      <c r="V92" s="6">
        <f>IF(ISERROR(VLOOKUP($S$92,'TAR FIN'!$A$1:$O$86,15,0)),0,VLOOKUP($S$92,'TAR FIN'!$A$1:$O$86,15,0))</f>
        <v>22.9</v>
      </c>
      <c r="W92" s="6">
        <f>IF(ISERROR(VLOOKUP($T$92,'TAR FIN'!$A$1:$O$86,15,0)),0,VLOOKUP($T$92,'TAR FIN'!$A$1:$O$86,15,0))</f>
        <v>0</v>
      </c>
      <c r="X92" s="6">
        <f>IF(ISERROR(VLOOKUP($U$92,'TAR FIN'!$A$1:$O$86,15,0)),0,VLOOKUP($U$92,'TAR FIN'!$A$1:$O$86,15,0))</f>
        <v>0</v>
      </c>
      <c r="Y92" s="6">
        <f ca="1">('TUSD BE'!$AM$10+'TUSD BF'!$AM$10+'TUSD CVA'!$AM$10)*1</f>
        <v>21.733731888847863</v>
      </c>
      <c r="Z92" s="6"/>
      <c r="AA92" s="6"/>
      <c r="AB92" s="6">
        <f>$K$92*$V$92</f>
        <v>214000.5</v>
      </c>
      <c r="AC92" s="6">
        <f>$M$92*$W$92</f>
        <v>0</v>
      </c>
      <c r="AD92" s="6">
        <f>$O$92*$X$92</f>
        <v>0</v>
      </c>
      <c r="AE92" s="6">
        <f ca="1">$K$92*$Y$92</f>
        <v>203101.72450128329</v>
      </c>
      <c r="AF92" s="6">
        <f>$M$92*$Z$92</f>
        <v>0</v>
      </c>
      <c r="AG92" s="6">
        <f>$O$92*$AA$92</f>
        <v>0</v>
      </c>
    </row>
    <row r="93" spans="1:33" ht="11.25" customHeight="1" x14ac:dyDescent="0.25">
      <c r="A93" s="4" t="s">
        <v>28</v>
      </c>
      <c r="B93" s="4" t="s">
        <v>35</v>
      </c>
      <c r="C93" s="4" t="s">
        <v>39</v>
      </c>
      <c r="D93" s="4" t="s">
        <v>40</v>
      </c>
      <c r="E93" s="4" t="s">
        <v>25</v>
      </c>
      <c r="F93" s="4" t="s">
        <v>25</v>
      </c>
      <c r="G93" s="4" t="s">
        <v>25</v>
      </c>
      <c r="H93" s="4" t="s">
        <v>25</v>
      </c>
      <c r="I93" s="5">
        <v>44621</v>
      </c>
      <c r="J93" s="6">
        <v>205</v>
      </c>
      <c r="K93" s="6">
        <v>205</v>
      </c>
      <c r="L93" s="6">
        <v>0</v>
      </c>
      <c r="M93" s="6">
        <v>0</v>
      </c>
      <c r="N93" s="6">
        <v>0</v>
      </c>
      <c r="O93" s="6">
        <v>0</v>
      </c>
      <c r="P93" s="6">
        <v>1</v>
      </c>
      <c r="Q93" s="4" t="s">
        <v>26</v>
      </c>
      <c r="R93" s="4">
        <v>0</v>
      </c>
      <c r="S93" s="6">
        <v>24</v>
      </c>
      <c r="T93" s="6">
        <v>0</v>
      </c>
      <c r="U93" s="6">
        <v>0</v>
      </c>
      <c r="V93" s="6">
        <f>IF(ISERROR(VLOOKUP($S$93,'TAR FIN'!$A$1:$O$86,15,0)),0,VLOOKUP($S$93,'TAR FIN'!$A$1:$O$86,15,0))</f>
        <v>22.9</v>
      </c>
      <c r="W93" s="6">
        <f>IF(ISERROR(VLOOKUP($T$93,'TAR FIN'!$A$1:$O$86,15,0)),0,VLOOKUP($T$93,'TAR FIN'!$A$1:$O$86,15,0))</f>
        <v>0</v>
      </c>
      <c r="X93" s="6">
        <f>IF(ISERROR(VLOOKUP($U$93,'TAR FIN'!$A$1:$O$86,15,0)),0,VLOOKUP($U$93,'TAR FIN'!$A$1:$O$86,15,0))</f>
        <v>0</v>
      </c>
      <c r="Y93" s="6">
        <f ca="1">('TUSD BE'!$AM$10+'TUSD BF'!$AM$10+'TUSD CVA'!$AM$10)*1</f>
        <v>21.733731888847863</v>
      </c>
      <c r="Z93" s="6"/>
      <c r="AA93" s="6"/>
      <c r="AB93" s="6">
        <f>$K$93*$V$93</f>
        <v>4694.5</v>
      </c>
      <c r="AC93" s="6">
        <f>$M$93*$W$93</f>
        <v>0</v>
      </c>
      <c r="AD93" s="6">
        <f>$O$93*$X$93</f>
        <v>0</v>
      </c>
      <c r="AE93" s="6">
        <f ca="1">$K$93*$Y$93</f>
        <v>4455.415037213812</v>
      </c>
      <c r="AF93" s="6">
        <f>$M$93*$Z$93</f>
        <v>0</v>
      </c>
      <c r="AG93" s="6">
        <f>$O$93*$AA$93</f>
        <v>0</v>
      </c>
    </row>
    <row r="94" spans="1:33" ht="11.25" customHeight="1" x14ac:dyDescent="0.25">
      <c r="A94" s="4" t="s">
        <v>21</v>
      </c>
      <c r="B94" s="4" t="s">
        <v>35</v>
      </c>
      <c r="C94" s="4" t="s">
        <v>39</v>
      </c>
      <c r="D94" s="4" t="s">
        <v>40</v>
      </c>
      <c r="E94" s="4" t="s">
        <v>25</v>
      </c>
      <c r="F94" s="4" t="s">
        <v>25</v>
      </c>
      <c r="G94" s="4" t="s">
        <v>25</v>
      </c>
      <c r="H94" s="4" t="s">
        <v>25</v>
      </c>
      <c r="I94" s="5">
        <v>44652</v>
      </c>
      <c r="J94" s="6">
        <v>9217</v>
      </c>
      <c r="K94" s="6">
        <v>9217</v>
      </c>
      <c r="L94" s="6">
        <v>0</v>
      </c>
      <c r="M94" s="6">
        <v>0</v>
      </c>
      <c r="N94" s="6">
        <v>0</v>
      </c>
      <c r="O94" s="6">
        <v>0</v>
      </c>
      <c r="P94" s="6">
        <v>36</v>
      </c>
      <c r="Q94" s="4" t="s">
        <v>26</v>
      </c>
      <c r="R94" s="4">
        <v>0</v>
      </c>
      <c r="S94" s="6">
        <v>24</v>
      </c>
      <c r="T94" s="6">
        <v>0</v>
      </c>
      <c r="U94" s="6">
        <v>0</v>
      </c>
      <c r="V94" s="6">
        <f>IF(ISERROR(VLOOKUP($S$94,'TAR FIN'!$A$1:$O$86,15,0)),0,VLOOKUP($S$94,'TAR FIN'!$A$1:$O$86,15,0))</f>
        <v>22.9</v>
      </c>
      <c r="W94" s="6">
        <f>IF(ISERROR(VLOOKUP($T$94,'TAR FIN'!$A$1:$O$86,15,0)),0,VLOOKUP($T$94,'TAR FIN'!$A$1:$O$86,15,0))</f>
        <v>0</v>
      </c>
      <c r="X94" s="6">
        <f>IF(ISERROR(VLOOKUP($U$94,'TAR FIN'!$A$1:$O$86,15,0)),0,VLOOKUP($U$94,'TAR FIN'!$A$1:$O$86,15,0))</f>
        <v>0</v>
      </c>
      <c r="Y94" s="6">
        <f ca="1">('TUSD BE'!$AM$10+'TUSD BF'!$AM$10+'TUSD CVA'!$AM$10)*1</f>
        <v>21.733731888847863</v>
      </c>
      <c r="Z94" s="6"/>
      <c r="AA94" s="6"/>
      <c r="AB94" s="6">
        <f>$K$94*$V$94</f>
        <v>211069.3</v>
      </c>
      <c r="AC94" s="6">
        <f>$M$94*$W$94</f>
        <v>0</v>
      </c>
      <c r="AD94" s="6">
        <f>$O$94*$X$94</f>
        <v>0</v>
      </c>
      <c r="AE94" s="6">
        <f ca="1">$K$94*$Y$94</f>
        <v>200319.80681951076</v>
      </c>
      <c r="AF94" s="6">
        <f>$M$94*$Z$94</f>
        <v>0</v>
      </c>
      <c r="AG94" s="6">
        <f>$O$94*$AA$94</f>
        <v>0</v>
      </c>
    </row>
    <row r="95" spans="1:33" ht="11.25" customHeight="1" x14ac:dyDescent="0.25">
      <c r="A95" s="4" t="s">
        <v>28</v>
      </c>
      <c r="B95" s="4" t="s">
        <v>35</v>
      </c>
      <c r="C95" s="4" t="s">
        <v>39</v>
      </c>
      <c r="D95" s="4" t="s">
        <v>40</v>
      </c>
      <c r="E95" s="4" t="s">
        <v>25</v>
      </c>
      <c r="F95" s="4" t="s">
        <v>25</v>
      </c>
      <c r="G95" s="4" t="s">
        <v>25</v>
      </c>
      <c r="H95" s="4" t="s">
        <v>25</v>
      </c>
      <c r="I95" s="5">
        <v>44652</v>
      </c>
      <c r="J95" s="6">
        <v>165</v>
      </c>
      <c r="K95" s="6">
        <v>165</v>
      </c>
      <c r="L95" s="6">
        <v>0</v>
      </c>
      <c r="M95" s="6">
        <v>0</v>
      </c>
      <c r="N95" s="6">
        <v>0</v>
      </c>
      <c r="O95" s="6">
        <v>0</v>
      </c>
      <c r="P95" s="6">
        <v>1</v>
      </c>
      <c r="Q95" s="4" t="s">
        <v>26</v>
      </c>
      <c r="R95" s="4">
        <v>0</v>
      </c>
      <c r="S95" s="6">
        <v>24</v>
      </c>
      <c r="T95" s="6">
        <v>0</v>
      </c>
      <c r="U95" s="6">
        <v>0</v>
      </c>
      <c r="V95" s="6">
        <f>IF(ISERROR(VLOOKUP($S$95,'TAR FIN'!$A$1:$O$86,15,0)),0,VLOOKUP($S$95,'TAR FIN'!$A$1:$O$86,15,0))</f>
        <v>22.9</v>
      </c>
      <c r="W95" s="6">
        <f>IF(ISERROR(VLOOKUP($T$95,'TAR FIN'!$A$1:$O$86,15,0)),0,VLOOKUP($T$95,'TAR FIN'!$A$1:$O$86,15,0))</f>
        <v>0</v>
      </c>
      <c r="X95" s="6">
        <f>IF(ISERROR(VLOOKUP($U$95,'TAR FIN'!$A$1:$O$86,15,0)),0,VLOOKUP($U$95,'TAR FIN'!$A$1:$O$86,15,0))</f>
        <v>0</v>
      </c>
      <c r="Y95" s="6">
        <f ca="1">('TUSD BE'!$AM$10+'TUSD BF'!$AM$10+'TUSD CVA'!$AM$10)*1</f>
        <v>21.733731888847863</v>
      </c>
      <c r="Z95" s="6"/>
      <c r="AA95" s="6"/>
      <c r="AB95" s="6">
        <f>$K$95*$V$95</f>
        <v>3778.4999999999995</v>
      </c>
      <c r="AC95" s="6">
        <f>$M$95*$W$95</f>
        <v>0</v>
      </c>
      <c r="AD95" s="6">
        <f>$O$95*$X$95</f>
        <v>0</v>
      </c>
      <c r="AE95" s="6">
        <f ca="1">$K$95*$Y$95</f>
        <v>3586.0657616598974</v>
      </c>
      <c r="AF95" s="6">
        <f>$M$95*$Z$95</f>
        <v>0</v>
      </c>
      <c r="AG95" s="6">
        <f>$O$95*$AA$95</f>
        <v>0</v>
      </c>
    </row>
    <row r="96" spans="1:33" ht="11.25" customHeight="1" x14ac:dyDescent="0.25">
      <c r="A96" s="4" t="s">
        <v>21</v>
      </c>
      <c r="B96" s="4" t="s">
        <v>35</v>
      </c>
      <c r="C96" s="4" t="s">
        <v>39</v>
      </c>
      <c r="D96" s="4" t="s">
        <v>40</v>
      </c>
      <c r="E96" s="4" t="s">
        <v>25</v>
      </c>
      <c r="F96" s="4" t="s">
        <v>25</v>
      </c>
      <c r="G96" s="4" t="s">
        <v>25</v>
      </c>
      <c r="H96" s="4" t="s">
        <v>25</v>
      </c>
      <c r="I96" s="5">
        <v>44682</v>
      </c>
      <c r="J96" s="6">
        <v>9393</v>
      </c>
      <c r="K96" s="6">
        <v>9393</v>
      </c>
      <c r="L96" s="6">
        <v>0</v>
      </c>
      <c r="M96" s="6">
        <v>0</v>
      </c>
      <c r="N96" s="6">
        <v>0</v>
      </c>
      <c r="O96" s="6">
        <v>0</v>
      </c>
      <c r="P96" s="6">
        <v>37</v>
      </c>
      <c r="Q96" s="4" t="s">
        <v>26</v>
      </c>
      <c r="R96" s="4">
        <v>0</v>
      </c>
      <c r="S96" s="6">
        <v>24</v>
      </c>
      <c r="T96" s="6">
        <v>0</v>
      </c>
      <c r="U96" s="6">
        <v>0</v>
      </c>
      <c r="V96" s="6">
        <f>IF(ISERROR(VLOOKUP($S$96,'TAR FIN'!$A$1:$O$86,15,0)),0,VLOOKUP($S$96,'TAR FIN'!$A$1:$O$86,15,0))</f>
        <v>22.9</v>
      </c>
      <c r="W96" s="6">
        <f>IF(ISERROR(VLOOKUP($T$96,'TAR FIN'!$A$1:$O$86,15,0)),0,VLOOKUP($T$96,'TAR FIN'!$A$1:$O$86,15,0))</f>
        <v>0</v>
      </c>
      <c r="X96" s="6">
        <f>IF(ISERROR(VLOOKUP($U$96,'TAR FIN'!$A$1:$O$86,15,0)),0,VLOOKUP($U$96,'TAR FIN'!$A$1:$O$86,15,0))</f>
        <v>0</v>
      </c>
      <c r="Y96" s="6">
        <f ca="1">('TUSD BE'!$AM$10+'TUSD BF'!$AM$10+'TUSD CVA'!$AM$10)*1</f>
        <v>21.733731888847863</v>
      </c>
      <c r="Z96" s="6"/>
      <c r="AA96" s="6"/>
      <c r="AB96" s="6">
        <f>$K$96*$V$96</f>
        <v>215099.69999999998</v>
      </c>
      <c r="AC96" s="6">
        <f>$M$96*$W$96</f>
        <v>0</v>
      </c>
      <c r="AD96" s="6">
        <f>$O$96*$X$96</f>
        <v>0</v>
      </c>
      <c r="AE96" s="6">
        <f ca="1">$K$96*$Y$96</f>
        <v>204144.94363194797</v>
      </c>
      <c r="AF96" s="6">
        <f>$M$96*$Z$96</f>
        <v>0</v>
      </c>
      <c r="AG96" s="6">
        <f>$O$96*$AA$96</f>
        <v>0</v>
      </c>
    </row>
    <row r="97" spans="1:33" ht="11.25" customHeight="1" x14ac:dyDescent="0.25">
      <c r="A97" s="4" t="s">
        <v>28</v>
      </c>
      <c r="B97" s="4" t="s">
        <v>35</v>
      </c>
      <c r="C97" s="4" t="s">
        <v>39</v>
      </c>
      <c r="D97" s="4" t="s">
        <v>40</v>
      </c>
      <c r="E97" s="4" t="s">
        <v>25</v>
      </c>
      <c r="F97" s="4" t="s">
        <v>25</v>
      </c>
      <c r="G97" s="4" t="s">
        <v>25</v>
      </c>
      <c r="H97" s="4" t="s">
        <v>25</v>
      </c>
      <c r="I97" s="5">
        <v>44682</v>
      </c>
      <c r="J97" s="6">
        <v>165</v>
      </c>
      <c r="K97" s="6">
        <v>165</v>
      </c>
      <c r="L97" s="6">
        <v>0</v>
      </c>
      <c r="M97" s="6">
        <v>0</v>
      </c>
      <c r="N97" s="6">
        <v>0</v>
      </c>
      <c r="O97" s="6">
        <v>0</v>
      </c>
      <c r="P97" s="6">
        <v>1</v>
      </c>
      <c r="Q97" s="4" t="s">
        <v>26</v>
      </c>
      <c r="R97" s="4">
        <v>0</v>
      </c>
      <c r="S97" s="6">
        <v>24</v>
      </c>
      <c r="T97" s="6">
        <v>0</v>
      </c>
      <c r="U97" s="6">
        <v>0</v>
      </c>
      <c r="V97" s="6">
        <f>IF(ISERROR(VLOOKUP($S$97,'TAR FIN'!$A$1:$O$86,15,0)),0,VLOOKUP($S$97,'TAR FIN'!$A$1:$O$86,15,0))</f>
        <v>22.9</v>
      </c>
      <c r="W97" s="6">
        <f>IF(ISERROR(VLOOKUP($T$97,'TAR FIN'!$A$1:$O$86,15,0)),0,VLOOKUP($T$97,'TAR FIN'!$A$1:$O$86,15,0))</f>
        <v>0</v>
      </c>
      <c r="X97" s="6">
        <f>IF(ISERROR(VLOOKUP($U$97,'TAR FIN'!$A$1:$O$86,15,0)),0,VLOOKUP($U$97,'TAR FIN'!$A$1:$O$86,15,0))</f>
        <v>0</v>
      </c>
      <c r="Y97" s="6">
        <f ca="1">('TUSD BE'!$AM$10+'TUSD BF'!$AM$10+'TUSD CVA'!$AM$10)*1</f>
        <v>21.733731888847863</v>
      </c>
      <c r="Z97" s="6"/>
      <c r="AA97" s="6"/>
      <c r="AB97" s="6">
        <f>$K$97*$V$97</f>
        <v>3778.4999999999995</v>
      </c>
      <c r="AC97" s="6">
        <f>$M$97*$W$97</f>
        <v>0</v>
      </c>
      <c r="AD97" s="6">
        <f>$O$97*$X$97</f>
        <v>0</v>
      </c>
      <c r="AE97" s="6">
        <f ca="1">$K$97*$Y$97</f>
        <v>3586.0657616598974</v>
      </c>
      <c r="AF97" s="6">
        <f>$M$97*$Z$97</f>
        <v>0</v>
      </c>
      <c r="AG97" s="6">
        <f>$O$97*$AA$97</f>
        <v>0</v>
      </c>
    </row>
    <row r="98" spans="1:33" ht="11.25" customHeight="1" x14ac:dyDescent="0.25">
      <c r="A98" s="4" t="s">
        <v>21</v>
      </c>
      <c r="B98" s="4" t="s">
        <v>35</v>
      </c>
      <c r="C98" s="4" t="s">
        <v>39</v>
      </c>
      <c r="D98" s="4" t="s">
        <v>40</v>
      </c>
      <c r="E98" s="4" t="s">
        <v>25</v>
      </c>
      <c r="F98" s="4" t="s">
        <v>25</v>
      </c>
      <c r="G98" s="4" t="s">
        <v>25</v>
      </c>
      <c r="H98" s="4" t="s">
        <v>25</v>
      </c>
      <c r="I98" s="5">
        <v>44713</v>
      </c>
      <c r="J98" s="6">
        <v>9408</v>
      </c>
      <c r="K98" s="6">
        <v>9408</v>
      </c>
      <c r="L98" s="6">
        <v>0</v>
      </c>
      <c r="M98" s="6">
        <v>0</v>
      </c>
      <c r="N98" s="6">
        <v>0</v>
      </c>
      <c r="O98" s="6">
        <v>0</v>
      </c>
      <c r="P98" s="6">
        <v>37</v>
      </c>
      <c r="Q98" s="4" t="s">
        <v>26</v>
      </c>
      <c r="R98" s="4">
        <v>0</v>
      </c>
      <c r="S98" s="6">
        <v>24</v>
      </c>
      <c r="T98" s="6">
        <v>0</v>
      </c>
      <c r="U98" s="6">
        <v>0</v>
      </c>
      <c r="V98" s="6">
        <f>IF(ISERROR(VLOOKUP($S$98,'TAR FIN'!$A$1:$O$86,15,0)),0,VLOOKUP($S$98,'TAR FIN'!$A$1:$O$86,15,0))</f>
        <v>22.9</v>
      </c>
      <c r="W98" s="6">
        <f>IF(ISERROR(VLOOKUP($T$98,'TAR FIN'!$A$1:$O$86,15,0)),0,VLOOKUP($T$98,'TAR FIN'!$A$1:$O$86,15,0))</f>
        <v>0</v>
      </c>
      <c r="X98" s="6">
        <f>IF(ISERROR(VLOOKUP($U$98,'TAR FIN'!$A$1:$O$86,15,0)),0,VLOOKUP($U$98,'TAR FIN'!$A$1:$O$86,15,0))</f>
        <v>0</v>
      </c>
      <c r="Y98" s="6">
        <f ca="1">('TUSD BE'!$AM$10+'TUSD BF'!$AM$10+'TUSD CVA'!$AM$10)*1</f>
        <v>21.733731888847863</v>
      </c>
      <c r="Z98" s="6"/>
      <c r="AA98" s="6"/>
      <c r="AB98" s="6">
        <f>$K$98*$V$98</f>
        <v>215443.19999999998</v>
      </c>
      <c r="AC98" s="6">
        <f>$M$98*$W$98</f>
        <v>0</v>
      </c>
      <c r="AD98" s="6">
        <f>$O$98*$X$98</f>
        <v>0</v>
      </c>
      <c r="AE98" s="6">
        <f ca="1">$K$98*$Y$98</f>
        <v>204470.94961028069</v>
      </c>
      <c r="AF98" s="6">
        <f>$M$98*$Z$98</f>
        <v>0</v>
      </c>
      <c r="AG98" s="6">
        <f>$O$98*$AA$98</f>
        <v>0</v>
      </c>
    </row>
    <row r="99" spans="1:33" ht="11.25" customHeight="1" x14ac:dyDescent="0.25">
      <c r="A99" s="4" t="s">
        <v>28</v>
      </c>
      <c r="B99" s="4" t="s">
        <v>35</v>
      </c>
      <c r="C99" s="4" t="s">
        <v>39</v>
      </c>
      <c r="D99" s="4" t="s">
        <v>40</v>
      </c>
      <c r="E99" s="4" t="s">
        <v>25</v>
      </c>
      <c r="F99" s="4" t="s">
        <v>25</v>
      </c>
      <c r="G99" s="4" t="s">
        <v>25</v>
      </c>
      <c r="H99" s="4" t="s">
        <v>25</v>
      </c>
      <c r="I99" s="5">
        <v>44713</v>
      </c>
      <c r="J99" s="6">
        <v>165</v>
      </c>
      <c r="K99" s="6">
        <v>165</v>
      </c>
      <c r="L99" s="6">
        <v>0</v>
      </c>
      <c r="M99" s="6">
        <v>0</v>
      </c>
      <c r="N99" s="6">
        <v>0</v>
      </c>
      <c r="O99" s="6">
        <v>0</v>
      </c>
      <c r="P99" s="6">
        <v>1</v>
      </c>
      <c r="Q99" s="4" t="s">
        <v>26</v>
      </c>
      <c r="R99" s="4">
        <v>0</v>
      </c>
      <c r="S99" s="6">
        <v>24</v>
      </c>
      <c r="T99" s="6">
        <v>0</v>
      </c>
      <c r="U99" s="6">
        <v>0</v>
      </c>
      <c r="V99" s="6">
        <f>IF(ISERROR(VLOOKUP($S$99,'TAR FIN'!$A$1:$O$86,15,0)),0,VLOOKUP($S$99,'TAR FIN'!$A$1:$O$86,15,0))</f>
        <v>22.9</v>
      </c>
      <c r="W99" s="6">
        <f>IF(ISERROR(VLOOKUP($T$99,'TAR FIN'!$A$1:$O$86,15,0)),0,VLOOKUP($T$99,'TAR FIN'!$A$1:$O$86,15,0))</f>
        <v>0</v>
      </c>
      <c r="X99" s="6">
        <f>IF(ISERROR(VLOOKUP($U$99,'TAR FIN'!$A$1:$O$86,15,0)),0,VLOOKUP($U$99,'TAR FIN'!$A$1:$O$86,15,0))</f>
        <v>0</v>
      </c>
      <c r="Y99" s="6">
        <f ca="1">('TUSD BE'!$AM$10+'TUSD BF'!$AM$10+'TUSD CVA'!$AM$10)*1</f>
        <v>21.733731888847863</v>
      </c>
      <c r="Z99" s="6"/>
      <c r="AA99" s="6"/>
      <c r="AB99" s="6">
        <f>$K$99*$V$99</f>
        <v>3778.4999999999995</v>
      </c>
      <c r="AC99" s="6">
        <f>$M$99*$W$99</f>
        <v>0</v>
      </c>
      <c r="AD99" s="6">
        <f>$O$99*$X$99</f>
        <v>0</v>
      </c>
      <c r="AE99" s="6">
        <f ca="1">$K$99*$Y$99</f>
        <v>3586.0657616598974</v>
      </c>
      <c r="AF99" s="6">
        <f>$M$99*$Z$99</f>
        <v>0</v>
      </c>
      <c r="AG99" s="6">
        <f>$O$99*$AA$99</f>
        <v>0</v>
      </c>
    </row>
    <row r="100" spans="1:33" ht="11.25" customHeight="1" x14ac:dyDescent="0.25">
      <c r="A100" s="4" t="s">
        <v>55</v>
      </c>
      <c r="B100" s="4" t="s">
        <v>35</v>
      </c>
      <c r="C100" s="4" t="s">
        <v>39</v>
      </c>
      <c r="D100" s="4" t="s">
        <v>40</v>
      </c>
      <c r="E100" s="4" t="s">
        <v>25</v>
      </c>
      <c r="F100" s="4" t="s">
        <v>25</v>
      </c>
      <c r="G100" s="4" t="s">
        <v>25</v>
      </c>
      <c r="H100" s="4" t="s">
        <v>25</v>
      </c>
      <c r="I100" s="5">
        <v>44743</v>
      </c>
      <c r="J100" s="6">
        <v>9408</v>
      </c>
      <c r="K100" s="6">
        <v>9408</v>
      </c>
      <c r="L100" s="6">
        <v>0</v>
      </c>
      <c r="M100" s="6">
        <v>0</v>
      </c>
      <c r="N100" s="6">
        <v>0</v>
      </c>
      <c r="O100" s="6">
        <v>0</v>
      </c>
      <c r="P100" s="6">
        <v>37</v>
      </c>
      <c r="Q100" s="4" t="s">
        <v>26</v>
      </c>
      <c r="R100" s="4">
        <v>0</v>
      </c>
      <c r="S100" s="6">
        <v>24</v>
      </c>
      <c r="T100" s="6">
        <v>0</v>
      </c>
      <c r="U100" s="6">
        <v>0</v>
      </c>
      <c r="V100" s="6">
        <f>IF(ISERROR(VLOOKUP($S$100,'TAR FIN'!$A$1:$O$86,15,0)),0,VLOOKUP($S$100,'TAR FIN'!$A$1:$O$86,15,0))</f>
        <v>22.9</v>
      </c>
      <c r="W100" s="6">
        <f>IF(ISERROR(VLOOKUP($T$100,'TAR FIN'!$A$1:$O$86,15,0)),0,VLOOKUP($T$100,'TAR FIN'!$A$1:$O$86,15,0))</f>
        <v>0</v>
      </c>
      <c r="X100" s="6">
        <f>IF(ISERROR(VLOOKUP($U$100,'TAR FIN'!$A$1:$O$86,15,0)),0,VLOOKUP($U$100,'TAR FIN'!$A$1:$O$86,15,0))</f>
        <v>0</v>
      </c>
      <c r="Y100" s="6">
        <f ca="1">('TUSD BE'!$AM$10+'TUSD BF'!$AM$10+'TUSD CVA'!$AM$10)*1</f>
        <v>21.733731888847863</v>
      </c>
      <c r="Z100" s="6"/>
      <c r="AA100" s="6"/>
      <c r="AB100" s="6">
        <f>$K$100*$V$100</f>
        <v>215443.19999999998</v>
      </c>
      <c r="AC100" s="6">
        <f>$M$100*$W$100</f>
        <v>0</v>
      </c>
      <c r="AD100" s="6">
        <f>$O$100*$X$100</f>
        <v>0</v>
      </c>
      <c r="AE100" s="6">
        <f ca="1">$K$100*$Y$100</f>
        <v>204470.94961028069</v>
      </c>
      <c r="AF100" s="6">
        <f>$M$100*$Z$100</f>
        <v>0</v>
      </c>
      <c r="AG100" s="6">
        <f>$O$100*$AA$100</f>
        <v>0</v>
      </c>
    </row>
    <row r="101" spans="1:33" ht="11.25" customHeight="1" x14ac:dyDescent="0.25">
      <c r="A101" s="4" t="s">
        <v>55</v>
      </c>
      <c r="B101" s="4" t="s">
        <v>35</v>
      </c>
      <c r="C101" s="4" t="s">
        <v>39</v>
      </c>
      <c r="D101" s="4" t="s">
        <v>40</v>
      </c>
      <c r="E101" s="4" t="s">
        <v>25</v>
      </c>
      <c r="F101" s="4" t="s">
        <v>25</v>
      </c>
      <c r="G101" s="4" t="s">
        <v>25</v>
      </c>
      <c r="H101" s="4" t="s">
        <v>25</v>
      </c>
      <c r="I101" s="5">
        <v>44743</v>
      </c>
      <c r="J101" s="6">
        <v>165</v>
      </c>
      <c r="K101" s="6">
        <v>165</v>
      </c>
      <c r="L101" s="6">
        <v>0</v>
      </c>
      <c r="M101" s="6">
        <v>0</v>
      </c>
      <c r="N101" s="6">
        <v>0</v>
      </c>
      <c r="O101" s="6">
        <v>0</v>
      </c>
      <c r="P101" s="6">
        <v>1</v>
      </c>
      <c r="Q101" s="4" t="s">
        <v>26</v>
      </c>
      <c r="R101" s="4">
        <v>0</v>
      </c>
      <c r="S101" s="6">
        <v>24</v>
      </c>
      <c r="T101" s="6">
        <v>0</v>
      </c>
      <c r="U101" s="6">
        <v>0</v>
      </c>
      <c r="V101" s="6">
        <f>IF(ISERROR(VLOOKUP($S$101,'TAR FIN'!$A$1:$O$86,15,0)),0,VLOOKUP($S$101,'TAR FIN'!$A$1:$O$86,15,0))</f>
        <v>22.9</v>
      </c>
      <c r="W101" s="6">
        <f>IF(ISERROR(VLOOKUP($T$101,'TAR FIN'!$A$1:$O$86,15,0)),0,VLOOKUP($T$101,'TAR FIN'!$A$1:$O$86,15,0))</f>
        <v>0</v>
      </c>
      <c r="X101" s="6">
        <f>IF(ISERROR(VLOOKUP($U$101,'TAR FIN'!$A$1:$O$86,15,0)),0,VLOOKUP($U$101,'TAR FIN'!$A$1:$O$86,15,0))</f>
        <v>0</v>
      </c>
      <c r="Y101" s="6">
        <f ca="1">('TUSD BE'!$AM$10+'TUSD BF'!$AM$10+'TUSD CVA'!$AM$10)*1</f>
        <v>21.733731888847863</v>
      </c>
      <c r="Z101" s="6"/>
      <c r="AA101" s="6"/>
      <c r="AB101" s="6">
        <f>$K$101*$V$101</f>
        <v>3778.4999999999995</v>
      </c>
      <c r="AC101" s="6">
        <f>$M$101*$W$101</f>
        <v>0</v>
      </c>
      <c r="AD101" s="6">
        <f>$O$101*$X$101</f>
        <v>0</v>
      </c>
      <c r="AE101" s="6">
        <f ca="1">$K$101*$Y$101</f>
        <v>3586.0657616598974</v>
      </c>
      <c r="AF101" s="6">
        <f>$M$101*$Z$101</f>
        <v>0</v>
      </c>
      <c r="AG101" s="6">
        <f>$O$101*$AA$101</f>
        <v>0</v>
      </c>
    </row>
    <row r="102" spans="1:33" ht="11.25" customHeight="1" x14ac:dyDescent="0.25">
      <c r="A102" s="4" t="s">
        <v>21</v>
      </c>
      <c r="B102" s="4" t="s">
        <v>35</v>
      </c>
      <c r="C102" s="4" t="s">
        <v>39</v>
      </c>
      <c r="D102" s="4" t="s">
        <v>40</v>
      </c>
      <c r="E102" s="4" t="s">
        <v>25</v>
      </c>
      <c r="F102" s="4" t="s">
        <v>25</v>
      </c>
      <c r="G102" s="4" t="s">
        <v>25</v>
      </c>
      <c r="H102" s="4" t="s">
        <v>37</v>
      </c>
      <c r="I102" s="5">
        <v>44409</v>
      </c>
      <c r="J102" s="6">
        <v>0</v>
      </c>
      <c r="K102" s="6">
        <v>0</v>
      </c>
      <c r="L102" s="6">
        <v>111.113</v>
      </c>
      <c r="M102" s="6">
        <v>111.113</v>
      </c>
      <c r="N102" s="6">
        <v>111.113</v>
      </c>
      <c r="O102" s="6">
        <v>111.113</v>
      </c>
      <c r="P102" s="6">
        <v>0</v>
      </c>
      <c r="Q102" s="4" t="s">
        <v>26</v>
      </c>
      <c r="R102" s="4">
        <v>0</v>
      </c>
      <c r="S102" s="6">
        <v>0</v>
      </c>
      <c r="T102" s="6">
        <v>5</v>
      </c>
      <c r="U102" s="6">
        <v>69</v>
      </c>
      <c r="V102" s="6">
        <f>IF(ISERROR(VLOOKUP($S$102,'TAR FIN'!$A$1:$O$86,15,0)),0,VLOOKUP($S$102,'TAR FIN'!$A$1:$O$86,15,0))</f>
        <v>0</v>
      </c>
      <c r="W102" s="6">
        <f>IF(ISERROR(VLOOKUP($T$102,'TAR FIN'!$A$1:$O$86,15,0)),0,VLOOKUP($T$102,'TAR FIN'!$A$1:$O$86,15,0))</f>
        <v>1518.97</v>
      </c>
      <c r="X102" s="6">
        <f>IF(ISERROR(VLOOKUP($U$102,'TAR FIN'!$A$1:$O$86,15,0)),0,VLOOKUP($U$102,'TAR FIN'!$A$1:$O$86,15,0))</f>
        <v>359.33</v>
      </c>
      <c r="Y102" s="6"/>
      <c r="Z102" s="6">
        <f ca="1">('TUSD BE'!$AM$11+'TUSD BF'!$AM$11+'TUSD CVA'!$AM$11)*1</f>
        <v>1492.9858702094405</v>
      </c>
      <c r="AA102" s="6">
        <f>('TE BE'!$AB$5+'TE BF'!$AB$5+'TE CVA'!$AB$5)*1</f>
        <v>362.73600214515886</v>
      </c>
      <c r="AB102" s="6">
        <f>$K$102*$V$102</f>
        <v>0</v>
      </c>
      <c r="AC102" s="6">
        <f>$M$102*$W$102</f>
        <v>168777.31361000001</v>
      </c>
      <c r="AD102" s="6">
        <f>$O$102*$X$102</f>
        <v>39926.23429</v>
      </c>
      <c r="AE102" s="6">
        <f>$K$102*$Y$102</f>
        <v>0</v>
      </c>
      <c r="AF102" s="6">
        <f ca="1">$M$102*$Z$102</f>
        <v>165890.13899658155</v>
      </c>
      <c r="AG102" s="6">
        <f>$O$102*$AA$102</f>
        <v>40304.685406355035</v>
      </c>
    </row>
    <row r="103" spans="1:33" ht="11.25" customHeight="1" x14ac:dyDescent="0.25">
      <c r="A103" s="4" t="s">
        <v>21</v>
      </c>
      <c r="B103" s="4" t="s">
        <v>35</v>
      </c>
      <c r="C103" s="4" t="s">
        <v>39</v>
      </c>
      <c r="D103" s="4" t="s">
        <v>40</v>
      </c>
      <c r="E103" s="4" t="s">
        <v>25</v>
      </c>
      <c r="F103" s="4" t="s">
        <v>25</v>
      </c>
      <c r="G103" s="4" t="s">
        <v>25</v>
      </c>
      <c r="H103" s="4" t="s">
        <v>37</v>
      </c>
      <c r="I103" s="5">
        <v>44440</v>
      </c>
      <c r="J103" s="6">
        <v>0</v>
      </c>
      <c r="K103" s="6">
        <v>0</v>
      </c>
      <c r="L103" s="6">
        <v>138.255</v>
      </c>
      <c r="M103" s="6">
        <v>138.255</v>
      </c>
      <c r="N103" s="6">
        <v>138.255</v>
      </c>
      <c r="O103" s="6">
        <v>138.255</v>
      </c>
      <c r="P103" s="6">
        <v>0</v>
      </c>
      <c r="Q103" s="4" t="s">
        <v>26</v>
      </c>
      <c r="R103" s="4">
        <v>0</v>
      </c>
      <c r="S103" s="6">
        <v>0</v>
      </c>
      <c r="T103" s="6">
        <v>5</v>
      </c>
      <c r="U103" s="6">
        <v>69</v>
      </c>
      <c r="V103" s="6">
        <f>IF(ISERROR(VLOOKUP($S$103,'TAR FIN'!$A$1:$O$86,15,0)),0,VLOOKUP($S$103,'TAR FIN'!$A$1:$O$86,15,0))</f>
        <v>0</v>
      </c>
      <c r="W103" s="6">
        <f>IF(ISERROR(VLOOKUP($T$103,'TAR FIN'!$A$1:$O$86,15,0)),0,VLOOKUP($T$103,'TAR FIN'!$A$1:$O$86,15,0))</f>
        <v>1518.97</v>
      </c>
      <c r="X103" s="6">
        <f>IF(ISERROR(VLOOKUP($U$103,'TAR FIN'!$A$1:$O$86,15,0)),0,VLOOKUP($U$103,'TAR FIN'!$A$1:$O$86,15,0))</f>
        <v>359.33</v>
      </c>
      <c r="Y103" s="6"/>
      <c r="Z103" s="6">
        <f ca="1">('TUSD BE'!$AM$11+'TUSD BF'!$AM$11+'TUSD CVA'!$AM$11)*1</f>
        <v>1492.9858702094405</v>
      </c>
      <c r="AA103" s="6">
        <f>('TE BE'!$AB$5+'TE BF'!$AB$5+'TE CVA'!$AB$5)*1</f>
        <v>362.73600214515886</v>
      </c>
      <c r="AB103" s="6">
        <f>$K$103*$V$103</f>
        <v>0</v>
      </c>
      <c r="AC103" s="6">
        <f>$M$103*$W$103</f>
        <v>210005.19735</v>
      </c>
      <c r="AD103" s="6">
        <f>$O$103*$X$103</f>
        <v>49679.169149999994</v>
      </c>
      <c r="AE103" s="6">
        <f>$K$103*$Y$103</f>
        <v>0</v>
      </c>
      <c r="AF103" s="6">
        <f ca="1">$M$103*$Z$103</f>
        <v>206412.76148580617</v>
      </c>
      <c r="AG103" s="6">
        <f>$O$103*$AA$103</f>
        <v>50150.065976578939</v>
      </c>
    </row>
    <row r="104" spans="1:33" ht="11.25" customHeight="1" x14ac:dyDescent="0.25">
      <c r="A104" s="4" t="s">
        <v>21</v>
      </c>
      <c r="B104" s="4" t="s">
        <v>35</v>
      </c>
      <c r="C104" s="4" t="s">
        <v>39</v>
      </c>
      <c r="D104" s="4" t="s">
        <v>40</v>
      </c>
      <c r="E104" s="4" t="s">
        <v>25</v>
      </c>
      <c r="F104" s="4" t="s">
        <v>25</v>
      </c>
      <c r="G104" s="4" t="s">
        <v>25</v>
      </c>
      <c r="H104" s="4" t="s">
        <v>37</v>
      </c>
      <c r="I104" s="5">
        <v>44470</v>
      </c>
      <c r="J104" s="6">
        <v>0</v>
      </c>
      <c r="K104" s="6">
        <v>0</v>
      </c>
      <c r="L104" s="6">
        <v>136.34299999999999</v>
      </c>
      <c r="M104" s="6">
        <v>136.34299999999999</v>
      </c>
      <c r="N104" s="6">
        <v>136.34299999999999</v>
      </c>
      <c r="O104" s="6">
        <v>136.34299999999999</v>
      </c>
      <c r="P104" s="6">
        <v>0</v>
      </c>
      <c r="Q104" s="4" t="s">
        <v>26</v>
      </c>
      <c r="R104" s="4">
        <v>0</v>
      </c>
      <c r="S104" s="6">
        <v>0</v>
      </c>
      <c r="T104" s="6">
        <v>5</v>
      </c>
      <c r="U104" s="6">
        <v>69</v>
      </c>
      <c r="V104" s="6">
        <f>IF(ISERROR(VLOOKUP($S$104,'TAR FIN'!$A$1:$O$86,15,0)),0,VLOOKUP($S$104,'TAR FIN'!$A$1:$O$86,15,0))</f>
        <v>0</v>
      </c>
      <c r="W104" s="6">
        <f>IF(ISERROR(VLOOKUP($T$104,'TAR FIN'!$A$1:$O$86,15,0)),0,VLOOKUP($T$104,'TAR FIN'!$A$1:$O$86,15,0))</f>
        <v>1518.97</v>
      </c>
      <c r="X104" s="6">
        <f>IF(ISERROR(VLOOKUP($U$104,'TAR FIN'!$A$1:$O$86,15,0)),0,VLOOKUP($U$104,'TAR FIN'!$A$1:$O$86,15,0))</f>
        <v>359.33</v>
      </c>
      <c r="Y104" s="6"/>
      <c r="Z104" s="6">
        <f ca="1">('TUSD BE'!$AM$11+'TUSD BF'!$AM$11+'TUSD CVA'!$AM$11)*1</f>
        <v>1492.9858702094405</v>
      </c>
      <c r="AA104" s="6">
        <f>('TE BE'!$AB$5+'TE BF'!$AB$5+'TE CVA'!$AB$5)*1</f>
        <v>362.73600214515886</v>
      </c>
      <c r="AB104" s="6">
        <f>$K$104*$V$104</f>
        <v>0</v>
      </c>
      <c r="AC104" s="6">
        <f>$M$104*$W$104</f>
        <v>207100.92671</v>
      </c>
      <c r="AD104" s="6">
        <f>$O$104*$X$104</f>
        <v>48992.130189999996</v>
      </c>
      <c r="AE104" s="6">
        <f>$K$104*$Y$104</f>
        <v>0</v>
      </c>
      <c r="AF104" s="6">
        <f ca="1">$M$104*$Z$104</f>
        <v>203558.17250196572</v>
      </c>
      <c r="AG104" s="6">
        <f>$O$104*$AA$104</f>
        <v>49456.514740477389</v>
      </c>
    </row>
    <row r="105" spans="1:33" ht="11.25" customHeight="1" x14ac:dyDescent="0.25">
      <c r="A105" s="4" t="s">
        <v>21</v>
      </c>
      <c r="B105" s="4" t="s">
        <v>35</v>
      </c>
      <c r="C105" s="4" t="s">
        <v>39</v>
      </c>
      <c r="D105" s="4" t="s">
        <v>40</v>
      </c>
      <c r="E105" s="4" t="s">
        <v>25</v>
      </c>
      <c r="F105" s="4" t="s">
        <v>25</v>
      </c>
      <c r="G105" s="4" t="s">
        <v>25</v>
      </c>
      <c r="H105" s="4" t="s">
        <v>37</v>
      </c>
      <c r="I105" s="5">
        <v>44501</v>
      </c>
      <c r="J105" s="6">
        <v>0</v>
      </c>
      <c r="K105" s="6">
        <v>0</v>
      </c>
      <c r="L105" s="6">
        <v>167.01400000000001</v>
      </c>
      <c r="M105" s="6">
        <v>167.01400000000001</v>
      </c>
      <c r="N105" s="6">
        <v>167.01400000000001</v>
      </c>
      <c r="O105" s="6">
        <v>167.01400000000001</v>
      </c>
      <c r="P105" s="6">
        <v>0</v>
      </c>
      <c r="Q105" s="4" t="s">
        <v>26</v>
      </c>
      <c r="R105" s="4">
        <v>0</v>
      </c>
      <c r="S105" s="6">
        <v>0</v>
      </c>
      <c r="T105" s="6">
        <v>5</v>
      </c>
      <c r="U105" s="6">
        <v>69</v>
      </c>
      <c r="V105" s="6">
        <f>IF(ISERROR(VLOOKUP($S$105,'TAR FIN'!$A$1:$O$86,15,0)),0,VLOOKUP($S$105,'TAR FIN'!$A$1:$O$86,15,0))</f>
        <v>0</v>
      </c>
      <c r="W105" s="6">
        <f>IF(ISERROR(VLOOKUP($T$105,'TAR FIN'!$A$1:$O$86,15,0)),0,VLOOKUP($T$105,'TAR FIN'!$A$1:$O$86,15,0))</f>
        <v>1518.97</v>
      </c>
      <c r="X105" s="6">
        <f>IF(ISERROR(VLOOKUP($U$105,'TAR FIN'!$A$1:$O$86,15,0)),0,VLOOKUP($U$105,'TAR FIN'!$A$1:$O$86,15,0))</f>
        <v>359.33</v>
      </c>
      <c r="Y105" s="6"/>
      <c r="Z105" s="6">
        <f ca="1">('TUSD BE'!$AM$11+'TUSD BF'!$AM$11+'TUSD CVA'!$AM$11)*1</f>
        <v>1492.9858702094405</v>
      </c>
      <c r="AA105" s="6">
        <f>('TE BE'!$AB$5+'TE BF'!$AB$5+'TE CVA'!$AB$5)*1</f>
        <v>362.73600214515886</v>
      </c>
      <c r="AB105" s="6">
        <f>$K$105*$V$105</f>
        <v>0</v>
      </c>
      <c r="AC105" s="6">
        <f>$M$105*$W$105</f>
        <v>253689.25558000003</v>
      </c>
      <c r="AD105" s="6">
        <f>$O$105*$X$105</f>
        <v>60013.140619999998</v>
      </c>
      <c r="AE105" s="6">
        <f>$K$105*$Y$105</f>
        <v>0</v>
      </c>
      <c r="AF105" s="6">
        <f ca="1">$M$105*$Z$105</f>
        <v>249349.54212715951</v>
      </c>
      <c r="AG105" s="6">
        <f>$O$105*$AA$105</f>
        <v>60581.990662271564</v>
      </c>
    </row>
    <row r="106" spans="1:33" ht="11.25" customHeight="1" x14ac:dyDescent="0.25">
      <c r="A106" s="4" t="s">
        <v>21</v>
      </c>
      <c r="B106" s="4" t="s">
        <v>35</v>
      </c>
      <c r="C106" s="4" t="s">
        <v>39</v>
      </c>
      <c r="D106" s="4" t="s">
        <v>40</v>
      </c>
      <c r="E106" s="4" t="s">
        <v>25</v>
      </c>
      <c r="F106" s="4" t="s">
        <v>25</v>
      </c>
      <c r="G106" s="4" t="s">
        <v>25</v>
      </c>
      <c r="H106" s="4" t="s">
        <v>37</v>
      </c>
      <c r="I106" s="5">
        <v>44531</v>
      </c>
      <c r="J106" s="6">
        <v>0</v>
      </c>
      <c r="K106" s="6">
        <v>0</v>
      </c>
      <c r="L106" s="6">
        <v>215.89500000000001</v>
      </c>
      <c r="M106" s="6">
        <v>215.89500000000001</v>
      </c>
      <c r="N106" s="6">
        <v>215.89500000000001</v>
      </c>
      <c r="O106" s="6">
        <v>215.89500000000001</v>
      </c>
      <c r="P106" s="6">
        <v>0</v>
      </c>
      <c r="Q106" s="4" t="s">
        <v>26</v>
      </c>
      <c r="R106" s="4">
        <v>0</v>
      </c>
      <c r="S106" s="6">
        <v>0</v>
      </c>
      <c r="T106" s="6">
        <v>5</v>
      </c>
      <c r="U106" s="6">
        <v>69</v>
      </c>
      <c r="V106" s="6">
        <f>IF(ISERROR(VLOOKUP($S$106,'TAR FIN'!$A$1:$O$86,15,0)),0,VLOOKUP($S$106,'TAR FIN'!$A$1:$O$86,15,0))</f>
        <v>0</v>
      </c>
      <c r="W106" s="6">
        <f>IF(ISERROR(VLOOKUP($T$106,'TAR FIN'!$A$1:$O$86,15,0)),0,VLOOKUP($T$106,'TAR FIN'!$A$1:$O$86,15,0))</f>
        <v>1518.97</v>
      </c>
      <c r="X106" s="6">
        <f>IF(ISERROR(VLOOKUP($U$106,'TAR FIN'!$A$1:$O$86,15,0)),0,VLOOKUP($U$106,'TAR FIN'!$A$1:$O$86,15,0))</f>
        <v>359.33</v>
      </c>
      <c r="Y106" s="6"/>
      <c r="Z106" s="6">
        <f ca="1">('TUSD BE'!$AM$11+'TUSD BF'!$AM$11+'TUSD CVA'!$AM$11)*1</f>
        <v>1492.9858702094405</v>
      </c>
      <c r="AA106" s="6">
        <f>('TE BE'!$AB$5+'TE BF'!$AB$5+'TE CVA'!$AB$5)*1</f>
        <v>362.73600214515886</v>
      </c>
      <c r="AB106" s="6">
        <f>$K$106*$V$106</f>
        <v>0</v>
      </c>
      <c r="AC106" s="6">
        <f>$M$106*$W$106</f>
        <v>327938.02815000003</v>
      </c>
      <c r="AD106" s="6">
        <f>$O$106*$X$106</f>
        <v>77577.550350000005</v>
      </c>
      <c r="AE106" s="6">
        <f>$K$106*$Y$106</f>
        <v>0</v>
      </c>
      <c r="AF106" s="6">
        <f ca="1">$M$106*$Z$106</f>
        <v>322328.18444886716</v>
      </c>
      <c r="AG106" s="6">
        <f>$O$106*$AA$106</f>
        <v>78312.889183129082</v>
      </c>
    </row>
    <row r="107" spans="1:33" ht="11.25" customHeight="1" x14ac:dyDescent="0.25">
      <c r="A107" s="4" t="s">
        <v>28</v>
      </c>
      <c r="B107" s="4" t="s">
        <v>35</v>
      </c>
      <c r="C107" s="4" t="s">
        <v>39</v>
      </c>
      <c r="D107" s="4" t="s">
        <v>40</v>
      </c>
      <c r="E107" s="4" t="s">
        <v>25</v>
      </c>
      <c r="F107" s="4" t="s">
        <v>25</v>
      </c>
      <c r="G107" s="4" t="s">
        <v>25</v>
      </c>
      <c r="H107" s="4" t="s">
        <v>37</v>
      </c>
      <c r="I107" s="5">
        <v>44531</v>
      </c>
      <c r="J107" s="6">
        <v>0</v>
      </c>
      <c r="K107" s="6">
        <v>0</v>
      </c>
      <c r="L107" s="6">
        <v>4.7279999999999998</v>
      </c>
      <c r="M107" s="6">
        <v>4.7279999999999998</v>
      </c>
      <c r="N107" s="6">
        <v>4.7279999999999998</v>
      </c>
      <c r="O107" s="6">
        <v>4.7279999999999998</v>
      </c>
      <c r="P107" s="6">
        <v>0</v>
      </c>
      <c r="Q107" s="4" t="s">
        <v>26</v>
      </c>
      <c r="R107" s="4">
        <v>0</v>
      </c>
      <c r="S107" s="6">
        <v>0</v>
      </c>
      <c r="T107" s="6">
        <v>5</v>
      </c>
      <c r="U107" s="6">
        <v>69</v>
      </c>
      <c r="V107" s="6">
        <f>IF(ISERROR(VLOOKUP($S$107,'TAR FIN'!$A$1:$O$86,15,0)),0,VLOOKUP($S$107,'TAR FIN'!$A$1:$O$86,15,0))</f>
        <v>0</v>
      </c>
      <c r="W107" s="6">
        <f>IF(ISERROR(VLOOKUP($T$107,'TAR FIN'!$A$1:$O$86,15,0)),0,VLOOKUP($T$107,'TAR FIN'!$A$1:$O$86,15,0))</f>
        <v>1518.97</v>
      </c>
      <c r="X107" s="6">
        <f>IF(ISERROR(VLOOKUP($U$107,'TAR FIN'!$A$1:$O$86,15,0)),0,VLOOKUP($U$107,'TAR FIN'!$A$1:$O$86,15,0))</f>
        <v>359.33</v>
      </c>
      <c r="Y107" s="6"/>
      <c r="Z107" s="6">
        <f ca="1">('TUSD BE'!$AM$11+'TUSD BF'!$AM$11+'TUSD CVA'!$AM$11)*1</f>
        <v>1492.9858702094405</v>
      </c>
      <c r="AA107" s="6">
        <f>('TE BE'!$AB$5+'TE BF'!$AB$5+'TE CVA'!$AB$5)*1</f>
        <v>362.73600214515886</v>
      </c>
      <c r="AB107" s="6">
        <f>$K$107*$V$107</f>
        <v>0</v>
      </c>
      <c r="AC107" s="6">
        <f>$M$107*$W$107</f>
        <v>7181.6901600000001</v>
      </c>
      <c r="AD107" s="6">
        <f>$O$107*$X$107</f>
        <v>1698.9122399999999</v>
      </c>
      <c r="AE107" s="6">
        <f>$K$107*$Y$107</f>
        <v>0</v>
      </c>
      <c r="AF107" s="6">
        <f ca="1">$M$107*$Z$107</f>
        <v>7058.8371943502343</v>
      </c>
      <c r="AG107" s="6">
        <f>$O$107*$AA$107</f>
        <v>1715.015818142311</v>
      </c>
    </row>
    <row r="108" spans="1:33" ht="11.25" customHeight="1" x14ac:dyDescent="0.25">
      <c r="A108" s="4" t="s">
        <v>21</v>
      </c>
      <c r="B108" s="4" t="s">
        <v>35</v>
      </c>
      <c r="C108" s="4" t="s">
        <v>39</v>
      </c>
      <c r="D108" s="4" t="s">
        <v>40</v>
      </c>
      <c r="E108" s="4" t="s">
        <v>25</v>
      </c>
      <c r="F108" s="4" t="s">
        <v>25</v>
      </c>
      <c r="G108" s="4" t="s">
        <v>25</v>
      </c>
      <c r="H108" s="4" t="s">
        <v>37</v>
      </c>
      <c r="I108" s="5">
        <v>44562</v>
      </c>
      <c r="J108" s="6">
        <v>0</v>
      </c>
      <c r="K108" s="6">
        <v>0</v>
      </c>
      <c r="L108" s="6">
        <v>160.47399999999999</v>
      </c>
      <c r="M108" s="6">
        <v>160.47399999999999</v>
      </c>
      <c r="N108" s="6">
        <v>160.47399999999999</v>
      </c>
      <c r="O108" s="6">
        <v>160.47399999999999</v>
      </c>
      <c r="P108" s="6">
        <v>0</v>
      </c>
      <c r="Q108" s="4" t="s">
        <v>26</v>
      </c>
      <c r="R108" s="4">
        <v>0</v>
      </c>
      <c r="S108" s="6">
        <v>0</v>
      </c>
      <c r="T108" s="6">
        <v>5</v>
      </c>
      <c r="U108" s="6">
        <v>69</v>
      </c>
      <c r="V108" s="6">
        <f>IF(ISERROR(VLOOKUP($S$108,'TAR FIN'!$A$1:$O$86,15,0)),0,VLOOKUP($S$108,'TAR FIN'!$A$1:$O$86,15,0))</f>
        <v>0</v>
      </c>
      <c r="W108" s="6">
        <f>IF(ISERROR(VLOOKUP($T$108,'TAR FIN'!$A$1:$O$86,15,0)),0,VLOOKUP($T$108,'TAR FIN'!$A$1:$O$86,15,0))</f>
        <v>1518.97</v>
      </c>
      <c r="X108" s="6">
        <f>IF(ISERROR(VLOOKUP($U$108,'TAR FIN'!$A$1:$O$86,15,0)),0,VLOOKUP($U$108,'TAR FIN'!$A$1:$O$86,15,0))</f>
        <v>359.33</v>
      </c>
      <c r="Y108" s="6"/>
      <c r="Z108" s="6">
        <f ca="1">('TUSD BE'!$AM$11+'TUSD BF'!$AM$11+'TUSD CVA'!$AM$11)*1</f>
        <v>1492.9858702094405</v>
      </c>
      <c r="AA108" s="6">
        <f>('TE BE'!$AB$5+'TE BF'!$AB$5+'TE CVA'!$AB$5)*1</f>
        <v>362.73600214515886</v>
      </c>
      <c r="AB108" s="6">
        <f>$K$108*$V$108</f>
        <v>0</v>
      </c>
      <c r="AC108" s="6">
        <f>$M$108*$W$108</f>
        <v>243755.19177999999</v>
      </c>
      <c r="AD108" s="6">
        <f>$O$108*$X$108</f>
        <v>57663.122419999992</v>
      </c>
      <c r="AE108" s="6">
        <f>$K$108*$Y$108</f>
        <v>0</v>
      </c>
      <c r="AF108" s="6">
        <f ca="1">$M$108*$Z$108</f>
        <v>239585.41453598972</v>
      </c>
      <c r="AG108" s="6">
        <f>$O$108*$AA$108</f>
        <v>58209.697208242222</v>
      </c>
    </row>
    <row r="109" spans="1:33" ht="11.25" customHeight="1" x14ac:dyDescent="0.25">
      <c r="A109" s="4" t="s">
        <v>28</v>
      </c>
      <c r="B109" s="4" t="s">
        <v>35</v>
      </c>
      <c r="C109" s="4" t="s">
        <v>39</v>
      </c>
      <c r="D109" s="4" t="s">
        <v>40</v>
      </c>
      <c r="E109" s="4" t="s">
        <v>25</v>
      </c>
      <c r="F109" s="4" t="s">
        <v>25</v>
      </c>
      <c r="G109" s="4" t="s">
        <v>25</v>
      </c>
      <c r="H109" s="4" t="s">
        <v>37</v>
      </c>
      <c r="I109" s="5">
        <v>44562</v>
      </c>
      <c r="J109" s="6">
        <v>0</v>
      </c>
      <c r="K109" s="6">
        <v>0</v>
      </c>
      <c r="L109" s="6">
        <v>6.2309999999999999</v>
      </c>
      <c r="M109" s="6">
        <v>6.2309999999999999</v>
      </c>
      <c r="N109" s="6">
        <v>6.2309999999999999</v>
      </c>
      <c r="O109" s="6">
        <v>6.2309999999999999</v>
      </c>
      <c r="P109" s="6">
        <v>0</v>
      </c>
      <c r="Q109" s="4" t="s">
        <v>26</v>
      </c>
      <c r="R109" s="4">
        <v>0</v>
      </c>
      <c r="S109" s="6">
        <v>0</v>
      </c>
      <c r="T109" s="6">
        <v>5</v>
      </c>
      <c r="U109" s="6">
        <v>69</v>
      </c>
      <c r="V109" s="6">
        <f>IF(ISERROR(VLOOKUP($S$109,'TAR FIN'!$A$1:$O$86,15,0)),0,VLOOKUP($S$109,'TAR FIN'!$A$1:$O$86,15,0))</f>
        <v>0</v>
      </c>
      <c r="W109" s="6">
        <f>IF(ISERROR(VLOOKUP($T$109,'TAR FIN'!$A$1:$O$86,15,0)),0,VLOOKUP($T$109,'TAR FIN'!$A$1:$O$86,15,0))</f>
        <v>1518.97</v>
      </c>
      <c r="X109" s="6">
        <f>IF(ISERROR(VLOOKUP($U$109,'TAR FIN'!$A$1:$O$86,15,0)),0,VLOOKUP($U$109,'TAR FIN'!$A$1:$O$86,15,0))</f>
        <v>359.33</v>
      </c>
      <c r="Y109" s="6"/>
      <c r="Z109" s="6">
        <f ca="1">('TUSD BE'!$AM$11+'TUSD BF'!$AM$11+'TUSD CVA'!$AM$11)*1</f>
        <v>1492.9858702094405</v>
      </c>
      <c r="AA109" s="6">
        <f>('TE BE'!$AB$5+'TE BF'!$AB$5+'TE CVA'!$AB$5)*1</f>
        <v>362.73600214515886</v>
      </c>
      <c r="AB109" s="6">
        <f>$K$109*$V$109</f>
        <v>0</v>
      </c>
      <c r="AC109" s="6">
        <f>$M$109*$W$109</f>
        <v>9464.7020699999994</v>
      </c>
      <c r="AD109" s="6">
        <f>$O$109*$X$109</f>
        <v>2238.9852299999998</v>
      </c>
      <c r="AE109" s="6">
        <f>$K$109*$Y$109</f>
        <v>0</v>
      </c>
      <c r="AF109" s="6">
        <f ca="1">$M$109*$Z$109</f>
        <v>9302.794957275024</v>
      </c>
      <c r="AG109" s="6">
        <f>$O$109*$AA$109</f>
        <v>2260.2080293664849</v>
      </c>
    </row>
    <row r="110" spans="1:33" ht="11.25" customHeight="1" x14ac:dyDescent="0.25">
      <c r="A110" s="4" t="s">
        <v>21</v>
      </c>
      <c r="B110" s="4" t="s">
        <v>35</v>
      </c>
      <c r="C110" s="4" t="s">
        <v>39</v>
      </c>
      <c r="D110" s="4" t="s">
        <v>40</v>
      </c>
      <c r="E110" s="4" t="s">
        <v>25</v>
      </c>
      <c r="F110" s="4" t="s">
        <v>25</v>
      </c>
      <c r="G110" s="4" t="s">
        <v>25</v>
      </c>
      <c r="H110" s="4" t="s">
        <v>37</v>
      </c>
      <c r="I110" s="5">
        <v>44593</v>
      </c>
      <c r="J110" s="6">
        <v>0</v>
      </c>
      <c r="K110" s="6">
        <v>0</v>
      </c>
      <c r="L110" s="6">
        <v>133.67699999999999</v>
      </c>
      <c r="M110" s="6">
        <v>133.67699999999999</v>
      </c>
      <c r="N110" s="6">
        <v>133.67699999999999</v>
      </c>
      <c r="O110" s="6">
        <v>133.67699999999999</v>
      </c>
      <c r="P110" s="6">
        <v>0</v>
      </c>
      <c r="Q110" s="4" t="s">
        <v>26</v>
      </c>
      <c r="R110" s="4">
        <v>0</v>
      </c>
      <c r="S110" s="6">
        <v>0</v>
      </c>
      <c r="T110" s="6">
        <v>5</v>
      </c>
      <c r="U110" s="6">
        <v>69</v>
      </c>
      <c r="V110" s="6">
        <f>IF(ISERROR(VLOOKUP($S$110,'TAR FIN'!$A$1:$O$86,15,0)),0,VLOOKUP($S$110,'TAR FIN'!$A$1:$O$86,15,0))</f>
        <v>0</v>
      </c>
      <c r="W110" s="6">
        <f>IF(ISERROR(VLOOKUP($T$110,'TAR FIN'!$A$1:$O$86,15,0)),0,VLOOKUP($T$110,'TAR FIN'!$A$1:$O$86,15,0))</f>
        <v>1518.97</v>
      </c>
      <c r="X110" s="6">
        <f>IF(ISERROR(VLOOKUP($U$110,'TAR FIN'!$A$1:$O$86,15,0)),0,VLOOKUP($U$110,'TAR FIN'!$A$1:$O$86,15,0))</f>
        <v>359.33</v>
      </c>
      <c r="Y110" s="6"/>
      <c r="Z110" s="6">
        <f ca="1">('TUSD BE'!$AM$11+'TUSD BF'!$AM$11+'TUSD CVA'!$AM$11)*1</f>
        <v>1492.9858702094405</v>
      </c>
      <c r="AA110" s="6">
        <f>('TE BE'!$AB$5+'TE BF'!$AB$5+'TE CVA'!$AB$5)*1</f>
        <v>362.73600214515886</v>
      </c>
      <c r="AB110" s="6">
        <f>$K$110*$V$110</f>
        <v>0</v>
      </c>
      <c r="AC110" s="6">
        <f>$M$110*$W$110</f>
        <v>203051.35269</v>
      </c>
      <c r="AD110" s="6">
        <f>$O$110*$X$110</f>
        <v>48034.156409999996</v>
      </c>
      <c r="AE110" s="6">
        <f>$K$110*$Y$110</f>
        <v>0</v>
      </c>
      <c r="AF110" s="6">
        <f ca="1">$M$110*$Z$110</f>
        <v>199577.87217198737</v>
      </c>
      <c r="AG110" s="6">
        <f>$O$110*$AA$110</f>
        <v>48489.460558758401</v>
      </c>
    </row>
    <row r="111" spans="1:33" ht="11.25" customHeight="1" x14ac:dyDescent="0.25">
      <c r="A111" s="4" t="s">
        <v>28</v>
      </c>
      <c r="B111" s="4" t="s">
        <v>35</v>
      </c>
      <c r="C111" s="4" t="s">
        <v>39</v>
      </c>
      <c r="D111" s="4" t="s">
        <v>40</v>
      </c>
      <c r="E111" s="4" t="s">
        <v>25</v>
      </c>
      <c r="F111" s="4" t="s">
        <v>25</v>
      </c>
      <c r="G111" s="4" t="s">
        <v>25</v>
      </c>
      <c r="H111" s="4" t="s">
        <v>37</v>
      </c>
      <c r="I111" s="5">
        <v>44593</v>
      </c>
      <c r="J111" s="6">
        <v>0</v>
      </c>
      <c r="K111" s="6">
        <v>0</v>
      </c>
      <c r="L111" s="6">
        <v>5.6219999999999999</v>
      </c>
      <c r="M111" s="6">
        <v>5.6219999999999999</v>
      </c>
      <c r="N111" s="6">
        <v>5.6219999999999999</v>
      </c>
      <c r="O111" s="6">
        <v>5.6219999999999999</v>
      </c>
      <c r="P111" s="6">
        <v>0</v>
      </c>
      <c r="Q111" s="4" t="s">
        <v>26</v>
      </c>
      <c r="R111" s="4">
        <v>0</v>
      </c>
      <c r="S111" s="6">
        <v>0</v>
      </c>
      <c r="T111" s="6">
        <v>5</v>
      </c>
      <c r="U111" s="6">
        <v>69</v>
      </c>
      <c r="V111" s="6">
        <f>IF(ISERROR(VLOOKUP($S$111,'TAR FIN'!$A$1:$O$86,15,0)),0,VLOOKUP($S$111,'TAR FIN'!$A$1:$O$86,15,0))</f>
        <v>0</v>
      </c>
      <c r="W111" s="6">
        <f>IF(ISERROR(VLOOKUP($T$111,'TAR FIN'!$A$1:$O$86,15,0)),0,VLOOKUP($T$111,'TAR FIN'!$A$1:$O$86,15,0))</f>
        <v>1518.97</v>
      </c>
      <c r="X111" s="6">
        <f>IF(ISERROR(VLOOKUP($U$111,'TAR FIN'!$A$1:$O$86,15,0)),0,VLOOKUP($U$111,'TAR FIN'!$A$1:$O$86,15,0))</f>
        <v>359.33</v>
      </c>
      <c r="Y111" s="6"/>
      <c r="Z111" s="6">
        <f ca="1">('TUSD BE'!$AM$11+'TUSD BF'!$AM$11+'TUSD CVA'!$AM$11)*1</f>
        <v>1492.9858702094405</v>
      </c>
      <c r="AA111" s="6">
        <f>('TE BE'!$AB$5+'TE BF'!$AB$5+'TE CVA'!$AB$5)*1</f>
        <v>362.73600214515886</v>
      </c>
      <c r="AB111" s="6">
        <f>$K$111*$V$111</f>
        <v>0</v>
      </c>
      <c r="AC111" s="6">
        <f>$M$111*$W$111</f>
        <v>8539.6493399999999</v>
      </c>
      <c r="AD111" s="6">
        <f>$O$111*$X$111</f>
        <v>2020.1532599999998</v>
      </c>
      <c r="AE111" s="6">
        <f>$K$111*$Y$111</f>
        <v>0</v>
      </c>
      <c r="AF111" s="6">
        <f ca="1">$M$111*$Z$111</f>
        <v>8393.5665623174737</v>
      </c>
      <c r="AG111" s="6">
        <f>$O$111*$AA$111</f>
        <v>2039.301804060083</v>
      </c>
    </row>
    <row r="112" spans="1:33" ht="11.25" customHeight="1" x14ac:dyDescent="0.25">
      <c r="A112" s="4" t="s">
        <v>21</v>
      </c>
      <c r="B112" s="4" t="s">
        <v>35</v>
      </c>
      <c r="C112" s="4" t="s">
        <v>39</v>
      </c>
      <c r="D112" s="4" t="s">
        <v>40</v>
      </c>
      <c r="E112" s="4" t="s">
        <v>25</v>
      </c>
      <c r="F112" s="4" t="s">
        <v>25</v>
      </c>
      <c r="G112" s="4" t="s">
        <v>25</v>
      </c>
      <c r="H112" s="4" t="s">
        <v>37</v>
      </c>
      <c r="I112" s="5">
        <v>44621</v>
      </c>
      <c r="J112" s="6">
        <v>0</v>
      </c>
      <c r="K112" s="6">
        <v>0</v>
      </c>
      <c r="L112" s="6">
        <v>161.63999999999999</v>
      </c>
      <c r="M112" s="6">
        <v>161.63999999999999</v>
      </c>
      <c r="N112" s="6">
        <v>161.63999999999999</v>
      </c>
      <c r="O112" s="6">
        <v>161.63999999999999</v>
      </c>
      <c r="P112" s="6">
        <v>0</v>
      </c>
      <c r="Q112" s="4" t="s">
        <v>26</v>
      </c>
      <c r="R112" s="4">
        <v>0</v>
      </c>
      <c r="S112" s="6">
        <v>0</v>
      </c>
      <c r="T112" s="6">
        <v>5</v>
      </c>
      <c r="U112" s="6">
        <v>69</v>
      </c>
      <c r="V112" s="6">
        <f>IF(ISERROR(VLOOKUP($S$112,'TAR FIN'!$A$1:$O$86,15,0)),0,VLOOKUP($S$112,'TAR FIN'!$A$1:$O$86,15,0))</f>
        <v>0</v>
      </c>
      <c r="W112" s="6">
        <f>IF(ISERROR(VLOOKUP($T$112,'TAR FIN'!$A$1:$O$86,15,0)),0,VLOOKUP($T$112,'TAR FIN'!$A$1:$O$86,15,0))</f>
        <v>1518.97</v>
      </c>
      <c r="X112" s="6">
        <f>IF(ISERROR(VLOOKUP($U$112,'TAR FIN'!$A$1:$O$86,15,0)),0,VLOOKUP($U$112,'TAR FIN'!$A$1:$O$86,15,0))</f>
        <v>359.33</v>
      </c>
      <c r="Y112" s="6"/>
      <c r="Z112" s="6">
        <f ca="1">('TUSD BE'!$AM$11+'TUSD BF'!$AM$11+'TUSD CVA'!$AM$11)*1</f>
        <v>1492.9858702094405</v>
      </c>
      <c r="AA112" s="6">
        <f>('TE BE'!$AB$5+'TE BF'!$AB$5+'TE CVA'!$AB$5)*1</f>
        <v>362.73600214515886</v>
      </c>
      <c r="AB112" s="6">
        <f>$K$112*$V$112</f>
        <v>0</v>
      </c>
      <c r="AC112" s="6">
        <f>$M$112*$W$112</f>
        <v>245526.31079999998</v>
      </c>
      <c r="AD112" s="6">
        <f>$O$112*$X$112</f>
        <v>58082.10119999999</v>
      </c>
      <c r="AE112" s="6">
        <f>$K$112*$Y$112</f>
        <v>0</v>
      </c>
      <c r="AF112" s="6">
        <f ca="1">$M$112*$Z$112</f>
        <v>241326.23606065393</v>
      </c>
      <c r="AG112" s="6">
        <f>$O$112*$AA$112</f>
        <v>58632.647386743476</v>
      </c>
    </row>
    <row r="113" spans="1:33" ht="11.25" customHeight="1" x14ac:dyDescent="0.25">
      <c r="A113" s="4" t="s">
        <v>28</v>
      </c>
      <c r="B113" s="4" t="s">
        <v>35</v>
      </c>
      <c r="C113" s="4" t="s">
        <v>39</v>
      </c>
      <c r="D113" s="4" t="s">
        <v>40</v>
      </c>
      <c r="E113" s="4" t="s">
        <v>25</v>
      </c>
      <c r="F113" s="4" t="s">
        <v>25</v>
      </c>
      <c r="G113" s="4" t="s">
        <v>25</v>
      </c>
      <c r="H113" s="4" t="s">
        <v>37</v>
      </c>
      <c r="I113" s="5">
        <v>44621</v>
      </c>
      <c r="J113" s="6">
        <v>0</v>
      </c>
      <c r="K113" s="6">
        <v>0</v>
      </c>
      <c r="L113" s="6">
        <v>4.9580000000000002</v>
      </c>
      <c r="M113" s="6">
        <v>4.9580000000000002</v>
      </c>
      <c r="N113" s="6">
        <v>4.9580000000000002</v>
      </c>
      <c r="O113" s="6">
        <v>4.9580000000000002</v>
      </c>
      <c r="P113" s="6">
        <v>0</v>
      </c>
      <c r="Q113" s="4" t="s">
        <v>26</v>
      </c>
      <c r="R113" s="4">
        <v>0</v>
      </c>
      <c r="S113" s="6">
        <v>0</v>
      </c>
      <c r="T113" s="6">
        <v>5</v>
      </c>
      <c r="U113" s="6">
        <v>69</v>
      </c>
      <c r="V113" s="6">
        <f>IF(ISERROR(VLOOKUP($S$113,'TAR FIN'!$A$1:$O$86,15,0)),0,VLOOKUP($S$113,'TAR FIN'!$A$1:$O$86,15,0))</f>
        <v>0</v>
      </c>
      <c r="W113" s="6">
        <f>IF(ISERROR(VLOOKUP($T$113,'TAR FIN'!$A$1:$O$86,15,0)),0,VLOOKUP($T$113,'TAR FIN'!$A$1:$O$86,15,0))</f>
        <v>1518.97</v>
      </c>
      <c r="X113" s="6">
        <f>IF(ISERROR(VLOOKUP($U$113,'TAR FIN'!$A$1:$O$86,15,0)),0,VLOOKUP($U$113,'TAR FIN'!$A$1:$O$86,15,0))</f>
        <v>359.33</v>
      </c>
      <c r="Y113" s="6"/>
      <c r="Z113" s="6">
        <f ca="1">('TUSD BE'!$AM$11+'TUSD BF'!$AM$11+'TUSD CVA'!$AM$11)*1</f>
        <v>1492.9858702094405</v>
      </c>
      <c r="AA113" s="6">
        <f>('TE BE'!$AB$5+'TE BF'!$AB$5+'TE CVA'!$AB$5)*1</f>
        <v>362.73600214515886</v>
      </c>
      <c r="AB113" s="6">
        <f>$K$113*$V$113</f>
        <v>0</v>
      </c>
      <c r="AC113" s="6">
        <f>$M$113*$W$113</f>
        <v>7531.0532600000006</v>
      </c>
      <c r="AD113" s="6">
        <f>$O$113*$X$113</f>
        <v>1781.5581400000001</v>
      </c>
      <c r="AE113" s="6">
        <f>$K$113*$Y$113</f>
        <v>0</v>
      </c>
      <c r="AF113" s="6">
        <f ca="1">$M$113*$Z$113</f>
        <v>7402.2239444984061</v>
      </c>
      <c r="AG113" s="6">
        <f>$O$113*$AA$113</f>
        <v>1798.4450986356976</v>
      </c>
    </row>
    <row r="114" spans="1:33" ht="11.25" customHeight="1" x14ac:dyDescent="0.25">
      <c r="A114" s="4" t="s">
        <v>21</v>
      </c>
      <c r="B114" s="4" t="s">
        <v>35</v>
      </c>
      <c r="C114" s="4" t="s">
        <v>39</v>
      </c>
      <c r="D114" s="4" t="s">
        <v>40</v>
      </c>
      <c r="E114" s="4" t="s">
        <v>25</v>
      </c>
      <c r="F114" s="4" t="s">
        <v>25</v>
      </c>
      <c r="G114" s="4" t="s">
        <v>25</v>
      </c>
      <c r="H114" s="4" t="s">
        <v>37</v>
      </c>
      <c r="I114" s="5">
        <v>44652</v>
      </c>
      <c r="J114" s="6">
        <v>0</v>
      </c>
      <c r="K114" s="6">
        <v>0</v>
      </c>
      <c r="L114" s="6">
        <v>107.43899999999999</v>
      </c>
      <c r="M114" s="6">
        <v>107.43899999999999</v>
      </c>
      <c r="N114" s="6">
        <v>107.43899999999999</v>
      </c>
      <c r="O114" s="6">
        <v>107.43899999999999</v>
      </c>
      <c r="P114" s="6">
        <v>0</v>
      </c>
      <c r="Q114" s="4" t="s">
        <v>26</v>
      </c>
      <c r="R114" s="4">
        <v>0</v>
      </c>
      <c r="S114" s="6">
        <v>0</v>
      </c>
      <c r="T114" s="6">
        <v>5</v>
      </c>
      <c r="U114" s="6">
        <v>69</v>
      </c>
      <c r="V114" s="6">
        <f>IF(ISERROR(VLOOKUP($S$114,'TAR FIN'!$A$1:$O$86,15,0)),0,VLOOKUP($S$114,'TAR FIN'!$A$1:$O$86,15,0))</f>
        <v>0</v>
      </c>
      <c r="W114" s="6">
        <f>IF(ISERROR(VLOOKUP($T$114,'TAR FIN'!$A$1:$O$86,15,0)),0,VLOOKUP($T$114,'TAR FIN'!$A$1:$O$86,15,0))</f>
        <v>1518.97</v>
      </c>
      <c r="X114" s="6">
        <f>IF(ISERROR(VLOOKUP($U$114,'TAR FIN'!$A$1:$O$86,15,0)),0,VLOOKUP($U$114,'TAR FIN'!$A$1:$O$86,15,0))</f>
        <v>359.33</v>
      </c>
      <c r="Y114" s="6"/>
      <c r="Z114" s="6">
        <f ca="1">('TUSD BE'!$AM$11+'TUSD BF'!$AM$11+'TUSD CVA'!$AM$11)*1</f>
        <v>1492.9858702094405</v>
      </c>
      <c r="AA114" s="6">
        <f>('TE BE'!$AB$5+'TE BF'!$AB$5+'TE CVA'!$AB$5)*1</f>
        <v>362.73600214515886</v>
      </c>
      <c r="AB114" s="6">
        <f>$K$114*$V$114</f>
        <v>0</v>
      </c>
      <c r="AC114" s="6">
        <f>$M$114*$W$114</f>
        <v>163196.61783</v>
      </c>
      <c r="AD114" s="6">
        <f>$O$114*$X$114</f>
        <v>38606.055869999997</v>
      </c>
      <c r="AE114" s="6">
        <f>$K$114*$Y$114</f>
        <v>0</v>
      </c>
      <c r="AF114" s="6">
        <f ca="1">$M$114*$Z$114</f>
        <v>160404.90890943207</v>
      </c>
      <c r="AG114" s="6">
        <f>$O$114*$AA$114</f>
        <v>38971.993334473722</v>
      </c>
    </row>
    <row r="115" spans="1:33" ht="11.25" customHeight="1" x14ac:dyDescent="0.25">
      <c r="A115" s="4" t="s">
        <v>28</v>
      </c>
      <c r="B115" s="4" t="s">
        <v>35</v>
      </c>
      <c r="C115" s="4" t="s">
        <v>39</v>
      </c>
      <c r="D115" s="4" t="s">
        <v>40</v>
      </c>
      <c r="E115" s="4" t="s">
        <v>25</v>
      </c>
      <c r="F115" s="4" t="s">
        <v>25</v>
      </c>
      <c r="G115" s="4" t="s">
        <v>25</v>
      </c>
      <c r="H115" s="4" t="s">
        <v>37</v>
      </c>
      <c r="I115" s="5">
        <v>44652</v>
      </c>
      <c r="J115" s="6">
        <v>0</v>
      </c>
      <c r="K115" s="6">
        <v>0</v>
      </c>
      <c r="L115" s="6">
        <v>3.5990000000000002</v>
      </c>
      <c r="M115" s="6">
        <v>3.5990000000000002</v>
      </c>
      <c r="N115" s="6">
        <v>3.5990000000000002</v>
      </c>
      <c r="O115" s="6">
        <v>3.5990000000000002</v>
      </c>
      <c r="P115" s="6">
        <v>0</v>
      </c>
      <c r="Q115" s="4" t="s">
        <v>26</v>
      </c>
      <c r="R115" s="4">
        <v>0</v>
      </c>
      <c r="S115" s="6">
        <v>0</v>
      </c>
      <c r="T115" s="6">
        <v>5</v>
      </c>
      <c r="U115" s="6">
        <v>69</v>
      </c>
      <c r="V115" s="6">
        <f>IF(ISERROR(VLOOKUP($S$115,'TAR FIN'!$A$1:$O$86,15,0)),0,VLOOKUP($S$115,'TAR FIN'!$A$1:$O$86,15,0))</f>
        <v>0</v>
      </c>
      <c r="W115" s="6">
        <f>IF(ISERROR(VLOOKUP($T$115,'TAR FIN'!$A$1:$O$86,15,0)),0,VLOOKUP($T$115,'TAR FIN'!$A$1:$O$86,15,0))</f>
        <v>1518.97</v>
      </c>
      <c r="X115" s="6">
        <f>IF(ISERROR(VLOOKUP($U$115,'TAR FIN'!$A$1:$O$86,15,0)),0,VLOOKUP($U$115,'TAR FIN'!$A$1:$O$86,15,0))</f>
        <v>359.33</v>
      </c>
      <c r="Y115" s="6"/>
      <c r="Z115" s="6">
        <f ca="1">('TUSD BE'!$AM$11+'TUSD BF'!$AM$11+'TUSD CVA'!$AM$11)*1</f>
        <v>1492.9858702094405</v>
      </c>
      <c r="AA115" s="6">
        <f>('TE BE'!$AB$5+'TE BF'!$AB$5+'TE CVA'!$AB$5)*1</f>
        <v>362.73600214515886</v>
      </c>
      <c r="AB115" s="6">
        <f>$K$115*$V$115</f>
        <v>0</v>
      </c>
      <c r="AC115" s="6">
        <f>$M$115*$W$115</f>
        <v>5466.7730300000003</v>
      </c>
      <c r="AD115" s="6">
        <f>$O$115*$X$115</f>
        <v>1293.22867</v>
      </c>
      <c r="AE115" s="6">
        <f>$K$115*$Y$115</f>
        <v>0</v>
      </c>
      <c r="AF115" s="6">
        <f ca="1">$M$115*$Z$115</f>
        <v>5373.2561468837766</v>
      </c>
      <c r="AG115" s="6">
        <f>$O$115*$AA$115</f>
        <v>1305.4868717204267</v>
      </c>
    </row>
    <row r="116" spans="1:33" ht="11.25" customHeight="1" x14ac:dyDescent="0.25">
      <c r="A116" s="4" t="s">
        <v>21</v>
      </c>
      <c r="B116" s="4" t="s">
        <v>35</v>
      </c>
      <c r="C116" s="4" t="s">
        <v>39</v>
      </c>
      <c r="D116" s="4" t="s">
        <v>40</v>
      </c>
      <c r="E116" s="4" t="s">
        <v>25</v>
      </c>
      <c r="F116" s="4" t="s">
        <v>25</v>
      </c>
      <c r="G116" s="4" t="s">
        <v>25</v>
      </c>
      <c r="H116" s="4" t="s">
        <v>37</v>
      </c>
      <c r="I116" s="5">
        <v>44682</v>
      </c>
      <c r="J116" s="6">
        <v>0</v>
      </c>
      <c r="K116" s="6">
        <v>0</v>
      </c>
      <c r="L116" s="6">
        <v>113.12</v>
      </c>
      <c r="M116" s="6">
        <v>113.12</v>
      </c>
      <c r="N116" s="6">
        <v>113.12</v>
      </c>
      <c r="O116" s="6">
        <v>113.12</v>
      </c>
      <c r="P116" s="6">
        <v>0</v>
      </c>
      <c r="Q116" s="4" t="s">
        <v>26</v>
      </c>
      <c r="R116" s="4">
        <v>0</v>
      </c>
      <c r="S116" s="6">
        <v>0</v>
      </c>
      <c r="T116" s="6">
        <v>5</v>
      </c>
      <c r="U116" s="6">
        <v>69</v>
      </c>
      <c r="V116" s="6">
        <f>IF(ISERROR(VLOOKUP($S$116,'TAR FIN'!$A$1:$O$86,15,0)),0,VLOOKUP($S$116,'TAR FIN'!$A$1:$O$86,15,0))</f>
        <v>0</v>
      </c>
      <c r="W116" s="6">
        <f>IF(ISERROR(VLOOKUP($T$116,'TAR FIN'!$A$1:$O$86,15,0)),0,VLOOKUP($T$116,'TAR FIN'!$A$1:$O$86,15,0))</f>
        <v>1518.97</v>
      </c>
      <c r="X116" s="6">
        <f>IF(ISERROR(VLOOKUP($U$116,'TAR FIN'!$A$1:$O$86,15,0)),0,VLOOKUP($U$116,'TAR FIN'!$A$1:$O$86,15,0))</f>
        <v>359.33</v>
      </c>
      <c r="Y116" s="6"/>
      <c r="Z116" s="6">
        <f ca="1">('TUSD BE'!$AM$11+'TUSD BF'!$AM$11+'TUSD CVA'!$AM$11)*1</f>
        <v>1492.9858702094405</v>
      </c>
      <c r="AA116" s="6">
        <f>('TE BE'!$AB$5+'TE BF'!$AB$5+'TE CVA'!$AB$5)*1</f>
        <v>362.73600214515886</v>
      </c>
      <c r="AB116" s="6">
        <f>$K$116*$V$116</f>
        <v>0</v>
      </c>
      <c r="AC116" s="6">
        <f>$M$116*$W$116</f>
        <v>171825.88640000002</v>
      </c>
      <c r="AD116" s="6">
        <f>$O$116*$X$116</f>
        <v>40647.409599999999</v>
      </c>
      <c r="AE116" s="6">
        <f>$K$116*$Y$116</f>
        <v>0</v>
      </c>
      <c r="AF116" s="6">
        <f ca="1">$M$116*$Z$116</f>
        <v>168886.56163809192</v>
      </c>
      <c r="AG116" s="6">
        <f>$O$116*$AA$116</f>
        <v>41032.696562660371</v>
      </c>
    </row>
    <row r="117" spans="1:33" ht="11.25" customHeight="1" x14ac:dyDescent="0.25">
      <c r="A117" s="4" t="s">
        <v>28</v>
      </c>
      <c r="B117" s="4" t="s">
        <v>35</v>
      </c>
      <c r="C117" s="4" t="s">
        <v>39</v>
      </c>
      <c r="D117" s="4" t="s">
        <v>40</v>
      </c>
      <c r="E117" s="4" t="s">
        <v>25</v>
      </c>
      <c r="F117" s="4" t="s">
        <v>25</v>
      </c>
      <c r="G117" s="4" t="s">
        <v>25</v>
      </c>
      <c r="H117" s="4" t="s">
        <v>37</v>
      </c>
      <c r="I117" s="5">
        <v>44682</v>
      </c>
      <c r="J117" s="6">
        <v>0</v>
      </c>
      <c r="K117" s="6">
        <v>0</v>
      </c>
      <c r="L117" s="6">
        <v>3.3260000000000001</v>
      </c>
      <c r="M117" s="6">
        <v>3.3260000000000001</v>
      </c>
      <c r="N117" s="6">
        <v>3.3260000000000001</v>
      </c>
      <c r="O117" s="6">
        <v>3.3260000000000001</v>
      </c>
      <c r="P117" s="6">
        <v>0</v>
      </c>
      <c r="Q117" s="4" t="s">
        <v>26</v>
      </c>
      <c r="R117" s="4">
        <v>0</v>
      </c>
      <c r="S117" s="6">
        <v>0</v>
      </c>
      <c r="T117" s="6">
        <v>5</v>
      </c>
      <c r="U117" s="6">
        <v>69</v>
      </c>
      <c r="V117" s="6">
        <f>IF(ISERROR(VLOOKUP($S$117,'TAR FIN'!$A$1:$O$86,15,0)),0,VLOOKUP($S$117,'TAR FIN'!$A$1:$O$86,15,0))</f>
        <v>0</v>
      </c>
      <c r="W117" s="6">
        <f>IF(ISERROR(VLOOKUP($T$117,'TAR FIN'!$A$1:$O$86,15,0)),0,VLOOKUP($T$117,'TAR FIN'!$A$1:$O$86,15,0))</f>
        <v>1518.97</v>
      </c>
      <c r="X117" s="6">
        <f>IF(ISERROR(VLOOKUP($U$117,'TAR FIN'!$A$1:$O$86,15,0)),0,VLOOKUP($U$117,'TAR FIN'!$A$1:$O$86,15,0))</f>
        <v>359.33</v>
      </c>
      <c r="Y117" s="6"/>
      <c r="Z117" s="6">
        <f ca="1">('TUSD BE'!$AM$11+'TUSD BF'!$AM$11+'TUSD CVA'!$AM$11)*1</f>
        <v>1492.9858702094405</v>
      </c>
      <c r="AA117" s="6">
        <f>('TE BE'!$AB$5+'TE BF'!$AB$5+'TE CVA'!$AB$5)*1</f>
        <v>362.73600214515886</v>
      </c>
      <c r="AB117" s="6">
        <f>$K$117*$V$117</f>
        <v>0</v>
      </c>
      <c r="AC117" s="6">
        <f>$M$117*$W$117</f>
        <v>5052.09422</v>
      </c>
      <c r="AD117" s="6">
        <f>$O$117*$X$117</f>
        <v>1195.13158</v>
      </c>
      <c r="AE117" s="6">
        <f>$K$117*$Y$117</f>
        <v>0</v>
      </c>
      <c r="AF117" s="6">
        <f ca="1">$M$117*$Z$117</f>
        <v>4965.6710043165995</v>
      </c>
      <c r="AG117" s="6">
        <f>$O$117*$AA$117</f>
        <v>1206.4599431347983</v>
      </c>
    </row>
    <row r="118" spans="1:33" ht="11.25" customHeight="1" x14ac:dyDescent="0.25">
      <c r="A118" s="4" t="s">
        <v>21</v>
      </c>
      <c r="B118" s="4" t="s">
        <v>35</v>
      </c>
      <c r="C118" s="4" t="s">
        <v>39</v>
      </c>
      <c r="D118" s="4" t="s">
        <v>40</v>
      </c>
      <c r="E118" s="4" t="s">
        <v>25</v>
      </c>
      <c r="F118" s="4" t="s">
        <v>25</v>
      </c>
      <c r="G118" s="4" t="s">
        <v>25</v>
      </c>
      <c r="H118" s="4" t="s">
        <v>37</v>
      </c>
      <c r="I118" s="5">
        <v>44713</v>
      </c>
      <c r="J118" s="6">
        <v>0</v>
      </c>
      <c r="K118" s="6">
        <v>0</v>
      </c>
      <c r="L118" s="6">
        <v>100.00700000000001</v>
      </c>
      <c r="M118" s="6">
        <v>100.00700000000001</v>
      </c>
      <c r="N118" s="6">
        <v>100.00700000000001</v>
      </c>
      <c r="O118" s="6">
        <v>100.00700000000001</v>
      </c>
      <c r="P118" s="6">
        <v>0</v>
      </c>
      <c r="Q118" s="4" t="s">
        <v>26</v>
      </c>
      <c r="R118" s="4">
        <v>0</v>
      </c>
      <c r="S118" s="6">
        <v>0</v>
      </c>
      <c r="T118" s="6">
        <v>5</v>
      </c>
      <c r="U118" s="6">
        <v>69</v>
      </c>
      <c r="V118" s="6">
        <f>IF(ISERROR(VLOOKUP($S$118,'TAR FIN'!$A$1:$O$86,15,0)),0,VLOOKUP($S$118,'TAR FIN'!$A$1:$O$86,15,0))</f>
        <v>0</v>
      </c>
      <c r="W118" s="6">
        <f>IF(ISERROR(VLOOKUP($T$118,'TAR FIN'!$A$1:$O$86,15,0)),0,VLOOKUP($T$118,'TAR FIN'!$A$1:$O$86,15,0))</f>
        <v>1518.97</v>
      </c>
      <c r="X118" s="6">
        <f>IF(ISERROR(VLOOKUP($U$118,'TAR FIN'!$A$1:$O$86,15,0)),0,VLOOKUP($U$118,'TAR FIN'!$A$1:$O$86,15,0))</f>
        <v>359.33</v>
      </c>
      <c r="Y118" s="6"/>
      <c r="Z118" s="6">
        <f ca="1">('TUSD BE'!$AM$11+'TUSD BF'!$AM$11+'TUSD CVA'!$AM$11)*1</f>
        <v>1492.9858702094405</v>
      </c>
      <c r="AA118" s="6">
        <f>('TE BE'!$AB$5+'TE BF'!$AB$5+'TE CVA'!$AB$5)*1</f>
        <v>362.73600214515886</v>
      </c>
      <c r="AB118" s="6">
        <f>$K$118*$V$118</f>
        <v>0</v>
      </c>
      <c r="AC118" s="6">
        <f>$M$118*$W$118</f>
        <v>151907.63279</v>
      </c>
      <c r="AD118" s="6">
        <f>$O$118*$X$118</f>
        <v>35935.515310000003</v>
      </c>
      <c r="AE118" s="6">
        <f>$K$118*$Y$118</f>
        <v>0</v>
      </c>
      <c r="AF118" s="6">
        <f ca="1">$M$118*$Z$118</f>
        <v>149309.03792203552</v>
      </c>
      <c r="AG118" s="6">
        <f>$O$118*$AA$118</f>
        <v>36276.139366530908</v>
      </c>
    </row>
    <row r="119" spans="1:33" ht="11.25" customHeight="1" x14ac:dyDescent="0.25">
      <c r="A119" s="4" t="s">
        <v>28</v>
      </c>
      <c r="B119" s="4" t="s">
        <v>35</v>
      </c>
      <c r="C119" s="4" t="s">
        <v>39</v>
      </c>
      <c r="D119" s="4" t="s">
        <v>40</v>
      </c>
      <c r="E119" s="4" t="s">
        <v>25</v>
      </c>
      <c r="F119" s="4" t="s">
        <v>25</v>
      </c>
      <c r="G119" s="4" t="s">
        <v>25</v>
      </c>
      <c r="H119" s="4" t="s">
        <v>37</v>
      </c>
      <c r="I119" s="5">
        <v>44713</v>
      </c>
      <c r="J119" s="6">
        <v>0</v>
      </c>
      <c r="K119" s="6">
        <v>0</v>
      </c>
      <c r="L119" s="6">
        <v>3.3439999999999999</v>
      </c>
      <c r="M119" s="6">
        <v>3.3439999999999999</v>
      </c>
      <c r="N119" s="6">
        <v>3.3439999999999999</v>
      </c>
      <c r="O119" s="6">
        <v>3.3439999999999999</v>
      </c>
      <c r="P119" s="6">
        <v>0</v>
      </c>
      <c r="Q119" s="4" t="s">
        <v>26</v>
      </c>
      <c r="R119" s="4">
        <v>0</v>
      </c>
      <c r="S119" s="6">
        <v>0</v>
      </c>
      <c r="T119" s="6">
        <v>5</v>
      </c>
      <c r="U119" s="6">
        <v>69</v>
      </c>
      <c r="V119" s="6">
        <f>IF(ISERROR(VLOOKUP($S$119,'TAR FIN'!$A$1:$O$86,15,0)),0,VLOOKUP($S$119,'TAR FIN'!$A$1:$O$86,15,0))</f>
        <v>0</v>
      </c>
      <c r="W119" s="6">
        <f>IF(ISERROR(VLOOKUP($T$119,'TAR FIN'!$A$1:$O$86,15,0)),0,VLOOKUP($T$119,'TAR FIN'!$A$1:$O$86,15,0))</f>
        <v>1518.97</v>
      </c>
      <c r="X119" s="6">
        <f>IF(ISERROR(VLOOKUP($U$119,'TAR FIN'!$A$1:$O$86,15,0)),0,VLOOKUP($U$119,'TAR FIN'!$A$1:$O$86,15,0))</f>
        <v>359.33</v>
      </c>
      <c r="Y119" s="6"/>
      <c r="Z119" s="6">
        <f ca="1">('TUSD BE'!$AM$11+'TUSD BF'!$AM$11+'TUSD CVA'!$AM$11)*1</f>
        <v>1492.9858702094405</v>
      </c>
      <c r="AA119" s="6">
        <f>('TE BE'!$AB$5+'TE BF'!$AB$5+'TE CVA'!$AB$5)*1</f>
        <v>362.73600214515886</v>
      </c>
      <c r="AB119" s="6">
        <f>$K$119*$V$119</f>
        <v>0</v>
      </c>
      <c r="AC119" s="6">
        <f>$M$119*$W$119</f>
        <v>5079.4356799999996</v>
      </c>
      <c r="AD119" s="6">
        <f>$O$119*$X$119</f>
        <v>1201.59952</v>
      </c>
      <c r="AE119" s="6">
        <f>$K$119*$Y$119</f>
        <v>0</v>
      </c>
      <c r="AF119" s="6">
        <f ca="1">$M$119*$Z$119</f>
        <v>4992.5447499803686</v>
      </c>
      <c r="AG119" s="6">
        <f>$O$119*$AA$119</f>
        <v>1212.9891911734112</v>
      </c>
    </row>
    <row r="120" spans="1:33" ht="11.25" customHeight="1" x14ac:dyDescent="0.25">
      <c r="A120" s="4" t="s">
        <v>55</v>
      </c>
      <c r="B120" s="4" t="s">
        <v>35</v>
      </c>
      <c r="C120" s="4" t="s">
        <v>39</v>
      </c>
      <c r="D120" s="4" t="s">
        <v>40</v>
      </c>
      <c r="E120" s="4" t="s">
        <v>25</v>
      </c>
      <c r="F120" s="4" t="s">
        <v>25</v>
      </c>
      <c r="G120" s="4" t="s">
        <v>25</v>
      </c>
      <c r="H120" s="4" t="s">
        <v>37</v>
      </c>
      <c r="I120" s="5">
        <v>44743</v>
      </c>
      <c r="J120" s="6">
        <v>0</v>
      </c>
      <c r="K120" s="6">
        <v>0</v>
      </c>
      <c r="L120" s="6">
        <v>100.00700000000001</v>
      </c>
      <c r="M120" s="6">
        <v>100.00700000000001</v>
      </c>
      <c r="N120" s="6">
        <v>100.00700000000001</v>
      </c>
      <c r="O120" s="6">
        <v>100.00700000000001</v>
      </c>
      <c r="P120" s="6">
        <v>0</v>
      </c>
      <c r="Q120" s="4" t="s">
        <v>26</v>
      </c>
      <c r="R120" s="4">
        <v>0</v>
      </c>
      <c r="S120" s="6">
        <v>0</v>
      </c>
      <c r="T120" s="6">
        <v>5</v>
      </c>
      <c r="U120" s="6">
        <v>69</v>
      </c>
      <c r="V120" s="6">
        <f>IF(ISERROR(VLOOKUP($S$120,'TAR FIN'!$A$1:$O$86,15,0)),0,VLOOKUP($S$120,'TAR FIN'!$A$1:$O$86,15,0))</f>
        <v>0</v>
      </c>
      <c r="W120" s="6">
        <f>IF(ISERROR(VLOOKUP($T$120,'TAR FIN'!$A$1:$O$86,15,0)),0,VLOOKUP($T$120,'TAR FIN'!$A$1:$O$86,15,0))</f>
        <v>1518.97</v>
      </c>
      <c r="X120" s="6">
        <f>IF(ISERROR(VLOOKUP($U$120,'TAR FIN'!$A$1:$O$86,15,0)),0,VLOOKUP($U$120,'TAR FIN'!$A$1:$O$86,15,0))</f>
        <v>359.33</v>
      </c>
      <c r="Y120" s="6"/>
      <c r="Z120" s="6">
        <f ca="1">('TUSD BE'!$AM$11+'TUSD BF'!$AM$11+'TUSD CVA'!$AM$11)*1</f>
        <v>1492.9858702094405</v>
      </c>
      <c r="AA120" s="6">
        <f>('TE BE'!$AB$5+'TE BF'!$AB$5+'TE CVA'!$AB$5)*1</f>
        <v>362.73600214515886</v>
      </c>
      <c r="AB120" s="6">
        <f>$K$120*$V$120</f>
        <v>0</v>
      </c>
      <c r="AC120" s="6">
        <f>$M$120*$W$120</f>
        <v>151907.63279</v>
      </c>
      <c r="AD120" s="6">
        <f>$O$120*$X$120</f>
        <v>35935.515310000003</v>
      </c>
      <c r="AE120" s="6">
        <f>$K$120*$Y$120</f>
        <v>0</v>
      </c>
      <c r="AF120" s="6">
        <f ca="1">$M$120*$Z$120</f>
        <v>149309.03792203552</v>
      </c>
      <c r="AG120" s="6">
        <f>$O$120*$AA$120</f>
        <v>36276.139366530908</v>
      </c>
    </row>
    <row r="121" spans="1:33" ht="11.25" customHeight="1" x14ac:dyDescent="0.25">
      <c r="A121" s="4" t="s">
        <v>55</v>
      </c>
      <c r="B121" s="4" t="s">
        <v>35</v>
      </c>
      <c r="C121" s="4" t="s">
        <v>39</v>
      </c>
      <c r="D121" s="4" t="s">
        <v>40</v>
      </c>
      <c r="E121" s="4" t="s">
        <v>25</v>
      </c>
      <c r="F121" s="4" t="s">
        <v>25</v>
      </c>
      <c r="G121" s="4" t="s">
        <v>25</v>
      </c>
      <c r="H121" s="4" t="s">
        <v>37</v>
      </c>
      <c r="I121" s="5">
        <v>44743</v>
      </c>
      <c r="J121" s="6">
        <v>0</v>
      </c>
      <c r="K121" s="6">
        <v>0</v>
      </c>
      <c r="L121" s="6">
        <v>3.3439999999999999</v>
      </c>
      <c r="M121" s="6">
        <v>3.3439999999999999</v>
      </c>
      <c r="N121" s="6">
        <v>3.3439999999999999</v>
      </c>
      <c r="O121" s="6">
        <v>3.3439999999999999</v>
      </c>
      <c r="P121" s="6">
        <v>0</v>
      </c>
      <c r="Q121" s="4" t="s">
        <v>26</v>
      </c>
      <c r="R121" s="4">
        <v>0</v>
      </c>
      <c r="S121" s="6">
        <v>0</v>
      </c>
      <c r="T121" s="6">
        <v>5</v>
      </c>
      <c r="U121" s="6">
        <v>69</v>
      </c>
      <c r="V121" s="6">
        <f>IF(ISERROR(VLOOKUP($S$121,'TAR FIN'!$A$1:$O$86,15,0)),0,VLOOKUP($S$121,'TAR FIN'!$A$1:$O$86,15,0))</f>
        <v>0</v>
      </c>
      <c r="W121" s="6">
        <f>IF(ISERROR(VLOOKUP($T$121,'TAR FIN'!$A$1:$O$86,15,0)),0,VLOOKUP($T$121,'TAR FIN'!$A$1:$O$86,15,0))</f>
        <v>1518.97</v>
      </c>
      <c r="X121" s="6">
        <f>IF(ISERROR(VLOOKUP($U$121,'TAR FIN'!$A$1:$O$86,15,0)),0,VLOOKUP($U$121,'TAR FIN'!$A$1:$O$86,15,0))</f>
        <v>359.33</v>
      </c>
      <c r="Y121" s="6"/>
      <c r="Z121" s="6">
        <f ca="1">('TUSD BE'!$AM$11+'TUSD BF'!$AM$11+'TUSD CVA'!$AM$11)*1</f>
        <v>1492.9858702094405</v>
      </c>
      <c r="AA121" s="6">
        <f>('TE BE'!$AB$5+'TE BF'!$AB$5+'TE CVA'!$AB$5)*1</f>
        <v>362.73600214515886</v>
      </c>
      <c r="AB121" s="6">
        <f>$K$121*$V$121</f>
        <v>0</v>
      </c>
      <c r="AC121" s="6">
        <f>$M$121*$W$121</f>
        <v>5079.4356799999996</v>
      </c>
      <c r="AD121" s="6">
        <f>$O$121*$X$121</f>
        <v>1201.59952</v>
      </c>
      <c r="AE121" s="6">
        <f>$K$121*$Y$121</f>
        <v>0</v>
      </c>
      <c r="AF121" s="6">
        <f ca="1">$M$121*$Z$121</f>
        <v>4992.5447499803686</v>
      </c>
      <c r="AG121" s="6">
        <f>$O$121*$AA$121</f>
        <v>1212.9891911734112</v>
      </c>
    </row>
    <row r="122" spans="1:33" ht="11.25" customHeight="1" x14ac:dyDescent="0.25">
      <c r="A122" s="4" t="s">
        <v>21</v>
      </c>
      <c r="B122" s="4" t="s">
        <v>35</v>
      </c>
      <c r="C122" s="4" t="s">
        <v>39</v>
      </c>
      <c r="D122" s="4" t="s">
        <v>34</v>
      </c>
      <c r="E122" s="4" t="s">
        <v>25</v>
      </c>
      <c r="F122" s="4" t="s">
        <v>56</v>
      </c>
      <c r="G122" s="4" t="s">
        <v>25</v>
      </c>
      <c r="H122" s="4" t="s">
        <v>38</v>
      </c>
      <c r="I122" s="5">
        <v>44409</v>
      </c>
      <c r="J122" s="6">
        <v>0</v>
      </c>
      <c r="K122" s="6">
        <v>0</v>
      </c>
      <c r="L122" s="6">
        <v>2685.5039999999999</v>
      </c>
      <c r="M122" s="6">
        <v>2685.5039999999999</v>
      </c>
      <c r="N122" s="6">
        <v>0</v>
      </c>
      <c r="O122" s="6">
        <v>0</v>
      </c>
      <c r="P122" s="6">
        <v>0</v>
      </c>
      <c r="Q122" s="4" t="s">
        <v>57</v>
      </c>
      <c r="R122" s="4">
        <v>0</v>
      </c>
      <c r="S122" s="6">
        <v>0</v>
      </c>
      <c r="T122" s="6">
        <v>18</v>
      </c>
      <c r="U122" s="6">
        <v>0</v>
      </c>
      <c r="V122" s="6">
        <f>IF(ISERROR(VLOOKUP($S$122,'TAR FIN'!$A$1:$O$86,15,0)),0,VLOOKUP($S$122,'TAR FIN'!$A$1:$O$86,15,0))</f>
        <v>0</v>
      </c>
      <c r="W122" s="6">
        <f>IF(ISERROR(VLOOKUP($T$122,'TAR FIN'!$A$1:$O$86,15,0)),0,VLOOKUP($T$122,'TAR FIN'!$A$1:$O$86,15,0))</f>
        <v>73.19</v>
      </c>
      <c r="X122" s="6">
        <f>IF(ISERROR(VLOOKUP($U$122,'TAR FIN'!$A$1:$O$86,15,0)),0,VLOOKUP($U$122,'TAR FIN'!$A$1:$O$86,15,0))</f>
        <v>0</v>
      </c>
      <c r="Y122" s="6"/>
      <c r="Z122" s="6">
        <f ca="1">('TUSD BE'!$AM$12+'TUSD BF'!$AM$12+'TUSD CVA'!$AM$12)*1</f>
        <v>117.83242038312405</v>
      </c>
      <c r="AA122" s="6"/>
      <c r="AB122" s="6">
        <f>$K$122*$V$122</f>
        <v>0</v>
      </c>
      <c r="AC122" s="6">
        <f>$M$122*$W$122</f>
        <v>196552.03775999998</v>
      </c>
      <c r="AD122" s="6">
        <f>$O$122*$X$122</f>
        <v>0</v>
      </c>
      <c r="AE122" s="6">
        <f>$K$122*$Y$122</f>
        <v>0</v>
      </c>
      <c r="AF122" s="6">
        <f ca="1">$M$122*$Z$122</f>
        <v>316439.43626856117</v>
      </c>
      <c r="AG122" s="6">
        <f>$O$122*$AA$122</f>
        <v>0</v>
      </c>
    </row>
    <row r="123" spans="1:33" ht="11.25" customHeight="1" x14ac:dyDescent="0.25">
      <c r="A123" s="4" t="s">
        <v>21</v>
      </c>
      <c r="B123" s="4" t="s">
        <v>35</v>
      </c>
      <c r="C123" s="4" t="s">
        <v>39</v>
      </c>
      <c r="D123" s="4" t="s">
        <v>34</v>
      </c>
      <c r="E123" s="4" t="s">
        <v>25</v>
      </c>
      <c r="F123" s="4" t="s">
        <v>56</v>
      </c>
      <c r="G123" s="4" t="s">
        <v>25</v>
      </c>
      <c r="H123" s="4" t="s">
        <v>38</v>
      </c>
      <c r="I123" s="5">
        <v>44440</v>
      </c>
      <c r="J123" s="6">
        <v>0</v>
      </c>
      <c r="K123" s="6">
        <v>0</v>
      </c>
      <c r="L123" s="6">
        <v>2733.4639999999999</v>
      </c>
      <c r="M123" s="6">
        <v>2733.4639999999999</v>
      </c>
      <c r="N123" s="6">
        <v>0</v>
      </c>
      <c r="O123" s="6">
        <v>0</v>
      </c>
      <c r="P123" s="6">
        <v>0</v>
      </c>
      <c r="Q123" s="4" t="s">
        <v>57</v>
      </c>
      <c r="R123" s="4">
        <v>0</v>
      </c>
      <c r="S123" s="6">
        <v>0</v>
      </c>
      <c r="T123" s="6">
        <v>18</v>
      </c>
      <c r="U123" s="6">
        <v>0</v>
      </c>
      <c r="V123" s="6">
        <f>IF(ISERROR(VLOOKUP($S$123,'TAR FIN'!$A$1:$O$86,15,0)),0,VLOOKUP($S$123,'TAR FIN'!$A$1:$O$86,15,0))</f>
        <v>0</v>
      </c>
      <c r="W123" s="6">
        <f>IF(ISERROR(VLOOKUP($T$123,'TAR FIN'!$A$1:$O$86,15,0)),0,VLOOKUP($T$123,'TAR FIN'!$A$1:$O$86,15,0))</f>
        <v>73.19</v>
      </c>
      <c r="X123" s="6">
        <f>IF(ISERROR(VLOOKUP($U$123,'TAR FIN'!$A$1:$O$86,15,0)),0,VLOOKUP($U$123,'TAR FIN'!$A$1:$O$86,15,0))</f>
        <v>0</v>
      </c>
      <c r="Y123" s="6"/>
      <c r="Z123" s="6">
        <f ca="1">('TUSD BE'!$AM$12+'TUSD BF'!$AM$12+'TUSD CVA'!$AM$12)*1</f>
        <v>117.83242038312405</v>
      </c>
      <c r="AA123" s="6"/>
      <c r="AB123" s="6">
        <f>$K$123*$V$123</f>
        <v>0</v>
      </c>
      <c r="AC123" s="6">
        <f>$M$123*$W$123</f>
        <v>200062.23015999998</v>
      </c>
      <c r="AD123" s="6">
        <f>$O$123*$X$123</f>
        <v>0</v>
      </c>
      <c r="AE123" s="6">
        <f>$K$123*$Y$123</f>
        <v>0</v>
      </c>
      <c r="AF123" s="6">
        <f ca="1">$M$123*$Z$123</f>
        <v>322090.67915013578</v>
      </c>
      <c r="AG123" s="6">
        <f>$O$123*$AA$123</f>
        <v>0</v>
      </c>
    </row>
    <row r="124" spans="1:33" ht="11.25" customHeight="1" x14ac:dyDescent="0.25">
      <c r="A124" s="4" t="s">
        <v>21</v>
      </c>
      <c r="B124" s="4" t="s">
        <v>35</v>
      </c>
      <c r="C124" s="4" t="s">
        <v>39</v>
      </c>
      <c r="D124" s="4" t="s">
        <v>34</v>
      </c>
      <c r="E124" s="4" t="s">
        <v>25</v>
      </c>
      <c r="F124" s="4" t="s">
        <v>56</v>
      </c>
      <c r="G124" s="4" t="s">
        <v>25</v>
      </c>
      <c r="H124" s="4" t="s">
        <v>38</v>
      </c>
      <c r="I124" s="5">
        <v>44470</v>
      </c>
      <c r="J124" s="6">
        <v>0</v>
      </c>
      <c r="K124" s="6">
        <v>0</v>
      </c>
      <c r="L124" s="6">
        <v>2712.8209999999999</v>
      </c>
      <c r="M124" s="6">
        <v>2712.8209999999999</v>
      </c>
      <c r="N124" s="6">
        <v>0</v>
      </c>
      <c r="O124" s="6">
        <v>0</v>
      </c>
      <c r="P124" s="6">
        <v>0</v>
      </c>
      <c r="Q124" s="4" t="s">
        <v>57</v>
      </c>
      <c r="R124" s="4">
        <v>0</v>
      </c>
      <c r="S124" s="6">
        <v>0</v>
      </c>
      <c r="T124" s="6">
        <v>18</v>
      </c>
      <c r="U124" s="6">
        <v>0</v>
      </c>
      <c r="V124" s="6">
        <f>IF(ISERROR(VLOOKUP($S$124,'TAR FIN'!$A$1:$O$86,15,0)),0,VLOOKUP($S$124,'TAR FIN'!$A$1:$O$86,15,0))</f>
        <v>0</v>
      </c>
      <c r="W124" s="6">
        <f>IF(ISERROR(VLOOKUP($T$124,'TAR FIN'!$A$1:$O$86,15,0)),0,VLOOKUP($T$124,'TAR FIN'!$A$1:$O$86,15,0))</f>
        <v>73.19</v>
      </c>
      <c r="X124" s="6">
        <f>IF(ISERROR(VLOOKUP($U$124,'TAR FIN'!$A$1:$O$86,15,0)),0,VLOOKUP($U$124,'TAR FIN'!$A$1:$O$86,15,0))</f>
        <v>0</v>
      </c>
      <c r="Y124" s="6"/>
      <c r="Z124" s="6">
        <f ca="1">('TUSD BE'!$AM$12+'TUSD BF'!$AM$12+'TUSD CVA'!$AM$12)*1</f>
        <v>117.83242038312405</v>
      </c>
      <c r="AA124" s="6"/>
      <c r="AB124" s="6">
        <f>$K$124*$V$124</f>
        <v>0</v>
      </c>
      <c r="AC124" s="6">
        <f>$M$124*$W$124</f>
        <v>198551.36898999999</v>
      </c>
      <c r="AD124" s="6">
        <f>$O$124*$X$124</f>
        <v>0</v>
      </c>
      <c r="AE124" s="6">
        <f>$K$124*$Y$124</f>
        <v>0</v>
      </c>
      <c r="AF124" s="6">
        <f ca="1">$M$124*$Z$124</f>
        <v>319658.26449616696</v>
      </c>
      <c r="AG124" s="6">
        <f>$O$124*$AA$124</f>
        <v>0</v>
      </c>
    </row>
    <row r="125" spans="1:33" ht="11.25" customHeight="1" x14ac:dyDescent="0.25">
      <c r="A125" s="4" t="s">
        <v>21</v>
      </c>
      <c r="B125" s="4" t="s">
        <v>35</v>
      </c>
      <c r="C125" s="4" t="s">
        <v>39</v>
      </c>
      <c r="D125" s="4" t="s">
        <v>34</v>
      </c>
      <c r="E125" s="4" t="s">
        <v>25</v>
      </c>
      <c r="F125" s="4" t="s">
        <v>56</v>
      </c>
      <c r="G125" s="4" t="s">
        <v>25</v>
      </c>
      <c r="H125" s="4" t="s">
        <v>38</v>
      </c>
      <c r="I125" s="5">
        <v>44501</v>
      </c>
      <c r="J125" s="6">
        <v>0</v>
      </c>
      <c r="K125" s="6">
        <v>0</v>
      </c>
      <c r="L125" s="6">
        <v>2704.5920000000001</v>
      </c>
      <c r="M125" s="6">
        <v>2704.5920000000001</v>
      </c>
      <c r="N125" s="6">
        <v>0</v>
      </c>
      <c r="O125" s="6">
        <v>0</v>
      </c>
      <c r="P125" s="6">
        <v>0</v>
      </c>
      <c r="Q125" s="4" t="s">
        <v>57</v>
      </c>
      <c r="R125" s="4">
        <v>0</v>
      </c>
      <c r="S125" s="6">
        <v>0</v>
      </c>
      <c r="T125" s="6">
        <v>18</v>
      </c>
      <c r="U125" s="6">
        <v>0</v>
      </c>
      <c r="V125" s="6">
        <f>IF(ISERROR(VLOOKUP($S$125,'TAR FIN'!$A$1:$O$86,15,0)),0,VLOOKUP($S$125,'TAR FIN'!$A$1:$O$86,15,0))</f>
        <v>0</v>
      </c>
      <c r="W125" s="6">
        <f>IF(ISERROR(VLOOKUP($T$125,'TAR FIN'!$A$1:$O$86,15,0)),0,VLOOKUP($T$125,'TAR FIN'!$A$1:$O$86,15,0))</f>
        <v>73.19</v>
      </c>
      <c r="X125" s="6">
        <f>IF(ISERROR(VLOOKUP($U$125,'TAR FIN'!$A$1:$O$86,15,0)),0,VLOOKUP($U$125,'TAR FIN'!$A$1:$O$86,15,0))</f>
        <v>0</v>
      </c>
      <c r="Y125" s="6"/>
      <c r="Z125" s="6">
        <f ca="1">('TUSD BE'!$AM$12+'TUSD BF'!$AM$12+'TUSD CVA'!$AM$12)*1</f>
        <v>117.83242038312405</v>
      </c>
      <c r="AA125" s="6"/>
      <c r="AB125" s="6">
        <f>$K$125*$V$125</f>
        <v>0</v>
      </c>
      <c r="AC125" s="6">
        <f>$M$125*$W$125</f>
        <v>197949.08848000001</v>
      </c>
      <c r="AD125" s="6">
        <f>$O$125*$X$125</f>
        <v>0</v>
      </c>
      <c r="AE125" s="6">
        <f>$K$125*$Y$125</f>
        <v>0</v>
      </c>
      <c r="AF125" s="6">
        <f ca="1">$M$125*$Z$125</f>
        <v>318688.62150883424</v>
      </c>
      <c r="AG125" s="6">
        <f>$O$125*$AA$125</f>
        <v>0</v>
      </c>
    </row>
    <row r="126" spans="1:33" ht="11.25" customHeight="1" x14ac:dyDescent="0.25">
      <c r="A126" s="4" t="s">
        <v>21</v>
      </c>
      <c r="B126" s="4" t="s">
        <v>35</v>
      </c>
      <c r="C126" s="4" t="s">
        <v>39</v>
      </c>
      <c r="D126" s="4" t="s">
        <v>34</v>
      </c>
      <c r="E126" s="4" t="s">
        <v>25</v>
      </c>
      <c r="F126" s="4" t="s">
        <v>56</v>
      </c>
      <c r="G126" s="4" t="s">
        <v>25</v>
      </c>
      <c r="H126" s="4" t="s">
        <v>38</v>
      </c>
      <c r="I126" s="5">
        <v>44531</v>
      </c>
      <c r="J126" s="6">
        <v>0</v>
      </c>
      <c r="K126" s="6">
        <v>0</v>
      </c>
      <c r="L126" s="6">
        <v>2656.8690000000001</v>
      </c>
      <c r="M126" s="6">
        <v>2656.8690000000001</v>
      </c>
      <c r="N126" s="6">
        <v>0</v>
      </c>
      <c r="O126" s="6">
        <v>0</v>
      </c>
      <c r="P126" s="6">
        <v>0</v>
      </c>
      <c r="Q126" s="4" t="s">
        <v>57</v>
      </c>
      <c r="R126" s="4">
        <v>0</v>
      </c>
      <c r="S126" s="6">
        <v>0</v>
      </c>
      <c r="T126" s="6">
        <v>18</v>
      </c>
      <c r="U126" s="6">
        <v>0</v>
      </c>
      <c r="V126" s="6">
        <f>IF(ISERROR(VLOOKUP($S$126,'TAR FIN'!$A$1:$O$86,15,0)),0,VLOOKUP($S$126,'TAR FIN'!$A$1:$O$86,15,0))</f>
        <v>0</v>
      </c>
      <c r="W126" s="6">
        <f>IF(ISERROR(VLOOKUP($T$126,'TAR FIN'!$A$1:$O$86,15,0)),0,VLOOKUP($T$126,'TAR FIN'!$A$1:$O$86,15,0))</f>
        <v>73.19</v>
      </c>
      <c r="X126" s="6">
        <f>IF(ISERROR(VLOOKUP($U$126,'TAR FIN'!$A$1:$O$86,15,0)),0,VLOOKUP($U$126,'TAR FIN'!$A$1:$O$86,15,0))</f>
        <v>0</v>
      </c>
      <c r="Y126" s="6"/>
      <c r="Z126" s="6">
        <f ca="1">('TUSD BE'!$AM$12+'TUSD BF'!$AM$12+'TUSD CVA'!$AM$12)*1</f>
        <v>117.83242038312405</v>
      </c>
      <c r="AA126" s="6"/>
      <c r="AB126" s="6">
        <f>$K$126*$V$126</f>
        <v>0</v>
      </c>
      <c r="AC126" s="6">
        <f>$M$126*$W$126</f>
        <v>194456.24210999999</v>
      </c>
      <c r="AD126" s="6">
        <f>$O$126*$X$126</f>
        <v>0</v>
      </c>
      <c r="AE126" s="6">
        <f>$K$126*$Y$126</f>
        <v>0</v>
      </c>
      <c r="AF126" s="6">
        <f ca="1">$M$126*$Z$126</f>
        <v>313065.30491089041</v>
      </c>
      <c r="AG126" s="6">
        <f>$O$126*$AA$126</f>
        <v>0</v>
      </c>
    </row>
    <row r="127" spans="1:33" ht="11.25" customHeight="1" x14ac:dyDescent="0.25">
      <c r="A127" s="4" t="s">
        <v>21</v>
      </c>
      <c r="B127" s="4" t="s">
        <v>35</v>
      </c>
      <c r="C127" s="4" t="s">
        <v>39</v>
      </c>
      <c r="D127" s="4" t="s">
        <v>34</v>
      </c>
      <c r="E127" s="4" t="s">
        <v>25</v>
      </c>
      <c r="F127" s="4" t="s">
        <v>56</v>
      </c>
      <c r="G127" s="4" t="s">
        <v>25</v>
      </c>
      <c r="H127" s="4" t="s">
        <v>38</v>
      </c>
      <c r="I127" s="5">
        <v>44562</v>
      </c>
      <c r="J127" s="6">
        <v>0</v>
      </c>
      <c r="K127" s="6">
        <v>0</v>
      </c>
      <c r="L127" s="6">
        <v>2634.998</v>
      </c>
      <c r="M127" s="6">
        <v>2634.998</v>
      </c>
      <c r="N127" s="6">
        <v>0</v>
      </c>
      <c r="O127" s="6">
        <v>0</v>
      </c>
      <c r="P127" s="6">
        <v>0</v>
      </c>
      <c r="Q127" s="4" t="s">
        <v>57</v>
      </c>
      <c r="R127" s="4">
        <v>0</v>
      </c>
      <c r="S127" s="6">
        <v>0</v>
      </c>
      <c r="T127" s="6">
        <v>18</v>
      </c>
      <c r="U127" s="6">
        <v>0</v>
      </c>
      <c r="V127" s="6">
        <f>IF(ISERROR(VLOOKUP($S$127,'TAR FIN'!$A$1:$O$86,15,0)),0,VLOOKUP($S$127,'TAR FIN'!$A$1:$O$86,15,0))</f>
        <v>0</v>
      </c>
      <c r="W127" s="6">
        <f>IF(ISERROR(VLOOKUP($T$127,'TAR FIN'!$A$1:$O$86,15,0)),0,VLOOKUP($T$127,'TAR FIN'!$A$1:$O$86,15,0))</f>
        <v>73.19</v>
      </c>
      <c r="X127" s="6">
        <f>IF(ISERROR(VLOOKUP($U$127,'TAR FIN'!$A$1:$O$86,15,0)),0,VLOOKUP($U$127,'TAR FIN'!$A$1:$O$86,15,0))</f>
        <v>0</v>
      </c>
      <c r="Y127" s="6"/>
      <c r="Z127" s="6">
        <f ca="1">('TUSD BE'!$AM$12+'TUSD BF'!$AM$12+'TUSD CVA'!$AM$12)*1</f>
        <v>117.83242038312405</v>
      </c>
      <c r="AA127" s="6"/>
      <c r="AB127" s="6">
        <f>$K$127*$V$127</f>
        <v>0</v>
      </c>
      <c r="AC127" s="6">
        <f>$M$127*$W$127</f>
        <v>192855.50362</v>
      </c>
      <c r="AD127" s="6">
        <f>$O$127*$X$127</f>
        <v>0</v>
      </c>
      <c r="AE127" s="6">
        <f>$K$127*$Y$127</f>
        <v>0</v>
      </c>
      <c r="AF127" s="6">
        <f ca="1">$M$127*$Z$127</f>
        <v>310488.19204469112</v>
      </c>
      <c r="AG127" s="6">
        <f>$O$127*$AA$127</f>
        <v>0</v>
      </c>
    </row>
    <row r="128" spans="1:33" ht="11.25" customHeight="1" x14ac:dyDescent="0.25">
      <c r="A128" s="4" t="s">
        <v>21</v>
      </c>
      <c r="B128" s="4" t="s">
        <v>35</v>
      </c>
      <c r="C128" s="4" t="s">
        <v>39</v>
      </c>
      <c r="D128" s="4" t="s">
        <v>34</v>
      </c>
      <c r="E128" s="4" t="s">
        <v>25</v>
      </c>
      <c r="F128" s="4" t="s">
        <v>56</v>
      </c>
      <c r="G128" s="4" t="s">
        <v>25</v>
      </c>
      <c r="H128" s="4" t="s">
        <v>38</v>
      </c>
      <c r="I128" s="5">
        <v>44593</v>
      </c>
      <c r="J128" s="6">
        <v>0</v>
      </c>
      <c r="K128" s="6">
        <v>0</v>
      </c>
      <c r="L128" s="6">
        <v>2436.9760000000001</v>
      </c>
      <c r="M128" s="6">
        <v>2436.9760000000001</v>
      </c>
      <c r="N128" s="6">
        <v>0</v>
      </c>
      <c r="O128" s="6">
        <v>0</v>
      </c>
      <c r="P128" s="6">
        <v>0</v>
      </c>
      <c r="Q128" s="4" t="s">
        <v>57</v>
      </c>
      <c r="R128" s="4">
        <v>0</v>
      </c>
      <c r="S128" s="6">
        <v>0</v>
      </c>
      <c r="T128" s="6">
        <v>18</v>
      </c>
      <c r="U128" s="6">
        <v>0</v>
      </c>
      <c r="V128" s="6">
        <f>IF(ISERROR(VLOOKUP($S$128,'TAR FIN'!$A$1:$O$86,15,0)),0,VLOOKUP($S$128,'TAR FIN'!$A$1:$O$86,15,0))</f>
        <v>0</v>
      </c>
      <c r="W128" s="6">
        <f>IF(ISERROR(VLOOKUP($T$128,'TAR FIN'!$A$1:$O$86,15,0)),0,VLOOKUP($T$128,'TAR FIN'!$A$1:$O$86,15,0))</f>
        <v>73.19</v>
      </c>
      <c r="X128" s="6">
        <f>IF(ISERROR(VLOOKUP($U$128,'TAR FIN'!$A$1:$O$86,15,0)),0,VLOOKUP($U$128,'TAR FIN'!$A$1:$O$86,15,0))</f>
        <v>0</v>
      </c>
      <c r="Y128" s="6"/>
      <c r="Z128" s="6">
        <f ca="1">('TUSD BE'!$AM$12+'TUSD BF'!$AM$12+'TUSD CVA'!$AM$12)*1</f>
        <v>117.83242038312405</v>
      </c>
      <c r="AA128" s="6"/>
      <c r="AB128" s="6">
        <f>$K$128*$V$128</f>
        <v>0</v>
      </c>
      <c r="AC128" s="6">
        <f>$M$128*$W$128</f>
        <v>178362.27343999999</v>
      </c>
      <c r="AD128" s="6">
        <f>$O$128*$X$128</f>
        <v>0</v>
      </c>
      <c r="AE128" s="6">
        <f>$K$128*$Y$128</f>
        <v>0</v>
      </c>
      <c r="AF128" s="6">
        <f ca="1">$M$128*$Z$128</f>
        <v>287154.78049558413</v>
      </c>
      <c r="AG128" s="6">
        <f>$O$128*$AA$128</f>
        <v>0</v>
      </c>
    </row>
    <row r="129" spans="1:33" ht="11.25" customHeight="1" x14ac:dyDescent="0.25">
      <c r="A129" s="4" t="s">
        <v>21</v>
      </c>
      <c r="B129" s="4" t="s">
        <v>35</v>
      </c>
      <c r="C129" s="4" t="s">
        <v>39</v>
      </c>
      <c r="D129" s="4" t="s">
        <v>34</v>
      </c>
      <c r="E129" s="4" t="s">
        <v>25</v>
      </c>
      <c r="F129" s="4" t="s">
        <v>56</v>
      </c>
      <c r="G129" s="4" t="s">
        <v>25</v>
      </c>
      <c r="H129" s="4" t="s">
        <v>38</v>
      </c>
      <c r="I129" s="5">
        <v>44621</v>
      </c>
      <c r="J129" s="6">
        <v>0</v>
      </c>
      <c r="K129" s="6">
        <v>0</v>
      </c>
      <c r="L129" s="6">
        <v>2841.8339999999998</v>
      </c>
      <c r="M129" s="6">
        <v>2841.8339999999998</v>
      </c>
      <c r="N129" s="6">
        <v>0</v>
      </c>
      <c r="O129" s="6">
        <v>0</v>
      </c>
      <c r="P129" s="6">
        <v>0</v>
      </c>
      <c r="Q129" s="4" t="s">
        <v>57</v>
      </c>
      <c r="R129" s="4">
        <v>0</v>
      </c>
      <c r="S129" s="6">
        <v>0</v>
      </c>
      <c r="T129" s="6">
        <v>18</v>
      </c>
      <c r="U129" s="6">
        <v>0</v>
      </c>
      <c r="V129" s="6">
        <f>IF(ISERROR(VLOOKUP($S$129,'TAR FIN'!$A$1:$O$86,15,0)),0,VLOOKUP($S$129,'TAR FIN'!$A$1:$O$86,15,0))</f>
        <v>0</v>
      </c>
      <c r="W129" s="6">
        <f>IF(ISERROR(VLOOKUP($T$129,'TAR FIN'!$A$1:$O$86,15,0)),0,VLOOKUP($T$129,'TAR FIN'!$A$1:$O$86,15,0))</f>
        <v>73.19</v>
      </c>
      <c r="X129" s="6">
        <f>IF(ISERROR(VLOOKUP($U$129,'TAR FIN'!$A$1:$O$86,15,0)),0,VLOOKUP($U$129,'TAR FIN'!$A$1:$O$86,15,0))</f>
        <v>0</v>
      </c>
      <c r="Y129" s="6"/>
      <c r="Z129" s="6">
        <f ca="1">('TUSD BE'!$AM$12+'TUSD BF'!$AM$12+'TUSD CVA'!$AM$12)*1</f>
        <v>117.83242038312405</v>
      </c>
      <c r="AA129" s="6"/>
      <c r="AB129" s="6">
        <f>$K$129*$V$129</f>
        <v>0</v>
      </c>
      <c r="AC129" s="6">
        <f>$M$129*$W$129</f>
        <v>207993.83045999997</v>
      </c>
      <c r="AD129" s="6">
        <f>$O$129*$X$129</f>
        <v>0</v>
      </c>
      <c r="AE129" s="6">
        <f>$K$129*$Y$129</f>
        <v>0</v>
      </c>
      <c r="AF129" s="6">
        <f ca="1">$M$129*$Z$129</f>
        <v>334860.17854705494</v>
      </c>
      <c r="AG129" s="6">
        <f>$O$129*$AA$129</f>
        <v>0</v>
      </c>
    </row>
    <row r="130" spans="1:33" ht="11.25" customHeight="1" x14ac:dyDescent="0.25">
      <c r="A130" s="4" t="s">
        <v>21</v>
      </c>
      <c r="B130" s="4" t="s">
        <v>35</v>
      </c>
      <c r="C130" s="4" t="s">
        <v>39</v>
      </c>
      <c r="D130" s="4" t="s">
        <v>34</v>
      </c>
      <c r="E130" s="4" t="s">
        <v>25</v>
      </c>
      <c r="F130" s="4" t="s">
        <v>56</v>
      </c>
      <c r="G130" s="4" t="s">
        <v>25</v>
      </c>
      <c r="H130" s="4" t="s">
        <v>38</v>
      </c>
      <c r="I130" s="5">
        <v>44652</v>
      </c>
      <c r="J130" s="6">
        <v>0</v>
      </c>
      <c r="K130" s="6">
        <v>0</v>
      </c>
      <c r="L130" s="6">
        <v>2543.5279999999998</v>
      </c>
      <c r="M130" s="6">
        <v>2543.5279999999998</v>
      </c>
      <c r="N130" s="6">
        <v>0</v>
      </c>
      <c r="O130" s="6">
        <v>0</v>
      </c>
      <c r="P130" s="6">
        <v>0</v>
      </c>
      <c r="Q130" s="4" t="s">
        <v>57</v>
      </c>
      <c r="R130" s="4">
        <v>0</v>
      </c>
      <c r="S130" s="6">
        <v>0</v>
      </c>
      <c r="T130" s="6">
        <v>18</v>
      </c>
      <c r="U130" s="6">
        <v>0</v>
      </c>
      <c r="V130" s="6">
        <f>IF(ISERROR(VLOOKUP($S$130,'TAR FIN'!$A$1:$O$86,15,0)),0,VLOOKUP($S$130,'TAR FIN'!$A$1:$O$86,15,0))</f>
        <v>0</v>
      </c>
      <c r="W130" s="6">
        <f>IF(ISERROR(VLOOKUP($T$130,'TAR FIN'!$A$1:$O$86,15,0)),0,VLOOKUP($T$130,'TAR FIN'!$A$1:$O$86,15,0))</f>
        <v>73.19</v>
      </c>
      <c r="X130" s="6">
        <f>IF(ISERROR(VLOOKUP($U$130,'TAR FIN'!$A$1:$O$86,15,0)),0,VLOOKUP($U$130,'TAR FIN'!$A$1:$O$86,15,0))</f>
        <v>0</v>
      </c>
      <c r="Y130" s="6"/>
      <c r="Z130" s="6">
        <f ca="1">('TUSD BE'!$AM$12+'TUSD BF'!$AM$12+'TUSD CVA'!$AM$12)*1</f>
        <v>117.83242038312405</v>
      </c>
      <c r="AA130" s="6"/>
      <c r="AB130" s="6">
        <f>$K$130*$V$130</f>
        <v>0</v>
      </c>
      <c r="AC130" s="6">
        <f>$M$130*$W$130</f>
        <v>186160.81431999998</v>
      </c>
      <c r="AD130" s="6">
        <f>$O$130*$X$130</f>
        <v>0</v>
      </c>
      <c r="AE130" s="6">
        <f>$K$130*$Y$130</f>
        <v>0</v>
      </c>
      <c r="AF130" s="6">
        <f ca="1">$M$130*$Z$130</f>
        <v>299710.06055224669</v>
      </c>
      <c r="AG130" s="6">
        <f>$O$130*$AA$130</f>
        <v>0</v>
      </c>
    </row>
    <row r="131" spans="1:33" ht="11.25" customHeight="1" x14ac:dyDescent="0.25">
      <c r="A131" s="4" t="s">
        <v>21</v>
      </c>
      <c r="B131" s="4" t="s">
        <v>35</v>
      </c>
      <c r="C131" s="4" t="s">
        <v>39</v>
      </c>
      <c r="D131" s="4" t="s">
        <v>34</v>
      </c>
      <c r="E131" s="4" t="s">
        <v>25</v>
      </c>
      <c r="F131" s="4" t="s">
        <v>56</v>
      </c>
      <c r="G131" s="4" t="s">
        <v>25</v>
      </c>
      <c r="H131" s="4" t="s">
        <v>38</v>
      </c>
      <c r="I131" s="5">
        <v>44682</v>
      </c>
      <c r="J131" s="6">
        <v>0</v>
      </c>
      <c r="K131" s="6">
        <v>0</v>
      </c>
      <c r="L131" s="6">
        <v>2743.3420000000001</v>
      </c>
      <c r="M131" s="6">
        <v>2743.3420000000001</v>
      </c>
      <c r="N131" s="6">
        <v>0</v>
      </c>
      <c r="O131" s="6">
        <v>0</v>
      </c>
      <c r="P131" s="6">
        <v>0</v>
      </c>
      <c r="Q131" s="4" t="s">
        <v>57</v>
      </c>
      <c r="R131" s="4">
        <v>0</v>
      </c>
      <c r="S131" s="6">
        <v>0</v>
      </c>
      <c r="T131" s="6">
        <v>18</v>
      </c>
      <c r="U131" s="6">
        <v>0</v>
      </c>
      <c r="V131" s="6">
        <f>IF(ISERROR(VLOOKUP($S$131,'TAR FIN'!$A$1:$O$86,15,0)),0,VLOOKUP($S$131,'TAR FIN'!$A$1:$O$86,15,0))</f>
        <v>0</v>
      </c>
      <c r="W131" s="6">
        <f>IF(ISERROR(VLOOKUP($T$131,'TAR FIN'!$A$1:$O$86,15,0)),0,VLOOKUP($T$131,'TAR FIN'!$A$1:$O$86,15,0))</f>
        <v>73.19</v>
      </c>
      <c r="X131" s="6">
        <f>IF(ISERROR(VLOOKUP($U$131,'TAR FIN'!$A$1:$O$86,15,0)),0,VLOOKUP($U$131,'TAR FIN'!$A$1:$O$86,15,0))</f>
        <v>0</v>
      </c>
      <c r="Y131" s="6"/>
      <c r="Z131" s="6">
        <f ca="1">('TUSD BE'!$AM$12+'TUSD BF'!$AM$12+'TUSD CVA'!$AM$12)*1</f>
        <v>117.83242038312405</v>
      </c>
      <c r="AA131" s="6"/>
      <c r="AB131" s="6">
        <f>$K$131*$V$131</f>
        <v>0</v>
      </c>
      <c r="AC131" s="6">
        <f>$M$131*$W$131</f>
        <v>200785.20097999999</v>
      </c>
      <c r="AD131" s="6">
        <f>$O$131*$X$131</f>
        <v>0</v>
      </c>
      <c r="AE131" s="6">
        <f>$K$131*$Y$131</f>
        <v>0</v>
      </c>
      <c r="AF131" s="6">
        <f ca="1">$M$131*$Z$131</f>
        <v>323254.62779868027</v>
      </c>
      <c r="AG131" s="6">
        <f>$O$131*$AA$131</f>
        <v>0</v>
      </c>
    </row>
    <row r="132" spans="1:33" ht="11.25" customHeight="1" x14ac:dyDescent="0.25">
      <c r="A132" s="4" t="s">
        <v>21</v>
      </c>
      <c r="B132" s="4" t="s">
        <v>35</v>
      </c>
      <c r="C132" s="4" t="s">
        <v>39</v>
      </c>
      <c r="D132" s="4" t="s">
        <v>34</v>
      </c>
      <c r="E132" s="4" t="s">
        <v>25</v>
      </c>
      <c r="F132" s="4" t="s">
        <v>56</v>
      </c>
      <c r="G132" s="4" t="s">
        <v>25</v>
      </c>
      <c r="H132" s="4" t="s">
        <v>38</v>
      </c>
      <c r="I132" s="5">
        <v>44713</v>
      </c>
      <c r="J132" s="6">
        <v>0</v>
      </c>
      <c r="K132" s="6">
        <v>0</v>
      </c>
      <c r="L132" s="6">
        <v>2720.0070000000001</v>
      </c>
      <c r="M132" s="6">
        <v>2720.0070000000001</v>
      </c>
      <c r="N132" s="6">
        <v>0</v>
      </c>
      <c r="O132" s="6">
        <v>0</v>
      </c>
      <c r="P132" s="6">
        <v>0</v>
      </c>
      <c r="Q132" s="4" t="s">
        <v>57</v>
      </c>
      <c r="R132" s="4">
        <v>0</v>
      </c>
      <c r="S132" s="6">
        <v>0</v>
      </c>
      <c r="T132" s="6">
        <v>18</v>
      </c>
      <c r="U132" s="6">
        <v>0</v>
      </c>
      <c r="V132" s="6">
        <f>IF(ISERROR(VLOOKUP($S$132,'TAR FIN'!$A$1:$O$86,15,0)),0,VLOOKUP($S$132,'TAR FIN'!$A$1:$O$86,15,0))</f>
        <v>0</v>
      </c>
      <c r="W132" s="6">
        <f>IF(ISERROR(VLOOKUP($T$132,'TAR FIN'!$A$1:$O$86,15,0)),0,VLOOKUP($T$132,'TAR FIN'!$A$1:$O$86,15,0))</f>
        <v>73.19</v>
      </c>
      <c r="X132" s="6">
        <f>IF(ISERROR(VLOOKUP($U$132,'TAR FIN'!$A$1:$O$86,15,0)),0,VLOOKUP($U$132,'TAR FIN'!$A$1:$O$86,15,0))</f>
        <v>0</v>
      </c>
      <c r="Y132" s="6"/>
      <c r="Z132" s="6">
        <f ca="1">('TUSD BE'!$AM$12+'TUSD BF'!$AM$12+'TUSD CVA'!$AM$12)*1</f>
        <v>117.83242038312405</v>
      </c>
      <c r="AA132" s="6"/>
      <c r="AB132" s="6">
        <f>$K$132*$V$132</f>
        <v>0</v>
      </c>
      <c r="AC132" s="6">
        <f>$M$132*$W$132</f>
        <v>199077.31232999999</v>
      </c>
      <c r="AD132" s="6">
        <f>$O$132*$X$132</f>
        <v>0</v>
      </c>
      <c r="AE132" s="6">
        <f>$K$132*$Y$132</f>
        <v>0</v>
      </c>
      <c r="AF132" s="6">
        <f ca="1">$M$132*$Z$132</f>
        <v>320505.00826904009</v>
      </c>
      <c r="AG132" s="6">
        <f>$O$132*$AA$132</f>
        <v>0</v>
      </c>
    </row>
    <row r="133" spans="1:33" ht="11.25" customHeight="1" x14ac:dyDescent="0.25">
      <c r="A133" s="4" t="s">
        <v>55</v>
      </c>
      <c r="B133" s="4" t="s">
        <v>35</v>
      </c>
      <c r="C133" s="4" t="s">
        <v>39</v>
      </c>
      <c r="D133" s="4" t="s">
        <v>34</v>
      </c>
      <c r="E133" s="4" t="s">
        <v>25</v>
      </c>
      <c r="F133" s="4" t="s">
        <v>56</v>
      </c>
      <c r="G133" s="4" t="s">
        <v>25</v>
      </c>
      <c r="H133" s="4" t="s">
        <v>38</v>
      </c>
      <c r="I133" s="5">
        <v>44743</v>
      </c>
      <c r="J133" s="6">
        <v>0</v>
      </c>
      <c r="K133" s="6">
        <v>0</v>
      </c>
      <c r="L133" s="6">
        <v>2720.0070000000001</v>
      </c>
      <c r="M133" s="6">
        <v>2720.0070000000001</v>
      </c>
      <c r="N133" s="6">
        <v>0</v>
      </c>
      <c r="O133" s="6">
        <v>0</v>
      </c>
      <c r="P133" s="6">
        <v>0</v>
      </c>
      <c r="Q133" s="4" t="s">
        <v>57</v>
      </c>
      <c r="R133" s="4">
        <v>0</v>
      </c>
      <c r="S133" s="6">
        <v>0</v>
      </c>
      <c r="T133" s="6">
        <v>18</v>
      </c>
      <c r="U133" s="6">
        <v>0</v>
      </c>
      <c r="V133" s="6">
        <f>IF(ISERROR(VLOOKUP($S$133,'TAR FIN'!$A$1:$O$86,15,0)),0,VLOOKUP($S$133,'TAR FIN'!$A$1:$O$86,15,0))</f>
        <v>0</v>
      </c>
      <c r="W133" s="6">
        <f>IF(ISERROR(VLOOKUP($T$133,'TAR FIN'!$A$1:$O$86,15,0)),0,VLOOKUP($T$133,'TAR FIN'!$A$1:$O$86,15,0))</f>
        <v>73.19</v>
      </c>
      <c r="X133" s="6">
        <f>IF(ISERROR(VLOOKUP($U$133,'TAR FIN'!$A$1:$O$86,15,0)),0,VLOOKUP($U$133,'TAR FIN'!$A$1:$O$86,15,0))</f>
        <v>0</v>
      </c>
      <c r="Y133" s="6"/>
      <c r="Z133" s="6">
        <f ca="1">('TUSD BE'!$AM$12+'TUSD BF'!$AM$12+'TUSD CVA'!$AM$12)*1</f>
        <v>117.83242038312405</v>
      </c>
      <c r="AA133" s="6"/>
      <c r="AB133" s="6">
        <f>$K$133*$V$133</f>
        <v>0</v>
      </c>
      <c r="AC133" s="6">
        <f>$M$133*$W$133</f>
        <v>199077.31232999999</v>
      </c>
      <c r="AD133" s="6">
        <f>$O$133*$X$133</f>
        <v>0</v>
      </c>
      <c r="AE133" s="6">
        <f>$K$133*$Y$133</f>
        <v>0</v>
      </c>
      <c r="AF133" s="6">
        <f ca="1">$M$133*$Z$133</f>
        <v>320505.00826904009</v>
      </c>
      <c r="AG133" s="6">
        <f>$O$133*$AA$133</f>
        <v>0</v>
      </c>
    </row>
    <row r="134" spans="1:33" ht="11.25" customHeight="1" x14ac:dyDescent="0.25">
      <c r="A134" s="4" t="s">
        <v>21</v>
      </c>
      <c r="B134" s="4" t="s">
        <v>35</v>
      </c>
      <c r="C134" s="4" t="s">
        <v>39</v>
      </c>
      <c r="D134" s="4" t="s">
        <v>34</v>
      </c>
      <c r="E134" s="4" t="s">
        <v>25</v>
      </c>
      <c r="F134" s="4" t="s">
        <v>56</v>
      </c>
      <c r="G134" s="4" t="s">
        <v>25</v>
      </c>
      <c r="H134" s="4" t="s">
        <v>25</v>
      </c>
      <c r="I134" s="5">
        <v>44409</v>
      </c>
      <c r="J134" s="6">
        <v>10322</v>
      </c>
      <c r="K134" s="6">
        <v>4424.0092000000004</v>
      </c>
      <c r="L134" s="6">
        <v>0</v>
      </c>
      <c r="M134" s="6">
        <v>0</v>
      </c>
      <c r="N134" s="6">
        <v>0</v>
      </c>
      <c r="O134" s="6">
        <v>0</v>
      </c>
      <c r="P134" s="6">
        <v>7</v>
      </c>
      <c r="Q134" s="4" t="s">
        <v>57</v>
      </c>
      <c r="R134" s="4">
        <v>0</v>
      </c>
      <c r="S134" s="6">
        <v>24</v>
      </c>
      <c r="T134" s="6">
        <v>0</v>
      </c>
      <c r="U134" s="6">
        <v>0</v>
      </c>
      <c r="V134" s="6">
        <f>IF(ISERROR(VLOOKUP($S$134,'TAR FIN'!$A$1:$O$86,15,0)),0,VLOOKUP($S$134,'TAR FIN'!$A$1:$O$86,15,0))</f>
        <v>22.9</v>
      </c>
      <c r="W134" s="6">
        <f>IF(ISERROR(VLOOKUP($T$134,'TAR FIN'!$A$1:$O$86,15,0)),0,VLOOKUP($T$134,'TAR FIN'!$A$1:$O$86,15,0))</f>
        <v>0</v>
      </c>
      <c r="X134" s="6">
        <f>IF(ISERROR(VLOOKUP($U$134,'TAR FIN'!$A$1:$O$86,15,0)),0,VLOOKUP($U$134,'TAR FIN'!$A$1:$O$86,15,0))</f>
        <v>0</v>
      </c>
      <c r="Y134" s="6">
        <f ca="1">('TUSD BE'!$AM$10+'TUSD BF'!$AM$10+'TUSD CVA'!$AM$10)*1</f>
        <v>21.733731888847863</v>
      </c>
      <c r="Z134" s="6"/>
      <c r="AA134" s="6"/>
      <c r="AB134" s="6">
        <f>$K$134*$V$134</f>
        <v>101309.81068000001</v>
      </c>
      <c r="AC134" s="6">
        <f>$M$134*$W$134</f>
        <v>0</v>
      </c>
      <c r="AD134" s="6">
        <f>$O$134*$X$134</f>
        <v>0</v>
      </c>
      <c r="AE134" s="6">
        <f ca="1">$K$134*$Y$134</f>
        <v>96150.229826596333</v>
      </c>
      <c r="AF134" s="6">
        <f>$M$134*$Z$134</f>
        <v>0</v>
      </c>
      <c r="AG134" s="6">
        <f>$O$134*$AA$134</f>
        <v>0</v>
      </c>
    </row>
    <row r="135" spans="1:33" ht="11.25" customHeight="1" x14ac:dyDescent="0.25">
      <c r="A135" s="4" t="s">
        <v>21</v>
      </c>
      <c r="B135" s="4" t="s">
        <v>35</v>
      </c>
      <c r="C135" s="4" t="s">
        <v>39</v>
      </c>
      <c r="D135" s="4" t="s">
        <v>34</v>
      </c>
      <c r="E135" s="4" t="s">
        <v>25</v>
      </c>
      <c r="F135" s="4" t="s">
        <v>56</v>
      </c>
      <c r="G135" s="4" t="s">
        <v>25</v>
      </c>
      <c r="H135" s="4" t="s">
        <v>25</v>
      </c>
      <c r="I135" s="5">
        <v>44440</v>
      </c>
      <c r="J135" s="6">
        <v>10306</v>
      </c>
      <c r="K135" s="6">
        <v>4902.5641999999998</v>
      </c>
      <c r="L135" s="6">
        <v>0</v>
      </c>
      <c r="M135" s="6">
        <v>0</v>
      </c>
      <c r="N135" s="6">
        <v>0</v>
      </c>
      <c r="O135" s="6">
        <v>0</v>
      </c>
      <c r="P135" s="6">
        <v>7</v>
      </c>
      <c r="Q135" s="4" t="s">
        <v>57</v>
      </c>
      <c r="R135" s="4">
        <v>0</v>
      </c>
      <c r="S135" s="6">
        <v>24</v>
      </c>
      <c r="T135" s="6">
        <v>0</v>
      </c>
      <c r="U135" s="6">
        <v>0</v>
      </c>
      <c r="V135" s="6">
        <f>IF(ISERROR(VLOOKUP($S$135,'TAR FIN'!$A$1:$O$86,15,0)),0,VLOOKUP($S$135,'TAR FIN'!$A$1:$O$86,15,0))</f>
        <v>22.9</v>
      </c>
      <c r="W135" s="6">
        <f>IF(ISERROR(VLOOKUP($T$135,'TAR FIN'!$A$1:$O$86,15,0)),0,VLOOKUP($T$135,'TAR FIN'!$A$1:$O$86,15,0))</f>
        <v>0</v>
      </c>
      <c r="X135" s="6">
        <f>IF(ISERROR(VLOOKUP($U$135,'TAR FIN'!$A$1:$O$86,15,0)),0,VLOOKUP($U$135,'TAR FIN'!$A$1:$O$86,15,0))</f>
        <v>0</v>
      </c>
      <c r="Y135" s="6">
        <f ca="1">('TUSD BE'!$AM$10+'TUSD BF'!$AM$10+'TUSD CVA'!$AM$10)*1</f>
        <v>21.733731888847863</v>
      </c>
      <c r="Z135" s="6"/>
      <c r="AA135" s="6"/>
      <c r="AB135" s="6">
        <f>$K$135*$V$135</f>
        <v>112268.72017999999</v>
      </c>
      <c r="AC135" s="6">
        <f>$M$135*$W$135</f>
        <v>0</v>
      </c>
      <c r="AD135" s="6">
        <f>$O$135*$X$135</f>
        <v>0</v>
      </c>
      <c r="AE135" s="6">
        <f ca="1">$K$135*$Y$135</f>
        <v>106551.01589066391</v>
      </c>
      <c r="AF135" s="6">
        <f>$M$135*$Z$135</f>
        <v>0</v>
      </c>
      <c r="AG135" s="6">
        <f>$O$135*$AA$135</f>
        <v>0</v>
      </c>
    </row>
    <row r="136" spans="1:33" ht="11.25" customHeight="1" x14ac:dyDescent="0.25">
      <c r="A136" s="4" t="s">
        <v>21</v>
      </c>
      <c r="B136" s="4" t="s">
        <v>35</v>
      </c>
      <c r="C136" s="4" t="s">
        <v>39</v>
      </c>
      <c r="D136" s="4" t="s">
        <v>34</v>
      </c>
      <c r="E136" s="4" t="s">
        <v>25</v>
      </c>
      <c r="F136" s="4" t="s">
        <v>56</v>
      </c>
      <c r="G136" s="4" t="s">
        <v>25</v>
      </c>
      <c r="H136" s="4" t="s">
        <v>25</v>
      </c>
      <c r="I136" s="5">
        <v>44470</v>
      </c>
      <c r="J136" s="6">
        <v>10319</v>
      </c>
      <c r="K136" s="6">
        <v>4909.7802000000001</v>
      </c>
      <c r="L136" s="6">
        <v>0</v>
      </c>
      <c r="M136" s="6">
        <v>0</v>
      </c>
      <c r="N136" s="6">
        <v>0</v>
      </c>
      <c r="O136" s="6">
        <v>0</v>
      </c>
      <c r="P136" s="6">
        <v>7</v>
      </c>
      <c r="Q136" s="4" t="s">
        <v>57</v>
      </c>
      <c r="R136" s="4">
        <v>0</v>
      </c>
      <c r="S136" s="6">
        <v>24</v>
      </c>
      <c r="T136" s="6">
        <v>0</v>
      </c>
      <c r="U136" s="6">
        <v>0</v>
      </c>
      <c r="V136" s="6">
        <f>IF(ISERROR(VLOOKUP($S$136,'TAR FIN'!$A$1:$O$86,15,0)),0,VLOOKUP($S$136,'TAR FIN'!$A$1:$O$86,15,0))</f>
        <v>22.9</v>
      </c>
      <c r="W136" s="6">
        <f>IF(ISERROR(VLOOKUP($T$136,'TAR FIN'!$A$1:$O$86,15,0)),0,VLOOKUP($T$136,'TAR FIN'!$A$1:$O$86,15,0))</f>
        <v>0</v>
      </c>
      <c r="X136" s="6">
        <f>IF(ISERROR(VLOOKUP($U$136,'TAR FIN'!$A$1:$O$86,15,0)),0,VLOOKUP($U$136,'TAR FIN'!$A$1:$O$86,15,0))</f>
        <v>0</v>
      </c>
      <c r="Y136" s="6">
        <f ca="1">('TUSD BE'!$AM$10+'TUSD BF'!$AM$10+'TUSD CVA'!$AM$10)*1</f>
        <v>21.733731888847863</v>
      </c>
      <c r="Z136" s="6"/>
      <c r="AA136" s="6"/>
      <c r="AB136" s="6">
        <f>$K$136*$V$136</f>
        <v>112433.96657999999</v>
      </c>
      <c r="AC136" s="6">
        <f>$M$136*$W$136</f>
        <v>0</v>
      </c>
      <c r="AD136" s="6">
        <f>$O$136*$X$136</f>
        <v>0</v>
      </c>
      <c r="AE136" s="6">
        <f ca="1">$K$136*$Y$136</f>
        <v>106707.84649997385</v>
      </c>
      <c r="AF136" s="6">
        <f>$M$136*$Z$136</f>
        <v>0</v>
      </c>
      <c r="AG136" s="6">
        <f>$O$136*$AA$136</f>
        <v>0</v>
      </c>
    </row>
    <row r="137" spans="1:33" ht="11.25" customHeight="1" x14ac:dyDescent="0.25">
      <c r="A137" s="4" t="s">
        <v>21</v>
      </c>
      <c r="B137" s="4" t="s">
        <v>35</v>
      </c>
      <c r="C137" s="4" t="s">
        <v>39</v>
      </c>
      <c r="D137" s="4" t="s">
        <v>34</v>
      </c>
      <c r="E137" s="4" t="s">
        <v>25</v>
      </c>
      <c r="F137" s="4" t="s">
        <v>56</v>
      </c>
      <c r="G137" s="4" t="s">
        <v>25</v>
      </c>
      <c r="H137" s="4" t="s">
        <v>25</v>
      </c>
      <c r="I137" s="5">
        <v>44501</v>
      </c>
      <c r="J137" s="6">
        <v>10344</v>
      </c>
      <c r="K137" s="6">
        <v>4921.6751999999997</v>
      </c>
      <c r="L137" s="6">
        <v>0</v>
      </c>
      <c r="M137" s="6">
        <v>0</v>
      </c>
      <c r="N137" s="6">
        <v>0</v>
      </c>
      <c r="O137" s="6">
        <v>0</v>
      </c>
      <c r="P137" s="6">
        <v>7</v>
      </c>
      <c r="Q137" s="4" t="s">
        <v>57</v>
      </c>
      <c r="R137" s="4">
        <v>0</v>
      </c>
      <c r="S137" s="6">
        <v>24</v>
      </c>
      <c r="T137" s="6">
        <v>0</v>
      </c>
      <c r="U137" s="6">
        <v>0</v>
      </c>
      <c r="V137" s="6">
        <f>IF(ISERROR(VLOOKUP($S$137,'TAR FIN'!$A$1:$O$86,15,0)),0,VLOOKUP($S$137,'TAR FIN'!$A$1:$O$86,15,0))</f>
        <v>22.9</v>
      </c>
      <c r="W137" s="6">
        <f>IF(ISERROR(VLOOKUP($T$137,'TAR FIN'!$A$1:$O$86,15,0)),0,VLOOKUP($T$137,'TAR FIN'!$A$1:$O$86,15,0))</f>
        <v>0</v>
      </c>
      <c r="X137" s="6">
        <f>IF(ISERROR(VLOOKUP($U$137,'TAR FIN'!$A$1:$O$86,15,0)),0,VLOOKUP($U$137,'TAR FIN'!$A$1:$O$86,15,0))</f>
        <v>0</v>
      </c>
      <c r="Y137" s="6">
        <f ca="1">('TUSD BE'!$AM$10+'TUSD BF'!$AM$10+'TUSD CVA'!$AM$10)*1</f>
        <v>21.733731888847863</v>
      </c>
      <c r="Z137" s="6"/>
      <c r="AA137" s="6"/>
      <c r="AB137" s="6">
        <f>$K$137*$V$137</f>
        <v>112706.36207999999</v>
      </c>
      <c r="AC137" s="6">
        <f>$M$137*$W$137</f>
        <v>0</v>
      </c>
      <c r="AD137" s="6">
        <f>$O$137*$X$137</f>
        <v>0</v>
      </c>
      <c r="AE137" s="6">
        <f ca="1">$K$137*$Y$137</f>
        <v>106966.36924079168</v>
      </c>
      <c r="AF137" s="6">
        <f>$M$137*$Z$137</f>
        <v>0</v>
      </c>
      <c r="AG137" s="6">
        <f>$O$137*$AA$137</f>
        <v>0</v>
      </c>
    </row>
    <row r="138" spans="1:33" ht="11.25" customHeight="1" x14ac:dyDescent="0.25">
      <c r="A138" s="4" t="s">
        <v>21</v>
      </c>
      <c r="B138" s="4" t="s">
        <v>35</v>
      </c>
      <c r="C138" s="4" t="s">
        <v>39</v>
      </c>
      <c r="D138" s="4" t="s">
        <v>34</v>
      </c>
      <c r="E138" s="4" t="s">
        <v>25</v>
      </c>
      <c r="F138" s="4" t="s">
        <v>56</v>
      </c>
      <c r="G138" s="4" t="s">
        <v>25</v>
      </c>
      <c r="H138" s="4" t="s">
        <v>25</v>
      </c>
      <c r="I138" s="5">
        <v>44531</v>
      </c>
      <c r="J138" s="6">
        <v>10347</v>
      </c>
      <c r="K138" s="6">
        <v>4923.1026000000002</v>
      </c>
      <c r="L138" s="6">
        <v>0</v>
      </c>
      <c r="M138" s="6">
        <v>0</v>
      </c>
      <c r="N138" s="6">
        <v>0</v>
      </c>
      <c r="O138" s="6">
        <v>0</v>
      </c>
      <c r="P138" s="6">
        <v>7</v>
      </c>
      <c r="Q138" s="4" t="s">
        <v>57</v>
      </c>
      <c r="R138" s="4">
        <v>0</v>
      </c>
      <c r="S138" s="6">
        <v>24</v>
      </c>
      <c r="T138" s="6">
        <v>0</v>
      </c>
      <c r="U138" s="6">
        <v>0</v>
      </c>
      <c r="V138" s="6">
        <f>IF(ISERROR(VLOOKUP($S$138,'TAR FIN'!$A$1:$O$86,15,0)),0,VLOOKUP($S$138,'TAR FIN'!$A$1:$O$86,15,0))</f>
        <v>22.9</v>
      </c>
      <c r="W138" s="6">
        <f>IF(ISERROR(VLOOKUP($T$138,'TAR FIN'!$A$1:$O$86,15,0)),0,VLOOKUP($T$138,'TAR FIN'!$A$1:$O$86,15,0))</f>
        <v>0</v>
      </c>
      <c r="X138" s="6">
        <f>IF(ISERROR(VLOOKUP($U$138,'TAR FIN'!$A$1:$O$86,15,0)),0,VLOOKUP($U$138,'TAR FIN'!$A$1:$O$86,15,0))</f>
        <v>0</v>
      </c>
      <c r="Y138" s="6">
        <f ca="1">('TUSD BE'!$AM$10+'TUSD BF'!$AM$10+'TUSD CVA'!$AM$10)*1</f>
        <v>21.733731888847863</v>
      </c>
      <c r="Z138" s="6"/>
      <c r="AA138" s="6"/>
      <c r="AB138" s="6">
        <f>$K$138*$V$138</f>
        <v>112739.04953999999</v>
      </c>
      <c r="AC138" s="6">
        <f>$M$138*$W$138</f>
        <v>0</v>
      </c>
      <c r="AD138" s="6">
        <f>$O$138*$X$138</f>
        <v>0</v>
      </c>
      <c r="AE138" s="6">
        <f ca="1">$K$138*$Y$138</f>
        <v>106997.39196968984</v>
      </c>
      <c r="AF138" s="6">
        <f>$M$138*$Z$138</f>
        <v>0</v>
      </c>
      <c r="AG138" s="6">
        <f>$O$138*$AA$138</f>
        <v>0</v>
      </c>
    </row>
    <row r="139" spans="1:33" ht="11.25" customHeight="1" x14ac:dyDescent="0.25">
      <c r="A139" s="4" t="s">
        <v>21</v>
      </c>
      <c r="B139" s="4" t="s">
        <v>35</v>
      </c>
      <c r="C139" s="4" t="s">
        <v>39</v>
      </c>
      <c r="D139" s="4" t="s">
        <v>34</v>
      </c>
      <c r="E139" s="4" t="s">
        <v>25</v>
      </c>
      <c r="F139" s="4" t="s">
        <v>56</v>
      </c>
      <c r="G139" s="4" t="s">
        <v>25</v>
      </c>
      <c r="H139" s="4" t="s">
        <v>25</v>
      </c>
      <c r="I139" s="5">
        <v>44562</v>
      </c>
      <c r="J139" s="6">
        <v>10342</v>
      </c>
      <c r="K139" s="6">
        <v>4920.7236000000003</v>
      </c>
      <c r="L139" s="6">
        <v>0</v>
      </c>
      <c r="M139" s="6">
        <v>0</v>
      </c>
      <c r="N139" s="6">
        <v>0</v>
      </c>
      <c r="O139" s="6">
        <v>0</v>
      </c>
      <c r="P139" s="6">
        <v>7</v>
      </c>
      <c r="Q139" s="4" t="s">
        <v>57</v>
      </c>
      <c r="R139" s="4">
        <v>0</v>
      </c>
      <c r="S139" s="6">
        <v>24</v>
      </c>
      <c r="T139" s="6">
        <v>0</v>
      </c>
      <c r="U139" s="6">
        <v>0</v>
      </c>
      <c r="V139" s="6">
        <f>IF(ISERROR(VLOOKUP($S$139,'TAR FIN'!$A$1:$O$86,15,0)),0,VLOOKUP($S$139,'TAR FIN'!$A$1:$O$86,15,0))</f>
        <v>22.9</v>
      </c>
      <c r="W139" s="6">
        <f>IF(ISERROR(VLOOKUP($T$139,'TAR FIN'!$A$1:$O$86,15,0)),0,VLOOKUP($T$139,'TAR FIN'!$A$1:$O$86,15,0))</f>
        <v>0</v>
      </c>
      <c r="X139" s="6">
        <f>IF(ISERROR(VLOOKUP($U$139,'TAR FIN'!$A$1:$O$86,15,0)),0,VLOOKUP($U$139,'TAR FIN'!$A$1:$O$86,15,0))</f>
        <v>0</v>
      </c>
      <c r="Y139" s="6">
        <f ca="1">('TUSD BE'!$AM$10+'TUSD BF'!$AM$10+'TUSD CVA'!$AM$10)*1</f>
        <v>21.733731888847863</v>
      </c>
      <c r="Z139" s="6"/>
      <c r="AA139" s="6"/>
      <c r="AB139" s="6">
        <f>$K$139*$V$139</f>
        <v>112684.57044</v>
      </c>
      <c r="AC139" s="6">
        <f>$M$139*$W$139</f>
        <v>0</v>
      </c>
      <c r="AD139" s="6">
        <f>$O$139*$X$139</f>
        <v>0</v>
      </c>
      <c r="AE139" s="6">
        <f ca="1">$K$139*$Y$139</f>
        <v>106945.68742152627</v>
      </c>
      <c r="AF139" s="6">
        <f>$M$139*$Z$139</f>
        <v>0</v>
      </c>
      <c r="AG139" s="6">
        <f>$O$139*$AA$139</f>
        <v>0</v>
      </c>
    </row>
    <row r="140" spans="1:33" ht="11.25" customHeight="1" x14ac:dyDescent="0.25">
      <c r="A140" s="4" t="s">
        <v>21</v>
      </c>
      <c r="B140" s="4" t="s">
        <v>35</v>
      </c>
      <c r="C140" s="4" t="s">
        <v>39</v>
      </c>
      <c r="D140" s="4" t="s">
        <v>34</v>
      </c>
      <c r="E140" s="4" t="s">
        <v>25</v>
      </c>
      <c r="F140" s="4" t="s">
        <v>56</v>
      </c>
      <c r="G140" s="4" t="s">
        <v>25</v>
      </c>
      <c r="H140" s="4" t="s">
        <v>25</v>
      </c>
      <c r="I140" s="5">
        <v>44593</v>
      </c>
      <c r="J140" s="6">
        <v>10695</v>
      </c>
      <c r="K140" s="6">
        <v>5097.2370000000001</v>
      </c>
      <c r="L140" s="6">
        <v>0</v>
      </c>
      <c r="M140" s="6">
        <v>0</v>
      </c>
      <c r="N140" s="6">
        <v>0</v>
      </c>
      <c r="O140" s="6">
        <v>0</v>
      </c>
      <c r="P140" s="6">
        <v>7</v>
      </c>
      <c r="Q140" s="4" t="s">
        <v>57</v>
      </c>
      <c r="R140" s="4">
        <v>0</v>
      </c>
      <c r="S140" s="6">
        <v>24</v>
      </c>
      <c r="T140" s="6">
        <v>0</v>
      </c>
      <c r="U140" s="6">
        <v>0</v>
      </c>
      <c r="V140" s="6">
        <f>IF(ISERROR(VLOOKUP($S$140,'TAR FIN'!$A$1:$O$86,15,0)),0,VLOOKUP($S$140,'TAR FIN'!$A$1:$O$86,15,0))</f>
        <v>22.9</v>
      </c>
      <c r="W140" s="6">
        <f>IF(ISERROR(VLOOKUP($T$140,'TAR FIN'!$A$1:$O$86,15,0)),0,VLOOKUP($T$140,'TAR FIN'!$A$1:$O$86,15,0))</f>
        <v>0</v>
      </c>
      <c r="X140" s="6">
        <f>IF(ISERROR(VLOOKUP($U$140,'TAR FIN'!$A$1:$O$86,15,0)),0,VLOOKUP($U$140,'TAR FIN'!$A$1:$O$86,15,0))</f>
        <v>0</v>
      </c>
      <c r="Y140" s="6">
        <f ca="1">('TUSD BE'!$AM$10+'TUSD BF'!$AM$10+'TUSD CVA'!$AM$10)*1</f>
        <v>21.733731888847863</v>
      </c>
      <c r="Z140" s="6"/>
      <c r="AA140" s="6"/>
      <c r="AB140" s="6">
        <f>$K$140*$V$140</f>
        <v>116726.7273</v>
      </c>
      <c r="AC140" s="6">
        <f>$M$140*$W$140</f>
        <v>0</v>
      </c>
      <c r="AD140" s="6">
        <f>$O$140*$X$140</f>
        <v>0</v>
      </c>
      <c r="AE140" s="6">
        <f ca="1">$K$140*$Y$140</f>
        <v>110781.98233191522</v>
      </c>
      <c r="AF140" s="6">
        <f>$M$140*$Z$140</f>
        <v>0</v>
      </c>
      <c r="AG140" s="6">
        <f>$O$140*$AA$140</f>
        <v>0</v>
      </c>
    </row>
    <row r="141" spans="1:33" ht="11.25" customHeight="1" x14ac:dyDescent="0.25">
      <c r="A141" s="4" t="s">
        <v>21</v>
      </c>
      <c r="B141" s="4" t="s">
        <v>35</v>
      </c>
      <c r="C141" s="4" t="s">
        <v>39</v>
      </c>
      <c r="D141" s="4" t="s">
        <v>34</v>
      </c>
      <c r="E141" s="4" t="s">
        <v>25</v>
      </c>
      <c r="F141" s="4" t="s">
        <v>56</v>
      </c>
      <c r="G141" s="4" t="s">
        <v>25</v>
      </c>
      <c r="H141" s="4" t="s">
        <v>25</v>
      </c>
      <c r="I141" s="5">
        <v>44621</v>
      </c>
      <c r="J141" s="6">
        <v>10912</v>
      </c>
      <c r="K141" s="6">
        <v>5206.1152000000002</v>
      </c>
      <c r="L141" s="6">
        <v>0</v>
      </c>
      <c r="M141" s="6">
        <v>0</v>
      </c>
      <c r="N141" s="6">
        <v>0</v>
      </c>
      <c r="O141" s="6">
        <v>0</v>
      </c>
      <c r="P141" s="6">
        <v>7</v>
      </c>
      <c r="Q141" s="4" t="s">
        <v>57</v>
      </c>
      <c r="R141" s="4">
        <v>0</v>
      </c>
      <c r="S141" s="6">
        <v>24</v>
      </c>
      <c r="T141" s="6">
        <v>0</v>
      </c>
      <c r="U141" s="6">
        <v>0</v>
      </c>
      <c r="V141" s="6">
        <f>IF(ISERROR(VLOOKUP($S$141,'TAR FIN'!$A$1:$O$86,15,0)),0,VLOOKUP($S$141,'TAR FIN'!$A$1:$O$86,15,0))</f>
        <v>22.9</v>
      </c>
      <c r="W141" s="6">
        <f>IF(ISERROR(VLOOKUP($T$141,'TAR FIN'!$A$1:$O$86,15,0)),0,VLOOKUP($T$141,'TAR FIN'!$A$1:$O$86,15,0))</f>
        <v>0</v>
      </c>
      <c r="X141" s="6">
        <f>IF(ISERROR(VLOOKUP($U$141,'TAR FIN'!$A$1:$O$86,15,0)),0,VLOOKUP($U$141,'TAR FIN'!$A$1:$O$86,15,0))</f>
        <v>0</v>
      </c>
      <c r="Y141" s="6">
        <f ca="1">('TUSD BE'!$AM$10+'TUSD BF'!$AM$10+'TUSD CVA'!$AM$10)*1</f>
        <v>21.733731888847863</v>
      </c>
      <c r="Z141" s="6"/>
      <c r="AA141" s="6"/>
      <c r="AB141" s="6">
        <f>$K$141*$V$141</f>
        <v>119220.03808</v>
      </c>
      <c r="AC141" s="6">
        <f>$M$141*$W$141</f>
        <v>0</v>
      </c>
      <c r="AD141" s="6">
        <f>$O$141*$X$141</f>
        <v>0</v>
      </c>
      <c r="AE141" s="6">
        <f ca="1">$K$141*$Y$141</f>
        <v>113148.31193925558</v>
      </c>
      <c r="AF141" s="6">
        <f>$M$141*$Z$141</f>
        <v>0</v>
      </c>
      <c r="AG141" s="6">
        <f>$O$141*$AA$141</f>
        <v>0</v>
      </c>
    </row>
    <row r="142" spans="1:33" ht="11.25" customHeight="1" x14ac:dyDescent="0.25">
      <c r="A142" s="4" t="s">
        <v>21</v>
      </c>
      <c r="B142" s="4" t="s">
        <v>35</v>
      </c>
      <c r="C142" s="4" t="s">
        <v>39</v>
      </c>
      <c r="D142" s="4" t="s">
        <v>34</v>
      </c>
      <c r="E142" s="4" t="s">
        <v>25</v>
      </c>
      <c r="F142" s="4" t="s">
        <v>56</v>
      </c>
      <c r="G142" s="4" t="s">
        <v>25</v>
      </c>
      <c r="H142" s="4" t="s">
        <v>25</v>
      </c>
      <c r="I142" s="5">
        <v>44652</v>
      </c>
      <c r="J142" s="6">
        <v>11030</v>
      </c>
      <c r="K142" s="6">
        <v>5264.6189999999997</v>
      </c>
      <c r="L142" s="6">
        <v>0</v>
      </c>
      <c r="M142" s="6">
        <v>0</v>
      </c>
      <c r="N142" s="6">
        <v>0</v>
      </c>
      <c r="O142" s="6">
        <v>0</v>
      </c>
      <c r="P142" s="6">
        <v>7</v>
      </c>
      <c r="Q142" s="4" t="s">
        <v>57</v>
      </c>
      <c r="R142" s="4">
        <v>0</v>
      </c>
      <c r="S142" s="6">
        <v>24</v>
      </c>
      <c r="T142" s="6">
        <v>0</v>
      </c>
      <c r="U142" s="6">
        <v>0</v>
      </c>
      <c r="V142" s="6">
        <f>IF(ISERROR(VLOOKUP($S$142,'TAR FIN'!$A$1:$O$86,15,0)),0,VLOOKUP($S$142,'TAR FIN'!$A$1:$O$86,15,0))</f>
        <v>22.9</v>
      </c>
      <c r="W142" s="6">
        <f>IF(ISERROR(VLOOKUP($T$142,'TAR FIN'!$A$1:$O$86,15,0)),0,VLOOKUP($T$142,'TAR FIN'!$A$1:$O$86,15,0))</f>
        <v>0</v>
      </c>
      <c r="X142" s="6">
        <f>IF(ISERROR(VLOOKUP($U$142,'TAR FIN'!$A$1:$O$86,15,0)),0,VLOOKUP($U$142,'TAR FIN'!$A$1:$O$86,15,0))</f>
        <v>0</v>
      </c>
      <c r="Y142" s="6">
        <f ca="1">('TUSD BE'!$AM$10+'TUSD BF'!$AM$10+'TUSD CVA'!$AM$10)*1</f>
        <v>21.733731888847863</v>
      </c>
      <c r="Z142" s="6"/>
      <c r="AA142" s="6"/>
      <c r="AB142" s="6">
        <f>$K$142*$V$142</f>
        <v>120559.77509999998</v>
      </c>
      <c r="AC142" s="6">
        <f>$M$142*$W$142</f>
        <v>0</v>
      </c>
      <c r="AD142" s="6">
        <f>$O$142*$X$142</f>
        <v>0</v>
      </c>
      <c r="AE142" s="6">
        <f ca="1">$K$142*$Y$142</f>
        <v>114419.81784293434</v>
      </c>
      <c r="AF142" s="6">
        <f>$M$142*$Z$142</f>
        <v>0</v>
      </c>
      <c r="AG142" s="6">
        <f>$O$142*$AA$142</f>
        <v>0</v>
      </c>
    </row>
    <row r="143" spans="1:33" ht="11.25" customHeight="1" x14ac:dyDescent="0.25">
      <c r="A143" s="4" t="s">
        <v>21</v>
      </c>
      <c r="B143" s="4" t="s">
        <v>35</v>
      </c>
      <c r="C143" s="4" t="s">
        <v>39</v>
      </c>
      <c r="D143" s="4" t="s">
        <v>34</v>
      </c>
      <c r="E143" s="4" t="s">
        <v>25</v>
      </c>
      <c r="F143" s="4" t="s">
        <v>56</v>
      </c>
      <c r="G143" s="4" t="s">
        <v>25</v>
      </c>
      <c r="H143" s="4" t="s">
        <v>25</v>
      </c>
      <c r="I143" s="5">
        <v>44682</v>
      </c>
      <c r="J143" s="6">
        <v>10935</v>
      </c>
      <c r="K143" s="6">
        <v>5217.0884999999998</v>
      </c>
      <c r="L143" s="6">
        <v>0</v>
      </c>
      <c r="M143" s="6">
        <v>0</v>
      </c>
      <c r="N143" s="6">
        <v>0</v>
      </c>
      <c r="O143" s="6">
        <v>0</v>
      </c>
      <c r="P143" s="6">
        <v>7</v>
      </c>
      <c r="Q143" s="4" t="s">
        <v>57</v>
      </c>
      <c r="R143" s="4">
        <v>0</v>
      </c>
      <c r="S143" s="6">
        <v>24</v>
      </c>
      <c r="T143" s="6">
        <v>0</v>
      </c>
      <c r="U143" s="6">
        <v>0</v>
      </c>
      <c r="V143" s="6">
        <f>IF(ISERROR(VLOOKUP($S$143,'TAR FIN'!$A$1:$O$86,15,0)),0,VLOOKUP($S$143,'TAR FIN'!$A$1:$O$86,15,0))</f>
        <v>22.9</v>
      </c>
      <c r="W143" s="6">
        <f>IF(ISERROR(VLOOKUP($T$143,'TAR FIN'!$A$1:$O$86,15,0)),0,VLOOKUP($T$143,'TAR FIN'!$A$1:$O$86,15,0))</f>
        <v>0</v>
      </c>
      <c r="X143" s="6">
        <f>IF(ISERROR(VLOOKUP($U$143,'TAR FIN'!$A$1:$O$86,15,0)),0,VLOOKUP($U$143,'TAR FIN'!$A$1:$O$86,15,0))</f>
        <v>0</v>
      </c>
      <c r="Y143" s="6">
        <f ca="1">('TUSD BE'!$AM$10+'TUSD BF'!$AM$10+'TUSD CVA'!$AM$10)*1</f>
        <v>21.733731888847863</v>
      </c>
      <c r="Z143" s="6"/>
      <c r="AA143" s="6"/>
      <c r="AB143" s="6">
        <f>$K$143*$V$143</f>
        <v>119471.32664999999</v>
      </c>
      <c r="AC143" s="6">
        <f>$M$143*$W$143</f>
        <v>0</v>
      </c>
      <c r="AD143" s="6">
        <f>$O$143*$X$143</f>
        <v>0</v>
      </c>
      <c r="AE143" s="6">
        <f ca="1">$K$143*$Y$143</f>
        <v>113386.80269939147</v>
      </c>
      <c r="AF143" s="6">
        <f>$M$143*$Z$143</f>
        <v>0</v>
      </c>
      <c r="AG143" s="6">
        <f>$O$143*$AA$143</f>
        <v>0</v>
      </c>
    </row>
    <row r="144" spans="1:33" ht="11.25" customHeight="1" x14ac:dyDescent="0.25">
      <c r="A144" s="4" t="s">
        <v>21</v>
      </c>
      <c r="B144" s="4" t="s">
        <v>35</v>
      </c>
      <c r="C144" s="4" t="s">
        <v>39</v>
      </c>
      <c r="D144" s="4" t="s">
        <v>34</v>
      </c>
      <c r="E144" s="4" t="s">
        <v>25</v>
      </c>
      <c r="F144" s="4" t="s">
        <v>56</v>
      </c>
      <c r="G144" s="4" t="s">
        <v>25</v>
      </c>
      <c r="H144" s="4" t="s">
        <v>25</v>
      </c>
      <c r="I144" s="5">
        <v>44713</v>
      </c>
      <c r="J144" s="6">
        <v>10989</v>
      </c>
      <c r="K144" s="6">
        <v>5243.9507999999996</v>
      </c>
      <c r="L144" s="6">
        <v>0</v>
      </c>
      <c r="M144" s="6">
        <v>0</v>
      </c>
      <c r="N144" s="6">
        <v>0</v>
      </c>
      <c r="O144" s="6">
        <v>0</v>
      </c>
      <c r="P144" s="6">
        <v>7</v>
      </c>
      <c r="Q144" s="4" t="s">
        <v>57</v>
      </c>
      <c r="R144" s="4">
        <v>0</v>
      </c>
      <c r="S144" s="6">
        <v>24</v>
      </c>
      <c r="T144" s="6">
        <v>0</v>
      </c>
      <c r="U144" s="6">
        <v>0</v>
      </c>
      <c r="V144" s="6">
        <f>IF(ISERROR(VLOOKUP($S$144,'TAR FIN'!$A$1:$O$86,15,0)),0,VLOOKUP($S$144,'TAR FIN'!$A$1:$O$86,15,0))</f>
        <v>22.9</v>
      </c>
      <c r="W144" s="6">
        <f>IF(ISERROR(VLOOKUP($T$144,'TAR FIN'!$A$1:$O$86,15,0)),0,VLOOKUP($T$144,'TAR FIN'!$A$1:$O$86,15,0))</f>
        <v>0</v>
      </c>
      <c r="X144" s="6">
        <f>IF(ISERROR(VLOOKUP($U$144,'TAR FIN'!$A$1:$O$86,15,0)),0,VLOOKUP($U$144,'TAR FIN'!$A$1:$O$86,15,0))</f>
        <v>0</v>
      </c>
      <c r="Y144" s="6">
        <f ca="1">('TUSD BE'!$AM$10+'TUSD BF'!$AM$10+'TUSD CVA'!$AM$10)*1</f>
        <v>21.733731888847863</v>
      </c>
      <c r="Z144" s="6"/>
      <c r="AA144" s="6"/>
      <c r="AB144" s="6">
        <f>$K$144*$V$144</f>
        <v>120086.47331999999</v>
      </c>
      <c r="AC144" s="6">
        <f>$M$144*$W$144</f>
        <v>0</v>
      </c>
      <c r="AD144" s="6">
        <f>$O$144*$X$144</f>
        <v>0</v>
      </c>
      <c r="AE144" s="6">
        <f ca="1">$K$144*$Y$144</f>
        <v>113970.62072550926</v>
      </c>
      <c r="AF144" s="6">
        <f>$M$144*$Z$144</f>
        <v>0</v>
      </c>
      <c r="AG144" s="6">
        <f>$O$144*$AA$144</f>
        <v>0</v>
      </c>
    </row>
    <row r="145" spans="1:33" ht="11.25" customHeight="1" x14ac:dyDescent="0.25">
      <c r="A145" s="4" t="s">
        <v>55</v>
      </c>
      <c r="B145" s="4" t="s">
        <v>35</v>
      </c>
      <c r="C145" s="4" t="s">
        <v>39</v>
      </c>
      <c r="D145" s="4" t="s">
        <v>34</v>
      </c>
      <c r="E145" s="4" t="s">
        <v>25</v>
      </c>
      <c r="F145" s="4" t="s">
        <v>56</v>
      </c>
      <c r="G145" s="4" t="s">
        <v>25</v>
      </c>
      <c r="H145" s="4" t="s">
        <v>25</v>
      </c>
      <c r="I145" s="5">
        <v>44743</v>
      </c>
      <c r="J145" s="6">
        <v>10989</v>
      </c>
      <c r="K145" s="6">
        <v>5243.9507999999996</v>
      </c>
      <c r="L145" s="6">
        <v>0</v>
      </c>
      <c r="M145" s="6">
        <v>0</v>
      </c>
      <c r="N145" s="6">
        <v>0</v>
      </c>
      <c r="O145" s="6">
        <v>0</v>
      </c>
      <c r="P145" s="6">
        <v>7</v>
      </c>
      <c r="Q145" s="4" t="s">
        <v>57</v>
      </c>
      <c r="R145" s="4">
        <v>0</v>
      </c>
      <c r="S145" s="6">
        <v>24</v>
      </c>
      <c r="T145" s="6">
        <v>0</v>
      </c>
      <c r="U145" s="6">
        <v>0</v>
      </c>
      <c r="V145" s="6">
        <f>IF(ISERROR(VLOOKUP($S$145,'TAR FIN'!$A$1:$O$86,15,0)),0,VLOOKUP($S$145,'TAR FIN'!$A$1:$O$86,15,0))</f>
        <v>22.9</v>
      </c>
      <c r="W145" s="6">
        <f>IF(ISERROR(VLOOKUP($T$145,'TAR FIN'!$A$1:$O$86,15,0)),0,VLOOKUP($T$145,'TAR FIN'!$A$1:$O$86,15,0))</f>
        <v>0</v>
      </c>
      <c r="X145" s="6">
        <f>IF(ISERROR(VLOOKUP($U$145,'TAR FIN'!$A$1:$O$86,15,0)),0,VLOOKUP($U$145,'TAR FIN'!$A$1:$O$86,15,0))</f>
        <v>0</v>
      </c>
      <c r="Y145" s="6">
        <f ca="1">('TUSD BE'!$AM$10+'TUSD BF'!$AM$10+'TUSD CVA'!$AM$10)*1</f>
        <v>21.733731888847863</v>
      </c>
      <c r="Z145" s="6"/>
      <c r="AA145" s="6"/>
      <c r="AB145" s="6">
        <f>$K$145*$V$145</f>
        <v>120086.47331999999</v>
      </c>
      <c r="AC145" s="6">
        <f>$M$145*$W$145</f>
        <v>0</v>
      </c>
      <c r="AD145" s="6">
        <f>$O$145*$X$145</f>
        <v>0</v>
      </c>
      <c r="AE145" s="6">
        <f ca="1">$K$145*$Y$145</f>
        <v>113970.62072550926</v>
      </c>
      <c r="AF145" s="6">
        <f>$M$145*$Z$145</f>
        <v>0</v>
      </c>
      <c r="AG145" s="6">
        <f>$O$145*$AA$145</f>
        <v>0</v>
      </c>
    </row>
    <row r="146" spans="1:33" ht="11.25" customHeight="1" x14ac:dyDescent="0.25">
      <c r="A146" s="4" t="s">
        <v>21</v>
      </c>
      <c r="B146" s="4" t="s">
        <v>35</v>
      </c>
      <c r="C146" s="4" t="s">
        <v>39</v>
      </c>
      <c r="D146" s="4" t="s">
        <v>34</v>
      </c>
      <c r="E146" s="4" t="s">
        <v>25</v>
      </c>
      <c r="F146" s="4" t="s">
        <v>56</v>
      </c>
      <c r="G146" s="4" t="s">
        <v>25</v>
      </c>
      <c r="H146" s="4" t="s">
        <v>37</v>
      </c>
      <c r="I146" s="5">
        <v>44409</v>
      </c>
      <c r="J146" s="6">
        <v>0</v>
      </c>
      <c r="K146" s="6">
        <v>0</v>
      </c>
      <c r="L146" s="6">
        <v>221.56700000000001</v>
      </c>
      <c r="M146" s="6">
        <v>94.963616200000004</v>
      </c>
      <c r="N146" s="6">
        <v>0</v>
      </c>
      <c r="O146" s="6">
        <v>0</v>
      </c>
      <c r="P146" s="6">
        <v>0</v>
      </c>
      <c r="Q146" s="4" t="s">
        <v>57</v>
      </c>
      <c r="R146" s="4">
        <v>0</v>
      </c>
      <c r="S146" s="6">
        <v>0</v>
      </c>
      <c r="T146" s="6">
        <v>5</v>
      </c>
      <c r="U146" s="6">
        <v>0</v>
      </c>
      <c r="V146" s="6">
        <f>IF(ISERROR(VLOOKUP($S$146,'TAR FIN'!$A$1:$O$86,15,0)),0,VLOOKUP($S$146,'TAR FIN'!$A$1:$O$86,15,0))</f>
        <v>0</v>
      </c>
      <c r="W146" s="6">
        <f>IF(ISERROR(VLOOKUP($T$146,'TAR FIN'!$A$1:$O$86,15,0)),0,VLOOKUP($T$146,'TAR FIN'!$A$1:$O$86,15,0))</f>
        <v>1518.97</v>
      </c>
      <c r="X146" s="6">
        <f>IF(ISERROR(VLOOKUP($U$146,'TAR FIN'!$A$1:$O$86,15,0)),0,VLOOKUP($U$146,'TAR FIN'!$A$1:$O$86,15,0))</f>
        <v>0</v>
      </c>
      <c r="Y146" s="6"/>
      <c r="Z146" s="6">
        <f ca="1">('TUSD BE'!$AM$11+'TUSD BF'!$AM$11+'TUSD CVA'!$AM$11)*1</f>
        <v>1492.9858702094405</v>
      </c>
      <c r="AA146" s="6"/>
      <c r="AB146" s="6">
        <f>$K$146*$V$146</f>
        <v>0</v>
      </c>
      <c r="AC146" s="6">
        <f>$M$146*$W$146</f>
        <v>144246.88409931402</v>
      </c>
      <c r="AD146" s="6">
        <f>$O$146*$X$146</f>
        <v>0</v>
      </c>
      <c r="AE146" s="6">
        <f>$K$146*$Y$146</f>
        <v>0</v>
      </c>
      <c r="AF146" s="6">
        <f ca="1">$M$146*$Z$146</f>
        <v>141779.33717059233</v>
      </c>
      <c r="AG146" s="6">
        <f>$O$146*$AA$146</f>
        <v>0</v>
      </c>
    </row>
    <row r="147" spans="1:33" ht="11.25" customHeight="1" x14ac:dyDescent="0.25">
      <c r="A147" s="4" t="s">
        <v>21</v>
      </c>
      <c r="B147" s="4" t="s">
        <v>35</v>
      </c>
      <c r="C147" s="4" t="s">
        <v>39</v>
      </c>
      <c r="D147" s="4" t="s">
        <v>34</v>
      </c>
      <c r="E147" s="4" t="s">
        <v>25</v>
      </c>
      <c r="F147" s="4" t="s">
        <v>56</v>
      </c>
      <c r="G147" s="4" t="s">
        <v>25</v>
      </c>
      <c r="H147" s="4" t="s">
        <v>37</v>
      </c>
      <c r="I147" s="5">
        <v>44440</v>
      </c>
      <c r="J147" s="6">
        <v>0</v>
      </c>
      <c r="K147" s="6">
        <v>0</v>
      </c>
      <c r="L147" s="6">
        <v>233.02</v>
      </c>
      <c r="M147" s="6">
        <v>116.183772</v>
      </c>
      <c r="N147" s="6">
        <v>0</v>
      </c>
      <c r="O147" s="6">
        <v>0</v>
      </c>
      <c r="P147" s="6">
        <v>0</v>
      </c>
      <c r="Q147" s="4" t="s">
        <v>57</v>
      </c>
      <c r="R147" s="4">
        <v>0</v>
      </c>
      <c r="S147" s="6">
        <v>0</v>
      </c>
      <c r="T147" s="6">
        <v>5</v>
      </c>
      <c r="U147" s="6">
        <v>0</v>
      </c>
      <c r="V147" s="6">
        <f>IF(ISERROR(VLOOKUP($S$147,'TAR FIN'!$A$1:$O$86,15,0)),0,VLOOKUP($S$147,'TAR FIN'!$A$1:$O$86,15,0))</f>
        <v>0</v>
      </c>
      <c r="W147" s="6">
        <f>IF(ISERROR(VLOOKUP($T$147,'TAR FIN'!$A$1:$O$86,15,0)),0,VLOOKUP($T$147,'TAR FIN'!$A$1:$O$86,15,0))</f>
        <v>1518.97</v>
      </c>
      <c r="X147" s="6">
        <f>IF(ISERROR(VLOOKUP($U$147,'TAR FIN'!$A$1:$O$86,15,0)),0,VLOOKUP($U$147,'TAR FIN'!$A$1:$O$86,15,0))</f>
        <v>0</v>
      </c>
      <c r="Y147" s="6"/>
      <c r="Z147" s="6">
        <f ca="1">('TUSD BE'!$AM$11+'TUSD BF'!$AM$11+'TUSD CVA'!$AM$11)*1</f>
        <v>1492.9858702094405</v>
      </c>
      <c r="AA147" s="6"/>
      <c r="AB147" s="6">
        <f>$K$147*$V$147</f>
        <v>0</v>
      </c>
      <c r="AC147" s="6">
        <f>$M$147*$W$147</f>
        <v>176479.66415484002</v>
      </c>
      <c r="AD147" s="6">
        <f>$O$147*$X$147</f>
        <v>0</v>
      </c>
      <c r="AE147" s="6">
        <f>$K$147*$Y$147</f>
        <v>0</v>
      </c>
      <c r="AF147" s="6">
        <f ca="1">$M$147*$Z$147</f>
        <v>173460.72994363523</v>
      </c>
      <c r="AG147" s="6">
        <f>$O$147*$AA$147</f>
        <v>0</v>
      </c>
    </row>
    <row r="148" spans="1:33" ht="11.25" customHeight="1" x14ac:dyDescent="0.25">
      <c r="A148" s="4" t="s">
        <v>21</v>
      </c>
      <c r="B148" s="4" t="s">
        <v>35</v>
      </c>
      <c r="C148" s="4" t="s">
        <v>39</v>
      </c>
      <c r="D148" s="4" t="s">
        <v>34</v>
      </c>
      <c r="E148" s="4" t="s">
        <v>25</v>
      </c>
      <c r="F148" s="4" t="s">
        <v>56</v>
      </c>
      <c r="G148" s="4" t="s">
        <v>25</v>
      </c>
      <c r="H148" s="4" t="s">
        <v>37</v>
      </c>
      <c r="I148" s="5">
        <v>44470</v>
      </c>
      <c r="J148" s="6">
        <v>0</v>
      </c>
      <c r="K148" s="6">
        <v>0</v>
      </c>
      <c r="L148" s="6">
        <v>224.77099999999999</v>
      </c>
      <c r="M148" s="6">
        <v>112.1157748</v>
      </c>
      <c r="N148" s="6">
        <v>0</v>
      </c>
      <c r="O148" s="6">
        <v>0</v>
      </c>
      <c r="P148" s="6">
        <v>0</v>
      </c>
      <c r="Q148" s="4" t="s">
        <v>57</v>
      </c>
      <c r="R148" s="4">
        <v>0</v>
      </c>
      <c r="S148" s="6">
        <v>0</v>
      </c>
      <c r="T148" s="6">
        <v>5</v>
      </c>
      <c r="U148" s="6">
        <v>0</v>
      </c>
      <c r="V148" s="6">
        <f>IF(ISERROR(VLOOKUP($S$148,'TAR FIN'!$A$1:$O$86,15,0)),0,VLOOKUP($S$148,'TAR FIN'!$A$1:$O$86,15,0))</f>
        <v>0</v>
      </c>
      <c r="W148" s="6">
        <f>IF(ISERROR(VLOOKUP($T$148,'TAR FIN'!$A$1:$O$86,15,0)),0,VLOOKUP($T$148,'TAR FIN'!$A$1:$O$86,15,0))</f>
        <v>1518.97</v>
      </c>
      <c r="X148" s="6">
        <f>IF(ISERROR(VLOOKUP($U$148,'TAR FIN'!$A$1:$O$86,15,0)),0,VLOOKUP($U$148,'TAR FIN'!$A$1:$O$86,15,0))</f>
        <v>0</v>
      </c>
      <c r="Y148" s="6"/>
      <c r="Z148" s="6">
        <f ca="1">('TUSD BE'!$AM$11+'TUSD BF'!$AM$11+'TUSD CVA'!$AM$11)*1</f>
        <v>1492.9858702094405</v>
      </c>
      <c r="AA148" s="6"/>
      <c r="AB148" s="6">
        <f>$K$148*$V$148</f>
        <v>0</v>
      </c>
      <c r="AC148" s="6">
        <f>$M$148*$W$148</f>
        <v>170300.49844795599</v>
      </c>
      <c r="AD148" s="6">
        <f>$O$148*$X$148</f>
        <v>0</v>
      </c>
      <c r="AE148" s="6">
        <f>$K$148*$Y$148</f>
        <v>0</v>
      </c>
      <c r="AF148" s="6">
        <f ca="1">$M$148*$Z$148</f>
        <v>167387.26760398364</v>
      </c>
      <c r="AG148" s="6">
        <f>$O$148*$AA$148</f>
        <v>0</v>
      </c>
    </row>
    <row r="149" spans="1:33" ht="11.25" customHeight="1" x14ac:dyDescent="0.25">
      <c r="A149" s="4" t="s">
        <v>21</v>
      </c>
      <c r="B149" s="4" t="s">
        <v>35</v>
      </c>
      <c r="C149" s="4" t="s">
        <v>39</v>
      </c>
      <c r="D149" s="4" t="s">
        <v>34</v>
      </c>
      <c r="E149" s="4" t="s">
        <v>25</v>
      </c>
      <c r="F149" s="4" t="s">
        <v>56</v>
      </c>
      <c r="G149" s="4" t="s">
        <v>25</v>
      </c>
      <c r="H149" s="4" t="s">
        <v>37</v>
      </c>
      <c r="I149" s="5">
        <v>44501</v>
      </c>
      <c r="J149" s="6">
        <v>0</v>
      </c>
      <c r="K149" s="6">
        <v>0</v>
      </c>
      <c r="L149" s="6">
        <v>227.09100000000001</v>
      </c>
      <c r="M149" s="6">
        <v>113.74988190000001</v>
      </c>
      <c r="N149" s="6">
        <v>0</v>
      </c>
      <c r="O149" s="6">
        <v>0</v>
      </c>
      <c r="P149" s="6">
        <v>0</v>
      </c>
      <c r="Q149" s="4" t="s">
        <v>57</v>
      </c>
      <c r="R149" s="4">
        <v>0</v>
      </c>
      <c r="S149" s="6">
        <v>0</v>
      </c>
      <c r="T149" s="6">
        <v>5</v>
      </c>
      <c r="U149" s="6">
        <v>0</v>
      </c>
      <c r="V149" s="6">
        <f>IF(ISERROR(VLOOKUP($S$149,'TAR FIN'!$A$1:$O$86,15,0)),0,VLOOKUP($S$149,'TAR FIN'!$A$1:$O$86,15,0))</f>
        <v>0</v>
      </c>
      <c r="W149" s="6">
        <f>IF(ISERROR(VLOOKUP($T$149,'TAR FIN'!$A$1:$O$86,15,0)),0,VLOOKUP($T$149,'TAR FIN'!$A$1:$O$86,15,0))</f>
        <v>1518.97</v>
      </c>
      <c r="X149" s="6">
        <f>IF(ISERROR(VLOOKUP($U$149,'TAR FIN'!$A$1:$O$86,15,0)),0,VLOOKUP($U$149,'TAR FIN'!$A$1:$O$86,15,0))</f>
        <v>0</v>
      </c>
      <c r="Y149" s="6"/>
      <c r="Z149" s="6">
        <f ca="1">('TUSD BE'!$AM$11+'TUSD BF'!$AM$11+'TUSD CVA'!$AM$11)*1</f>
        <v>1492.9858702094405</v>
      </c>
      <c r="AA149" s="6"/>
      <c r="AB149" s="6">
        <f>$K$149*$V$149</f>
        <v>0</v>
      </c>
      <c r="AC149" s="6">
        <f>$M$149*$W$149</f>
        <v>172782.658109643</v>
      </c>
      <c r="AD149" s="6">
        <f>$O$149*$X$149</f>
        <v>0</v>
      </c>
      <c r="AE149" s="6">
        <f>$K$149*$Y$149</f>
        <v>0</v>
      </c>
      <c r="AF149" s="6">
        <f ca="1">$M$149*$Z$149</f>
        <v>169826.96641469258</v>
      </c>
      <c r="AG149" s="6">
        <f>$O$149*$AA$149</f>
        <v>0</v>
      </c>
    </row>
    <row r="150" spans="1:33" ht="11.25" customHeight="1" x14ac:dyDescent="0.25">
      <c r="A150" s="4" t="s">
        <v>21</v>
      </c>
      <c r="B150" s="4" t="s">
        <v>35</v>
      </c>
      <c r="C150" s="4" t="s">
        <v>39</v>
      </c>
      <c r="D150" s="4" t="s">
        <v>34</v>
      </c>
      <c r="E150" s="4" t="s">
        <v>25</v>
      </c>
      <c r="F150" s="4" t="s">
        <v>56</v>
      </c>
      <c r="G150" s="4" t="s">
        <v>25</v>
      </c>
      <c r="H150" s="4" t="s">
        <v>37</v>
      </c>
      <c r="I150" s="5">
        <v>44531</v>
      </c>
      <c r="J150" s="6">
        <v>0</v>
      </c>
      <c r="K150" s="6">
        <v>0</v>
      </c>
      <c r="L150" s="6">
        <v>245.57499999999999</v>
      </c>
      <c r="M150" s="6">
        <v>123.27865</v>
      </c>
      <c r="N150" s="6">
        <v>0</v>
      </c>
      <c r="O150" s="6">
        <v>0</v>
      </c>
      <c r="P150" s="6">
        <v>0</v>
      </c>
      <c r="Q150" s="4" t="s">
        <v>57</v>
      </c>
      <c r="R150" s="4">
        <v>0</v>
      </c>
      <c r="S150" s="6">
        <v>0</v>
      </c>
      <c r="T150" s="6">
        <v>5</v>
      </c>
      <c r="U150" s="6">
        <v>0</v>
      </c>
      <c r="V150" s="6">
        <f>IF(ISERROR(VLOOKUP($S$150,'TAR FIN'!$A$1:$O$86,15,0)),0,VLOOKUP($S$150,'TAR FIN'!$A$1:$O$86,15,0))</f>
        <v>0</v>
      </c>
      <c r="W150" s="6">
        <f>IF(ISERROR(VLOOKUP($T$150,'TAR FIN'!$A$1:$O$86,15,0)),0,VLOOKUP($T$150,'TAR FIN'!$A$1:$O$86,15,0))</f>
        <v>1518.97</v>
      </c>
      <c r="X150" s="6">
        <f>IF(ISERROR(VLOOKUP($U$150,'TAR FIN'!$A$1:$O$86,15,0)),0,VLOOKUP($U$150,'TAR FIN'!$A$1:$O$86,15,0))</f>
        <v>0</v>
      </c>
      <c r="Y150" s="6"/>
      <c r="Z150" s="6">
        <f ca="1">('TUSD BE'!$AM$11+'TUSD BF'!$AM$11+'TUSD CVA'!$AM$11)*1</f>
        <v>1492.9858702094405</v>
      </c>
      <c r="AA150" s="6"/>
      <c r="AB150" s="6">
        <f>$K$150*$V$150</f>
        <v>0</v>
      </c>
      <c r="AC150" s="6">
        <f>$M$150*$W$150</f>
        <v>187256.57099050001</v>
      </c>
      <c r="AD150" s="6">
        <f>$O$150*$X$150</f>
        <v>0</v>
      </c>
      <c r="AE150" s="6">
        <f>$K$150*$Y$150</f>
        <v>0</v>
      </c>
      <c r="AF150" s="6">
        <f ca="1">$M$150*$Z$150</f>
        <v>184053.28254849504</v>
      </c>
      <c r="AG150" s="6">
        <f>$O$150*$AA$150</f>
        <v>0</v>
      </c>
    </row>
    <row r="151" spans="1:33" ht="11.25" customHeight="1" x14ac:dyDescent="0.25">
      <c r="A151" s="4" t="s">
        <v>21</v>
      </c>
      <c r="B151" s="4" t="s">
        <v>35</v>
      </c>
      <c r="C151" s="4" t="s">
        <v>39</v>
      </c>
      <c r="D151" s="4" t="s">
        <v>34</v>
      </c>
      <c r="E151" s="4" t="s">
        <v>25</v>
      </c>
      <c r="F151" s="4" t="s">
        <v>56</v>
      </c>
      <c r="G151" s="4" t="s">
        <v>25</v>
      </c>
      <c r="H151" s="4" t="s">
        <v>37</v>
      </c>
      <c r="I151" s="5">
        <v>44562</v>
      </c>
      <c r="J151" s="6">
        <v>0</v>
      </c>
      <c r="K151" s="6">
        <v>0</v>
      </c>
      <c r="L151" s="6">
        <v>228.524</v>
      </c>
      <c r="M151" s="6">
        <v>114.719048</v>
      </c>
      <c r="N151" s="6">
        <v>0</v>
      </c>
      <c r="O151" s="6">
        <v>0</v>
      </c>
      <c r="P151" s="6">
        <v>0</v>
      </c>
      <c r="Q151" s="4" t="s">
        <v>57</v>
      </c>
      <c r="R151" s="4">
        <v>0</v>
      </c>
      <c r="S151" s="6">
        <v>0</v>
      </c>
      <c r="T151" s="6">
        <v>5</v>
      </c>
      <c r="U151" s="6">
        <v>0</v>
      </c>
      <c r="V151" s="6">
        <f>IF(ISERROR(VLOOKUP($S$151,'TAR FIN'!$A$1:$O$86,15,0)),0,VLOOKUP($S$151,'TAR FIN'!$A$1:$O$86,15,0))</f>
        <v>0</v>
      </c>
      <c r="W151" s="6">
        <f>IF(ISERROR(VLOOKUP($T$151,'TAR FIN'!$A$1:$O$86,15,0)),0,VLOOKUP($T$151,'TAR FIN'!$A$1:$O$86,15,0))</f>
        <v>1518.97</v>
      </c>
      <c r="X151" s="6">
        <f>IF(ISERROR(VLOOKUP($U$151,'TAR FIN'!$A$1:$O$86,15,0)),0,VLOOKUP($U$151,'TAR FIN'!$A$1:$O$86,15,0))</f>
        <v>0</v>
      </c>
      <c r="Y151" s="6"/>
      <c r="Z151" s="6">
        <f ca="1">('TUSD BE'!$AM$11+'TUSD BF'!$AM$11+'TUSD CVA'!$AM$11)*1</f>
        <v>1492.9858702094405</v>
      </c>
      <c r="AA151" s="6"/>
      <c r="AB151" s="6">
        <f>$K$151*$V$151</f>
        <v>0</v>
      </c>
      <c r="AC151" s="6">
        <f>$M$151*$W$151</f>
        <v>174254.79234056</v>
      </c>
      <c r="AD151" s="6">
        <f>$O$151*$X$151</f>
        <v>0</v>
      </c>
      <c r="AE151" s="6">
        <f>$K$151*$Y$151</f>
        <v>0</v>
      </c>
      <c r="AF151" s="6">
        <f ca="1">$M$151*$Z$151</f>
        <v>171273.91770787857</v>
      </c>
      <c r="AG151" s="6">
        <f>$O$151*$AA$151</f>
        <v>0</v>
      </c>
    </row>
    <row r="152" spans="1:33" ht="11.25" customHeight="1" x14ac:dyDescent="0.25">
      <c r="A152" s="4" t="s">
        <v>21</v>
      </c>
      <c r="B152" s="4" t="s">
        <v>35</v>
      </c>
      <c r="C152" s="4" t="s">
        <v>39</v>
      </c>
      <c r="D152" s="4" t="s">
        <v>34</v>
      </c>
      <c r="E152" s="4" t="s">
        <v>25</v>
      </c>
      <c r="F152" s="4" t="s">
        <v>56</v>
      </c>
      <c r="G152" s="4" t="s">
        <v>25</v>
      </c>
      <c r="H152" s="4" t="s">
        <v>37</v>
      </c>
      <c r="I152" s="5">
        <v>44593</v>
      </c>
      <c r="J152" s="6">
        <v>0</v>
      </c>
      <c r="K152" s="6">
        <v>0</v>
      </c>
      <c r="L152" s="6">
        <v>212.62799999999999</v>
      </c>
      <c r="M152" s="6">
        <v>107.37714</v>
      </c>
      <c r="N152" s="6">
        <v>0</v>
      </c>
      <c r="O152" s="6">
        <v>0</v>
      </c>
      <c r="P152" s="6">
        <v>0</v>
      </c>
      <c r="Q152" s="4" t="s">
        <v>57</v>
      </c>
      <c r="R152" s="4">
        <v>0</v>
      </c>
      <c r="S152" s="6">
        <v>0</v>
      </c>
      <c r="T152" s="6">
        <v>5</v>
      </c>
      <c r="U152" s="6">
        <v>0</v>
      </c>
      <c r="V152" s="6">
        <f>IF(ISERROR(VLOOKUP($S$152,'TAR FIN'!$A$1:$O$86,15,0)),0,VLOOKUP($S$152,'TAR FIN'!$A$1:$O$86,15,0))</f>
        <v>0</v>
      </c>
      <c r="W152" s="6">
        <f>IF(ISERROR(VLOOKUP($T$152,'TAR FIN'!$A$1:$O$86,15,0)),0,VLOOKUP($T$152,'TAR FIN'!$A$1:$O$86,15,0))</f>
        <v>1518.97</v>
      </c>
      <c r="X152" s="6">
        <f>IF(ISERROR(VLOOKUP($U$152,'TAR FIN'!$A$1:$O$86,15,0)),0,VLOOKUP($U$152,'TAR FIN'!$A$1:$O$86,15,0))</f>
        <v>0</v>
      </c>
      <c r="Y152" s="6"/>
      <c r="Z152" s="6">
        <f ca="1">('TUSD BE'!$AM$11+'TUSD BF'!$AM$11+'TUSD CVA'!$AM$11)*1</f>
        <v>1492.9858702094405</v>
      </c>
      <c r="AA152" s="6"/>
      <c r="AB152" s="6">
        <f>$K$152*$V$152</f>
        <v>0</v>
      </c>
      <c r="AC152" s="6">
        <f>$M$152*$W$152</f>
        <v>163102.65434579999</v>
      </c>
      <c r="AD152" s="6">
        <f>$O$152*$X$152</f>
        <v>0</v>
      </c>
      <c r="AE152" s="6">
        <f>$K$152*$Y$152</f>
        <v>0</v>
      </c>
      <c r="AF152" s="6">
        <f ca="1">$M$152*$Z$152</f>
        <v>160312.5528035009</v>
      </c>
      <c r="AG152" s="6">
        <f>$O$152*$AA$152</f>
        <v>0</v>
      </c>
    </row>
    <row r="153" spans="1:33" ht="11.25" customHeight="1" x14ac:dyDescent="0.25">
      <c r="A153" s="4" t="s">
        <v>21</v>
      </c>
      <c r="B153" s="4" t="s">
        <v>35</v>
      </c>
      <c r="C153" s="4" t="s">
        <v>39</v>
      </c>
      <c r="D153" s="4" t="s">
        <v>34</v>
      </c>
      <c r="E153" s="4" t="s">
        <v>25</v>
      </c>
      <c r="F153" s="4" t="s">
        <v>56</v>
      </c>
      <c r="G153" s="4" t="s">
        <v>25</v>
      </c>
      <c r="H153" s="4" t="s">
        <v>37</v>
      </c>
      <c r="I153" s="5">
        <v>44621</v>
      </c>
      <c r="J153" s="6">
        <v>0</v>
      </c>
      <c r="K153" s="6">
        <v>0</v>
      </c>
      <c r="L153" s="6">
        <v>228.40799999999999</v>
      </c>
      <c r="M153" s="6">
        <v>113.35889040000001</v>
      </c>
      <c r="N153" s="6">
        <v>0</v>
      </c>
      <c r="O153" s="6">
        <v>0</v>
      </c>
      <c r="P153" s="6">
        <v>0</v>
      </c>
      <c r="Q153" s="4" t="s">
        <v>57</v>
      </c>
      <c r="R153" s="4">
        <v>0</v>
      </c>
      <c r="S153" s="6">
        <v>0</v>
      </c>
      <c r="T153" s="6">
        <v>5</v>
      </c>
      <c r="U153" s="6">
        <v>0</v>
      </c>
      <c r="V153" s="6">
        <f>IF(ISERROR(VLOOKUP($S$153,'TAR FIN'!$A$1:$O$86,15,0)),0,VLOOKUP($S$153,'TAR FIN'!$A$1:$O$86,15,0))</f>
        <v>0</v>
      </c>
      <c r="W153" s="6">
        <f>IF(ISERROR(VLOOKUP($T$153,'TAR FIN'!$A$1:$O$86,15,0)),0,VLOOKUP($T$153,'TAR FIN'!$A$1:$O$86,15,0))</f>
        <v>1518.97</v>
      </c>
      <c r="X153" s="6">
        <f>IF(ISERROR(VLOOKUP($U$153,'TAR FIN'!$A$1:$O$86,15,0)),0,VLOOKUP($U$153,'TAR FIN'!$A$1:$O$86,15,0))</f>
        <v>0</v>
      </c>
      <c r="Y153" s="6"/>
      <c r="Z153" s="6">
        <f ca="1">('TUSD BE'!$AM$11+'TUSD BF'!$AM$11+'TUSD CVA'!$AM$11)*1</f>
        <v>1492.9858702094405</v>
      </c>
      <c r="AA153" s="6"/>
      <c r="AB153" s="6">
        <f>$K$153*$V$153</f>
        <v>0</v>
      </c>
      <c r="AC153" s="6">
        <f>$M$153*$W$153</f>
        <v>172188.75375088802</v>
      </c>
      <c r="AD153" s="6">
        <f>$O$153*$X$153</f>
        <v>0</v>
      </c>
      <c r="AE153" s="6">
        <f>$K$153*$Y$153</f>
        <v>0</v>
      </c>
      <c r="AF153" s="6">
        <f ca="1">$M$153*$Z$153</f>
        <v>169243.22162982059</v>
      </c>
      <c r="AG153" s="6">
        <f>$O$153*$AA$153</f>
        <v>0</v>
      </c>
    </row>
    <row r="154" spans="1:33" ht="11.25" customHeight="1" x14ac:dyDescent="0.25">
      <c r="A154" s="4" t="s">
        <v>21</v>
      </c>
      <c r="B154" s="4" t="s">
        <v>35</v>
      </c>
      <c r="C154" s="4" t="s">
        <v>39</v>
      </c>
      <c r="D154" s="4" t="s">
        <v>34</v>
      </c>
      <c r="E154" s="4" t="s">
        <v>25</v>
      </c>
      <c r="F154" s="4" t="s">
        <v>56</v>
      </c>
      <c r="G154" s="4" t="s">
        <v>25</v>
      </c>
      <c r="H154" s="4" t="s">
        <v>37</v>
      </c>
      <c r="I154" s="5">
        <v>44652</v>
      </c>
      <c r="J154" s="6">
        <v>0</v>
      </c>
      <c r="K154" s="6">
        <v>0</v>
      </c>
      <c r="L154" s="6">
        <v>197.779</v>
      </c>
      <c r="M154" s="6">
        <v>100.45195409999999</v>
      </c>
      <c r="N154" s="6">
        <v>0</v>
      </c>
      <c r="O154" s="6">
        <v>0</v>
      </c>
      <c r="P154" s="6">
        <v>0</v>
      </c>
      <c r="Q154" s="4" t="s">
        <v>57</v>
      </c>
      <c r="R154" s="4">
        <v>0</v>
      </c>
      <c r="S154" s="6">
        <v>0</v>
      </c>
      <c r="T154" s="6">
        <v>5</v>
      </c>
      <c r="U154" s="6">
        <v>0</v>
      </c>
      <c r="V154" s="6">
        <f>IF(ISERROR(VLOOKUP($S$154,'TAR FIN'!$A$1:$O$86,15,0)),0,VLOOKUP($S$154,'TAR FIN'!$A$1:$O$86,15,0))</f>
        <v>0</v>
      </c>
      <c r="W154" s="6">
        <f>IF(ISERROR(VLOOKUP($T$154,'TAR FIN'!$A$1:$O$86,15,0)),0,VLOOKUP($T$154,'TAR FIN'!$A$1:$O$86,15,0))</f>
        <v>1518.97</v>
      </c>
      <c r="X154" s="6">
        <f>IF(ISERROR(VLOOKUP($U$154,'TAR FIN'!$A$1:$O$86,15,0)),0,VLOOKUP($U$154,'TAR FIN'!$A$1:$O$86,15,0))</f>
        <v>0</v>
      </c>
      <c r="Y154" s="6"/>
      <c r="Z154" s="6">
        <f ca="1">('TUSD BE'!$AM$11+'TUSD BF'!$AM$11+'TUSD CVA'!$AM$11)*1</f>
        <v>1492.9858702094405</v>
      </c>
      <c r="AA154" s="6"/>
      <c r="AB154" s="6">
        <f>$K$154*$V$154</f>
        <v>0</v>
      </c>
      <c r="AC154" s="6">
        <f>$M$154*$W$154</f>
        <v>152583.504719277</v>
      </c>
      <c r="AD154" s="6">
        <f>$O$154*$X$154</f>
        <v>0</v>
      </c>
      <c r="AE154" s="6">
        <f>$K$154*$Y$154</f>
        <v>0</v>
      </c>
      <c r="AF154" s="6">
        <f ca="1">$M$154*$Z$154</f>
        <v>149973.34810622726</v>
      </c>
      <c r="AG154" s="6">
        <f>$O$154*$AA$154</f>
        <v>0</v>
      </c>
    </row>
    <row r="155" spans="1:33" ht="11.25" customHeight="1" x14ac:dyDescent="0.25">
      <c r="A155" s="4" t="s">
        <v>21</v>
      </c>
      <c r="B155" s="4" t="s">
        <v>35</v>
      </c>
      <c r="C155" s="4" t="s">
        <v>39</v>
      </c>
      <c r="D155" s="4" t="s">
        <v>34</v>
      </c>
      <c r="E155" s="4" t="s">
        <v>25</v>
      </c>
      <c r="F155" s="4" t="s">
        <v>56</v>
      </c>
      <c r="G155" s="4" t="s">
        <v>25</v>
      </c>
      <c r="H155" s="4" t="s">
        <v>37</v>
      </c>
      <c r="I155" s="5">
        <v>44682</v>
      </c>
      <c r="J155" s="6">
        <v>0</v>
      </c>
      <c r="K155" s="6">
        <v>0</v>
      </c>
      <c r="L155" s="6">
        <v>220.24</v>
      </c>
      <c r="M155" s="6">
        <v>110.802744</v>
      </c>
      <c r="N155" s="6">
        <v>0</v>
      </c>
      <c r="O155" s="6">
        <v>0</v>
      </c>
      <c r="P155" s="6">
        <v>0</v>
      </c>
      <c r="Q155" s="4" t="s">
        <v>57</v>
      </c>
      <c r="R155" s="4">
        <v>0</v>
      </c>
      <c r="S155" s="6">
        <v>0</v>
      </c>
      <c r="T155" s="6">
        <v>5</v>
      </c>
      <c r="U155" s="6">
        <v>0</v>
      </c>
      <c r="V155" s="6">
        <f>IF(ISERROR(VLOOKUP($S$155,'TAR FIN'!$A$1:$O$86,15,0)),0,VLOOKUP($S$155,'TAR FIN'!$A$1:$O$86,15,0))</f>
        <v>0</v>
      </c>
      <c r="W155" s="6">
        <f>IF(ISERROR(VLOOKUP($T$155,'TAR FIN'!$A$1:$O$86,15,0)),0,VLOOKUP($T$155,'TAR FIN'!$A$1:$O$86,15,0))</f>
        <v>1518.97</v>
      </c>
      <c r="X155" s="6">
        <f>IF(ISERROR(VLOOKUP($U$155,'TAR FIN'!$A$1:$O$86,15,0)),0,VLOOKUP($U$155,'TAR FIN'!$A$1:$O$86,15,0))</f>
        <v>0</v>
      </c>
      <c r="Y155" s="6"/>
      <c r="Z155" s="6">
        <f ca="1">('TUSD BE'!$AM$11+'TUSD BF'!$AM$11+'TUSD CVA'!$AM$11)*1</f>
        <v>1492.9858702094405</v>
      </c>
      <c r="AA155" s="6"/>
      <c r="AB155" s="6">
        <f>$K$155*$V$155</f>
        <v>0</v>
      </c>
      <c r="AC155" s="6">
        <f>$M$155*$W$155</f>
        <v>168306.04405368</v>
      </c>
      <c r="AD155" s="6">
        <f>$O$155*$X$155</f>
        <v>0</v>
      </c>
      <c r="AE155" s="6">
        <f>$K$155*$Y$155</f>
        <v>0</v>
      </c>
      <c r="AF155" s="6">
        <f ca="1">$M$155*$Z$155</f>
        <v>165426.93117243386</v>
      </c>
      <c r="AG155" s="6">
        <f>$O$155*$AA$155</f>
        <v>0</v>
      </c>
    </row>
    <row r="156" spans="1:33" ht="11.25" customHeight="1" x14ac:dyDescent="0.25">
      <c r="A156" s="4" t="s">
        <v>21</v>
      </c>
      <c r="B156" s="4" t="s">
        <v>35</v>
      </c>
      <c r="C156" s="4" t="s">
        <v>39</v>
      </c>
      <c r="D156" s="4" t="s">
        <v>34</v>
      </c>
      <c r="E156" s="4" t="s">
        <v>25</v>
      </c>
      <c r="F156" s="4" t="s">
        <v>56</v>
      </c>
      <c r="G156" s="4" t="s">
        <v>25</v>
      </c>
      <c r="H156" s="4" t="s">
        <v>37</v>
      </c>
      <c r="I156" s="5">
        <v>44713</v>
      </c>
      <c r="J156" s="6">
        <v>0</v>
      </c>
      <c r="K156" s="6">
        <v>0</v>
      </c>
      <c r="L156" s="6">
        <v>210.67</v>
      </c>
      <c r="M156" s="6">
        <v>105.566737</v>
      </c>
      <c r="N156" s="6">
        <v>0</v>
      </c>
      <c r="O156" s="6">
        <v>0</v>
      </c>
      <c r="P156" s="6">
        <v>0</v>
      </c>
      <c r="Q156" s="4" t="s">
        <v>57</v>
      </c>
      <c r="R156" s="4">
        <v>0</v>
      </c>
      <c r="S156" s="6">
        <v>0</v>
      </c>
      <c r="T156" s="6">
        <v>5</v>
      </c>
      <c r="U156" s="6">
        <v>0</v>
      </c>
      <c r="V156" s="6">
        <f>IF(ISERROR(VLOOKUP($S$156,'TAR FIN'!$A$1:$O$86,15,0)),0,VLOOKUP($S$156,'TAR FIN'!$A$1:$O$86,15,0))</f>
        <v>0</v>
      </c>
      <c r="W156" s="6">
        <f>IF(ISERROR(VLOOKUP($T$156,'TAR FIN'!$A$1:$O$86,15,0)),0,VLOOKUP($T$156,'TAR FIN'!$A$1:$O$86,15,0))</f>
        <v>1518.97</v>
      </c>
      <c r="X156" s="6">
        <f>IF(ISERROR(VLOOKUP($U$156,'TAR FIN'!$A$1:$O$86,15,0)),0,VLOOKUP($U$156,'TAR FIN'!$A$1:$O$86,15,0))</f>
        <v>0</v>
      </c>
      <c r="Y156" s="6"/>
      <c r="Z156" s="6">
        <f ca="1">('TUSD BE'!$AM$11+'TUSD BF'!$AM$11+'TUSD CVA'!$AM$11)*1</f>
        <v>1492.9858702094405</v>
      </c>
      <c r="AA156" s="6"/>
      <c r="AB156" s="6">
        <f>$K$156*$V$156</f>
        <v>0</v>
      </c>
      <c r="AC156" s="6">
        <f>$M$156*$W$156</f>
        <v>160352.70650089</v>
      </c>
      <c r="AD156" s="6">
        <f>$O$156*$X$156</f>
        <v>0</v>
      </c>
      <c r="AE156" s="6">
        <f>$K$156*$Y$156</f>
        <v>0</v>
      </c>
      <c r="AF156" s="6">
        <f ca="1">$M$156*$Z$156</f>
        <v>157609.64670511615</v>
      </c>
      <c r="AG156" s="6">
        <f>$O$156*$AA$156</f>
        <v>0</v>
      </c>
    </row>
    <row r="157" spans="1:33" ht="11.25" customHeight="1" x14ac:dyDescent="0.25">
      <c r="A157" s="4" t="s">
        <v>55</v>
      </c>
      <c r="B157" s="4" t="s">
        <v>35</v>
      </c>
      <c r="C157" s="4" t="s">
        <v>39</v>
      </c>
      <c r="D157" s="4" t="s">
        <v>34</v>
      </c>
      <c r="E157" s="4" t="s">
        <v>25</v>
      </c>
      <c r="F157" s="4" t="s">
        <v>56</v>
      </c>
      <c r="G157" s="4" t="s">
        <v>25</v>
      </c>
      <c r="H157" s="4" t="s">
        <v>37</v>
      </c>
      <c r="I157" s="5">
        <v>44743</v>
      </c>
      <c r="J157" s="6">
        <v>0</v>
      </c>
      <c r="K157" s="6">
        <v>0</v>
      </c>
      <c r="L157" s="6">
        <v>210.67</v>
      </c>
      <c r="M157" s="6">
        <v>105.566737</v>
      </c>
      <c r="N157" s="6">
        <v>0</v>
      </c>
      <c r="O157" s="6">
        <v>0</v>
      </c>
      <c r="P157" s="6">
        <v>0</v>
      </c>
      <c r="Q157" s="4" t="s">
        <v>57</v>
      </c>
      <c r="R157" s="4">
        <v>0</v>
      </c>
      <c r="S157" s="6">
        <v>0</v>
      </c>
      <c r="T157" s="6">
        <v>5</v>
      </c>
      <c r="U157" s="6">
        <v>0</v>
      </c>
      <c r="V157" s="6">
        <f>IF(ISERROR(VLOOKUP($S$157,'TAR FIN'!$A$1:$O$86,15,0)),0,VLOOKUP($S$157,'TAR FIN'!$A$1:$O$86,15,0))</f>
        <v>0</v>
      </c>
      <c r="W157" s="6">
        <f>IF(ISERROR(VLOOKUP($T$157,'TAR FIN'!$A$1:$O$86,15,0)),0,VLOOKUP($T$157,'TAR FIN'!$A$1:$O$86,15,0))</f>
        <v>1518.97</v>
      </c>
      <c r="X157" s="6">
        <f>IF(ISERROR(VLOOKUP($U$157,'TAR FIN'!$A$1:$O$86,15,0)),0,VLOOKUP($U$157,'TAR FIN'!$A$1:$O$86,15,0))</f>
        <v>0</v>
      </c>
      <c r="Y157" s="6"/>
      <c r="Z157" s="6">
        <f ca="1">('TUSD BE'!$AM$11+'TUSD BF'!$AM$11+'TUSD CVA'!$AM$11)*1</f>
        <v>1492.9858702094405</v>
      </c>
      <c r="AA157" s="6"/>
      <c r="AB157" s="6">
        <f>$K$157*$V$157</f>
        <v>0</v>
      </c>
      <c r="AC157" s="6">
        <f>$M$157*$W$157</f>
        <v>160352.70650089</v>
      </c>
      <c r="AD157" s="6">
        <f>$O$157*$X$157</f>
        <v>0</v>
      </c>
      <c r="AE157" s="6">
        <f>$K$157*$Y$157</f>
        <v>0</v>
      </c>
      <c r="AF157" s="6">
        <f ca="1">$M$157*$Z$157</f>
        <v>157609.64670511615</v>
      </c>
      <c r="AG157" s="6">
        <f>$O$157*$AA$157</f>
        <v>0</v>
      </c>
    </row>
    <row r="158" spans="1:33" ht="11.25" customHeight="1" x14ac:dyDescent="0.25">
      <c r="A158" s="4" t="s">
        <v>21</v>
      </c>
      <c r="B158" s="4" t="s">
        <v>35</v>
      </c>
      <c r="C158" s="4" t="s">
        <v>39</v>
      </c>
      <c r="D158" s="4" t="s">
        <v>34</v>
      </c>
      <c r="E158" s="4" t="s">
        <v>25</v>
      </c>
      <c r="F158" s="4" t="s">
        <v>25</v>
      </c>
      <c r="G158" s="4" t="s">
        <v>25</v>
      </c>
      <c r="H158" s="4" t="s">
        <v>38</v>
      </c>
      <c r="I158" s="5">
        <v>44409</v>
      </c>
      <c r="J158" s="6">
        <v>0</v>
      </c>
      <c r="K158" s="6">
        <v>0</v>
      </c>
      <c r="L158" s="6">
        <v>3639.2730000000001</v>
      </c>
      <c r="M158" s="6">
        <v>3639.2730000000001</v>
      </c>
      <c r="N158" s="6">
        <v>3639.2730000000001</v>
      </c>
      <c r="O158" s="6">
        <v>3639.2730000000001</v>
      </c>
      <c r="P158" s="6">
        <v>0</v>
      </c>
      <c r="Q158" s="4" t="s">
        <v>26</v>
      </c>
      <c r="R158" s="4">
        <v>0</v>
      </c>
      <c r="S158" s="6">
        <v>0</v>
      </c>
      <c r="T158" s="6">
        <v>18</v>
      </c>
      <c r="U158" s="6">
        <v>73</v>
      </c>
      <c r="V158" s="6">
        <f>IF(ISERROR(VLOOKUP($S$158,'TAR FIN'!$A$1:$O$86,15,0)),0,VLOOKUP($S$158,'TAR FIN'!$A$1:$O$86,15,0))</f>
        <v>0</v>
      </c>
      <c r="W158" s="6">
        <f>IF(ISERROR(VLOOKUP($T$158,'TAR FIN'!$A$1:$O$86,15,0)),0,VLOOKUP($T$158,'TAR FIN'!$A$1:$O$86,15,0))</f>
        <v>73.19</v>
      </c>
      <c r="X158" s="6">
        <f>IF(ISERROR(VLOOKUP($U$158,'TAR FIN'!$A$1:$O$86,15,0)),0,VLOOKUP($U$158,'TAR FIN'!$A$1:$O$86,15,0))</f>
        <v>211.71</v>
      </c>
      <c r="Y158" s="6"/>
      <c r="Z158" s="6">
        <f ca="1">('TUSD BE'!$AM$12+'TUSD BF'!$AM$12+'TUSD CVA'!$AM$12)*1</f>
        <v>117.83242038312405</v>
      </c>
      <c r="AA158" s="6">
        <f>('TE BE'!$AB$6+'TE BF'!$AB$6+'TE CVA'!$AB$6)*1</f>
        <v>222.99901551132911</v>
      </c>
      <c r="AB158" s="6">
        <f>$K$158*$V$158</f>
        <v>0</v>
      </c>
      <c r="AC158" s="6">
        <f>$M$158*$W$158</f>
        <v>266358.39087</v>
      </c>
      <c r="AD158" s="6">
        <f>$O$158*$X$158</f>
        <v>770470.48683000007</v>
      </c>
      <c r="AE158" s="6">
        <f>$K$158*$Y$158</f>
        <v>0</v>
      </c>
      <c r="AF158" s="6">
        <f ca="1">$M$158*$Z$158</f>
        <v>428824.346024953</v>
      </c>
      <c r="AG158" s="6">
        <f>$O$158*$AA$158</f>
        <v>811554.29617696127</v>
      </c>
    </row>
    <row r="159" spans="1:33" ht="11.25" customHeight="1" x14ac:dyDescent="0.25">
      <c r="A159" s="4" t="s">
        <v>28</v>
      </c>
      <c r="B159" s="4" t="s">
        <v>35</v>
      </c>
      <c r="C159" s="4" t="s">
        <v>39</v>
      </c>
      <c r="D159" s="4" t="s">
        <v>34</v>
      </c>
      <c r="E159" s="4" t="s">
        <v>25</v>
      </c>
      <c r="F159" s="4" t="s">
        <v>25</v>
      </c>
      <c r="G159" s="4" t="s">
        <v>25</v>
      </c>
      <c r="H159" s="4" t="s">
        <v>38</v>
      </c>
      <c r="I159" s="5">
        <v>44409</v>
      </c>
      <c r="J159" s="6">
        <v>0</v>
      </c>
      <c r="K159" s="6">
        <v>0</v>
      </c>
      <c r="L159" s="6">
        <v>236.98699999999999</v>
      </c>
      <c r="M159" s="6">
        <v>236.98699999999999</v>
      </c>
      <c r="N159" s="6">
        <v>236.98699999999999</v>
      </c>
      <c r="O159" s="6">
        <v>236.98699999999999</v>
      </c>
      <c r="P159" s="6">
        <v>0</v>
      </c>
      <c r="Q159" s="4" t="s">
        <v>26</v>
      </c>
      <c r="R159" s="4">
        <v>0</v>
      </c>
      <c r="S159" s="6">
        <v>0</v>
      </c>
      <c r="T159" s="6">
        <v>18</v>
      </c>
      <c r="U159" s="6">
        <v>73</v>
      </c>
      <c r="V159" s="6">
        <f>IF(ISERROR(VLOOKUP($S$159,'TAR FIN'!$A$1:$O$86,15,0)),0,VLOOKUP($S$159,'TAR FIN'!$A$1:$O$86,15,0))</f>
        <v>0</v>
      </c>
      <c r="W159" s="6">
        <f>IF(ISERROR(VLOOKUP($T$159,'TAR FIN'!$A$1:$O$86,15,0)),0,VLOOKUP($T$159,'TAR FIN'!$A$1:$O$86,15,0))</f>
        <v>73.19</v>
      </c>
      <c r="X159" s="6">
        <f>IF(ISERROR(VLOOKUP($U$159,'TAR FIN'!$A$1:$O$86,15,0)),0,VLOOKUP($U$159,'TAR FIN'!$A$1:$O$86,15,0))</f>
        <v>211.71</v>
      </c>
      <c r="Y159" s="6"/>
      <c r="Z159" s="6">
        <f ca="1">('TUSD BE'!$AM$12+'TUSD BF'!$AM$12+'TUSD CVA'!$AM$12)*1</f>
        <v>117.83242038312405</v>
      </c>
      <c r="AA159" s="6">
        <f>('TE BE'!$AB$6+'TE BF'!$AB$6+'TE CVA'!$AB$6)*1</f>
        <v>222.99901551132911</v>
      </c>
      <c r="AB159" s="6">
        <f>$K$159*$V$159</f>
        <v>0</v>
      </c>
      <c r="AC159" s="6">
        <f>$M$159*$W$159</f>
        <v>17345.078529999999</v>
      </c>
      <c r="AD159" s="6">
        <f>$O$159*$X$159</f>
        <v>50172.517769999999</v>
      </c>
      <c r="AE159" s="6">
        <f>$K$159*$Y$159</f>
        <v>0</v>
      </c>
      <c r="AF159" s="6">
        <f ca="1">$M$159*$Z$159</f>
        <v>27924.751809335419</v>
      </c>
      <c r="AG159" s="6">
        <f>$O$159*$AA$159</f>
        <v>52847.867688983351</v>
      </c>
    </row>
    <row r="160" spans="1:33" ht="11.25" customHeight="1" x14ac:dyDescent="0.25">
      <c r="A160" s="4" t="s">
        <v>21</v>
      </c>
      <c r="B160" s="4" t="s">
        <v>35</v>
      </c>
      <c r="C160" s="4" t="s">
        <v>39</v>
      </c>
      <c r="D160" s="4" t="s">
        <v>34</v>
      </c>
      <c r="E160" s="4" t="s">
        <v>25</v>
      </c>
      <c r="F160" s="4" t="s">
        <v>25</v>
      </c>
      <c r="G160" s="4" t="s">
        <v>25</v>
      </c>
      <c r="H160" s="4" t="s">
        <v>38</v>
      </c>
      <c r="I160" s="5">
        <v>44440</v>
      </c>
      <c r="J160" s="6">
        <v>0</v>
      </c>
      <c r="K160" s="6">
        <v>0</v>
      </c>
      <c r="L160" s="6">
        <v>3538.067</v>
      </c>
      <c r="M160" s="6">
        <v>3538.067</v>
      </c>
      <c r="N160" s="6">
        <v>3538.067</v>
      </c>
      <c r="O160" s="6">
        <v>3538.067</v>
      </c>
      <c r="P160" s="6">
        <v>0</v>
      </c>
      <c r="Q160" s="4" t="s">
        <v>26</v>
      </c>
      <c r="R160" s="4">
        <v>0</v>
      </c>
      <c r="S160" s="6">
        <v>0</v>
      </c>
      <c r="T160" s="6">
        <v>18</v>
      </c>
      <c r="U160" s="6">
        <v>73</v>
      </c>
      <c r="V160" s="6">
        <f>IF(ISERROR(VLOOKUP($S$160,'TAR FIN'!$A$1:$O$86,15,0)),0,VLOOKUP($S$160,'TAR FIN'!$A$1:$O$86,15,0))</f>
        <v>0</v>
      </c>
      <c r="W160" s="6">
        <f>IF(ISERROR(VLOOKUP($T$160,'TAR FIN'!$A$1:$O$86,15,0)),0,VLOOKUP($T$160,'TAR FIN'!$A$1:$O$86,15,0))</f>
        <v>73.19</v>
      </c>
      <c r="X160" s="6">
        <f>IF(ISERROR(VLOOKUP($U$160,'TAR FIN'!$A$1:$O$86,15,0)),0,VLOOKUP($U$160,'TAR FIN'!$A$1:$O$86,15,0))</f>
        <v>211.71</v>
      </c>
      <c r="Y160" s="6"/>
      <c r="Z160" s="6">
        <f ca="1">('TUSD BE'!$AM$12+'TUSD BF'!$AM$12+'TUSD CVA'!$AM$12)*1</f>
        <v>117.83242038312405</v>
      </c>
      <c r="AA160" s="6">
        <f>('TE BE'!$AB$6+'TE BF'!$AB$6+'TE CVA'!$AB$6)*1</f>
        <v>222.99901551132911</v>
      </c>
      <c r="AB160" s="6">
        <f>$K$160*$V$160</f>
        <v>0</v>
      </c>
      <c r="AC160" s="6">
        <f>$M$160*$W$160</f>
        <v>258951.12372999999</v>
      </c>
      <c r="AD160" s="6">
        <f>$O$160*$X$160</f>
        <v>749044.16457000002</v>
      </c>
      <c r="AE160" s="6">
        <f>$K$160*$Y$160</f>
        <v>0</v>
      </c>
      <c r="AF160" s="6">
        <f ca="1">$M$160*$Z$160</f>
        <v>416898.99808765855</v>
      </c>
      <c r="AG160" s="6">
        <f>$O$160*$AA$160</f>
        <v>788985.45781312161</v>
      </c>
    </row>
    <row r="161" spans="1:33" ht="11.25" customHeight="1" x14ac:dyDescent="0.25">
      <c r="A161" s="4" t="s">
        <v>28</v>
      </c>
      <c r="B161" s="4" t="s">
        <v>35</v>
      </c>
      <c r="C161" s="4" t="s">
        <v>39</v>
      </c>
      <c r="D161" s="4" t="s">
        <v>34</v>
      </c>
      <c r="E161" s="4" t="s">
        <v>25</v>
      </c>
      <c r="F161" s="4" t="s">
        <v>25</v>
      </c>
      <c r="G161" s="4" t="s">
        <v>25</v>
      </c>
      <c r="H161" s="4" t="s">
        <v>38</v>
      </c>
      <c r="I161" s="5">
        <v>44440</v>
      </c>
      <c r="J161" s="6">
        <v>0</v>
      </c>
      <c r="K161" s="6">
        <v>0</v>
      </c>
      <c r="L161" s="6">
        <v>153.905</v>
      </c>
      <c r="M161" s="6">
        <v>153.905</v>
      </c>
      <c r="N161" s="6">
        <v>153.905</v>
      </c>
      <c r="O161" s="6">
        <v>153.905</v>
      </c>
      <c r="P161" s="6">
        <v>0</v>
      </c>
      <c r="Q161" s="4" t="s">
        <v>26</v>
      </c>
      <c r="R161" s="4">
        <v>0</v>
      </c>
      <c r="S161" s="6">
        <v>0</v>
      </c>
      <c r="T161" s="6">
        <v>18</v>
      </c>
      <c r="U161" s="6">
        <v>73</v>
      </c>
      <c r="V161" s="6">
        <f>IF(ISERROR(VLOOKUP($S$161,'TAR FIN'!$A$1:$O$86,15,0)),0,VLOOKUP($S$161,'TAR FIN'!$A$1:$O$86,15,0))</f>
        <v>0</v>
      </c>
      <c r="W161" s="6">
        <f>IF(ISERROR(VLOOKUP($T$161,'TAR FIN'!$A$1:$O$86,15,0)),0,VLOOKUP($T$161,'TAR FIN'!$A$1:$O$86,15,0))</f>
        <v>73.19</v>
      </c>
      <c r="X161" s="6">
        <f>IF(ISERROR(VLOOKUP($U$161,'TAR FIN'!$A$1:$O$86,15,0)),0,VLOOKUP($U$161,'TAR FIN'!$A$1:$O$86,15,0))</f>
        <v>211.71</v>
      </c>
      <c r="Y161" s="6"/>
      <c r="Z161" s="6">
        <f ca="1">('TUSD BE'!$AM$12+'TUSD BF'!$AM$12+'TUSD CVA'!$AM$12)*1</f>
        <v>117.83242038312405</v>
      </c>
      <c r="AA161" s="6">
        <f>('TE BE'!$AB$6+'TE BF'!$AB$6+'TE CVA'!$AB$6)*1</f>
        <v>222.99901551132911</v>
      </c>
      <c r="AB161" s="6">
        <f>$K$161*$V$161</f>
        <v>0</v>
      </c>
      <c r="AC161" s="6">
        <f>$M$161*$W$161</f>
        <v>11264.30695</v>
      </c>
      <c r="AD161" s="6">
        <f>$O$161*$X$161</f>
        <v>32583.227550000003</v>
      </c>
      <c r="AE161" s="6">
        <f>$K$161*$Y$161</f>
        <v>0</v>
      </c>
      <c r="AF161" s="6">
        <f ca="1">$M$161*$Z$161</f>
        <v>18134.998659064706</v>
      </c>
      <c r="AG161" s="6">
        <f>$O$161*$AA$161</f>
        <v>34320.663482271106</v>
      </c>
    </row>
    <row r="162" spans="1:33" ht="11.25" customHeight="1" x14ac:dyDescent="0.25">
      <c r="A162" s="4" t="s">
        <v>21</v>
      </c>
      <c r="B162" s="4" t="s">
        <v>35</v>
      </c>
      <c r="C162" s="4" t="s">
        <v>39</v>
      </c>
      <c r="D162" s="4" t="s">
        <v>34</v>
      </c>
      <c r="E162" s="4" t="s">
        <v>25</v>
      </c>
      <c r="F162" s="4" t="s">
        <v>25</v>
      </c>
      <c r="G162" s="4" t="s">
        <v>25</v>
      </c>
      <c r="H162" s="4" t="s">
        <v>38</v>
      </c>
      <c r="I162" s="5">
        <v>44470</v>
      </c>
      <c r="J162" s="6">
        <v>0</v>
      </c>
      <c r="K162" s="6">
        <v>0</v>
      </c>
      <c r="L162" s="6">
        <v>3582.9960000000001</v>
      </c>
      <c r="M162" s="6">
        <v>3582.9960000000001</v>
      </c>
      <c r="N162" s="6">
        <v>3582.9960000000001</v>
      </c>
      <c r="O162" s="6">
        <v>3582.9960000000001</v>
      </c>
      <c r="P162" s="6">
        <v>0</v>
      </c>
      <c r="Q162" s="4" t="s">
        <v>26</v>
      </c>
      <c r="R162" s="4">
        <v>0</v>
      </c>
      <c r="S162" s="6">
        <v>0</v>
      </c>
      <c r="T162" s="6">
        <v>18</v>
      </c>
      <c r="U162" s="6">
        <v>73</v>
      </c>
      <c r="V162" s="6">
        <f>IF(ISERROR(VLOOKUP($S$162,'TAR FIN'!$A$1:$O$86,15,0)),0,VLOOKUP($S$162,'TAR FIN'!$A$1:$O$86,15,0))</f>
        <v>0</v>
      </c>
      <c r="W162" s="6">
        <f>IF(ISERROR(VLOOKUP($T$162,'TAR FIN'!$A$1:$O$86,15,0)),0,VLOOKUP($T$162,'TAR FIN'!$A$1:$O$86,15,0))</f>
        <v>73.19</v>
      </c>
      <c r="X162" s="6">
        <f>IF(ISERROR(VLOOKUP($U$162,'TAR FIN'!$A$1:$O$86,15,0)),0,VLOOKUP($U$162,'TAR FIN'!$A$1:$O$86,15,0))</f>
        <v>211.71</v>
      </c>
      <c r="Y162" s="6"/>
      <c r="Z162" s="6">
        <f ca="1">('TUSD BE'!$AM$12+'TUSD BF'!$AM$12+'TUSD CVA'!$AM$12)*1</f>
        <v>117.83242038312405</v>
      </c>
      <c r="AA162" s="6">
        <f>('TE BE'!$AB$6+'TE BF'!$AB$6+'TE CVA'!$AB$6)*1</f>
        <v>222.99901551132911</v>
      </c>
      <c r="AB162" s="6">
        <f>$K$162*$V$162</f>
        <v>0</v>
      </c>
      <c r="AC162" s="6">
        <f>$M$162*$W$162</f>
        <v>262239.47723999998</v>
      </c>
      <c r="AD162" s="6">
        <f>$O$162*$X$162</f>
        <v>758556.08316000004</v>
      </c>
      <c r="AE162" s="6">
        <f>$K$162*$Y$162</f>
        <v>0</v>
      </c>
      <c r="AF162" s="6">
        <f ca="1">$M$162*$Z$162</f>
        <v>422193.09090305195</v>
      </c>
      <c r="AG162" s="6">
        <f>$O$162*$AA$162</f>
        <v>799004.58058103011</v>
      </c>
    </row>
    <row r="163" spans="1:33" ht="11.25" customHeight="1" x14ac:dyDescent="0.25">
      <c r="A163" s="4" t="s">
        <v>28</v>
      </c>
      <c r="B163" s="4" t="s">
        <v>35</v>
      </c>
      <c r="C163" s="4" t="s">
        <v>39</v>
      </c>
      <c r="D163" s="4" t="s">
        <v>34</v>
      </c>
      <c r="E163" s="4" t="s">
        <v>25</v>
      </c>
      <c r="F163" s="4" t="s">
        <v>25</v>
      </c>
      <c r="G163" s="4" t="s">
        <v>25</v>
      </c>
      <c r="H163" s="4" t="s">
        <v>38</v>
      </c>
      <c r="I163" s="5">
        <v>44470</v>
      </c>
      <c r="J163" s="6">
        <v>0</v>
      </c>
      <c r="K163" s="6">
        <v>0</v>
      </c>
      <c r="L163" s="6">
        <v>172.417</v>
      </c>
      <c r="M163" s="6">
        <v>172.417</v>
      </c>
      <c r="N163" s="6">
        <v>172.417</v>
      </c>
      <c r="O163" s="6">
        <v>172.417</v>
      </c>
      <c r="P163" s="6">
        <v>0</v>
      </c>
      <c r="Q163" s="4" t="s">
        <v>26</v>
      </c>
      <c r="R163" s="4">
        <v>0</v>
      </c>
      <c r="S163" s="6">
        <v>0</v>
      </c>
      <c r="T163" s="6">
        <v>18</v>
      </c>
      <c r="U163" s="6">
        <v>73</v>
      </c>
      <c r="V163" s="6">
        <f>IF(ISERROR(VLOOKUP($S$163,'TAR FIN'!$A$1:$O$86,15,0)),0,VLOOKUP($S$163,'TAR FIN'!$A$1:$O$86,15,0))</f>
        <v>0</v>
      </c>
      <c r="W163" s="6">
        <f>IF(ISERROR(VLOOKUP($T$163,'TAR FIN'!$A$1:$O$86,15,0)),0,VLOOKUP($T$163,'TAR FIN'!$A$1:$O$86,15,0))</f>
        <v>73.19</v>
      </c>
      <c r="X163" s="6">
        <f>IF(ISERROR(VLOOKUP($U$163,'TAR FIN'!$A$1:$O$86,15,0)),0,VLOOKUP($U$163,'TAR FIN'!$A$1:$O$86,15,0))</f>
        <v>211.71</v>
      </c>
      <c r="Y163" s="6"/>
      <c r="Z163" s="6">
        <f ca="1">('TUSD BE'!$AM$12+'TUSD BF'!$AM$12+'TUSD CVA'!$AM$12)*1</f>
        <v>117.83242038312405</v>
      </c>
      <c r="AA163" s="6">
        <f>('TE BE'!$AB$6+'TE BF'!$AB$6+'TE CVA'!$AB$6)*1</f>
        <v>222.99901551132911</v>
      </c>
      <c r="AB163" s="6">
        <f>$K$163*$V$163</f>
        <v>0</v>
      </c>
      <c r="AC163" s="6">
        <f>$M$163*$W$163</f>
        <v>12619.20023</v>
      </c>
      <c r="AD163" s="6">
        <f>$O$163*$X$163</f>
        <v>36502.40307</v>
      </c>
      <c r="AE163" s="6">
        <f>$K$163*$Y$163</f>
        <v>0</v>
      </c>
      <c r="AF163" s="6">
        <f ca="1">$M$163*$Z$163</f>
        <v>20316.312425197098</v>
      </c>
      <c r="AG163" s="6">
        <f>$O$163*$AA$163</f>
        <v>38448.821257416828</v>
      </c>
    </row>
    <row r="164" spans="1:33" ht="11.25" customHeight="1" x14ac:dyDescent="0.25">
      <c r="A164" s="4" t="s">
        <v>21</v>
      </c>
      <c r="B164" s="4" t="s">
        <v>35</v>
      </c>
      <c r="C164" s="4" t="s">
        <v>39</v>
      </c>
      <c r="D164" s="4" t="s">
        <v>34</v>
      </c>
      <c r="E164" s="4" t="s">
        <v>25</v>
      </c>
      <c r="F164" s="4" t="s">
        <v>25</v>
      </c>
      <c r="G164" s="4" t="s">
        <v>25</v>
      </c>
      <c r="H164" s="4" t="s">
        <v>38</v>
      </c>
      <c r="I164" s="5">
        <v>44501</v>
      </c>
      <c r="J164" s="6">
        <v>0</v>
      </c>
      <c r="K164" s="6">
        <v>0</v>
      </c>
      <c r="L164" s="6">
        <v>3691.752</v>
      </c>
      <c r="M164" s="6">
        <v>3691.752</v>
      </c>
      <c r="N164" s="6">
        <v>3691.752</v>
      </c>
      <c r="O164" s="6">
        <v>3691.752</v>
      </c>
      <c r="P164" s="6">
        <v>0</v>
      </c>
      <c r="Q164" s="4" t="s">
        <v>26</v>
      </c>
      <c r="R164" s="4">
        <v>0</v>
      </c>
      <c r="S164" s="6">
        <v>0</v>
      </c>
      <c r="T164" s="6">
        <v>18</v>
      </c>
      <c r="U164" s="6">
        <v>73</v>
      </c>
      <c r="V164" s="6">
        <f>IF(ISERROR(VLOOKUP($S$164,'TAR FIN'!$A$1:$O$86,15,0)),0,VLOOKUP($S$164,'TAR FIN'!$A$1:$O$86,15,0))</f>
        <v>0</v>
      </c>
      <c r="W164" s="6">
        <f>IF(ISERROR(VLOOKUP($T$164,'TAR FIN'!$A$1:$O$86,15,0)),0,VLOOKUP($T$164,'TAR FIN'!$A$1:$O$86,15,0))</f>
        <v>73.19</v>
      </c>
      <c r="X164" s="6">
        <f>IF(ISERROR(VLOOKUP($U$164,'TAR FIN'!$A$1:$O$86,15,0)),0,VLOOKUP($U$164,'TAR FIN'!$A$1:$O$86,15,0))</f>
        <v>211.71</v>
      </c>
      <c r="Y164" s="6"/>
      <c r="Z164" s="6">
        <f ca="1">('TUSD BE'!$AM$12+'TUSD BF'!$AM$12+'TUSD CVA'!$AM$12)*1</f>
        <v>117.83242038312405</v>
      </c>
      <c r="AA164" s="6">
        <f>('TE BE'!$AB$6+'TE BF'!$AB$6+'TE CVA'!$AB$6)*1</f>
        <v>222.99901551132911</v>
      </c>
      <c r="AB164" s="6">
        <f>$K$164*$V$164</f>
        <v>0</v>
      </c>
      <c r="AC164" s="6">
        <f>$M$164*$W$164</f>
        <v>270199.32887999999</v>
      </c>
      <c r="AD164" s="6">
        <f>$O$164*$X$164</f>
        <v>781580.81591999996</v>
      </c>
      <c r="AE164" s="6">
        <f>$K$164*$Y$164</f>
        <v>0</v>
      </c>
      <c r="AF164" s="6">
        <f ca="1">$M$164*$Z$164</f>
        <v>435008.07361423894</v>
      </c>
      <c r="AG164" s="6">
        <f>$O$164*$AA$164</f>
        <v>823257.06151198025</v>
      </c>
    </row>
    <row r="165" spans="1:33" ht="11.25" customHeight="1" x14ac:dyDescent="0.25">
      <c r="A165" s="4" t="s">
        <v>28</v>
      </c>
      <c r="B165" s="4" t="s">
        <v>35</v>
      </c>
      <c r="C165" s="4" t="s">
        <v>39</v>
      </c>
      <c r="D165" s="4" t="s">
        <v>34</v>
      </c>
      <c r="E165" s="4" t="s">
        <v>25</v>
      </c>
      <c r="F165" s="4" t="s">
        <v>25</v>
      </c>
      <c r="G165" s="4" t="s">
        <v>25</v>
      </c>
      <c r="H165" s="4" t="s">
        <v>38</v>
      </c>
      <c r="I165" s="5">
        <v>44501</v>
      </c>
      <c r="J165" s="6">
        <v>0</v>
      </c>
      <c r="K165" s="6">
        <v>0</v>
      </c>
      <c r="L165" s="6">
        <v>222.749</v>
      </c>
      <c r="M165" s="6">
        <v>222.749</v>
      </c>
      <c r="N165" s="6">
        <v>222.749</v>
      </c>
      <c r="O165" s="6">
        <v>222.749</v>
      </c>
      <c r="P165" s="6">
        <v>0</v>
      </c>
      <c r="Q165" s="4" t="s">
        <v>26</v>
      </c>
      <c r="R165" s="4">
        <v>0</v>
      </c>
      <c r="S165" s="6">
        <v>0</v>
      </c>
      <c r="T165" s="6">
        <v>18</v>
      </c>
      <c r="U165" s="6">
        <v>73</v>
      </c>
      <c r="V165" s="6">
        <f>IF(ISERROR(VLOOKUP($S$165,'TAR FIN'!$A$1:$O$86,15,0)),0,VLOOKUP($S$165,'TAR FIN'!$A$1:$O$86,15,0))</f>
        <v>0</v>
      </c>
      <c r="W165" s="6">
        <f>IF(ISERROR(VLOOKUP($T$165,'TAR FIN'!$A$1:$O$86,15,0)),0,VLOOKUP($T$165,'TAR FIN'!$A$1:$O$86,15,0))</f>
        <v>73.19</v>
      </c>
      <c r="X165" s="6">
        <f>IF(ISERROR(VLOOKUP($U$165,'TAR FIN'!$A$1:$O$86,15,0)),0,VLOOKUP($U$165,'TAR FIN'!$A$1:$O$86,15,0))</f>
        <v>211.71</v>
      </c>
      <c r="Y165" s="6"/>
      <c r="Z165" s="6">
        <f ca="1">('TUSD BE'!$AM$12+'TUSD BF'!$AM$12+'TUSD CVA'!$AM$12)*1</f>
        <v>117.83242038312405</v>
      </c>
      <c r="AA165" s="6">
        <f>('TE BE'!$AB$6+'TE BF'!$AB$6+'TE CVA'!$AB$6)*1</f>
        <v>222.99901551132911</v>
      </c>
      <c r="AB165" s="6">
        <f>$K$165*$V$165</f>
        <v>0</v>
      </c>
      <c r="AC165" s="6">
        <f>$M$165*$W$165</f>
        <v>16302.999309999999</v>
      </c>
      <c r="AD165" s="6">
        <f>$O$165*$X$165</f>
        <v>47158.190790000001</v>
      </c>
      <c r="AE165" s="6">
        <f>$K$165*$Y$165</f>
        <v>0</v>
      </c>
      <c r="AF165" s="6">
        <f ca="1">$M$165*$Z$165</f>
        <v>26247.053807920496</v>
      </c>
      <c r="AG165" s="6">
        <f>$O$165*$AA$165</f>
        <v>49672.807706133048</v>
      </c>
    </row>
    <row r="166" spans="1:33" ht="11.25" customHeight="1" x14ac:dyDescent="0.25">
      <c r="A166" s="4" t="s">
        <v>21</v>
      </c>
      <c r="B166" s="4" t="s">
        <v>35</v>
      </c>
      <c r="C166" s="4" t="s">
        <v>39</v>
      </c>
      <c r="D166" s="4" t="s">
        <v>34</v>
      </c>
      <c r="E166" s="4" t="s">
        <v>25</v>
      </c>
      <c r="F166" s="4" t="s">
        <v>25</v>
      </c>
      <c r="G166" s="4" t="s">
        <v>25</v>
      </c>
      <c r="H166" s="4" t="s">
        <v>38</v>
      </c>
      <c r="I166" s="5">
        <v>44531</v>
      </c>
      <c r="J166" s="6">
        <v>0</v>
      </c>
      <c r="K166" s="6">
        <v>0</v>
      </c>
      <c r="L166" s="6">
        <v>3388.7339999999999</v>
      </c>
      <c r="M166" s="6">
        <v>3388.7339999999999</v>
      </c>
      <c r="N166" s="6">
        <v>3388.7339999999999</v>
      </c>
      <c r="O166" s="6">
        <v>3388.7339999999999</v>
      </c>
      <c r="P166" s="6">
        <v>0</v>
      </c>
      <c r="Q166" s="4" t="s">
        <v>26</v>
      </c>
      <c r="R166" s="4">
        <v>0</v>
      </c>
      <c r="S166" s="6">
        <v>0</v>
      </c>
      <c r="T166" s="6">
        <v>18</v>
      </c>
      <c r="U166" s="6">
        <v>73</v>
      </c>
      <c r="V166" s="6">
        <f>IF(ISERROR(VLOOKUP($S$166,'TAR FIN'!$A$1:$O$86,15,0)),0,VLOOKUP($S$166,'TAR FIN'!$A$1:$O$86,15,0))</f>
        <v>0</v>
      </c>
      <c r="W166" s="6">
        <f>IF(ISERROR(VLOOKUP($T$166,'TAR FIN'!$A$1:$O$86,15,0)),0,VLOOKUP($T$166,'TAR FIN'!$A$1:$O$86,15,0))</f>
        <v>73.19</v>
      </c>
      <c r="X166" s="6">
        <f>IF(ISERROR(VLOOKUP($U$166,'TAR FIN'!$A$1:$O$86,15,0)),0,VLOOKUP($U$166,'TAR FIN'!$A$1:$O$86,15,0))</f>
        <v>211.71</v>
      </c>
      <c r="Y166" s="6"/>
      <c r="Z166" s="6">
        <f ca="1">('TUSD BE'!$AM$12+'TUSD BF'!$AM$12+'TUSD CVA'!$AM$12)*1</f>
        <v>117.83242038312405</v>
      </c>
      <c r="AA166" s="6">
        <f>('TE BE'!$AB$6+'TE BF'!$AB$6+'TE CVA'!$AB$6)*1</f>
        <v>222.99901551132911</v>
      </c>
      <c r="AB166" s="6">
        <f>$K$166*$V$166</f>
        <v>0</v>
      </c>
      <c r="AC166" s="6">
        <f>$M$166*$W$166</f>
        <v>248021.44145999997</v>
      </c>
      <c r="AD166" s="6">
        <f>$O$166*$X$166</f>
        <v>717428.87514000002</v>
      </c>
      <c r="AE166" s="6">
        <f>$K$166*$Y$166</f>
        <v>0</v>
      </c>
      <c r="AF166" s="6">
        <f ca="1">$M$166*$Z$166</f>
        <v>399302.72925458546</v>
      </c>
      <c r="AG166" s="6">
        <f>$O$166*$AA$166</f>
        <v>755684.34582976834</v>
      </c>
    </row>
    <row r="167" spans="1:33" ht="11.25" customHeight="1" x14ac:dyDescent="0.25">
      <c r="A167" s="4" t="s">
        <v>28</v>
      </c>
      <c r="B167" s="4" t="s">
        <v>35</v>
      </c>
      <c r="C167" s="4" t="s">
        <v>39</v>
      </c>
      <c r="D167" s="4" t="s">
        <v>34</v>
      </c>
      <c r="E167" s="4" t="s">
        <v>25</v>
      </c>
      <c r="F167" s="4" t="s">
        <v>25</v>
      </c>
      <c r="G167" s="4" t="s">
        <v>25</v>
      </c>
      <c r="H167" s="4" t="s">
        <v>38</v>
      </c>
      <c r="I167" s="5">
        <v>44531</v>
      </c>
      <c r="J167" s="6">
        <v>0</v>
      </c>
      <c r="K167" s="6">
        <v>0</v>
      </c>
      <c r="L167" s="6">
        <v>194.05600000000001</v>
      </c>
      <c r="M167" s="6">
        <v>194.05600000000001</v>
      </c>
      <c r="N167" s="6">
        <v>194.05600000000001</v>
      </c>
      <c r="O167" s="6">
        <v>194.05600000000001</v>
      </c>
      <c r="P167" s="6">
        <v>0</v>
      </c>
      <c r="Q167" s="4" t="s">
        <v>26</v>
      </c>
      <c r="R167" s="4">
        <v>0</v>
      </c>
      <c r="S167" s="6">
        <v>0</v>
      </c>
      <c r="T167" s="6">
        <v>18</v>
      </c>
      <c r="U167" s="6">
        <v>73</v>
      </c>
      <c r="V167" s="6">
        <f>IF(ISERROR(VLOOKUP($S$167,'TAR FIN'!$A$1:$O$86,15,0)),0,VLOOKUP($S$167,'TAR FIN'!$A$1:$O$86,15,0))</f>
        <v>0</v>
      </c>
      <c r="W167" s="6">
        <f>IF(ISERROR(VLOOKUP($T$167,'TAR FIN'!$A$1:$O$86,15,0)),0,VLOOKUP($T$167,'TAR FIN'!$A$1:$O$86,15,0))</f>
        <v>73.19</v>
      </c>
      <c r="X167" s="6">
        <f>IF(ISERROR(VLOOKUP($U$167,'TAR FIN'!$A$1:$O$86,15,0)),0,VLOOKUP($U$167,'TAR FIN'!$A$1:$O$86,15,0))</f>
        <v>211.71</v>
      </c>
      <c r="Y167" s="6"/>
      <c r="Z167" s="6">
        <f ca="1">('TUSD BE'!$AM$12+'TUSD BF'!$AM$12+'TUSD CVA'!$AM$12)*1</f>
        <v>117.83242038312405</v>
      </c>
      <c r="AA167" s="6">
        <f>('TE BE'!$AB$6+'TE BF'!$AB$6+'TE CVA'!$AB$6)*1</f>
        <v>222.99901551132911</v>
      </c>
      <c r="AB167" s="6">
        <f>$K$167*$V$167</f>
        <v>0</v>
      </c>
      <c r="AC167" s="6">
        <f>$M$167*$W$167</f>
        <v>14202.958640000001</v>
      </c>
      <c r="AD167" s="6">
        <f>$O$167*$X$167</f>
        <v>41083.595760000004</v>
      </c>
      <c r="AE167" s="6">
        <f>$K$167*$Y$167</f>
        <v>0</v>
      </c>
      <c r="AF167" s="6">
        <f ca="1">$M$167*$Z$167</f>
        <v>22866.088169867522</v>
      </c>
      <c r="AG167" s="6">
        <f>$O$167*$AA$167</f>
        <v>43274.296954066485</v>
      </c>
    </row>
    <row r="168" spans="1:33" ht="11.25" customHeight="1" x14ac:dyDescent="0.25">
      <c r="A168" s="4" t="s">
        <v>21</v>
      </c>
      <c r="B168" s="4" t="s">
        <v>35</v>
      </c>
      <c r="C168" s="4" t="s">
        <v>39</v>
      </c>
      <c r="D168" s="4" t="s">
        <v>34</v>
      </c>
      <c r="E168" s="4" t="s">
        <v>25</v>
      </c>
      <c r="F168" s="4" t="s">
        <v>25</v>
      </c>
      <c r="G168" s="4" t="s">
        <v>25</v>
      </c>
      <c r="H168" s="4" t="s">
        <v>38</v>
      </c>
      <c r="I168" s="5">
        <v>44562</v>
      </c>
      <c r="J168" s="6">
        <v>0</v>
      </c>
      <c r="K168" s="6">
        <v>0</v>
      </c>
      <c r="L168" s="6">
        <v>3577.1190000000001</v>
      </c>
      <c r="M168" s="6">
        <v>3577.1190000000001</v>
      </c>
      <c r="N168" s="6">
        <v>3577.1190000000001</v>
      </c>
      <c r="O168" s="6">
        <v>3577.1190000000001</v>
      </c>
      <c r="P168" s="6">
        <v>0</v>
      </c>
      <c r="Q168" s="4" t="s">
        <v>26</v>
      </c>
      <c r="R168" s="4">
        <v>0</v>
      </c>
      <c r="S168" s="6">
        <v>0</v>
      </c>
      <c r="T168" s="6">
        <v>18</v>
      </c>
      <c r="U168" s="6">
        <v>73</v>
      </c>
      <c r="V168" s="6">
        <f>IF(ISERROR(VLOOKUP($S$168,'TAR FIN'!$A$1:$O$86,15,0)),0,VLOOKUP($S$168,'TAR FIN'!$A$1:$O$86,15,0))</f>
        <v>0</v>
      </c>
      <c r="W168" s="6">
        <f>IF(ISERROR(VLOOKUP($T$168,'TAR FIN'!$A$1:$O$86,15,0)),0,VLOOKUP($T$168,'TAR FIN'!$A$1:$O$86,15,0))</f>
        <v>73.19</v>
      </c>
      <c r="X168" s="6">
        <f>IF(ISERROR(VLOOKUP($U$168,'TAR FIN'!$A$1:$O$86,15,0)),0,VLOOKUP($U$168,'TAR FIN'!$A$1:$O$86,15,0))</f>
        <v>211.71</v>
      </c>
      <c r="Y168" s="6"/>
      <c r="Z168" s="6">
        <f ca="1">('TUSD BE'!$AM$12+'TUSD BF'!$AM$12+'TUSD CVA'!$AM$12)*1</f>
        <v>117.83242038312405</v>
      </c>
      <c r="AA168" s="6">
        <f>('TE BE'!$AB$6+'TE BF'!$AB$6+'TE CVA'!$AB$6)*1</f>
        <v>222.99901551132911</v>
      </c>
      <c r="AB168" s="6">
        <f>$K$168*$V$168</f>
        <v>0</v>
      </c>
      <c r="AC168" s="6">
        <f>$M$168*$W$168</f>
        <v>261809.33961</v>
      </c>
      <c r="AD168" s="6">
        <f>$O$168*$X$168</f>
        <v>757311.86349000002</v>
      </c>
      <c r="AE168" s="6">
        <f>$K$168*$Y$168</f>
        <v>0</v>
      </c>
      <c r="AF168" s="6">
        <f ca="1">$M$168*$Z$168</f>
        <v>421500.58976846031</v>
      </c>
      <c r="AG168" s="6">
        <f>$O$168*$AA$168</f>
        <v>797694.0153668701</v>
      </c>
    </row>
    <row r="169" spans="1:33" ht="11.25" customHeight="1" x14ac:dyDescent="0.25">
      <c r="A169" s="4" t="s">
        <v>28</v>
      </c>
      <c r="B169" s="4" t="s">
        <v>35</v>
      </c>
      <c r="C169" s="4" t="s">
        <v>39</v>
      </c>
      <c r="D169" s="4" t="s">
        <v>34</v>
      </c>
      <c r="E169" s="4" t="s">
        <v>25</v>
      </c>
      <c r="F169" s="4" t="s">
        <v>25</v>
      </c>
      <c r="G169" s="4" t="s">
        <v>25</v>
      </c>
      <c r="H169" s="4" t="s">
        <v>38</v>
      </c>
      <c r="I169" s="5">
        <v>44562</v>
      </c>
      <c r="J169" s="6">
        <v>0</v>
      </c>
      <c r="K169" s="6">
        <v>0</v>
      </c>
      <c r="L169" s="6">
        <v>143.52600000000001</v>
      </c>
      <c r="M169" s="6">
        <v>143.52600000000001</v>
      </c>
      <c r="N169" s="6">
        <v>143.52600000000001</v>
      </c>
      <c r="O169" s="6">
        <v>143.52600000000001</v>
      </c>
      <c r="P169" s="6">
        <v>0</v>
      </c>
      <c r="Q169" s="4" t="s">
        <v>26</v>
      </c>
      <c r="R169" s="4">
        <v>0</v>
      </c>
      <c r="S169" s="6">
        <v>0</v>
      </c>
      <c r="T169" s="6">
        <v>18</v>
      </c>
      <c r="U169" s="6">
        <v>73</v>
      </c>
      <c r="V169" s="6">
        <f>IF(ISERROR(VLOOKUP($S$169,'TAR FIN'!$A$1:$O$86,15,0)),0,VLOOKUP($S$169,'TAR FIN'!$A$1:$O$86,15,0))</f>
        <v>0</v>
      </c>
      <c r="W169" s="6">
        <f>IF(ISERROR(VLOOKUP($T$169,'TAR FIN'!$A$1:$O$86,15,0)),0,VLOOKUP($T$169,'TAR FIN'!$A$1:$O$86,15,0))</f>
        <v>73.19</v>
      </c>
      <c r="X169" s="6">
        <f>IF(ISERROR(VLOOKUP($U$169,'TAR FIN'!$A$1:$O$86,15,0)),0,VLOOKUP($U$169,'TAR FIN'!$A$1:$O$86,15,0))</f>
        <v>211.71</v>
      </c>
      <c r="Y169" s="6"/>
      <c r="Z169" s="6">
        <f ca="1">('TUSD BE'!$AM$12+'TUSD BF'!$AM$12+'TUSD CVA'!$AM$12)*1</f>
        <v>117.83242038312405</v>
      </c>
      <c r="AA169" s="6">
        <f>('TE BE'!$AB$6+'TE BF'!$AB$6+'TE CVA'!$AB$6)*1</f>
        <v>222.99901551132911</v>
      </c>
      <c r="AB169" s="6">
        <f>$K$169*$V$169</f>
        <v>0</v>
      </c>
      <c r="AC169" s="6">
        <f>$M$169*$W$169</f>
        <v>10504.667940000001</v>
      </c>
      <c r="AD169" s="6">
        <f>$O$169*$X$169</f>
        <v>30385.889460000002</v>
      </c>
      <c r="AE169" s="6">
        <f>$K$169*$Y$169</f>
        <v>0</v>
      </c>
      <c r="AF169" s="6">
        <f ca="1">$M$169*$Z$169</f>
        <v>16912.015967908264</v>
      </c>
      <c r="AG169" s="6">
        <f>$O$169*$AA$169</f>
        <v>32006.156700279025</v>
      </c>
    </row>
    <row r="170" spans="1:33" ht="11.25" customHeight="1" x14ac:dyDescent="0.25">
      <c r="A170" s="4" t="s">
        <v>21</v>
      </c>
      <c r="B170" s="4" t="s">
        <v>35</v>
      </c>
      <c r="C170" s="4" t="s">
        <v>39</v>
      </c>
      <c r="D170" s="4" t="s">
        <v>34</v>
      </c>
      <c r="E170" s="4" t="s">
        <v>25</v>
      </c>
      <c r="F170" s="4" t="s">
        <v>25</v>
      </c>
      <c r="G170" s="4" t="s">
        <v>25</v>
      </c>
      <c r="H170" s="4" t="s">
        <v>38</v>
      </c>
      <c r="I170" s="5">
        <v>44593</v>
      </c>
      <c r="J170" s="6">
        <v>0</v>
      </c>
      <c r="K170" s="6">
        <v>0</v>
      </c>
      <c r="L170" s="6">
        <v>3515.7339999999999</v>
      </c>
      <c r="M170" s="6">
        <v>3515.7339999999999</v>
      </c>
      <c r="N170" s="6">
        <v>3515.7339999999999</v>
      </c>
      <c r="O170" s="6">
        <v>3515.7339999999999</v>
      </c>
      <c r="P170" s="6">
        <v>0</v>
      </c>
      <c r="Q170" s="4" t="s">
        <v>26</v>
      </c>
      <c r="R170" s="4">
        <v>0</v>
      </c>
      <c r="S170" s="6">
        <v>0</v>
      </c>
      <c r="T170" s="6">
        <v>18</v>
      </c>
      <c r="U170" s="6">
        <v>73</v>
      </c>
      <c r="V170" s="6">
        <f>IF(ISERROR(VLOOKUP($S$170,'TAR FIN'!$A$1:$O$86,15,0)),0,VLOOKUP($S$170,'TAR FIN'!$A$1:$O$86,15,0))</f>
        <v>0</v>
      </c>
      <c r="W170" s="6">
        <f>IF(ISERROR(VLOOKUP($T$170,'TAR FIN'!$A$1:$O$86,15,0)),0,VLOOKUP($T$170,'TAR FIN'!$A$1:$O$86,15,0))</f>
        <v>73.19</v>
      </c>
      <c r="X170" s="6">
        <f>IF(ISERROR(VLOOKUP($U$170,'TAR FIN'!$A$1:$O$86,15,0)),0,VLOOKUP($U$170,'TAR FIN'!$A$1:$O$86,15,0))</f>
        <v>211.71</v>
      </c>
      <c r="Y170" s="6"/>
      <c r="Z170" s="6">
        <f ca="1">('TUSD BE'!$AM$12+'TUSD BF'!$AM$12+'TUSD CVA'!$AM$12)*1</f>
        <v>117.83242038312405</v>
      </c>
      <c r="AA170" s="6">
        <f>('TE BE'!$AB$6+'TE BF'!$AB$6+'TE CVA'!$AB$6)*1</f>
        <v>222.99901551132911</v>
      </c>
      <c r="AB170" s="6">
        <f>$K$170*$V$170</f>
        <v>0</v>
      </c>
      <c r="AC170" s="6">
        <f>$M$170*$W$170</f>
        <v>257316.57145999998</v>
      </c>
      <c r="AD170" s="6">
        <f>$O$170*$X$170</f>
        <v>744316.04514000006</v>
      </c>
      <c r="AE170" s="6">
        <f>$K$170*$Y$170</f>
        <v>0</v>
      </c>
      <c r="AF170" s="6">
        <f ca="1">$M$170*$Z$170</f>
        <v>414267.44664324221</v>
      </c>
      <c r="AG170" s="6">
        <f>$O$170*$AA$170</f>
        <v>784005.22079970711</v>
      </c>
    </row>
    <row r="171" spans="1:33" ht="11.25" customHeight="1" x14ac:dyDescent="0.25">
      <c r="A171" s="4" t="s">
        <v>28</v>
      </c>
      <c r="B171" s="4" t="s">
        <v>35</v>
      </c>
      <c r="C171" s="4" t="s">
        <v>39</v>
      </c>
      <c r="D171" s="4" t="s">
        <v>34</v>
      </c>
      <c r="E171" s="4" t="s">
        <v>25</v>
      </c>
      <c r="F171" s="4" t="s">
        <v>25</v>
      </c>
      <c r="G171" s="4" t="s">
        <v>25</v>
      </c>
      <c r="H171" s="4" t="s">
        <v>38</v>
      </c>
      <c r="I171" s="5">
        <v>44593</v>
      </c>
      <c r="J171" s="6">
        <v>0</v>
      </c>
      <c r="K171" s="6">
        <v>0</v>
      </c>
      <c r="L171" s="6">
        <v>145.63300000000001</v>
      </c>
      <c r="M171" s="6">
        <v>145.63300000000001</v>
      </c>
      <c r="N171" s="6">
        <v>145.63300000000001</v>
      </c>
      <c r="O171" s="6">
        <v>145.63300000000001</v>
      </c>
      <c r="P171" s="6">
        <v>0</v>
      </c>
      <c r="Q171" s="4" t="s">
        <v>26</v>
      </c>
      <c r="R171" s="4">
        <v>0</v>
      </c>
      <c r="S171" s="6">
        <v>0</v>
      </c>
      <c r="T171" s="6">
        <v>18</v>
      </c>
      <c r="U171" s="6">
        <v>73</v>
      </c>
      <c r="V171" s="6">
        <f>IF(ISERROR(VLOOKUP($S$171,'TAR FIN'!$A$1:$O$86,15,0)),0,VLOOKUP($S$171,'TAR FIN'!$A$1:$O$86,15,0))</f>
        <v>0</v>
      </c>
      <c r="W171" s="6">
        <f>IF(ISERROR(VLOOKUP($T$171,'TAR FIN'!$A$1:$O$86,15,0)),0,VLOOKUP($T$171,'TAR FIN'!$A$1:$O$86,15,0))</f>
        <v>73.19</v>
      </c>
      <c r="X171" s="6">
        <f>IF(ISERROR(VLOOKUP($U$171,'TAR FIN'!$A$1:$O$86,15,0)),0,VLOOKUP($U$171,'TAR FIN'!$A$1:$O$86,15,0))</f>
        <v>211.71</v>
      </c>
      <c r="Y171" s="6"/>
      <c r="Z171" s="6">
        <f ca="1">('TUSD BE'!$AM$12+'TUSD BF'!$AM$12+'TUSD CVA'!$AM$12)*1</f>
        <v>117.83242038312405</v>
      </c>
      <c r="AA171" s="6">
        <f>('TE BE'!$AB$6+'TE BF'!$AB$6+'TE CVA'!$AB$6)*1</f>
        <v>222.99901551132911</v>
      </c>
      <c r="AB171" s="6">
        <f>$K$171*$V$171</f>
        <v>0</v>
      </c>
      <c r="AC171" s="6">
        <f>$M$171*$W$171</f>
        <v>10658.879270000001</v>
      </c>
      <c r="AD171" s="6">
        <f>$O$171*$X$171</f>
        <v>30831.962430000003</v>
      </c>
      <c r="AE171" s="6">
        <f>$K$171*$Y$171</f>
        <v>0</v>
      </c>
      <c r="AF171" s="6">
        <f ca="1">$M$171*$Z$171</f>
        <v>17160.288877655505</v>
      </c>
      <c r="AG171" s="6">
        <f>$O$171*$AA$171</f>
        <v>32476.015625961394</v>
      </c>
    </row>
    <row r="172" spans="1:33" ht="11.25" customHeight="1" x14ac:dyDescent="0.25">
      <c r="A172" s="4" t="s">
        <v>21</v>
      </c>
      <c r="B172" s="4" t="s">
        <v>35</v>
      </c>
      <c r="C172" s="4" t="s">
        <v>39</v>
      </c>
      <c r="D172" s="4" t="s">
        <v>34</v>
      </c>
      <c r="E172" s="4" t="s">
        <v>25</v>
      </c>
      <c r="F172" s="4" t="s">
        <v>25</v>
      </c>
      <c r="G172" s="4" t="s">
        <v>25</v>
      </c>
      <c r="H172" s="4" t="s">
        <v>38</v>
      </c>
      <c r="I172" s="5">
        <v>44621</v>
      </c>
      <c r="J172" s="6">
        <v>0</v>
      </c>
      <c r="K172" s="6">
        <v>0</v>
      </c>
      <c r="L172" s="6">
        <v>3937.855</v>
      </c>
      <c r="M172" s="6">
        <v>3937.855</v>
      </c>
      <c r="N172" s="6">
        <v>3937.855</v>
      </c>
      <c r="O172" s="6">
        <v>3937.855</v>
      </c>
      <c r="P172" s="6">
        <v>0</v>
      </c>
      <c r="Q172" s="4" t="s">
        <v>26</v>
      </c>
      <c r="R172" s="4">
        <v>0</v>
      </c>
      <c r="S172" s="6">
        <v>0</v>
      </c>
      <c r="T172" s="6">
        <v>18</v>
      </c>
      <c r="U172" s="6">
        <v>73</v>
      </c>
      <c r="V172" s="6">
        <f>IF(ISERROR(VLOOKUP($S$172,'TAR FIN'!$A$1:$O$86,15,0)),0,VLOOKUP($S$172,'TAR FIN'!$A$1:$O$86,15,0))</f>
        <v>0</v>
      </c>
      <c r="W172" s="6">
        <f>IF(ISERROR(VLOOKUP($T$172,'TAR FIN'!$A$1:$O$86,15,0)),0,VLOOKUP($T$172,'TAR FIN'!$A$1:$O$86,15,0))</f>
        <v>73.19</v>
      </c>
      <c r="X172" s="6">
        <f>IF(ISERROR(VLOOKUP($U$172,'TAR FIN'!$A$1:$O$86,15,0)),0,VLOOKUP($U$172,'TAR FIN'!$A$1:$O$86,15,0))</f>
        <v>211.71</v>
      </c>
      <c r="Y172" s="6"/>
      <c r="Z172" s="6">
        <f ca="1">('TUSD BE'!$AM$12+'TUSD BF'!$AM$12+'TUSD CVA'!$AM$12)*1</f>
        <v>117.83242038312405</v>
      </c>
      <c r="AA172" s="6">
        <f>('TE BE'!$AB$6+'TE BF'!$AB$6+'TE CVA'!$AB$6)*1</f>
        <v>222.99901551132911</v>
      </c>
      <c r="AB172" s="6">
        <f>$K$172*$V$172</f>
        <v>0</v>
      </c>
      <c r="AC172" s="6">
        <f>$M$172*$W$172</f>
        <v>288211.60745000001</v>
      </c>
      <c r="AD172" s="6">
        <f>$O$172*$X$172</f>
        <v>833683.28205000004</v>
      </c>
      <c r="AE172" s="6">
        <f>$K$172*$Y$172</f>
        <v>0</v>
      </c>
      <c r="AF172" s="6">
        <f ca="1">$M$172*$Z$172</f>
        <v>464006.98576778691</v>
      </c>
      <c r="AG172" s="6">
        <f>$O$172*$AA$172</f>
        <v>878137.78822636488</v>
      </c>
    </row>
    <row r="173" spans="1:33" ht="11.25" customHeight="1" x14ac:dyDescent="0.25">
      <c r="A173" s="4" t="s">
        <v>28</v>
      </c>
      <c r="B173" s="4" t="s">
        <v>35</v>
      </c>
      <c r="C173" s="4" t="s">
        <v>39</v>
      </c>
      <c r="D173" s="4" t="s">
        <v>34</v>
      </c>
      <c r="E173" s="4" t="s">
        <v>25</v>
      </c>
      <c r="F173" s="4" t="s">
        <v>25</v>
      </c>
      <c r="G173" s="4" t="s">
        <v>25</v>
      </c>
      <c r="H173" s="4" t="s">
        <v>38</v>
      </c>
      <c r="I173" s="5">
        <v>44621</v>
      </c>
      <c r="J173" s="6">
        <v>0</v>
      </c>
      <c r="K173" s="6">
        <v>0</v>
      </c>
      <c r="L173" s="6">
        <v>177.273</v>
      </c>
      <c r="M173" s="6">
        <v>177.273</v>
      </c>
      <c r="N173" s="6">
        <v>177.273</v>
      </c>
      <c r="O173" s="6">
        <v>177.273</v>
      </c>
      <c r="P173" s="6">
        <v>0</v>
      </c>
      <c r="Q173" s="4" t="s">
        <v>26</v>
      </c>
      <c r="R173" s="4">
        <v>0</v>
      </c>
      <c r="S173" s="6">
        <v>0</v>
      </c>
      <c r="T173" s="6">
        <v>18</v>
      </c>
      <c r="U173" s="6">
        <v>73</v>
      </c>
      <c r="V173" s="6">
        <f>IF(ISERROR(VLOOKUP($S$173,'TAR FIN'!$A$1:$O$86,15,0)),0,VLOOKUP($S$173,'TAR FIN'!$A$1:$O$86,15,0))</f>
        <v>0</v>
      </c>
      <c r="W173" s="6">
        <f>IF(ISERROR(VLOOKUP($T$173,'TAR FIN'!$A$1:$O$86,15,0)),0,VLOOKUP($T$173,'TAR FIN'!$A$1:$O$86,15,0))</f>
        <v>73.19</v>
      </c>
      <c r="X173" s="6">
        <f>IF(ISERROR(VLOOKUP($U$173,'TAR FIN'!$A$1:$O$86,15,0)),0,VLOOKUP($U$173,'TAR FIN'!$A$1:$O$86,15,0))</f>
        <v>211.71</v>
      </c>
      <c r="Y173" s="6"/>
      <c r="Z173" s="6">
        <f ca="1">('TUSD BE'!$AM$12+'TUSD BF'!$AM$12+'TUSD CVA'!$AM$12)*1</f>
        <v>117.83242038312405</v>
      </c>
      <c r="AA173" s="6">
        <f>('TE BE'!$AB$6+'TE BF'!$AB$6+'TE CVA'!$AB$6)*1</f>
        <v>222.99901551132911</v>
      </c>
      <c r="AB173" s="6">
        <f>$K$173*$V$173</f>
        <v>0</v>
      </c>
      <c r="AC173" s="6">
        <f>$M$173*$W$173</f>
        <v>12974.610869999999</v>
      </c>
      <c r="AD173" s="6">
        <f>$O$173*$X$173</f>
        <v>37530.466829999998</v>
      </c>
      <c r="AE173" s="6">
        <f>$K$173*$Y$173</f>
        <v>0</v>
      </c>
      <c r="AF173" s="6">
        <f ca="1">$M$173*$Z$173</f>
        <v>20888.506658577549</v>
      </c>
      <c r="AG173" s="6">
        <f>$O$173*$AA$173</f>
        <v>39531.70447673984</v>
      </c>
    </row>
    <row r="174" spans="1:33" ht="11.25" customHeight="1" x14ac:dyDescent="0.25">
      <c r="A174" s="4" t="s">
        <v>21</v>
      </c>
      <c r="B174" s="4" t="s">
        <v>35</v>
      </c>
      <c r="C174" s="4" t="s">
        <v>39</v>
      </c>
      <c r="D174" s="4" t="s">
        <v>34</v>
      </c>
      <c r="E174" s="4" t="s">
        <v>25</v>
      </c>
      <c r="F174" s="4" t="s">
        <v>25</v>
      </c>
      <c r="G174" s="4" t="s">
        <v>25</v>
      </c>
      <c r="H174" s="4" t="s">
        <v>38</v>
      </c>
      <c r="I174" s="5">
        <v>44652</v>
      </c>
      <c r="J174" s="6">
        <v>0</v>
      </c>
      <c r="K174" s="6">
        <v>0</v>
      </c>
      <c r="L174" s="6">
        <v>3543.9470000000001</v>
      </c>
      <c r="M174" s="6">
        <v>3543.9470000000001</v>
      </c>
      <c r="N174" s="6">
        <v>3543.9470000000001</v>
      </c>
      <c r="O174" s="6">
        <v>3543.9470000000001</v>
      </c>
      <c r="P174" s="6">
        <v>0</v>
      </c>
      <c r="Q174" s="4" t="s">
        <v>26</v>
      </c>
      <c r="R174" s="4">
        <v>0</v>
      </c>
      <c r="S174" s="6">
        <v>0</v>
      </c>
      <c r="T174" s="6">
        <v>18</v>
      </c>
      <c r="U174" s="6">
        <v>73</v>
      </c>
      <c r="V174" s="6">
        <f>IF(ISERROR(VLOOKUP($S$174,'TAR FIN'!$A$1:$O$86,15,0)),0,VLOOKUP($S$174,'TAR FIN'!$A$1:$O$86,15,0))</f>
        <v>0</v>
      </c>
      <c r="W174" s="6">
        <f>IF(ISERROR(VLOOKUP($T$174,'TAR FIN'!$A$1:$O$86,15,0)),0,VLOOKUP($T$174,'TAR FIN'!$A$1:$O$86,15,0))</f>
        <v>73.19</v>
      </c>
      <c r="X174" s="6">
        <f>IF(ISERROR(VLOOKUP($U$174,'TAR FIN'!$A$1:$O$86,15,0)),0,VLOOKUP($U$174,'TAR FIN'!$A$1:$O$86,15,0))</f>
        <v>211.71</v>
      </c>
      <c r="Y174" s="6"/>
      <c r="Z174" s="6">
        <f ca="1">('TUSD BE'!$AM$12+'TUSD BF'!$AM$12+'TUSD CVA'!$AM$12)*1</f>
        <v>117.83242038312405</v>
      </c>
      <c r="AA174" s="6">
        <f>('TE BE'!$AB$6+'TE BF'!$AB$6+'TE CVA'!$AB$6)*1</f>
        <v>222.99901551132911</v>
      </c>
      <c r="AB174" s="6">
        <f>$K$174*$V$174</f>
        <v>0</v>
      </c>
      <c r="AC174" s="6">
        <f>$M$174*$W$174</f>
        <v>259381.48092999999</v>
      </c>
      <c r="AD174" s="6">
        <f>$O$174*$X$174</f>
        <v>750289.01937000011</v>
      </c>
      <c r="AE174" s="6">
        <f>$K$174*$Y$174</f>
        <v>0</v>
      </c>
      <c r="AF174" s="6">
        <f ca="1">$M$174*$Z$174</f>
        <v>417591.85271951131</v>
      </c>
      <c r="AG174" s="6">
        <f>$O$174*$AA$174</f>
        <v>790296.69202432828</v>
      </c>
    </row>
    <row r="175" spans="1:33" ht="11.25" customHeight="1" x14ac:dyDescent="0.25">
      <c r="A175" s="4" t="s">
        <v>28</v>
      </c>
      <c r="B175" s="4" t="s">
        <v>35</v>
      </c>
      <c r="C175" s="4" t="s">
        <v>39</v>
      </c>
      <c r="D175" s="4" t="s">
        <v>34</v>
      </c>
      <c r="E175" s="4" t="s">
        <v>25</v>
      </c>
      <c r="F175" s="4" t="s">
        <v>25</v>
      </c>
      <c r="G175" s="4" t="s">
        <v>25</v>
      </c>
      <c r="H175" s="4" t="s">
        <v>38</v>
      </c>
      <c r="I175" s="5">
        <v>44652</v>
      </c>
      <c r="J175" s="6">
        <v>0</v>
      </c>
      <c r="K175" s="6">
        <v>0</v>
      </c>
      <c r="L175" s="6">
        <v>175.01900000000001</v>
      </c>
      <c r="M175" s="6">
        <v>175.01900000000001</v>
      </c>
      <c r="N175" s="6">
        <v>175.01900000000001</v>
      </c>
      <c r="O175" s="6">
        <v>175.01900000000001</v>
      </c>
      <c r="P175" s="6">
        <v>0</v>
      </c>
      <c r="Q175" s="4" t="s">
        <v>26</v>
      </c>
      <c r="R175" s="4">
        <v>0</v>
      </c>
      <c r="S175" s="6">
        <v>0</v>
      </c>
      <c r="T175" s="6">
        <v>18</v>
      </c>
      <c r="U175" s="6">
        <v>73</v>
      </c>
      <c r="V175" s="6">
        <f>IF(ISERROR(VLOOKUP($S$175,'TAR FIN'!$A$1:$O$86,15,0)),0,VLOOKUP($S$175,'TAR FIN'!$A$1:$O$86,15,0))</f>
        <v>0</v>
      </c>
      <c r="W175" s="6">
        <f>IF(ISERROR(VLOOKUP($T$175,'TAR FIN'!$A$1:$O$86,15,0)),0,VLOOKUP($T$175,'TAR FIN'!$A$1:$O$86,15,0))</f>
        <v>73.19</v>
      </c>
      <c r="X175" s="6">
        <f>IF(ISERROR(VLOOKUP($U$175,'TAR FIN'!$A$1:$O$86,15,0)),0,VLOOKUP($U$175,'TAR FIN'!$A$1:$O$86,15,0))</f>
        <v>211.71</v>
      </c>
      <c r="Y175" s="6"/>
      <c r="Z175" s="6">
        <f ca="1">('TUSD BE'!$AM$12+'TUSD BF'!$AM$12+'TUSD CVA'!$AM$12)*1</f>
        <v>117.83242038312405</v>
      </c>
      <c r="AA175" s="6">
        <f>('TE BE'!$AB$6+'TE BF'!$AB$6+'TE CVA'!$AB$6)*1</f>
        <v>222.99901551132911</v>
      </c>
      <c r="AB175" s="6">
        <f>$K$175*$V$175</f>
        <v>0</v>
      </c>
      <c r="AC175" s="6">
        <f>$M$175*$W$175</f>
        <v>12809.64061</v>
      </c>
      <c r="AD175" s="6">
        <f>$O$175*$X$175</f>
        <v>37053.272490000003</v>
      </c>
      <c r="AE175" s="6">
        <f>$K$175*$Y$175</f>
        <v>0</v>
      </c>
      <c r="AF175" s="6">
        <f ca="1">$M$175*$Z$175</f>
        <v>20622.912383033989</v>
      </c>
      <c r="AG175" s="6">
        <f>$O$175*$AA$175</f>
        <v>39029.064695777313</v>
      </c>
    </row>
    <row r="176" spans="1:33" ht="11.25" customHeight="1" x14ac:dyDescent="0.25">
      <c r="A176" s="4" t="s">
        <v>21</v>
      </c>
      <c r="B176" s="4" t="s">
        <v>35</v>
      </c>
      <c r="C176" s="4" t="s">
        <v>39</v>
      </c>
      <c r="D176" s="4" t="s">
        <v>34</v>
      </c>
      <c r="E176" s="4" t="s">
        <v>25</v>
      </c>
      <c r="F176" s="4" t="s">
        <v>25</v>
      </c>
      <c r="G176" s="4" t="s">
        <v>25</v>
      </c>
      <c r="H176" s="4" t="s">
        <v>38</v>
      </c>
      <c r="I176" s="5">
        <v>44682</v>
      </c>
      <c r="J176" s="6">
        <v>0</v>
      </c>
      <c r="K176" s="6">
        <v>0</v>
      </c>
      <c r="L176" s="6">
        <v>3756.9810000000002</v>
      </c>
      <c r="M176" s="6">
        <v>3756.9810000000002</v>
      </c>
      <c r="N176" s="6">
        <v>3756.9810000000002</v>
      </c>
      <c r="O176" s="6">
        <v>3756.9810000000002</v>
      </c>
      <c r="P176" s="6">
        <v>0</v>
      </c>
      <c r="Q176" s="4" t="s">
        <v>26</v>
      </c>
      <c r="R176" s="4">
        <v>0</v>
      </c>
      <c r="S176" s="6">
        <v>0</v>
      </c>
      <c r="T176" s="6">
        <v>18</v>
      </c>
      <c r="U176" s="6">
        <v>73</v>
      </c>
      <c r="V176" s="6">
        <f>IF(ISERROR(VLOOKUP($S$176,'TAR FIN'!$A$1:$O$86,15,0)),0,VLOOKUP($S$176,'TAR FIN'!$A$1:$O$86,15,0))</f>
        <v>0</v>
      </c>
      <c r="W176" s="6">
        <f>IF(ISERROR(VLOOKUP($T$176,'TAR FIN'!$A$1:$O$86,15,0)),0,VLOOKUP($T$176,'TAR FIN'!$A$1:$O$86,15,0))</f>
        <v>73.19</v>
      </c>
      <c r="X176" s="6">
        <f>IF(ISERROR(VLOOKUP($U$176,'TAR FIN'!$A$1:$O$86,15,0)),0,VLOOKUP($U$176,'TAR FIN'!$A$1:$O$86,15,0))</f>
        <v>211.71</v>
      </c>
      <c r="Y176" s="6"/>
      <c r="Z176" s="6">
        <f ca="1">('TUSD BE'!$AM$12+'TUSD BF'!$AM$12+'TUSD CVA'!$AM$12)*1</f>
        <v>117.83242038312405</v>
      </c>
      <c r="AA176" s="6">
        <f>('TE BE'!$AB$6+'TE BF'!$AB$6+'TE CVA'!$AB$6)*1</f>
        <v>222.99901551132911</v>
      </c>
      <c r="AB176" s="6">
        <f>$K$176*$V$176</f>
        <v>0</v>
      </c>
      <c r="AC176" s="6">
        <f>$M$176*$W$176</f>
        <v>274973.43939000001</v>
      </c>
      <c r="AD176" s="6">
        <f>$O$176*$X$176</f>
        <v>795390.44751000009</v>
      </c>
      <c r="AE176" s="6">
        <f>$K$176*$Y$176</f>
        <v>0</v>
      </c>
      <c r="AF176" s="6">
        <f ca="1">$M$176*$Z$176</f>
        <v>442694.16456340981</v>
      </c>
      <c r="AG176" s="6">
        <f>$O$176*$AA$176</f>
        <v>837803.06429476873</v>
      </c>
    </row>
    <row r="177" spans="1:33" ht="11.25" customHeight="1" x14ac:dyDescent="0.25">
      <c r="A177" s="4" t="s">
        <v>28</v>
      </c>
      <c r="B177" s="4" t="s">
        <v>35</v>
      </c>
      <c r="C177" s="4" t="s">
        <v>39</v>
      </c>
      <c r="D177" s="4" t="s">
        <v>34</v>
      </c>
      <c r="E177" s="4" t="s">
        <v>25</v>
      </c>
      <c r="F177" s="4" t="s">
        <v>25</v>
      </c>
      <c r="G177" s="4" t="s">
        <v>25</v>
      </c>
      <c r="H177" s="4" t="s">
        <v>38</v>
      </c>
      <c r="I177" s="5">
        <v>44682</v>
      </c>
      <c r="J177" s="6">
        <v>0</v>
      </c>
      <c r="K177" s="6">
        <v>0</v>
      </c>
      <c r="L177" s="6">
        <v>205.99100000000001</v>
      </c>
      <c r="M177" s="6">
        <v>205.99100000000001</v>
      </c>
      <c r="N177" s="6">
        <v>205.99100000000001</v>
      </c>
      <c r="O177" s="6">
        <v>205.99100000000001</v>
      </c>
      <c r="P177" s="6">
        <v>0</v>
      </c>
      <c r="Q177" s="4" t="s">
        <v>26</v>
      </c>
      <c r="R177" s="4">
        <v>0</v>
      </c>
      <c r="S177" s="6">
        <v>0</v>
      </c>
      <c r="T177" s="6">
        <v>18</v>
      </c>
      <c r="U177" s="6">
        <v>73</v>
      </c>
      <c r="V177" s="6">
        <f>IF(ISERROR(VLOOKUP($S$177,'TAR FIN'!$A$1:$O$86,15,0)),0,VLOOKUP($S$177,'TAR FIN'!$A$1:$O$86,15,0))</f>
        <v>0</v>
      </c>
      <c r="W177" s="6">
        <f>IF(ISERROR(VLOOKUP($T$177,'TAR FIN'!$A$1:$O$86,15,0)),0,VLOOKUP($T$177,'TAR FIN'!$A$1:$O$86,15,0))</f>
        <v>73.19</v>
      </c>
      <c r="X177" s="6">
        <f>IF(ISERROR(VLOOKUP($U$177,'TAR FIN'!$A$1:$O$86,15,0)),0,VLOOKUP($U$177,'TAR FIN'!$A$1:$O$86,15,0))</f>
        <v>211.71</v>
      </c>
      <c r="Y177" s="6"/>
      <c r="Z177" s="6">
        <f ca="1">('TUSD BE'!$AM$12+'TUSD BF'!$AM$12+'TUSD CVA'!$AM$12)*1</f>
        <v>117.83242038312405</v>
      </c>
      <c r="AA177" s="6">
        <f>('TE BE'!$AB$6+'TE BF'!$AB$6+'TE CVA'!$AB$6)*1</f>
        <v>222.99901551132911</v>
      </c>
      <c r="AB177" s="6">
        <f>$K$177*$V$177</f>
        <v>0</v>
      </c>
      <c r="AC177" s="6">
        <f>$M$177*$W$177</f>
        <v>15076.48129</v>
      </c>
      <c r="AD177" s="6">
        <f>$O$177*$X$177</f>
        <v>43610.354610000002</v>
      </c>
      <c r="AE177" s="6">
        <f>$K$177*$Y$177</f>
        <v>0</v>
      </c>
      <c r="AF177" s="6">
        <f ca="1">$M$177*$Z$177</f>
        <v>24272.418107140107</v>
      </c>
      <c r="AG177" s="6">
        <f>$O$177*$AA$177</f>
        <v>45935.7902041942</v>
      </c>
    </row>
    <row r="178" spans="1:33" ht="11.25" customHeight="1" x14ac:dyDescent="0.25">
      <c r="A178" s="4" t="s">
        <v>21</v>
      </c>
      <c r="B178" s="4" t="s">
        <v>35</v>
      </c>
      <c r="C178" s="4" t="s">
        <v>39</v>
      </c>
      <c r="D178" s="4" t="s">
        <v>34</v>
      </c>
      <c r="E178" s="4" t="s">
        <v>25</v>
      </c>
      <c r="F178" s="4" t="s">
        <v>25</v>
      </c>
      <c r="G178" s="4" t="s">
        <v>25</v>
      </c>
      <c r="H178" s="4" t="s">
        <v>38</v>
      </c>
      <c r="I178" s="5">
        <v>44713</v>
      </c>
      <c r="J178" s="6">
        <v>0</v>
      </c>
      <c r="K178" s="6">
        <v>0</v>
      </c>
      <c r="L178" s="6">
        <v>3667.9969999999998</v>
      </c>
      <c r="M178" s="6">
        <v>3667.9969999999998</v>
      </c>
      <c r="N178" s="6">
        <v>3667.9969999999998</v>
      </c>
      <c r="O178" s="6">
        <v>3667.9969999999998</v>
      </c>
      <c r="P178" s="6">
        <v>0</v>
      </c>
      <c r="Q178" s="4" t="s">
        <v>26</v>
      </c>
      <c r="R178" s="4">
        <v>0</v>
      </c>
      <c r="S178" s="6">
        <v>0</v>
      </c>
      <c r="T178" s="6">
        <v>18</v>
      </c>
      <c r="U178" s="6">
        <v>73</v>
      </c>
      <c r="V178" s="6">
        <f>IF(ISERROR(VLOOKUP($S$178,'TAR FIN'!$A$1:$O$86,15,0)),0,VLOOKUP($S$178,'TAR FIN'!$A$1:$O$86,15,0))</f>
        <v>0</v>
      </c>
      <c r="W178" s="6">
        <f>IF(ISERROR(VLOOKUP($T$178,'TAR FIN'!$A$1:$O$86,15,0)),0,VLOOKUP($T$178,'TAR FIN'!$A$1:$O$86,15,0))</f>
        <v>73.19</v>
      </c>
      <c r="X178" s="6">
        <f>IF(ISERROR(VLOOKUP($U$178,'TAR FIN'!$A$1:$O$86,15,0)),0,VLOOKUP($U$178,'TAR FIN'!$A$1:$O$86,15,0))</f>
        <v>211.71</v>
      </c>
      <c r="Y178" s="6"/>
      <c r="Z178" s="6">
        <f ca="1">('TUSD BE'!$AM$12+'TUSD BF'!$AM$12+'TUSD CVA'!$AM$12)*1</f>
        <v>117.83242038312405</v>
      </c>
      <c r="AA178" s="6">
        <f>('TE BE'!$AB$6+'TE BF'!$AB$6+'TE CVA'!$AB$6)*1</f>
        <v>222.99901551132911</v>
      </c>
      <c r="AB178" s="6">
        <f>$K$178*$V$178</f>
        <v>0</v>
      </c>
      <c r="AC178" s="6">
        <f>$M$178*$W$178</f>
        <v>268460.70042999997</v>
      </c>
      <c r="AD178" s="6">
        <f>$O$178*$X$178</f>
        <v>776551.64486999996</v>
      </c>
      <c r="AE178" s="6">
        <f>$K$178*$Y$178</f>
        <v>0</v>
      </c>
      <c r="AF178" s="6">
        <f ca="1">$M$178*$Z$178</f>
        <v>432208.96446803783</v>
      </c>
      <c r="AG178" s="6">
        <f>$O$178*$AA$178</f>
        <v>817959.71989850863</v>
      </c>
    </row>
    <row r="179" spans="1:33" ht="11.25" customHeight="1" x14ac:dyDescent="0.25">
      <c r="A179" s="4" t="s">
        <v>28</v>
      </c>
      <c r="B179" s="4" t="s">
        <v>35</v>
      </c>
      <c r="C179" s="4" t="s">
        <v>39</v>
      </c>
      <c r="D179" s="4" t="s">
        <v>34</v>
      </c>
      <c r="E179" s="4" t="s">
        <v>25</v>
      </c>
      <c r="F179" s="4" t="s">
        <v>25</v>
      </c>
      <c r="G179" s="4" t="s">
        <v>25</v>
      </c>
      <c r="H179" s="4" t="s">
        <v>38</v>
      </c>
      <c r="I179" s="5">
        <v>44713</v>
      </c>
      <c r="J179" s="6">
        <v>0</v>
      </c>
      <c r="K179" s="6">
        <v>0</v>
      </c>
      <c r="L179" s="6">
        <v>149.054</v>
      </c>
      <c r="M179" s="6">
        <v>149.054</v>
      </c>
      <c r="N179" s="6">
        <v>149.054</v>
      </c>
      <c r="O179" s="6">
        <v>149.054</v>
      </c>
      <c r="P179" s="6">
        <v>0</v>
      </c>
      <c r="Q179" s="4" t="s">
        <v>26</v>
      </c>
      <c r="R179" s="4">
        <v>0</v>
      </c>
      <c r="S179" s="6">
        <v>0</v>
      </c>
      <c r="T179" s="6">
        <v>18</v>
      </c>
      <c r="U179" s="6">
        <v>73</v>
      </c>
      <c r="V179" s="6">
        <f>IF(ISERROR(VLOOKUP($S$179,'TAR FIN'!$A$1:$O$86,15,0)),0,VLOOKUP($S$179,'TAR FIN'!$A$1:$O$86,15,0))</f>
        <v>0</v>
      </c>
      <c r="W179" s="6">
        <f>IF(ISERROR(VLOOKUP($T$179,'TAR FIN'!$A$1:$O$86,15,0)),0,VLOOKUP($T$179,'TAR FIN'!$A$1:$O$86,15,0))</f>
        <v>73.19</v>
      </c>
      <c r="X179" s="6">
        <f>IF(ISERROR(VLOOKUP($U$179,'TAR FIN'!$A$1:$O$86,15,0)),0,VLOOKUP($U$179,'TAR FIN'!$A$1:$O$86,15,0))</f>
        <v>211.71</v>
      </c>
      <c r="Y179" s="6"/>
      <c r="Z179" s="6">
        <f ca="1">('TUSD BE'!$AM$12+'TUSD BF'!$AM$12+'TUSD CVA'!$AM$12)*1</f>
        <v>117.83242038312405</v>
      </c>
      <c r="AA179" s="6">
        <f>('TE BE'!$AB$6+'TE BF'!$AB$6+'TE CVA'!$AB$6)*1</f>
        <v>222.99901551132911</v>
      </c>
      <c r="AB179" s="6">
        <f>$K$179*$V$179</f>
        <v>0</v>
      </c>
      <c r="AC179" s="6">
        <f>$M$179*$W$179</f>
        <v>10909.26226</v>
      </c>
      <c r="AD179" s="6">
        <f>$O$179*$X$179</f>
        <v>31556.22234</v>
      </c>
      <c r="AE179" s="6">
        <f>$K$179*$Y$179</f>
        <v>0</v>
      </c>
      <c r="AF179" s="6">
        <f ca="1">$M$179*$Z$179</f>
        <v>17563.393587786173</v>
      </c>
      <c r="AG179" s="6">
        <f>$O$179*$AA$179</f>
        <v>33238.895258025652</v>
      </c>
    </row>
    <row r="180" spans="1:33" ht="11.25" customHeight="1" x14ac:dyDescent="0.25">
      <c r="A180" s="4" t="s">
        <v>55</v>
      </c>
      <c r="B180" s="4" t="s">
        <v>35</v>
      </c>
      <c r="C180" s="4" t="s">
        <v>39</v>
      </c>
      <c r="D180" s="4" t="s">
        <v>34</v>
      </c>
      <c r="E180" s="4" t="s">
        <v>25</v>
      </c>
      <c r="F180" s="4" t="s">
        <v>25</v>
      </c>
      <c r="G180" s="4" t="s">
        <v>25</v>
      </c>
      <c r="H180" s="4" t="s">
        <v>38</v>
      </c>
      <c r="I180" s="5">
        <v>44743</v>
      </c>
      <c r="J180" s="6">
        <v>0</v>
      </c>
      <c r="K180" s="6">
        <v>0</v>
      </c>
      <c r="L180" s="6">
        <v>3667.9969999999998</v>
      </c>
      <c r="M180" s="6">
        <v>3667.9969999999998</v>
      </c>
      <c r="N180" s="6">
        <v>3667.9969999999998</v>
      </c>
      <c r="O180" s="6">
        <v>3667.9969999999998</v>
      </c>
      <c r="P180" s="6">
        <v>0</v>
      </c>
      <c r="Q180" s="4" t="s">
        <v>26</v>
      </c>
      <c r="R180" s="4">
        <v>0</v>
      </c>
      <c r="S180" s="6">
        <v>0</v>
      </c>
      <c r="T180" s="6">
        <v>18</v>
      </c>
      <c r="U180" s="6">
        <v>73</v>
      </c>
      <c r="V180" s="6">
        <f>IF(ISERROR(VLOOKUP($S$180,'TAR FIN'!$A$1:$O$86,15,0)),0,VLOOKUP($S$180,'TAR FIN'!$A$1:$O$86,15,0))</f>
        <v>0</v>
      </c>
      <c r="W180" s="6">
        <f>IF(ISERROR(VLOOKUP($T$180,'TAR FIN'!$A$1:$O$86,15,0)),0,VLOOKUP($T$180,'TAR FIN'!$A$1:$O$86,15,0))</f>
        <v>73.19</v>
      </c>
      <c r="X180" s="6">
        <f>IF(ISERROR(VLOOKUP($U$180,'TAR FIN'!$A$1:$O$86,15,0)),0,VLOOKUP($U$180,'TAR FIN'!$A$1:$O$86,15,0))</f>
        <v>211.71</v>
      </c>
      <c r="Y180" s="6"/>
      <c r="Z180" s="6">
        <f ca="1">('TUSD BE'!$AM$12+'TUSD BF'!$AM$12+'TUSD CVA'!$AM$12)*1</f>
        <v>117.83242038312405</v>
      </c>
      <c r="AA180" s="6">
        <f>('TE BE'!$AB$6+'TE BF'!$AB$6+'TE CVA'!$AB$6)*1</f>
        <v>222.99901551132911</v>
      </c>
      <c r="AB180" s="6">
        <f>$K$180*$V$180</f>
        <v>0</v>
      </c>
      <c r="AC180" s="6">
        <f>$M$180*$W$180</f>
        <v>268460.70042999997</v>
      </c>
      <c r="AD180" s="6">
        <f>$O$180*$X$180</f>
        <v>776551.64486999996</v>
      </c>
      <c r="AE180" s="6">
        <f>$K$180*$Y$180</f>
        <v>0</v>
      </c>
      <c r="AF180" s="6">
        <f ca="1">$M$180*$Z$180</f>
        <v>432208.96446803783</v>
      </c>
      <c r="AG180" s="6">
        <f>$O$180*$AA$180</f>
        <v>817959.71989850863</v>
      </c>
    </row>
    <row r="181" spans="1:33" ht="11.25" customHeight="1" x14ac:dyDescent="0.25">
      <c r="A181" s="4" t="s">
        <v>55</v>
      </c>
      <c r="B181" s="4" t="s">
        <v>35</v>
      </c>
      <c r="C181" s="4" t="s">
        <v>39</v>
      </c>
      <c r="D181" s="4" t="s">
        <v>34</v>
      </c>
      <c r="E181" s="4" t="s">
        <v>25</v>
      </c>
      <c r="F181" s="4" t="s">
        <v>25</v>
      </c>
      <c r="G181" s="4" t="s">
        <v>25</v>
      </c>
      <c r="H181" s="4" t="s">
        <v>38</v>
      </c>
      <c r="I181" s="5">
        <v>44743</v>
      </c>
      <c r="J181" s="6">
        <v>0</v>
      </c>
      <c r="K181" s="6">
        <v>0</v>
      </c>
      <c r="L181" s="6">
        <v>149.054</v>
      </c>
      <c r="M181" s="6">
        <v>149.054</v>
      </c>
      <c r="N181" s="6">
        <v>149.054</v>
      </c>
      <c r="O181" s="6">
        <v>149.054</v>
      </c>
      <c r="P181" s="6">
        <v>0</v>
      </c>
      <c r="Q181" s="4" t="s">
        <v>26</v>
      </c>
      <c r="R181" s="4">
        <v>0</v>
      </c>
      <c r="S181" s="6">
        <v>0</v>
      </c>
      <c r="T181" s="6">
        <v>18</v>
      </c>
      <c r="U181" s="6">
        <v>73</v>
      </c>
      <c r="V181" s="6">
        <f>IF(ISERROR(VLOOKUP($S$181,'TAR FIN'!$A$1:$O$86,15,0)),0,VLOOKUP($S$181,'TAR FIN'!$A$1:$O$86,15,0))</f>
        <v>0</v>
      </c>
      <c r="W181" s="6">
        <f>IF(ISERROR(VLOOKUP($T$181,'TAR FIN'!$A$1:$O$86,15,0)),0,VLOOKUP($T$181,'TAR FIN'!$A$1:$O$86,15,0))</f>
        <v>73.19</v>
      </c>
      <c r="X181" s="6">
        <f>IF(ISERROR(VLOOKUP($U$181,'TAR FIN'!$A$1:$O$86,15,0)),0,VLOOKUP($U$181,'TAR FIN'!$A$1:$O$86,15,0))</f>
        <v>211.71</v>
      </c>
      <c r="Y181" s="6"/>
      <c r="Z181" s="6">
        <f ca="1">('TUSD BE'!$AM$12+'TUSD BF'!$AM$12+'TUSD CVA'!$AM$12)*1</f>
        <v>117.83242038312405</v>
      </c>
      <c r="AA181" s="6">
        <f>('TE BE'!$AB$6+'TE BF'!$AB$6+'TE CVA'!$AB$6)*1</f>
        <v>222.99901551132911</v>
      </c>
      <c r="AB181" s="6">
        <f>$K$181*$V$181</f>
        <v>0</v>
      </c>
      <c r="AC181" s="6">
        <f>$M$181*$W$181</f>
        <v>10909.26226</v>
      </c>
      <c r="AD181" s="6">
        <f>$O$181*$X$181</f>
        <v>31556.22234</v>
      </c>
      <c r="AE181" s="6">
        <f>$K$181*$Y$181</f>
        <v>0</v>
      </c>
      <c r="AF181" s="6">
        <f ca="1">$M$181*$Z$181</f>
        <v>17563.393587786173</v>
      </c>
      <c r="AG181" s="6">
        <f>$O$181*$AA$181</f>
        <v>33238.895258025652</v>
      </c>
    </row>
    <row r="182" spans="1:33" ht="11.25" customHeight="1" x14ac:dyDescent="0.25">
      <c r="A182" s="4" t="s">
        <v>21</v>
      </c>
      <c r="B182" s="4" t="s">
        <v>35</v>
      </c>
      <c r="C182" s="4" t="s">
        <v>39</v>
      </c>
      <c r="D182" s="4" t="s">
        <v>34</v>
      </c>
      <c r="E182" s="4" t="s">
        <v>25</v>
      </c>
      <c r="F182" s="4" t="s">
        <v>25</v>
      </c>
      <c r="G182" s="4" t="s">
        <v>25</v>
      </c>
      <c r="H182" s="4" t="s">
        <v>25</v>
      </c>
      <c r="I182" s="5">
        <v>44409</v>
      </c>
      <c r="J182" s="6">
        <v>14139</v>
      </c>
      <c r="K182" s="6">
        <v>14139</v>
      </c>
      <c r="L182" s="6">
        <v>0</v>
      </c>
      <c r="M182" s="6">
        <v>0</v>
      </c>
      <c r="N182" s="6">
        <v>0</v>
      </c>
      <c r="O182" s="6">
        <v>0</v>
      </c>
      <c r="P182" s="6">
        <v>53</v>
      </c>
      <c r="Q182" s="4" t="s">
        <v>26</v>
      </c>
      <c r="R182" s="4">
        <v>0</v>
      </c>
      <c r="S182" s="6">
        <v>24</v>
      </c>
      <c r="T182" s="6">
        <v>0</v>
      </c>
      <c r="U182" s="6">
        <v>0</v>
      </c>
      <c r="V182" s="6">
        <f>IF(ISERROR(VLOOKUP($S$182,'TAR FIN'!$A$1:$O$86,15,0)),0,VLOOKUP($S$182,'TAR FIN'!$A$1:$O$86,15,0))</f>
        <v>22.9</v>
      </c>
      <c r="W182" s="6">
        <f>IF(ISERROR(VLOOKUP($T$182,'TAR FIN'!$A$1:$O$86,15,0)),0,VLOOKUP($T$182,'TAR FIN'!$A$1:$O$86,15,0))</f>
        <v>0</v>
      </c>
      <c r="X182" s="6">
        <f>IF(ISERROR(VLOOKUP($U$182,'TAR FIN'!$A$1:$O$86,15,0)),0,VLOOKUP($U$182,'TAR FIN'!$A$1:$O$86,15,0))</f>
        <v>0</v>
      </c>
      <c r="Y182" s="6">
        <f ca="1">('TUSD BE'!$AM$10+'TUSD BF'!$AM$10+'TUSD CVA'!$AM$10)*1</f>
        <v>21.733731888847863</v>
      </c>
      <c r="Z182" s="6"/>
      <c r="AA182" s="6"/>
      <c r="AB182" s="6">
        <f>$K$182*$V$182</f>
        <v>323783.09999999998</v>
      </c>
      <c r="AC182" s="6">
        <f>$M$182*$W$182</f>
        <v>0</v>
      </c>
      <c r="AD182" s="6">
        <f>$O$182*$X$182</f>
        <v>0</v>
      </c>
      <c r="AE182" s="6">
        <f ca="1">$K$182*$Y$182</f>
        <v>307293.23517641996</v>
      </c>
      <c r="AF182" s="6">
        <f>$M$182*$Z$182</f>
        <v>0</v>
      </c>
      <c r="AG182" s="6">
        <f>$O$182*$AA$182</f>
        <v>0</v>
      </c>
    </row>
    <row r="183" spans="1:33" ht="11.25" customHeight="1" x14ac:dyDescent="0.25">
      <c r="A183" s="4" t="s">
        <v>28</v>
      </c>
      <c r="B183" s="4" t="s">
        <v>35</v>
      </c>
      <c r="C183" s="4" t="s">
        <v>39</v>
      </c>
      <c r="D183" s="4" t="s">
        <v>34</v>
      </c>
      <c r="E183" s="4" t="s">
        <v>25</v>
      </c>
      <c r="F183" s="4" t="s">
        <v>25</v>
      </c>
      <c r="G183" s="4" t="s">
        <v>25</v>
      </c>
      <c r="H183" s="4" t="s">
        <v>25</v>
      </c>
      <c r="I183" s="5">
        <v>44409</v>
      </c>
      <c r="J183" s="6">
        <v>488</v>
      </c>
      <c r="K183" s="6">
        <v>488</v>
      </c>
      <c r="L183" s="6">
        <v>0</v>
      </c>
      <c r="M183" s="6">
        <v>0</v>
      </c>
      <c r="N183" s="6">
        <v>0</v>
      </c>
      <c r="O183" s="6">
        <v>0</v>
      </c>
      <c r="P183" s="6">
        <v>2</v>
      </c>
      <c r="Q183" s="4" t="s">
        <v>26</v>
      </c>
      <c r="R183" s="4">
        <v>0</v>
      </c>
      <c r="S183" s="6">
        <v>24</v>
      </c>
      <c r="T183" s="6">
        <v>0</v>
      </c>
      <c r="U183" s="6">
        <v>0</v>
      </c>
      <c r="V183" s="6">
        <f>IF(ISERROR(VLOOKUP($S$183,'TAR FIN'!$A$1:$O$86,15,0)),0,VLOOKUP($S$183,'TAR FIN'!$A$1:$O$86,15,0))</f>
        <v>22.9</v>
      </c>
      <c r="W183" s="6">
        <f>IF(ISERROR(VLOOKUP($T$183,'TAR FIN'!$A$1:$O$86,15,0)),0,VLOOKUP($T$183,'TAR FIN'!$A$1:$O$86,15,0))</f>
        <v>0</v>
      </c>
      <c r="X183" s="6">
        <f>IF(ISERROR(VLOOKUP($U$183,'TAR FIN'!$A$1:$O$86,15,0)),0,VLOOKUP($U$183,'TAR FIN'!$A$1:$O$86,15,0))</f>
        <v>0</v>
      </c>
      <c r="Y183" s="6">
        <f ca="1">('TUSD BE'!$AM$10+'TUSD BF'!$AM$10+'TUSD CVA'!$AM$10)*1</f>
        <v>21.733731888847863</v>
      </c>
      <c r="Z183" s="6"/>
      <c r="AA183" s="6"/>
      <c r="AB183" s="6">
        <f>$K$183*$V$183</f>
        <v>11175.199999999999</v>
      </c>
      <c r="AC183" s="6">
        <f>$M$183*$W$183</f>
        <v>0</v>
      </c>
      <c r="AD183" s="6">
        <f>$O$183*$X$183</f>
        <v>0</v>
      </c>
      <c r="AE183" s="6">
        <f ca="1">$K$183*$Y$183</f>
        <v>10606.061161757758</v>
      </c>
      <c r="AF183" s="6">
        <f>$M$183*$Z$183</f>
        <v>0</v>
      </c>
      <c r="AG183" s="6">
        <f>$O$183*$AA$183</f>
        <v>0</v>
      </c>
    </row>
    <row r="184" spans="1:33" ht="11.25" customHeight="1" x14ac:dyDescent="0.25">
      <c r="A184" s="4" t="s">
        <v>21</v>
      </c>
      <c r="B184" s="4" t="s">
        <v>35</v>
      </c>
      <c r="C184" s="4" t="s">
        <v>39</v>
      </c>
      <c r="D184" s="4" t="s">
        <v>34</v>
      </c>
      <c r="E184" s="4" t="s">
        <v>25</v>
      </c>
      <c r="F184" s="4" t="s">
        <v>25</v>
      </c>
      <c r="G184" s="4" t="s">
        <v>25</v>
      </c>
      <c r="H184" s="4" t="s">
        <v>25</v>
      </c>
      <c r="I184" s="5">
        <v>44440</v>
      </c>
      <c r="J184" s="6">
        <v>14093</v>
      </c>
      <c r="K184" s="6">
        <v>14093</v>
      </c>
      <c r="L184" s="6">
        <v>0</v>
      </c>
      <c r="M184" s="6">
        <v>0</v>
      </c>
      <c r="N184" s="6">
        <v>0</v>
      </c>
      <c r="O184" s="6">
        <v>0</v>
      </c>
      <c r="P184" s="6">
        <v>53</v>
      </c>
      <c r="Q184" s="4" t="s">
        <v>26</v>
      </c>
      <c r="R184" s="4">
        <v>0</v>
      </c>
      <c r="S184" s="6">
        <v>24</v>
      </c>
      <c r="T184" s="6">
        <v>0</v>
      </c>
      <c r="U184" s="6">
        <v>0</v>
      </c>
      <c r="V184" s="6">
        <f>IF(ISERROR(VLOOKUP($S$184,'TAR FIN'!$A$1:$O$86,15,0)),0,VLOOKUP($S$184,'TAR FIN'!$A$1:$O$86,15,0))</f>
        <v>22.9</v>
      </c>
      <c r="W184" s="6">
        <f>IF(ISERROR(VLOOKUP($T$184,'TAR FIN'!$A$1:$O$86,15,0)),0,VLOOKUP($T$184,'TAR FIN'!$A$1:$O$86,15,0))</f>
        <v>0</v>
      </c>
      <c r="X184" s="6">
        <f>IF(ISERROR(VLOOKUP($U$184,'TAR FIN'!$A$1:$O$86,15,0)),0,VLOOKUP($U$184,'TAR FIN'!$A$1:$O$86,15,0))</f>
        <v>0</v>
      </c>
      <c r="Y184" s="6">
        <f ca="1">('TUSD BE'!$AM$10+'TUSD BF'!$AM$10+'TUSD CVA'!$AM$10)*1</f>
        <v>21.733731888847863</v>
      </c>
      <c r="Z184" s="6"/>
      <c r="AA184" s="6"/>
      <c r="AB184" s="6">
        <f>$K$184*$V$184</f>
        <v>322729.69999999995</v>
      </c>
      <c r="AC184" s="6">
        <f>$M$184*$W$184</f>
        <v>0</v>
      </c>
      <c r="AD184" s="6">
        <f>$O$184*$X$184</f>
        <v>0</v>
      </c>
      <c r="AE184" s="6">
        <f ca="1">$K$184*$Y$184</f>
        <v>306293.48350953293</v>
      </c>
      <c r="AF184" s="6">
        <f>$M$184*$Z$184</f>
        <v>0</v>
      </c>
      <c r="AG184" s="6">
        <f>$O$184*$AA$184</f>
        <v>0</v>
      </c>
    </row>
    <row r="185" spans="1:33" ht="11.25" customHeight="1" x14ac:dyDescent="0.25">
      <c r="A185" s="4" t="s">
        <v>28</v>
      </c>
      <c r="B185" s="4" t="s">
        <v>35</v>
      </c>
      <c r="C185" s="4" t="s">
        <v>39</v>
      </c>
      <c r="D185" s="4" t="s">
        <v>34</v>
      </c>
      <c r="E185" s="4" t="s">
        <v>25</v>
      </c>
      <c r="F185" s="4" t="s">
        <v>25</v>
      </c>
      <c r="G185" s="4" t="s">
        <v>25</v>
      </c>
      <c r="H185" s="4" t="s">
        <v>25</v>
      </c>
      <c r="I185" s="5">
        <v>44440</v>
      </c>
      <c r="J185" s="6">
        <v>532</v>
      </c>
      <c r="K185" s="6">
        <v>532</v>
      </c>
      <c r="L185" s="6">
        <v>0</v>
      </c>
      <c r="M185" s="6">
        <v>0</v>
      </c>
      <c r="N185" s="6">
        <v>0</v>
      </c>
      <c r="O185" s="6">
        <v>0</v>
      </c>
      <c r="P185" s="6">
        <v>2</v>
      </c>
      <c r="Q185" s="4" t="s">
        <v>26</v>
      </c>
      <c r="R185" s="4">
        <v>0</v>
      </c>
      <c r="S185" s="6">
        <v>24</v>
      </c>
      <c r="T185" s="6">
        <v>0</v>
      </c>
      <c r="U185" s="6">
        <v>0</v>
      </c>
      <c r="V185" s="6">
        <f>IF(ISERROR(VLOOKUP($S$185,'TAR FIN'!$A$1:$O$86,15,0)),0,VLOOKUP($S$185,'TAR FIN'!$A$1:$O$86,15,0))</f>
        <v>22.9</v>
      </c>
      <c r="W185" s="6">
        <f>IF(ISERROR(VLOOKUP($T$185,'TAR FIN'!$A$1:$O$86,15,0)),0,VLOOKUP($T$185,'TAR FIN'!$A$1:$O$86,15,0))</f>
        <v>0</v>
      </c>
      <c r="X185" s="6">
        <f>IF(ISERROR(VLOOKUP($U$185,'TAR FIN'!$A$1:$O$86,15,0)),0,VLOOKUP($U$185,'TAR FIN'!$A$1:$O$86,15,0))</f>
        <v>0</v>
      </c>
      <c r="Y185" s="6">
        <f ca="1">('TUSD BE'!$AM$10+'TUSD BF'!$AM$10+'TUSD CVA'!$AM$10)*1</f>
        <v>21.733731888847863</v>
      </c>
      <c r="Z185" s="6"/>
      <c r="AA185" s="6"/>
      <c r="AB185" s="6">
        <f>$K$185*$V$185</f>
        <v>12182.8</v>
      </c>
      <c r="AC185" s="6">
        <f>$M$185*$W$185</f>
        <v>0</v>
      </c>
      <c r="AD185" s="6">
        <f>$O$185*$X$185</f>
        <v>0</v>
      </c>
      <c r="AE185" s="6">
        <f ca="1">$K$185*$Y$185</f>
        <v>11562.345364867064</v>
      </c>
      <c r="AF185" s="6">
        <f>$M$185*$Z$185</f>
        <v>0</v>
      </c>
      <c r="AG185" s="6">
        <f>$O$185*$AA$185</f>
        <v>0</v>
      </c>
    </row>
    <row r="186" spans="1:33" ht="11.25" customHeight="1" x14ac:dyDescent="0.25">
      <c r="A186" s="4" t="s">
        <v>21</v>
      </c>
      <c r="B186" s="4" t="s">
        <v>35</v>
      </c>
      <c r="C186" s="4" t="s">
        <v>39</v>
      </c>
      <c r="D186" s="4" t="s">
        <v>34</v>
      </c>
      <c r="E186" s="4" t="s">
        <v>25</v>
      </c>
      <c r="F186" s="4" t="s">
        <v>25</v>
      </c>
      <c r="G186" s="4" t="s">
        <v>25</v>
      </c>
      <c r="H186" s="4" t="s">
        <v>25</v>
      </c>
      <c r="I186" s="5">
        <v>44470</v>
      </c>
      <c r="J186" s="6">
        <v>14336</v>
      </c>
      <c r="K186" s="6">
        <v>14336</v>
      </c>
      <c r="L186" s="6">
        <v>0</v>
      </c>
      <c r="M186" s="6">
        <v>0</v>
      </c>
      <c r="N186" s="6">
        <v>0</v>
      </c>
      <c r="O186" s="6">
        <v>0</v>
      </c>
      <c r="P186" s="6">
        <v>53</v>
      </c>
      <c r="Q186" s="4" t="s">
        <v>26</v>
      </c>
      <c r="R186" s="4">
        <v>0</v>
      </c>
      <c r="S186" s="6">
        <v>24</v>
      </c>
      <c r="T186" s="6">
        <v>0</v>
      </c>
      <c r="U186" s="6">
        <v>0</v>
      </c>
      <c r="V186" s="6">
        <f>IF(ISERROR(VLOOKUP($S$186,'TAR FIN'!$A$1:$O$86,15,0)),0,VLOOKUP($S$186,'TAR FIN'!$A$1:$O$86,15,0))</f>
        <v>22.9</v>
      </c>
      <c r="W186" s="6">
        <f>IF(ISERROR(VLOOKUP($T$186,'TAR FIN'!$A$1:$O$86,15,0)),0,VLOOKUP($T$186,'TAR FIN'!$A$1:$O$86,15,0))</f>
        <v>0</v>
      </c>
      <c r="X186" s="6">
        <f>IF(ISERROR(VLOOKUP($U$186,'TAR FIN'!$A$1:$O$86,15,0)),0,VLOOKUP($U$186,'TAR FIN'!$A$1:$O$86,15,0))</f>
        <v>0</v>
      </c>
      <c r="Y186" s="6">
        <f ca="1">('TUSD BE'!$AM$10+'TUSD BF'!$AM$10+'TUSD CVA'!$AM$10)*1</f>
        <v>21.733731888847863</v>
      </c>
      <c r="Z186" s="6"/>
      <c r="AA186" s="6"/>
      <c r="AB186" s="6">
        <f>$K$186*$V$186</f>
        <v>328294.39999999997</v>
      </c>
      <c r="AC186" s="6">
        <f>$M$186*$W$186</f>
        <v>0</v>
      </c>
      <c r="AD186" s="6">
        <f>$O$186*$X$186</f>
        <v>0</v>
      </c>
      <c r="AE186" s="6">
        <f ca="1">$K$186*$Y$186</f>
        <v>311574.78035852296</v>
      </c>
      <c r="AF186" s="6">
        <f>$M$186*$Z$186</f>
        <v>0</v>
      </c>
      <c r="AG186" s="6">
        <f>$O$186*$AA$186</f>
        <v>0</v>
      </c>
    </row>
    <row r="187" spans="1:33" ht="11.25" customHeight="1" x14ac:dyDescent="0.25">
      <c r="A187" s="4" t="s">
        <v>28</v>
      </c>
      <c r="B187" s="4" t="s">
        <v>35</v>
      </c>
      <c r="C187" s="4" t="s">
        <v>39</v>
      </c>
      <c r="D187" s="4" t="s">
        <v>34</v>
      </c>
      <c r="E187" s="4" t="s">
        <v>25</v>
      </c>
      <c r="F187" s="4" t="s">
        <v>25</v>
      </c>
      <c r="G187" s="4" t="s">
        <v>25</v>
      </c>
      <c r="H187" s="4" t="s">
        <v>25</v>
      </c>
      <c r="I187" s="5">
        <v>44470</v>
      </c>
      <c r="J187" s="6">
        <v>518</v>
      </c>
      <c r="K187" s="6">
        <v>518</v>
      </c>
      <c r="L187" s="6">
        <v>0</v>
      </c>
      <c r="M187" s="6">
        <v>0</v>
      </c>
      <c r="N187" s="6">
        <v>0</v>
      </c>
      <c r="O187" s="6">
        <v>0</v>
      </c>
      <c r="P187" s="6">
        <v>2</v>
      </c>
      <c r="Q187" s="4" t="s">
        <v>26</v>
      </c>
      <c r="R187" s="4">
        <v>0</v>
      </c>
      <c r="S187" s="6">
        <v>24</v>
      </c>
      <c r="T187" s="6">
        <v>0</v>
      </c>
      <c r="U187" s="6">
        <v>0</v>
      </c>
      <c r="V187" s="6">
        <f>IF(ISERROR(VLOOKUP($S$187,'TAR FIN'!$A$1:$O$86,15,0)),0,VLOOKUP($S$187,'TAR FIN'!$A$1:$O$86,15,0))</f>
        <v>22.9</v>
      </c>
      <c r="W187" s="6">
        <f>IF(ISERROR(VLOOKUP($T$187,'TAR FIN'!$A$1:$O$86,15,0)),0,VLOOKUP($T$187,'TAR FIN'!$A$1:$O$86,15,0))</f>
        <v>0</v>
      </c>
      <c r="X187" s="6">
        <f>IF(ISERROR(VLOOKUP($U$187,'TAR FIN'!$A$1:$O$86,15,0)),0,VLOOKUP($U$187,'TAR FIN'!$A$1:$O$86,15,0))</f>
        <v>0</v>
      </c>
      <c r="Y187" s="6">
        <f ca="1">('TUSD BE'!$AM$10+'TUSD BF'!$AM$10+'TUSD CVA'!$AM$10)*1</f>
        <v>21.733731888847863</v>
      </c>
      <c r="Z187" s="6"/>
      <c r="AA187" s="6"/>
      <c r="AB187" s="6">
        <f>$K$187*$V$187</f>
        <v>11862.199999999999</v>
      </c>
      <c r="AC187" s="6">
        <f>$M$187*$W$187</f>
        <v>0</v>
      </c>
      <c r="AD187" s="6">
        <f>$O$187*$X$187</f>
        <v>0</v>
      </c>
      <c r="AE187" s="6">
        <f ca="1">$K$187*$Y$187</f>
        <v>11258.073118423194</v>
      </c>
      <c r="AF187" s="6">
        <f>$M$187*$Z$187</f>
        <v>0</v>
      </c>
      <c r="AG187" s="6">
        <f>$O$187*$AA$187</f>
        <v>0</v>
      </c>
    </row>
    <row r="188" spans="1:33" ht="11.25" customHeight="1" x14ac:dyDescent="0.25">
      <c r="A188" s="4" t="s">
        <v>21</v>
      </c>
      <c r="B188" s="4" t="s">
        <v>35</v>
      </c>
      <c r="C188" s="4" t="s">
        <v>39</v>
      </c>
      <c r="D188" s="4" t="s">
        <v>34</v>
      </c>
      <c r="E188" s="4" t="s">
        <v>25</v>
      </c>
      <c r="F188" s="4" t="s">
        <v>25</v>
      </c>
      <c r="G188" s="4" t="s">
        <v>25</v>
      </c>
      <c r="H188" s="4" t="s">
        <v>25</v>
      </c>
      <c r="I188" s="5">
        <v>44501</v>
      </c>
      <c r="J188" s="6">
        <v>14463</v>
      </c>
      <c r="K188" s="6">
        <v>14463</v>
      </c>
      <c r="L188" s="6">
        <v>0</v>
      </c>
      <c r="M188" s="6">
        <v>0</v>
      </c>
      <c r="N188" s="6">
        <v>0</v>
      </c>
      <c r="O188" s="6">
        <v>0</v>
      </c>
      <c r="P188" s="6">
        <v>53</v>
      </c>
      <c r="Q188" s="4" t="s">
        <v>26</v>
      </c>
      <c r="R188" s="4">
        <v>0</v>
      </c>
      <c r="S188" s="6">
        <v>24</v>
      </c>
      <c r="T188" s="6">
        <v>0</v>
      </c>
      <c r="U188" s="6">
        <v>0</v>
      </c>
      <c r="V188" s="6">
        <f>IF(ISERROR(VLOOKUP($S$188,'TAR FIN'!$A$1:$O$86,15,0)),0,VLOOKUP($S$188,'TAR FIN'!$A$1:$O$86,15,0))</f>
        <v>22.9</v>
      </c>
      <c r="W188" s="6">
        <f>IF(ISERROR(VLOOKUP($T$188,'TAR FIN'!$A$1:$O$86,15,0)),0,VLOOKUP($T$188,'TAR FIN'!$A$1:$O$86,15,0))</f>
        <v>0</v>
      </c>
      <c r="X188" s="6">
        <f>IF(ISERROR(VLOOKUP($U$188,'TAR FIN'!$A$1:$O$86,15,0)),0,VLOOKUP($U$188,'TAR FIN'!$A$1:$O$86,15,0))</f>
        <v>0</v>
      </c>
      <c r="Y188" s="6">
        <f ca="1">('TUSD BE'!$AM$10+'TUSD BF'!$AM$10+'TUSD CVA'!$AM$10)*1</f>
        <v>21.733731888847863</v>
      </c>
      <c r="Z188" s="6"/>
      <c r="AA188" s="6"/>
      <c r="AB188" s="6">
        <f>$K$188*$V$188</f>
        <v>331202.69999999995</v>
      </c>
      <c r="AC188" s="6">
        <f>$M$188*$W$188</f>
        <v>0</v>
      </c>
      <c r="AD188" s="6">
        <f>$O$188*$X$188</f>
        <v>0</v>
      </c>
      <c r="AE188" s="6">
        <f ca="1">$K$188*$Y$188</f>
        <v>314334.96430840663</v>
      </c>
      <c r="AF188" s="6">
        <f>$M$188*$Z$188</f>
        <v>0</v>
      </c>
      <c r="AG188" s="6">
        <f>$O$188*$AA$188</f>
        <v>0</v>
      </c>
    </row>
    <row r="189" spans="1:33" ht="11.25" customHeight="1" x14ac:dyDescent="0.25">
      <c r="A189" s="4" t="s">
        <v>28</v>
      </c>
      <c r="B189" s="4" t="s">
        <v>35</v>
      </c>
      <c r="C189" s="4" t="s">
        <v>39</v>
      </c>
      <c r="D189" s="4" t="s">
        <v>34</v>
      </c>
      <c r="E189" s="4" t="s">
        <v>25</v>
      </c>
      <c r="F189" s="4" t="s">
        <v>25</v>
      </c>
      <c r="G189" s="4" t="s">
        <v>25</v>
      </c>
      <c r="H189" s="4" t="s">
        <v>25</v>
      </c>
      <c r="I189" s="5">
        <v>44501</v>
      </c>
      <c r="J189" s="6">
        <v>510</v>
      </c>
      <c r="K189" s="6">
        <v>510</v>
      </c>
      <c r="L189" s="6">
        <v>0</v>
      </c>
      <c r="M189" s="6">
        <v>0</v>
      </c>
      <c r="N189" s="6">
        <v>0</v>
      </c>
      <c r="O189" s="6">
        <v>0</v>
      </c>
      <c r="P189" s="6">
        <v>2</v>
      </c>
      <c r="Q189" s="4" t="s">
        <v>26</v>
      </c>
      <c r="R189" s="4">
        <v>0</v>
      </c>
      <c r="S189" s="6">
        <v>24</v>
      </c>
      <c r="T189" s="6">
        <v>0</v>
      </c>
      <c r="U189" s="6">
        <v>0</v>
      </c>
      <c r="V189" s="6">
        <f>IF(ISERROR(VLOOKUP($S$189,'TAR FIN'!$A$1:$O$86,15,0)),0,VLOOKUP($S$189,'TAR FIN'!$A$1:$O$86,15,0))</f>
        <v>22.9</v>
      </c>
      <c r="W189" s="6">
        <f>IF(ISERROR(VLOOKUP($T$189,'TAR FIN'!$A$1:$O$86,15,0)),0,VLOOKUP($T$189,'TAR FIN'!$A$1:$O$86,15,0))</f>
        <v>0</v>
      </c>
      <c r="X189" s="6">
        <f>IF(ISERROR(VLOOKUP($U$189,'TAR FIN'!$A$1:$O$86,15,0)),0,VLOOKUP($U$189,'TAR FIN'!$A$1:$O$86,15,0))</f>
        <v>0</v>
      </c>
      <c r="Y189" s="6">
        <f ca="1">('TUSD BE'!$AM$10+'TUSD BF'!$AM$10+'TUSD CVA'!$AM$10)*1</f>
        <v>21.733731888847863</v>
      </c>
      <c r="Z189" s="6"/>
      <c r="AA189" s="6"/>
      <c r="AB189" s="6">
        <f>$K$189*$V$189</f>
        <v>11679</v>
      </c>
      <c r="AC189" s="6">
        <f>$M$189*$W$189</f>
        <v>0</v>
      </c>
      <c r="AD189" s="6">
        <f>$O$189*$X$189</f>
        <v>0</v>
      </c>
      <c r="AE189" s="6">
        <f ca="1">$K$189*$Y$189</f>
        <v>11084.203263312411</v>
      </c>
      <c r="AF189" s="6">
        <f>$M$189*$Z$189</f>
        <v>0</v>
      </c>
      <c r="AG189" s="6">
        <f>$O$189*$AA$189</f>
        <v>0</v>
      </c>
    </row>
    <row r="190" spans="1:33" ht="11.25" customHeight="1" x14ac:dyDescent="0.25">
      <c r="A190" s="4" t="s">
        <v>21</v>
      </c>
      <c r="B190" s="4" t="s">
        <v>35</v>
      </c>
      <c r="C190" s="4" t="s">
        <v>39</v>
      </c>
      <c r="D190" s="4" t="s">
        <v>34</v>
      </c>
      <c r="E190" s="4" t="s">
        <v>25</v>
      </c>
      <c r="F190" s="4" t="s">
        <v>25</v>
      </c>
      <c r="G190" s="4" t="s">
        <v>25</v>
      </c>
      <c r="H190" s="4" t="s">
        <v>25</v>
      </c>
      <c r="I190" s="5">
        <v>44531</v>
      </c>
      <c r="J190" s="6">
        <v>14808</v>
      </c>
      <c r="K190" s="6">
        <v>14808</v>
      </c>
      <c r="L190" s="6">
        <v>0</v>
      </c>
      <c r="M190" s="6">
        <v>0</v>
      </c>
      <c r="N190" s="6">
        <v>0</v>
      </c>
      <c r="O190" s="6">
        <v>0</v>
      </c>
      <c r="P190" s="6">
        <v>54</v>
      </c>
      <c r="Q190" s="4" t="s">
        <v>26</v>
      </c>
      <c r="R190" s="4">
        <v>0</v>
      </c>
      <c r="S190" s="6">
        <v>24</v>
      </c>
      <c r="T190" s="6">
        <v>0</v>
      </c>
      <c r="U190" s="6">
        <v>0</v>
      </c>
      <c r="V190" s="6">
        <f>IF(ISERROR(VLOOKUP($S$190,'TAR FIN'!$A$1:$O$86,15,0)),0,VLOOKUP($S$190,'TAR FIN'!$A$1:$O$86,15,0))</f>
        <v>22.9</v>
      </c>
      <c r="W190" s="6">
        <f>IF(ISERROR(VLOOKUP($T$190,'TAR FIN'!$A$1:$O$86,15,0)),0,VLOOKUP($T$190,'TAR FIN'!$A$1:$O$86,15,0))</f>
        <v>0</v>
      </c>
      <c r="X190" s="6">
        <f>IF(ISERROR(VLOOKUP($U$190,'TAR FIN'!$A$1:$O$86,15,0)),0,VLOOKUP($U$190,'TAR FIN'!$A$1:$O$86,15,0))</f>
        <v>0</v>
      </c>
      <c r="Y190" s="6">
        <f ca="1">('TUSD BE'!$AM$10+'TUSD BF'!$AM$10+'TUSD CVA'!$AM$10)*1</f>
        <v>21.733731888847863</v>
      </c>
      <c r="Z190" s="6"/>
      <c r="AA190" s="6"/>
      <c r="AB190" s="6">
        <f>$K$190*$V$190</f>
        <v>339103.19999999995</v>
      </c>
      <c r="AC190" s="6">
        <f>$M$190*$W$190</f>
        <v>0</v>
      </c>
      <c r="AD190" s="6">
        <f>$O$190*$X$190</f>
        <v>0</v>
      </c>
      <c r="AE190" s="6">
        <f ca="1">$K$190*$Y$190</f>
        <v>321833.10181005916</v>
      </c>
      <c r="AF190" s="6">
        <f>$M$190*$Z$190</f>
        <v>0</v>
      </c>
      <c r="AG190" s="6">
        <f>$O$190*$AA$190</f>
        <v>0</v>
      </c>
    </row>
    <row r="191" spans="1:33" ht="11.25" customHeight="1" x14ac:dyDescent="0.25">
      <c r="A191" s="4" t="s">
        <v>28</v>
      </c>
      <c r="B191" s="4" t="s">
        <v>35</v>
      </c>
      <c r="C191" s="4" t="s">
        <v>39</v>
      </c>
      <c r="D191" s="4" t="s">
        <v>34</v>
      </c>
      <c r="E191" s="4" t="s">
        <v>25</v>
      </c>
      <c r="F191" s="4" t="s">
        <v>25</v>
      </c>
      <c r="G191" s="4" t="s">
        <v>25</v>
      </c>
      <c r="H191" s="4" t="s">
        <v>25</v>
      </c>
      <c r="I191" s="5">
        <v>44531</v>
      </c>
      <c r="J191" s="6">
        <v>518</v>
      </c>
      <c r="K191" s="6">
        <v>518</v>
      </c>
      <c r="L191" s="6">
        <v>0</v>
      </c>
      <c r="M191" s="6">
        <v>0</v>
      </c>
      <c r="N191" s="6">
        <v>0</v>
      </c>
      <c r="O191" s="6">
        <v>0</v>
      </c>
      <c r="P191" s="6">
        <v>2</v>
      </c>
      <c r="Q191" s="4" t="s">
        <v>26</v>
      </c>
      <c r="R191" s="4">
        <v>0</v>
      </c>
      <c r="S191" s="6">
        <v>24</v>
      </c>
      <c r="T191" s="6">
        <v>0</v>
      </c>
      <c r="U191" s="6">
        <v>0</v>
      </c>
      <c r="V191" s="6">
        <f>IF(ISERROR(VLOOKUP($S$191,'TAR FIN'!$A$1:$O$86,15,0)),0,VLOOKUP($S$191,'TAR FIN'!$A$1:$O$86,15,0))</f>
        <v>22.9</v>
      </c>
      <c r="W191" s="6">
        <f>IF(ISERROR(VLOOKUP($T$191,'TAR FIN'!$A$1:$O$86,15,0)),0,VLOOKUP($T$191,'TAR FIN'!$A$1:$O$86,15,0))</f>
        <v>0</v>
      </c>
      <c r="X191" s="6">
        <f>IF(ISERROR(VLOOKUP($U$191,'TAR FIN'!$A$1:$O$86,15,0)),0,VLOOKUP($U$191,'TAR FIN'!$A$1:$O$86,15,0))</f>
        <v>0</v>
      </c>
      <c r="Y191" s="6">
        <f ca="1">('TUSD BE'!$AM$10+'TUSD BF'!$AM$10+'TUSD CVA'!$AM$10)*1</f>
        <v>21.733731888847863</v>
      </c>
      <c r="Z191" s="6"/>
      <c r="AA191" s="6"/>
      <c r="AB191" s="6">
        <f>$K$191*$V$191</f>
        <v>11862.199999999999</v>
      </c>
      <c r="AC191" s="6">
        <f>$M$191*$W$191</f>
        <v>0</v>
      </c>
      <c r="AD191" s="6">
        <f>$O$191*$X$191</f>
        <v>0</v>
      </c>
      <c r="AE191" s="6">
        <f ca="1">$K$191*$Y$191</f>
        <v>11258.073118423194</v>
      </c>
      <c r="AF191" s="6">
        <f>$M$191*$Z$191</f>
        <v>0</v>
      </c>
      <c r="AG191" s="6">
        <f>$O$191*$AA$191</f>
        <v>0</v>
      </c>
    </row>
    <row r="192" spans="1:33" ht="11.25" customHeight="1" x14ac:dyDescent="0.25">
      <c r="A192" s="4" t="s">
        <v>21</v>
      </c>
      <c r="B192" s="4" t="s">
        <v>35</v>
      </c>
      <c r="C192" s="4" t="s">
        <v>39</v>
      </c>
      <c r="D192" s="4" t="s">
        <v>34</v>
      </c>
      <c r="E192" s="4" t="s">
        <v>25</v>
      </c>
      <c r="F192" s="4" t="s">
        <v>25</v>
      </c>
      <c r="G192" s="4" t="s">
        <v>25</v>
      </c>
      <c r="H192" s="4" t="s">
        <v>25</v>
      </c>
      <c r="I192" s="5">
        <v>44562</v>
      </c>
      <c r="J192" s="6">
        <v>14576</v>
      </c>
      <c r="K192" s="6">
        <v>14576</v>
      </c>
      <c r="L192" s="6">
        <v>0</v>
      </c>
      <c r="M192" s="6">
        <v>0</v>
      </c>
      <c r="N192" s="6">
        <v>0</v>
      </c>
      <c r="O192" s="6">
        <v>0</v>
      </c>
      <c r="P192" s="6">
        <v>54</v>
      </c>
      <c r="Q192" s="4" t="s">
        <v>26</v>
      </c>
      <c r="R192" s="4">
        <v>0</v>
      </c>
      <c r="S192" s="6">
        <v>24</v>
      </c>
      <c r="T192" s="6">
        <v>0</v>
      </c>
      <c r="U192" s="6">
        <v>0</v>
      </c>
      <c r="V192" s="6">
        <f>IF(ISERROR(VLOOKUP($S$192,'TAR FIN'!$A$1:$O$86,15,0)),0,VLOOKUP($S$192,'TAR FIN'!$A$1:$O$86,15,0))</f>
        <v>22.9</v>
      </c>
      <c r="W192" s="6">
        <f>IF(ISERROR(VLOOKUP($T$192,'TAR FIN'!$A$1:$O$86,15,0)),0,VLOOKUP($T$192,'TAR FIN'!$A$1:$O$86,15,0))</f>
        <v>0</v>
      </c>
      <c r="X192" s="6">
        <f>IF(ISERROR(VLOOKUP($U$192,'TAR FIN'!$A$1:$O$86,15,0)),0,VLOOKUP($U$192,'TAR FIN'!$A$1:$O$86,15,0))</f>
        <v>0</v>
      </c>
      <c r="Y192" s="6">
        <f ca="1">('TUSD BE'!$AM$10+'TUSD BF'!$AM$10+'TUSD CVA'!$AM$10)*1</f>
        <v>21.733731888847863</v>
      </c>
      <c r="Z192" s="6"/>
      <c r="AA192" s="6"/>
      <c r="AB192" s="6">
        <f>$K$192*$V$192</f>
        <v>333790.39999999997</v>
      </c>
      <c r="AC192" s="6">
        <f>$M$192*$W$192</f>
        <v>0</v>
      </c>
      <c r="AD192" s="6">
        <f>$O$192*$X$192</f>
        <v>0</v>
      </c>
      <c r="AE192" s="6">
        <f ca="1">$K$192*$Y$192</f>
        <v>316790.87601184647</v>
      </c>
      <c r="AF192" s="6">
        <f>$M$192*$Z$192</f>
        <v>0</v>
      </c>
      <c r="AG192" s="6">
        <f>$O$192*$AA$192</f>
        <v>0</v>
      </c>
    </row>
    <row r="193" spans="1:33" ht="11.25" customHeight="1" x14ac:dyDescent="0.25">
      <c r="A193" s="4" t="s">
        <v>28</v>
      </c>
      <c r="B193" s="4" t="s">
        <v>35</v>
      </c>
      <c r="C193" s="4" t="s">
        <v>39</v>
      </c>
      <c r="D193" s="4" t="s">
        <v>34</v>
      </c>
      <c r="E193" s="4" t="s">
        <v>25</v>
      </c>
      <c r="F193" s="4" t="s">
        <v>25</v>
      </c>
      <c r="G193" s="4" t="s">
        <v>25</v>
      </c>
      <c r="H193" s="4" t="s">
        <v>25</v>
      </c>
      <c r="I193" s="5">
        <v>44562</v>
      </c>
      <c r="J193" s="6">
        <v>524</v>
      </c>
      <c r="K193" s="6">
        <v>524</v>
      </c>
      <c r="L193" s="6">
        <v>0</v>
      </c>
      <c r="M193" s="6">
        <v>0</v>
      </c>
      <c r="N193" s="6">
        <v>0</v>
      </c>
      <c r="O193" s="6">
        <v>0</v>
      </c>
      <c r="P193" s="6">
        <v>2</v>
      </c>
      <c r="Q193" s="4" t="s">
        <v>26</v>
      </c>
      <c r="R193" s="4">
        <v>0</v>
      </c>
      <c r="S193" s="6">
        <v>24</v>
      </c>
      <c r="T193" s="6">
        <v>0</v>
      </c>
      <c r="U193" s="6">
        <v>0</v>
      </c>
      <c r="V193" s="6">
        <f>IF(ISERROR(VLOOKUP($S$193,'TAR FIN'!$A$1:$O$86,15,0)),0,VLOOKUP($S$193,'TAR FIN'!$A$1:$O$86,15,0))</f>
        <v>22.9</v>
      </c>
      <c r="W193" s="6">
        <f>IF(ISERROR(VLOOKUP($T$193,'TAR FIN'!$A$1:$O$86,15,0)),0,VLOOKUP($T$193,'TAR FIN'!$A$1:$O$86,15,0))</f>
        <v>0</v>
      </c>
      <c r="X193" s="6">
        <f>IF(ISERROR(VLOOKUP($U$193,'TAR FIN'!$A$1:$O$86,15,0)),0,VLOOKUP($U$193,'TAR FIN'!$A$1:$O$86,15,0))</f>
        <v>0</v>
      </c>
      <c r="Y193" s="6">
        <f ca="1">('TUSD BE'!$AM$10+'TUSD BF'!$AM$10+'TUSD CVA'!$AM$10)*1</f>
        <v>21.733731888847863</v>
      </c>
      <c r="Z193" s="6"/>
      <c r="AA193" s="6"/>
      <c r="AB193" s="6">
        <f>$K$193*$V$193</f>
        <v>11999.599999999999</v>
      </c>
      <c r="AC193" s="6">
        <f>$M$193*$W$193</f>
        <v>0</v>
      </c>
      <c r="AD193" s="6">
        <f>$O$193*$X$193</f>
        <v>0</v>
      </c>
      <c r="AE193" s="6">
        <f ca="1">$K$193*$Y$193</f>
        <v>11388.475509756281</v>
      </c>
      <c r="AF193" s="6">
        <f>$M$193*$Z$193</f>
        <v>0</v>
      </c>
      <c r="AG193" s="6">
        <f>$O$193*$AA$193</f>
        <v>0</v>
      </c>
    </row>
    <row r="194" spans="1:33" ht="11.25" customHeight="1" x14ac:dyDescent="0.25">
      <c r="A194" s="4" t="s">
        <v>21</v>
      </c>
      <c r="B194" s="4" t="s">
        <v>35</v>
      </c>
      <c r="C194" s="4" t="s">
        <v>39</v>
      </c>
      <c r="D194" s="4" t="s">
        <v>34</v>
      </c>
      <c r="E194" s="4" t="s">
        <v>25</v>
      </c>
      <c r="F194" s="4" t="s">
        <v>25</v>
      </c>
      <c r="G194" s="4" t="s">
        <v>25</v>
      </c>
      <c r="H194" s="4" t="s">
        <v>25</v>
      </c>
      <c r="I194" s="5">
        <v>44593</v>
      </c>
      <c r="J194" s="6">
        <v>14690</v>
      </c>
      <c r="K194" s="6">
        <v>14690</v>
      </c>
      <c r="L194" s="6">
        <v>0</v>
      </c>
      <c r="M194" s="6">
        <v>0</v>
      </c>
      <c r="N194" s="6">
        <v>0</v>
      </c>
      <c r="O194" s="6">
        <v>0</v>
      </c>
      <c r="P194" s="6">
        <v>54</v>
      </c>
      <c r="Q194" s="4" t="s">
        <v>26</v>
      </c>
      <c r="R194" s="4">
        <v>0</v>
      </c>
      <c r="S194" s="6">
        <v>24</v>
      </c>
      <c r="T194" s="6">
        <v>0</v>
      </c>
      <c r="U194" s="6">
        <v>0</v>
      </c>
      <c r="V194" s="6">
        <f>IF(ISERROR(VLOOKUP($S$194,'TAR FIN'!$A$1:$O$86,15,0)),0,VLOOKUP($S$194,'TAR FIN'!$A$1:$O$86,15,0))</f>
        <v>22.9</v>
      </c>
      <c r="W194" s="6">
        <f>IF(ISERROR(VLOOKUP($T$194,'TAR FIN'!$A$1:$O$86,15,0)),0,VLOOKUP($T$194,'TAR FIN'!$A$1:$O$86,15,0))</f>
        <v>0</v>
      </c>
      <c r="X194" s="6">
        <f>IF(ISERROR(VLOOKUP($U$194,'TAR FIN'!$A$1:$O$86,15,0)),0,VLOOKUP($U$194,'TAR FIN'!$A$1:$O$86,15,0))</f>
        <v>0</v>
      </c>
      <c r="Y194" s="6">
        <f ca="1">('TUSD BE'!$AM$10+'TUSD BF'!$AM$10+'TUSD CVA'!$AM$10)*1</f>
        <v>21.733731888847863</v>
      </c>
      <c r="Z194" s="6"/>
      <c r="AA194" s="6"/>
      <c r="AB194" s="6">
        <f>$K$194*$V$194</f>
        <v>336401</v>
      </c>
      <c r="AC194" s="6">
        <f>$M$194*$W$194</f>
        <v>0</v>
      </c>
      <c r="AD194" s="6">
        <f>$O$194*$X$194</f>
        <v>0</v>
      </c>
      <c r="AE194" s="6">
        <f ca="1">$K$194*$Y$194</f>
        <v>319268.52144717512</v>
      </c>
      <c r="AF194" s="6">
        <f>$M$194*$Z$194</f>
        <v>0</v>
      </c>
      <c r="AG194" s="6">
        <f>$O$194*$AA$194</f>
        <v>0</v>
      </c>
    </row>
    <row r="195" spans="1:33" ht="11.25" customHeight="1" x14ac:dyDescent="0.25">
      <c r="A195" s="4" t="s">
        <v>28</v>
      </c>
      <c r="B195" s="4" t="s">
        <v>35</v>
      </c>
      <c r="C195" s="4" t="s">
        <v>39</v>
      </c>
      <c r="D195" s="4" t="s">
        <v>34</v>
      </c>
      <c r="E195" s="4" t="s">
        <v>25</v>
      </c>
      <c r="F195" s="4" t="s">
        <v>25</v>
      </c>
      <c r="G195" s="4" t="s">
        <v>25</v>
      </c>
      <c r="H195" s="4" t="s">
        <v>25</v>
      </c>
      <c r="I195" s="5">
        <v>44593</v>
      </c>
      <c r="J195" s="6">
        <v>516</v>
      </c>
      <c r="K195" s="6">
        <v>516</v>
      </c>
      <c r="L195" s="6">
        <v>0</v>
      </c>
      <c r="M195" s="6">
        <v>0</v>
      </c>
      <c r="N195" s="6">
        <v>0</v>
      </c>
      <c r="O195" s="6">
        <v>0</v>
      </c>
      <c r="P195" s="6">
        <v>2</v>
      </c>
      <c r="Q195" s="4" t="s">
        <v>26</v>
      </c>
      <c r="R195" s="4">
        <v>0</v>
      </c>
      <c r="S195" s="6">
        <v>24</v>
      </c>
      <c r="T195" s="6">
        <v>0</v>
      </c>
      <c r="U195" s="6">
        <v>0</v>
      </c>
      <c r="V195" s="6">
        <f>IF(ISERROR(VLOOKUP($S$195,'TAR FIN'!$A$1:$O$86,15,0)),0,VLOOKUP($S$195,'TAR FIN'!$A$1:$O$86,15,0))</f>
        <v>22.9</v>
      </c>
      <c r="W195" s="6">
        <f>IF(ISERROR(VLOOKUP($T$195,'TAR FIN'!$A$1:$O$86,15,0)),0,VLOOKUP($T$195,'TAR FIN'!$A$1:$O$86,15,0))</f>
        <v>0</v>
      </c>
      <c r="X195" s="6">
        <f>IF(ISERROR(VLOOKUP($U$195,'TAR FIN'!$A$1:$O$86,15,0)),0,VLOOKUP($U$195,'TAR FIN'!$A$1:$O$86,15,0))</f>
        <v>0</v>
      </c>
      <c r="Y195" s="6">
        <f ca="1">('TUSD BE'!$AM$10+'TUSD BF'!$AM$10+'TUSD CVA'!$AM$10)*1</f>
        <v>21.733731888847863</v>
      </c>
      <c r="Z195" s="6"/>
      <c r="AA195" s="6"/>
      <c r="AB195" s="6">
        <f>$K$195*$V$195</f>
        <v>11816.4</v>
      </c>
      <c r="AC195" s="6">
        <f>$M$195*$W$195</f>
        <v>0</v>
      </c>
      <c r="AD195" s="6">
        <f>$O$195*$X$195</f>
        <v>0</v>
      </c>
      <c r="AE195" s="6">
        <f ca="1">$K$195*$Y$195</f>
        <v>11214.605654645498</v>
      </c>
      <c r="AF195" s="6">
        <f>$M$195*$Z$195</f>
        <v>0</v>
      </c>
      <c r="AG195" s="6">
        <f>$O$195*$AA$195</f>
        <v>0</v>
      </c>
    </row>
    <row r="196" spans="1:33" ht="11.25" customHeight="1" x14ac:dyDescent="0.25">
      <c r="A196" s="4" t="s">
        <v>21</v>
      </c>
      <c r="B196" s="4" t="s">
        <v>35</v>
      </c>
      <c r="C196" s="4" t="s">
        <v>39</v>
      </c>
      <c r="D196" s="4" t="s">
        <v>34</v>
      </c>
      <c r="E196" s="4" t="s">
        <v>25</v>
      </c>
      <c r="F196" s="4" t="s">
        <v>25</v>
      </c>
      <c r="G196" s="4" t="s">
        <v>25</v>
      </c>
      <c r="H196" s="4" t="s">
        <v>25</v>
      </c>
      <c r="I196" s="5">
        <v>44621</v>
      </c>
      <c r="J196" s="6">
        <v>14568</v>
      </c>
      <c r="K196" s="6">
        <v>14568</v>
      </c>
      <c r="L196" s="6">
        <v>0</v>
      </c>
      <c r="M196" s="6">
        <v>0</v>
      </c>
      <c r="N196" s="6">
        <v>0</v>
      </c>
      <c r="O196" s="6">
        <v>0</v>
      </c>
      <c r="P196" s="6">
        <v>54</v>
      </c>
      <c r="Q196" s="4" t="s">
        <v>26</v>
      </c>
      <c r="R196" s="4">
        <v>0</v>
      </c>
      <c r="S196" s="6">
        <v>24</v>
      </c>
      <c r="T196" s="6">
        <v>0</v>
      </c>
      <c r="U196" s="6">
        <v>0</v>
      </c>
      <c r="V196" s="6">
        <f>IF(ISERROR(VLOOKUP($S$196,'TAR FIN'!$A$1:$O$86,15,0)),0,VLOOKUP($S$196,'TAR FIN'!$A$1:$O$86,15,0))</f>
        <v>22.9</v>
      </c>
      <c r="W196" s="6">
        <f>IF(ISERROR(VLOOKUP($T$196,'TAR FIN'!$A$1:$O$86,15,0)),0,VLOOKUP($T$196,'TAR FIN'!$A$1:$O$86,15,0))</f>
        <v>0</v>
      </c>
      <c r="X196" s="6">
        <f>IF(ISERROR(VLOOKUP($U$196,'TAR FIN'!$A$1:$O$86,15,0)),0,VLOOKUP($U$196,'TAR FIN'!$A$1:$O$86,15,0))</f>
        <v>0</v>
      </c>
      <c r="Y196" s="6">
        <f ca="1">('TUSD BE'!$AM$10+'TUSD BF'!$AM$10+'TUSD CVA'!$AM$10)*1</f>
        <v>21.733731888847863</v>
      </c>
      <c r="Z196" s="6"/>
      <c r="AA196" s="6"/>
      <c r="AB196" s="6">
        <f>$K$196*$V$196</f>
        <v>333607.19999999995</v>
      </c>
      <c r="AC196" s="6">
        <f>$M$196*$W$196</f>
        <v>0</v>
      </c>
      <c r="AD196" s="6">
        <f>$O$196*$X$196</f>
        <v>0</v>
      </c>
      <c r="AE196" s="6">
        <f ca="1">$K$196*$Y$196</f>
        <v>316617.00615673565</v>
      </c>
      <c r="AF196" s="6">
        <f>$M$196*$Z$196</f>
        <v>0</v>
      </c>
      <c r="AG196" s="6">
        <f>$O$196*$AA$196</f>
        <v>0</v>
      </c>
    </row>
    <row r="197" spans="1:33" ht="11.25" customHeight="1" x14ac:dyDescent="0.25">
      <c r="A197" s="4" t="s">
        <v>28</v>
      </c>
      <c r="B197" s="4" t="s">
        <v>35</v>
      </c>
      <c r="C197" s="4" t="s">
        <v>39</v>
      </c>
      <c r="D197" s="4" t="s">
        <v>34</v>
      </c>
      <c r="E197" s="4" t="s">
        <v>25</v>
      </c>
      <c r="F197" s="4" t="s">
        <v>25</v>
      </c>
      <c r="G197" s="4" t="s">
        <v>25</v>
      </c>
      <c r="H197" s="4" t="s">
        <v>25</v>
      </c>
      <c r="I197" s="5">
        <v>44621</v>
      </c>
      <c r="J197" s="6">
        <v>519</v>
      </c>
      <c r="K197" s="6">
        <v>519</v>
      </c>
      <c r="L197" s="6">
        <v>0</v>
      </c>
      <c r="M197" s="6">
        <v>0</v>
      </c>
      <c r="N197" s="6">
        <v>0</v>
      </c>
      <c r="O197" s="6">
        <v>0</v>
      </c>
      <c r="P197" s="6">
        <v>2</v>
      </c>
      <c r="Q197" s="4" t="s">
        <v>26</v>
      </c>
      <c r="R197" s="4">
        <v>0</v>
      </c>
      <c r="S197" s="6">
        <v>24</v>
      </c>
      <c r="T197" s="6">
        <v>0</v>
      </c>
      <c r="U197" s="6">
        <v>0</v>
      </c>
      <c r="V197" s="6">
        <f>IF(ISERROR(VLOOKUP($S$197,'TAR FIN'!$A$1:$O$86,15,0)),0,VLOOKUP($S$197,'TAR FIN'!$A$1:$O$86,15,0))</f>
        <v>22.9</v>
      </c>
      <c r="W197" s="6">
        <f>IF(ISERROR(VLOOKUP($T$197,'TAR FIN'!$A$1:$O$86,15,0)),0,VLOOKUP($T$197,'TAR FIN'!$A$1:$O$86,15,0))</f>
        <v>0</v>
      </c>
      <c r="X197" s="6">
        <f>IF(ISERROR(VLOOKUP($U$197,'TAR FIN'!$A$1:$O$86,15,0)),0,VLOOKUP($U$197,'TAR FIN'!$A$1:$O$86,15,0))</f>
        <v>0</v>
      </c>
      <c r="Y197" s="6">
        <f ca="1">('TUSD BE'!$AM$10+'TUSD BF'!$AM$10+'TUSD CVA'!$AM$10)*1</f>
        <v>21.733731888847863</v>
      </c>
      <c r="Z197" s="6"/>
      <c r="AA197" s="6"/>
      <c r="AB197" s="6">
        <f>$K$197*$V$197</f>
        <v>11885.099999999999</v>
      </c>
      <c r="AC197" s="6">
        <f>$M$197*$W$197</f>
        <v>0</v>
      </c>
      <c r="AD197" s="6">
        <f>$O$197*$X$197</f>
        <v>0</v>
      </c>
      <c r="AE197" s="6">
        <f ca="1">$K$197*$Y$197</f>
        <v>11279.806850312041</v>
      </c>
      <c r="AF197" s="6">
        <f>$M$197*$Z$197</f>
        <v>0</v>
      </c>
      <c r="AG197" s="6">
        <f>$O$197*$AA$197</f>
        <v>0</v>
      </c>
    </row>
    <row r="198" spans="1:33" ht="11.25" customHeight="1" x14ac:dyDescent="0.25">
      <c r="A198" s="4" t="s">
        <v>21</v>
      </c>
      <c r="B198" s="4" t="s">
        <v>35</v>
      </c>
      <c r="C198" s="4" t="s">
        <v>39</v>
      </c>
      <c r="D198" s="4" t="s">
        <v>34</v>
      </c>
      <c r="E198" s="4" t="s">
        <v>25</v>
      </c>
      <c r="F198" s="4" t="s">
        <v>25</v>
      </c>
      <c r="G198" s="4" t="s">
        <v>25</v>
      </c>
      <c r="H198" s="4" t="s">
        <v>25</v>
      </c>
      <c r="I198" s="5">
        <v>44652</v>
      </c>
      <c r="J198" s="6">
        <v>14547</v>
      </c>
      <c r="K198" s="6">
        <v>14547</v>
      </c>
      <c r="L198" s="6">
        <v>0</v>
      </c>
      <c r="M198" s="6">
        <v>0</v>
      </c>
      <c r="N198" s="6">
        <v>0</v>
      </c>
      <c r="O198" s="6">
        <v>0</v>
      </c>
      <c r="P198" s="6">
        <v>54</v>
      </c>
      <c r="Q198" s="4" t="s">
        <v>26</v>
      </c>
      <c r="R198" s="4">
        <v>0</v>
      </c>
      <c r="S198" s="6">
        <v>24</v>
      </c>
      <c r="T198" s="6">
        <v>0</v>
      </c>
      <c r="U198" s="6">
        <v>0</v>
      </c>
      <c r="V198" s="6">
        <f>IF(ISERROR(VLOOKUP($S$198,'TAR FIN'!$A$1:$O$86,15,0)),0,VLOOKUP($S$198,'TAR FIN'!$A$1:$O$86,15,0))</f>
        <v>22.9</v>
      </c>
      <c r="W198" s="6">
        <f>IF(ISERROR(VLOOKUP($T$198,'TAR FIN'!$A$1:$O$86,15,0)),0,VLOOKUP($T$198,'TAR FIN'!$A$1:$O$86,15,0))</f>
        <v>0</v>
      </c>
      <c r="X198" s="6">
        <f>IF(ISERROR(VLOOKUP($U$198,'TAR FIN'!$A$1:$O$86,15,0)),0,VLOOKUP($U$198,'TAR FIN'!$A$1:$O$86,15,0))</f>
        <v>0</v>
      </c>
      <c r="Y198" s="6">
        <f ca="1">('TUSD BE'!$AM$10+'TUSD BF'!$AM$10+'TUSD CVA'!$AM$10)*1</f>
        <v>21.733731888847863</v>
      </c>
      <c r="Z198" s="6"/>
      <c r="AA198" s="6"/>
      <c r="AB198" s="6">
        <f>$K$198*$V$198</f>
        <v>333126.3</v>
      </c>
      <c r="AC198" s="6">
        <f>$M$198*$W$198</f>
        <v>0</v>
      </c>
      <c r="AD198" s="6">
        <f>$O$198*$X$198</f>
        <v>0</v>
      </c>
      <c r="AE198" s="6">
        <f ca="1">$K$198*$Y$198</f>
        <v>316160.59778706986</v>
      </c>
      <c r="AF198" s="6">
        <f>$M$198*$Z$198</f>
        <v>0</v>
      </c>
      <c r="AG198" s="6">
        <f>$O$198*$AA$198</f>
        <v>0</v>
      </c>
    </row>
    <row r="199" spans="1:33" ht="11.25" customHeight="1" x14ac:dyDescent="0.25">
      <c r="A199" s="4" t="s">
        <v>28</v>
      </c>
      <c r="B199" s="4" t="s">
        <v>35</v>
      </c>
      <c r="C199" s="4" t="s">
        <v>39</v>
      </c>
      <c r="D199" s="4" t="s">
        <v>34</v>
      </c>
      <c r="E199" s="4" t="s">
        <v>25</v>
      </c>
      <c r="F199" s="4" t="s">
        <v>25</v>
      </c>
      <c r="G199" s="4" t="s">
        <v>25</v>
      </c>
      <c r="H199" s="4" t="s">
        <v>25</v>
      </c>
      <c r="I199" s="5">
        <v>44652</v>
      </c>
      <c r="J199" s="6">
        <v>513</v>
      </c>
      <c r="K199" s="6">
        <v>513</v>
      </c>
      <c r="L199" s="6">
        <v>0</v>
      </c>
      <c r="M199" s="6">
        <v>0</v>
      </c>
      <c r="N199" s="6">
        <v>0</v>
      </c>
      <c r="O199" s="6">
        <v>0</v>
      </c>
      <c r="P199" s="6">
        <v>2</v>
      </c>
      <c r="Q199" s="4" t="s">
        <v>26</v>
      </c>
      <c r="R199" s="4">
        <v>0</v>
      </c>
      <c r="S199" s="6">
        <v>24</v>
      </c>
      <c r="T199" s="6">
        <v>0</v>
      </c>
      <c r="U199" s="6">
        <v>0</v>
      </c>
      <c r="V199" s="6">
        <f>IF(ISERROR(VLOOKUP($S$199,'TAR FIN'!$A$1:$O$86,15,0)),0,VLOOKUP($S$199,'TAR FIN'!$A$1:$O$86,15,0))</f>
        <v>22.9</v>
      </c>
      <c r="W199" s="6">
        <f>IF(ISERROR(VLOOKUP($T$199,'TAR FIN'!$A$1:$O$86,15,0)),0,VLOOKUP($T$199,'TAR FIN'!$A$1:$O$86,15,0))</f>
        <v>0</v>
      </c>
      <c r="X199" s="6">
        <f>IF(ISERROR(VLOOKUP($U$199,'TAR FIN'!$A$1:$O$86,15,0)),0,VLOOKUP($U$199,'TAR FIN'!$A$1:$O$86,15,0))</f>
        <v>0</v>
      </c>
      <c r="Y199" s="6">
        <f ca="1">('TUSD BE'!$AM$10+'TUSD BF'!$AM$10+'TUSD CVA'!$AM$10)*1</f>
        <v>21.733731888847863</v>
      </c>
      <c r="Z199" s="6"/>
      <c r="AA199" s="6"/>
      <c r="AB199" s="6">
        <f>$K$199*$V$199</f>
        <v>11747.699999999999</v>
      </c>
      <c r="AC199" s="6">
        <f>$M$199*$W$199</f>
        <v>0</v>
      </c>
      <c r="AD199" s="6">
        <f>$O$199*$X$199</f>
        <v>0</v>
      </c>
      <c r="AE199" s="6">
        <f ca="1">$K$199*$Y$199</f>
        <v>11149.404458978954</v>
      </c>
      <c r="AF199" s="6">
        <f>$M$199*$Z$199</f>
        <v>0</v>
      </c>
      <c r="AG199" s="6">
        <f>$O$199*$AA$199</f>
        <v>0</v>
      </c>
    </row>
    <row r="200" spans="1:33" ht="11.25" customHeight="1" x14ac:dyDescent="0.25">
      <c r="A200" s="4" t="s">
        <v>21</v>
      </c>
      <c r="B200" s="4" t="s">
        <v>35</v>
      </c>
      <c r="C200" s="4" t="s">
        <v>39</v>
      </c>
      <c r="D200" s="4" t="s">
        <v>34</v>
      </c>
      <c r="E200" s="4" t="s">
        <v>25</v>
      </c>
      <c r="F200" s="4" t="s">
        <v>25</v>
      </c>
      <c r="G200" s="4" t="s">
        <v>25</v>
      </c>
      <c r="H200" s="4" t="s">
        <v>25</v>
      </c>
      <c r="I200" s="5">
        <v>44682</v>
      </c>
      <c r="J200" s="6">
        <v>14468</v>
      </c>
      <c r="K200" s="6">
        <v>14468</v>
      </c>
      <c r="L200" s="6">
        <v>0</v>
      </c>
      <c r="M200" s="6">
        <v>0</v>
      </c>
      <c r="N200" s="6">
        <v>0</v>
      </c>
      <c r="O200" s="6">
        <v>0</v>
      </c>
      <c r="P200" s="6">
        <v>54</v>
      </c>
      <c r="Q200" s="4" t="s">
        <v>26</v>
      </c>
      <c r="R200" s="4">
        <v>0</v>
      </c>
      <c r="S200" s="6">
        <v>24</v>
      </c>
      <c r="T200" s="6">
        <v>0</v>
      </c>
      <c r="U200" s="6">
        <v>0</v>
      </c>
      <c r="V200" s="6">
        <f>IF(ISERROR(VLOOKUP($S$200,'TAR FIN'!$A$1:$O$86,15,0)),0,VLOOKUP($S$200,'TAR FIN'!$A$1:$O$86,15,0))</f>
        <v>22.9</v>
      </c>
      <c r="W200" s="6">
        <f>IF(ISERROR(VLOOKUP($T$200,'TAR FIN'!$A$1:$O$86,15,0)),0,VLOOKUP($T$200,'TAR FIN'!$A$1:$O$86,15,0))</f>
        <v>0</v>
      </c>
      <c r="X200" s="6">
        <f>IF(ISERROR(VLOOKUP($U$200,'TAR FIN'!$A$1:$O$86,15,0)),0,VLOOKUP($U$200,'TAR FIN'!$A$1:$O$86,15,0))</f>
        <v>0</v>
      </c>
      <c r="Y200" s="6">
        <f ca="1">('TUSD BE'!$AM$10+'TUSD BF'!$AM$10+'TUSD CVA'!$AM$10)*1</f>
        <v>21.733731888847863</v>
      </c>
      <c r="Z200" s="6"/>
      <c r="AA200" s="6"/>
      <c r="AB200" s="6">
        <f>$K$200*$V$200</f>
        <v>331317.19999999995</v>
      </c>
      <c r="AC200" s="6">
        <f>$M$200*$W$200</f>
        <v>0</v>
      </c>
      <c r="AD200" s="6">
        <f>$O$200*$X$200</f>
        <v>0</v>
      </c>
      <c r="AE200" s="6">
        <f ca="1">$K$200*$Y$200</f>
        <v>314443.63296785089</v>
      </c>
      <c r="AF200" s="6">
        <f>$M$200*$Z$200</f>
        <v>0</v>
      </c>
      <c r="AG200" s="6">
        <f>$O$200*$AA$200</f>
        <v>0</v>
      </c>
    </row>
    <row r="201" spans="1:33" ht="11.25" customHeight="1" x14ac:dyDescent="0.25">
      <c r="A201" s="4" t="s">
        <v>28</v>
      </c>
      <c r="B201" s="4" t="s">
        <v>35</v>
      </c>
      <c r="C201" s="4" t="s">
        <v>39</v>
      </c>
      <c r="D201" s="4" t="s">
        <v>34</v>
      </c>
      <c r="E201" s="4" t="s">
        <v>25</v>
      </c>
      <c r="F201" s="4" t="s">
        <v>25</v>
      </c>
      <c r="G201" s="4" t="s">
        <v>25</v>
      </c>
      <c r="H201" s="4" t="s">
        <v>25</v>
      </c>
      <c r="I201" s="5">
        <v>44682</v>
      </c>
      <c r="J201" s="6">
        <v>518</v>
      </c>
      <c r="K201" s="6">
        <v>518</v>
      </c>
      <c r="L201" s="6">
        <v>0</v>
      </c>
      <c r="M201" s="6">
        <v>0</v>
      </c>
      <c r="N201" s="6">
        <v>0</v>
      </c>
      <c r="O201" s="6">
        <v>0</v>
      </c>
      <c r="P201" s="6">
        <v>2</v>
      </c>
      <c r="Q201" s="4" t="s">
        <v>26</v>
      </c>
      <c r="R201" s="4">
        <v>0</v>
      </c>
      <c r="S201" s="6">
        <v>24</v>
      </c>
      <c r="T201" s="6">
        <v>0</v>
      </c>
      <c r="U201" s="6">
        <v>0</v>
      </c>
      <c r="V201" s="6">
        <f>IF(ISERROR(VLOOKUP($S$201,'TAR FIN'!$A$1:$O$86,15,0)),0,VLOOKUP($S$201,'TAR FIN'!$A$1:$O$86,15,0))</f>
        <v>22.9</v>
      </c>
      <c r="W201" s="6">
        <f>IF(ISERROR(VLOOKUP($T$201,'TAR FIN'!$A$1:$O$86,15,0)),0,VLOOKUP($T$201,'TAR FIN'!$A$1:$O$86,15,0))</f>
        <v>0</v>
      </c>
      <c r="X201" s="6">
        <f>IF(ISERROR(VLOOKUP($U$201,'TAR FIN'!$A$1:$O$86,15,0)),0,VLOOKUP($U$201,'TAR FIN'!$A$1:$O$86,15,0))</f>
        <v>0</v>
      </c>
      <c r="Y201" s="6">
        <f ca="1">('TUSD BE'!$AM$10+'TUSD BF'!$AM$10+'TUSD CVA'!$AM$10)*1</f>
        <v>21.733731888847863</v>
      </c>
      <c r="Z201" s="6"/>
      <c r="AA201" s="6"/>
      <c r="AB201" s="6">
        <f>$K$201*$V$201</f>
        <v>11862.199999999999</v>
      </c>
      <c r="AC201" s="6">
        <f>$M$201*$W$201</f>
        <v>0</v>
      </c>
      <c r="AD201" s="6">
        <f>$O$201*$X$201</f>
        <v>0</v>
      </c>
      <c r="AE201" s="6">
        <f ca="1">$K$201*$Y$201</f>
        <v>11258.073118423194</v>
      </c>
      <c r="AF201" s="6">
        <f>$M$201*$Z$201</f>
        <v>0</v>
      </c>
      <c r="AG201" s="6">
        <f>$O$201*$AA$201</f>
        <v>0</v>
      </c>
    </row>
    <row r="202" spans="1:33" ht="11.25" customHeight="1" x14ac:dyDescent="0.25">
      <c r="A202" s="4" t="s">
        <v>21</v>
      </c>
      <c r="B202" s="4" t="s">
        <v>35</v>
      </c>
      <c r="C202" s="4" t="s">
        <v>39</v>
      </c>
      <c r="D202" s="4" t="s">
        <v>34</v>
      </c>
      <c r="E202" s="4" t="s">
        <v>25</v>
      </c>
      <c r="F202" s="4" t="s">
        <v>25</v>
      </c>
      <c r="G202" s="4" t="s">
        <v>25</v>
      </c>
      <c r="H202" s="4" t="s">
        <v>25</v>
      </c>
      <c r="I202" s="5">
        <v>44713</v>
      </c>
      <c r="J202" s="6">
        <v>14710</v>
      </c>
      <c r="K202" s="6">
        <v>14710</v>
      </c>
      <c r="L202" s="6">
        <v>0</v>
      </c>
      <c r="M202" s="6">
        <v>0</v>
      </c>
      <c r="N202" s="6">
        <v>0</v>
      </c>
      <c r="O202" s="6">
        <v>0</v>
      </c>
      <c r="P202" s="6">
        <v>55</v>
      </c>
      <c r="Q202" s="4" t="s">
        <v>26</v>
      </c>
      <c r="R202" s="4">
        <v>0</v>
      </c>
      <c r="S202" s="6">
        <v>24</v>
      </c>
      <c r="T202" s="6">
        <v>0</v>
      </c>
      <c r="U202" s="6">
        <v>0</v>
      </c>
      <c r="V202" s="6">
        <f>IF(ISERROR(VLOOKUP($S$202,'TAR FIN'!$A$1:$O$86,15,0)),0,VLOOKUP($S$202,'TAR FIN'!$A$1:$O$86,15,0))</f>
        <v>22.9</v>
      </c>
      <c r="W202" s="6">
        <f>IF(ISERROR(VLOOKUP($T$202,'TAR FIN'!$A$1:$O$86,15,0)),0,VLOOKUP($T$202,'TAR FIN'!$A$1:$O$86,15,0))</f>
        <v>0</v>
      </c>
      <c r="X202" s="6">
        <f>IF(ISERROR(VLOOKUP($U$202,'TAR FIN'!$A$1:$O$86,15,0)),0,VLOOKUP($U$202,'TAR FIN'!$A$1:$O$86,15,0))</f>
        <v>0</v>
      </c>
      <c r="Y202" s="6">
        <f ca="1">('TUSD BE'!$AM$10+'TUSD BF'!$AM$10+'TUSD CVA'!$AM$10)*1</f>
        <v>21.733731888847863</v>
      </c>
      <c r="Z202" s="6"/>
      <c r="AA202" s="6"/>
      <c r="AB202" s="6">
        <f>$K$202*$V$202</f>
        <v>336859</v>
      </c>
      <c r="AC202" s="6">
        <f>$M$202*$W$202</f>
        <v>0</v>
      </c>
      <c r="AD202" s="6">
        <f>$O$202*$X$202</f>
        <v>0</v>
      </c>
      <c r="AE202" s="6">
        <f ca="1">$K$202*$Y$202</f>
        <v>319703.1960849521</v>
      </c>
      <c r="AF202" s="6">
        <f>$M$202*$Z$202</f>
        <v>0</v>
      </c>
      <c r="AG202" s="6">
        <f>$O$202*$AA$202</f>
        <v>0</v>
      </c>
    </row>
    <row r="203" spans="1:33" ht="11.25" customHeight="1" x14ac:dyDescent="0.25">
      <c r="A203" s="4" t="s">
        <v>28</v>
      </c>
      <c r="B203" s="4" t="s">
        <v>35</v>
      </c>
      <c r="C203" s="4" t="s">
        <v>39</v>
      </c>
      <c r="D203" s="4" t="s">
        <v>34</v>
      </c>
      <c r="E203" s="4" t="s">
        <v>25</v>
      </c>
      <c r="F203" s="4" t="s">
        <v>25</v>
      </c>
      <c r="G203" s="4" t="s">
        <v>25</v>
      </c>
      <c r="H203" s="4" t="s">
        <v>25</v>
      </c>
      <c r="I203" s="5">
        <v>44713</v>
      </c>
      <c r="J203" s="6">
        <v>514</v>
      </c>
      <c r="K203" s="6">
        <v>514</v>
      </c>
      <c r="L203" s="6">
        <v>0</v>
      </c>
      <c r="M203" s="6">
        <v>0</v>
      </c>
      <c r="N203" s="6">
        <v>0</v>
      </c>
      <c r="O203" s="6">
        <v>0</v>
      </c>
      <c r="P203" s="6">
        <v>2</v>
      </c>
      <c r="Q203" s="4" t="s">
        <v>26</v>
      </c>
      <c r="R203" s="4">
        <v>0</v>
      </c>
      <c r="S203" s="6">
        <v>24</v>
      </c>
      <c r="T203" s="6">
        <v>0</v>
      </c>
      <c r="U203" s="6">
        <v>0</v>
      </c>
      <c r="V203" s="6">
        <f>IF(ISERROR(VLOOKUP($S$203,'TAR FIN'!$A$1:$O$86,15,0)),0,VLOOKUP($S$203,'TAR FIN'!$A$1:$O$86,15,0))</f>
        <v>22.9</v>
      </c>
      <c r="W203" s="6">
        <f>IF(ISERROR(VLOOKUP($T$203,'TAR FIN'!$A$1:$O$86,15,0)),0,VLOOKUP($T$203,'TAR FIN'!$A$1:$O$86,15,0))</f>
        <v>0</v>
      </c>
      <c r="X203" s="6">
        <f>IF(ISERROR(VLOOKUP($U$203,'TAR FIN'!$A$1:$O$86,15,0)),0,VLOOKUP($U$203,'TAR FIN'!$A$1:$O$86,15,0))</f>
        <v>0</v>
      </c>
      <c r="Y203" s="6">
        <f ca="1">('TUSD BE'!$AM$10+'TUSD BF'!$AM$10+'TUSD CVA'!$AM$10)*1</f>
        <v>21.733731888847863</v>
      </c>
      <c r="Z203" s="6"/>
      <c r="AA203" s="6"/>
      <c r="AB203" s="6">
        <f>$K$203*$V$203</f>
        <v>11770.599999999999</v>
      </c>
      <c r="AC203" s="6">
        <f>$M$203*$W$203</f>
        <v>0</v>
      </c>
      <c r="AD203" s="6">
        <f>$O$203*$X$203</f>
        <v>0</v>
      </c>
      <c r="AE203" s="6">
        <f ca="1">$K$203*$Y$203</f>
        <v>11171.138190867801</v>
      </c>
      <c r="AF203" s="6">
        <f>$M$203*$Z$203</f>
        <v>0</v>
      </c>
      <c r="AG203" s="6">
        <f>$O$203*$AA$203</f>
        <v>0</v>
      </c>
    </row>
    <row r="204" spans="1:33" ht="11.25" customHeight="1" x14ac:dyDescent="0.25">
      <c r="A204" s="4" t="s">
        <v>55</v>
      </c>
      <c r="B204" s="4" t="s">
        <v>35</v>
      </c>
      <c r="C204" s="4" t="s">
        <v>39</v>
      </c>
      <c r="D204" s="4" t="s">
        <v>34</v>
      </c>
      <c r="E204" s="4" t="s">
        <v>25</v>
      </c>
      <c r="F204" s="4" t="s">
        <v>25</v>
      </c>
      <c r="G204" s="4" t="s">
        <v>25</v>
      </c>
      <c r="H204" s="4" t="s">
        <v>25</v>
      </c>
      <c r="I204" s="5">
        <v>44743</v>
      </c>
      <c r="J204" s="6">
        <v>14710</v>
      </c>
      <c r="K204" s="6">
        <v>14710</v>
      </c>
      <c r="L204" s="6">
        <v>0</v>
      </c>
      <c r="M204" s="6">
        <v>0</v>
      </c>
      <c r="N204" s="6">
        <v>0</v>
      </c>
      <c r="O204" s="6">
        <v>0</v>
      </c>
      <c r="P204" s="6">
        <v>55</v>
      </c>
      <c r="Q204" s="4" t="s">
        <v>26</v>
      </c>
      <c r="R204" s="4">
        <v>0</v>
      </c>
      <c r="S204" s="6">
        <v>24</v>
      </c>
      <c r="T204" s="6">
        <v>0</v>
      </c>
      <c r="U204" s="6">
        <v>0</v>
      </c>
      <c r="V204" s="6">
        <f>IF(ISERROR(VLOOKUP($S$204,'TAR FIN'!$A$1:$O$86,15,0)),0,VLOOKUP($S$204,'TAR FIN'!$A$1:$O$86,15,0))</f>
        <v>22.9</v>
      </c>
      <c r="W204" s="6">
        <f>IF(ISERROR(VLOOKUP($T$204,'TAR FIN'!$A$1:$O$86,15,0)),0,VLOOKUP($T$204,'TAR FIN'!$A$1:$O$86,15,0))</f>
        <v>0</v>
      </c>
      <c r="X204" s="6">
        <f>IF(ISERROR(VLOOKUP($U$204,'TAR FIN'!$A$1:$O$86,15,0)),0,VLOOKUP($U$204,'TAR FIN'!$A$1:$O$86,15,0))</f>
        <v>0</v>
      </c>
      <c r="Y204" s="6">
        <f ca="1">('TUSD BE'!$AM$10+'TUSD BF'!$AM$10+'TUSD CVA'!$AM$10)*1</f>
        <v>21.733731888847863</v>
      </c>
      <c r="Z204" s="6"/>
      <c r="AA204" s="6"/>
      <c r="AB204" s="6">
        <f>$K$204*$V$204</f>
        <v>336859</v>
      </c>
      <c r="AC204" s="6">
        <f>$M$204*$W$204</f>
        <v>0</v>
      </c>
      <c r="AD204" s="6">
        <f>$O$204*$X$204</f>
        <v>0</v>
      </c>
      <c r="AE204" s="6">
        <f ca="1">$K$204*$Y$204</f>
        <v>319703.1960849521</v>
      </c>
      <c r="AF204" s="6">
        <f>$M$204*$Z$204</f>
        <v>0</v>
      </c>
      <c r="AG204" s="6">
        <f>$O$204*$AA$204</f>
        <v>0</v>
      </c>
    </row>
    <row r="205" spans="1:33" ht="11.25" customHeight="1" x14ac:dyDescent="0.25">
      <c r="A205" s="4" t="s">
        <v>55</v>
      </c>
      <c r="B205" s="4" t="s">
        <v>35</v>
      </c>
      <c r="C205" s="4" t="s">
        <v>39</v>
      </c>
      <c r="D205" s="4" t="s">
        <v>34</v>
      </c>
      <c r="E205" s="4" t="s">
        <v>25</v>
      </c>
      <c r="F205" s="4" t="s">
        <v>25</v>
      </c>
      <c r="G205" s="4" t="s">
        <v>25</v>
      </c>
      <c r="H205" s="4" t="s">
        <v>25</v>
      </c>
      <c r="I205" s="5">
        <v>44743</v>
      </c>
      <c r="J205" s="6">
        <v>514</v>
      </c>
      <c r="K205" s="6">
        <v>514</v>
      </c>
      <c r="L205" s="6">
        <v>0</v>
      </c>
      <c r="M205" s="6">
        <v>0</v>
      </c>
      <c r="N205" s="6">
        <v>0</v>
      </c>
      <c r="O205" s="6">
        <v>0</v>
      </c>
      <c r="P205" s="6">
        <v>2</v>
      </c>
      <c r="Q205" s="4" t="s">
        <v>26</v>
      </c>
      <c r="R205" s="4">
        <v>0</v>
      </c>
      <c r="S205" s="6">
        <v>24</v>
      </c>
      <c r="T205" s="6">
        <v>0</v>
      </c>
      <c r="U205" s="6">
        <v>0</v>
      </c>
      <c r="V205" s="6">
        <f>IF(ISERROR(VLOOKUP($S$205,'TAR FIN'!$A$1:$O$86,15,0)),0,VLOOKUP($S$205,'TAR FIN'!$A$1:$O$86,15,0))</f>
        <v>22.9</v>
      </c>
      <c r="W205" s="6">
        <f>IF(ISERROR(VLOOKUP($T$205,'TAR FIN'!$A$1:$O$86,15,0)),0,VLOOKUP($T$205,'TAR FIN'!$A$1:$O$86,15,0))</f>
        <v>0</v>
      </c>
      <c r="X205" s="6">
        <f>IF(ISERROR(VLOOKUP($U$205,'TAR FIN'!$A$1:$O$86,15,0)),0,VLOOKUP($U$205,'TAR FIN'!$A$1:$O$86,15,0))</f>
        <v>0</v>
      </c>
      <c r="Y205" s="6">
        <f ca="1">('TUSD BE'!$AM$10+'TUSD BF'!$AM$10+'TUSD CVA'!$AM$10)*1</f>
        <v>21.733731888847863</v>
      </c>
      <c r="Z205" s="6"/>
      <c r="AA205" s="6"/>
      <c r="AB205" s="6">
        <f>$K$205*$V$205</f>
        <v>11770.599999999999</v>
      </c>
      <c r="AC205" s="6">
        <f>$M$205*$W$205</f>
        <v>0</v>
      </c>
      <c r="AD205" s="6">
        <f>$O$205*$X$205</f>
        <v>0</v>
      </c>
      <c r="AE205" s="6">
        <f ca="1">$K$205*$Y$205</f>
        <v>11171.138190867801</v>
      </c>
      <c r="AF205" s="6">
        <f>$M$205*$Z$205</f>
        <v>0</v>
      </c>
      <c r="AG205" s="6">
        <f>$O$205*$AA$205</f>
        <v>0</v>
      </c>
    </row>
    <row r="206" spans="1:33" ht="11.25" customHeight="1" x14ac:dyDescent="0.25">
      <c r="A206" s="4" t="s">
        <v>21</v>
      </c>
      <c r="B206" s="4" t="s">
        <v>35</v>
      </c>
      <c r="C206" s="4" t="s">
        <v>39</v>
      </c>
      <c r="D206" s="4" t="s">
        <v>34</v>
      </c>
      <c r="E206" s="4" t="s">
        <v>25</v>
      </c>
      <c r="F206" s="4" t="s">
        <v>25</v>
      </c>
      <c r="G206" s="4" t="s">
        <v>25</v>
      </c>
      <c r="H206" s="4" t="s">
        <v>37</v>
      </c>
      <c r="I206" s="5">
        <v>44409</v>
      </c>
      <c r="J206" s="6">
        <v>0</v>
      </c>
      <c r="K206" s="6">
        <v>0</v>
      </c>
      <c r="L206" s="6">
        <v>98.257999999999996</v>
      </c>
      <c r="M206" s="6">
        <v>98.257999999999996</v>
      </c>
      <c r="N206" s="6">
        <v>98.257999999999996</v>
      </c>
      <c r="O206" s="6">
        <v>98.257999999999996</v>
      </c>
      <c r="P206" s="6">
        <v>0</v>
      </c>
      <c r="Q206" s="4" t="s">
        <v>26</v>
      </c>
      <c r="R206" s="4">
        <v>0</v>
      </c>
      <c r="S206" s="6">
        <v>0</v>
      </c>
      <c r="T206" s="6">
        <v>5</v>
      </c>
      <c r="U206" s="6">
        <v>69</v>
      </c>
      <c r="V206" s="6">
        <f>IF(ISERROR(VLOOKUP($S$206,'TAR FIN'!$A$1:$O$86,15,0)),0,VLOOKUP($S$206,'TAR FIN'!$A$1:$O$86,15,0))</f>
        <v>0</v>
      </c>
      <c r="W206" s="6">
        <f>IF(ISERROR(VLOOKUP($T$206,'TAR FIN'!$A$1:$O$86,15,0)),0,VLOOKUP($T$206,'TAR FIN'!$A$1:$O$86,15,0))</f>
        <v>1518.97</v>
      </c>
      <c r="X206" s="6">
        <f>IF(ISERROR(VLOOKUP($U$206,'TAR FIN'!$A$1:$O$86,15,0)),0,VLOOKUP($U$206,'TAR FIN'!$A$1:$O$86,15,0))</f>
        <v>359.33</v>
      </c>
      <c r="Y206" s="6"/>
      <c r="Z206" s="6">
        <f ca="1">('TUSD BE'!$AM$11+'TUSD BF'!$AM$11+'TUSD CVA'!$AM$11)*1</f>
        <v>1492.9858702094405</v>
      </c>
      <c r="AA206" s="6">
        <f>('TE BE'!$AB$5+'TE BF'!$AB$5+'TE CVA'!$AB$5)*1</f>
        <v>362.73600214515886</v>
      </c>
      <c r="AB206" s="6">
        <f>$K$206*$V$206</f>
        <v>0</v>
      </c>
      <c r="AC206" s="6">
        <f>$M$206*$W$206</f>
        <v>149250.95426</v>
      </c>
      <c r="AD206" s="6">
        <f>$O$206*$X$206</f>
        <v>35307.047139999995</v>
      </c>
      <c r="AE206" s="6">
        <f>$K$206*$Y$206</f>
        <v>0</v>
      </c>
      <c r="AF206" s="6">
        <f ca="1">$M$206*$Z$206</f>
        <v>146697.8056350392</v>
      </c>
      <c r="AG206" s="6">
        <f>$O$206*$AA$206</f>
        <v>35641.714098779019</v>
      </c>
    </row>
    <row r="207" spans="1:33" ht="11.25" customHeight="1" x14ac:dyDescent="0.25">
      <c r="A207" s="4" t="s">
        <v>28</v>
      </c>
      <c r="B207" s="4" t="s">
        <v>35</v>
      </c>
      <c r="C207" s="4" t="s">
        <v>39</v>
      </c>
      <c r="D207" s="4" t="s">
        <v>34</v>
      </c>
      <c r="E207" s="4" t="s">
        <v>25</v>
      </c>
      <c r="F207" s="4" t="s">
        <v>25</v>
      </c>
      <c r="G207" s="4" t="s">
        <v>25</v>
      </c>
      <c r="H207" s="4" t="s">
        <v>37</v>
      </c>
      <c r="I207" s="5">
        <v>44409</v>
      </c>
      <c r="J207" s="6">
        <v>0</v>
      </c>
      <c r="K207" s="6">
        <v>0</v>
      </c>
      <c r="L207" s="6">
        <v>18.809999999999999</v>
      </c>
      <c r="M207" s="6">
        <v>18.809999999999999</v>
      </c>
      <c r="N207" s="6">
        <v>18.809999999999999</v>
      </c>
      <c r="O207" s="6">
        <v>18.809999999999999</v>
      </c>
      <c r="P207" s="6">
        <v>0</v>
      </c>
      <c r="Q207" s="4" t="s">
        <v>26</v>
      </c>
      <c r="R207" s="4">
        <v>0</v>
      </c>
      <c r="S207" s="6">
        <v>0</v>
      </c>
      <c r="T207" s="6">
        <v>5</v>
      </c>
      <c r="U207" s="6">
        <v>69</v>
      </c>
      <c r="V207" s="6">
        <f>IF(ISERROR(VLOOKUP($S$207,'TAR FIN'!$A$1:$O$86,15,0)),0,VLOOKUP($S$207,'TAR FIN'!$A$1:$O$86,15,0))</f>
        <v>0</v>
      </c>
      <c r="W207" s="6">
        <f>IF(ISERROR(VLOOKUP($T$207,'TAR FIN'!$A$1:$O$86,15,0)),0,VLOOKUP($T$207,'TAR FIN'!$A$1:$O$86,15,0))</f>
        <v>1518.97</v>
      </c>
      <c r="X207" s="6">
        <f>IF(ISERROR(VLOOKUP($U$207,'TAR FIN'!$A$1:$O$86,15,0)),0,VLOOKUP($U$207,'TAR FIN'!$A$1:$O$86,15,0))</f>
        <v>359.33</v>
      </c>
      <c r="Y207" s="6"/>
      <c r="Z207" s="6">
        <f ca="1">('TUSD BE'!$AM$11+'TUSD BF'!$AM$11+'TUSD CVA'!$AM$11)*1</f>
        <v>1492.9858702094405</v>
      </c>
      <c r="AA207" s="6">
        <f>('TE BE'!$AB$5+'TE BF'!$AB$5+'TE CVA'!$AB$5)*1</f>
        <v>362.73600214515886</v>
      </c>
      <c r="AB207" s="6">
        <f>$K$207*$V$207</f>
        <v>0</v>
      </c>
      <c r="AC207" s="6">
        <f>$M$207*$W$207</f>
        <v>28571.825699999998</v>
      </c>
      <c r="AD207" s="6">
        <f>$O$207*$X$207</f>
        <v>6758.9972999999991</v>
      </c>
      <c r="AE207" s="6">
        <f>$K$207*$Y$207</f>
        <v>0</v>
      </c>
      <c r="AF207" s="6">
        <f ca="1">$M$207*$Z$207</f>
        <v>28083.064218639574</v>
      </c>
      <c r="AG207" s="6">
        <f>$O$207*$AA$207</f>
        <v>6823.0642003504381</v>
      </c>
    </row>
    <row r="208" spans="1:33" ht="11.25" customHeight="1" x14ac:dyDescent="0.25">
      <c r="A208" s="4" t="s">
        <v>21</v>
      </c>
      <c r="B208" s="4" t="s">
        <v>35</v>
      </c>
      <c r="C208" s="4" t="s">
        <v>39</v>
      </c>
      <c r="D208" s="4" t="s">
        <v>34</v>
      </c>
      <c r="E208" s="4" t="s">
        <v>25</v>
      </c>
      <c r="F208" s="4" t="s">
        <v>25</v>
      </c>
      <c r="G208" s="4" t="s">
        <v>25</v>
      </c>
      <c r="H208" s="4" t="s">
        <v>37</v>
      </c>
      <c r="I208" s="5">
        <v>44440</v>
      </c>
      <c r="J208" s="6">
        <v>0</v>
      </c>
      <c r="K208" s="6">
        <v>0</v>
      </c>
      <c r="L208" s="6">
        <v>114.117</v>
      </c>
      <c r="M208" s="6">
        <v>114.117</v>
      </c>
      <c r="N208" s="6">
        <v>114.117</v>
      </c>
      <c r="O208" s="6">
        <v>114.117</v>
      </c>
      <c r="P208" s="6">
        <v>0</v>
      </c>
      <c r="Q208" s="4" t="s">
        <v>26</v>
      </c>
      <c r="R208" s="4">
        <v>0</v>
      </c>
      <c r="S208" s="6">
        <v>0</v>
      </c>
      <c r="T208" s="6">
        <v>5</v>
      </c>
      <c r="U208" s="6">
        <v>69</v>
      </c>
      <c r="V208" s="6">
        <f>IF(ISERROR(VLOOKUP($S$208,'TAR FIN'!$A$1:$O$86,15,0)),0,VLOOKUP($S$208,'TAR FIN'!$A$1:$O$86,15,0))</f>
        <v>0</v>
      </c>
      <c r="W208" s="6">
        <f>IF(ISERROR(VLOOKUP($T$208,'TAR FIN'!$A$1:$O$86,15,0)),0,VLOOKUP($T$208,'TAR FIN'!$A$1:$O$86,15,0))</f>
        <v>1518.97</v>
      </c>
      <c r="X208" s="6">
        <f>IF(ISERROR(VLOOKUP($U$208,'TAR FIN'!$A$1:$O$86,15,0)),0,VLOOKUP($U$208,'TAR FIN'!$A$1:$O$86,15,0))</f>
        <v>359.33</v>
      </c>
      <c r="Y208" s="6"/>
      <c r="Z208" s="6">
        <f ca="1">('TUSD BE'!$AM$11+'TUSD BF'!$AM$11+'TUSD CVA'!$AM$11)*1</f>
        <v>1492.9858702094405</v>
      </c>
      <c r="AA208" s="6">
        <f>('TE BE'!$AB$5+'TE BF'!$AB$5+'TE CVA'!$AB$5)*1</f>
        <v>362.73600214515886</v>
      </c>
      <c r="AB208" s="6">
        <f>$K$208*$V$208</f>
        <v>0</v>
      </c>
      <c r="AC208" s="6">
        <f>$M$208*$W$208</f>
        <v>173340.29949</v>
      </c>
      <c r="AD208" s="6">
        <f>$O$208*$X$208</f>
        <v>41005.661610000003</v>
      </c>
      <c r="AE208" s="6">
        <f>$K$208*$Y$208</f>
        <v>0</v>
      </c>
      <c r="AF208" s="6">
        <f ca="1">$M$208*$Z$208</f>
        <v>170375.06855069072</v>
      </c>
      <c r="AG208" s="6">
        <f>$O$208*$AA$208</f>
        <v>41394.344356799098</v>
      </c>
    </row>
    <row r="209" spans="1:33" ht="11.25" customHeight="1" x14ac:dyDescent="0.25">
      <c r="A209" s="4" t="s">
        <v>28</v>
      </c>
      <c r="B209" s="4" t="s">
        <v>35</v>
      </c>
      <c r="C209" s="4" t="s">
        <v>39</v>
      </c>
      <c r="D209" s="4" t="s">
        <v>34</v>
      </c>
      <c r="E209" s="4" t="s">
        <v>25</v>
      </c>
      <c r="F209" s="4" t="s">
        <v>25</v>
      </c>
      <c r="G209" s="4" t="s">
        <v>25</v>
      </c>
      <c r="H209" s="4" t="s">
        <v>37</v>
      </c>
      <c r="I209" s="5">
        <v>44440</v>
      </c>
      <c r="J209" s="6">
        <v>0</v>
      </c>
      <c r="K209" s="6">
        <v>0</v>
      </c>
      <c r="L209" s="6">
        <v>9.0500000000000007</v>
      </c>
      <c r="M209" s="6">
        <v>9.0500000000000007</v>
      </c>
      <c r="N209" s="6">
        <v>9.0500000000000007</v>
      </c>
      <c r="O209" s="6">
        <v>9.0500000000000007</v>
      </c>
      <c r="P209" s="6">
        <v>0</v>
      </c>
      <c r="Q209" s="4" t="s">
        <v>26</v>
      </c>
      <c r="R209" s="4">
        <v>0</v>
      </c>
      <c r="S209" s="6">
        <v>0</v>
      </c>
      <c r="T209" s="6">
        <v>5</v>
      </c>
      <c r="U209" s="6">
        <v>69</v>
      </c>
      <c r="V209" s="6">
        <f>IF(ISERROR(VLOOKUP($S$209,'TAR FIN'!$A$1:$O$86,15,0)),0,VLOOKUP($S$209,'TAR FIN'!$A$1:$O$86,15,0))</f>
        <v>0</v>
      </c>
      <c r="W209" s="6">
        <f>IF(ISERROR(VLOOKUP($T$209,'TAR FIN'!$A$1:$O$86,15,0)),0,VLOOKUP($T$209,'TAR FIN'!$A$1:$O$86,15,0))</f>
        <v>1518.97</v>
      </c>
      <c r="X209" s="6">
        <f>IF(ISERROR(VLOOKUP($U$209,'TAR FIN'!$A$1:$O$86,15,0)),0,VLOOKUP($U$209,'TAR FIN'!$A$1:$O$86,15,0))</f>
        <v>359.33</v>
      </c>
      <c r="Y209" s="6"/>
      <c r="Z209" s="6">
        <f ca="1">('TUSD BE'!$AM$11+'TUSD BF'!$AM$11+'TUSD CVA'!$AM$11)*1</f>
        <v>1492.9858702094405</v>
      </c>
      <c r="AA209" s="6">
        <f>('TE BE'!$AB$5+'TE BF'!$AB$5+'TE CVA'!$AB$5)*1</f>
        <v>362.73600214515886</v>
      </c>
      <c r="AB209" s="6">
        <f>$K$209*$V$209</f>
        <v>0</v>
      </c>
      <c r="AC209" s="6">
        <f>$M$209*$W$209</f>
        <v>13746.678500000002</v>
      </c>
      <c r="AD209" s="6">
        <f>$O$209*$X$209</f>
        <v>3251.9365000000003</v>
      </c>
      <c r="AE209" s="6">
        <f>$K$209*$Y$209</f>
        <v>0</v>
      </c>
      <c r="AF209" s="6">
        <f ca="1">$M$209*$Z$209</f>
        <v>13511.522125395437</v>
      </c>
      <c r="AG209" s="6">
        <f>$O$209*$AA$209</f>
        <v>3282.7608194136878</v>
      </c>
    </row>
    <row r="210" spans="1:33" ht="11.25" customHeight="1" x14ac:dyDescent="0.25">
      <c r="A210" s="4" t="s">
        <v>21</v>
      </c>
      <c r="B210" s="4" t="s">
        <v>35</v>
      </c>
      <c r="C210" s="4" t="s">
        <v>39</v>
      </c>
      <c r="D210" s="4" t="s">
        <v>34</v>
      </c>
      <c r="E210" s="4" t="s">
        <v>25</v>
      </c>
      <c r="F210" s="4" t="s">
        <v>25</v>
      </c>
      <c r="G210" s="4" t="s">
        <v>25</v>
      </c>
      <c r="H210" s="4" t="s">
        <v>37</v>
      </c>
      <c r="I210" s="5">
        <v>44470</v>
      </c>
      <c r="J210" s="6">
        <v>0</v>
      </c>
      <c r="K210" s="6">
        <v>0</v>
      </c>
      <c r="L210" s="6">
        <v>95.334999999999994</v>
      </c>
      <c r="M210" s="6">
        <v>95.334999999999994</v>
      </c>
      <c r="N210" s="6">
        <v>95.334999999999994</v>
      </c>
      <c r="O210" s="6">
        <v>95.334999999999994</v>
      </c>
      <c r="P210" s="6">
        <v>0</v>
      </c>
      <c r="Q210" s="4" t="s">
        <v>26</v>
      </c>
      <c r="R210" s="4">
        <v>0</v>
      </c>
      <c r="S210" s="6">
        <v>0</v>
      </c>
      <c r="T210" s="6">
        <v>5</v>
      </c>
      <c r="U210" s="6">
        <v>69</v>
      </c>
      <c r="V210" s="6">
        <f>IF(ISERROR(VLOOKUP($S$210,'TAR FIN'!$A$1:$O$86,15,0)),0,VLOOKUP($S$210,'TAR FIN'!$A$1:$O$86,15,0))</f>
        <v>0</v>
      </c>
      <c r="W210" s="6">
        <f>IF(ISERROR(VLOOKUP($T$210,'TAR FIN'!$A$1:$O$86,15,0)),0,VLOOKUP($T$210,'TAR FIN'!$A$1:$O$86,15,0))</f>
        <v>1518.97</v>
      </c>
      <c r="X210" s="6">
        <f>IF(ISERROR(VLOOKUP($U$210,'TAR FIN'!$A$1:$O$86,15,0)),0,VLOOKUP($U$210,'TAR FIN'!$A$1:$O$86,15,0))</f>
        <v>359.33</v>
      </c>
      <c r="Y210" s="6"/>
      <c r="Z210" s="6">
        <f ca="1">('TUSD BE'!$AM$11+'TUSD BF'!$AM$11+'TUSD CVA'!$AM$11)*1</f>
        <v>1492.9858702094405</v>
      </c>
      <c r="AA210" s="6">
        <f>('TE BE'!$AB$5+'TE BF'!$AB$5+'TE CVA'!$AB$5)*1</f>
        <v>362.73600214515886</v>
      </c>
      <c r="AB210" s="6">
        <f>$K$210*$V$210</f>
        <v>0</v>
      </c>
      <c r="AC210" s="6">
        <f>$M$210*$W$210</f>
        <v>144811.00495</v>
      </c>
      <c r="AD210" s="6">
        <f>$O$210*$X$210</f>
        <v>34256.725549999996</v>
      </c>
      <c r="AE210" s="6">
        <f>$K$210*$Y$210</f>
        <v>0</v>
      </c>
      <c r="AF210" s="6">
        <f ca="1">$M$210*$Z$210</f>
        <v>142333.807936417</v>
      </c>
      <c r="AG210" s="6">
        <f>$O$210*$AA$210</f>
        <v>34581.436764508719</v>
      </c>
    </row>
    <row r="211" spans="1:33" ht="11.25" customHeight="1" x14ac:dyDescent="0.25">
      <c r="A211" s="4" t="s">
        <v>28</v>
      </c>
      <c r="B211" s="4" t="s">
        <v>35</v>
      </c>
      <c r="C211" s="4" t="s">
        <v>39</v>
      </c>
      <c r="D211" s="4" t="s">
        <v>34</v>
      </c>
      <c r="E211" s="4" t="s">
        <v>25</v>
      </c>
      <c r="F211" s="4" t="s">
        <v>25</v>
      </c>
      <c r="G211" s="4" t="s">
        <v>25</v>
      </c>
      <c r="H211" s="4" t="s">
        <v>37</v>
      </c>
      <c r="I211" s="5">
        <v>44470</v>
      </c>
      <c r="J211" s="6">
        <v>0</v>
      </c>
      <c r="K211" s="6">
        <v>0</v>
      </c>
      <c r="L211" s="6">
        <v>6.1539999999999999</v>
      </c>
      <c r="M211" s="6">
        <v>6.1539999999999999</v>
      </c>
      <c r="N211" s="6">
        <v>6.1539999999999999</v>
      </c>
      <c r="O211" s="6">
        <v>6.1539999999999999</v>
      </c>
      <c r="P211" s="6">
        <v>0</v>
      </c>
      <c r="Q211" s="4" t="s">
        <v>26</v>
      </c>
      <c r="R211" s="4">
        <v>0</v>
      </c>
      <c r="S211" s="6">
        <v>0</v>
      </c>
      <c r="T211" s="6">
        <v>5</v>
      </c>
      <c r="U211" s="6">
        <v>69</v>
      </c>
      <c r="V211" s="6">
        <f>IF(ISERROR(VLOOKUP($S$211,'TAR FIN'!$A$1:$O$86,15,0)),0,VLOOKUP($S$211,'TAR FIN'!$A$1:$O$86,15,0))</f>
        <v>0</v>
      </c>
      <c r="W211" s="6">
        <f>IF(ISERROR(VLOOKUP($T$211,'TAR FIN'!$A$1:$O$86,15,0)),0,VLOOKUP($T$211,'TAR FIN'!$A$1:$O$86,15,0))</f>
        <v>1518.97</v>
      </c>
      <c r="X211" s="6">
        <f>IF(ISERROR(VLOOKUP($U$211,'TAR FIN'!$A$1:$O$86,15,0)),0,VLOOKUP($U$211,'TAR FIN'!$A$1:$O$86,15,0))</f>
        <v>359.33</v>
      </c>
      <c r="Y211" s="6"/>
      <c r="Z211" s="6">
        <f ca="1">('TUSD BE'!$AM$11+'TUSD BF'!$AM$11+'TUSD CVA'!$AM$11)*1</f>
        <v>1492.9858702094405</v>
      </c>
      <c r="AA211" s="6">
        <f>('TE BE'!$AB$5+'TE BF'!$AB$5+'TE CVA'!$AB$5)*1</f>
        <v>362.73600214515886</v>
      </c>
      <c r="AB211" s="6">
        <f>$K$211*$V$211</f>
        <v>0</v>
      </c>
      <c r="AC211" s="6">
        <f>$M$211*$W$211</f>
        <v>9347.7413799999995</v>
      </c>
      <c r="AD211" s="6">
        <f>$O$211*$X$211</f>
        <v>2211.31682</v>
      </c>
      <c r="AE211" s="6">
        <f>$K$211*$Y$211</f>
        <v>0</v>
      </c>
      <c r="AF211" s="6">
        <f ca="1">$M$211*$Z$211</f>
        <v>9187.8350452688974</v>
      </c>
      <c r="AG211" s="6">
        <f>$O$211*$AA$211</f>
        <v>2232.2773572013075</v>
      </c>
    </row>
    <row r="212" spans="1:33" ht="11.25" customHeight="1" x14ac:dyDescent="0.25">
      <c r="A212" s="4" t="s">
        <v>21</v>
      </c>
      <c r="B212" s="4" t="s">
        <v>35</v>
      </c>
      <c r="C212" s="4" t="s">
        <v>39</v>
      </c>
      <c r="D212" s="4" t="s">
        <v>34</v>
      </c>
      <c r="E212" s="4" t="s">
        <v>25</v>
      </c>
      <c r="F212" s="4" t="s">
        <v>25</v>
      </c>
      <c r="G212" s="4" t="s">
        <v>25</v>
      </c>
      <c r="H212" s="4" t="s">
        <v>37</v>
      </c>
      <c r="I212" s="5">
        <v>44501</v>
      </c>
      <c r="J212" s="6">
        <v>0</v>
      </c>
      <c r="K212" s="6">
        <v>0</v>
      </c>
      <c r="L212" s="6">
        <v>108.517</v>
      </c>
      <c r="M212" s="6">
        <v>108.517</v>
      </c>
      <c r="N212" s="6">
        <v>108.517</v>
      </c>
      <c r="O212" s="6">
        <v>108.517</v>
      </c>
      <c r="P212" s="6">
        <v>0</v>
      </c>
      <c r="Q212" s="4" t="s">
        <v>26</v>
      </c>
      <c r="R212" s="4">
        <v>0</v>
      </c>
      <c r="S212" s="6">
        <v>0</v>
      </c>
      <c r="T212" s="6">
        <v>5</v>
      </c>
      <c r="U212" s="6">
        <v>69</v>
      </c>
      <c r="V212" s="6">
        <f>IF(ISERROR(VLOOKUP($S$212,'TAR FIN'!$A$1:$O$86,15,0)),0,VLOOKUP($S$212,'TAR FIN'!$A$1:$O$86,15,0))</f>
        <v>0</v>
      </c>
      <c r="W212" s="6">
        <f>IF(ISERROR(VLOOKUP($T$212,'TAR FIN'!$A$1:$O$86,15,0)),0,VLOOKUP($T$212,'TAR FIN'!$A$1:$O$86,15,0))</f>
        <v>1518.97</v>
      </c>
      <c r="X212" s="6">
        <f>IF(ISERROR(VLOOKUP($U$212,'TAR FIN'!$A$1:$O$86,15,0)),0,VLOOKUP($U$212,'TAR FIN'!$A$1:$O$86,15,0))</f>
        <v>359.33</v>
      </c>
      <c r="Y212" s="6"/>
      <c r="Z212" s="6">
        <f ca="1">('TUSD BE'!$AM$11+'TUSD BF'!$AM$11+'TUSD CVA'!$AM$11)*1</f>
        <v>1492.9858702094405</v>
      </c>
      <c r="AA212" s="6">
        <f>('TE BE'!$AB$5+'TE BF'!$AB$5+'TE CVA'!$AB$5)*1</f>
        <v>362.73600214515886</v>
      </c>
      <c r="AB212" s="6">
        <f>$K$212*$V$212</f>
        <v>0</v>
      </c>
      <c r="AC212" s="6">
        <f>$M$212*$W$212</f>
        <v>164834.06748999999</v>
      </c>
      <c r="AD212" s="6">
        <f>$O$212*$X$212</f>
        <v>38993.413609999996</v>
      </c>
      <c r="AE212" s="6">
        <f>$K$212*$Y$212</f>
        <v>0</v>
      </c>
      <c r="AF212" s="6">
        <f ca="1">$M$212*$Z$212</f>
        <v>162014.34767751786</v>
      </c>
      <c r="AG212" s="6">
        <f>$O$212*$AA$212</f>
        <v>39363.022744786205</v>
      </c>
    </row>
    <row r="213" spans="1:33" ht="11.25" customHeight="1" x14ac:dyDescent="0.25">
      <c r="A213" s="4" t="s">
        <v>28</v>
      </c>
      <c r="B213" s="4" t="s">
        <v>35</v>
      </c>
      <c r="C213" s="4" t="s">
        <v>39</v>
      </c>
      <c r="D213" s="4" t="s">
        <v>34</v>
      </c>
      <c r="E213" s="4" t="s">
        <v>25</v>
      </c>
      <c r="F213" s="4" t="s">
        <v>25</v>
      </c>
      <c r="G213" s="4" t="s">
        <v>25</v>
      </c>
      <c r="H213" s="4" t="s">
        <v>37</v>
      </c>
      <c r="I213" s="5">
        <v>44501</v>
      </c>
      <c r="J213" s="6">
        <v>0</v>
      </c>
      <c r="K213" s="6">
        <v>0</v>
      </c>
      <c r="L213" s="6">
        <v>13.173999999999999</v>
      </c>
      <c r="M213" s="6">
        <v>13.173999999999999</v>
      </c>
      <c r="N213" s="6">
        <v>13.173999999999999</v>
      </c>
      <c r="O213" s="6">
        <v>13.173999999999999</v>
      </c>
      <c r="P213" s="6">
        <v>0</v>
      </c>
      <c r="Q213" s="4" t="s">
        <v>26</v>
      </c>
      <c r="R213" s="4">
        <v>0</v>
      </c>
      <c r="S213" s="6">
        <v>0</v>
      </c>
      <c r="T213" s="6">
        <v>5</v>
      </c>
      <c r="U213" s="6">
        <v>69</v>
      </c>
      <c r="V213" s="6">
        <f>IF(ISERROR(VLOOKUP($S$213,'TAR FIN'!$A$1:$O$86,15,0)),0,VLOOKUP($S$213,'TAR FIN'!$A$1:$O$86,15,0))</f>
        <v>0</v>
      </c>
      <c r="W213" s="6">
        <f>IF(ISERROR(VLOOKUP($T$213,'TAR FIN'!$A$1:$O$86,15,0)),0,VLOOKUP($T$213,'TAR FIN'!$A$1:$O$86,15,0))</f>
        <v>1518.97</v>
      </c>
      <c r="X213" s="6">
        <f>IF(ISERROR(VLOOKUP($U$213,'TAR FIN'!$A$1:$O$86,15,0)),0,VLOOKUP($U$213,'TAR FIN'!$A$1:$O$86,15,0))</f>
        <v>359.33</v>
      </c>
      <c r="Y213" s="6"/>
      <c r="Z213" s="6">
        <f ca="1">('TUSD BE'!$AM$11+'TUSD BF'!$AM$11+'TUSD CVA'!$AM$11)*1</f>
        <v>1492.9858702094405</v>
      </c>
      <c r="AA213" s="6">
        <f>('TE BE'!$AB$5+'TE BF'!$AB$5+'TE CVA'!$AB$5)*1</f>
        <v>362.73600214515886</v>
      </c>
      <c r="AB213" s="6">
        <f>$K$213*$V$213</f>
        <v>0</v>
      </c>
      <c r="AC213" s="6">
        <f>$M$213*$W$213</f>
        <v>20010.910779999998</v>
      </c>
      <c r="AD213" s="6">
        <f>$O$213*$X$213</f>
        <v>4733.8134199999995</v>
      </c>
      <c r="AE213" s="6">
        <f>$K$213*$Y$213</f>
        <v>0</v>
      </c>
      <c r="AF213" s="6">
        <f ca="1">$M$213*$Z$213</f>
        <v>19668.595854139166</v>
      </c>
      <c r="AG213" s="6">
        <f>$O$213*$AA$213</f>
        <v>4778.6840922603224</v>
      </c>
    </row>
    <row r="214" spans="1:33" ht="11.25" customHeight="1" x14ac:dyDescent="0.25">
      <c r="A214" s="4" t="s">
        <v>21</v>
      </c>
      <c r="B214" s="4" t="s">
        <v>35</v>
      </c>
      <c r="C214" s="4" t="s">
        <v>39</v>
      </c>
      <c r="D214" s="4" t="s">
        <v>34</v>
      </c>
      <c r="E214" s="4" t="s">
        <v>25</v>
      </c>
      <c r="F214" s="4" t="s">
        <v>25</v>
      </c>
      <c r="G214" s="4" t="s">
        <v>25</v>
      </c>
      <c r="H214" s="4" t="s">
        <v>37</v>
      </c>
      <c r="I214" s="5">
        <v>44531</v>
      </c>
      <c r="J214" s="6">
        <v>0</v>
      </c>
      <c r="K214" s="6">
        <v>0</v>
      </c>
      <c r="L214" s="6">
        <v>118.67</v>
      </c>
      <c r="M214" s="6">
        <v>118.67</v>
      </c>
      <c r="N214" s="6">
        <v>118.67</v>
      </c>
      <c r="O214" s="6">
        <v>118.67</v>
      </c>
      <c r="P214" s="6">
        <v>0</v>
      </c>
      <c r="Q214" s="4" t="s">
        <v>26</v>
      </c>
      <c r="R214" s="4">
        <v>0</v>
      </c>
      <c r="S214" s="6">
        <v>0</v>
      </c>
      <c r="T214" s="6">
        <v>5</v>
      </c>
      <c r="U214" s="6">
        <v>69</v>
      </c>
      <c r="V214" s="6">
        <f>IF(ISERROR(VLOOKUP($S$214,'TAR FIN'!$A$1:$O$86,15,0)),0,VLOOKUP($S$214,'TAR FIN'!$A$1:$O$86,15,0))</f>
        <v>0</v>
      </c>
      <c r="W214" s="6">
        <f>IF(ISERROR(VLOOKUP($T$214,'TAR FIN'!$A$1:$O$86,15,0)),0,VLOOKUP($T$214,'TAR FIN'!$A$1:$O$86,15,0))</f>
        <v>1518.97</v>
      </c>
      <c r="X214" s="6">
        <f>IF(ISERROR(VLOOKUP($U$214,'TAR FIN'!$A$1:$O$86,15,0)),0,VLOOKUP($U$214,'TAR FIN'!$A$1:$O$86,15,0))</f>
        <v>359.33</v>
      </c>
      <c r="Y214" s="6"/>
      <c r="Z214" s="6">
        <f ca="1">('TUSD BE'!$AM$11+'TUSD BF'!$AM$11+'TUSD CVA'!$AM$11)*1</f>
        <v>1492.9858702094405</v>
      </c>
      <c r="AA214" s="6">
        <f>('TE BE'!$AB$5+'TE BF'!$AB$5+'TE CVA'!$AB$5)*1</f>
        <v>362.73600214515886</v>
      </c>
      <c r="AB214" s="6">
        <f>$K$214*$V$214</f>
        <v>0</v>
      </c>
      <c r="AC214" s="6">
        <f>$M$214*$W$214</f>
        <v>180256.16990000001</v>
      </c>
      <c r="AD214" s="6">
        <f>$O$214*$X$214</f>
        <v>42641.691099999996</v>
      </c>
      <c r="AE214" s="6">
        <f>$K$214*$Y$214</f>
        <v>0</v>
      </c>
      <c r="AF214" s="6">
        <f ca="1">$M$214*$Z$214</f>
        <v>177172.63321775431</v>
      </c>
      <c r="AG214" s="6">
        <f>$O$214*$AA$214</f>
        <v>43045.881374566001</v>
      </c>
    </row>
    <row r="215" spans="1:33" ht="11.25" customHeight="1" x14ac:dyDescent="0.25">
      <c r="A215" s="4" t="s">
        <v>28</v>
      </c>
      <c r="B215" s="4" t="s">
        <v>35</v>
      </c>
      <c r="C215" s="4" t="s">
        <v>39</v>
      </c>
      <c r="D215" s="4" t="s">
        <v>34</v>
      </c>
      <c r="E215" s="4" t="s">
        <v>25</v>
      </c>
      <c r="F215" s="4" t="s">
        <v>25</v>
      </c>
      <c r="G215" s="4" t="s">
        <v>25</v>
      </c>
      <c r="H215" s="4" t="s">
        <v>37</v>
      </c>
      <c r="I215" s="5">
        <v>44531</v>
      </c>
      <c r="J215" s="6">
        <v>0</v>
      </c>
      <c r="K215" s="6">
        <v>0</v>
      </c>
      <c r="L215" s="6">
        <v>17.209</v>
      </c>
      <c r="M215" s="6">
        <v>17.209</v>
      </c>
      <c r="N215" s="6">
        <v>17.209</v>
      </c>
      <c r="O215" s="6">
        <v>17.209</v>
      </c>
      <c r="P215" s="6">
        <v>0</v>
      </c>
      <c r="Q215" s="4" t="s">
        <v>26</v>
      </c>
      <c r="R215" s="4">
        <v>0</v>
      </c>
      <c r="S215" s="6">
        <v>0</v>
      </c>
      <c r="T215" s="6">
        <v>5</v>
      </c>
      <c r="U215" s="6">
        <v>69</v>
      </c>
      <c r="V215" s="6">
        <f>IF(ISERROR(VLOOKUP($S$215,'TAR FIN'!$A$1:$O$86,15,0)),0,VLOOKUP($S$215,'TAR FIN'!$A$1:$O$86,15,0))</f>
        <v>0</v>
      </c>
      <c r="W215" s="6">
        <f>IF(ISERROR(VLOOKUP($T$215,'TAR FIN'!$A$1:$O$86,15,0)),0,VLOOKUP($T$215,'TAR FIN'!$A$1:$O$86,15,0))</f>
        <v>1518.97</v>
      </c>
      <c r="X215" s="6">
        <f>IF(ISERROR(VLOOKUP($U$215,'TAR FIN'!$A$1:$O$86,15,0)),0,VLOOKUP($U$215,'TAR FIN'!$A$1:$O$86,15,0))</f>
        <v>359.33</v>
      </c>
      <c r="Y215" s="6"/>
      <c r="Z215" s="6">
        <f ca="1">('TUSD BE'!$AM$11+'TUSD BF'!$AM$11+'TUSD CVA'!$AM$11)*1</f>
        <v>1492.9858702094405</v>
      </c>
      <c r="AA215" s="6">
        <f>('TE BE'!$AB$5+'TE BF'!$AB$5+'TE CVA'!$AB$5)*1</f>
        <v>362.73600214515886</v>
      </c>
      <c r="AB215" s="6">
        <f>$K$215*$V$215</f>
        <v>0</v>
      </c>
      <c r="AC215" s="6">
        <f>$M$215*$W$215</f>
        <v>26139.954730000001</v>
      </c>
      <c r="AD215" s="6">
        <f>$O$215*$X$215</f>
        <v>6183.7099699999999</v>
      </c>
      <c r="AE215" s="6">
        <f>$K$215*$Y$215</f>
        <v>0</v>
      </c>
      <c r="AF215" s="6">
        <f ca="1">$M$215*$Z$215</f>
        <v>25692.79384043426</v>
      </c>
      <c r="AG215" s="6">
        <f>$O$215*$AA$215</f>
        <v>6242.3238609160389</v>
      </c>
    </row>
    <row r="216" spans="1:33" ht="11.25" customHeight="1" x14ac:dyDescent="0.25">
      <c r="A216" s="4" t="s">
        <v>21</v>
      </c>
      <c r="B216" s="4" t="s">
        <v>35</v>
      </c>
      <c r="C216" s="4" t="s">
        <v>39</v>
      </c>
      <c r="D216" s="4" t="s">
        <v>34</v>
      </c>
      <c r="E216" s="4" t="s">
        <v>25</v>
      </c>
      <c r="F216" s="4" t="s">
        <v>25</v>
      </c>
      <c r="G216" s="4" t="s">
        <v>25</v>
      </c>
      <c r="H216" s="4" t="s">
        <v>37</v>
      </c>
      <c r="I216" s="5">
        <v>44562</v>
      </c>
      <c r="J216" s="6">
        <v>0</v>
      </c>
      <c r="K216" s="6">
        <v>0</v>
      </c>
      <c r="L216" s="6">
        <v>130.976</v>
      </c>
      <c r="M216" s="6">
        <v>130.976</v>
      </c>
      <c r="N216" s="6">
        <v>130.976</v>
      </c>
      <c r="O216" s="6">
        <v>130.976</v>
      </c>
      <c r="P216" s="6">
        <v>0</v>
      </c>
      <c r="Q216" s="4" t="s">
        <v>26</v>
      </c>
      <c r="R216" s="4">
        <v>0</v>
      </c>
      <c r="S216" s="6">
        <v>0</v>
      </c>
      <c r="T216" s="6">
        <v>5</v>
      </c>
      <c r="U216" s="6">
        <v>69</v>
      </c>
      <c r="V216" s="6">
        <f>IF(ISERROR(VLOOKUP($S$216,'TAR FIN'!$A$1:$O$86,15,0)),0,VLOOKUP($S$216,'TAR FIN'!$A$1:$O$86,15,0))</f>
        <v>0</v>
      </c>
      <c r="W216" s="6">
        <f>IF(ISERROR(VLOOKUP($T$216,'TAR FIN'!$A$1:$O$86,15,0)),0,VLOOKUP($T$216,'TAR FIN'!$A$1:$O$86,15,0))</f>
        <v>1518.97</v>
      </c>
      <c r="X216" s="6">
        <f>IF(ISERROR(VLOOKUP($U$216,'TAR FIN'!$A$1:$O$86,15,0)),0,VLOOKUP($U$216,'TAR FIN'!$A$1:$O$86,15,0))</f>
        <v>359.33</v>
      </c>
      <c r="Y216" s="6"/>
      <c r="Z216" s="6">
        <f ca="1">('TUSD BE'!$AM$11+'TUSD BF'!$AM$11+'TUSD CVA'!$AM$11)*1</f>
        <v>1492.9858702094405</v>
      </c>
      <c r="AA216" s="6">
        <f>('TE BE'!$AB$5+'TE BF'!$AB$5+'TE CVA'!$AB$5)*1</f>
        <v>362.73600214515886</v>
      </c>
      <c r="AB216" s="6">
        <f>$K$216*$V$216</f>
        <v>0</v>
      </c>
      <c r="AC216" s="6">
        <f>$M$216*$W$216</f>
        <v>198948.61472000001</v>
      </c>
      <c r="AD216" s="6">
        <f>$O$216*$X$216</f>
        <v>47063.606079999998</v>
      </c>
      <c r="AE216" s="6">
        <f>$K$216*$Y$216</f>
        <v>0</v>
      </c>
      <c r="AF216" s="6">
        <f ca="1">$M$216*$Z$216</f>
        <v>195545.31733655167</v>
      </c>
      <c r="AG216" s="6">
        <f>$O$216*$AA$216</f>
        <v>47509.71061696433</v>
      </c>
    </row>
    <row r="217" spans="1:33" ht="11.25" customHeight="1" x14ac:dyDescent="0.25">
      <c r="A217" s="4" t="s">
        <v>28</v>
      </c>
      <c r="B217" s="4" t="s">
        <v>35</v>
      </c>
      <c r="C217" s="4" t="s">
        <v>39</v>
      </c>
      <c r="D217" s="4" t="s">
        <v>34</v>
      </c>
      <c r="E217" s="4" t="s">
        <v>25</v>
      </c>
      <c r="F217" s="4" t="s">
        <v>25</v>
      </c>
      <c r="G217" s="4" t="s">
        <v>25</v>
      </c>
      <c r="H217" s="4" t="s">
        <v>37</v>
      </c>
      <c r="I217" s="5">
        <v>44562</v>
      </c>
      <c r="J217" s="6">
        <v>0</v>
      </c>
      <c r="K217" s="6">
        <v>0</v>
      </c>
      <c r="L217" s="6">
        <v>10.894</v>
      </c>
      <c r="M217" s="6">
        <v>10.894</v>
      </c>
      <c r="N217" s="6">
        <v>10.894</v>
      </c>
      <c r="O217" s="6">
        <v>10.894</v>
      </c>
      <c r="P217" s="6">
        <v>0</v>
      </c>
      <c r="Q217" s="4" t="s">
        <v>26</v>
      </c>
      <c r="R217" s="4">
        <v>0</v>
      </c>
      <c r="S217" s="6">
        <v>0</v>
      </c>
      <c r="T217" s="6">
        <v>5</v>
      </c>
      <c r="U217" s="6">
        <v>69</v>
      </c>
      <c r="V217" s="6">
        <f>IF(ISERROR(VLOOKUP($S$217,'TAR FIN'!$A$1:$O$86,15,0)),0,VLOOKUP($S$217,'TAR FIN'!$A$1:$O$86,15,0))</f>
        <v>0</v>
      </c>
      <c r="W217" s="6">
        <f>IF(ISERROR(VLOOKUP($T$217,'TAR FIN'!$A$1:$O$86,15,0)),0,VLOOKUP($T$217,'TAR FIN'!$A$1:$O$86,15,0))</f>
        <v>1518.97</v>
      </c>
      <c r="X217" s="6">
        <f>IF(ISERROR(VLOOKUP($U$217,'TAR FIN'!$A$1:$O$86,15,0)),0,VLOOKUP($U$217,'TAR FIN'!$A$1:$O$86,15,0))</f>
        <v>359.33</v>
      </c>
      <c r="Y217" s="6"/>
      <c r="Z217" s="6">
        <f ca="1">('TUSD BE'!$AM$11+'TUSD BF'!$AM$11+'TUSD CVA'!$AM$11)*1</f>
        <v>1492.9858702094405</v>
      </c>
      <c r="AA217" s="6">
        <f>('TE BE'!$AB$5+'TE BF'!$AB$5+'TE CVA'!$AB$5)*1</f>
        <v>362.73600214515886</v>
      </c>
      <c r="AB217" s="6">
        <f>$K$217*$V$217</f>
        <v>0</v>
      </c>
      <c r="AC217" s="6">
        <f>$M$217*$W$217</f>
        <v>16547.659179999999</v>
      </c>
      <c r="AD217" s="6">
        <f>$O$217*$X$217</f>
        <v>3914.5410199999997</v>
      </c>
      <c r="AE217" s="6">
        <f>$K$217*$Y$217</f>
        <v>0</v>
      </c>
      <c r="AF217" s="6">
        <f ca="1">$M$217*$Z$217</f>
        <v>16264.588070061645</v>
      </c>
      <c r="AG217" s="6">
        <f>$O$217*$AA$217</f>
        <v>3951.6460073693606</v>
      </c>
    </row>
    <row r="218" spans="1:33" ht="11.25" customHeight="1" x14ac:dyDescent="0.25">
      <c r="A218" s="4" t="s">
        <v>21</v>
      </c>
      <c r="B218" s="4" t="s">
        <v>35</v>
      </c>
      <c r="C218" s="4" t="s">
        <v>39</v>
      </c>
      <c r="D218" s="4" t="s">
        <v>34</v>
      </c>
      <c r="E218" s="4" t="s">
        <v>25</v>
      </c>
      <c r="F218" s="4" t="s">
        <v>25</v>
      </c>
      <c r="G218" s="4" t="s">
        <v>25</v>
      </c>
      <c r="H218" s="4" t="s">
        <v>37</v>
      </c>
      <c r="I218" s="5">
        <v>44593</v>
      </c>
      <c r="J218" s="6">
        <v>0</v>
      </c>
      <c r="K218" s="6">
        <v>0</v>
      </c>
      <c r="L218" s="6">
        <v>147.625</v>
      </c>
      <c r="M218" s="6">
        <v>147.625</v>
      </c>
      <c r="N218" s="6">
        <v>147.625</v>
      </c>
      <c r="O218" s="6">
        <v>147.625</v>
      </c>
      <c r="P218" s="6">
        <v>0</v>
      </c>
      <c r="Q218" s="4" t="s">
        <v>26</v>
      </c>
      <c r="R218" s="4">
        <v>0</v>
      </c>
      <c r="S218" s="6">
        <v>0</v>
      </c>
      <c r="T218" s="6">
        <v>5</v>
      </c>
      <c r="U218" s="6">
        <v>69</v>
      </c>
      <c r="V218" s="6">
        <f>IF(ISERROR(VLOOKUP($S$218,'TAR FIN'!$A$1:$O$86,15,0)),0,VLOOKUP($S$218,'TAR FIN'!$A$1:$O$86,15,0))</f>
        <v>0</v>
      </c>
      <c r="W218" s="6">
        <f>IF(ISERROR(VLOOKUP($T$218,'TAR FIN'!$A$1:$O$86,15,0)),0,VLOOKUP($T$218,'TAR FIN'!$A$1:$O$86,15,0))</f>
        <v>1518.97</v>
      </c>
      <c r="X218" s="6">
        <f>IF(ISERROR(VLOOKUP($U$218,'TAR FIN'!$A$1:$O$86,15,0)),0,VLOOKUP($U$218,'TAR FIN'!$A$1:$O$86,15,0))</f>
        <v>359.33</v>
      </c>
      <c r="Y218" s="6"/>
      <c r="Z218" s="6">
        <f ca="1">('TUSD BE'!$AM$11+'TUSD BF'!$AM$11+'TUSD CVA'!$AM$11)*1</f>
        <v>1492.9858702094405</v>
      </c>
      <c r="AA218" s="6">
        <f>('TE BE'!$AB$5+'TE BF'!$AB$5+'TE CVA'!$AB$5)*1</f>
        <v>362.73600214515886</v>
      </c>
      <c r="AB218" s="6">
        <f>$K$218*$V$218</f>
        <v>0</v>
      </c>
      <c r="AC218" s="6">
        <f>$M$218*$W$218</f>
        <v>224237.94625000001</v>
      </c>
      <c r="AD218" s="6">
        <f>$O$218*$X$218</f>
        <v>53046.091249999998</v>
      </c>
      <c r="AE218" s="6">
        <f>$K$218*$Y$218</f>
        <v>0</v>
      </c>
      <c r="AF218" s="6">
        <f ca="1">$M$218*$Z$218</f>
        <v>220402.03908966866</v>
      </c>
      <c r="AG218" s="6">
        <f>$O$218*$AA$218</f>
        <v>53548.902316679079</v>
      </c>
    </row>
    <row r="219" spans="1:33" ht="11.25" customHeight="1" x14ac:dyDescent="0.25">
      <c r="A219" s="4" t="s">
        <v>28</v>
      </c>
      <c r="B219" s="4" t="s">
        <v>35</v>
      </c>
      <c r="C219" s="4" t="s">
        <v>39</v>
      </c>
      <c r="D219" s="4" t="s">
        <v>34</v>
      </c>
      <c r="E219" s="4" t="s">
        <v>25</v>
      </c>
      <c r="F219" s="4" t="s">
        <v>25</v>
      </c>
      <c r="G219" s="4" t="s">
        <v>25</v>
      </c>
      <c r="H219" s="4" t="s">
        <v>37</v>
      </c>
      <c r="I219" s="5">
        <v>44593</v>
      </c>
      <c r="J219" s="6">
        <v>0</v>
      </c>
      <c r="K219" s="6">
        <v>0</v>
      </c>
      <c r="L219" s="6">
        <v>11.051</v>
      </c>
      <c r="M219" s="6">
        <v>11.051</v>
      </c>
      <c r="N219" s="6">
        <v>11.051</v>
      </c>
      <c r="O219" s="6">
        <v>11.051</v>
      </c>
      <c r="P219" s="6">
        <v>0</v>
      </c>
      <c r="Q219" s="4" t="s">
        <v>26</v>
      </c>
      <c r="R219" s="4">
        <v>0</v>
      </c>
      <c r="S219" s="6">
        <v>0</v>
      </c>
      <c r="T219" s="6">
        <v>5</v>
      </c>
      <c r="U219" s="6">
        <v>69</v>
      </c>
      <c r="V219" s="6">
        <f>IF(ISERROR(VLOOKUP($S$219,'TAR FIN'!$A$1:$O$86,15,0)),0,VLOOKUP($S$219,'TAR FIN'!$A$1:$O$86,15,0))</f>
        <v>0</v>
      </c>
      <c r="W219" s="6">
        <f>IF(ISERROR(VLOOKUP($T$219,'TAR FIN'!$A$1:$O$86,15,0)),0,VLOOKUP($T$219,'TAR FIN'!$A$1:$O$86,15,0))</f>
        <v>1518.97</v>
      </c>
      <c r="X219" s="6">
        <f>IF(ISERROR(VLOOKUP($U$219,'TAR FIN'!$A$1:$O$86,15,0)),0,VLOOKUP($U$219,'TAR FIN'!$A$1:$O$86,15,0))</f>
        <v>359.33</v>
      </c>
      <c r="Y219" s="6"/>
      <c r="Z219" s="6">
        <f ca="1">('TUSD BE'!$AM$11+'TUSD BF'!$AM$11+'TUSD CVA'!$AM$11)*1</f>
        <v>1492.9858702094405</v>
      </c>
      <c r="AA219" s="6">
        <f>('TE BE'!$AB$5+'TE BF'!$AB$5+'TE CVA'!$AB$5)*1</f>
        <v>362.73600214515886</v>
      </c>
      <c r="AB219" s="6">
        <f>$K$219*$V$219</f>
        <v>0</v>
      </c>
      <c r="AC219" s="6">
        <f>$M$219*$W$219</f>
        <v>16786.137470000001</v>
      </c>
      <c r="AD219" s="6">
        <f>$O$219*$X$219</f>
        <v>3970.9558299999999</v>
      </c>
      <c r="AE219" s="6">
        <f>$K$219*$Y$219</f>
        <v>0</v>
      </c>
      <c r="AF219" s="6">
        <f ca="1">$M$219*$Z$219</f>
        <v>16498.986851684527</v>
      </c>
      <c r="AG219" s="6">
        <f>$O$219*$AA$219</f>
        <v>4008.5955597061507</v>
      </c>
    </row>
    <row r="220" spans="1:33" ht="11.25" customHeight="1" x14ac:dyDescent="0.25">
      <c r="A220" s="4" t="s">
        <v>21</v>
      </c>
      <c r="B220" s="4" t="s">
        <v>35</v>
      </c>
      <c r="C220" s="4" t="s">
        <v>39</v>
      </c>
      <c r="D220" s="4" t="s">
        <v>34</v>
      </c>
      <c r="E220" s="4" t="s">
        <v>25</v>
      </c>
      <c r="F220" s="4" t="s">
        <v>25</v>
      </c>
      <c r="G220" s="4" t="s">
        <v>25</v>
      </c>
      <c r="H220" s="4" t="s">
        <v>37</v>
      </c>
      <c r="I220" s="5">
        <v>44621</v>
      </c>
      <c r="J220" s="6">
        <v>0</v>
      </c>
      <c r="K220" s="6">
        <v>0</v>
      </c>
      <c r="L220" s="6">
        <v>159.49</v>
      </c>
      <c r="M220" s="6">
        <v>159.49</v>
      </c>
      <c r="N220" s="6">
        <v>159.49</v>
      </c>
      <c r="O220" s="6">
        <v>159.49</v>
      </c>
      <c r="P220" s="6">
        <v>0</v>
      </c>
      <c r="Q220" s="4" t="s">
        <v>26</v>
      </c>
      <c r="R220" s="4">
        <v>0</v>
      </c>
      <c r="S220" s="6">
        <v>0</v>
      </c>
      <c r="T220" s="6">
        <v>5</v>
      </c>
      <c r="U220" s="6">
        <v>69</v>
      </c>
      <c r="V220" s="6">
        <f>IF(ISERROR(VLOOKUP($S$220,'TAR FIN'!$A$1:$O$86,15,0)),0,VLOOKUP($S$220,'TAR FIN'!$A$1:$O$86,15,0))</f>
        <v>0</v>
      </c>
      <c r="W220" s="6">
        <f>IF(ISERROR(VLOOKUP($T$220,'TAR FIN'!$A$1:$O$86,15,0)),0,VLOOKUP($T$220,'TAR FIN'!$A$1:$O$86,15,0))</f>
        <v>1518.97</v>
      </c>
      <c r="X220" s="6">
        <f>IF(ISERROR(VLOOKUP($U$220,'TAR FIN'!$A$1:$O$86,15,0)),0,VLOOKUP($U$220,'TAR FIN'!$A$1:$O$86,15,0))</f>
        <v>359.33</v>
      </c>
      <c r="Y220" s="6"/>
      <c r="Z220" s="6">
        <f ca="1">('TUSD BE'!$AM$11+'TUSD BF'!$AM$11+'TUSD CVA'!$AM$11)*1</f>
        <v>1492.9858702094405</v>
      </c>
      <c r="AA220" s="6">
        <f>('TE BE'!$AB$5+'TE BF'!$AB$5+'TE CVA'!$AB$5)*1</f>
        <v>362.73600214515886</v>
      </c>
      <c r="AB220" s="6">
        <f>$K$220*$V$220</f>
        <v>0</v>
      </c>
      <c r="AC220" s="6">
        <f>$M$220*$W$220</f>
        <v>242260.52530000001</v>
      </c>
      <c r="AD220" s="6">
        <f>$O$220*$X$220</f>
        <v>57309.541700000002</v>
      </c>
      <c r="AE220" s="6">
        <f>$K$220*$Y$220</f>
        <v>0</v>
      </c>
      <c r="AF220" s="6">
        <f ca="1">$M$220*$Z$220</f>
        <v>238116.31643970366</v>
      </c>
      <c r="AG220" s="6">
        <f>$O$220*$AA$220</f>
        <v>57852.76498213139</v>
      </c>
    </row>
    <row r="221" spans="1:33" ht="11.25" customHeight="1" x14ac:dyDescent="0.25">
      <c r="A221" s="4" t="s">
        <v>28</v>
      </c>
      <c r="B221" s="4" t="s">
        <v>35</v>
      </c>
      <c r="C221" s="4" t="s">
        <v>39</v>
      </c>
      <c r="D221" s="4" t="s">
        <v>34</v>
      </c>
      <c r="E221" s="4" t="s">
        <v>25</v>
      </c>
      <c r="F221" s="4" t="s">
        <v>25</v>
      </c>
      <c r="G221" s="4" t="s">
        <v>25</v>
      </c>
      <c r="H221" s="4" t="s">
        <v>37</v>
      </c>
      <c r="I221" s="5">
        <v>44621</v>
      </c>
      <c r="J221" s="6">
        <v>0</v>
      </c>
      <c r="K221" s="6">
        <v>0</v>
      </c>
      <c r="L221" s="6">
        <v>14.669</v>
      </c>
      <c r="M221" s="6">
        <v>14.669</v>
      </c>
      <c r="N221" s="6">
        <v>14.669</v>
      </c>
      <c r="O221" s="6">
        <v>14.669</v>
      </c>
      <c r="P221" s="6">
        <v>0</v>
      </c>
      <c r="Q221" s="4" t="s">
        <v>26</v>
      </c>
      <c r="R221" s="4">
        <v>0</v>
      </c>
      <c r="S221" s="6">
        <v>0</v>
      </c>
      <c r="T221" s="6">
        <v>5</v>
      </c>
      <c r="U221" s="6">
        <v>69</v>
      </c>
      <c r="V221" s="6">
        <f>IF(ISERROR(VLOOKUP($S$221,'TAR FIN'!$A$1:$O$86,15,0)),0,VLOOKUP($S$221,'TAR FIN'!$A$1:$O$86,15,0))</f>
        <v>0</v>
      </c>
      <c r="W221" s="6">
        <f>IF(ISERROR(VLOOKUP($T$221,'TAR FIN'!$A$1:$O$86,15,0)),0,VLOOKUP($T$221,'TAR FIN'!$A$1:$O$86,15,0))</f>
        <v>1518.97</v>
      </c>
      <c r="X221" s="6">
        <f>IF(ISERROR(VLOOKUP($U$221,'TAR FIN'!$A$1:$O$86,15,0)),0,VLOOKUP($U$221,'TAR FIN'!$A$1:$O$86,15,0))</f>
        <v>359.33</v>
      </c>
      <c r="Y221" s="6"/>
      <c r="Z221" s="6">
        <f ca="1">('TUSD BE'!$AM$11+'TUSD BF'!$AM$11+'TUSD CVA'!$AM$11)*1</f>
        <v>1492.9858702094405</v>
      </c>
      <c r="AA221" s="6">
        <f>('TE BE'!$AB$5+'TE BF'!$AB$5+'TE CVA'!$AB$5)*1</f>
        <v>362.73600214515886</v>
      </c>
      <c r="AB221" s="6">
        <f>$K$221*$V$221</f>
        <v>0</v>
      </c>
      <c r="AC221" s="6">
        <f>$M$221*$W$221</f>
        <v>22281.770930000002</v>
      </c>
      <c r="AD221" s="6">
        <f>$O$221*$X$221</f>
        <v>5271.0117700000001</v>
      </c>
      <c r="AE221" s="6">
        <f>$K$221*$Y$221</f>
        <v>0</v>
      </c>
      <c r="AF221" s="6">
        <f ca="1">$M$221*$Z$221</f>
        <v>21900.609730102282</v>
      </c>
      <c r="AG221" s="6">
        <f>$O$221*$AA$221</f>
        <v>5320.9744154673353</v>
      </c>
    </row>
    <row r="222" spans="1:33" ht="11.25" customHeight="1" x14ac:dyDescent="0.25">
      <c r="A222" s="4" t="s">
        <v>21</v>
      </c>
      <c r="B222" s="4" t="s">
        <v>35</v>
      </c>
      <c r="C222" s="4" t="s">
        <v>39</v>
      </c>
      <c r="D222" s="4" t="s">
        <v>34</v>
      </c>
      <c r="E222" s="4" t="s">
        <v>25</v>
      </c>
      <c r="F222" s="4" t="s">
        <v>25</v>
      </c>
      <c r="G222" s="4" t="s">
        <v>25</v>
      </c>
      <c r="H222" s="4" t="s">
        <v>37</v>
      </c>
      <c r="I222" s="5">
        <v>44652</v>
      </c>
      <c r="J222" s="6">
        <v>0</v>
      </c>
      <c r="K222" s="6">
        <v>0</v>
      </c>
      <c r="L222" s="6">
        <v>140.93199999999999</v>
      </c>
      <c r="M222" s="6">
        <v>140.93199999999999</v>
      </c>
      <c r="N222" s="6">
        <v>140.93199999999999</v>
      </c>
      <c r="O222" s="6">
        <v>140.93199999999999</v>
      </c>
      <c r="P222" s="6">
        <v>0</v>
      </c>
      <c r="Q222" s="4" t="s">
        <v>26</v>
      </c>
      <c r="R222" s="4">
        <v>0</v>
      </c>
      <c r="S222" s="6">
        <v>0</v>
      </c>
      <c r="T222" s="6">
        <v>5</v>
      </c>
      <c r="U222" s="6">
        <v>69</v>
      </c>
      <c r="V222" s="6">
        <f>IF(ISERROR(VLOOKUP($S$222,'TAR FIN'!$A$1:$O$86,15,0)),0,VLOOKUP($S$222,'TAR FIN'!$A$1:$O$86,15,0))</f>
        <v>0</v>
      </c>
      <c r="W222" s="6">
        <f>IF(ISERROR(VLOOKUP($T$222,'TAR FIN'!$A$1:$O$86,15,0)),0,VLOOKUP($T$222,'TAR FIN'!$A$1:$O$86,15,0))</f>
        <v>1518.97</v>
      </c>
      <c r="X222" s="6">
        <f>IF(ISERROR(VLOOKUP($U$222,'TAR FIN'!$A$1:$O$86,15,0)),0,VLOOKUP($U$222,'TAR FIN'!$A$1:$O$86,15,0))</f>
        <v>359.33</v>
      </c>
      <c r="Y222" s="6"/>
      <c r="Z222" s="6">
        <f ca="1">('TUSD BE'!$AM$11+'TUSD BF'!$AM$11+'TUSD CVA'!$AM$11)*1</f>
        <v>1492.9858702094405</v>
      </c>
      <c r="AA222" s="6">
        <f>('TE BE'!$AB$5+'TE BF'!$AB$5+'TE CVA'!$AB$5)*1</f>
        <v>362.73600214515886</v>
      </c>
      <c r="AB222" s="6">
        <f>$K$222*$V$222</f>
        <v>0</v>
      </c>
      <c r="AC222" s="6">
        <f>$M$222*$W$222</f>
        <v>214071.48003999999</v>
      </c>
      <c r="AD222" s="6">
        <f>$O$222*$X$222</f>
        <v>50641.095559999994</v>
      </c>
      <c r="AE222" s="6">
        <f>$K$222*$Y$222</f>
        <v>0</v>
      </c>
      <c r="AF222" s="6">
        <f ca="1">$M$222*$Z$222</f>
        <v>210409.48466035686</v>
      </c>
      <c r="AG222" s="6">
        <f>$O$222*$AA$222</f>
        <v>51121.110254321524</v>
      </c>
    </row>
    <row r="223" spans="1:33" ht="11.25" customHeight="1" x14ac:dyDescent="0.25">
      <c r="A223" s="4" t="s">
        <v>28</v>
      </c>
      <c r="B223" s="4" t="s">
        <v>35</v>
      </c>
      <c r="C223" s="4" t="s">
        <v>39</v>
      </c>
      <c r="D223" s="4" t="s">
        <v>34</v>
      </c>
      <c r="E223" s="4" t="s">
        <v>25</v>
      </c>
      <c r="F223" s="4" t="s">
        <v>25</v>
      </c>
      <c r="G223" s="4" t="s">
        <v>25</v>
      </c>
      <c r="H223" s="4" t="s">
        <v>37</v>
      </c>
      <c r="I223" s="5">
        <v>44652</v>
      </c>
      <c r="J223" s="6">
        <v>0</v>
      </c>
      <c r="K223" s="6">
        <v>0</v>
      </c>
      <c r="L223" s="6">
        <v>13.086</v>
      </c>
      <c r="M223" s="6">
        <v>13.086</v>
      </c>
      <c r="N223" s="6">
        <v>13.086</v>
      </c>
      <c r="O223" s="6">
        <v>13.086</v>
      </c>
      <c r="P223" s="6">
        <v>0</v>
      </c>
      <c r="Q223" s="4" t="s">
        <v>26</v>
      </c>
      <c r="R223" s="4">
        <v>0</v>
      </c>
      <c r="S223" s="6">
        <v>0</v>
      </c>
      <c r="T223" s="6">
        <v>5</v>
      </c>
      <c r="U223" s="6">
        <v>69</v>
      </c>
      <c r="V223" s="6">
        <f>IF(ISERROR(VLOOKUP($S$223,'TAR FIN'!$A$1:$O$86,15,0)),0,VLOOKUP($S$223,'TAR FIN'!$A$1:$O$86,15,0))</f>
        <v>0</v>
      </c>
      <c r="W223" s="6">
        <f>IF(ISERROR(VLOOKUP($T$223,'TAR FIN'!$A$1:$O$86,15,0)),0,VLOOKUP($T$223,'TAR FIN'!$A$1:$O$86,15,0))</f>
        <v>1518.97</v>
      </c>
      <c r="X223" s="6">
        <f>IF(ISERROR(VLOOKUP($U$223,'TAR FIN'!$A$1:$O$86,15,0)),0,VLOOKUP($U$223,'TAR FIN'!$A$1:$O$86,15,0))</f>
        <v>359.33</v>
      </c>
      <c r="Y223" s="6"/>
      <c r="Z223" s="6">
        <f ca="1">('TUSD BE'!$AM$11+'TUSD BF'!$AM$11+'TUSD CVA'!$AM$11)*1</f>
        <v>1492.9858702094405</v>
      </c>
      <c r="AA223" s="6">
        <f>('TE BE'!$AB$5+'TE BF'!$AB$5+'TE CVA'!$AB$5)*1</f>
        <v>362.73600214515886</v>
      </c>
      <c r="AB223" s="6">
        <f>$K$223*$V$223</f>
        <v>0</v>
      </c>
      <c r="AC223" s="6">
        <f>$M$223*$W$223</f>
        <v>19877.241420000002</v>
      </c>
      <c r="AD223" s="6">
        <f>$O$223*$X$223</f>
        <v>4702.1923799999995</v>
      </c>
      <c r="AE223" s="6">
        <f>$K$223*$Y$223</f>
        <v>0</v>
      </c>
      <c r="AF223" s="6">
        <f ca="1">$M$223*$Z$223</f>
        <v>19537.21309756074</v>
      </c>
      <c r="AG223" s="6">
        <f>$O$223*$AA$223</f>
        <v>4746.7633240715486</v>
      </c>
    </row>
    <row r="224" spans="1:33" ht="11.25" customHeight="1" x14ac:dyDescent="0.25">
      <c r="A224" s="4" t="s">
        <v>21</v>
      </c>
      <c r="B224" s="4" t="s">
        <v>35</v>
      </c>
      <c r="C224" s="4" t="s">
        <v>39</v>
      </c>
      <c r="D224" s="4" t="s">
        <v>34</v>
      </c>
      <c r="E224" s="4" t="s">
        <v>25</v>
      </c>
      <c r="F224" s="4" t="s">
        <v>25</v>
      </c>
      <c r="G224" s="4" t="s">
        <v>25</v>
      </c>
      <c r="H224" s="4" t="s">
        <v>37</v>
      </c>
      <c r="I224" s="5">
        <v>44682</v>
      </c>
      <c r="J224" s="6">
        <v>0</v>
      </c>
      <c r="K224" s="6">
        <v>0</v>
      </c>
      <c r="L224" s="6">
        <v>160.12299999999999</v>
      </c>
      <c r="M224" s="6">
        <v>160.12299999999999</v>
      </c>
      <c r="N224" s="6">
        <v>160.12299999999999</v>
      </c>
      <c r="O224" s="6">
        <v>160.12299999999999</v>
      </c>
      <c r="P224" s="6">
        <v>0</v>
      </c>
      <c r="Q224" s="4" t="s">
        <v>26</v>
      </c>
      <c r="R224" s="4">
        <v>0</v>
      </c>
      <c r="S224" s="6">
        <v>0</v>
      </c>
      <c r="T224" s="6">
        <v>5</v>
      </c>
      <c r="U224" s="6">
        <v>69</v>
      </c>
      <c r="V224" s="6">
        <f>IF(ISERROR(VLOOKUP($S$224,'TAR FIN'!$A$1:$O$86,15,0)),0,VLOOKUP($S$224,'TAR FIN'!$A$1:$O$86,15,0))</f>
        <v>0</v>
      </c>
      <c r="W224" s="6">
        <f>IF(ISERROR(VLOOKUP($T$224,'TAR FIN'!$A$1:$O$86,15,0)),0,VLOOKUP($T$224,'TAR FIN'!$A$1:$O$86,15,0))</f>
        <v>1518.97</v>
      </c>
      <c r="X224" s="6">
        <f>IF(ISERROR(VLOOKUP($U$224,'TAR FIN'!$A$1:$O$86,15,0)),0,VLOOKUP($U$224,'TAR FIN'!$A$1:$O$86,15,0))</f>
        <v>359.33</v>
      </c>
      <c r="Y224" s="6"/>
      <c r="Z224" s="6">
        <f ca="1">('TUSD BE'!$AM$11+'TUSD BF'!$AM$11+'TUSD CVA'!$AM$11)*1</f>
        <v>1492.9858702094405</v>
      </c>
      <c r="AA224" s="6">
        <f>('TE BE'!$AB$5+'TE BF'!$AB$5+'TE CVA'!$AB$5)*1</f>
        <v>362.73600214515886</v>
      </c>
      <c r="AB224" s="6">
        <f>$K$224*$V$224</f>
        <v>0</v>
      </c>
      <c r="AC224" s="6">
        <f>$M$224*$W$224</f>
        <v>243222.03331</v>
      </c>
      <c r="AD224" s="6">
        <f>$O$224*$X$224</f>
        <v>57536.997589999992</v>
      </c>
      <c r="AE224" s="6">
        <f>$K$224*$Y$224</f>
        <v>0</v>
      </c>
      <c r="AF224" s="6">
        <f ca="1">$M$224*$Z$224</f>
        <v>239061.37649554622</v>
      </c>
      <c r="AG224" s="6">
        <f>$O$224*$AA$224</f>
        <v>58082.376871489272</v>
      </c>
    </row>
    <row r="225" spans="1:33" ht="11.25" customHeight="1" x14ac:dyDescent="0.25">
      <c r="A225" s="4" t="s">
        <v>28</v>
      </c>
      <c r="B225" s="4" t="s">
        <v>35</v>
      </c>
      <c r="C225" s="4" t="s">
        <v>39</v>
      </c>
      <c r="D225" s="4" t="s">
        <v>34</v>
      </c>
      <c r="E225" s="4" t="s">
        <v>25</v>
      </c>
      <c r="F225" s="4" t="s">
        <v>25</v>
      </c>
      <c r="G225" s="4" t="s">
        <v>25</v>
      </c>
      <c r="H225" s="4" t="s">
        <v>37</v>
      </c>
      <c r="I225" s="5">
        <v>44682</v>
      </c>
      <c r="J225" s="6">
        <v>0</v>
      </c>
      <c r="K225" s="6">
        <v>0</v>
      </c>
      <c r="L225" s="6">
        <v>16.306999999999999</v>
      </c>
      <c r="M225" s="6">
        <v>16.306999999999999</v>
      </c>
      <c r="N225" s="6">
        <v>16.306999999999999</v>
      </c>
      <c r="O225" s="6">
        <v>16.306999999999999</v>
      </c>
      <c r="P225" s="6">
        <v>0</v>
      </c>
      <c r="Q225" s="4" t="s">
        <v>26</v>
      </c>
      <c r="R225" s="4">
        <v>0</v>
      </c>
      <c r="S225" s="6">
        <v>0</v>
      </c>
      <c r="T225" s="6">
        <v>5</v>
      </c>
      <c r="U225" s="6">
        <v>69</v>
      </c>
      <c r="V225" s="6">
        <f>IF(ISERROR(VLOOKUP($S$225,'TAR FIN'!$A$1:$O$86,15,0)),0,VLOOKUP($S$225,'TAR FIN'!$A$1:$O$86,15,0))</f>
        <v>0</v>
      </c>
      <c r="W225" s="6">
        <f>IF(ISERROR(VLOOKUP($T$225,'TAR FIN'!$A$1:$O$86,15,0)),0,VLOOKUP($T$225,'TAR FIN'!$A$1:$O$86,15,0))</f>
        <v>1518.97</v>
      </c>
      <c r="X225" s="6">
        <f>IF(ISERROR(VLOOKUP($U$225,'TAR FIN'!$A$1:$O$86,15,0)),0,VLOOKUP($U$225,'TAR FIN'!$A$1:$O$86,15,0))</f>
        <v>359.33</v>
      </c>
      <c r="Y225" s="6"/>
      <c r="Z225" s="6">
        <f ca="1">('TUSD BE'!$AM$11+'TUSD BF'!$AM$11+'TUSD CVA'!$AM$11)*1</f>
        <v>1492.9858702094405</v>
      </c>
      <c r="AA225" s="6">
        <f>('TE BE'!$AB$5+'TE BF'!$AB$5+'TE CVA'!$AB$5)*1</f>
        <v>362.73600214515886</v>
      </c>
      <c r="AB225" s="6">
        <f>$K$225*$V$225</f>
        <v>0</v>
      </c>
      <c r="AC225" s="6">
        <f>$M$225*$W$225</f>
        <v>24769.843789999999</v>
      </c>
      <c r="AD225" s="6">
        <f>$O$225*$X$225</f>
        <v>5859.5943099999995</v>
      </c>
      <c r="AE225" s="6">
        <f>$K$225*$Y$225</f>
        <v>0</v>
      </c>
      <c r="AF225" s="6">
        <f ca="1">$M$225*$Z$225</f>
        <v>24346.120585505345</v>
      </c>
      <c r="AG225" s="6">
        <f>$O$225*$AA$225</f>
        <v>5915.1359869811049</v>
      </c>
    </row>
    <row r="226" spans="1:33" ht="11.25" customHeight="1" x14ac:dyDescent="0.25">
      <c r="A226" s="4" t="s">
        <v>21</v>
      </c>
      <c r="B226" s="4" t="s">
        <v>35</v>
      </c>
      <c r="C226" s="4" t="s">
        <v>39</v>
      </c>
      <c r="D226" s="4" t="s">
        <v>34</v>
      </c>
      <c r="E226" s="4" t="s">
        <v>25</v>
      </c>
      <c r="F226" s="4" t="s">
        <v>25</v>
      </c>
      <c r="G226" s="4" t="s">
        <v>25</v>
      </c>
      <c r="H226" s="4" t="s">
        <v>37</v>
      </c>
      <c r="I226" s="5">
        <v>44713</v>
      </c>
      <c r="J226" s="6">
        <v>0</v>
      </c>
      <c r="K226" s="6">
        <v>0</v>
      </c>
      <c r="L226" s="6">
        <v>169.49299999999999</v>
      </c>
      <c r="M226" s="6">
        <v>169.49299999999999</v>
      </c>
      <c r="N226" s="6">
        <v>169.49299999999999</v>
      </c>
      <c r="O226" s="6">
        <v>169.49299999999999</v>
      </c>
      <c r="P226" s="6">
        <v>0</v>
      </c>
      <c r="Q226" s="4" t="s">
        <v>26</v>
      </c>
      <c r="R226" s="4">
        <v>0</v>
      </c>
      <c r="S226" s="6">
        <v>0</v>
      </c>
      <c r="T226" s="6">
        <v>5</v>
      </c>
      <c r="U226" s="6">
        <v>69</v>
      </c>
      <c r="V226" s="6">
        <f>IF(ISERROR(VLOOKUP($S$226,'TAR FIN'!$A$1:$O$86,15,0)),0,VLOOKUP($S$226,'TAR FIN'!$A$1:$O$86,15,0))</f>
        <v>0</v>
      </c>
      <c r="W226" s="6">
        <f>IF(ISERROR(VLOOKUP($T$226,'TAR FIN'!$A$1:$O$86,15,0)),0,VLOOKUP($T$226,'TAR FIN'!$A$1:$O$86,15,0))</f>
        <v>1518.97</v>
      </c>
      <c r="X226" s="6">
        <f>IF(ISERROR(VLOOKUP($U$226,'TAR FIN'!$A$1:$O$86,15,0)),0,VLOOKUP($U$226,'TAR FIN'!$A$1:$O$86,15,0))</f>
        <v>359.33</v>
      </c>
      <c r="Y226" s="6"/>
      <c r="Z226" s="6">
        <f ca="1">('TUSD BE'!$AM$11+'TUSD BF'!$AM$11+'TUSD CVA'!$AM$11)*1</f>
        <v>1492.9858702094405</v>
      </c>
      <c r="AA226" s="6">
        <f>('TE BE'!$AB$5+'TE BF'!$AB$5+'TE CVA'!$AB$5)*1</f>
        <v>362.73600214515886</v>
      </c>
      <c r="AB226" s="6">
        <f>$K$226*$V$226</f>
        <v>0</v>
      </c>
      <c r="AC226" s="6">
        <f>$M$226*$W$226</f>
        <v>257454.78221</v>
      </c>
      <c r="AD226" s="6">
        <f>$O$226*$X$226</f>
        <v>60903.919689999995</v>
      </c>
      <c r="AE226" s="6">
        <f>$K$226*$Y$226</f>
        <v>0</v>
      </c>
      <c r="AF226" s="6">
        <f ca="1">$M$226*$Z$226</f>
        <v>253050.65409940868</v>
      </c>
      <c r="AG226" s="6">
        <f>$O$226*$AA$226</f>
        <v>61481.213211589413</v>
      </c>
    </row>
    <row r="227" spans="1:33" ht="11.25" customHeight="1" x14ac:dyDescent="0.25">
      <c r="A227" s="4" t="s">
        <v>28</v>
      </c>
      <c r="B227" s="4" t="s">
        <v>35</v>
      </c>
      <c r="C227" s="4" t="s">
        <v>39</v>
      </c>
      <c r="D227" s="4" t="s">
        <v>34</v>
      </c>
      <c r="E227" s="4" t="s">
        <v>25</v>
      </c>
      <c r="F227" s="4" t="s">
        <v>25</v>
      </c>
      <c r="G227" s="4" t="s">
        <v>25</v>
      </c>
      <c r="H227" s="4" t="s">
        <v>37</v>
      </c>
      <c r="I227" s="5">
        <v>44713</v>
      </c>
      <c r="J227" s="6">
        <v>0</v>
      </c>
      <c r="K227" s="6">
        <v>0</v>
      </c>
      <c r="L227" s="6">
        <v>12.361000000000001</v>
      </c>
      <c r="M227" s="6">
        <v>12.361000000000001</v>
      </c>
      <c r="N227" s="6">
        <v>12.361000000000001</v>
      </c>
      <c r="O227" s="6">
        <v>12.361000000000001</v>
      </c>
      <c r="P227" s="6">
        <v>0</v>
      </c>
      <c r="Q227" s="4" t="s">
        <v>26</v>
      </c>
      <c r="R227" s="4">
        <v>0</v>
      </c>
      <c r="S227" s="6">
        <v>0</v>
      </c>
      <c r="T227" s="6">
        <v>5</v>
      </c>
      <c r="U227" s="6">
        <v>69</v>
      </c>
      <c r="V227" s="6">
        <f>IF(ISERROR(VLOOKUP($S$227,'TAR FIN'!$A$1:$O$86,15,0)),0,VLOOKUP($S$227,'TAR FIN'!$A$1:$O$86,15,0))</f>
        <v>0</v>
      </c>
      <c r="W227" s="6">
        <f>IF(ISERROR(VLOOKUP($T$227,'TAR FIN'!$A$1:$O$86,15,0)),0,VLOOKUP($T$227,'TAR FIN'!$A$1:$O$86,15,0))</f>
        <v>1518.97</v>
      </c>
      <c r="X227" s="6">
        <f>IF(ISERROR(VLOOKUP($U$227,'TAR FIN'!$A$1:$O$86,15,0)),0,VLOOKUP($U$227,'TAR FIN'!$A$1:$O$86,15,0))</f>
        <v>359.33</v>
      </c>
      <c r="Y227" s="6"/>
      <c r="Z227" s="6">
        <f ca="1">('TUSD BE'!$AM$11+'TUSD BF'!$AM$11+'TUSD CVA'!$AM$11)*1</f>
        <v>1492.9858702094405</v>
      </c>
      <c r="AA227" s="6">
        <f>('TE BE'!$AB$5+'TE BF'!$AB$5+'TE CVA'!$AB$5)*1</f>
        <v>362.73600214515886</v>
      </c>
      <c r="AB227" s="6">
        <f>$K$227*$V$227</f>
        <v>0</v>
      </c>
      <c r="AC227" s="6">
        <f>$M$227*$W$227</f>
        <v>18775.988170000001</v>
      </c>
      <c r="AD227" s="6">
        <f>$O$227*$X$227</f>
        <v>4441.6781300000002</v>
      </c>
      <c r="AE227" s="6">
        <f>$K$227*$Y$227</f>
        <v>0</v>
      </c>
      <c r="AF227" s="6">
        <f ca="1">$M$227*$Z$227</f>
        <v>18454.798341658894</v>
      </c>
      <c r="AG227" s="6">
        <f>$O$227*$AA$227</f>
        <v>4483.7797225163085</v>
      </c>
    </row>
    <row r="228" spans="1:33" ht="11.25" customHeight="1" x14ac:dyDescent="0.25">
      <c r="A228" s="4" t="s">
        <v>55</v>
      </c>
      <c r="B228" s="4" t="s">
        <v>35</v>
      </c>
      <c r="C228" s="4" t="s">
        <v>39</v>
      </c>
      <c r="D228" s="4" t="s">
        <v>34</v>
      </c>
      <c r="E228" s="4" t="s">
        <v>25</v>
      </c>
      <c r="F228" s="4" t="s">
        <v>25</v>
      </c>
      <c r="G228" s="4" t="s">
        <v>25</v>
      </c>
      <c r="H228" s="4" t="s">
        <v>37</v>
      </c>
      <c r="I228" s="5">
        <v>44743</v>
      </c>
      <c r="J228" s="6">
        <v>0</v>
      </c>
      <c r="K228" s="6">
        <v>0</v>
      </c>
      <c r="L228" s="6">
        <v>169.49299999999999</v>
      </c>
      <c r="M228" s="6">
        <v>169.49299999999999</v>
      </c>
      <c r="N228" s="6">
        <v>169.49299999999999</v>
      </c>
      <c r="O228" s="6">
        <v>169.49299999999999</v>
      </c>
      <c r="P228" s="6">
        <v>0</v>
      </c>
      <c r="Q228" s="4" t="s">
        <v>26</v>
      </c>
      <c r="R228" s="4">
        <v>0</v>
      </c>
      <c r="S228" s="6">
        <v>0</v>
      </c>
      <c r="T228" s="6">
        <v>5</v>
      </c>
      <c r="U228" s="6">
        <v>69</v>
      </c>
      <c r="V228" s="6">
        <f>IF(ISERROR(VLOOKUP($S$228,'TAR FIN'!$A$1:$O$86,15,0)),0,VLOOKUP($S$228,'TAR FIN'!$A$1:$O$86,15,0))</f>
        <v>0</v>
      </c>
      <c r="W228" s="6">
        <f>IF(ISERROR(VLOOKUP($T$228,'TAR FIN'!$A$1:$O$86,15,0)),0,VLOOKUP($T$228,'TAR FIN'!$A$1:$O$86,15,0))</f>
        <v>1518.97</v>
      </c>
      <c r="X228" s="6">
        <f>IF(ISERROR(VLOOKUP($U$228,'TAR FIN'!$A$1:$O$86,15,0)),0,VLOOKUP($U$228,'TAR FIN'!$A$1:$O$86,15,0))</f>
        <v>359.33</v>
      </c>
      <c r="Y228" s="6"/>
      <c r="Z228" s="6">
        <f ca="1">('TUSD BE'!$AM$11+'TUSD BF'!$AM$11+'TUSD CVA'!$AM$11)*1</f>
        <v>1492.9858702094405</v>
      </c>
      <c r="AA228" s="6">
        <f>('TE BE'!$AB$5+'TE BF'!$AB$5+'TE CVA'!$AB$5)*1</f>
        <v>362.73600214515886</v>
      </c>
      <c r="AB228" s="6">
        <f>$K$228*$V$228</f>
        <v>0</v>
      </c>
      <c r="AC228" s="6">
        <f>$M$228*$W$228</f>
        <v>257454.78221</v>
      </c>
      <c r="AD228" s="6">
        <f>$O$228*$X$228</f>
        <v>60903.919689999995</v>
      </c>
      <c r="AE228" s="6">
        <f>$K$228*$Y$228</f>
        <v>0</v>
      </c>
      <c r="AF228" s="6">
        <f ca="1">$M$228*$Z$228</f>
        <v>253050.65409940868</v>
      </c>
      <c r="AG228" s="6">
        <f>$O$228*$AA$228</f>
        <v>61481.213211589413</v>
      </c>
    </row>
    <row r="229" spans="1:33" ht="11.25" customHeight="1" x14ac:dyDescent="0.25">
      <c r="A229" s="4" t="s">
        <v>55</v>
      </c>
      <c r="B229" s="4" t="s">
        <v>35</v>
      </c>
      <c r="C229" s="4" t="s">
        <v>39</v>
      </c>
      <c r="D229" s="4" t="s">
        <v>34</v>
      </c>
      <c r="E229" s="4" t="s">
        <v>25</v>
      </c>
      <c r="F229" s="4" t="s">
        <v>25</v>
      </c>
      <c r="G229" s="4" t="s">
        <v>25</v>
      </c>
      <c r="H229" s="4" t="s">
        <v>37</v>
      </c>
      <c r="I229" s="5">
        <v>44743</v>
      </c>
      <c r="J229" s="6">
        <v>0</v>
      </c>
      <c r="K229" s="6">
        <v>0</v>
      </c>
      <c r="L229" s="6">
        <v>12.361000000000001</v>
      </c>
      <c r="M229" s="6">
        <v>12.361000000000001</v>
      </c>
      <c r="N229" s="6">
        <v>12.361000000000001</v>
      </c>
      <c r="O229" s="6">
        <v>12.361000000000001</v>
      </c>
      <c r="P229" s="6">
        <v>0</v>
      </c>
      <c r="Q229" s="4" t="s">
        <v>26</v>
      </c>
      <c r="R229" s="4">
        <v>0</v>
      </c>
      <c r="S229" s="6">
        <v>0</v>
      </c>
      <c r="T229" s="6">
        <v>5</v>
      </c>
      <c r="U229" s="6">
        <v>69</v>
      </c>
      <c r="V229" s="6">
        <f>IF(ISERROR(VLOOKUP($S$229,'TAR FIN'!$A$1:$O$86,15,0)),0,VLOOKUP($S$229,'TAR FIN'!$A$1:$O$86,15,0))</f>
        <v>0</v>
      </c>
      <c r="W229" s="6">
        <f>IF(ISERROR(VLOOKUP($T$229,'TAR FIN'!$A$1:$O$86,15,0)),0,VLOOKUP($T$229,'TAR FIN'!$A$1:$O$86,15,0))</f>
        <v>1518.97</v>
      </c>
      <c r="X229" s="6">
        <f>IF(ISERROR(VLOOKUP($U$229,'TAR FIN'!$A$1:$O$86,15,0)),0,VLOOKUP($U$229,'TAR FIN'!$A$1:$O$86,15,0))</f>
        <v>359.33</v>
      </c>
      <c r="Y229" s="6"/>
      <c r="Z229" s="6">
        <f ca="1">('TUSD BE'!$AM$11+'TUSD BF'!$AM$11+'TUSD CVA'!$AM$11)*1</f>
        <v>1492.9858702094405</v>
      </c>
      <c r="AA229" s="6">
        <f>('TE BE'!$AB$5+'TE BF'!$AB$5+'TE CVA'!$AB$5)*1</f>
        <v>362.73600214515886</v>
      </c>
      <c r="AB229" s="6">
        <f>$K$229*$V$229</f>
        <v>0</v>
      </c>
      <c r="AC229" s="6">
        <f>$M$229*$W$229</f>
        <v>18775.988170000001</v>
      </c>
      <c r="AD229" s="6">
        <f>$O$229*$X$229</f>
        <v>4441.6781300000002</v>
      </c>
      <c r="AE229" s="6">
        <f>$K$229*$Y$229</f>
        <v>0</v>
      </c>
      <c r="AF229" s="6">
        <f ca="1">$M$229*$Z$229</f>
        <v>18454.798341658894</v>
      </c>
      <c r="AG229" s="6">
        <f>$O$229*$AA$229</f>
        <v>4483.7797225163085</v>
      </c>
    </row>
    <row r="230" spans="1:33" ht="11.25" customHeight="1" x14ac:dyDescent="0.25">
      <c r="A230" s="4" t="s">
        <v>21</v>
      </c>
      <c r="B230" s="4" t="s">
        <v>35</v>
      </c>
      <c r="C230" s="4" t="s">
        <v>39</v>
      </c>
      <c r="D230" s="4" t="s">
        <v>43</v>
      </c>
      <c r="E230" s="4" t="s">
        <v>25</v>
      </c>
      <c r="F230" s="4" t="s">
        <v>25</v>
      </c>
      <c r="G230" s="4" t="s">
        <v>25</v>
      </c>
      <c r="H230" s="4" t="s">
        <v>38</v>
      </c>
      <c r="I230" s="5">
        <v>44409</v>
      </c>
      <c r="J230" s="6">
        <v>0</v>
      </c>
      <c r="K230" s="6">
        <v>0</v>
      </c>
      <c r="L230" s="6">
        <v>22.125</v>
      </c>
      <c r="M230" s="6">
        <v>22.125</v>
      </c>
      <c r="N230" s="6">
        <v>22.125</v>
      </c>
      <c r="O230" s="6">
        <v>22.125</v>
      </c>
      <c r="P230" s="6">
        <v>0</v>
      </c>
      <c r="Q230" s="4" t="s">
        <v>26</v>
      </c>
      <c r="R230" s="4">
        <v>0</v>
      </c>
      <c r="S230" s="6">
        <v>0</v>
      </c>
      <c r="T230" s="6">
        <v>18</v>
      </c>
      <c r="U230" s="6">
        <v>73</v>
      </c>
      <c r="V230" s="6">
        <f>IF(ISERROR(VLOOKUP($S$230,'TAR FIN'!$A$1:$O$86,15,0)),0,VLOOKUP($S$230,'TAR FIN'!$A$1:$O$86,15,0))</f>
        <v>0</v>
      </c>
      <c r="W230" s="6">
        <f>IF(ISERROR(VLOOKUP($T$230,'TAR FIN'!$A$1:$O$86,15,0)),0,VLOOKUP($T$230,'TAR FIN'!$A$1:$O$86,15,0))</f>
        <v>73.19</v>
      </c>
      <c r="X230" s="6">
        <f>IF(ISERROR(VLOOKUP($U$230,'TAR FIN'!$A$1:$O$86,15,0)),0,VLOOKUP($U$230,'TAR FIN'!$A$1:$O$86,15,0))</f>
        <v>211.71</v>
      </c>
      <c r="Y230" s="6"/>
      <c r="Z230" s="6">
        <f ca="1">('TUSD BE'!$AM$12+'TUSD BF'!$AM$12+'TUSD CVA'!$AM$12)*1</f>
        <v>117.83242038312405</v>
      </c>
      <c r="AA230" s="6">
        <f>('TE BE'!$AB$6+'TE BF'!$AB$6+'TE CVA'!$AB$6)*1</f>
        <v>222.99901551132911</v>
      </c>
      <c r="AB230" s="6">
        <f>$K$230*$V$230</f>
        <v>0</v>
      </c>
      <c r="AC230" s="6">
        <f>$M$230*$W$230</f>
        <v>1619.3287499999999</v>
      </c>
      <c r="AD230" s="6">
        <f>$O$230*$X$230</f>
        <v>4684.0837499999998</v>
      </c>
      <c r="AE230" s="6">
        <f>$K$230*$Y$230</f>
        <v>0</v>
      </c>
      <c r="AF230" s="6">
        <f ca="1">$M$230*$Z$230</f>
        <v>2607.0423009766196</v>
      </c>
      <c r="AG230" s="6">
        <f>$O$230*$AA$230</f>
        <v>4933.8532181881565</v>
      </c>
    </row>
    <row r="231" spans="1:33" ht="11.25" customHeight="1" x14ac:dyDescent="0.25">
      <c r="A231" s="4" t="s">
        <v>21</v>
      </c>
      <c r="B231" s="4" t="s">
        <v>35</v>
      </c>
      <c r="C231" s="4" t="s">
        <v>39</v>
      </c>
      <c r="D231" s="4" t="s">
        <v>43</v>
      </c>
      <c r="E231" s="4" t="s">
        <v>25</v>
      </c>
      <c r="F231" s="4" t="s">
        <v>25</v>
      </c>
      <c r="G231" s="4" t="s">
        <v>25</v>
      </c>
      <c r="H231" s="4" t="s">
        <v>38</v>
      </c>
      <c r="I231" s="5">
        <v>44440</v>
      </c>
      <c r="J231" s="6">
        <v>0</v>
      </c>
      <c r="K231" s="6">
        <v>0</v>
      </c>
      <c r="L231" s="6">
        <v>25.553999999999998</v>
      </c>
      <c r="M231" s="6">
        <v>25.553999999999998</v>
      </c>
      <c r="N231" s="6">
        <v>25.553999999999998</v>
      </c>
      <c r="O231" s="6">
        <v>25.553999999999998</v>
      </c>
      <c r="P231" s="6">
        <v>0</v>
      </c>
      <c r="Q231" s="4" t="s">
        <v>26</v>
      </c>
      <c r="R231" s="4">
        <v>0</v>
      </c>
      <c r="S231" s="6">
        <v>0</v>
      </c>
      <c r="T231" s="6">
        <v>18</v>
      </c>
      <c r="U231" s="6">
        <v>73</v>
      </c>
      <c r="V231" s="6">
        <f>IF(ISERROR(VLOOKUP($S$231,'TAR FIN'!$A$1:$O$86,15,0)),0,VLOOKUP($S$231,'TAR FIN'!$A$1:$O$86,15,0))</f>
        <v>0</v>
      </c>
      <c r="W231" s="6">
        <f>IF(ISERROR(VLOOKUP($T$231,'TAR FIN'!$A$1:$O$86,15,0)),0,VLOOKUP($T$231,'TAR FIN'!$A$1:$O$86,15,0))</f>
        <v>73.19</v>
      </c>
      <c r="X231" s="6">
        <f>IF(ISERROR(VLOOKUP($U$231,'TAR FIN'!$A$1:$O$86,15,0)),0,VLOOKUP($U$231,'TAR FIN'!$A$1:$O$86,15,0))</f>
        <v>211.71</v>
      </c>
      <c r="Y231" s="6"/>
      <c r="Z231" s="6">
        <f ca="1">('TUSD BE'!$AM$12+'TUSD BF'!$AM$12+'TUSD CVA'!$AM$12)*1</f>
        <v>117.83242038312405</v>
      </c>
      <c r="AA231" s="6">
        <f>('TE BE'!$AB$6+'TE BF'!$AB$6+'TE CVA'!$AB$6)*1</f>
        <v>222.99901551132911</v>
      </c>
      <c r="AB231" s="6">
        <f>$K$231*$V$231</f>
        <v>0</v>
      </c>
      <c r="AC231" s="6">
        <f>$M$231*$W$231</f>
        <v>1870.2972599999998</v>
      </c>
      <c r="AD231" s="6">
        <f>$O$231*$X$231</f>
        <v>5410.0373399999999</v>
      </c>
      <c r="AE231" s="6">
        <f>$K$231*$Y$231</f>
        <v>0</v>
      </c>
      <c r="AF231" s="6">
        <f ca="1">$M$231*$Z$231</f>
        <v>3011.0896704703518</v>
      </c>
      <c r="AG231" s="6">
        <f>$O$231*$AA$231</f>
        <v>5698.5168423765035</v>
      </c>
    </row>
    <row r="232" spans="1:33" ht="11.25" customHeight="1" x14ac:dyDescent="0.25">
      <c r="A232" s="4" t="s">
        <v>21</v>
      </c>
      <c r="B232" s="4" t="s">
        <v>35</v>
      </c>
      <c r="C232" s="4" t="s">
        <v>39</v>
      </c>
      <c r="D232" s="4" t="s">
        <v>43</v>
      </c>
      <c r="E232" s="4" t="s">
        <v>25</v>
      </c>
      <c r="F232" s="4" t="s">
        <v>25</v>
      </c>
      <c r="G232" s="4" t="s">
        <v>25</v>
      </c>
      <c r="H232" s="4" t="s">
        <v>38</v>
      </c>
      <c r="I232" s="5">
        <v>44470</v>
      </c>
      <c r="J232" s="6">
        <v>0</v>
      </c>
      <c r="K232" s="6">
        <v>0</v>
      </c>
      <c r="L232" s="6">
        <v>30.795999999999999</v>
      </c>
      <c r="M232" s="6">
        <v>30.795999999999999</v>
      </c>
      <c r="N232" s="6">
        <v>30.795999999999999</v>
      </c>
      <c r="O232" s="6">
        <v>30.795999999999999</v>
      </c>
      <c r="P232" s="6">
        <v>0</v>
      </c>
      <c r="Q232" s="4" t="s">
        <v>26</v>
      </c>
      <c r="R232" s="4">
        <v>0</v>
      </c>
      <c r="S232" s="6">
        <v>0</v>
      </c>
      <c r="T232" s="6">
        <v>18</v>
      </c>
      <c r="U232" s="6">
        <v>73</v>
      </c>
      <c r="V232" s="6">
        <f>IF(ISERROR(VLOOKUP($S$232,'TAR FIN'!$A$1:$O$86,15,0)),0,VLOOKUP($S$232,'TAR FIN'!$A$1:$O$86,15,0))</f>
        <v>0</v>
      </c>
      <c r="W232" s="6">
        <f>IF(ISERROR(VLOOKUP($T$232,'TAR FIN'!$A$1:$O$86,15,0)),0,VLOOKUP($T$232,'TAR FIN'!$A$1:$O$86,15,0))</f>
        <v>73.19</v>
      </c>
      <c r="X232" s="6">
        <f>IF(ISERROR(VLOOKUP($U$232,'TAR FIN'!$A$1:$O$86,15,0)),0,VLOOKUP($U$232,'TAR FIN'!$A$1:$O$86,15,0))</f>
        <v>211.71</v>
      </c>
      <c r="Y232" s="6"/>
      <c r="Z232" s="6">
        <f ca="1">('TUSD BE'!$AM$12+'TUSD BF'!$AM$12+'TUSD CVA'!$AM$12)*1</f>
        <v>117.83242038312405</v>
      </c>
      <c r="AA232" s="6">
        <f>('TE BE'!$AB$6+'TE BF'!$AB$6+'TE CVA'!$AB$6)*1</f>
        <v>222.99901551132911</v>
      </c>
      <c r="AB232" s="6">
        <f>$K$232*$V$232</f>
        <v>0</v>
      </c>
      <c r="AC232" s="6">
        <f>$M$232*$W$232</f>
        <v>2253.9592399999997</v>
      </c>
      <c r="AD232" s="6">
        <f>$O$232*$X$232</f>
        <v>6519.8211600000004</v>
      </c>
      <c r="AE232" s="6">
        <f>$K$232*$Y$232</f>
        <v>0</v>
      </c>
      <c r="AF232" s="6">
        <f ca="1">$M$232*$Z$232</f>
        <v>3628.7672181186881</v>
      </c>
      <c r="AG232" s="6">
        <f>$O$232*$AA$232</f>
        <v>6867.4776816868907</v>
      </c>
    </row>
    <row r="233" spans="1:33" ht="11.25" customHeight="1" x14ac:dyDescent="0.25">
      <c r="A233" s="4" t="s">
        <v>21</v>
      </c>
      <c r="B233" s="4" t="s">
        <v>35</v>
      </c>
      <c r="C233" s="4" t="s">
        <v>39</v>
      </c>
      <c r="D233" s="4" t="s">
        <v>43</v>
      </c>
      <c r="E233" s="4" t="s">
        <v>25</v>
      </c>
      <c r="F233" s="4" t="s">
        <v>25</v>
      </c>
      <c r="G233" s="4" t="s">
        <v>25</v>
      </c>
      <c r="H233" s="4" t="s">
        <v>38</v>
      </c>
      <c r="I233" s="5">
        <v>44501</v>
      </c>
      <c r="J233" s="6">
        <v>0</v>
      </c>
      <c r="K233" s="6">
        <v>0</v>
      </c>
      <c r="L233" s="6">
        <v>35.530999999999999</v>
      </c>
      <c r="M233" s="6">
        <v>35.530999999999999</v>
      </c>
      <c r="N233" s="6">
        <v>35.530999999999999</v>
      </c>
      <c r="O233" s="6">
        <v>35.530999999999999</v>
      </c>
      <c r="P233" s="6">
        <v>0</v>
      </c>
      <c r="Q233" s="4" t="s">
        <v>26</v>
      </c>
      <c r="R233" s="4">
        <v>0</v>
      </c>
      <c r="S233" s="6">
        <v>0</v>
      </c>
      <c r="T233" s="6">
        <v>18</v>
      </c>
      <c r="U233" s="6">
        <v>73</v>
      </c>
      <c r="V233" s="6">
        <f>IF(ISERROR(VLOOKUP($S$233,'TAR FIN'!$A$1:$O$86,15,0)),0,VLOOKUP($S$233,'TAR FIN'!$A$1:$O$86,15,0))</f>
        <v>0</v>
      </c>
      <c r="W233" s="6">
        <f>IF(ISERROR(VLOOKUP($T$233,'TAR FIN'!$A$1:$O$86,15,0)),0,VLOOKUP($T$233,'TAR FIN'!$A$1:$O$86,15,0))</f>
        <v>73.19</v>
      </c>
      <c r="X233" s="6">
        <f>IF(ISERROR(VLOOKUP($U$233,'TAR FIN'!$A$1:$O$86,15,0)),0,VLOOKUP($U$233,'TAR FIN'!$A$1:$O$86,15,0))</f>
        <v>211.71</v>
      </c>
      <c r="Y233" s="6"/>
      <c r="Z233" s="6">
        <f ca="1">('TUSD BE'!$AM$12+'TUSD BF'!$AM$12+'TUSD CVA'!$AM$12)*1</f>
        <v>117.83242038312405</v>
      </c>
      <c r="AA233" s="6">
        <f>('TE BE'!$AB$6+'TE BF'!$AB$6+'TE CVA'!$AB$6)*1</f>
        <v>222.99901551132911</v>
      </c>
      <c r="AB233" s="6">
        <f>$K$233*$V$233</f>
        <v>0</v>
      </c>
      <c r="AC233" s="6">
        <f>$M$233*$W$233</f>
        <v>2600.5138899999997</v>
      </c>
      <c r="AD233" s="6">
        <f>$O$233*$X$233</f>
        <v>7522.2680099999998</v>
      </c>
      <c r="AE233" s="6">
        <f>$K$233*$Y$233</f>
        <v>0</v>
      </c>
      <c r="AF233" s="6">
        <f ca="1">$M$233*$Z$233</f>
        <v>4186.7037286327804</v>
      </c>
      <c r="AG233" s="6">
        <f>$O$233*$AA$233</f>
        <v>7923.3780201330346</v>
      </c>
    </row>
    <row r="234" spans="1:33" ht="11.25" customHeight="1" x14ac:dyDescent="0.25">
      <c r="A234" s="4" t="s">
        <v>21</v>
      </c>
      <c r="B234" s="4" t="s">
        <v>35</v>
      </c>
      <c r="C234" s="4" t="s">
        <v>39</v>
      </c>
      <c r="D234" s="4" t="s">
        <v>43</v>
      </c>
      <c r="E234" s="4" t="s">
        <v>25</v>
      </c>
      <c r="F234" s="4" t="s">
        <v>25</v>
      </c>
      <c r="G234" s="4" t="s">
        <v>25</v>
      </c>
      <c r="H234" s="4" t="s">
        <v>38</v>
      </c>
      <c r="I234" s="5">
        <v>44531</v>
      </c>
      <c r="J234" s="6">
        <v>0</v>
      </c>
      <c r="K234" s="6">
        <v>0</v>
      </c>
      <c r="L234" s="6">
        <v>5.016</v>
      </c>
      <c r="M234" s="6">
        <v>5.016</v>
      </c>
      <c r="N234" s="6">
        <v>5.016</v>
      </c>
      <c r="O234" s="6">
        <v>5.016</v>
      </c>
      <c r="P234" s="6">
        <v>0</v>
      </c>
      <c r="Q234" s="4" t="s">
        <v>26</v>
      </c>
      <c r="R234" s="4">
        <v>0</v>
      </c>
      <c r="S234" s="6">
        <v>0</v>
      </c>
      <c r="T234" s="6">
        <v>18</v>
      </c>
      <c r="U234" s="6">
        <v>73</v>
      </c>
      <c r="V234" s="6">
        <f>IF(ISERROR(VLOOKUP($S$234,'TAR FIN'!$A$1:$O$86,15,0)),0,VLOOKUP($S$234,'TAR FIN'!$A$1:$O$86,15,0))</f>
        <v>0</v>
      </c>
      <c r="W234" s="6">
        <f>IF(ISERROR(VLOOKUP($T$234,'TAR FIN'!$A$1:$O$86,15,0)),0,VLOOKUP($T$234,'TAR FIN'!$A$1:$O$86,15,0))</f>
        <v>73.19</v>
      </c>
      <c r="X234" s="6">
        <f>IF(ISERROR(VLOOKUP($U$234,'TAR FIN'!$A$1:$O$86,15,0)),0,VLOOKUP($U$234,'TAR FIN'!$A$1:$O$86,15,0))</f>
        <v>211.71</v>
      </c>
      <c r="Y234" s="6"/>
      <c r="Z234" s="6">
        <f ca="1">('TUSD BE'!$AM$12+'TUSD BF'!$AM$12+'TUSD CVA'!$AM$12)*1</f>
        <v>117.83242038312405</v>
      </c>
      <c r="AA234" s="6">
        <f>('TE BE'!$AB$6+'TE BF'!$AB$6+'TE CVA'!$AB$6)*1</f>
        <v>222.99901551132911</v>
      </c>
      <c r="AB234" s="6">
        <f>$K$234*$V$234</f>
        <v>0</v>
      </c>
      <c r="AC234" s="6">
        <f>$M$234*$W$234</f>
        <v>367.12103999999999</v>
      </c>
      <c r="AD234" s="6">
        <f>$O$234*$X$234</f>
        <v>1061.9373600000001</v>
      </c>
      <c r="AE234" s="6">
        <f>$K$234*$Y$234</f>
        <v>0</v>
      </c>
      <c r="AF234" s="6">
        <f ca="1">$M$234*$Z$234</f>
        <v>591.04742064175025</v>
      </c>
      <c r="AG234" s="6">
        <f>$O$234*$AA$234</f>
        <v>1118.5630618048267</v>
      </c>
    </row>
    <row r="235" spans="1:33" ht="11.25" customHeight="1" x14ac:dyDescent="0.25">
      <c r="A235" s="4" t="s">
        <v>28</v>
      </c>
      <c r="B235" s="4" t="s">
        <v>35</v>
      </c>
      <c r="C235" s="4" t="s">
        <v>39</v>
      </c>
      <c r="D235" s="4" t="s">
        <v>43</v>
      </c>
      <c r="E235" s="4" t="s">
        <v>25</v>
      </c>
      <c r="F235" s="4" t="s">
        <v>25</v>
      </c>
      <c r="G235" s="4" t="s">
        <v>25</v>
      </c>
      <c r="H235" s="4" t="s">
        <v>38</v>
      </c>
      <c r="I235" s="5">
        <v>44531</v>
      </c>
      <c r="J235" s="6">
        <v>0</v>
      </c>
      <c r="K235" s="6">
        <v>0</v>
      </c>
      <c r="L235" s="6">
        <v>24.227</v>
      </c>
      <c r="M235" s="6">
        <v>24.227</v>
      </c>
      <c r="N235" s="6">
        <v>24.227</v>
      </c>
      <c r="O235" s="6">
        <v>24.227</v>
      </c>
      <c r="P235" s="6">
        <v>0</v>
      </c>
      <c r="Q235" s="4" t="s">
        <v>26</v>
      </c>
      <c r="R235" s="4">
        <v>0</v>
      </c>
      <c r="S235" s="6">
        <v>0</v>
      </c>
      <c r="T235" s="6">
        <v>18</v>
      </c>
      <c r="U235" s="6">
        <v>73</v>
      </c>
      <c r="V235" s="6">
        <f>IF(ISERROR(VLOOKUP($S$235,'TAR FIN'!$A$1:$O$86,15,0)),0,VLOOKUP($S$235,'TAR FIN'!$A$1:$O$86,15,0))</f>
        <v>0</v>
      </c>
      <c r="W235" s="6">
        <f>IF(ISERROR(VLOOKUP($T$235,'TAR FIN'!$A$1:$O$86,15,0)),0,VLOOKUP($T$235,'TAR FIN'!$A$1:$O$86,15,0))</f>
        <v>73.19</v>
      </c>
      <c r="X235" s="6">
        <f>IF(ISERROR(VLOOKUP($U$235,'TAR FIN'!$A$1:$O$86,15,0)),0,VLOOKUP($U$235,'TAR FIN'!$A$1:$O$86,15,0))</f>
        <v>211.71</v>
      </c>
      <c r="Y235" s="6"/>
      <c r="Z235" s="6">
        <f ca="1">('TUSD BE'!$AM$12+'TUSD BF'!$AM$12+'TUSD CVA'!$AM$12)*1</f>
        <v>117.83242038312405</v>
      </c>
      <c r="AA235" s="6">
        <f>('TE BE'!$AB$6+'TE BF'!$AB$6+'TE CVA'!$AB$6)*1</f>
        <v>222.99901551132911</v>
      </c>
      <c r="AB235" s="6">
        <f>$K$235*$V$235</f>
        <v>0</v>
      </c>
      <c r="AC235" s="6">
        <f>$M$235*$W$235</f>
        <v>1773.1741299999999</v>
      </c>
      <c r="AD235" s="6">
        <f>$O$235*$X$235</f>
        <v>5129.0981700000002</v>
      </c>
      <c r="AE235" s="6">
        <f>$K$235*$Y$235</f>
        <v>0</v>
      </c>
      <c r="AF235" s="6">
        <f ca="1">$M$235*$Z$235</f>
        <v>2854.7260486219461</v>
      </c>
      <c r="AG235" s="6">
        <f>$O$235*$AA$235</f>
        <v>5402.5971487929701</v>
      </c>
    </row>
    <row r="236" spans="1:33" ht="11.25" customHeight="1" x14ac:dyDescent="0.25">
      <c r="A236" s="4" t="s">
        <v>21</v>
      </c>
      <c r="B236" s="4" t="s">
        <v>35</v>
      </c>
      <c r="C236" s="4" t="s">
        <v>39</v>
      </c>
      <c r="D236" s="4" t="s">
        <v>43</v>
      </c>
      <c r="E236" s="4" t="s">
        <v>25</v>
      </c>
      <c r="F236" s="4" t="s">
        <v>25</v>
      </c>
      <c r="G236" s="4" t="s">
        <v>25</v>
      </c>
      <c r="H236" s="4" t="s">
        <v>38</v>
      </c>
      <c r="I236" s="5">
        <v>44562</v>
      </c>
      <c r="J236" s="6">
        <v>0</v>
      </c>
      <c r="K236" s="6">
        <v>0</v>
      </c>
      <c r="L236" s="6">
        <v>6.3380000000000001</v>
      </c>
      <c r="M236" s="6">
        <v>6.3380000000000001</v>
      </c>
      <c r="N236" s="6">
        <v>6.3380000000000001</v>
      </c>
      <c r="O236" s="6">
        <v>6.3380000000000001</v>
      </c>
      <c r="P236" s="6">
        <v>0</v>
      </c>
      <c r="Q236" s="4" t="s">
        <v>26</v>
      </c>
      <c r="R236" s="4">
        <v>0</v>
      </c>
      <c r="S236" s="6">
        <v>0</v>
      </c>
      <c r="T236" s="6">
        <v>18</v>
      </c>
      <c r="U236" s="6">
        <v>73</v>
      </c>
      <c r="V236" s="6">
        <f>IF(ISERROR(VLOOKUP($S$236,'TAR FIN'!$A$1:$O$86,15,0)),0,VLOOKUP($S$236,'TAR FIN'!$A$1:$O$86,15,0))</f>
        <v>0</v>
      </c>
      <c r="W236" s="6">
        <f>IF(ISERROR(VLOOKUP($T$236,'TAR FIN'!$A$1:$O$86,15,0)),0,VLOOKUP($T$236,'TAR FIN'!$A$1:$O$86,15,0))</f>
        <v>73.19</v>
      </c>
      <c r="X236" s="6">
        <f>IF(ISERROR(VLOOKUP($U$236,'TAR FIN'!$A$1:$O$86,15,0)),0,VLOOKUP($U$236,'TAR FIN'!$A$1:$O$86,15,0))</f>
        <v>211.71</v>
      </c>
      <c r="Y236" s="6"/>
      <c r="Z236" s="6">
        <f ca="1">('TUSD BE'!$AM$12+'TUSD BF'!$AM$12+'TUSD CVA'!$AM$12)*1</f>
        <v>117.83242038312405</v>
      </c>
      <c r="AA236" s="6">
        <f>('TE BE'!$AB$6+'TE BF'!$AB$6+'TE CVA'!$AB$6)*1</f>
        <v>222.99901551132911</v>
      </c>
      <c r="AB236" s="6">
        <f>$K$236*$V$236</f>
        <v>0</v>
      </c>
      <c r="AC236" s="6">
        <f>$M$236*$W$236</f>
        <v>463.87822</v>
      </c>
      <c r="AD236" s="6">
        <f>$O$236*$X$236</f>
        <v>1341.81798</v>
      </c>
      <c r="AE236" s="6">
        <f>$K$236*$Y$236</f>
        <v>0</v>
      </c>
      <c r="AF236" s="6">
        <f ca="1">$M$236*$Z$236</f>
        <v>746.82188038824017</v>
      </c>
      <c r="AG236" s="6">
        <f>$O$236*$AA$236</f>
        <v>1413.367760310804</v>
      </c>
    </row>
    <row r="237" spans="1:33" ht="11.25" customHeight="1" x14ac:dyDescent="0.25">
      <c r="A237" s="4" t="s">
        <v>28</v>
      </c>
      <c r="B237" s="4" t="s">
        <v>35</v>
      </c>
      <c r="C237" s="4" t="s">
        <v>39</v>
      </c>
      <c r="D237" s="4" t="s">
        <v>43</v>
      </c>
      <c r="E237" s="4" t="s">
        <v>25</v>
      </c>
      <c r="F237" s="4" t="s">
        <v>25</v>
      </c>
      <c r="G237" s="4" t="s">
        <v>25</v>
      </c>
      <c r="H237" s="4" t="s">
        <v>38</v>
      </c>
      <c r="I237" s="5">
        <v>44562</v>
      </c>
      <c r="J237" s="6">
        <v>0</v>
      </c>
      <c r="K237" s="6">
        <v>0</v>
      </c>
      <c r="L237" s="6">
        <v>27.763999999999999</v>
      </c>
      <c r="M237" s="6">
        <v>27.763999999999999</v>
      </c>
      <c r="N237" s="6">
        <v>27.763999999999999</v>
      </c>
      <c r="O237" s="6">
        <v>27.763999999999999</v>
      </c>
      <c r="P237" s="6">
        <v>0</v>
      </c>
      <c r="Q237" s="4" t="s">
        <v>26</v>
      </c>
      <c r="R237" s="4">
        <v>0</v>
      </c>
      <c r="S237" s="6">
        <v>0</v>
      </c>
      <c r="T237" s="6">
        <v>18</v>
      </c>
      <c r="U237" s="6">
        <v>73</v>
      </c>
      <c r="V237" s="6">
        <f>IF(ISERROR(VLOOKUP($S$237,'TAR FIN'!$A$1:$O$86,15,0)),0,VLOOKUP($S$237,'TAR FIN'!$A$1:$O$86,15,0))</f>
        <v>0</v>
      </c>
      <c r="W237" s="6">
        <f>IF(ISERROR(VLOOKUP($T$237,'TAR FIN'!$A$1:$O$86,15,0)),0,VLOOKUP($T$237,'TAR FIN'!$A$1:$O$86,15,0))</f>
        <v>73.19</v>
      </c>
      <c r="X237" s="6">
        <f>IF(ISERROR(VLOOKUP($U$237,'TAR FIN'!$A$1:$O$86,15,0)),0,VLOOKUP($U$237,'TAR FIN'!$A$1:$O$86,15,0))</f>
        <v>211.71</v>
      </c>
      <c r="Y237" s="6"/>
      <c r="Z237" s="6">
        <f ca="1">('TUSD BE'!$AM$12+'TUSD BF'!$AM$12+'TUSD CVA'!$AM$12)*1</f>
        <v>117.83242038312405</v>
      </c>
      <c r="AA237" s="6">
        <f>('TE BE'!$AB$6+'TE BF'!$AB$6+'TE CVA'!$AB$6)*1</f>
        <v>222.99901551132911</v>
      </c>
      <c r="AB237" s="6">
        <f>$K$237*$V$237</f>
        <v>0</v>
      </c>
      <c r="AC237" s="6">
        <f>$M$237*$W$237</f>
        <v>2032.0471599999998</v>
      </c>
      <c r="AD237" s="6">
        <f>$O$237*$X$237</f>
        <v>5877.91644</v>
      </c>
      <c r="AE237" s="6">
        <f>$K$237*$Y$237</f>
        <v>0</v>
      </c>
      <c r="AF237" s="6">
        <f ca="1">$M$237*$Z$237</f>
        <v>3271.4993195170559</v>
      </c>
      <c r="AG237" s="6">
        <f>$O$237*$AA$237</f>
        <v>6191.3446666565414</v>
      </c>
    </row>
    <row r="238" spans="1:33" ht="11.25" customHeight="1" x14ac:dyDescent="0.25">
      <c r="A238" s="4" t="s">
        <v>21</v>
      </c>
      <c r="B238" s="4" t="s">
        <v>35</v>
      </c>
      <c r="C238" s="4" t="s">
        <v>39</v>
      </c>
      <c r="D238" s="4" t="s">
        <v>43</v>
      </c>
      <c r="E238" s="4" t="s">
        <v>25</v>
      </c>
      <c r="F238" s="4" t="s">
        <v>25</v>
      </c>
      <c r="G238" s="4" t="s">
        <v>25</v>
      </c>
      <c r="H238" s="4" t="s">
        <v>38</v>
      </c>
      <c r="I238" s="5">
        <v>44593</v>
      </c>
      <c r="J238" s="6">
        <v>0</v>
      </c>
      <c r="K238" s="6">
        <v>0</v>
      </c>
      <c r="L238" s="6">
        <v>6.3890000000000002</v>
      </c>
      <c r="M238" s="6">
        <v>6.3890000000000002</v>
      </c>
      <c r="N238" s="6">
        <v>6.3890000000000002</v>
      </c>
      <c r="O238" s="6">
        <v>6.3890000000000002</v>
      </c>
      <c r="P238" s="6">
        <v>0</v>
      </c>
      <c r="Q238" s="4" t="s">
        <v>26</v>
      </c>
      <c r="R238" s="4">
        <v>0</v>
      </c>
      <c r="S238" s="6">
        <v>0</v>
      </c>
      <c r="T238" s="6">
        <v>18</v>
      </c>
      <c r="U238" s="6">
        <v>73</v>
      </c>
      <c r="V238" s="6">
        <f>IF(ISERROR(VLOOKUP($S$238,'TAR FIN'!$A$1:$O$86,15,0)),0,VLOOKUP($S$238,'TAR FIN'!$A$1:$O$86,15,0))</f>
        <v>0</v>
      </c>
      <c r="W238" s="6">
        <f>IF(ISERROR(VLOOKUP($T$238,'TAR FIN'!$A$1:$O$86,15,0)),0,VLOOKUP($T$238,'TAR FIN'!$A$1:$O$86,15,0))</f>
        <v>73.19</v>
      </c>
      <c r="X238" s="6">
        <f>IF(ISERROR(VLOOKUP($U$238,'TAR FIN'!$A$1:$O$86,15,0)),0,VLOOKUP($U$238,'TAR FIN'!$A$1:$O$86,15,0))</f>
        <v>211.71</v>
      </c>
      <c r="Y238" s="6"/>
      <c r="Z238" s="6">
        <f ca="1">('TUSD BE'!$AM$12+'TUSD BF'!$AM$12+'TUSD CVA'!$AM$12)*1</f>
        <v>117.83242038312405</v>
      </c>
      <c r="AA238" s="6">
        <f>('TE BE'!$AB$6+'TE BF'!$AB$6+'TE CVA'!$AB$6)*1</f>
        <v>222.99901551132911</v>
      </c>
      <c r="AB238" s="6">
        <f>$K$238*$V$238</f>
        <v>0</v>
      </c>
      <c r="AC238" s="6">
        <f>$M$238*$W$238</f>
        <v>467.61090999999999</v>
      </c>
      <c r="AD238" s="6">
        <f>$O$238*$X$238</f>
        <v>1352.6151900000002</v>
      </c>
      <c r="AE238" s="6">
        <f>$K$238*$Y$238</f>
        <v>0</v>
      </c>
      <c r="AF238" s="6">
        <f ca="1">$M$238*$Z$238</f>
        <v>752.83133382777953</v>
      </c>
      <c r="AG238" s="6">
        <f>$O$238*$AA$238</f>
        <v>1424.7407101018816</v>
      </c>
    </row>
    <row r="239" spans="1:33" ht="11.25" customHeight="1" x14ac:dyDescent="0.25">
      <c r="A239" s="4" t="s">
        <v>28</v>
      </c>
      <c r="B239" s="4" t="s">
        <v>35</v>
      </c>
      <c r="C239" s="4" t="s">
        <v>39</v>
      </c>
      <c r="D239" s="4" t="s">
        <v>43</v>
      </c>
      <c r="E239" s="4" t="s">
        <v>25</v>
      </c>
      <c r="F239" s="4" t="s">
        <v>25</v>
      </c>
      <c r="G239" s="4" t="s">
        <v>25</v>
      </c>
      <c r="H239" s="4" t="s">
        <v>38</v>
      </c>
      <c r="I239" s="5">
        <v>44593</v>
      </c>
      <c r="J239" s="6">
        <v>0</v>
      </c>
      <c r="K239" s="6">
        <v>0</v>
      </c>
      <c r="L239" s="6">
        <v>24.472000000000001</v>
      </c>
      <c r="M239" s="6">
        <v>24.472000000000001</v>
      </c>
      <c r="N239" s="6">
        <v>24.472000000000001</v>
      </c>
      <c r="O239" s="6">
        <v>24.472000000000001</v>
      </c>
      <c r="P239" s="6">
        <v>0</v>
      </c>
      <c r="Q239" s="4" t="s">
        <v>26</v>
      </c>
      <c r="R239" s="4">
        <v>0</v>
      </c>
      <c r="S239" s="6">
        <v>0</v>
      </c>
      <c r="T239" s="6">
        <v>18</v>
      </c>
      <c r="U239" s="6">
        <v>73</v>
      </c>
      <c r="V239" s="6">
        <f>IF(ISERROR(VLOOKUP($S$239,'TAR FIN'!$A$1:$O$86,15,0)),0,VLOOKUP($S$239,'TAR FIN'!$A$1:$O$86,15,0))</f>
        <v>0</v>
      </c>
      <c r="W239" s="6">
        <f>IF(ISERROR(VLOOKUP($T$239,'TAR FIN'!$A$1:$O$86,15,0)),0,VLOOKUP($T$239,'TAR FIN'!$A$1:$O$86,15,0))</f>
        <v>73.19</v>
      </c>
      <c r="X239" s="6">
        <f>IF(ISERROR(VLOOKUP($U$239,'TAR FIN'!$A$1:$O$86,15,0)),0,VLOOKUP($U$239,'TAR FIN'!$A$1:$O$86,15,0))</f>
        <v>211.71</v>
      </c>
      <c r="Y239" s="6"/>
      <c r="Z239" s="6">
        <f ca="1">('TUSD BE'!$AM$12+'TUSD BF'!$AM$12+'TUSD CVA'!$AM$12)*1</f>
        <v>117.83242038312405</v>
      </c>
      <c r="AA239" s="6">
        <f>('TE BE'!$AB$6+'TE BF'!$AB$6+'TE CVA'!$AB$6)*1</f>
        <v>222.99901551132911</v>
      </c>
      <c r="AB239" s="6">
        <f>$K$239*$V$239</f>
        <v>0</v>
      </c>
      <c r="AC239" s="6">
        <f>$M$239*$W$239</f>
        <v>1791.1056800000001</v>
      </c>
      <c r="AD239" s="6">
        <f>$O$239*$X$239</f>
        <v>5180.9671200000003</v>
      </c>
      <c r="AE239" s="6">
        <f>$K$239*$Y$239</f>
        <v>0</v>
      </c>
      <c r="AF239" s="6">
        <f ca="1">$M$239*$Z$239</f>
        <v>2883.594991615812</v>
      </c>
      <c r="AG239" s="6">
        <f>$O$239*$AA$239</f>
        <v>5457.2319075932464</v>
      </c>
    </row>
    <row r="240" spans="1:33" ht="11.25" customHeight="1" x14ac:dyDescent="0.25">
      <c r="A240" s="4" t="s">
        <v>21</v>
      </c>
      <c r="B240" s="4" t="s">
        <v>35</v>
      </c>
      <c r="C240" s="4" t="s">
        <v>39</v>
      </c>
      <c r="D240" s="4" t="s">
        <v>43</v>
      </c>
      <c r="E240" s="4" t="s">
        <v>25</v>
      </c>
      <c r="F240" s="4" t="s">
        <v>25</v>
      </c>
      <c r="G240" s="4" t="s">
        <v>25</v>
      </c>
      <c r="H240" s="4" t="s">
        <v>38</v>
      </c>
      <c r="I240" s="5">
        <v>44621</v>
      </c>
      <c r="J240" s="6">
        <v>0</v>
      </c>
      <c r="K240" s="6">
        <v>0</v>
      </c>
      <c r="L240" s="6">
        <v>6.0259999999999998</v>
      </c>
      <c r="M240" s="6">
        <v>6.0259999999999998</v>
      </c>
      <c r="N240" s="6">
        <v>6.0259999999999998</v>
      </c>
      <c r="O240" s="6">
        <v>6.0259999999999998</v>
      </c>
      <c r="P240" s="6">
        <v>0</v>
      </c>
      <c r="Q240" s="4" t="s">
        <v>26</v>
      </c>
      <c r="R240" s="4">
        <v>0</v>
      </c>
      <c r="S240" s="6">
        <v>0</v>
      </c>
      <c r="T240" s="6">
        <v>18</v>
      </c>
      <c r="U240" s="6">
        <v>73</v>
      </c>
      <c r="V240" s="6">
        <f>IF(ISERROR(VLOOKUP($S$240,'TAR FIN'!$A$1:$O$86,15,0)),0,VLOOKUP($S$240,'TAR FIN'!$A$1:$O$86,15,0))</f>
        <v>0</v>
      </c>
      <c r="W240" s="6">
        <f>IF(ISERROR(VLOOKUP($T$240,'TAR FIN'!$A$1:$O$86,15,0)),0,VLOOKUP($T$240,'TAR FIN'!$A$1:$O$86,15,0))</f>
        <v>73.19</v>
      </c>
      <c r="X240" s="6">
        <f>IF(ISERROR(VLOOKUP($U$240,'TAR FIN'!$A$1:$O$86,15,0)),0,VLOOKUP($U$240,'TAR FIN'!$A$1:$O$86,15,0))</f>
        <v>211.71</v>
      </c>
      <c r="Y240" s="6"/>
      <c r="Z240" s="6">
        <f ca="1">('TUSD BE'!$AM$12+'TUSD BF'!$AM$12+'TUSD CVA'!$AM$12)*1</f>
        <v>117.83242038312405</v>
      </c>
      <c r="AA240" s="6">
        <f>('TE BE'!$AB$6+'TE BF'!$AB$6+'TE CVA'!$AB$6)*1</f>
        <v>222.99901551132911</v>
      </c>
      <c r="AB240" s="6">
        <f>$K$240*$V$240</f>
        <v>0</v>
      </c>
      <c r="AC240" s="6">
        <f>$M$240*$W$240</f>
        <v>441.04293999999999</v>
      </c>
      <c r="AD240" s="6">
        <f>$O$240*$X$240</f>
        <v>1275.7644600000001</v>
      </c>
      <c r="AE240" s="6">
        <f>$K$240*$Y$240</f>
        <v>0</v>
      </c>
      <c r="AF240" s="6">
        <f ca="1">$M$240*$Z$240</f>
        <v>710.05816522870543</v>
      </c>
      <c r="AG240" s="6">
        <f>$O$240*$AA$240</f>
        <v>1343.7920674712691</v>
      </c>
    </row>
    <row r="241" spans="1:33" ht="11.25" customHeight="1" x14ac:dyDescent="0.25">
      <c r="A241" s="4" t="s">
        <v>28</v>
      </c>
      <c r="B241" s="4" t="s">
        <v>35</v>
      </c>
      <c r="C241" s="4" t="s">
        <v>39</v>
      </c>
      <c r="D241" s="4" t="s">
        <v>43</v>
      </c>
      <c r="E241" s="4" t="s">
        <v>25</v>
      </c>
      <c r="F241" s="4" t="s">
        <v>25</v>
      </c>
      <c r="G241" s="4" t="s">
        <v>25</v>
      </c>
      <c r="H241" s="4" t="s">
        <v>38</v>
      </c>
      <c r="I241" s="5">
        <v>44621</v>
      </c>
      <c r="J241" s="6">
        <v>0</v>
      </c>
      <c r="K241" s="6">
        <v>0</v>
      </c>
      <c r="L241" s="6">
        <v>25.759</v>
      </c>
      <c r="M241" s="6">
        <v>25.759</v>
      </c>
      <c r="N241" s="6">
        <v>25.759</v>
      </c>
      <c r="O241" s="6">
        <v>25.759</v>
      </c>
      <c r="P241" s="6">
        <v>0</v>
      </c>
      <c r="Q241" s="4" t="s">
        <v>26</v>
      </c>
      <c r="R241" s="4">
        <v>0</v>
      </c>
      <c r="S241" s="6">
        <v>0</v>
      </c>
      <c r="T241" s="6">
        <v>18</v>
      </c>
      <c r="U241" s="6">
        <v>73</v>
      </c>
      <c r="V241" s="6">
        <f>IF(ISERROR(VLOOKUP($S$241,'TAR FIN'!$A$1:$O$86,15,0)),0,VLOOKUP($S$241,'TAR FIN'!$A$1:$O$86,15,0))</f>
        <v>0</v>
      </c>
      <c r="W241" s="6">
        <f>IF(ISERROR(VLOOKUP($T$241,'TAR FIN'!$A$1:$O$86,15,0)),0,VLOOKUP($T$241,'TAR FIN'!$A$1:$O$86,15,0))</f>
        <v>73.19</v>
      </c>
      <c r="X241" s="6">
        <f>IF(ISERROR(VLOOKUP($U$241,'TAR FIN'!$A$1:$O$86,15,0)),0,VLOOKUP($U$241,'TAR FIN'!$A$1:$O$86,15,0))</f>
        <v>211.71</v>
      </c>
      <c r="Y241" s="6"/>
      <c r="Z241" s="6">
        <f ca="1">('TUSD BE'!$AM$12+'TUSD BF'!$AM$12+'TUSD CVA'!$AM$12)*1</f>
        <v>117.83242038312405</v>
      </c>
      <c r="AA241" s="6">
        <f>('TE BE'!$AB$6+'TE BF'!$AB$6+'TE CVA'!$AB$6)*1</f>
        <v>222.99901551132911</v>
      </c>
      <c r="AB241" s="6">
        <f>$K$241*$V$241</f>
        <v>0</v>
      </c>
      <c r="AC241" s="6">
        <f>$M$241*$W$241</f>
        <v>1885.3012099999999</v>
      </c>
      <c r="AD241" s="6">
        <f>$O$241*$X$241</f>
        <v>5453.4378900000002</v>
      </c>
      <c r="AE241" s="6">
        <f>$K$241*$Y$241</f>
        <v>0</v>
      </c>
      <c r="AF241" s="6">
        <f ca="1">$M$241*$Z$241</f>
        <v>3035.2453166488922</v>
      </c>
      <c r="AG241" s="6">
        <f>$O$241*$AA$241</f>
        <v>5744.2316405563261</v>
      </c>
    </row>
    <row r="242" spans="1:33" ht="11.25" customHeight="1" x14ac:dyDescent="0.25">
      <c r="A242" s="4" t="s">
        <v>21</v>
      </c>
      <c r="B242" s="4" t="s">
        <v>35</v>
      </c>
      <c r="C242" s="4" t="s">
        <v>39</v>
      </c>
      <c r="D242" s="4" t="s">
        <v>43</v>
      </c>
      <c r="E242" s="4" t="s">
        <v>25</v>
      </c>
      <c r="F242" s="4" t="s">
        <v>25</v>
      </c>
      <c r="G242" s="4" t="s">
        <v>25</v>
      </c>
      <c r="H242" s="4" t="s">
        <v>38</v>
      </c>
      <c r="I242" s="5">
        <v>44652</v>
      </c>
      <c r="J242" s="6">
        <v>0</v>
      </c>
      <c r="K242" s="6">
        <v>0</v>
      </c>
      <c r="L242" s="6">
        <v>4.91</v>
      </c>
      <c r="M242" s="6">
        <v>4.91</v>
      </c>
      <c r="N242" s="6">
        <v>4.91</v>
      </c>
      <c r="O242" s="6">
        <v>4.91</v>
      </c>
      <c r="P242" s="6">
        <v>0</v>
      </c>
      <c r="Q242" s="4" t="s">
        <v>26</v>
      </c>
      <c r="R242" s="4">
        <v>0</v>
      </c>
      <c r="S242" s="6">
        <v>0</v>
      </c>
      <c r="T242" s="6">
        <v>18</v>
      </c>
      <c r="U242" s="6">
        <v>73</v>
      </c>
      <c r="V242" s="6">
        <f>IF(ISERROR(VLOOKUP($S$242,'TAR FIN'!$A$1:$O$86,15,0)),0,VLOOKUP($S$242,'TAR FIN'!$A$1:$O$86,15,0))</f>
        <v>0</v>
      </c>
      <c r="W242" s="6">
        <f>IF(ISERROR(VLOOKUP($T$242,'TAR FIN'!$A$1:$O$86,15,0)),0,VLOOKUP($T$242,'TAR FIN'!$A$1:$O$86,15,0))</f>
        <v>73.19</v>
      </c>
      <c r="X242" s="6">
        <f>IF(ISERROR(VLOOKUP($U$242,'TAR FIN'!$A$1:$O$86,15,0)),0,VLOOKUP($U$242,'TAR FIN'!$A$1:$O$86,15,0))</f>
        <v>211.71</v>
      </c>
      <c r="Y242" s="6"/>
      <c r="Z242" s="6">
        <f ca="1">('TUSD BE'!$AM$12+'TUSD BF'!$AM$12+'TUSD CVA'!$AM$12)*1</f>
        <v>117.83242038312405</v>
      </c>
      <c r="AA242" s="6">
        <f>('TE BE'!$AB$6+'TE BF'!$AB$6+'TE CVA'!$AB$6)*1</f>
        <v>222.99901551132911</v>
      </c>
      <c r="AB242" s="6">
        <f>$K$242*$V$242</f>
        <v>0</v>
      </c>
      <c r="AC242" s="6">
        <f>$M$242*$W$242</f>
        <v>359.36290000000002</v>
      </c>
      <c r="AD242" s="6">
        <f>$O$242*$X$242</f>
        <v>1039.4961000000001</v>
      </c>
      <c r="AE242" s="6">
        <f>$K$242*$Y$242</f>
        <v>0</v>
      </c>
      <c r="AF242" s="6">
        <f ca="1">$M$242*$Z$242</f>
        <v>578.5571840811391</v>
      </c>
      <c r="AG242" s="6">
        <f>$O$242*$AA$242</f>
        <v>1094.9251661606258</v>
      </c>
    </row>
    <row r="243" spans="1:33" ht="11.25" customHeight="1" x14ac:dyDescent="0.25">
      <c r="A243" s="4" t="s">
        <v>28</v>
      </c>
      <c r="B243" s="4" t="s">
        <v>35</v>
      </c>
      <c r="C243" s="4" t="s">
        <v>39</v>
      </c>
      <c r="D243" s="4" t="s">
        <v>43</v>
      </c>
      <c r="E243" s="4" t="s">
        <v>25</v>
      </c>
      <c r="F243" s="4" t="s">
        <v>25</v>
      </c>
      <c r="G243" s="4" t="s">
        <v>25</v>
      </c>
      <c r="H243" s="4" t="s">
        <v>38</v>
      </c>
      <c r="I243" s="5">
        <v>44652</v>
      </c>
      <c r="J243" s="6">
        <v>0</v>
      </c>
      <c r="K243" s="6">
        <v>0</v>
      </c>
      <c r="L243" s="6">
        <v>17</v>
      </c>
      <c r="M243" s="6">
        <v>17</v>
      </c>
      <c r="N243" s="6">
        <v>17</v>
      </c>
      <c r="O243" s="6">
        <v>17</v>
      </c>
      <c r="P243" s="6">
        <v>0</v>
      </c>
      <c r="Q243" s="4" t="s">
        <v>26</v>
      </c>
      <c r="R243" s="4">
        <v>0</v>
      </c>
      <c r="S243" s="6">
        <v>0</v>
      </c>
      <c r="T243" s="6">
        <v>18</v>
      </c>
      <c r="U243" s="6">
        <v>73</v>
      </c>
      <c r="V243" s="6">
        <f>IF(ISERROR(VLOOKUP($S$243,'TAR FIN'!$A$1:$O$86,15,0)),0,VLOOKUP($S$243,'TAR FIN'!$A$1:$O$86,15,0))</f>
        <v>0</v>
      </c>
      <c r="W243" s="6">
        <f>IF(ISERROR(VLOOKUP($T$243,'TAR FIN'!$A$1:$O$86,15,0)),0,VLOOKUP($T$243,'TAR FIN'!$A$1:$O$86,15,0))</f>
        <v>73.19</v>
      </c>
      <c r="X243" s="6">
        <f>IF(ISERROR(VLOOKUP($U$243,'TAR FIN'!$A$1:$O$86,15,0)),0,VLOOKUP($U$243,'TAR FIN'!$A$1:$O$86,15,0))</f>
        <v>211.71</v>
      </c>
      <c r="Y243" s="6"/>
      <c r="Z243" s="6">
        <f ca="1">('TUSD BE'!$AM$12+'TUSD BF'!$AM$12+'TUSD CVA'!$AM$12)*1</f>
        <v>117.83242038312405</v>
      </c>
      <c r="AA243" s="6">
        <f>('TE BE'!$AB$6+'TE BF'!$AB$6+'TE CVA'!$AB$6)*1</f>
        <v>222.99901551132911</v>
      </c>
      <c r="AB243" s="6">
        <f>$K$243*$V$243</f>
        <v>0</v>
      </c>
      <c r="AC243" s="6">
        <f>$M$243*$W$243</f>
        <v>1244.23</v>
      </c>
      <c r="AD243" s="6">
        <f>$O$243*$X$243</f>
        <v>3599.07</v>
      </c>
      <c r="AE243" s="6">
        <f>$K$243*$Y$243</f>
        <v>0</v>
      </c>
      <c r="AF243" s="6">
        <f ca="1">$M$243*$Z$243</f>
        <v>2003.1511465131089</v>
      </c>
      <c r="AG243" s="6">
        <f>$O$243*$AA$243</f>
        <v>3790.9832636925948</v>
      </c>
    </row>
    <row r="244" spans="1:33" ht="11.25" customHeight="1" x14ac:dyDescent="0.25">
      <c r="A244" s="4" t="s">
        <v>21</v>
      </c>
      <c r="B244" s="4" t="s">
        <v>35</v>
      </c>
      <c r="C244" s="4" t="s">
        <v>39</v>
      </c>
      <c r="D244" s="4" t="s">
        <v>43</v>
      </c>
      <c r="E244" s="4" t="s">
        <v>25</v>
      </c>
      <c r="F244" s="4" t="s">
        <v>25</v>
      </c>
      <c r="G244" s="4" t="s">
        <v>25</v>
      </c>
      <c r="H244" s="4" t="s">
        <v>38</v>
      </c>
      <c r="I244" s="5">
        <v>44682</v>
      </c>
      <c r="J244" s="6">
        <v>0</v>
      </c>
      <c r="K244" s="6">
        <v>0</v>
      </c>
      <c r="L244" s="6">
        <v>4.8129999999999997</v>
      </c>
      <c r="M244" s="6">
        <v>4.8129999999999997</v>
      </c>
      <c r="N244" s="6">
        <v>4.8129999999999997</v>
      </c>
      <c r="O244" s="6">
        <v>4.8129999999999997</v>
      </c>
      <c r="P244" s="6">
        <v>0</v>
      </c>
      <c r="Q244" s="4" t="s">
        <v>26</v>
      </c>
      <c r="R244" s="4">
        <v>0</v>
      </c>
      <c r="S244" s="6">
        <v>0</v>
      </c>
      <c r="T244" s="6">
        <v>18</v>
      </c>
      <c r="U244" s="6">
        <v>73</v>
      </c>
      <c r="V244" s="6">
        <f>IF(ISERROR(VLOOKUP($S$244,'TAR FIN'!$A$1:$O$86,15,0)),0,VLOOKUP($S$244,'TAR FIN'!$A$1:$O$86,15,0))</f>
        <v>0</v>
      </c>
      <c r="W244" s="6">
        <f>IF(ISERROR(VLOOKUP($T$244,'TAR FIN'!$A$1:$O$86,15,0)),0,VLOOKUP($T$244,'TAR FIN'!$A$1:$O$86,15,0))</f>
        <v>73.19</v>
      </c>
      <c r="X244" s="6">
        <f>IF(ISERROR(VLOOKUP($U$244,'TAR FIN'!$A$1:$O$86,15,0)),0,VLOOKUP($U$244,'TAR FIN'!$A$1:$O$86,15,0))</f>
        <v>211.71</v>
      </c>
      <c r="Y244" s="6"/>
      <c r="Z244" s="6">
        <f ca="1">('TUSD BE'!$AM$12+'TUSD BF'!$AM$12+'TUSD CVA'!$AM$12)*1</f>
        <v>117.83242038312405</v>
      </c>
      <c r="AA244" s="6">
        <f>('TE BE'!$AB$6+'TE BF'!$AB$6+'TE CVA'!$AB$6)*1</f>
        <v>222.99901551132911</v>
      </c>
      <c r="AB244" s="6">
        <f>$K$244*$V$244</f>
        <v>0</v>
      </c>
      <c r="AC244" s="6">
        <f>$M$244*$W$244</f>
        <v>352.26346999999998</v>
      </c>
      <c r="AD244" s="6">
        <f>$O$244*$X$244</f>
        <v>1018.96023</v>
      </c>
      <c r="AE244" s="6">
        <f>$K$244*$Y$244</f>
        <v>0</v>
      </c>
      <c r="AF244" s="6">
        <f ca="1">$M$244*$Z$244</f>
        <v>567.12743930397596</v>
      </c>
      <c r="AG244" s="6">
        <f>$O$244*$AA$244</f>
        <v>1073.2942616560269</v>
      </c>
    </row>
    <row r="245" spans="1:33" ht="11.25" customHeight="1" x14ac:dyDescent="0.25">
      <c r="A245" s="4" t="s">
        <v>28</v>
      </c>
      <c r="B245" s="4" t="s">
        <v>35</v>
      </c>
      <c r="C245" s="4" t="s">
        <v>39</v>
      </c>
      <c r="D245" s="4" t="s">
        <v>43</v>
      </c>
      <c r="E245" s="4" t="s">
        <v>25</v>
      </c>
      <c r="F245" s="4" t="s">
        <v>25</v>
      </c>
      <c r="G245" s="4" t="s">
        <v>25</v>
      </c>
      <c r="H245" s="4" t="s">
        <v>38</v>
      </c>
      <c r="I245" s="5">
        <v>44682</v>
      </c>
      <c r="J245" s="6">
        <v>0</v>
      </c>
      <c r="K245" s="6">
        <v>0</v>
      </c>
      <c r="L245" s="6">
        <v>13.731999999999999</v>
      </c>
      <c r="M245" s="6">
        <v>13.731999999999999</v>
      </c>
      <c r="N245" s="6">
        <v>13.731999999999999</v>
      </c>
      <c r="O245" s="6">
        <v>13.731999999999999</v>
      </c>
      <c r="P245" s="6">
        <v>0</v>
      </c>
      <c r="Q245" s="4" t="s">
        <v>26</v>
      </c>
      <c r="R245" s="4">
        <v>0</v>
      </c>
      <c r="S245" s="6">
        <v>0</v>
      </c>
      <c r="T245" s="6">
        <v>18</v>
      </c>
      <c r="U245" s="6">
        <v>73</v>
      </c>
      <c r="V245" s="6">
        <f>IF(ISERROR(VLOOKUP($S$245,'TAR FIN'!$A$1:$O$86,15,0)),0,VLOOKUP($S$245,'TAR FIN'!$A$1:$O$86,15,0))</f>
        <v>0</v>
      </c>
      <c r="W245" s="6">
        <f>IF(ISERROR(VLOOKUP($T$245,'TAR FIN'!$A$1:$O$86,15,0)),0,VLOOKUP($T$245,'TAR FIN'!$A$1:$O$86,15,0))</f>
        <v>73.19</v>
      </c>
      <c r="X245" s="6">
        <f>IF(ISERROR(VLOOKUP($U$245,'TAR FIN'!$A$1:$O$86,15,0)),0,VLOOKUP($U$245,'TAR FIN'!$A$1:$O$86,15,0))</f>
        <v>211.71</v>
      </c>
      <c r="Y245" s="6"/>
      <c r="Z245" s="6">
        <f ca="1">('TUSD BE'!$AM$12+'TUSD BF'!$AM$12+'TUSD CVA'!$AM$12)*1</f>
        <v>117.83242038312405</v>
      </c>
      <c r="AA245" s="6">
        <f>('TE BE'!$AB$6+'TE BF'!$AB$6+'TE CVA'!$AB$6)*1</f>
        <v>222.99901551132911</v>
      </c>
      <c r="AB245" s="6">
        <f>$K$245*$V$245</f>
        <v>0</v>
      </c>
      <c r="AC245" s="6">
        <f>$M$245*$W$245</f>
        <v>1005.0450799999999</v>
      </c>
      <c r="AD245" s="6">
        <f>$O$245*$X$245</f>
        <v>2907.20172</v>
      </c>
      <c r="AE245" s="6">
        <f>$K$245*$Y$245</f>
        <v>0</v>
      </c>
      <c r="AF245" s="6">
        <f ca="1">$M$245*$Z$245</f>
        <v>1618.0747967010593</v>
      </c>
      <c r="AG245" s="6">
        <f>$O$245*$AA$245</f>
        <v>3062.2224810015709</v>
      </c>
    </row>
    <row r="246" spans="1:33" ht="11.25" customHeight="1" x14ac:dyDescent="0.25">
      <c r="A246" s="4" t="s">
        <v>21</v>
      </c>
      <c r="B246" s="4" t="s">
        <v>35</v>
      </c>
      <c r="C246" s="4" t="s">
        <v>39</v>
      </c>
      <c r="D246" s="4" t="s">
        <v>43</v>
      </c>
      <c r="E246" s="4" t="s">
        <v>25</v>
      </c>
      <c r="F246" s="4" t="s">
        <v>25</v>
      </c>
      <c r="G246" s="4" t="s">
        <v>25</v>
      </c>
      <c r="H246" s="4" t="s">
        <v>38</v>
      </c>
      <c r="I246" s="5">
        <v>44713</v>
      </c>
      <c r="J246" s="6">
        <v>0</v>
      </c>
      <c r="K246" s="6">
        <v>0</v>
      </c>
      <c r="L246" s="6">
        <v>5.4690000000000003</v>
      </c>
      <c r="M246" s="6">
        <v>5.4690000000000003</v>
      </c>
      <c r="N246" s="6">
        <v>5.4690000000000003</v>
      </c>
      <c r="O246" s="6">
        <v>5.4690000000000003</v>
      </c>
      <c r="P246" s="6">
        <v>0</v>
      </c>
      <c r="Q246" s="4" t="s">
        <v>26</v>
      </c>
      <c r="R246" s="4">
        <v>0</v>
      </c>
      <c r="S246" s="6">
        <v>0</v>
      </c>
      <c r="T246" s="6">
        <v>18</v>
      </c>
      <c r="U246" s="6">
        <v>73</v>
      </c>
      <c r="V246" s="6">
        <f>IF(ISERROR(VLOOKUP($S$246,'TAR FIN'!$A$1:$O$86,15,0)),0,VLOOKUP($S$246,'TAR FIN'!$A$1:$O$86,15,0))</f>
        <v>0</v>
      </c>
      <c r="W246" s="6">
        <f>IF(ISERROR(VLOOKUP($T$246,'TAR FIN'!$A$1:$O$86,15,0)),0,VLOOKUP($T$246,'TAR FIN'!$A$1:$O$86,15,0))</f>
        <v>73.19</v>
      </c>
      <c r="X246" s="6">
        <f>IF(ISERROR(VLOOKUP($U$246,'TAR FIN'!$A$1:$O$86,15,0)),0,VLOOKUP($U$246,'TAR FIN'!$A$1:$O$86,15,0))</f>
        <v>211.71</v>
      </c>
      <c r="Y246" s="6"/>
      <c r="Z246" s="6">
        <f ca="1">('TUSD BE'!$AM$12+'TUSD BF'!$AM$12+'TUSD CVA'!$AM$12)*1</f>
        <v>117.83242038312405</v>
      </c>
      <c r="AA246" s="6">
        <f>('TE BE'!$AB$6+'TE BF'!$AB$6+'TE CVA'!$AB$6)*1</f>
        <v>222.99901551132911</v>
      </c>
      <c r="AB246" s="6">
        <f>$K$246*$V$246</f>
        <v>0</v>
      </c>
      <c r="AC246" s="6">
        <f>$M$246*$W$246</f>
        <v>400.27611000000002</v>
      </c>
      <c r="AD246" s="6">
        <f>$O$246*$X$246</f>
        <v>1157.8419900000001</v>
      </c>
      <c r="AE246" s="6">
        <f>$K$246*$Y$246</f>
        <v>0</v>
      </c>
      <c r="AF246" s="6">
        <f ca="1">$M$246*$Z$246</f>
        <v>644.4255070753054</v>
      </c>
      <c r="AG246" s="6">
        <f>$O$246*$AA$246</f>
        <v>1219.581615831459</v>
      </c>
    </row>
    <row r="247" spans="1:33" ht="11.25" customHeight="1" x14ac:dyDescent="0.25">
      <c r="A247" s="4" t="s">
        <v>28</v>
      </c>
      <c r="B247" s="4" t="s">
        <v>35</v>
      </c>
      <c r="C247" s="4" t="s">
        <v>39</v>
      </c>
      <c r="D247" s="4" t="s">
        <v>43</v>
      </c>
      <c r="E247" s="4" t="s">
        <v>25</v>
      </c>
      <c r="F247" s="4" t="s">
        <v>25</v>
      </c>
      <c r="G247" s="4" t="s">
        <v>25</v>
      </c>
      <c r="H247" s="4" t="s">
        <v>38</v>
      </c>
      <c r="I247" s="5">
        <v>44713</v>
      </c>
      <c r="J247" s="6">
        <v>0</v>
      </c>
      <c r="K247" s="6">
        <v>0</v>
      </c>
      <c r="L247" s="6">
        <v>11.313000000000001</v>
      </c>
      <c r="M247" s="6">
        <v>11.313000000000001</v>
      </c>
      <c r="N247" s="6">
        <v>11.313000000000001</v>
      </c>
      <c r="O247" s="6">
        <v>11.313000000000001</v>
      </c>
      <c r="P247" s="6">
        <v>0</v>
      </c>
      <c r="Q247" s="4" t="s">
        <v>26</v>
      </c>
      <c r="R247" s="4">
        <v>0</v>
      </c>
      <c r="S247" s="6">
        <v>0</v>
      </c>
      <c r="T247" s="6">
        <v>18</v>
      </c>
      <c r="U247" s="6">
        <v>73</v>
      </c>
      <c r="V247" s="6">
        <f>IF(ISERROR(VLOOKUP($S$247,'TAR FIN'!$A$1:$O$86,15,0)),0,VLOOKUP($S$247,'TAR FIN'!$A$1:$O$86,15,0))</f>
        <v>0</v>
      </c>
      <c r="W247" s="6">
        <f>IF(ISERROR(VLOOKUP($T$247,'TAR FIN'!$A$1:$O$86,15,0)),0,VLOOKUP($T$247,'TAR FIN'!$A$1:$O$86,15,0))</f>
        <v>73.19</v>
      </c>
      <c r="X247" s="6">
        <f>IF(ISERROR(VLOOKUP($U$247,'TAR FIN'!$A$1:$O$86,15,0)),0,VLOOKUP($U$247,'TAR FIN'!$A$1:$O$86,15,0))</f>
        <v>211.71</v>
      </c>
      <c r="Y247" s="6"/>
      <c r="Z247" s="6">
        <f ca="1">('TUSD BE'!$AM$12+'TUSD BF'!$AM$12+'TUSD CVA'!$AM$12)*1</f>
        <v>117.83242038312405</v>
      </c>
      <c r="AA247" s="6">
        <f>('TE BE'!$AB$6+'TE BF'!$AB$6+'TE CVA'!$AB$6)*1</f>
        <v>222.99901551132911</v>
      </c>
      <c r="AB247" s="6">
        <f>$K$247*$V$247</f>
        <v>0</v>
      </c>
      <c r="AC247" s="6">
        <f>$M$247*$W$247</f>
        <v>827.99847</v>
      </c>
      <c r="AD247" s="6">
        <f>$O$247*$X$247</f>
        <v>2395.0752300000004</v>
      </c>
      <c r="AE247" s="6">
        <f>$K$247*$Y$247</f>
        <v>0</v>
      </c>
      <c r="AF247" s="6">
        <f ca="1">$M$247*$Z$247</f>
        <v>1333.0381717942823</v>
      </c>
      <c r="AG247" s="6">
        <f>$O$247*$AA$247</f>
        <v>2522.7878624796663</v>
      </c>
    </row>
    <row r="248" spans="1:33" ht="11.25" customHeight="1" x14ac:dyDescent="0.25">
      <c r="A248" s="4" t="s">
        <v>55</v>
      </c>
      <c r="B248" s="4" t="s">
        <v>35</v>
      </c>
      <c r="C248" s="4" t="s">
        <v>39</v>
      </c>
      <c r="D248" s="4" t="s">
        <v>43</v>
      </c>
      <c r="E248" s="4" t="s">
        <v>25</v>
      </c>
      <c r="F248" s="4" t="s">
        <v>25</v>
      </c>
      <c r="G248" s="4" t="s">
        <v>25</v>
      </c>
      <c r="H248" s="4" t="s">
        <v>38</v>
      </c>
      <c r="I248" s="5">
        <v>44743</v>
      </c>
      <c r="J248" s="6">
        <v>0</v>
      </c>
      <c r="K248" s="6">
        <v>0</v>
      </c>
      <c r="L248" s="6">
        <v>5.4690000000000003</v>
      </c>
      <c r="M248" s="6">
        <v>5.4690000000000003</v>
      </c>
      <c r="N248" s="6">
        <v>5.4690000000000003</v>
      </c>
      <c r="O248" s="6">
        <v>5.4690000000000003</v>
      </c>
      <c r="P248" s="6">
        <v>0</v>
      </c>
      <c r="Q248" s="4" t="s">
        <v>26</v>
      </c>
      <c r="R248" s="4">
        <v>0</v>
      </c>
      <c r="S248" s="6">
        <v>0</v>
      </c>
      <c r="T248" s="6">
        <v>18</v>
      </c>
      <c r="U248" s="6">
        <v>73</v>
      </c>
      <c r="V248" s="6">
        <f>IF(ISERROR(VLOOKUP($S$248,'TAR FIN'!$A$1:$O$86,15,0)),0,VLOOKUP($S$248,'TAR FIN'!$A$1:$O$86,15,0))</f>
        <v>0</v>
      </c>
      <c r="W248" s="6">
        <f>IF(ISERROR(VLOOKUP($T$248,'TAR FIN'!$A$1:$O$86,15,0)),0,VLOOKUP($T$248,'TAR FIN'!$A$1:$O$86,15,0))</f>
        <v>73.19</v>
      </c>
      <c r="X248" s="6">
        <f>IF(ISERROR(VLOOKUP($U$248,'TAR FIN'!$A$1:$O$86,15,0)),0,VLOOKUP($U$248,'TAR FIN'!$A$1:$O$86,15,0))</f>
        <v>211.71</v>
      </c>
      <c r="Y248" s="6"/>
      <c r="Z248" s="6">
        <f ca="1">('TUSD BE'!$AM$12+'TUSD BF'!$AM$12+'TUSD CVA'!$AM$12)*1</f>
        <v>117.83242038312405</v>
      </c>
      <c r="AA248" s="6">
        <f>('TE BE'!$AB$6+'TE BF'!$AB$6+'TE CVA'!$AB$6)*1</f>
        <v>222.99901551132911</v>
      </c>
      <c r="AB248" s="6">
        <f>$K$248*$V$248</f>
        <v>0</v>
      </c>
      <c r="AC248" s="6">
        <f>$M$248*$W$248</f>
        <v>400.27611000000002</v>
      </c>
      <c r="AD248" s="6">
        <f>$O$248*$X$248</f>
        <v>1157.8419900000001</v>
      </c>
      <c r="AE248" s="6">
        <f>$K$248*$Y$248</f>
        <v>0</v>
      </c>
      <c r="AF248" s="6">
        <f ca="1">$M$248*$Z$248</f>
        <v>644.4255070753054</v>
      </c>
      <c r="AG248" s="6">
        <f>$O$248*$AA$248</f>
        <v>1219.581615831459</v>
      </c>
    </row>
    <row r="249" spans="1:33" ht="11.25" customHeight="1" x14ac:dyDescent="0.25">
      <c r="A249" s="4" t="s">
        <v>55</v>
      </c>
      <c r="B249" s="4" t="s">
        <v>35</v>
      </c>
      <c r="C249" s="4" t="s">
        <v>39</v>
      </c>
      <c r="D249" s="4" t="s">
        <v>43</v>
      </c>
      <c r="E249" s="4" t="s">
        <v>25</v>
      </c>
      <c r="F249" s="4" t="s">
        <v>25</v>
      </c>
      <c r="G249" s="4" t="s">
        <v>25</v>
      </c>
      <c r="H249" s="4" t="s">
        <v>38</v>
      </c>
      <c r="I249" s="5">
        <v>44743</v>
      </c>
      <c r="J249" s="6">
        <v>0</v>
      </c>
      <c r="K249" s="6">
        <v>0</v>
      </c>
      <c r="L249" s="6">
        <v>11.313000000000001</v>
      </c>
      <c r="M249" s="6">
        <v>11.313000000000001</v>
      </c>
      <c r="N249" s="6">
        <v>11.313000000000001</v>
      </c>
      <c r="O249" s="6">
        <v>11.313000000000001</v>
      </c>
      <c r="P249" s="6">
        <v>0</v>
      </c>
      <c r="Q249" s="4" t="s">
        <v>26</v>
      </c>
      <c r="R249" s="4">
        <v>0</v>
      </c>
      <c r="S249" s="6">
        <v>0</v>
      </c>
      <c r="T249" s="6">
        <v>18</v>
      </c>
      <c r="U249" s="6">
        <v>73</v>
      </c>
      <c r="V249" s="6">
        <f>IF(ISERROR(VLOOKUP($S$249,'TAR FIN'!$A$1:$O$86,15,0)),0,VLOOKUP($S$249,'TAR FIN'!$A$1:$O$86,15,0))</f>
        <v>0</v>
      </c>
      <c r="W249" s="6">
        <f>IF(ISERROR(VLOOKUP($T$249,'TAR FIN'!$A$1:$O$86,15,0)),0,VLOOKUP($T$249,'TAR FIN'!$A$1:$O$86,15,0))</f>
        <v>73.19</v>
      </c>
      <c r="X249" s="6">
        <f>IF(ISERROR(VLOOKUP($U$249,'TAR FIN'!$A$1:$O$86,15,0)),0,VLOOKUP($U$249,'TAR FIN'!$A$1:$O$86,15,0))</f>
        <v>211.71</v>
      </c>
      <c r="Y249" s="6"/>
      <c r="Z249" s="6">
        <f ca="1">('TUSD BE'!$AM$12+'TUSD BF'!$AM$12+'TUSD CVA'!$AM$12)*1</f>
        <v>117.83242038312405</v>
      </c>
      <c r="AA249" s="6">
        <f>('TE BE'!$AB$6+'TE BF'!$AB$6+'TE CVA'!$AB$6)*1</f>
        <v>222.99901551132911</v>
      </c>
      <c r="AB249" s="6">
        <f>$K$249*$V$249</f>
        <v>0</v>
      </c>
      <c r="AC249" s="6">
        <f>$M$249*$W$249</f>
        <v>827.99847</v>
      </c>
      <c r="AD249" s="6">
        <f>$O$249*$X$249</f>
        <v>2395.0752300000004</v>
      </c>
      <c r="AE249" s="6">
        <f>$K$249*$Y$249</f>
        <v>0</v>
      </c>
      <c r="AF249" s="6">
        <f ca="1">$M$249*$Z$249</f>
        <v>1333.0381717942823</v>
      </c>
      <c r="AG249" s="6">
        <f>$O$249*$AA$249</f>
        <v>2522.7878624796663</v>
      </c>
    </row>
    <row r="250" spans="1:33" ht="11.25" customHeight="1" x14ac:dyDescent="0.25">
      <c r="A250" s="4" t="s">
        <v>21</v>
      </c>
      <c r="B250" s="4" t="s">
        <v>35</v>
      </c>
      <c r="C250" s="4" t="s">
        <v>39</v>
      </c>
      <c r="D250" s="4" t="s">
        <v>43</v>
      </c>
      <c r="E250" s="4" t="s">
        <v>25</v>
      </c>
      <c r="F250" s="4" t="s">
        <v>25</v>
      </c>
      <c r="G250" s="4" t="s">
        <v>25</v>
      </c>
      <c r="H250" s="4" t="s">
        <v>25</v>
      </c>
      <c r="I250" s="5">
        <v>44409</v>
      </c>
      <c r="J250" s="6">
        <v>227</v>
      </c>
      <c r="K250" s="6">
        <v>227</v>
      </c>
      <c r="L250" s="6">
        <v>0</v>
      </c>
      <c r="M250" s="6">
        <v>0</v>
      </c>
      <c r="N250" s="6">
        <v>0</v>
      </c>
      <c r="O250" s="6">
        <v>0</v>
      </c>
      <c r="P250" s="6">
        <v>2</v>
      </c>
      <c r="Q250" s="4" t="s">
        <v>26</v>
      </c>
      <c r="R250" s="4">
        <v>0</v>
      </c>
      <c r="S250" s="6">
        <v>24</v>
      </c>
      <c r="T250" s="6">
        <v>0</v>
      </c>
      <c r="U250" s="6">
        <v>0</v>
      </c>
      <c r="V250" s="6">
        <f>IF(ISERROR(VLOOKUP($S$250,'TAR FIN'!$A$1:$O$86,15,0)),0,VLOOKUP($S$250,'TAR FIN'!$A$1:$O$86,15,0))</f>
        <v>22.9</v>
      </c>
      <c r="W250" s="6">
        <f>IF(ISERROR(VLOOKUP($T$250,'TAR FIN'!$A$1:$O$86,15,0)),0,VLOOKUP($T$250,'TAR FIN'!$A$1:$O$86,15,0))</f>
        <v>0</v>
      </c>
      <c r="X250" s="6">
        <f>IF(ISERROR(VLOOKUP($U$250,'TAR FIN'!$A$1:$O$86,15,0)),0,VLOOKUP($U$250,'TAR FIN'!$A$1:$O$86,15,0))</f>
        <v>0</v>
      </c>
      <c r="Y250" s="6">
        <f ca="1">('TUSD BE'!$AM$10+'TUSD BF'!$AM$10+'TUSD CVA'!$AM$10)*1</f>
        <v>21.733731888847863</v>
      </c>
      <c r="Z250" s="6"/>
      <c r="AA250" s="6"/>
      <c r="AB250" s="6">
        <f>$K$250*$V$250</f>
        <v>5198.2999999999993</v>
      </c>
      <c r="AC250" s="6">
        <f>$M$250*$W$250</f>
        <v>0</v>
      </c>
      <c r="AD250" s="6">
        <f>$O$250*$X$250</f>
        <v>0</v>
      </c>
      <c r="AE250" s="6">
        <f ca="1">$K$250*$Y$250</f>
        <v>4933.5571387684649</v>
      </c>
      <c r="AF250" s="6">
        <f>$M$250*$Z$250</f>
        <v>0</v>
      </c>
      <c r="AG250" s="6">
        <f>$O$250*$AA$250</f>
        <v>0</v>
      </c>
    </row>
    <row r="251" spans="1:33" ht="11.25" customHeight="1" x14ac:dyDescent="0.25">
      <c r="A251" s="4" t="s">
        <v>21</v>
      </c>
      <c r="B251" s="4" t="s">
        <v>35</v>
      </c>
      <c r="C251" s="4" t="s">
        <v>39</v>
      </c>
      <c r="D251" s="4" t="s">
        <v>43</v>
      </c>
      <c r="E251" s="4" t="s">
        <v>25</v>
      </c>
      <c r="F251" s="4" t="s">
        <v>25</v>
      </c>
      <c r="G251" s="4" t="s">
        <v>25</v>
      </c>
      <c r="H251" s="4" t="s">
        <v>25</v>
      </c>
      <c r="I251" s="5">
        <v>44440</v>
      </c>
      <c r="J251" s="6">
        <v>209</v>
      </c>
      <c r="K251" s="6">
        <v>209</v>
      </c>
      <c r="L251" s="6">
        <v>0</v>
      </c>
      <c r="M251" s="6">
        <v>0</v>
      </c>
      <c r="N251" s="6">
        <v>0</v>
      </c>
      <c r="O251" s="6">
        <v>0</v>
      </c>
      <c r="P251" s="6">
        <v>2</v>
      </c>
      <c r="Q251" s="4" t="s">
        <v>26</v>
      </c>
      <c r="R251" s="4">
        <v>0</v>
      </c>
      <c r="S251" s="6">
        <v>24</v>
      </c>
      <c r="T251" s="6">
        <v>0</v>
      </c>
      <c r="U251" s="6">
        <v>0</v>
      </c>
      <c r="V251" s="6">
        <f>IF(ISERROR(VLOOKUP($S$251,'TAR FIN'!$A$1:$O$86,15,0)),0,VLOOKUP($S$251,'TAR FIN'!$A$1:$O$86,15,0))</f>
        <v>22.9</v>
      </c>
      <c r="W251" s="6">
        <f>IF(ISERROR(VLOOKUP($T$251,'TAR FIN'!$A$1:$O$86,15,0)),0,VLOOKUP($T$251,'TAR FIN'!$A$1:$O$86,15,0))</f>
        <v>0</v>
      </c>
      <c r="X251" s="6">
        <f>IF(ISERROR(VLOOKUP($U$251,'TAR FIN'!$A$1:$O$86,15,0)),0,VLOOKUP($U$251,'TAR FIN'!$A$1:$O$86,15,0))</f>
        <v>0</v>
      </c>
      <c r="Y251" s="6">
        <f ca="1">('TUSD BE'!$AM$10+'TUSD BF'!$AM$10+'TUSD CVA'!$AM$10)*1</f>
        <v>21.733731888847863</v>
      </c>
      <c r="Z251" s="6"/>
      <c r="AA251" s="6"/>
      <c r="AB251" s="6">
        <f>$K$251*$V$251</f>
        <v>4786.0999999999995</v>
      </c>
      <c r="AC251" s="6">
        <f>$M$251*$W$251</f>
        <v>0</v>
      </c>
      <c r="AD251" s="6">
        <f>$O$251*$X$251</f>
        <v>0</v>
      </c>
      <c r="AE251" s="6">
        <f ca="1">$K$251*$Y$251</f>
        <v>4542.3499647692033</v>
      </c>
      <c r="AF251" s="6">
        <f>$M$251*$Z$251</f>
        <v>0</v>
      </c>
      <c r="AG251" s="6">
        <f>$O$251*$AA$251</f>
        <v>0</v>
      </c>
    </row>
    <row r="252" spans="1:33" ht="11.25" customHeight="1" x14ac:dyDescent="0.25">
      <c r="A252" s="4" t="s">
        <v>21</v>
      </c>
      <c r="B252" s="4" t="s">
        <v>35</v>
      </c>
      <c r="C252" s="4" t="s">
        <v>39</v>
      </c>
      <c r="D252" s="4" t="s">
        <v>43</v>
      </c>
      <c r="E252" s="4" t="s">
        <v>25</v>
      </c>
      <c r="F252" s="4" t="s">
        <v>25</v>
      </c>
      <c r="G252" s="4" t="s">
        <v>25</v>
      </c>
      <c r="H252" s="4" t="s">
        <v>25</v>
      </c>
      <c r="I252" s="5">
        <v>44470</v>
      </c>
      <c r="J252" s="6">
        <v>217</v>
      </c>
      <c r="K252" s="6">
        <v>217</v>
      </c>
      <c r="L252" s="6">
        <v>0</v>
      </c>
      <c r="M252" s="6">
        <v>0</v>
      </c>
      <c r="N252" s="6">
        <v>0</v>
      </c>
      <c r="O252" s="6">
        <v>0</v>
      </c>
      <c r="P252" s="6">
        <v>2</v>
      </c>
      <c r="Q252" s="4" t="s">
        <v>26</v>
      </c>
      <c r="R252" s="4">
        <v>0</v>
      </c>
      <c r="S252" s="6">
        <v>24</v>
      </c>
      <c r="T252" s="6">
        <v>0</v>
      </c>
      <c r="U252" s="6">
        <v>0</v>
      </c>
      <c r="V252" s="6">
        <f>IF(ISERROR(VLOOKUP($S$252,'TAR FIN'!$A$1:$O$86,15,0)),0,VLOOKUP($S$252,'TAR FIN'!$A$1:$O$86,15,0))</f>
        <v>22.9</v>
      </c>
      <c r="W252" s="6">
        <f>IF(ISERROR(VLOOKUP($T$252,'TAR FIN'!$A$1:$O$86,15,0)),0,VLOOKUP($T$252,'TAR FIN'!$A$1:$O$86,15,0))</f>
        <v>0</v>
      </c>
      <c r="X252" s="6">
        <f>IF(ISERROR(VLOOKUP($U$252,'TAR FIN'!$A$1:$O$86,15,0)),0,VLOOKUP($U$252,'TAR FIN'!$A$1:$O$86,15,0))</f>
        <v>0</v>
      </c>
      <c r="Y252" s="6">
        <f ca="1">('TUSD BE'!$AM$10+'TUSD BF'!$AM$10+'TUSD CVA'!$AM$10)*1</f>
        <v>21.733731888847863</v>
      </c>
      <c r="Z252" s="6"/>
      <c r="AA252" s="6"/>
      <c r="AB252" s="6">
        <f>$K$252*$V$252</f>
        <v>4969.2999999999993</v>
      </c>
      <c r="AC252" s="6">
        <f>$M$252*$W$252</f>
        <v>0</v>
      </c>
      <c r="AD252" s="6">
        <f>$O$252*$X$252</f>
        <v>0</v>
      </c>
      <c r="AE252" s="6">
        <f ca="1">$K$252*$Y$252</f>
        <v>4716.2198198799861</v>
      </c>
      <c r="AF252" s="6">
        <f>$M$252*$Z$252</f>
        <v>0</v>
      </c>
      <c r="AG252" s="6">
        <f>$O$252*$AA$252</f>
        <v>0</v>
      </c>
    </row>
    <row r="253" spans="1:33" ht="11.25" customHeight="1" x14ac:dyDescent="0.25">
      <c r="A253" s="4" t="s">
        <v>21</v>
      </c>
      <c r="B253" s="4" t="s">
        <v>35</v>
      </c>
      <c r="C253" s="4" t="s">
        <v>39</v>
      </c>
      <c r="D253" s="4" t="s">
        <v>43</v>
      </c>
      <c r="E253" s="4" t="s">
        <v>25</v>
      </c>
      <c r="F253" s="4" t="s">
        <v>25</v>
      </c>
      <c r="G253" s="4" t="s">
        <v>25</v>
      </c>
      <c r="H253" s="4" t="s">
        <v>25</v>
      </c>
      <c r="I253" s="5">
        <v>44501</v>
      </c>
      <c r="J253" s="6">
        <v>255</v>
      </c>
      <c r="K253" s="6">
        <v>255</v>
      </c>
      <c r="L253" s="6">
        <v>0</v>
      </c>
      <c r="M253" s="6">
        <v>0</v>
      </c>
      <c r="N253" s="6">
        <v>0</v>
      </c>
      <c r="O253" s="6">
        <v>0</v>
      </c>
      <c r="P253" s="6">
        <v>2</v>
      </c>
      <c r="Q253" s="4" t="s">
        <v>26</v>
      </c>
      <c r="R253" s="4">
        <v>0</v>
      </c>
      <c r="S253" s="6">
        <v>24</v>
      </c>
      <c r="T253" s="6">
        <v>0</v>
      </c>
      <c r="U253" s="6">
        <v>0</v>
      </c>
      <c r="V253" s="6">
        <f>IF(ISERROR(VLOOKUP($S$253,'TAR FIN'!$A$1:$O$86,15,0)),0,VLOOKUP($S$253,'TAR FIN'!$A$1:$O$86,15,0))</f>
        <v>22.9</v>
      </c>
      <c r="W253" s="6">
        <f>IF(ISERROR(VLOOKUP($T$253,'TAR FIN'!$A$1:$O$86,15,0)),0,VLOOKUP($T$253,'TAR FIN'!$A$1:$O$86,15,0))</f>
        <v>0</v>
      </c>
      <c r="X253" s="6">
        <f>IF(ISERROR(VLOOKUP($U$253,'TAR FIN'!$A$1:$O$86,15,0)),0,VLOOKUP($U$253,'TAR FIN'!$A$1:$O$86,15,0))</f>
        <v>0</v>
      </c>
      <c r="Y253" s="6">
        <f ca="1">('TUSD BE'!$AM$10+'TUSD BF'!$AM$10+'TUSD CVA'!$AM$10)*1</f>
        <v>21.733731888847863</v>
      </c>
      <c r="Z253" s="6"/>
      <c r="AA253" s="6"/>
      <c r="AB253" s="6">
        <f>$K$253*$V$253</f>
        <v>5839.5</v>
      </c>
      <c r="AC253" s="6">
        <f>$M$253*$W$253</f>
        <v>0</v>
      </c>
      <c r="AD253" s="6">
        <f>$O$253*$X$253</f>
        <v>0</v>
      </c>
      <c r="AE253" s="6">
        <f ca="1">$K$253*$Y$253</f>
        <v>5542.1016316562054</v>
      </c>
      <c r="AF253" s="6">
        <f>$M$253*$Z$253</f>
        <v>0</v>
      </c>
      <c r="AG253" s="6">
        <f>$O$253*$AA$253</f>
        <v>0</v>
      </c>
    </row>
    <row r="254" spans="1:33" ht="11.25" customHeight="1" x14ac:dyDescent="0.25">
      <c r="A254" s="4" t="s">
        <v>21</v>
      </c>
      <c r="B254" s="4" t="s">
        <v>35</v>
      </c>
      <c r="C254" s="4" t="s">
        <v>39</v>
      </c>
      <c r="D254" s="4" t="s">
        <v>43</v>
      </c>
      <c r="E254" s="4" t="s">
        <v>25</v>
      </c>
      <c r="F254" s="4" t="s">
        <v>25</v>
      </c>
      <c r="G254" s="4" t="s">
        <v>25</v>
      </c>
      <c r="H254" s="4" t="s">
        <v>25</v>
      </c>
      <c r="I254" s="5">
        <v>44531</v>
      </c>
      <c r="J254" s="6">
        <v>60</v>
      </c>
      <c r="K254" s="6">
        <v>60</v>
      </c>
      <c r="L254" s="6">
        <v>0</v>
      </c>
      <c r="M254" s="6">
        <v>0</v>
      </c>
      <c r="N254" s="6">
        <v>0</v>
      </c>
      <c r="O254" s="6">
        <v>0</v>
      </c>
      <c r="P254" s="6">
        <v>1</v>
      </c>
      <c r="Q254" s="4" t="s">
        <v>26</v>
      </c>
      <c r="R254" s="4">
        <v>0</v>
      </c>
      <c r="S254" s="6">
        <v>24</v>
      </c>
      <c r="T254" s="6">
        <v>0</v>
      </c>
      <c r="U254" s="6">
        <v>0</v>
      </c>
      <c r="V254" s="6">
        <f>IF(ISERROR(VLOOKUP($S$254,'TAR FIN'!$A$1:$O$86,15,0)),0,VLOOKUP($S$254,'TAR FIN'!$A$1:$O$86,15,0))</f>
        <v>22.9</v>
      </c>
      <c r="W254" s="6">
        <f>IF(ISERROR(VLOOKUP($T$254,'TAR FIN'!$A$1:$O$86,15,0)),0,VLOOKUP($T$254,'TAR FIN'!$A$1:$O$86,15,0))</f>
        <v>0</v>
      </c>
      <c r="X254" s="6">
        <f>IF(ISERROR(VLOOKUP($U$254,'TAR FIN'!$A$1:$O$86,15,0)),0,VLOOKUP($U$254,'TAR FIN'!$A$1:$O$86,15,0))</f>
        <v>0</v>
      </c>
      <c r="Y254" s="6">
        <f ca="1">('TUSD BE'!$AM$10+'TUSD BF'!$AM$10+'TUSD CVA'!$AM$10)*1</f>
        <v>21.733731888847863</v>
      </c>
      <c r="Z254" s="6"/>
      <c r="AA254" s="6"/>
      <c r="AB254" s="6">
        <f>$K$254*$V$254</f>
        <v>1374</v>
      </c>
      <c r="AC254" s="6">
        <f>$M$254*$W$254</f>
        <v>0</v>
      </c>
      <c r="AD254" s="6">
        <f>$O$254*$X$254</f>
        <v>0</v>
      </c>
      <c r="AE254" s="6">
        <f ca="1">$K$254*$Y$254</f>
        <v>1304.0239133308719</v>
      </c>
      <c r="AF254" s="6">
        <f>$M$254*$Z$254</f>
        <v>0</v>
      </c>
      <c r="AG254" s="6">
        <f>$O$254*$AA$254</f>
        <v>0</v>
      </c>
    </row>
    <row r="255" spans="1:33" ht="11.25" customHeight="1" x14ac:dyDescent="0.25">
      <c r="A255" s="4" t="s">
        <v>28</v>
      </c>
      <c r="B255" s="4" t="s">
        <v>35</v>
      </c>
      <c r="C255" s="4" t="s">
        <v>39</v>
      </c>
      <c r="D255" s="4" t="s">
        <v>43</v>
      </c>
      <c r="E255" s="4" t="s">
        <v>25</v>
      </c>
      <c r="F255" s="4" t="s">
        <v>25</v>
      </c>
      <c r="G255" s="4" t="s">
        <v>25</v>
      </c>
      <c r="H255" s="4" t="s">
        <v>25</v>
      </c>
      <c r="I255" s="5">
        <v>44531</v>
      </c>
      <c r="J255" s="6">
        <v>175</v>
      </c>
      <c r="K255" s="6">
        <v>175</v>
      </c>
      <c r="L255" s="6">
        <v>0</v>
      </c>
      <c r="M255" s="6">
        <v>0</v>
      </c>
      <c r="N255" s="6">
        <v>0</v>
      </c>
      <c r="O255" s="6">
        <v>0</v>
      </c>
      <c r="P255" s="6">
        <v>1</v>
      </c>
      <c r="Q255" s="4" t="s">
        <v>26</v>
      </c>
      <c r="R255" s="4">
        <v>0</v>
      </c>
      <c r="S255" s="6">
        <v>24</v>
      </c>
      <c r="T255" s="6">
        <v>0</v>
      </c>
      <c r="U255" s="6">
        <v>0</v>
      </c>
      <c r="V255" s="6">
        <f>IF(ISERROR(VLOOKUP($S$255,'TAR FIN'!$A$1:$O$86,15,0)),0,VLOOKUP($S$255,'TAR FIN'!$A$1:$O$86,15,0))</f>
        <v>22.9</v>
      </c>
      <c r="W255" s="6">
        <f>IF(ISERROR(VLOOKUP($T$255,'TAR FIN'!$A$1:$O$86,15,0)),0,VLOOKUP($T$255,'TAR FIN'!$A$1:$O$86,15,0))</f>
        <v>0</v>
      </c>
      <c r="X255" s="6">
        <f>IF(ISERROR(VLOOKUP($U$255,'TAR FIN'!$A$1:$O$86,15,0)),0,VLOOKUP($U$255,'TAR FIN'!$A$1:$O$86,15,0))</f>
        <v>0</v>
      </c>
      <c r="Y255" s="6">
        <f ca="1">('TUSD BE'!$AM$10+'TUSD BF'!$AM$10+'TUSD CVA'!$AM$10)*1</f>
        <v>21.733731888847863</v>
      </c>
      <c r="Z255" s="6"/>
      <c r="AA255" s="6"/>
      <c r="AB255" s="6">
        <f>$K$255*$V$255</f>
        <v>4007.4999999999995</v>
      </c>
      <c r="AC255" s="6">
        <f>$M$255*$W$255</f>
        <v>0</v>
      </c>
      <c r="AD255" s="6">
        <f>$O$255*$X$255</f>
        <v>0</v>
      </c>
      <c r="AE255" s="6">
        <f ca="1">$K$255*$Y$255</f>
        <v>3803.4030805483762</v>
      </c>
      <c r="AF255" s="6">
        <f>$M$255*$Z$255</f>
        <v>0</v>
      </c>
      <c r="AG255" s="6">
        <f>$O$255*$AA$255</f>
        <v>0</v>
      </c>
    </row>
    <row r="256" spans="1:33" ht="11.25" customHeight="1" x14ac:dyDescent="0.25">
      <c r="A256" s="4" t="s">
        <v>21</v>
      </c>
      <c r="B256" s="4" t="s">
        <v>35</v>
      </c>
      <c r="C256" s="4" t="s">
        <v>39</v>
      </c>
      <c r="D256" s="4" t="s">
        <v>43</v>
      </c>
      <c r="E256" s="4" t="s">
        <v>25</v>
      </c>
      <c r="F256" s="4" t="s">
        <v>25</v>
      </c>
      <c r="G256" s="4" t="s">
        <v>25</v>
      </c>
      <c r="H256" s="4" t="s">
        <v>25</v>
      </c>
      <c r="I256" s="5">
        <v>44562</v>
      </c>
      <c r="J256" s="6">
        <v>60</v>
      </c>
      <c r="K256" s="6">
        <v>60</v>
      </c>
      <c r="L256" s="6">
        <v>0</v>
      </c>
      <c r="M256" s="6">
        <v>0</v>
      </c>
      <c r="N256" s="6">
        <v>0</v>
      </c>
      <c r="O256" s="6">
        <v>0</v>
      </c>
      <c r="P256" s="6">
        <v>1</v>
      </c>
      <c r="Q256" s="4" t="s">
        <v>26</v>
      </c>
      <c r="R256" s="4">
        <v>0</v>
      </c>
      <c r="S256" s="6">
        <v>24</v>
      </c>
      <c r="T256" s="6">
        <v>0</v>
      </c>
      <c r="U256" s="6">
        <v>0</v>
      </c>
      <c r="V256" s="6">
        <f>IF(ISERROR(VLOOKUP($S$256,'TAR FIN'!$A$1:$O$86,15,0)),0,VLOOKUP($S$256,'TAR FIN'!$A$1:$O$86,15,0))</f>
        <v>22.9</v>
      </c>
      <c r="W256" s="6">
        <f>IF(ISERROR(VLOOKUP($T$256,'TAR FIN'!$A$1:$O$86,15,0)),0,VLOOKUP($T$256,'TAR FIN'!$A$1:$O$86,15,0))</f>
        <v>0</v>
      </c>
      <c r="X256" s="6">
        <f>IF(ISERROR(VLOOKUP($U$256,'TAR FIN'!$A$1:$O$86,15,0)),0,VLOOKUP($U$256,'TAR FIN'!$A$1:$O$86,15,0))</f>
        <v>0</v>
      </c>
      <c r="Y256" s="6">
        <f ca="1">('TUSD BE'!$AM$10+'TUSD BF'!$AM$10+'TUSD CVA'!$AM$10)*1</f>
        <v>21.733731888847863</v>
      </c>
      <c r="Z256" s="6"/>
      <c r="AA256" s="6"/>
      <c r="AB256" s="6">
        <f>$K$256*$V$256</f>
        <v>1374</v>
      </c>
      <c r="AC256" s="6">
        <f>$M$256*$W$256</f>
        <v>0</v>
      </c>
      <c r="AD256" s="6">
        <f>$O$256*$X$256</f>
        <v>0</v>
      </c>
      <c r="AE256" s="6">
        <f ca="1">$K$256*$Y$256</f>
        <v>1304.0239133308719</v>
      </c>
      <c r="AF256" s="6">
        <f>$M$256*$Z$256</f>
        <v>0</v>
      </c>
      <c r="AG256" s="6">
        <f>$O$256*$AA$256</f>
        <v>0</v>
      </c>
    </row>
    <row r="257" spans="1:33" ht="11.25" customHeight="1" x14ac:dyDescent="0.25">
      <c r="A257" s="4" t="s">
        <v>28</v>
      </c>
      <c r="B257" s="4" t="s">
        <v>35</v>
      </c>
      <c r="C257" s="4" t="s">
        <v>39</v>
      </c>
      <c r="D257" s="4" t="s">
        <v>43</v>
      </c>
      <c r="E257" s="4" t="s">
        <v>25</v>
      </c>
      <c r="F257" s="4" t="s">
        <v>25</v>
      </c>
      <c r="G257" s="4" t="s">
        <v>25</v>
      </c>
      <c r="H257" s="4" t="s">
        <v>25</v>
      </c>
      <c r="I257" s="5">
        <v>44562</v>
      </c>
      <c r="J257" s="6">
        <v>188</v>
      </c>
      <c r="K257" s="6">
        <v>188</v>
      </c>
      <c r="L257" s="6">
        <v>0</v>
      </c>
      <c r="M257" s="6">
        <v>0</v>
      </c>
      <c r="N257" s="6">
        <v>0</v>
      </c>
      <c r="O257" s="6">
        <v>0</v>
      </c>
      <c r="P257" s="6">
        <v>1</v>
      </c>
      <c r="Q257" s="4" t="s">
        <v>26</v>
      </c>
      <c r="R257" s="4">
        <v>0</v>
      </c>
      <c r="S257" s="6">
        <v>24</v>
      </c>
      <c r="T257" s="6">
        <v>0</v>
      </c>
      <c r="U257" s="6">
        <v>0</v>
      </c>
      <c r="V257" s="6">
        <f>IF(ISERROR(VLOOKUP($S$257,'TAR FIN'!$A$1:$O$86,15,0)),0,VLOOKUP($S$257,'TAR FIN'!$A$1:$O$86,15,0))</f>
        <v>22.9</v>
      </c>
      <c r="W257" s="6">
        <f>IF(ISERROR(VLOOKUP($T$257,'TAR FIN'!$A$1:$O$86,15,0)),0,VLOOKUP($T$257,'TAR FIN'!$A$1:$O$86,15,0))</f>
        <v>0</v>
      </c>
      <c r="X257" s="6">
        <f>IF(ISERROR(VLOOKUP($U$257,'TAR FIN'!$A$1:$O$86,15,0)),0,VLOOKUP($U$257,'TAR FIN'!$A$1:$O$86,15,0))</f>
        <v>0</v>
      </c>
      <c r="Y257" s="6">
        <f ca="1">('TUSD BE'!$AM$10+'TUSD BF'!$AM$10+'TUSD CVA'!$AM$10)*1</f>
        <v>21.733731888847863</v>
      </c>
      <c r="Z257" s="6"/>
      <c r="AA257" s="6"/>
      <c r="AB257" s="6">
        <f>$K$257*$V$257</f>
        <v>4305.2</v>
      </c>
      <c r="AC257" s="6">
        <f>$M$257*$W$257</f>
        <v>0</v>
      </c>
      <c r="AD257" s="6">
        <f>$O$257*$X$257</f>
        <v>0</v>
      </c>
      <c r="AE257" s="6">
        <f ca="1">$K$257*$Y$257</f>
        <v>4085.9415951033984</v>
      </c>
      <c r="AF257" s="6">
        <f>$M$257*$Z$257</f>
        <v>0</v>
      </c>
      <c r="AG257" s="6">
        <f>$O$257*$AA$257</f>
        <v>0</v>
      </c>
    </row>
    <row r="258" spans="1:33" ht="11.25" customHeight="1" x14ac:dyDescent="0.25">
      <c r="A258" s="4" t="s">
        <v>21</v>
      </c>
      <c r="B258" s="4" t="s">
        <v>35</v>
      </c>
      <c r="C258" s="4" t="s">
        <v>39</v>
      </c>
      <c r="D258" s="4" t="s">
        <v>43</v>
      </c>
      <c r="E258" s="4" t="s">
        <v>25</v>
      </c>
      <c r="F258" s="4" t="s">
        <v>25</v>
      </c>
      <c r="G258" s="4" t="s">
        <v>25</v>
      </c>
      <c r="H258" s="4" t="s">
        <v>25</v>
      </c>
      <c r="I258" s="5">
        <v>44593</v>
      </c>
      <c r="J258" s="6">
        <v>60</v>
      </c>
      <c r="K258" s="6">
        <v>60</v>
      </c>
      <c r="L258" s="6">
        <v>0</v>
      </c>
      <c r="M258" s="6">
        <v>0</v>
      </c>
      <c r="N258" s="6">
        <v>0</v>
      </c>
      <c r="O258" s="6">
        <v>0</v>
      </c>
      <c r="P258" s="6">
        <v>1</v>
      </c>
      <c r="Q258" s="4" t="s">
        <v>26</v>
      </c>
      <c r="R258" s="4">
        <v>0</v>
      </c>
      <c r="S258" s="6">
        <v>24</v>
      </c>
      <c r="T258" s="6">
        <v>0</v>
      </c>
      <c r="U258" s="6">
        <v>0</v>
      </c>
      <c r="V258" s="6">
        <f>IF(ISERROR(VLOOKUP($S$258,'TAR FIN'!$A$1:$O$86,15,0)),0,VLOOKUP($S$258,'TAR FIN'!$A$1:$O$86,15,0))</f>
        <v>22.9</v>
      </c>
      <c r="W258" s="6">
        <f>IF(ISERROR(VLOOKUP($T$258,'TAR FIN'!$A$1:$O$86,15,0)),0,VLOOKUP($T$258,'TAR FIN'!$A$1:$O$86,15,0))</f>
        <v>0</v>
      </c>
      <c r="X258" s="6">
        <f>IF(ISERROR(VLOOKUP($U$258,'TAR FIN'!$A$1:$O$86,15,0)),0,VLOOKUP($U$258,'TAR FIN'!$A$1:$O$86,15,0))</f>
        <v>0</v>
      </c>
      <c r="Y258" s="6">
        <f ca="1">('TUSD BE'!$AM$10+'TUSD BF'!$AM$10+'TUSD CVA'!$AM$10)*1</f>
        <v>21.733731888847863</v>
      </c>
      <c r="Z258" s="6"/>
      <c r="AA258" s="6"/>
      <c r="AB258" s="6">
        <f>$K$258*$V$258</f>
        <v>1374</v>
      </c>
      <c r="AC258" s="6">
        <f>$M$258*$W$258</f>
        <v>0</v>
      </c>
      <c r="AD258" s="6">
        <f>$O$258*$X$258</f>
        <v>0</v>
      </c>
      <c r="AE258" s="6">
        <f ca="1">$K$258*$Y$258</f>
        <v>1304.0239133308719</v>
      </c>
      <c r="AF258" s="6">
        <f>$M$258*$Z$258</f>
        <v>0</v>
      </c>
      <c r="AG258" s="6">
        <f>$O$258*$AA$258</f>
        <v>0</v>
      </c>
    </row>
    <row r="259" spans="1:33" ht="11.25" customHeight="1" x14ac:dyDescent="0.25">
      <c r="A259" s="4" t="s">
        <v>28</v>
      </c>
      <c r="B259" s="4" t="s">
        <v>35</v>
      </c>
      <c r="C259" s="4" t="s">
        <v>39</v>
      </c>
      <c r="D259" s="4" t="s">
        <v>43</v>
      </c>
      <c r="E259" s="4" t="s">
        <v>25</v>
      </c>
      <c r="F259" s="4" t="s">
        <v>25</v>
      </c>
      <c r="G259" s="4" t="s">
        <v>25</v>
      </c>
      <c r="H259" s="4" t="s">
        <v>25</v>
      </c>
      <c r="I259" s="5">
        <v>44593</v>
      </c>
      <c r="J259" s="6">
        <v>184</v>
      </c>
      <c r="K259" s="6">
        <v>184</v>
      </c>
      <c r="L259" s="6">
        <v>0</v>
      </c>
      <c r="M259" s="6">
        <v>0</v>
      </c>
      <c r="N259" s="6">
        <v>0</v>
      </c>
      <c r="O259" s="6">
        <v>0</v>
      </c>
      <c r="P259" s="6">
        <v>1</v>
      </c>
      <c r="Q259" s="4" t="s">
        <v>26</v>
      </c>
      <c r="R259" s="4">
        <v>0</v>
      </c>
      <c r="S259" s="6">
        <v>24</v>
      </c>
      <c r="T259" s="6">
        <v>0</v>
      </c>
      <c r="U259" s="6">
        <v>0</v>
      </c>
      <c r="V259" s="6">
        <f>IF(ISERROR(VLOOKUP($S$259,'TAR FIN'!$A$1:$O$86,15,0)),0,VLOOKUP($S$259,'TAR FIN'!$A$1:$O$86,15,0))</f>
        <v>22.9</v>
      </c>
      <c r="W259" s="6">
        <f>IF(ISERROR(VLOOKUP($T$259,'TAR FIN'!$A$1:$O$86,15,0)),0,VLOOKUP($T$259,'TAR FIN'!$A$1:$O$86,15,0))</f>
        <v>0</v>
      </c>
      <c r="X259" s="6">
        <f>IF(ISERROR(VLOOKUP($U$259,'TAR FIN'!$A$1:$O$86,15,0)),0,VLOOKUP($U$259,'TAR FIN'!$A$1:$O$86,15,0))</f>
        <v>0</v>
      </c>
      <c r="Y259" s="6">
        <f ca="1">('TUSD BE'!$AM$10+'TUSD BF'!$AM$10+'TUSD CVA'!$AM$10)*1</f>
        <v>21.733731888847863</v>
      </c>
      <c r="Z259" s="6"/>
      <c r="AA259" s="6"/>
      <c r="AB259" s="6">
        <f>$K$259*$V$259</f>
        <v>4213.5999999999995</v>
      </c>
      <c r="AC259" s="6">
        <f>$M$259*$W$259</f>
        <v>0</v>
      </c>
      <c r="AD259" s="6">
        <f>$O$259*$X$259</f>
        <v>0</v>
      </c>
      <c r="AE259" s="6">
        <f ca="1">$K$259*$Y$259</f>
        <v>3999.006667548007</v>
      </c>
      <c r="AF259" s="6">
        <f>$M$259*$Z$259</f>
        <v>0</v>
      </c>
      <c r="AG259" s="6">
        <f>$O$259*$AA$259</f>
        <v>0</v>
      </c>
    </row>
    <row r="260" spans="1:33" ht="11.25" customHeight="1" x14ac:dyDescent="0.25">
      <c r="A260" s="4" t="s">
        <v>21</v>
      </c>
      <c r="B260" s="4" t="s">
        <v>35</v>
      </c>
      <c r="C260" s="4" t="s">
        <v>39</v>
      </c>
      <c r="D260" s="4" t="s">
        <v>43</v>
      </c>
      <c r="E260" s="4" t="s">
        <v>25</v>
      </c>
      <c r="F260" s="4" t="s">
        <v>25</v>
      </c>
      <c r="G260" s="4" t="s">
        <v>25</v>
      </c>
      <c r="H260" s="4" t="s">
        <v>25</v>
      </c>
      <c r="I260" s="5">
        <v>44621</v>
      </c>
      <c r="J260" s="6">
        <v>60</v>
      </c>
      <c r="K260" s="6">
        <v>60</v>
      </c>
      <c r="L260" s="6">
        <v>0</v>
      </c>
      <c r="M260" s="6">
        <v>0</v>
      </c>
      <c r="N260" s="6">
        <v>0</v>
      </c>
      <c r="O260" s="6">
        <v>0</v>
      </c>
      <c r="P260" s="6">
        <v>1</v>
      </c>
      <c r="Q260" s="4" t="s">
        <v>26</v>
      </c>
      <c r="R260" s="4">
        <v>0</v>
      </c>
      <c r="S260" s="6">
        <v>24</v>
      </c>
      <c r="T260" s="6">
        <v>0</v>
      </c>
      <c r="U260" s="6">
        <v>0</v>
      </c>
      <c r="V260" s="6">
        <f>IF(ISERROR(VLOOKUP($S$260,'TAR FIN'!$A$1:$O$86,15,0)),0,VLOOKUP($S$260,'TAR FIN'!$A$1:$O$86,15,0))</f>
        <v>22.9</v>
      </c>
      <c r="W260" s="6">
        <f>IF(ISERROR(VLOOKUP($T$260,'TAR FIN'!$A$1:$O$86,15,0)),0,VLOOKUP($T$260,'TAR FIN'!$A$1:$O$86,15,0))</f>
        <v>0</v>
      </c>
      <c r="X260" s="6">
        <f>IF(ISERROR(VLOOKUP($U$260,'TAR FIN'!$A$1:$O$86,15,0)),0,VLOOKUP($U$260,'TAR FIN'!$A$1:$O$86,15,0))</f>
        <v>0</v>
      </c>
      <c r="Y260" s="6">
        <f ca="1">('TUSD BE'!$AM$10+'TUSD BF'!$AM$10+'TUSD CVA'!$AM$10)*1</f>
        <v>21.733731888847863</v>
      </c>
      <c r="Z260" s="6"/>
      <c r="AA260" s="6"/>
      <c r="AB260" s="6">
        <f>$K$260*$V$260</f>
        <v>1374</v>
      </c>
      <c r="AC260" s="6">
        <f>$M$260*$W$260</f>
        <v>0</v>
      </c>
      <c r="AD260" s="6">
        <f>$O$260*$X$260</f>
        <v>0</v>
      </c>
      <c r="AE260" s="6">
        <f ca="1">$K$260*$Y$260</f>
        <v>1304.0239133308719</v>
      </c>
      <c r="AF260" s="6">
        <f>$M$260*$Z$260</f>
        <v>0</v>
      </c>
      <c r="AG260" s="6">
        <f>$O$260*$AA$260</f>
        <v>0</v>
      </c>
    </row>
    <row r="261" spans="1:33" ht="11.25" customHeight="1" x14ac:dyDescent="0.25">
      <c r="A261" s="4" t="s">
        <v>28</v>
      </c>
      <c r="B261" s="4" t="s">
        <v>35</v>
      </c>
      <c r="C261" s="4" t="s">
        <v>39</v>
      </c>
      <c r="D261" s="4" t="s">
        <v>43</v>
      </c>
      <c r="E261" s="4" t="s">
        <v>25</v>
      </c>
      <c r="F261" s="4" t="s">
        <v>25</v>
      </c>
      <c r="G261" s="4" t="s">
        <v>25</v>
      </c>
      <c r="H261" s="4" t="s">
        <v>25</v>
      </c>
      <c r="I261" s="5">
        <v>44621</v>
      </c>
      <c r="J261" s="6">
        <v>220</v>
      </c>
      <c r="K261" s="6">
        <v>220</v>
      </c>
      <c r="L261" s="6">
        <v>0</v>
      </c>
      <c r="M261" s="6">
        <v>0</v>
      </c>
      <c r="N261" s="6">
        <v>0</v>
      </c>
      <c r="O261" s="6">
        <v>0</v>
      </c>
      <c r="P261" s="6">
        <v>1</v>
      </c>
      <c r="Q261" s="4" t="s">
        <v>26</v>
      </c>
      <c r="R261" s="4">
        <v>0</v>
      </c>
      <c r="S261" s="6">
        <v>24</v>
      </c>
      <c r="T261" s="6">
        <v>0</v>
      </c>
      <c r="U261" s="6">
        <v>0</v>
      </c>
      <c r="V261" s="6">
        <f>IF(ISERROR(VLOOKUP($S$261,'TAR FIN'!$A$1:$O$86,15,0)),0,VLOOKUP($S$261,'TAR FIN'!$A$1:$O$86,15,0))</f>
        <v>22.9</v>
      </c>
      <c r="W261" s="6">
        <f>IF(ISERROR(VLOOKUP($T$261,'TAR FIN'!$A$1:$O$86,15,0)),0,VLOOKUP($T$261,'TAR FIN'!$A$1:$O$86,15,0))</f>
        <v>0</v>
      </c>
      <c r="X261" s="6">
        <f>IF(ISERROR(VLOOKUP($U$261,'TAR FIN'!$A$1:$O$86,15,0)),0,VLOOKUP($U$261,'TAR FIN'!$A$1:$O$86,15,0))</f>
        <v>0</v>
      </c>
      <c r="Y261" s="6">
        <f ca="1">('TUSD BE'!$AM$10+'TUSD BF'!$AM$10+'TUSD CVA'!$AM$10)*1</f>
        <v>21.733731888847863</v>
      </c>
      <c r="Z261" s="6"/>
      <c r="AA261" s="6"/>
      <c r="AB261" s="6">
        <f>$K$261*$V$261</f>
        <v>5038</v>
      </c>
      <c r="AC261" s="6">
        <f>$M$261*$W$261</f>
        <v>0</v>
      </c>
      <c r="AD261" s="6">
        <f>$O$261*$X$261</f>
        <v>0</v>
      </c>
      <c r="AE261" s="6">
        <f ca="1">$K$261*$Y$261</f>
        <v>4781.4210155465298</v>
      </c>
      <c r="AF261" s="6">
        <f>$M$261*$Z$261</f>
        <v>0</v>
      </c>
      <c r="AG261" s="6">
        <f>$O$261*$AA$261</f>
        <v>0</v>
      </c>
    </row>
    <row r="262" spans="1:33" ht="11.25" customHeight="1" x14ac:dyDescent="0.25">
      <c r="A262" s="4" t="s">
        <v>21</v>
      </c>
      <c r="B262" s="4" t="s">
        <v>35</v>
      </c>
      <c r="C262" s="4" t="s">
        <v>39</v>
      </c>
      <c r="D262" s="4" t="s">
        <v>43</v>
      </c>
      <c r="E262" s="4" t="s">
        <v>25</v>
      </c>
      <c r="F262" s="4" t="s">
        <v>25</v>
      </c>
      <c r="G262" s="4" t="s">
        <v>25</v>
      </c>
      <c r="H262" s="4" t="s">
        <v>25</v>
      </c>
      <c r="I262" s="5">
        <v>44652</v>
      </c>
      <c r="J262" s="6">
        <v>60</v>
      </c>
      <c r="K262" s="6">
        <v>60</v>
      </c>
      <c r="L262" s="6">
        <v>0</v>
      </c>
      <c r="M262" s="6">
        <v>0</v>
      </c>
      <c r="N262" s="6">
        <v>0</v>
      </c>
      <c r="O262" s="6">
        <v>0</v>
      </c>
      <c r="P262" s="6">
        <v>1</v>
      </c>
      <c r="Q262" s="4" t="s">
        <v>26</v>
      </c>
      <c r="R262" s="4">
        <v>0</v>
      </c>
      <c r="S262" s="6">
        <v>24</v>
      </c>
      <c r="T262" s="6">
        <v>0</v>
      </c>
      <c r="U262" s="6">
        <v>0</v>
      </c>
      <c r="V262" s="6">
        <f>IF(ISERROR(VLOOKUP($S$262,'TAR FIN'!$A$1:$O$86,15,0)),0,VLOOKUP($S$262,'TAR FIN'!$A$1:$O$86,15,0))</f>
        <v>22.9</v>
      </c>
      <c r="W262" s="6">
        <f>IF(ISERROR(VLOOKUP($T$262,'TAR FIN'!$A$1:$O$86,15,0)),0,VLOOKUP($T$262,'TAR FIN'!$A$1:$O$86,15,0))</f>
        <v>0</v>
      </c>
      <c r="X262" s="6">
        <f>IF(ISERROR(VLOOKUP($U$262,'TAR FIN'!$A$1:$O$86,15,0)),0,VLOOKUP($U$262,'TAR FIN'!$A$1:$O$86,15,0))</f>
        <v>0</v>
      </c>
      <c r="Y262" s="6">
        <f ca="1">('TUSD BE'!$AM$10+'TUSD BF'!$AM$10+'TUSD CVA'!$AM$10)*1</f>
        <v>21.733731888847863</v>
      </c>
      <c r="Z262" s="6"/>
      <c r="AA262" s="6"/>
      <c r="AB262" s="6">
        <f>$K$262*$V$262</f>
        <v>1374</v>
      </c>
      <c r="AC262" s="6">
        <f>$M$262*$W$262</f>
        <v>0</v>
      </c>
      <c r="AD262" s="6">
        <f>$O$262*$X$262</f>
        <v>0</v>
      </c>
      <c r="AE262" s="6">
        <f ca="1">$K$262*$Y$262</f>
        <v>1304.0239133308719</v>
      </c>
      <c r="AF262" s="6">
        <f>$M$262*$Z$262</f>
        <v>0</v>
      </c>
      <c r="AG262" s="6">
        <f>$O$262*$AA$262</f>
        <v>0</v>
      </c>
    </row>
    <row r="263" spans="1:33" ht="11.25" customHeight="1" x14ac:dyDescent="0.25">
      <c r="A263" s="4" t="s">
        <v>28</v>
      </c>
      <c r="B263" s="4" t="s">
        <v>35</v>
      </c>
      <c r="C263" s="4" t="s">
        <v>39</v>
      </c>
      <c r="D263" s="4" t="s">
        <v>43</v>
      </c>
      <c r="E263" s="4" t="s">
        <v>25</v>
      </c>
      <c r="F263" s="4" t="s">
        <v>25</v>
      </c>
      <c r="G263" s="4" t="s">
        <v>25</v>
      </c>
      <c r="H263" s="4" t="s">
        <v>25</v>
      </c>
      <c r="I263" s="5">
        <v>44652</v>
      </c>
      <c r="J263" s="6">
        <v>183</v>
      </c>
      <c r="K263" s="6">
        <v>183</v>
      </c>
      <c r="L263" s="6">
        <v>0</v>
      </c>
      <c r="M263" s="6">
        <v>0</v>
      </c>
      <c r="N263" s="6">
        <v>0</v>
      </c>
      <c r="O263" s="6">
        <v>0</v>
      </c>
      <c r="P263" s="6">
        <v>1</v>
      </c>
      <c r="Q263" s="4" t="s">
        <v>26</v>
      </c>
      <c r="R263" s="4">
        <v>0</v>
      </c>
      <c r="S263" s="6">
        <v>24</v>
      </c>
      <c r="T263" s="6">
        <v>0</v>
      </c>
      <c r="U263" s="6">
        <v>0</v>
      </c>
      <c r="V263" s="6">
        <f>IF(ISERROR(VLOOKUP($S$263,'TAR FIN'!$A$1:$O$86,15,0)),0,VLOOKUP($S$263,'TAR FIN'!$A$1:$O$86,15,0))</f>
        <v>22.9</v>
      </c>
      <c r="W263" s="6">
        <f>IF(ISERROR(VLOOKUP($T$263,'TAR FIN'!$A$1:$O$86,15,0)),0,VLOOKUP($T$263,'TAR FIN'!$A$1:$O$86,15,0))</f>
        <v>0</v>
      </c>
      <c r="X263" s="6">
        <f>IF(ISERROR(VLOOKUP($U$263,'TAR FIN'!$A$1:$O$86,15,0)),0,VLOOKUP($U$263,'TAR FIN'!$A$1:$O$86,15,0))</f>
        <v>0</v>
      </c>
      <c r="Y263" s="6">
        <f ca="1">('TUSD BE'!$AM$10+'TUSD BF'!$AM$10+'TUSD CVA'!$AM$10)*1</f>
        <v>21.733731888847863</v>
      </c>
      <c r="Z263" s="6"/>
      <c r="AA263" s="6"/>
      <c r="AB263" s="6">
        <f>$K$263*$V$263</f>
        <v>4190.7</v>
      </c>
      <c r="AC263" s="6">
        <f>$M$263*$W$263</f>
        <v>0</v>
      </c>
      <c r="AD263" s="6">
        <f>$O$263*$X$263</f>
        <v>0</v>
      </c>
      <c r="AE263" s="6">
        <f ca="1">$K$263*$Y$263</f>
        <v>3977.272935659159</v>
      </c>
      <c r="AF263" s="6">
        <f>$M$263*$Z$263</f>
        <v>0</v>
      </c>
      <c r="AG263" s="6">
        <f>$O$263*$AA$263</f>
        <v>0</v>
      </c>
    </row>
    <row r="264" spans="1:33" ht="11.25" customHeight="1" x14ac:dyDescent="0.25">
      <c r="A264" s="4" t="s">
        <v>21</v>
      </c>
      <c r="B264" s="4" t="s">
        <v>35</v>
      </c>
      <c r="C264" s="4" t="s">
        <v>39</v>
      </c>
      <c r="D264" s="4" t="s">
        <v>43</v>
      </c>
      <c r="E264" s="4" t="s">
        <v>25</v>
      </c>
      <c r="F264" s="4" t="s">
        <v>25</v>
      </c>
      <c r="G264" s="4" t="s">
        <v>25</v>
      </c>
      <c r="H264" s="4" t="s">
        <v>25</v>
      </c>
      <c r="I264" s="5">
        <v>44682</v>
      </c>
      <c r="J264" s="6">
        <v>60</v>
      </c>
      <c r="K264" s="6">
        <v>60</v>
      </c>
      <c r="L264" s="6">
        <v>0</v>
      </c>
      <c r="M264" s="6">
        <v>0</v>
      </c>
      <c r="N264" s="6">
        <v>0</v>
      </c>
      <c r="O264" s="6">
        <v>0</v>
      </c>
      <c r="P264" s="6">
        <v>1</v>
      </c>
      <c r="Q264" s="4" t="s">
        <v>26</v>
      </c>
      <c r="R264" s="4">
        <v>0</v>
      </c>
      <c r="S264" s="6">
        <v>24</v>
      </c>
      <c r="T264" s="6">
        <v>0</v>
      </c>
      <c r="U264" s="6">
        <v>0</v>
      </c>
      <c r="V264" s="6">
        <f>IF(ISERROR(VLOOKUP($S$264,'TAR FIN'!$A$1:$O$86,15,0)),0,VLOOKUP($S$264,'TAR FIN'!$A$1:$O$86,15,0))</f>
        <v>22.9</v>
      </c>
      <c r="W264" s="6">
        <f>IF(ISERROR(VLOOKUP($T$264,'TAR FIN'!$A$1:$O$86,15,0)),0,VLOOKUP($T$264,'TAR FIN'!$A$1:$O$86,15,0))</f>
        <v>0</v>
      </c>
      <c r="X264" s="6">
        <f>IF(ISERROR(VLOOKUP($U$264,'TAR FIN'!$A$1:$O$86,15,0)),0,VLOOKUP($U$264,'TAR FIN'!$A$1:$O$86,15,0))</f>
        <v>0</v>
      </c>
      <c r="Y264" s="6">
        <f ca="1">('TUSD BE'!$AM$10+'TUSD BF'!$AM$10+'TUSD CVA'!$AM$10)*1</f>
        <v>21.733731888847863</v>
      </c>
      <c r="Z264" s="6"/>
      <c r="AA264" s="6"/>
      <c r="AB264" s="6">
        <f>$K$264*$V$264</f>
        <v>1374</v>
      </c>
      <c r="AC264" s="6">
        <f>$M$264*$W$264</f>
        <v>0</v>
      </c>
      <c r="AD264" s="6">
        <f>$O$264*$X$264</f>
        <v>0</v>
      </c>
      <c r="AE264" s="6">
        <f ca="1">$K$264*$Y$264</f>
        <v>1304.0239133308719</v>
      </c>
      <c r="AF264" s="6">
        <f>$M$264*$Z$264</f>
        <v>0</v>
      </c>
      <c r="AG264" s="6">
        <f>$O$264*$AA$264</f>
        <v>0</v>
      </c>
    </row>
    <row r="265" spans="1:33" ht="11.25" customHeight="1" x14ac:dyDescent="0.25">
      <c r="A265" s="4" t="s">
        <v>28</v>
      </c>
      <c r="B265" s="4" t="s">
        <v>35</v>
      </c>
      <c r="C265" s="4" t="s">
        <v>39</v>
      </c>
      <c r="D265" s="4" t="s">
        <v>43</v>
      </c>
      <c r="E265" s="4" t="s">
        <v>25</v>
      </c>
      <c r="F265" s="4" t="s">
        <v>25</v>
      </c>
      <c r="G265" s="4" t="s">
        <v>25</v>
      </c>
      <c r="H265" s="4" t="s">
        <v>25</v>
      </c>
      <c r="I265" s="5">
        <v>44682</v>
      </c>
      <c r="J265" s="6">
        <v>100</v>
      </c>
      <c r="K265" s="6">
        <v>100</v>
      </c>
      <c r="L265" s="6">
        <v>0</v>
      </c>
      <c r="M265" s="6">
        <v>0</v>
      </c>
      <c r="N265" s="6">
        <v>0</v>
      </c>
      <c r="O265" s="6">
        <v>0</v>
      </c>
      <c r="P265" s="6">
        <v>1</v>
      </c>
      <c r="Q265" s="4" t="s">
        <v>26</v>
      </c>
      <c r="R265" s="4">
        <v>0</v>
      </c>
      <c r="S265" s="6">
        <v>24</v>
      </c>
      <c r="T265" s="6">
        <v>0</v>
      </c>
      <c r="U265" s="6">
        <v>0</v>
      </c>
      <c r="V265" s="6">
        <f>IF(ISERROR(VLOOKUP($S$265,'TAR FIN'!$A$1:$O$86,15,0)),0,VLOOKUP($S$265,'TAR FIN'!$A$1:$O$86,15,0))</f>
        <v>22.9</v>
      </c>
      <c r="W265" s="6">
        <f>IF(ISERROR(VLOOKUP($T$265,'TAR FIN'!$A$1:$O$86,15,0)),0,VLOOKUP($T$265,'TAR FIN'!$A$1:$O$86,15,0))</f>
        <v>0</v>
      </c>
      <c r="X265" s="6">
        <f>IF(ISERROR(VLOOKUP($U$265,'TAR FIN'!$A$1:$O$86,15,0)),0,VLOOKUP($U$265,'TAR FIN'!$A$1:$O$86,15,0))</f>
        <v>0</v>
      </c>
      <c r="Y265" s="6">
        <f ca="1">('TUSD BE'!$AM$10+'TUSD BF'!$AM$10+'TUSD CVA'!$AM$10)*1</f>
        <v>21.733731888847863</v>
      </c>
      <c r="Z265" s="6"/>
      <c r="AA265" s="6"/>
      <c r="AB265" s="6">
        <f>$K$265*$V$265</f>
        <v>2290</v>
      </c>
      <c r="AC265" s="6">
        <f>$M$265*$W$265</f>
        <v>0</v>
      </c>
      <c r="AD265" s="6">
        <f>$O$265*$X$265</f>
        <v>0</v>
      </c>
      <c r="AE265" s="6">
        <f ca="1">$K$265*$Y$265</f>
        <v>2173.3731888847865</v>
      </c>
      <c r="AF265" s="6">
        <f>$M$265*$Z$265</f>
        <v>0</v>
      </c>
      <c r="AG265" s="6">
        <f>$O$265*$AA$265</f>
        <v>0</v>
      </c>
    </row>
    <row r="266" spans="1:33" ht="11.25" customHeight="1" x14ac:dyDescent="0.25">
      <c r="A266" s="4" t="s">
        <v>21</v>
      </c>
      <c r="B266" s="4" t="s">
        <v>35</v>
      </c>
      <c r="C266" s="4" t="s">
        <v>39</v>
      </c>
      <c r="D266" s="4" t="s">
        <v>43</v>
      </c>
      <c r="E266" s="4" t="s">
        <v>25</v>
      </c>
      <c r="F266" s="4" t="s">
        <v>25</v>
      </c>
      <c r="G266" s="4" t="s">
        <v>25</v>
      </c>
      <c r="H266" s="4" t="s">
        <v>25</v>
      </c>
      <c r="I266" s="5">
        <v>44713</v>
      </c>
      <c r="J266" s="6">
        <v>60</v>
      </c>
      <c r="K266" s="6">
        <v>60</v>
      </c>
      <c r="L266" s="6">
        <v>0</v>
      </c>
      <c r="M266" s="6">
        <v>0</v>
      </c>
      <c r="N266" s="6">
        <v>0</v>
      </c>
      <c r="O266" s="6">
        <v>0</v>
      </c>
      <c r="P266" s="6">
        <v>1</v>
      </c>
      <c r="Q266" s="4" t="s">
        <v>26</v>
      </c>
      <c r="R266" s="4">
        <v>0</v>
      </c>
      <c r="S266" s="6">
        <v>24</v>
      </c>
      <c r="T266" s="6">
        <v>0</v>
      </c>
      <c r="U266" s="6">
        <v>0</v>
      </c>
      <c r="V266" s="6">
        <f>IF(ISERROR(VLOOKUP($S$266,'TAR FIN'!$A$1:$O$86,15,0)),0,VLOOKUP($S$266,'TAR FIN'!$A$1:$O$86,15,0))</f>
        <v>22.9</v>
      </c>
      <c r="W266" s="6">
        <f>IF(ISERROR(VLOOKUP($T$266,'TAR FIN'!$A$1:$O$86,15,0)),0,VLOOKUP($T$266,'TAR FIN'!$A$1:$O$86,15,0))</f>
        <v>0</v>
      </c>
      <c r="X266" s="6">
        <f>IF(ISERROR(VLOOKUP($U$266,'TAR FIN'!$A$1:$O$86,15,0)),0,VLOOKUP($U$266,'TAR FIN'!$A$1:$O$86,15,0))</f>
        <v>0</v>
      </c>
      <c r="Y266" s="6">
        <f ca="1">('TUSD BE'!$AM$10+'TUSD BF'!$AM$10+'TUSD CVA'!$AM$10)*1</f>
        <v>21.733731888847863</v>
      </c>
      <c r="Z266" s="6"/>
      <c r="AA266" s="6"/>
      <c r="AB266" s="6">
        <f>$K$266*$V$266</f>
        <v>1374</v>
      </c>
      <c r="AC266" s="6">
        <f>$M$266*$W$266</f>
        <v>0</v>
      </c>
      <c r="AD266" s="6">
        <f>$O$266*$X$266</f>
        <v>0</v>
      </c>
      <c r="AE266" s="6">
        <f ca="1">$K$266*$Y$266</f>
        <v>1304.0239133308719</v>
      </c>
      <c r="AF266" s="6">
        <f>$M$266*$Z$266</f>
        <v>0</v>
      </c>
      <c r="AG266" s="6">
        <f>$O$266*$AA$266</f>
        <v>0</v>
      </c>
    </row>
    <row r="267" spans="1:33" ht="11.25" customHeight="1" x14ac:dyDescent="0.25">
      <c r="A267" s="4" t="s">
        <v>28</v>
      </c>
      <c r="B267" s="4" t="s">
        <v>35</v>
      </c>
      <c r="C267" s="4" t="s">
        <v>39</v>
      </c>
      <c r="D267" s="4" t="s">
        <v>43</v>
      </c>
      <c r="E267" s="4" t="s">
        <v>25</v>
      </c>
      <c r="F267" s="4" t="s">
        <v>25</v>
      </c>
      <c r="G267" s="4" t="s">
        <v>25</v>
      </c>
      <c r="H267" s="4" t="s">
        <v>25</v>
      </c>
      <c r="I267" s="5">
        <v>44713</v>
      </c>
      <c r="J267" s="6">
        <v>100</v>
      </c>
      <c r="K267" s="6">
        <v>100</v>
      </c>
      <c r="L267" s="6">
        <v>0</v>
      </c>
      <c r="M267" s="6">
        <v>0</v>
      </c>
      <c r="N267" s="6">
        <v>0</v>
      </c>
      <c r="O267" s="6">
        <v>0</v>
      </c>
      <c r="P267" s="6">
        <v>1</v>
      </c>
      <c r="Q267" s="4" t="s">
        <v>26</v>
      </c>
      <c r="R267" s="4">
        <v>0</v>
      </c>
      <c r="S267" s="6">
        <v>24</v>
      </c>
      <c r="T267" s="6">
        <v>0</v>
      </c>
      <c r="U267" s="6">
        <v>0</v>
      </c>
      <c r="V267" s="6">
        <f>IF(ISERROR(VLOOKUP($S$267,'TAR FIN'!$A$1:$O$86,15,0)),0,VLOOKUP($S$267,'TAR FIN'!$A$1:$O$86,15,0))</f>
        <v>22.9</v>
      </c>
      <c r="W267" s="6">
        <f>IF(ISERROR(VLOOKUP($T$267,'TAR FIN'!$A$1:$O$86,15,0)),0,VLOOKUP($T$267,'TAR FIN'!$A$1:$O$86,15,0))</f>
        <v>0</v>
      </c>
      <c r="X267" s="6">
        <f>IF(ISERROR(VLOOKUP($U$267,'TAR FIN'!$A$1:$O$86,15,0)),0,VLOOKUP($U$267,'TAR FIN'!$A$1:$O$86,15,0))</f>
        <v>0</v>
      </c>
      <c r="Y267" s="6">
        <f ca="1">('TUSD BE'!$AM$10+'TUSD BF'!$AM$10+'TUSD CVA'!$AM$10)*1</f>
        <v>21.733731888847863</v>
      </c>
      <c r="Z267" s="6"/>
      <c r="AA267" s="6"/>
      <c r="AB267" s="6">
        <f>$K$267*$V$267</f>
        <v>2290</v>
      </c>
      <c r="AC267" s="6">
        <f>$M$267*$W$267</f>
        <v>0</v>
      </c>
      <c r="AD267" s="6">
        <f>$O$267*$X$267</f>
        <v>0</v>
      </c>
      <c r="AE267" s="6">
        <f ca="1">$K$267*$Y$267</f>
        <v>2173.3731888847865</v>
      </c>
      <c r="AF267" s="6">
        <f>$M$267*$Z$267</f>
        <v>0</v>
      </c>
      <c r="AG267" s="6">
        <f>$O$267*$AA$267</f>
        <v>0</v>
      </c>
    </row>
    <row r="268" spans="1:33" ht="11.25" customHeight="1" x14ac:dyDescent="0.25">
      <c r="A268" s="4" t="s">
        <v>55</v>
      </c>
      <c r="B268" s="4" t="s">
        <v>35</v>
      </c>
      <c r="C268" s="4" t="s">
        <v>39</v>
      </c>
      <c r="D268" s="4" t="s">
        <v>43</v>
      </c>
      <c r="E268" s="4" t="s">
        <v>25</v>
      </c>
      <c r="F268" s="4" t="s">
        <v>25</v>
      </c>
      <c r="G268" s="4" t="s">
        <v>25</v>
      </c>
      <c r="H268" s="4" t="s">
        <v>25</v>
      </c>
      <c r="I268" s="5">
        <v>44743</v>
      </c>
      <c r="J268" s="6">
        <v>60</v>
      </c>
      <c r="K268" s="6">
        <v>60</v>
      </c>
      <c r="L268" s="6">
        <v>0</v>
      </c>
      <c r="M268" s="6">
        <v>0</v>
      </c>
      <c r="N268" s="6">
        <v>0</v>
      </c>
      <c r="O268" s="6">
        <v>0</v>
      </c>
      <c r="P268" s="6">
        <v>1</v>
      </c>
      <c r="Q268" s="4" t="s">
        <v>26</v>
      </c>
      <c r="R268" s="4">
        <v>0</v>
      </c>
      <c r="S268" s="6">
        <v>24</v>
      </c>
      <c r="T268" s="6">
        <v>0</v>
      </c>
      <c r="U268" s="6">
        <v>0</v>
      </c>
      <c r="V268" s="6">
        <f>IF(ISERROR(VLOOKUP($S$268,'TAR FIN'!$A$1:$O$86,15,0)),0,VLOOKUP($S$268,'TAR FIN'!$A$1:$O$86,15,0))</f>
        <v>22.9</v>
      </c>
      <c r="W268" s="6">
        <f>IF(ISERROR(VLOOKUP($T$268,'TAR FIN'!$A$1:$O$86,15,0)),0,VLOOKUP($T$268,'TAR FIN'!$A$1:$O$86,15,0))</f>
        <v>0</v>
      </c>
      <c r="X268" s="6">
        <f>IF(ISERROR(VLOOKUP($U$268,'TAR FIN'!$A$1:$O$86,15,0)),0,VLOOKUP($U$268,'TAR FIN'!$A$1:$O$86,15,0))</f>
        <v>0</v>
      </c>
      <c r="Y268" s="6">
        <f ca="1">('TUSD BE'!$AM$10+'TUSD BF'!$AM$10+'TUSD CVA'!$AM$10)*1</f>
        <v>21.733731888847863</v>
      </c>
      <c r="Z268" s="6"/>
      <c r="AA268" s="6"/>
      <c r="AB268" s="6">
        <f>$K$268*$V$268</f>
        <v>1374</v>
      </c>
      <c r="AC268" s="6">
        <f>$M$268*$W$268</f>
        <v>0</v>
      </c>
      <c r="AD268" s="6">
        <f>$O$268*$X$268</f>
        <v>0</v>
      </c>
      <c r="AE268" s="6">
        <f ca="1">$K$268*$Y$268</f>
        <v>1304.0239133308719</v>
      </c>
      <c r="AF268" s="6">
        <f>$M$268*$Z$268</f>
        <v>0</v>
      </c>
      <c r="AG268" s="6">
        <f>$O$268*$AA$268</f>
        <v>0</v>
      </c>
    </row>
    <row r="269" spans="1:33" ht="11.25" customHeight="1" x14ac:dyDescent="0.25">
      <c r="A269" s="4" t="s">
        <v>55</v>
      </c>
      <c r="B269" s="4" t="s">
        <v>35</v>
      </c>
      <c r="C269" s="4" t="s">
        <v>39</v>
      </c>
      <c r="D269" s="4" t="s">
        <v>43</v>
      </c>
      <c r="E269" s="4" t="s">
        <v>25</v>
      </c>
      <c r="F269" s="4" t="s">
        <v>25</v>
      </c>
      <c r="G269" s="4" t="s">
        <v>25</v>
      </c>
      <c r="H269" s="4" t="s">
        <v>25</v>
      </c>
      <c r="I269" s="5">
        <v>44743</v>
      </c>
      <c r="J269" s="6">
        <v>100</v>
      </c>
      <c r="K269" s="6">
        <v>100</v>
      </c>
      <c r="L269" s="6">
        <v>0</v>
      </c>
      <c r="M269" s="6">
        <v>0</v>
      </c>
      <c r="N269" s="6">
        <v>0</v>
      </c>
      <c r="O269" s="6">
        <v>0</v>
      </c>
      <c r="P269" s="6">
        <v>1</v>
      </c>
      <c r="Q269" s="4" t="s">
        <v>26</v>
      </c>
      <c r="R269" s="4">
        <v>0</v>
      </c>
      <c r="S269" s="6">
        <v>24</v>
      </c>
      <c r="T269" s="6">
        <v>0</v>
      </c>
      <c r="U269" s="6">
        <v>0</v>
      </c>
      <c r="V269" s="6">
        <f>IF(ISERROR(VLOOKUP($S$269,'TAR FIN'!$A$1:$O$86,15,0)),0,VLOOKUP($S$269,'TAR FIN'!$A$1:$O$86,15,0))</f>
        <v>22.9</v>
      </c>
      <c r="W269" s="6">
        <f>IF(ISERROR(VLOOKUP($T$269,'TAR FIN'!$A$1:$O$86,15,0)),0,VLOOKUP($T$269,'TAR FIN'!$A$1:$O$86,15,0))</f>
        <v>0</v>
      </c>
      <c r="X269" s="6">
        <f>IF(ISERROR(VLOOKUP($U$269,'TAR FIN'!$A$1:$O$86,15,0)),0,VLOOKUP($U$269,'TAR FIN'!$A$1:$O$86,15,0))</f>
        <v>0</v>
      </c>
      <c r="Y269" s="6">
        <f ca="1">('TUSD BE'!$AM$10+'TUSD BF'!$AM$10+'TUSD CVA'!$AM$10)*1</f>
        <v>21.733731888847863</v>
      </c>
      <c r="Z269" s="6"/>
      <c r="AA269" s="6"/>
      <c r="AB269" s="6">
        <f>$K$269*$V$269</f>
        <v>2290</v>
      </c>
      <c r="AC269" s="6">
        <f>$M$269*$W$269</f>
        <v>0</v>
      </c>
      <c r="AD269" s="6">
        <f>$O$269*$X$269</f>
        <v>0</v>
      </c>
      <c r="AE269" s="6">
        <f ca="1">$K$269*$Y$269</f>
        <v>2173.3731888847865</v>
      </c>
      <c r="AF269" s="6">
        <f>$M$269*$Z$269</f>
        <v>0</v>
      </c>
      <c r="AG269" s="6">
        <f>$O$269*$AA$269</f>
        <v>0</v>
      </c>
    </row>
    <row r="270" spans="1:33" ht="11.25" customHeight="1" x14ac:dyDescent="0.25">
      <c r="A270" s="4" t="s">
        <v>21</v>
      </c>
      <c r="B270" s="4" t="s">
        <v>35</v>
      </c>
      <c r="C270" s="4" t="s">
        <v>39</v>
      </c>
      <c r="D270" s="4" t="s">
        <v>43</v>
      </c>
      <c r="E270" s="4" t="s">
        <v>25</v>
      </c>
      <c r="F270" s="4" t="s">
        <v>25</v>
      </c>
      <c r="G270" s="4" t="s">
        <v>25</v>
      </c>
      <c r="H270" s="4" t="s">
        <v>37</v>
      </c>
      <c r="I270" s="5">
        <v>44409</v>
      </c>
      <c r="J270" s="6">
        <v>0</v>
      </c>
      <c r="K270" s="6">
        <v>0</v>
      </c>
      <c r="L270" s="6">
        <v>1.669</v>
      </c>
      <c r="M270" s="6">
        <v>1.669</v>
      </c>
      <c r="N270" s="6">
        <v>1.669</v>
      </c>
      <c r="O270" s="6">
        <v>1.669</v>
      </c>
      <c r="P270" s="6">
        <v>0</v>
      </c>
      <c r="Q270" s="4" t="s">
        <v>26</v>
      </c>
      <c r="R270" s="4">
        <v>0</v>
      </c>
      <c r="S270" s="6">
        <v>0</v>
      </c>
      <c r="T270" s="6">
        <v>5</v>
      </c>
      <c r="U270" s="6">
        <v>69</v>
      </c>
      <c r="V270" s="6">
        <f>IF(ISERROR(VLOOKUP($S$270,'TAR FIN'!$A$1:$O$86,15,0)),0,VLOOKUP($S$270,'TAR FIN'!$A$1:$O$86,15,0))</f>
        <v>0</v>
      </c>
      <c r="W270" s="6">
        <f>IF(ISERROR(VLOOKUP($T$270,'TAR FIN'!$A$1:$O$86,15,0)),0,VLOOKUP($T$270,'TAR FIN'!$A$1:$O$86,15,0))</f>
        <v>1518.97</v>
      </c>
      <c r="X270" s="6">
        <f>IF(ISERROR(VLOOKUP($U$270,'TAR FIN'!$A$1:$O$86,15,0)),0,VLOOKUP($U$270,'TAR FIN'!$A$1:$O$86,15,0))</f>
        <v>359.33</v>
      </c>
      <c r="Y270" s="6"/>
      <c r="Z270" s="6">
        <f ca="1">('TUSD BE'!$AM$11+'TUSD BF'!$AM$11+'TUSD CVA'!$AM$11)*1</f>
        <v>1492.9858702094405</v>
      </c>
      <c r="AA270" s="6">
        <f>('TE BE'!$AB$5+'TE BF'!$AB$5+'TE CVA'!$AB$5)*1</f>
        <v>362.73600214515886</v>
      </c>
      <c r="AB270" s="6">
        <f>$K$270*$V$270</f>
        <v>0</v>
      </c>
      <c r="AC270" s="6">
        <f>$M$270*$W$270</f>
        <v>2535.16093</v>
      </c>
      <c r="AD270" s="6">
        <f>$O$270*$X$270</f>
        <v>599.72176999999999</v>
      </c>
      <c r="AE270" s="6">
        <f>$K$270*$Y$270</f>
        <v>0</v>
      </c>
      <c r="AF270" s="6">
        <f ca="1">$M$270*$Z$270</f>
        <v>2491.7934173795561</v>
      </c>
      <c r="AG270" s="6">
        <f>$O$270*$AA$270</f>
        <v>605.40638758027012</v>
      </c>
    </row>
    <row r="271" spans="1:33" ht="11.25" customHeight="1" x14ac:dyDescent="0.25">
      <c r="A271" s="4" t="s">
        <v>21</v>
      </c>
      <c r="B271" s="4" t="s">
        <v>35</v>
      </c>
      <c r="C271" s="4" t="s">
        <v>39</v>
      </c>
      <c r="D271" s="4" t="s">
        <v>43</v>
      </c>
      <c r="E271" s="4" t="s">
        <v>25</v>
      </c>
      <c r="F271" s="4" t="s">
        <v>25</v>
      </c>
      <c r="G271" s="4" t="s">
        <v>25</v>
      </c>
      <c r="H271" s="4" t="s">
        <v>37</v>
      </c>
      <c r="I271" s="5">
        <v>44440</v>
      </c>
      <c r="J271" s="6">
        <v>0</v>
      </c>
      <c r="K271" s="6">
        <v>0</v>
      </c>
      <c r="L271" s="6">
        <v>1.77</v>
      </c>
      <c r="M271" s="6">
        <v>1.77</v>
      </c>
      <c r="N271" s="6">
        <v>1.77</v>
      </c>
      <c r="O271" s="6">
        <v>1.77</v>
      </c>
      <c r="P271" s="6">
        <v>0</v>
      </c>
      <c r="Q271" s="4" t="s">
        <v>26</v>
      </c>
      <c r="R271" s="4">
        <v>0</v>
      </c>
      <c r="S271" s="6">
        <v>0</v>
      </c>
      <c r="T271" s="6">
        <v>5</v>
      </c>
      <c r="U271" s="6">
        <v>69</v>
      </c>
      <c r="V271" s="6">
        <f>IF(ISERROR(VLOOKUP($S$271,'TAR FIN'!$A$1:$O$86,15,0)),0,VLOOKUP($S$271,'TAR FIN'!$A$1:$O$86,15,0))</f>
        <v>0</v>
      </c>
      <c r="W271" s="6">
        <f>IF(ISERROR(VLOOKUP($T$271,'TAR FIN'!$A$1:$O$86,15,0)),0,VLOOKUP($T$271,'TAR FIN'!$A$1:$O$86,15,0))</f>
        <v>1518.97</v>
      </c>
      <c r="X271" s="6">
        <f>IF(ISERROR(VLOOKUP($U$271,'TAR FIN'!$A$1:$O$86,15,0)),0,VLOOKUP($U$271,'TAR FIN'!$A$1:$O$86,15,0))</f>
        <v>359.33</v>
      </c>
      <c r="Y271" s="6"/>
      <c r="Z271" s="6">
        <f ca="1">('TUSD BE'!$AM$11+'TUSD BF'!$AM$11+'TUSD CVA'!$AM$11)*1</f>
        <v>1492.9858702094405</v>
      </c>
      <c r="AA271" s="6">
        <f>('TE BE'!$AB$5+'TE BF'!$AB$5+'TE CVA'!$AB$5)*1</f>
        <v>362.73600214515886</v>
      </c>
      <c r="AB271" s="6">
        <f>$K$271*$V$271</f>
        <v>0</v>
      </c>
      <c r="AC271" s="6">
        <f>$M$271*$W$271</f>
        <v>2688.5769</v>
      </c>
      <c r="AD271" s="6">
        <f>$O$271*$X$271</f>
        <v>636.01409999999998</v>
      </c>
      <c r="AE271" s="6">
        <f>$K$271*$Y$271</f>
        <v>0</v>
      </c>
      <c r="AF271" s="6">
        <f ca="1">$M$271*$Z$271</f>
        <v>2642.5849902707096</v>
      </c>
      <c r="AG271" s="6">
        <f>$O$271*$AA$271</f>
        <v>642.04272379693123</v>
      </c>
    </row>
    <row r="272" spans="1:33" ht="11.25" customHeight="1" x14ac:dyDescent="0.25">
      <c r="A272" s="4" t="s">
        <v>21</v>
      </c>
      <c r="B272" s="4" t="s">
        <v>35</v>
      </c>
      <c r="C272" s="4" t="s">
        <v>39</v>
      </c>
      <c r="D272" s="4" t="s">
        <v>43</v>
      </c>
      <c r="E272" s="4" t="s">
        <v>25</v>
      </c>
      <c r="F272" s="4" t="s">
        <v>25</v>
      </c>
      <c r="G272" s="4" t="s">
        <v>25</v>
      </c>
      <c r="H272" s="4" t="s">
        <v>37</v>
      </c>
      <c r="I272" s="5">
        <v>44470</v>
      </c>
      <c r="J272" s="6">
        <v>0</v>
      </c>
      <c r="K272" s="6">
        <v>0</v>
      </c>
      <c r="L272" s="6">
        <v>1.5740000000000001</v>
      </c>
      <c r="M272" s="6">
        <v>1.5740000000000001</v>
      </c>
      <c r="N272" s="6">
        <v>1.5740000000000001</v>
      </c>
      <c r="O272" s="6">
        <v>1.5740000000000001</v>
      </c>
      <c r="P272" s="6">
        <v>0</v>
      </c>
      <c r="Q272" s="4" t="s">
        <v>26</v>
      </c>
      <c r="R272" s="4">
        <v>0</v>
      </c>
      <c r="S272" s="6">
        <v>0</v>
      </c>
      <c r="T272" s="6">
        <v>5</v>
      </c>
      <c r="U272" s="6">
        <v>69</v>
      </c>
      <c r="V272" s="6">
        <f>IF(ISERROR(VLOOKUP($S$272,'TAR FIN'!$A$1:$O$86,15,0)),0,VLOOKUP($S$272,'TAR FIN'!$A$1:$O$86,15,0))</f>
        <v>0</v>
      </c>
      <c r="W272" s="6">
        <f>IF(ISERROR(VLOOKUP($T$272,'TAR FIN'!$A$1:$O$86,15,0)),0,VLOOKUP($T$272,'TAR FIN'!$A$1:$O$86,15,0))</f>
        <v>1518.97</v>
      </c>
      <c r="X272" s="6">
        <f>IF(ISERROR(VLOOKUP($U$272,'TAR FIN'!$A$1:$O$86,15,0)),0,VLOOKUP($U$272,'TAR FIN'!$A$1:$O$86,15,0))</f>
        <v>359.33</v>
      </c>
      <c r="Y272" s="6"/>
      <c r="Z272" s="6">
        <f ca="1">('TUSD BE'!$AM$11+'TUSD BF'!$AM$11+'TUSD CVA'!$AM$11)*1</f>
        <v>1492.9858702094405</v>
      </c>
      <c r="AA272" s="6">
        <f>('TE BE'!$AB$5+'TE BF'!$AB$5+'TE CVA'!$AB$5)*1</f>
        <v>362.73600214515886</v>
      </c>
      <c r="AB272" s="6">
        <f>$K$272*$V$272</f>
        <v>0</v>
      </c>
      <c r="AC272" s="6">
        <f>$M$272*$W$272</f>
        <v>2390.85878</v>
      </c>
      <c r="AD272" s="6">
        <f>$O$272*$X$272</f>
        <v>565.58542</v>
      </c>
      <c r="AE272" s="6">
        <f>$K$272*$Y$272</f>
        <v>0</v>
      </c>
      <c r="AF272" s="6">
        <f ca="1">$M$272*$Z$272</f>
        <v>2349.9597597096595</v>
      </c>
      <c r="AG272" s="6">
        <f>$O$272*$AA$272</f>
        <v>570.94646737648009</v>
      </c>
    </row>
    <row r="273" spans="1:33" ht="11.25" customHeight="1" x14ac:dyDescent="0.25">
      <c r="A273" s="4" t="s">
        <v>21</v>
      </c>
      <c r="B273" s="4" t="s">
        <v>35</v>
      </c>
      <c r="C273" s="4" t="s">
        <v>39</v>
      </c>
      <c r="D273" s="4" t="s">
        <v>43</v>
      </c>
      <c r="E273" s="4" t="s">
        <v>25</v>
      </c>
      <c r="F273" s="4" t="s">
        <v>25</v>
      </c>
      <c r="G273" s="4" t="s">
        <v>25</v>
      </c>
      <c r="H273" s="4" t="s">
        <v>37</v>
      </c>
      <c r="I273" s="5">
        <v>44501</v>
      </c>
      <c r="J273" s="6">
        <v>0</v>
      </c>
      <c r="K273" s="6">
        <v>0</v>
      </c>
      <c r="L273" s="6">
        <v>1.851</v>
      </c>
      <c r="M273" s="6">
        <v>1.851</v>
      </c>
      <c r="N273" s="6">
        <v>1.851</v>
      </c>
      <c r="O273" s="6">
        <v>1.851</v>
      </c>
      <c r="P273" s="6">
        <v>0</v>
      </c>
      <c r="Q273" s="4" t="s">
        <v>26</v>
      </c>
      <c r="R273" s="4">
        <v>0</v>
      </c>
      <c r="S273" s="6">
        <v>0</v>
      </c>
      <c r="T273" s="6">
        <v>5</v>
      </c>
      <c r="U273" s="6">
        <v>69</v>
      </c>
      <c r="V273" s="6">
        <f>IF(ISERROR(VLOOKUP($S$273,'TAR FIN'!$A$1:$O$86,15,0)),0,VLOOKUP($S$273,'TAR FIN'!$A$1:$O$86,15,0))</f>
        <v>0</v>
      </c>
      <c r="W273" s="6">
        <f>IF(ISERROR(VLOOKUP($T$273,'TAR FIN'!$A$1:$O$86,15,0)),0,VLOOKUP($T$273,'TAR FIN'!$A$1:$O$86,15,0))</f>
        <v>1518.97</v>
      </c>
      <c r="X273" s="6">
        <f>IF(ISERROR(VLOOKUP($U$273,'TAR FIN'!$A$1:$O$86,15,0)),0,VLOOKUP($U$273,'TAR FIN'!$A$1:$O$86,15,0))</f>
        <v>359.33</v>
      </c>
      <c r="Y273" s="6"/>
      <c r="Z273" s="6">
        <f ca="1">('TUSD BE'!$AM$11+'TUSD BF'!$AM$11+'TUSD CVA'!$AM$11)*1</f>
        <v>1492.9858702094405</v>
      </c>
      <c r="AA273" s="6">
        <f>('TE BE'!$AB$5+'TE BF'!$AB$5+'TE CVA'!$AB$5)*1</f>
        <v>362.73600214515886</v>
      </c>
      <c r="AB273" s="6">
        <f>$K$273*$V$273</f>
        <v>0</v>
      </c>
      <c r="AC273" s="6">
        <f>$M$273*$W$273</f>
        <v>2811.6134700000002</v>
      </c>
      <c r="AD273" s="6">
        <f>$O$273*$X$273</f>
        <v>665.11982999999998</v>
      </c>
      <c r="AE273" s="6">
        <f>$K$273*$Y$273</f>
        <v>0</v>
      </c>
      <c r="AF273" s="6">
        <f ca="1">$M$273*$Z$273</f>
        <v>2763.5168457576742</v>
      </c>
      <c r="AG273" s="6">
        <f>$O$273*$AA$273</f>
        <v>671.42433997068906</v>
      </c>
    </row>
    <row r="274" spans="1:33" ht="11.25" customHeight="1" x14ac:dyDescent="0.25">
      <c r="A274" s="4" t="s">
        <v>21</v>
      </c>
      <c r="B274" s="4" t="s">
        <v>35</v>
      </c>
      <c r="C274" s="4" t="s">
        <v>39</v>
      </c>
      <c r="D274" s="4" t="s">
        <v>43</v>
      </c>
      <c r="E274" s="4" t="s">
        <v>25</v>
      </c>
      <c r="F274" s="4" t="s">
        <v>25</v>
      </c>
      <c r="G274" s="4" t="s">
        <v>25</v>
      </c>
      <c r="H274" s="4" t="s">
        <v>37</v>
      </c>
      <c r="I274" s="5">
        <v>44531</v>
      </c>
      <c r="J274" s="6">
        <v>0</v>
      </c>
      <c r="K274" s="6">
        <v>0</v>
      </c>
      <c r="L274" s="6">
        <v>0.56999999999999995</v>
      </c>
      <c r="M274" s="6">
        <v>0.56999999999999995</v>
      </c>
      <c r="N274" s="6">
        <v>0.56999999999999995</v>
      </c>
      <c r="O274" s="6">
        <v>0.56999999999999995</v>
      </c>
      <c r="P274" s="6">
        <v>0</v>
      </c>
      <c r="Q274" s="4" t="s">
        <v>26</v>
      </c>
      <c r="R274" s="4">
        <v>0</v>
      </c>
      <c r="S274" s="6">
        <v>0</v>
      </c>
      <c r="T274" s="6">
        <v>5</v>
      </c>
      <c r="U274" s="6">
        <v>69</v>
      </c>
      <c r="V274" s="6">
        <f>IF(ISERROR(VLOOKUP($S$274,'TAR FIN'!$A$1:$O$86,15,0)),0,VLOOKUP($S$274,'TAR FIN'!$A$1:$O$86,15,0))</f>
        <v>0</v>
      </c>
      <c r="W274" s="6">
        <f>IF(ISERROR(VLOOKUP($T$274,'TAR FIN'!$A$1:$O$86,15,0)),0,VLOOKUP($T$274,'TAR FIN'!$A$1:$O$86,15,0))</f>
        <v>1518.97</v>
      </c>
      <c r="X274" s="6">
        <f>IF(ISERROR(VLOOKUP($U$274,'TAR FIN'!$A$1:$O$86,15,0)),0,VLOOKUP($U$274,'TAR FIN'!$A$1:$O$86,15,0))</f>
        <v>359.33</v>
      </c>
      <c r="Y274" s="6"/>
      <c r="Z274" s="6">
        <f ca="1">('TUSD BE'!$AM$11+'TUSD BF'!$AM$11+'TUSD CVA'!$AM$11)*1</f>
        <v>1492.9858702094405</v>
      </c>
      <c r="AA274" s="6">
        <f>('TE BE'!$AB$5+'TE BF'!$AB$5+'TE CVA'!$AB$5)*1</f>
        <v>362.73600214515886</v>
      </c>
      <c r="AB274" s="6">
        <f>$K$274*$V$274</f>
        <v>0</v>
      </c>
      <c r="AC274" s="6">
        <f>$M$274*$W$274</f>
        <v>865.8128999999999</v>
      </c>
      <c r="AD274" s="6">
        <f>$O$274*$X$274</f>
        <v>204.81809999999999</v>
      </c>
      <c r="AE274" s="6">
        <f>$K$274*$Y$274</f>
        <v>0</v>
      </c>
      <c r="AF274" s="6">
        <f ca="1">$M$274*$Z$274</f>
        <v>851.00194601938097</v>
      </c>
      <c r="AG274" s="6">
        <f>$O$274*$AA$274</f>
        <v>206.75952122274055</v>
      </c>
    </row>
    <row r="275" spans="1:33" ht="11.25" customHeight="1" x14ac:dyDescent="0.25">
      <c r="A275" s="4" t="s">
        <v>28</v>
      </c>
      <c r="B275" s="4" t="s">
        <v>35</v>
      </c>
      <c r="C275" s="4" t="s">
        <v>39</v>
      </c>
      <c r="D275" s="4" t="s">
        <v>43</v>
      </c>
      <c r="E275" s="4" t="s">
        <v>25</v>
      </c>
      <c r="F275" s="4" t="s">
        <v>25</v>
      </c>
      <c r="G275" s="4" t="s">
        <v>25</v>
      </c>
      <c r="H275" s="4" t="s">
        <v>37</v>
      </c>
      <c r="I275" s="5">
        <v>44531</v>
      </c>
      <c r="J275" s="6">
        <v>0</v>
      </c>
      <c r="K275" s="6">
        <v>0</v>
      </c>
      <c r="L275" s="6">
        <v>1.5620000000000001</v>
      </c>
      <c r="M275" s="6">
        <v>1.5620000000000001</v>
      </c>
      <c r="N275" s="6">
        <v>1.5620000000000001</v>
      </c>
      <c r="O275" s="6">
        <v>1.5620000000000001</v>
      </c>
      <c r="P275" s="6">
        <v>0</v>
      </c>
      <c r="Q275" s="4" t="s">
        <v>26</v>
      </c>
      <c r="R275" s="4">
        <v>0</v>
      </c>
      <c r="S275" s="6">
        <v>0</v>
      </c>
      <c r="T275" s="6">
        <v>5</v>
      </c>
      <c r="U275" s="6">
        <v>69</v>
      </c>
      <c r="V275" s="6">
        <f>IF(ISERROR(VLOOKUP($S$275,'TAR FIN'!$A$1:$O$86,15,0)),0,VLOOKUP($S$275,'TAR FIN'!$A$1:$O$86,15,0))</f>
        <v>0</v>
      </c>
      <c r="W275" s="6">
        <f>IF(ISERROR(VLOOKUP($T$275,'TAR FIN'!$A$1:$O$86,15,0)),0,VLOOKUP($T$275,'TAR FIN'!$A$1:$O$86,15,0))</f>
        <v>1518.97</v>
      </c>
      <c r="X275" s="6">
        <f>IF(ISERROR(VLOOKUP($U$275,'TAR FIN'!$A$1:$O$86,15,0)),0,VLOOKUP($U$275,'TAR FIN'!$A$1:$O$86,15,0))</f>
        <v>359.33</v>
      </c>
      <c r="Y275" s="6"/>
      <c r="Z275" s="6">
        <f ca="1">('TUSD BE'!$AM$11+'TUSD BF'!$AM$11+'TUSD CVA'!$AM$11)*1</f>
        <v>1492.9858702094405</v>
      </c>
      <c r="AA275" s="6">
        <f>('TE BE'!$AB$5+'TE BF'!$AB$5+'TE CVA'!$AB$5)*1</f>
        <v>362.73600214515886</v>
      </c>
      <c r="AB275" s="6">
        <f>$K$275*$V$275</f>
        <v>0</v>
      </c>
      <c r="AC275" s="6">
        <f>$M$275*$W$275</f>
        <v>2372.63114</v>
      </c>
      <c r="AD275" s="6">
        <f>$O$275*$X$275</f>
        <v>561.27346</v>
      </c>
      <c r="AE275" s="6">
        <f>$K$275*$Y$275</f>
        <v>0</v>
      </c>
      <c r="AF275" s="6">
        <f ca="1">$M$275*$Z$275</f>
        <v>2332.0439292671463</v>
      </c>
      <c r="AG275" s="6">
        <f>$O$275*$AA$275</f>
        <v>566.59363535073817</v>
      </c>
    </row>
    <row r="276" spans="1:33" ht="11.25" customHeight="1" x14ac:dyDescent="0.25">
      <c r="A276" s="4" t="s">
        <v>21</v>
      </c>
      <c r="B276" s="4" t="s">
        <v>35</v>
      </c>
      <c r="C276" s="4" t="s">
        <v>39</v>
      </c>
      <c r="D276" s="4" t="s">
        <v>43</v>
      </c>
      <c r="E276" s="4" t="s">
        <v>25</v>
      </c>
      <c r="F276" s="4" t="s">
        <v>25</v>
      </c>
      <c r="G276" s="4" t="s">
        <v>25</v>
      </c>
      <c r="H276" s="4" t="s">
        <v>37</v>
      </c>
      <c r="I276" s="5">
        <v>44562</v>
      </c>
      <c r="J276" s="6">
        <v>0</v>
      </c>
      <c r="K276" s="6">
        <v>0</v>
      </c>
      <c r="L276" s="6">
        <v>0.57899999999999996</v>
      </c>
      <c r="M276" s="6">
        <v>0.57899999999999996</v>
      </c>
      <c r="N276" s="6">
        <v>0.57899999999999996</v>
      </c>
      <c r="O276" s="6">
        <v>0.57899999999999996</v>
      </c>
      <c r="P276" s="6">
        <v>0</v>
      </c>
      <c r="Q276" s="4" t="s">
        <v>26</v>
      </c>
      <c r="R276" s="4">
        <v>0</v>
      </c>
      <c r="S276" s="6">
        <v>0</v>
      </c>
      <c r="T276" s="6">
        <v>5</v>
      </c>
      <c r="U276" s="6">
        <v>69</v>
      </c>
      <c r="V276" s="6">
        <f>IF(ISERROR(VLOOKUP($S$276,'TAR FIN'!$A$1:$O$86,15,0)),0,VLOOKUP($S$276,'TAR FIN'!$A$1:$O$86,15,0))</f>
        <v>0</v>
      </c>
      <c r="W276" s="6">
        <f>IF(ISERROR(VLOOKUP($T$276,'TAR FIN'!$A$1:$O$86,15,0)),0,VLOOKUP($T$276,'TAR FIN'!$A$1:$O$86,15,0))</f>
        <v>1518.97</v>
      </c>
      <c r="X276" s="6">
        <f>IF(ISERROR(VLOOKUP($U$276,'TAR FIN'!$A$1:$O$86,15,0)),0,VLOOKUP($U$276,'TAR FIN'!$A$1:$O$86,15,0))</f>
        <v>359.33</v>
      </c>
      <c r="Y276" s="6"/>
      <c r="Z276" s="6">
        <f ca="1">('TUSD BE'!$AM$11+'TUSD BF'!$AM$11+'TUSD CVA'!$AM$11)*1</f>
        <v>1492.9858702094405</v>
      </c>
      <c r="AA276" s="6">
        <f>('TE BE'!$AB$5+'TE BF'!$AB$5+'TE CVA'!$AB$5)*1</f>
        <v>362.73600214515886</v>
      </c>
      <c r="AB276" s="6">
        <f>$K$276*$V$276</f>
        <v>0</v>
      </c>
      <c r="AC276" s="6">
        <f>$M$276*$W$276</f>
        <v>879.48362999999995</v>
      </c>
      <c r="AD276" s="6">
        <f>$O$276*$X$276</f>
        <v>208.05206999999999</v>
      </c>
      <c r="AE276" s="6">
        <f>$K$276*$Y$276</f>
        <v>0</v>
      </c>
      <c r="AF276" s="6">
        <f ca="1">$M$276*$Z$276</f>
        <v>864.43881885126598</v>
      </c>
      <c r="AG276" s="6">
        <f>$O$276*$AA$276</f>
        <v>210.02414524204696</v>
      </c>
    </row>
    <row r="277" spans="1:33" ht="11.25" customHeight="1" x14ac:dyDescent="0.25">
      <c r="A277" s="4" t="s">
        <v>28</v>
      </c>
      <c r="B277" s="4" t="s">
        <v>35</v>
      </c>
      <c r="C277" s="4" t="s">
        <v>39</v>
      </c>
      <c r="D277" s="4" t="s">
        <v>43</v>
      </c>
      <c r="E277" s="4" t="s">
        <v>25</v>
      </c>
      <c r="F277" s="4" t="s">
        <v>25</v>
      </c>
      <c r="G277" s="4" t="s">
        <v>25</v>
      </c>
      <c r="H277" s="4" t="s">
        <v>37</v>
      </c>
      <c r="I277" s="5">
        <v>44562</v>
      </c>
      <c r="J277" s="6">
        <v>0</v>
      </c>
      <c r="K277" s="6">
        <v>0</v>
      </c>
      <c r="L277" s="6">
        <v>1.25</v>
      </c>
      <c r="M277" s="6">
        <v>1.25</v>
      </c>
      <c r="N277" s="6">
        <v>1.25</v>
      </c>
      <c r="O277" s="6">
        <v>1.25</v>
      </c>
      <c r="P277" s="6">
        <v>0</v>
      </c>
      <c r="Q277" s="4" t="s">
        <v>26</v>
      </c>
      <c r="R277" s="4">
        <v>0</v>
      </c>
      <c r="S277" s="6">
        <v>0</v>
      </c>
      <c r="T277" s="6">
        <v>5</v>
      </c>
      <c r="U277" s="6">
        <v>69</v>
      </c>
      <c r="V277" s="6">
        <f>IF(ISERROR(VLOOKUP($S$277,'TAR FIN'!$A$1:$O$86,15,0)),0,VLOOKUP($S$277,'TAR FIN'!$A$1:$O$86,15,0))</f>
        <v>0</v>
      </c>
      <c r="W277" s="6">
        <f>IF(ISERROR(VLOOKUP($T$277,'TAR FIN'!$A$1:$O$86,15,0)),0,VLOOKUP($T$277,'TAR FIN'!$A$1:$O$86,15,0))</f>
        <v>1518.97</v>
      </c>
      <c r="X277" s="6">
        <f>IF(ISERROR(VLOOKUP($U$277,'TAR FIN'!$A$1:$O$86,15,0)),0,VLOOKUP($U$277,'TAR FIN'!$A$1:$O$86,15,0))</f>
        <v>359.33</v>
      </c>
      <c r="Y277" s="6"/>
      <c r="Z277" s="6">
        <f ca="1">('TUSD BE'!$AM$11+'TUSD BF'!$AM$11+'TUSD CVA'!$AM$11)*1</f>
        <v>1492.9858702094405</v>
      </c>
      <c r="AA277" s="6">
        <f>('TE BE'!$AB$5+'TE BF'!$AB$5+'TE CVA'!$AB$5)*1</f>
        <v>362.73600214515886</v>
      </c>
      <c r="AB277" s="6">
        <f>$K$277*$V$277</f>
        <v>0</v>
      </c>
      <c r="AC277" s="6">
        <f>$M$277*$W$277</f>
        <v>1898.7125000000001</v>
      </c>
      <c r="AD277" s="6">
        <f>$O$277*$X$277</f>
        <v>449.16249999999997</v>
      </c>
      <c r="AE277" s="6">
        <f>$K$277*$Y$277</f>
        <v>0</v>
      </c>
      <c r="AF277" s="6">
        <f ca="1">$M$277*$Z$277</f>
        <v>1866.2323377618006</v>
      </c>
      <c r="AG277" s="6">
        <f>$O$277*$AA$277</f>
        <v>453.42000268144858</v>
      </c>
    </row>
    <row r="278" spans="1:33" ht="11.25" customHeight="1" x14ac:dyDescent="0.25">
      <c r="A278" s="4" t="s">
        <v>21</v>
      </c>
      <c r="B278" s="4" t="s">
        <v>35</v>
      </c>
      <c r="C278" s="4" t="s">
        <v>39</v>
      </c>
      <c r="D278" s="4" t="s">
        <v>43</v>
      </c>
      <c r="E278" s="4" t="s">
        <v>25</v>
      </c>
      <c r="F278" s="4" t="s">
        <v>25</v>
      </c>
      <c r="G278" s="4" t="s">
        <v>25</v>
      </c>
      <c r="H278" s="4" t="s">
        <v>37</v>
      </c>
      <c r="I278" s="5">
        <v>44593</v>
      </c>
      <c r="J278" s="6">
        <v>0</v>
      </c>
      <c r="K278" s="6">
        <v>0</v>
      </c>
      <c r="L278" s="6">
        <v>0.54400000000000004</v>
      </c>
      <c r="M278" s="6">
        <v>0.54400000000000004</v>
      </c>
      <c r="N278" s="6">
        <v>0.54400000000000004</v>
      </c>
      <c r="O278" s="6">
        <v>0.54400000000000004</v>
      </c>
      <c r="P278" s="6">
        <v>0</v>
      </c>
      <c r="Q278" s="4" t="s">
        <v>26</v>
      </c>
      <c r="R278" s="4">
        <v>0</v>
      </c>
      <c r="S278" s="6">
        <v>0</v>
      </c>
      <c r="T278" s="6">
        <v>5</v>
      </c>
      <c r="U278" s="6">
        <v>69</v>
      </c>
      <c r="V278" s="6">
        <f>IF(ISERROR(VLOOKUP($S$278,'TAR FIN'!$A$1:$O$86,15,0)),0,VLOOKUP($S$278,'TAR FIN'!$A$1:$O$86,15,0))</f>
        <v>0</v>
      </c>
      <c r="W278" s="6">
        <f>IF(ISERROR(VLOOKUP($T$278,'TAR FIN'!$A$1:$O$86,15,0)),0,VLOOKUP($T$278,'TAR FIN'!$A$1:$O$86,15,0))</f>
        <v>1518.97</v>
      </c>
      <c r="X278" s="6">
        <f>IF(ISERROR(VLOOKUP($U$278,'TAR FIN'!$A$1:$O$86,15,0)),0,VLOOKUP($U$278,'TAR FIN'!$A$1:$O$86,15,0))</f>
        <v>359.33</v>
      </c>
      <c r="Y278" s="6"/>
      <c r="Z278" s="6">
        <f ca="1">('TUSD BE'!$AM$11+'TUSD BF'!$AM$11+'TUSD CVA'!$AM$11)*1</f>
        <v>1492.9858702094405</v>
      </c>
      <c r="AA278" s="6">
        <f>('TE BE'!$AB$5+'TE BF'!$AB$5+'TE CVA'!$AB$5)*1</f>
        <v>362.73600214515886</v>
      </c>
      <c r="AB278" s="6">
        <f>$K$278*$V$278</f>
        <v>0</v>
      </c>
      <c r="AC278" s="6">
        <f>$M$278*$W$278</f>
        <v>826.31968000000006</v>
      </c>
      <c r="AD278" s="6">
        <f>$O$278*$X$278</f>
        <v>195.47552000000002</v>
      </c>
      <c r="AE278" s="6">
        <f>$K$278*$Y$278</f>
        <v>0</v>
      </c>
      <c r="AF278" s="6">
        <f ca="1">$M$278*$Z$278</f>
        <v>812.18431339393567</v>
      </c>
      <c r="AG278" s="6">
        <f>$O$278*$AA$278</f>
        <v>197.32838516696643</v>
      </c>
    </row>
    <row r="279" spans="1:33" ht="11.25" customHeight="1" x14ac:dyDescent="0.25">
      <c r="A279" s="4" t="s">
        <v>28</v>
      </c>
      <c r="B279" s="4" t="s">
        <v>35</v>
      </c>
      <c r="C279" s="4" t="s">
        <v>39</v>
      </c>
      <c r="D279" s="4" t="s">
        <v>43</v>
      </c>
      <c r="E279" s="4" t="s">
        <v>25</v>
      </c>
      <c r="F279" s="4" t="s">
        <v>25</v>
      </c>
      <c r="G279" s="4" t="s">
        <v>25</v>
      </c>
      <c r="H279" s="4" t="s">
        <v>37</v>
      </c>
      <c r="I279" s="5">
        <v>44593</v>
      </c>
      <c r="J279" s="6">
        <v>0</v>
      </c>
      <c r="K279" s="6">
        <v>0</v>
      </c>
      <c r="L279" s="6">
        <v>1.5529999999999999</v>
      </c>
      <c r="M279" s="6">
        <v>1.5529999999999999</v>
      </c>
      <c r="N279" s="6">
        <v>1.5529999999999999</v>
      </c>
      <c r="O279" s="6">
        <v>1.5529999999999999</v>
      </c>
      <c r="P279" s="6">
        <v>0</v>
      </c>
      <c r="Q279" s="4" t="s">
        <v>26</v>
      </c>
      <c r="R279" s="4">
        <v>0</v>
      </c>
      <c r="S279" s="6">
        <v>0</v>
      </c>
      <c r="T279" s="6">
        <v>5</v>
      </c>
      <c r="U279" s="6">
        <v>69</v>
      </c>
      <c r="V279" s="6">
        <f>IF(ISERROR(VLOOKUP($S$279,'TAR FIN'!$A$1:$O$86,15,0)),0,VLOOKUP($S$279,'TAR FIN'!$A$1:$O$86,15,0))</f>
        <v>0</v>
      </c>
      <c r="W279" s="6">
        <f>IF(ISERROR(VLOOKUP($T$279,'TAR FIN'!$A$1:$O$86,15,0)),0,VLOOKUP($T$279,'TAR FIN'!$A$1:$O$86,15,0))</f>
        <v>1518.97</v>
      </c>
      <c r="X279" s="6">
        <f>IF(ISERROR(VLOOKUP($U$279,'TAR FIN'!$A$1:$O$86,15,0)),0,VLOOKUP($U$279,'TAR FIN'!$A$1:$O$86,15,0))</f>
        <v>359.33</v>
      </c>
      <c r="Y279" s="6"/>
      <c r="Z279" s="6">
        <f ca="1">('TUSD BE'!$AM$11+'TUSD BF'!$AM$11+'TUSD CVA'!$AM$11)*1</f>
        <v>1492.9858702094405</v>
      </c>
      <c r="AA279" s="6">
        <f>('TE BE'!$AB$5+'TE BF'!$AB$5+'TE CVA'!$AB$5)*1</f>
        <v>362.73600214515886</v>
      </c>
      <c r="AB279" s="6">
        <f>$K$279*$V$279</f>
        <v>0</v>
      </c>
      <c r="AC279" s="6">
        <f>$M$279*$W$279</f>
        <v>2358.9604100000001</v>
      </c>
      <c r="AD279" s="6">
        <f>$O$279*$X$279</f>
        <v>558.03949</v>
      </c>
      <c r="AE279" s="6">
        <f>$K$279*$Y$279</f>
        <v>0</v>
      </c>
      <c r="AF279" s="6">
        <f ca="1">$M$279*$Z$279</f>
        <v>2318.6070564352608</v>
      </c>
      <c r="AG279" s="6">
        <f>$O$279*$AA$279</f>
        <v>563.32901133143173</v>
      </c>
    </row>
    <row r="280" spans="1:33" ht="11.25" customHeight="1" x14ac:dyDescent="0.25">
      <c r="A280" s="4" t="s">
        <v>21</v>
      </c>
      <c r="B280" s="4" t="s">
        <v>35</v>
      </c>
      <c r="C280" s="4" t="s">
        <v>39</v>
      </c>
      <c r="D280" s="4" t="s">
        <v>43</v>
      </c>
      <c r="E280" s="4" t="s">
        <v>25</v>
      </c>
      <c r="F280" s="4" t="s">
        <v>25</v>
      </c>
      <c r="G280" s="4" t="s">
        <v>25</v>
      </c>
      <c r="H280" s="4" t="s">
        <v>37</v>
      </c>
      <c r="I280" s="5">
        <v>44621</v>
      </c>
      <c r="J280" s="6">
        <v>0</v>
      </c>
      <c r="K280" s="6">
        <v>0</v>
      </c>
      <c r="L280" s="6">
        <v>0.58699999999999997</v>
      </c>
      <c r="M280" s="6">
        <v>0.58699999999999997</v>
      </c>
      <c r="N280" s="6">
        <v>0.58699999999999997</v>
      </c>
      <c r="O280" s="6">
        <v>0.58699999999999997</v>
      </c>
      <c r="P280" s="6">
        <v>0</v>
      </c>
      <c r="Q280" s="4" t="s">
        <v>26</v>
      </c>
      <c r="R280" s="4">
        <v>0</v>
      </c>
      <c r="S280" s="6">
        <v>0</v>
      </c>
      <c r="T280" s="6">
        <v>5</v>
      </c>
      <c r="U280" s="6">
        <v>69</v>
      </c>
      <c r="V280" s="6">
        <f>IF(ISERROR(VLOOKUP($S$280,'TAR FIN'!$A$1:$O$86,15,0)),0,VLOOKUP($S$280,'TAR FIN'!$A$1:$O$86,15,0))</f>
        <v>0</v>
      </c>
      <c r="W280" s="6">
        <f>IF(ISERROR(VLOOKUP($T$280,'TAR FIN'!$A$1:$O$86,15,0)),0,VLOOKUP($T$280,'TAR FIN'!$A$1:$O$86,15,0))</f>
        <v>1518.97</v>
      </c>
      <c r="X280" s="6">
        <f>IF(ISERROR(VLOOKUP($U$280,'TAR FIN'!$A$1:$O$86,15,0)),0,VLOOKUP($U$280,'TAR FIN'!$A$1:$O$86,15,0))</f>
        <v>359.33</v>
      </c>
      <c r="Y280" s="6"/>
      <c r="Z280" s="6">
        <f ca="1">('TUSD BE'!$AM$11+'TUSD BF'!$AM$11+'TUSD CVA'!$AM$11)*1</f>
        <v>1492.9858702094405</v>
      </c>
      <c r="AA280" s="6">
        <f>('TE BE'!$AB$5+'TE BF'!$AB$5+'TE CVA'!$AB$5)*1</f>
        <v>362.73600214515886</v>
      </c>
      <c r="AB280" s="6">
        <f>$K$280*$V$280</f>
        <v>0</v>
      </c>
      <c r="AC280" s="6">
        <f>$M$280*$W$280</f>
        <v>891.63538999999992</v>
      </c>
      <c r="AD280" s="6">
        <f>$O$280*$X$280</f>
        <v>210.92670999999999</v>
      </c>
      <c r="AE280" s="6">
        <f>$K$280*$Y$280</f>
        <v>0</v>
      </c>
      <c r="AF280" s="6">
        <f ca="1">$M$280*$Z$280</f>
        <v>876.38270581294148</v>
      </c>
      <c r="AG280" s="6">
        <f>$O$280*$AA$280</f>
        <v>212.92603325920825</v>
      </c>
    </row>
    <row r="281" spans="1:33" ht="11.25" customHeight="1" x14ac:dyDescent="0.25">
      <c r="A281" s="4" t="s">
        <v>28</v>
      </c>
      <c r="B281" s="4" t="s">
        <v>35</v>
      </c>
      <c r="C281" s="4" t="s">
        <v>39</v>
      </c>
      <c r="D281" s="4" t="s">
        <v>43</v>
      </c>
      <c r="E281" s="4" t="s">
        <v>25</v>
      </c>
      <c r="F281" s="4" t="s">
        <v>25</v>
      </c>
      <c r="G281" s="4" t="s">
        <v>25</v>
      </c>
      <c r="H281" s="4" t="s">
        <v>37</v>
      </c>
      <c r="I281" s="5">
        <v>44621</v>
      </c>
      <c r="J281" s="6">
        <v>0</v>
      </c>
      <c r="K281" s="6">
        <v>0</v>
      </c>
      <c r="L281" s="6">
        <v>1.262</v>
      </c>
      <c r="M281" s="6">
        <v>1.262</v>
      </c>
      <c r="N281" s="6">
        <v>1.262</v>
      </c>
      <c r="O281" s="6">
        <v>1.262</v>
      </c>
      <c r="P281" s="6">
        <v>0</v>
      </c>
      <c r="Q281" s="4" t="s">
        <v>26</v>
      </c>
      <c r="R281" s="4">
        <v>0</v>
      </c>
      <c r="S281" s="6">
        <v>0</v>
      </c>
      <c r="T281" s="6">
        <v>5</v>
      </c>
      <c r="U281" s="6">
        <v>69</v>
      </c>
      <c r="V281" s="6">
        <f>IF(ISERROR(VLOOKUP($S$281,'TAR FIN'!$A$1:$O$86,15,0)),0,VLOOKUP($S$281,'TAR FIN'!$A$1:$O$86,15,0))</f>
        <v>0</v>
      </c>
      <c r="W281" s="6">
        <f>IF(ISERROR(VLOOKUP($T$281,'TAR FIN'!$A$1:$O$86,15,0)),0,VLOOKUP($T$281,'TAR FIN'!$A$1:$O$86,15,0))</f>
        <v>1518.97</v>
      </c>
      <c r="X281" s="6">
        <f>IF(ISERROR(VLOOKUP($U$281,'TAR FIN'!$A$1:$O$86,15,0)),0,VLOOKUP($U$281,'TAR FIN'!$A$1:$O$86,15,0))</f>
        <v>359.33</v>
      </c>
      <c r="Y281" s="6"/>
      <c r="Z281" s="6">
        <f ca="1">('TUSD BE'!$AM$11+'TUSD BF'!$AM$11+'TUSD CVA'!$AM$11)*1</f>
        <v>1492.9858702094405</v>
      </c>
      <c r="AA281" s="6">
        <f>('TE BE'!$AB$5+'TE BF'!$AB$5+'TE CVA'!$AB$5)*1</f>
        <v>362.73600214515886</v>
      </c>
      <c r="AB281" s="6">
        <f>$K$281*$V$281</f>
        <v>0</v>
      </c>
      <c r="AC281" s="6">
        <f>$M$281*$W$281</f>
        <v>1916.9401400000002</v>
      </c>
      <c r="AD281" s="6">
        <f>$O$281*$X$281</f>
        <v>453.47445999999997</v>
      </c>
      <c r="AE281" s="6">
        <f>$K$281*$Y$281</f>
        <v>0</v>
      </c>
      <c r="AF281" s="6">
        <f ca="1">$M$281*$Z$281</f>
        <v>1884.1481682043138</v>
      </c>
      <c r="AG281" s="6">
        <f>$O$281*$AA$281</f>
        <v>457.7728347071905</v>
      </c>
    </row>
    <row r="282" spans="1:33" ht="11.25" customHeight="1" x14ac:dyDescent="0.25">
      <c r="A282" s="4" t="s">
        <v>21</v>
      </c>
      <c r="B282" s="4" t="s">
        <v>35</v>
      </c>
      <c r="C282" s="4" t="s">
        <v>39</v>
      </c>
      <c r="D282" s="4" t="s">
        <v>43</v>
      </c>
      <c r="E282" s="4" t="s">
        <v>25</v>
      </c>
      <c r="F282" s="4" t="s">
        <v>25</v>
      </c>
      <c r="G282" s="4" t="s">
        <v>25</v>
      </c>
      <c r="H282" s="4" t="s">
        <v>37</v>
      </c>
      <c r="I282" s="5">
        <v>44652</v>
      </c>
      <c r="J282" s="6">
        <v>0</v>
      </c>
      <c r="K282" s="6">
        <v>0</v>
      </c>
      <c r="L282" s="6">
        <v>0.48799999999999999</v>
      </c>
      <c r="M282" s="6">
        <v>0.48799999999999999</v>
      </c>
      <c r="N282" s="6">
        <v>0.48799999999999999</v>
      </c>
      <c r="O282" s="6">
        <v>0.48799999999999999</v>
      </c>
      <c r="P282" s="6">
        <v>0</v>
      </c>
      <c r="Q282" s="4" t="s">
        <v>26</v>
      </c>
      <c r="R282" s="4">
        <v>0</v>
      </c>
      <c r="S282" s="6">
        <v>0</v>
      </c>
      <c r="T282" s="6">
        <v>5</v>
      </c>
      <c r="U282" s="6">
        <v>69</v>
      </c>
      <c r="V282" s="6">
        <f>IF(ISERROR(VLOOKUP($S$282,'TAR FIN'!$A$1:$O$86,15,0)),0,VLOOKUP($S$282,'TAR FIN'!$A$1:$O$86,15,0))</f>
        <v>0</v>
      </c>
      <c r="W282" s="6">
        <f>IF(ISERROR(VLOOKUP($T$282,'TAR FIN'!$A$1:$O$86,15,0)),0,VLOOKUP($T$282,'TAR FIN'!$A$1:$O$86,15,0))</f>
        <v>1518.97</v>
      </c>
      <c r="X282" s="6">
        <f>IF(ISERROR(VLOOKUP($U$282,'TAR FIN'!$A$1:$O$86,15,0)),0,VLOOKUP($U$282,'TAR FIN'!$A$1:$O$86,15,0))</f>
        <v>359.33</v>
      </c>
      <c r="Y282" s="6"/>
      <c r="Z282" s="6">
        <f ca="1">('TUSD BE'!$AM$11+'TUSD BF'!$AM$11+'TUSD CVA'!$AM$11)*1</f>
        <v>1492.9858702094405</v>
      </c>
      <c r="AA282" s="6">
        <f>('TE BE'!$AB$5+'TE BF'!$AB$5+'TE CVA'!$AB$5)*1</f>
        <v>362.73600214515886</v>
      </c>
      <c r="AB282" s="6">
        <f>$K$282*$V$282</f>
        <v>0</v>
      </c>
      <c r="AC282" s="6">
        <f>$M$282*$W$282</f>
        <v>741.25735999999995</v>
      </c>
      <c r="AD282" s="6">
        <f>$O$282*$X$282</f>
        <v>175.35303999999999</v>
      </c>
      <c r="AE282" s="6">
        <f>$K$282*$Y$282</f>
        <v>0</v>
      </c>
      <c r="AF282" s="6">
        <f ca="1">$M$282*$Z$282</f>
        <v>728.57710466220692</v>
      </c>
      <c r="AG282" s="6">
        <f>$O$282*$AA$282</f>
        <v>177.01516904683751</v>
      </c>
    </row>
    <row r="283" spans="1:33" ht="11.25" customHeight="1" x14ac:dyDescent="0.25">
      <c r="A283" s="4" t="s">
        <v>28</v>
      </c>
      <c r="B283" s="4" t="s">
        <v>35</v>
      </c>
      <c r="C283" s="4" t="s">
        <v>39</v>
      </c>
      <c r="D283" s="4" t="s">
        <v>43</v>
      </c>
      <c r="E283" s="4" t="s">
        <v>25</v>
      </c>
      <c r="F283" s="4" t="s">
        <v>25</v>
      </c>
      <c r="G283" s="4" t="s">
        <v>25</v>
      </c>
      <c r="H283" s="4" t="s">
        <v>37</v>
      </c>
      <c r="I283" s="5">
        <v>44652</v>
      </c>
      <c r="J283" s="6">
        <v>0</v>
      </c>
      <c r="K283" s="6">
        <v>0</v>
      </c>
      <c r="L283" s="6">
        <v>1.2250000000000001</v>
      </c>
      <c r="M283" s="6">
        <v>1.2250000000000001</v>
      </c>
      <c r="N283" s="6">
        <v>1.2250000000000001</v>
      </c>
      <c r="O283" s="6">
        <v>1.2250000000000001</v>
      </c>
      <c r="P283" s="6">
        <v>0</v>
      </c>
      <c r="Q283" s="4" t="s">
        <v>26</v>
      </c>
      <c r="R283" s="4">
        <v>0</v>
      </c>
      <c r="S283" s="6">
        <v>0</v>
      </c>
      <c r="T283" s="6">
        <v>5</v>
      </c>
      <c r="U283" s="6">
        <v>69</v>
      </c>
      <c r="V283" s="6">
        <f>IF(ISERROR(VLOOKUP($S$283,'TAR FIN'!$A$1:$O$86,15,0)),0,VLOOKUP($S$283,'TAR FIN'!$A$1:$O$86,15,0))</f>
        <v>0</v>
      </c>
      <c r="W283" s="6">
        <f>IF(ISERROR(VLOOKUP($T$283,'TAR FIN'!$A$1:$O$86,15,0)),0,VLOOKUP($T$283,'TAR FIN'!$A$1:$O$86,15,0))</f>
        <v>1518.97</v>
      </c>
      <c r="X283" s="6">
        <f>IF(ISERROR(VLOOKUP($U$283,'TAR FIN'!$A$1:$O$86,15,0)),0,VLOOKUP($U$283,'TAR FIN'!$A$1:$O$86,15,0))</f>
        <v>359.33</v>
      </c>
      <c r="Y283" s="6"/>
      <c r="Z283" s="6">
        <f ca="1">('TUSD BE'!$AM$11+'TUSD BF'!$AM$11+'TUSD CVA'!$AM$11)*1</f>
        <v>1492.9858702094405</v>
      </c>
      <c r="AA283" s="6">
        <f>('TE BE'!$AB$5+'TE BF'!$AB$5+'TE CVA'!$AB$5)*1</f>
        <v>362.73600214515886</v>
      </c>
      <c r="AB283" s="6">
        <f>$K$283*$V$283</f>
        <v>0</v>
      </c>
      <c r="AC283" s="6">
        <f>$M$283*$W$283</f>
        <v>1860.7382500000001</v>
      </c>
      <c r="AD283" s="6">
        <f>$O$283*$X$283</f>
        <v>440.17925000000002</v>
      </c>
      <c r="AE283" s="6">
        <f>$K$283*$Y$283</f>
        <v>0</v>
      </c>
      <c r="AF283" s="6">
        <f ca="1">$M$283*$Z$283</f>
        <v>1828.9076910065646</v>
      </c>
      <c r="AG283" s="6">
        <f>$O$283*$AA$283</f>
        <v>444.35160262781966</v>
      </c>
    </row>
    <row r="284" spans="1:33" ht="11.25" customHeight="1" x14ac:dyDescent="0.25">
      <c r="A284" s="4" t="s">
        <v>21</v>
      </c>
      <c r="B284" s="4" t="s">
        <v>35</v>
      </c>
      <c r="C284" s="4" t="s">
        <v>39</v>
      </c>
      <c r="D284" s="4" t="s">
        <v>43</v>
      </c>
      <c r="E284" s="4" t="s">
        <v>25</v>
      </c>
      <c r="F284" s="4" t="s">
        <v>25</v>
      </c>
      <c r="G284" s="4" t="s">
        <v>25</v>
      </c>
      <c r="H284" s="4" t="s">
        <v>37</v>
      </c>
      <c r="I284" s="5">
        <v>44682</v>
      </c>
      <c r="J284" s="6">
        <v>0</v>
      </c>
      <c r="K284" s="6">
        <v>0</v>
      </c>
      <c r="L284" s="6">
        <v>0.53800000000000003</v>
      </c>
      <c r="M284" s="6">
        <v>0.53800000000000003</v>
      </c>
      <c r="N284" s="6">
        <v>0.53800000000000003</v>
      </c>
      <c r="O284" s="6">
        <v>0.53800000000000003</v>
      </c>
      <c r="P284" s="6">
        <v>0</v>
      </c>
      <c r="Q284" s="4" t="s">
        <v>26</v>
      </c>
      <c r="R284" s="4">
        <v>0</v>
      </c>
      <c r="S284" s="6">
        <v>0</v>
      </c>
      <c r="T284" s="6">
        <v>5</v>
      </c>
      <c r="U284" s="6">
        <v>69</v>
      </c>
      <c r="V284" s="6">
        <f>IF(ISERROR(VLOOKUP($S$284,'TAR FIN'!$A$1:$O$86,15,0)),0,VLOOKUP($S$284,'TAR FIN'!$A$1:$O$86,15,0))</f>
        <v>0</v>
      </c>
      <c r="W284" s="6">
        <f>IF(ISERROR(VLOOKUP($T$284,'TAR FIN'!$A$1:$O$86,15,0)),0,VLOOKUP($T$284,'TAR FIN'!$A$1:$O$86,15,0))</f>
        <v>1518.97</v>
      </c>
      <c r="X284" s="6">
        <f>IF(ISERROR(VLOOKUP($U$284,'TAR FIN'!$A$1:$O$86,15,0)),0,VLOOKUP($U$284,'TAR FIN'!$A$1:$O$86,15,0))</f>
        <v>359.33</v>
      </c>
      <c r="Y284" s="6"/>
      <c r="Z284" s="6">
        <f ca="1">('TUSD BE'!$AM$11+'TUSD BF'!$AM$11+'TUSD CVA'!$AM$11)*1</f>
        <v>1492.9858702094405</v>
      </c>
      <c r="AA284" s="6">
        <f>('TE BE'!$AB$5+'TE BF'!$AB$5+'TE CVA'!$AB$5)*1</f>
        <v>362.73600214515886</v>
      </c>
      <c r="AB284" s="6">
        <f>$K$284*$V$284</f>
        <v>0</v>
      </c>
      <c r="AC284" s="6">
        <f>$M$284*$W$284</f>
        <v>817.20586000000003</v>
      </c>
      <c r="AD284" s="6">
        <f>$O$284*$X$284</f>
        <v>193.31954000000002</v>
      </c>
      <c r="AE284" s="6">
        <f>$K$284*$Y$284</f>
        <v>0</v>
      </c>
      <c r="AF284" s="6">
        <f ca="1">$M$284*$Z$284</f>
        <v>803.22639817267907</v>
      </c>
      <c r="AG284" s="6">
        <f>$O$284*$AA$284</f>
        <v>195.15196915409547</v>
      </c>
    </row>
    <row r="285" spans="1:33" ht="11.25" customHeight="1" x14ac:dyDescent="0.25">
      <c r="A285" s="4" t="s">
        <v>28</v>
      </c>
      <c r="B285" s="4" t="s">
        <v>35</v>
      </c>
      <c r="C285" s="4" t="s">
        <v>39</v>
      </c>
      <c r="D285" s="4" t="s">
        <v>43</v>
      </c>
      <c r="E285" s="4" t="s">
        <v>25</v>
      </c>
      <c r="F285" s="4" t="s">
        <v>25</v>
      </c>
      <c r="G285" s="4" t="s">
        <v>25</v>
      </c>
      <c r="H285" s="4" t="s">
        <v>37</v>
      </c>
      <c r="I285" s="5">
        <v>44682</v>
      </c>
      <c r="J285" s="6">
        <v>0</v>
      </c>
      <c r="K285" s="6">
        <v>0</v>
      </c>
      <c r="L285" s="6">
        <v>1.3009999999999999</v>
      </c>
      <c r="M285" s="6">
        <v>1.3009999999999999</v>
      </c>
      <c r="N285" s="6">
        <v>1.3009999999999999</v>
      </c>
      <c r="O285" s="6">
        <v>1.3009999999999999</v>
      </c>
      <c r="P285" s="6">
        <v>0</v>
      </c>
      <c r="Q285" s="4" t="s">
        <v>26</v>
      </c>
      <c r="R285" s="4">
        <v>0</v>
      </c>
      <c r="S285" s="6">
        <v>0</v>
      </c>
      <c r="T285" s="6">
        <v>5</v>
      </c>
      <c r="U285" s="6">
        <v>69</v>
      </c>
      <c r="V285" s="6">
        <f>IF(ISERROR(VLOOKUP($S$285,'TAR FIN'!$A$1:$O$86,15,0)),0,VLOOKUP($S$285,'TAR FIN'!$A$1:$O$86,15,0))</f>
        <v>0</v>
      </c>
      <c r="W285" s="6">
        <f>IF(ISERROR(VLOOKUP($T$285,'TAR FIN'!$A$1:$O$86,15,0)),0,VLOOKUP($T$285,'TAR FIN'!$A$1:$O$86,15,0))</f>
        <v>1518.97</v>
      </c>
      <c r="X285" s="6">
        <f>IF(ISERROR(VLOOKUP($U$285,'TAR FIN'!$A$1:$O$86,15,0)),0,VLOOKUP($U$285,'TAR FIN'!$A$1:$O$86,15,0))</f>
        <v>359.33</v>
      </c>
      <c r="Y285" s="6"/>
      <c r="Z285" s="6">
        <f ca="1">('TUSD BE'!$AM$11+'TUSD BF'!$AM$11+'TUSD CVA'!$AM$11)*1</f>
        <v>1492.9858702094405</v>
      </c>
      <c r="AA285" s="6">
        <f>('TE BE'!$AB$5+'TE BF'!$AB$5+'TE CVA'!$AB$5)*1</f>
        <v>362.73600214515886</v>
      </c>
      <c r="AB285" s="6">
        <f>$K$285*$V$285</f>
        <v>0</v>
      </c>
      <c r="AC285" s="6">
        <f>$M$285*$W$285</f>
        <v>1976.1799699999999</v>
      </c>
      <c r="AD285" s="6">
        <f>$O$285*$X$285</f>
        <v>467.48832999999996</v>
      </c>
      <c r="AE285" s="6">
        <f>$K$285*$Y$285</f>
        <v>0</v>
      </c>
      <c r="AF285" s="6">
        <f ca="1">$M$285*$Z$285</f>
        <v>1942.3746171424818</v>
      </c>
      <c r="AG285" s="6">
        <f>$O$285*$AA$285</f>
        <v>471.91953879085168</v>
      </c>
    </row>
    <row r="286" spans="1:33" ht="11.25" customHeight="1" x14ac:dyDescent="0.25">
      <c r="A286" s="4" t="s">
        <v>21</v>
      </c>
      <c r="B286" s="4" t="s">
        <v>35</v>
      </c>
      <c r="C286" s="4" t="s">
        <v>39</v>
      </c>
      <c r="D286" s="4" t="s">
        <v>43</v>
      </c>
      <c r="E286" s="4" t="s">
        <v>25</v>
      </c>
      <c r="F286" s="4" t="s">
        <v>25</v>
      </c>
      <c r="G286" s="4" t="s">
        <v>25</v>
      </c>
      <c r="H286" s="4" t="s">
        <v>37</v>
      </c>
      <c r="I286" s="5">
        <v>44713</v>
      </c>
      <c r="J286" s="6">
        <v>0</v>
      </c>
      <c r="K286" s="6">
        <v>0</v>
      </c>
      <c r="L286" s="6">
        <v>0.55900000000000005</v>
      </c>
      <c r="M286" s="6">
        <v>0.55900000000000005</v>
      </c>
      <c r="N286" s="6">
        <v>0.55900000000000005</v>
      </c>
      <c r="O286" s="6">
        <v>0.55900000000000005</v>
      </c>
      <c r="P286" s="6">
        <v>0</v>
      </c>
      <c r="Q286" s="4" t="s">
        <v>26</v>
      </c>
      <c r="R286" s="4">
        <v>0</v>
      </c>
      <c r="S286" s="6">
        <v>0</v>
      </c>
      <c r="T286" s="6">
        <v>5</v>
      </c>
      <c r="U286" s="6">
        <v>69</v>
      </c>
      <c r="V286" s="6">
        <f>IF(ISERROR(VLOOKUP($S$286,'TAR FIN'!$A$1:$O$86,15,0)),0,VLOOKUP($S$286,'TAR FIN'!$A$1:$O$86,15,0))</f>
        <v>0</v>
      </c>
      <c r="W286" s="6">
        <f>IF(ISERROR(VLOOKUP($T$286,'TAR FIN'!$A$1:$O$86,15,0)),0,VLOOKUP($T$286,'TAR FIN'!$A$1:$O$86,15,0))</f>
        <v>1518.97</v>
      </c>
      <c r="X286" s="6">
        <f>IF(ISERROR(VLOOKUP($U$286,'TAR FIN'!$A$1:$O$86,15,0)),0,VLOOKUP($U$286,'TAR FIN'!$A$1:$O$86,15,0))</f>
        <v>359.33</v>
      </c>
      <c r="Y286" s="6"/>
      <c r="Z286" s="6">
        <f ca="1">('TUSD BE'!$AM$11+'TUSD BF'!$AM$11+'TUSD CVA'!$AM$11)*1</f>
        <v>1492.9858702094405</v>
      </c>
      <c r="AA286" s="6">
        <f>('TE BE'!$AB$5+'TE BF'!$AB$5+'TE CVA'!$AB$5)*1</f>
        <v>362.73600214515886</v>
      </c>
      <c r="AB286" s="6">
        <f>$K$286*$V$286</f>
        <v>0</v>
      </c>
      <c r="AC286" s="6">
        <f>$M$286*$W$286</f>
        <v>849.10423000000014</v>
      </c>
      <c r="AD286" s="6">
        <f>$O$286*$X$286</f>
        <v>200.86547000000002</v>
      </c>
      <c r="AE286" s="6">
        <f>$K$286*$Y$286</f>
        <v>0</v>
      </c>
      <c r="AF286" s="6">
        <f ca="1">$M$286*$Z$286</f>
        <v>834.57910144707728</v>
      </c>
      <c r="AG286" s="6">
        <f>$O$286*$AA$286</f>
        <v>202.76942519914383</v>
      </c>
    </row>
    <row r="287" spans="1:33" ht="11.25" customHeight="1" x14ac:dyDescent="0.25">
      <c r="A287" s="4" t="s">
        <v>28</v>
      </c>
      <c r="B287" s="4" t="s">
        <v>35</v>
      </c>
      <c r="C287" s="4" t="s">
        <v>39</v>
      </c>
      <c r="D287" s="4" t="s">
        <v>43</v>
      </c>
      <c r="E287" s="4" t="s">
        <v>25</v>
      </c>
      <c r="F287" s="4" t="s">
        <v>25</v>
      </c>
      <c r="G287" s="4" t="s">
        <v>25</v>
      </c>
      <c r="H287" s="4" t="s">
        <v>37</v>
      </c>
      <c r="I287" s="5">
        <v>44713</v>
      </c>
      <c r="J287" s="6">
        <v>0</v>
      </c>
      <c r="K287" s="6">
        <v>0</v>
      </c>
      <c r="L287" s="6">
        <v>1.222</v>
      </c>
      <c r="M287" s="6">
        <v>1.222</v>
      </c>
      <c r="N287" s="6">
        <v>1.222</v>
      </c>
      <c r="O287" s="6">
        <v>1.222</v>
      </c>
      <c r="P287" s="6">
        <v>0</v>
      </c>
      <c r="Q287" s="4" t="s">
        <v>26</v>
      </c>
      <c r="R287" s="4">
        <v>0</v>
      </c>
      <c r="S287" s="6">
        <v>0</v>
      </c>
      <c r="T287" s="6">
        <v>5</v>
      </c>
      <c r="U287" s="6">
        <v>69</v>
      </c>
      <c r="V287" s="6">
        <f>IF(ISERROR(VLOOKUP($S$287,'TAR FIN'!$A$1:$O$86,15,0)),0,VLOOKUP($S$287,'TAR FIN'!$A$1:$O$86,15,0))</f>
        <v>0</v>
      </c>
      <c r="W287" s="6">
        <f>IF(ISERROR(VLOOKUP($T$287,'TAR FIN'!$A$1:$O$86,15,0)),0,VLOOKUP($T$287,'TAR FIN'!$A$1:$O$86,15,0))</f>
        <v>1518.97</v>
      </c>
      <c r="X287" s="6">
        <f>IF(ISERROR(VLOOKUP($U$287,'TAR FIN'!$A$1:$O$86,15,0)),0,VLOOKUP($U$287,'TAR FIN'!$A$1:$O$86,15,0))</f>
        <v>359.33</v>
      </c>
      <c r="Y287" s="6"/>
      <c r="Z287" s="6">
        <f ca="1">('TUSD BE'!$AM$11+'TUSD BF'!$AM$11+'TUSD CVA'!$AM$11)*1</f>
        <v>1492.9858702094405</v>
      </c>
      <c r="AA287" s="6">
        <f>('TE BE'!$AB$5+'TE BF'!$AB$5+'TE CVA'!$AB$5)*1</f>
        <v>362.73600214515886</v>
      </c>
      <c r="AB287" s="6">
        <f>$K$287*$V$287</f>
        <v>0</v>
      </c>
      <c r="AC287" s="6">
        <f>$M$287*$W$287</f>
        <v>1856.1813400000001</v>
      </c>
      <c r="AD287" s="6">
        <f>$O$287*$X$287</f>
        <v>439.10125999999997</v>
      </c>
      <c r="AE287" s="6">
        <f>$K$287*$Y$287</f>
        <v>0</v>
      </c>
      <c r="AF287" s="6">
        <f ca="1">$M$287*$Z$287</f>
        <v>1824.4287333959362</v>
      </c>
      <c r="AG287" s="6">
        <f>$O$287*$AA$287</f>
        <v>443.26339462138412</v>
      </c>
    </row>
    <row r="288" spans="1:33" ht="11.25" customHeight="1" x14ac:dyDescent="0.25">
      <c r="A288" s="4" t="s">
        <v>55</v>
      </c>
      <c r="B288" s="4" t="s">
        <v>35</v>
      </c>
      <c r="C288" s="4" t="s">
        <v>39</v>
      </c>
      <c r="D288" s="4" t="s">
        <v>43</v>
      </c>
      <c r="E288" s="4" t="s">
        <v>25</v>
      </c>
      <c r="F288" s="4" t="s">
        <v>25</v>
      </c>
      <c r="G288" s="4" t="s">
        <v>25</v>
      </c>
      <c r="H288" s="4" t="s">
        <v>37</v>
      </c>
      <c r="I288" s="5">
        <v>44743</v>
      </c>
      <c r="J288" s="6">
        <v>0</v>
      </c>
      <c r="K288" s="6">
        <v>0</v>
      </c>
      <c r="L288" s="6">
        <v>0.55900000000000005</v>
      </c>
      <c r="M288" s="6">
        <v>0.55900000000000005</v>
      </c>
      <c r="N288" s="6">
        <v>0.55900000000000005</v>
      </c>
      <c r="O288" s="6">
        <v>0.55900000000000005</v>
      </c>
      <c r="P288" s="6">
        <v>0</v>
      </c>
      <c r="Q288" s="4" t="s">
        <v>26</v>
      </c>
      <c r="R288" s="4">
        <v>0</v>
      </c>
      <c r="S288" s="6">
        <v>0</v>
      </c>
      <c r="T288" s="6">
        <v>5</v>
      </c>
      <c r="U288" s="6">
        <v>69</v>
      </c>
      <c r="V288" s="6">
        <f>IF(ISERROR(VLOOKUP($S$288,'TAR FIN'!$A$1:$O$86,15,0)),0,VLOOKUP($S$288,'TAR FIN'!$A$1:$O$86,15,0))</f>
        <v>0</v>
      </c>
      <c r="W288" s="6">
        <f>IF(ISERROR(VLOOKUP($T$288,'TAR FIN'!$A$1:$O$86,15,0)),0,VLOOKUP($T$288,'TAR FIN'!$A$1:$O$86,15,0))</f>
        <v>1518.97</v>
      </c>
      <c r="X288" s="6">
        <f>IF(ISERROR(VLOOKUP($U$288,'TAR FIN'!$A$1:$O$86,15,0)),0,VLOOKUP($U$288,'TAR FIN'!$A$1:$O$86,15,0))</f>
        <v>359.33</v>
      </c>
      <c r="Y288" s="6"/>
      <c r="Z288" s="6">
        <f ca="1">('TUSD BE'!$AM$11+'TUSD BF'!$AM$11+'TUSD CVA'!$AM$11)*1</f>
        <v>1492.9858702094405</v>
      </c>
      <c r="AA288" s="6">
        <f>('TE BE'!$AB$5+'TE BF'!$AB$5+'TE CVA'!$AB$5)*1</f>
        <v>362.73600214515886</v>
      </c>
      <c r="AB288" s="6">
        <f>$K$288*$V$288</f>
        <v>0</v>
      </c>
      <c r="AC288" s="6">
        <f>$M$288*$W$288</f>
        <v>849.10423000000014</v>
      </c>
      <c r="AD288" s="6">
        <f>$O$288*$X$288</f>
        <v>200.86547000000002</v>
      </c>
      <c r="AE288" s="6">
        <f>$K$288*$Y$288</f>
        <v>0</v>
      </c>
      <c r="AF288" s="6">
        <f ca="1">$M$288*$Z$288</f>
        <v>834.57910144707728</v>
      </c>
      <c r="AG288" s="6">
        <f>$O$288*$AA$288</f>
        <v>202.76942519914383</v>
      </c>
    </row>
    <row r="289" spans="1:33" ht="11.25" customHeight="1" x14ac:dyDescent="0.25">
      <c r="A289" s="4" t="s">
        <v>55</v>
      </c>
      <c r="B289" s="4" t="s">
        <v>35</v>
      </c>
      <c r="C289" s="4" t="s">
        <v>39</v>
      </c>
      <c r="D289" s="4" t="s">
        <v>43</v>
      </c>
      <c r="E289" s="4" t="s">
        <v>25</v>
      </c>
      <c r="F289" s="4" t="s">
        <v>25</v>
      </c>
      <c r="G289" s="4" t="s">
        <v>25</v>
      </c>
      <c r="H289" s="4" t="s">
        <v>37</v>
      </c>
      <c r="I289" s="5">
        <v>44743</v>
      </c>
      <c r="J289" s="6">
        <v>0</v>
      </c>
      <c r="K289" s="6">
        <v>0</v>
      </c>
      <c r="L289" s="6">
        <v>1.222</v>
      </c>
      <c r="M289" s="6">
        <v>1.222</v>
      </c>
      <c r="N289" s="6">
        <v>1.222</v>
      </c>
      <c r="O289" s="6">
        <v>1.222</v>
      </c>
      <c r="P289" s="6">
        <v>0</v>
      </c>
      <c r="Q289" s="4" t="s">
        <v>26</v>
      </c>
      <c r="R289" s="4">
        <v>0</v>
      </c>
      <c r="S289" s="6">
        <v>0</v>
      </c>
      <c r="T289" s="6">
        <v>5</v>
      </c>
      <c r="U289" s="6">
        <v>69</v>
      </c>
      <c r="V289" s="6">
        <f>IF(ISERROR(VLOOKUP($S$289,'TAR FIN'!$A$1:$O$86,15,0)),0,VLOOKUP($S$289,'TAR FIN'!$A$1:$O$86,15,0))</f>
        <v>0</v>
      </c>
      <c r="W289" s="6">
        <f>IF(ISERROR(VLOOKUP($T$289,'TAR FIN'!$A$1:$O$86,15,0)),0,VLOOKUP($T$289,'TAR FIN'!$A$1:$O$86,15,0))</f>
        <v>1518.97</v>
      </c>
      <c r="X289" s="6">
        <f>IF(ISERROR(VLOOKUP($U$289,'TAR FIN'!$A$1:$O$86,15,0)),0,VLOOKUP($U$289,'TAR FIN'!$A$1:$O$86,15,0))</f>
        <v>359.33</v>
      </c>
      <c r="Y289" s="6"/>
      <c r="Z289" s="6">
        <f ca="1">('TUSD BE'!$AM$11+'TUSD BF'!$AM$11+'TUSD CVA'!$AM$11)*1</f>
        <v>1492.9858702094405</v>
      </c>
      <c r="AA289" s="6">
        <f>('TE BE'!$AB$5+'TE BF'!$AB$5+'TE CVA'!$AB$5)*1</f>
        <v>362.73600214515886</v>
      </c>
      <c r="AB289" s="6">
        <f>$K$289*$V$289</f>
        <v>0</v>
      </c>
      <c r="AC289" s="6">
        <f>$M$289*$W$289</f>
        <v>1856.1813400000001</v>
      </c>
      <c r="AD289" s="6">
        <f>$O$289*$X$289</f>
        <v>439.10125999999997</v>
      </c>
      <c r="AE289" s="6">
        <f>$K$289*$Y$289</f>
        <v>0</v>
      </c>
      <c r="AF289" s="6">
        <f ca="1">$M$289*$Z$289</f>
        <v>1824.4287333959362</v>
      </c>
      <c r="AG289" s="6">
        <f>$O$289*$AA$289</f>
        <v>443.26339462138412</v>
      </c>
    </row>
    <row r="290" spans="1:33" ht="11.25" customHeight="1" x14ac:dyDescent="0.25">
      <c r="A290" s="4" t="s">
        <v>21</v>
      </c>
      <c r="B290" s="4" t="s">
        <v>35</v>
      </c>
      <c r="C290" s="4" t="s">
        <v>39</v>
      </c>
      <c r="D290" s="4" t="s">
        <v>47</v>
      </c>
      <c r="E290" s="4" t="s">
        <v>48</v>
      </c>
      <c r="F290" s="4" t="s">
        <v>25</v>
      </c>
      <c r="G290" s="4" t="s">
        <v>25</v>
      </c>
      <c r="H290" s="4" t="s">
        <v>38</v>
      </c>
      <c r="I290" s="5">
        <v>44409</v>
      </c>
      <c r="J290" s="6">
        <v>0</v>
      </c>
      <c r="K290" s="128">
        <v>0</v>
      </c>
      <c r="L290" s="6">
        <v>144.673</v>
      </c>
      <c r="M290" s="128">
        <v>144.673</v>
      </c>
      <c r="N290" s="6">
        <v>144.673</v>
      </c>
      <c r="O290" s="128">
        <v>144.673</v>
      </c>
      <c r="P290" s="6">
        <v>0</v>
      </c>
      <c r="Q290" s="4" t="s">
        <v>26</v>
      </c>
      <c r="R290" s="4">
        <v>0</v>
      </c>
      <c r="S290" s="6">
        <v>0</v>
      </c>
      <c r="T290" s="6">
        <v>18</v>
      </c>
      <c r="U290" s="6">
        <v>73</v>
      </c>
      <c r="V290" s="128">
        <f>IF(ISERROR(VLOOKUP($S$290,'TAR FIN'!$A$1:$O$86,15,0)),0,VLOOKUP($S$290,'TAR FIN'!$A$1:$O$86,15,0))</f>
        <v>0</v>
      </c>
      <c r="W290" s="128">
        <f>IF(ISERROR(VLOOKUP($T$290,'TAR FIN'!$A$1:$O$86,15,0)),0,VLOOKUP($T$290,'TAR FIN'!$A$1:$O$86,15,0))*(1-0.06)</f>
        <v>68.798599999999993</v>
      </c>
      <c r="X290" s="128">
        <f>IF(ISERROR(VLOOKUP($U$290,'TAR FIN'!$A$1:$O$86,15,0)),0,VLOOKUP($U$290,'TAR FIN'!$A$1:$O$86,15,0))*(1-0.06)</f>
        <v>199.00739999999999</v>
      </c>
      <c r="Y290" s="128"/>
      <c r="Z290" s="128">
        <f ca="1">('TUSD BE'!$AM$12+'TUSD BF'!$AM$12+'TUSD CVA'!$AM$12)*1*(1-0.03)</f>
        <v>114.29744777163032</v>
      </c>
      <c r="AA290" s="128">
        <f>('TE BE'!$AB$6+'TE BF'!$AB$6+'TE CVA'!$AB$6)*1*(1-0.03)</f>
        <v>216.30904504598922</v>
      </c>
      <c r="AB290" s="6">
        <f>$K$290*$V$290</f>
        <v>0</v>
      </c>
      <c r="AC290" s="6">
        <f>$M$290*$W$290</f>
        <v>9953.2998577999988</v>
      </c>
      <c r="AD290" s="6">
        <f>$O$290*$X$290</f>
        <v>28790.997580199997</v>
      </c>
      <c r="AE290" s="6">
        <f>$K$290*$Y$290</f>
        <v>0</v>
      </c>
      <c r="AF290" s="6">
        <f ca="1">$M$290*$Z$290</f>
        <v>16535.754661465075</v>
      </c>
      <c r="AG290" s="6">
        <f>$O$290*$AA$290</f>
        <v>31294.0784739384</v>
      </c>
    </row>
    <row r="291" spans="1:33" ht="11.25" customHeight="1" x14ac:dyDescent="0.25">
      <c r="A291" s="4" t="s">
        <v>21</v>
      </c>
      <c r="B291" s="4" t="s">
        <v>35</v>
      </c>
      <c r="C291" s="4" t="s">
        <v>39</v>
      </c>
      <c r="D291" s="4" t="s">
        <v>47</v>
      </c>
      <c r="E291" s="4" t="s">
        <v>48</v>
      </c>
      <c r="F291" s="4" t="s">
        <v>25</v>
      </c>
      <c r="G291" s="4" t="s">
        <v>25</v>
      </c>
      <c r="H291" s="4" t="s">
        <v>38</v>
      </c>
      <c r="I291" s="5">
        <v>44440</v>
      </c>
      <c r="J291" s="6">
        <v>0</v>
      </c>
      <c r="K291" s="128">
        <v>0</v>
      </c>
      <c r="L291" s="6">
        <v>138.93100000000001</v>
      </c>
      <c r="M291" s="128">
        <v>138.93100000000001</v>
      </c>
      <c r="N291" s="6">
        <v>138.93100000000001</v>
      </c>
      <c r="O291" s="128">
        <v>138.93100000000001</v>
      </c>
      <c r="P291" s="6">
        <v>0</v>
      </c>
      <c r="Q291" s="4" t="s">
        <v>26</v>
      </c>
      <c r="R291" s="4">
        <v>0</v>
      </c>
      <c r="S291" s="6">
        <v>0</v>
      </c>
      <c r="T291" s="6">
        <v>18</v>
      </c>
      <c r="U291" s="6">
        <v>73</v>
      </c>
      <c r="V291" s="128">
        <f>IF(ISERROR(VLOOKUP($S$291,'TAR FIN'!$A$1:$O$86,15,0)),0,VLOOKUP($S$291,'TAR FIN'!$A$1:$O$86,15,0))</f>
        <v>0</v>
      </c>
      <c r="W291" s="128">
        <f>IF(ISERROR(VLOOKUP($T$291,'TAR FIN'!$A$1:$O$86,15,0)),0,VLOOKUP($T$291,'TAR FIN'!$A$1:$O$86,15,0))*(1-0.06)</f>
        <v>68.798599999999993</v>
      </c>
      <c r="X291" s="128">
        <f>IF(ISERROR(VLOOKUP($U$291,'TAR FIN'!$A$1:$O$86,15,0)),0,VLOOKUP($U$291,'TAR FIN'!$A$1:$O$86,15,0))*(1-0.06)</f>
        <v>199.00739999999999</v>
      </c>
      <c r="Y291" s="128"/>
      <c r="Z291" s="128">
        <f ca="1">('TUSD BE'!$AM$12+'TUSD BF'!$AM$12+'TUSD CVA'!$AM$12)*1*(1-0.03)</f>
        <v>114.29744777163032</v>
      </c>
      <c r="AA291" s="128">
        <f>('TE BE'!$AB$6+'TE BF'!$AB$6+'TE CVA'!$AB$6)*1*(1-0.03)</f>
        <v>216.30904504598922</v>
      </c>
      <c r="AB291" s="6">
        <f>$K$291*$V$291</f>
        <v>0</v>
      </c>
      <c r="AC291" s="6">
        <f>$M$291*$W$291</f>
        <v>9558.2582965999991</v>
      </c>
      <c r="AD291" s="6">
        <f>$O$291*$X$291</f>
        <v>27648.297089399999</v>
      </c>
      <c r="AE291" s="6">
        <f>$K$291*$Y$291</f>
        <v>0</v>
      </c>
      <c r="AF291" s="6">
        <f ca="1">$M$291*$Z$291</f>
        <v>15879.458716360374</v>
      </c>
      <c r="AG291" s="6">
        <f>$O$291*$AA$291</f>
        <v>30052.03193728433</v>
      </c>
    </row>
    <row r="292" spans="1:33" ht="11.25" customHeight="1" x14ac:dyDescent="0.25">
      <c r="A292" s="4" t="s">
        <v>21</v>
      </c>
      <c r="B292" s="4" t="s">
        <v>35</v>
      </c>
      <c r="C292" s="4" t="s">
        <v>39</v>
      </c>
      <c r="D292" s="4" t="s">
        <v>47</v>
      </c>
      <c r="E292" s="4" t="s">
        <v>48</v>
      </c>
      <c r="F292" s="4" t="s">
        <v>25</v>
      </c>
      <c r="G292" s="4" t="s">
        <v>25</v>
      </c>
      <c r="H292" s="4" t="s">
        <v>38</v>
      </c>
      <c r="I292" s="5">
        <v>44470</v>
      </c>
      <c r="J292" s="6">
        <v>0</v>
      </c>
      <c r="K292" s="128">
        <v>0</v>
      </c>
      <c r="L292" s="6">
        <v>147.15600000000001</v>
      </c>
      <c r="M292" s="128">
        <v>147.15600000000001</v>
      </c>
      <c r="N292" s="6">
        <v>147.15600000000001</v>
      </c>
      <c r="O292" s="128">
        <v>147.15600000000001</v>
      </c>
      <c r="P292" s="6">
        <v>0</v>
      </c>
      <c r="Q292" s="4" t="s">
        <v>26</v>
      </c>
      <c r="R292" s="4">
        <v>0</v>
      </c>
      <c r="S292" s="6">
        <v>0</v>
      </c>
      <c r="T292" s="6">
        <v>18</v>
      </c>
      <c r="U292" s="6">
        <v>73</v>
      </c>
      <c r="V292" s="128">
        <f>IF(ISERROR(VLOOKUP($S$292,'TAR FIN'!$A$1:$O$86,15,0)),0,VLOOKUP($S$292,'TAR FIN'!$A$1:$O$86,15,0))</f>
        <v>0</v>
      </c>
      <c r="W292" s="128">
        <f>IF(ISERROR(VLOOKUP($T$292,'TAR FIN'!$A$1:$O$86,15,0)),0,VLOOKUP($T$292,'TAR FIN'!$A$1:$O$86,15,0))*(1-0.06)</f>
        <v>68.798599999999993</v>
      </c>
      <c r="X292" s="128">
        <f>IF(ISERROR(VLOOKUP($U$292,'TAR FIN'!$A$1:$O$86,15,0)),0,VLOOKUP($U$292,'TAR FIN'!$A$1:$O$86,15,0))*(1-0.06)</f>
        <v>199.00739999999999</v>
      </c>
      <c r="Y292" s="128"/>
      <c r="Z292" s="128">
        <f ca="1">('TUSD BE'!$AM$12+'TUSD BF'!$AM$12+'TUSD CVA'!$AM$12)*1*(1-0.03)</f>
        <v>114.29744777163032</v>
      </c>
      <c r="AA292" s="128">
        <f>('TE BE'!$AB$6+'TE BF'!$AB$6+'TE CVA'!$AB$6)*1*(1-0.03)</f>
        <v>216.30904504598922</v>
      </c>
      <c r="AB292" s="6">
        <f>$K$292*$V$292</f>
        <v>0</v>
      </c>
      <c r="AC292" s="6">
        <f>$M$292*$W$292</f>
        <v>10124.1267816</v>
      </c>
      <c r="AD292" s="6">
        <f>$O$292*$X$292</f>
        <v>29285.1329544</v>
      </c>
      <c r="AE292" s="6">
        <f>$K$292*$Y$292</f>
        <v>0</v>
      </c>
      <c r="AF292" s="6">
        <f ca="1">$M$292*$Z$292</f>
        <v>16819.55522428203</v>
      </c>
      <c r="AG292" s="6">
        <f>$O$292*$AA$292</f>
        <v>31831.17383278759</v>
      </c>
    </row>
    <row r="293" spans="1:33" ht="11.25" customHeight="1" x14ac:dyDescent="0.25">
      <c r="A293" s="4" t="s">
        <v>21</v>
      </c>
      <c r="B293" s="4" t="s">
        <v>35</v>
      </c>
      <c r="C293" s="4" t="s">
        <v>39</v>
      </c>
      <c r="D293" s="4" t="s">
        <v>47</v>
      </c>
      <c r="E293" s="4" t="s">
        <v>48</v>
      </c>
      <c r="F293" s="4" t="s">
        <v>25</v>
      </c>
      <c r="G293" s="4" t="s">
        <v>25</v>
      </c>
      <c r="H293" s="4" t="s">
        <v>38</v>
      </c>
      <c r="I293" s="5">
        <v>44501</v>
      </c>
      <c r="J293" s="6">
        <v>0</v>
      </c>
      <c r="K293" s="128">
        <v>0</v>
      </c>
      <c r="L293" s="6">
        <v>150.27600000000001</v>
      </c>
      <c r="M293" s="128">
        <v>150.27600000000001</v>
      </c>
      <c r="N293" s="6">
        <v>150.27600000000001</v>
      </c>
      <c r="O293" s="128">
        <v>150.27600000000001</v>
      </c>
      <c r="P293" s="6">
        <v>0</v>
      </c>
      <c r="Q293" s="4" t="s">
        <v>26</v>
      </c>
      <c r="R293" s="4">
        <v>0</v>
      </c>
      <c r="S293" s="6">
        <v>0</v>
      </c>
      <c r="T293" s="6">
        <v>18</v>
      </c>
      <c r="U293" s="6">
        <v>73</v>
      </c>
      <c r="V293" s="128">
        <f>IF(ISERROR(VLOOKUP($S$293,'TAR FIN'!$A$1:$O$86,15,0)),0,VLOOKUP($S$293,'TAR FIN'!$A$1:$O$86,15,0))</f>
        <v>0</v>
      </c>
      <c r="W293" s="128">
        <f>IF(ISERROR(VLOOKUP($T$293,'TAR FIN'!$A$1:$O$86,15,0)),0,VLOOKUP($T$293,'TAR FIN'!$A$1:$O$86,15,0))*(1-0.06)</f>
        <v>68.798599999999993</v>
      </c>
      <c r="X293" s="128">
        <f>IF(ISERROR(VLOOKUP($U$293,'TAR FIN'!$A$1:$O$86,15,0)),0,VLOOKUP($U$293,'TAR FIN'!$A$1:$O$86,15,0))*(1-0.06)</f>
        <v>199.00739999999999</v>
      </c>
      <c r="Y293" s="128"/>
      <c r="Z293" s="128">
        <f ca="1">('TUSD BE'!$AM$12+'TUSD BF'!$AM$12+'TUSD CVA'!$AM$12)*1*(1-0.03)</f>
        <v>114.29744777163032</v>
      </c>
      <c r="AA293" s="128">
        <f>('TE BE'!$AB$6+'TE BF'!$AB$6+'TE CVA'!$AB$6)*1*(1-0.03)</f>
        <v>216.30904504598922</v>
      </c>
      <c r="AB293" s="6">
        <f>$K$293*$V$293</f>
        <v>0</v>
      </c>
      <c r="AC293" s="6">
        <f>$M$293*$W$293</f>
        <v>10338.778413599999</v>
      </c>
      <c r="AD293" s="6">
        <f>$O$293*$X$293</f>
        <v>29906.036042399999</v>
      </c>
      <c r="AE293" s="6">
        <f>$K$293*$Y$293</f>
        <v>0</v>
      </c>
      <c r="AF293" s="6">
        <f ca="1">$M$293*$Z$293</f>
        <v>17176.163261329519</v>
      </c>
      <c r="AG293" s="6">
        <f>$O$293*$AA$293</f>
        <v>32506.058053331079</v>
      </c>
    </row>
    <row r="294" spans="1:33" ht="11.25" customHeight="1" x14ac:dyDescent="0.25">
      <c r="A294" s="4" t="s">
        <v>21</v>
      </c>
      <c r="B294" s="4" t="s">
        <v>35</v>
      </c>
      <c r="C294" s="4" t="s">
        <v>39</v>
      </c>
      <c r="D294" s="4" t="s">
        <v>47</v>
      </c>
      <c r="E294" s="4" t="s">
        <v>48</v>
      </c>
      <c r="F294" s="4" t="s">
        <v>25</v>
      </c>
      <c r="G294" s="4" t="s">
        <v>25</v>
      </c>
      <c r="H294" s="4" t="s">
        <v>38</v>
      </c>
      <c r="I294" s="5">
        <v>44531</v>
      </c>
      <c r="J294" s="6">
        <v>0</v>
      </c>
      <c r="K294" s="128">
        <v>0</v>
      </c>
      <c r="L294" s="6">
        <v>179.06700000000001</v>
      </c>
      <c r="M294" s="128">
        <v>179.06700000000001</v>
      </c>
      <c r="N294" s="6">
        <v>179.06700000000001</v>
      </c>
      <c r="O294" s="128">
        <v>179.06700000000001</v>
      </c>
      <c r="P294" s="6">
        <v>0</v>
      </c>
      <c r="Q294" s="4" t="s">
        <v>26</v>
      </c>
      <c r="R294" s="4">
        <v>0</v>
      </c>
      <c r="S294" s="6">
        <v>0</v>
      </c>
      <c r="T294" s="6">
        <v>18</v>
      </c>
      <c r="U294" s="6">
        <v>73</v>
      </c>
      <c r="V294" s="128">
        <f>IF(ISERROR(VLOOKUP($S$294,'TAR FIN'!$A$1:$O$86,15,0)),0,VLOOKUP($S$294,'TAR FIN'!$A$1:$O$86,15,0))</f>
        <v>0</v>
      </c>
      <c r="W294" s="128">
        <f>IF(ISERROR(VLOOKUP($T$294,'TAR FIN'!$A$1:$O$86,15,0)),0,VLOOKUP($T$294,'TAR FIN'!$A$1:$O$86,15,0))*(1-0.06)</f>
        <v>68.798599999999993</v>
      </c>
      <c r="X294" s="128">
        <f>IF(ISERROR(VLOOKUP($U$294,'TAR FIN'!$A$1:$O$86,15,0)),0,VLOOKUP($U$294,'TAR FIN'!$A$1:$O$86,15,0))*(1-0.06)</f>
        <v>199.00739999999999</v>
      </c>
      <c r="Y294" s="128"/>
      <c r="Z294" s="128">
        <f ca="1">('TUSD BE'!$AM$12+'TUSD BF'!$AM$12+'TUSD CVA'!$AM$12)*1*(1-0.03)</f>
        <v>114.29744777163032</v>
      </c>
      <c r="AA294" s="128">
        <f>('TE BE'!$AB$6+'TE BF'!$AB$6+'TE CVA'!$AB$6)*1*(1-0.03)</f>
        <v>216.30904504598922</v>
      </c>
      <c r="AB294" s="6">
        <f>$K$294*$V$294</f>
        <v>0</v>
      </c>
      <c r="AC294" s="6">
        <f>$M$294*$W$294</f>
        <v>12319.5589062</v>
      </c>
      <c r="AD294" s="6">
        <f>$O$294*$X$294</f>
        <v>35635.658095799998</v>
      </c>
      <c r="AE294" s="6">
        <f>$K$294*$Y$294</f>
        <v>0</v>
      </c>
      <c r="AF294" s="6">
        <f ca="1">$M$294*$Z$294</f>
        <v>20466.901080122527</v>
      </c>
      <c r="AG294" s="6">
        <f>$O$294*$AA$294</f>
        <v>38733.811769250155</v>
      </c>
    </row>
    <row r="295" spans="1:33" ht="11.25" customHeight="1" x14ac:dyDescent="0.25">
      <c r="A295" s="4" t="s">
        <v>21</v>
      </c>
      <c r="B295" s="4" t="s">
        <v>35</v>
      </c>
      <c r="C295" s="4" t="s">
        <v>39</v>
      </c>
      <c r="D295" s="4" t="s">
        <v>47</v>
      </c>
      <c r="E295" s="4" t="s">
        <v>48</v>
      </c>
      <c r="F295" s="4" t="s">
        <v>25</v>
      </c>
      <c r="G295" s="4" t="s">
        <v>25</v>
      </c>
      <c r="H295" s="4" t="s">
        <v>38</v>
      </c>
      <c r="I295" s="5">
        <v>44562</v>
      </c>
      <c r="J295" s="6">
        <v>0</v>
      </c>
      <c r="K295" s="128">
        <v>0</v>
      </c>
      <c r="L295" s="6">
        <v>219.52799999999999</v>
      </c>
      <c r="M295" s="128">
        <v>219.52799999999999</v>
      </c>
      <c r="N295" s="6">
        <v>219.52799999999999</v>
      </c>
      <c r="O295" s="128">
        <v>219.52799999999999</v>
      </c>
      <c r="P295" s="6">
        <v>0</v>
      </c>
      <c r="Q295" s="4" t="s">
        <v>26</v>
      </c>
      <c r="R295" s="4">
        <v>0</v>
      </c>
      <c r="S295" s="6">
        <v>0</v>
      </c>
      <c r="T295" s="6">
        <v>18</v>
      </c>
      <c r="U295" s="6">
        <v>73</v>
      </c>
      <c r="V295" s="128">
        <f>IF(ISERROR(VLOOKUP($S$295,'TAR FIN'!$A$1:$O$86,15,0)),0,VLOOKUP($S$295,'TAR FIN'!$A$1:$O$86,15,0))</f>
        <v>0</v>
      </c>
      <c r="W295" s="128">
        <f>IF(ISERROR(VLOOKUP($T$295,'TAR FIN'!$A$1:$O$86,15,0)),0,VLOOKUP($T$295,'TAR FIN'!$A$1:$O$86,15,0))*(1-0.06)</f>
        <v>68.798599999999993</v>
      </c>
      <c r="X295" s="128">
        <f>IF(ISERROR(VLOOKUP($U$295,'TAR FIN'!$A$1:$O$86,15,0)),0,VLOOKUP($U$295,'TAR FIN'!$A$1:$O$86,15,0))*(1-0.06)</f>
        <v>199.00739999999999</v>
      </c>
      <c r="Y295" s="128"/>
      <c r="Z295" s="128">
        <f ca="1">('TUSD BE'!$AM$12+'TUSD BF'!$AM$12+'TUSD CVA'!$AM$12)*1*(1-0.03)</f>
        <v>114.29744777163032</v>
      </c>
      <c r="AA295" s="128">
        <f>('TE BE'!$AB$6+'TE BF'!$AB$6+'TE CVA'!$AB$6)*1*(1-0.03)</f>
        <v>216.30904504598922</v>
      </c>
      <c r="AB295" s="6">
        <f>$K$295*$V$295</f>
        <v>0</v>
      </c>
      <c r="AC295" s="6">
        <f>$M$295*$W$295</f>
        <v>15103.219060799998</v>
      </c>
      <c r="AD295" s="6">
        <f>$O$295*$X$295</f>
        <v>43687.696507199995</v>
      </c>
      <c r="AE295" s="6">
        <f>$K$295*$Y$295</f>
        <v>0</v>
      </c>
      <c r="AF295" s="6">
        <f ca="1">$M$295*$Z$295</f>
        <v>25091.490114410459</v>
      </c>
      <c r="AG295" s="6">
        <f>$O$295*$AA$295</f>
        <v>47485.892040855921</v>
      </c>
    </row>
    <row r="296" spans="1:33" ht="11.25" customHeight="1" x14ac:dyDescent="0.25">
      <c r="A296" s="4" t="s">
        <v>21</v>
      </c>
      <c r="B296" s="4" t="s">
        <v>35</v>
      </c>
      <c r="C296" s="4" t="s">
        <v>39</v>
      </c>
      <c r="D296" s="4" t="s">
        <v>47</v>
      </c>
      <c r="E296" s="4" t="s">
        <v>48</v>
      </c>
      <c r="F296" s="4" t="s">
        <v>25</v>
      </c>
      <c r="G296" s="4" t="s">
        <v>25</v>
      </c>
      <c r="H296" s="4" t="s">
        <v>38</v>
      </c>
      <c r="I296" s="5">
        <v>44593</v>
      </c>
      <c r="J296" s="6">
        <v>0</v>
      </c>
      <c r="K296" s="128">
        <v>0</v>
      </c>
      <c r="L296" s="6">
        <v>177.56899999999999</v>
      </c>
      <c r="M296" s="128">
        <v>177.56899999999999</v>
      </c>
      <c r="N296" s="6">
        <v>177.56899999999999</v>
      </c>
      <c r="O296" s="128">
        <v>177.56899999999999</v>
      </c>
      <c r="P296" s="6">
        <v>0</v>
      </c>
      <c r="Q296" s="4" t="s">
        <v>26</v>
      </c>
      <c r="R296" s="4">
        <v>0</v>
      </c>
      <c r="S296" s="6">
        <v>0</v>
      </c>
      <c r="T296" s="6">
        <v>18</v>
      </c>
      <c r="U296" s="6">
        <v>73</v>
      </c>
      <c r="V296" s="128">
        <f>IF(ISERROR(VLOOKUP($S$296,'TAR FIN'!$A$1:$O$86,15,0)),0,VLOOKUP($S$296,'TAR FIN'!$A$1:$O$86,15,0))</f>
        <v>0</v>
      </c>
      <c r="W296" s="128">
        <f>IF(ISERROR(VLOOKUP($T$296,'TAR FIN'!$A$1:$O$86,15,0)),0,VLOOKUP($T$296,'TAR FIN'!$A$1:$O$86,15,0))*(1-0.06)</f>
        <v>68.798599999999993</v>
      </c>
      <c r="X296" s="128">
        <f>IF(ISERROR(VLOOKUP($U$296,'TAR FIN'!$A$1:$O$86,15,0)),0,VLOOKUP($U$296,'TAR FIN'!$A$1:$O$86,15,0))*(1-0.06)</f>
        <v>199.00739999999999</v>
      </c>
      <c r="Y296" s="128"/>
      <c r="Z296" s="128">
        <f ca="1">('TUSD BE'!$AM$12+'TUSD BF'!$AM$12+'TUSD CVA'!$AM$12)*1*(1-0.03)</f>
        <v>114.29744777163032</v>
      </c>
      <c r="AA296" s="128">
        <f>('TE BE'!$AB$6+'TE BF'!$AB$6+'TE CVA'!$AB$6)*1*(1-0.03)</f>
        <v>216.30904504598922</v>
      </c>
      <c r="AB296" s="6">
        <f>$K$296*$V$296</f>
        <v>0</v>
      </c>
      <c r="AC296" s="6">
        <f>$M$296*$W$296</f>
        <v>12216.498603399998</v>
      </c>
      <c r="AD296" s="6">
        <f>$O$296*$X$296</f>
        <v>35337.545010599999</v>
      </c>
      <c r="AE296" s="6">
        <f>$K$296*$Y$296</f>
        <v>0</v>
      </c>
      <c r="AF296" s="6">
        <f ca="1">$M$296*$Z$296</f>
        <v>20295.683503360622</v>
      </c>
      <c r="AG296" s="6">
        <f>$O$296*$AA$296</f>
        <v>38409.780819771258</v>
      </c>
    </row>
    <row r="297" spans="1:33" ht="11.25" customHeight="1" x14ac:dyDescent="0.25">
      <c r="A297" s="4" t="s">
        <v>21</v>
      </c>
      <c r="B297" s="4" t="s">
        <v>35</v>
      </c>
      <c r="C297" s="4" t="s">
        <v>39</v>
      </c>
      <c r="D297" s="4" t="s">
        <v>47</v>
      </c>
      <c r="E297" s="4" t="s">
        <v>48</v>
      </c>
      <c r="F297" s="4" t="s">
        <v>25</v>
      </c>
      <c r="G297" s="4" t="s">
        <v>25</v>
      </c>
      <c r="H297" s="4" t="s">
        <v>38</v>
      </c>
      <c r="I297" s="5">
        <v>44621</v>
      </c>
      <c r="J297" s="6">
        <v>0</v>
      </c>
      <c r="K297" s="128">
        <v>0</v>
      </c>
      <c r="L297" s="6">
        <v>170.62100000000001</v>
      </c>
      <c r="M297" s="128">
        <v>170.62100000000001</v>
      </c>
      <c r="N297" s="6">
        <v>170.62100000000001</v>
      </c>
      <c r="O297" s="128">
        <v>170.62100000000001</v>
      </c>
      <c r="P297" s="6">
        <v>0</v>
      </c>
      <c r="Q297" s="4" t="s">
        <v>26</v>
      </c>
      <c r="R297" s="4">
        <v>0</v>
      </c>
      <c r="S297" s="6">
        <v>0</v>
      </c>
      <c r="T297" s="6">
        <v>18</v>
      </c>
      <c r="U297" s="6">
        <v>73</v>
      </c>
      <c r="V297" s="128">
        <f>IF(ISERROR(VLOOKUP($S$297,'TAR FIN'!$A$1:$O$86,15,0)),0,VLOOKUP($S$297,'TAR FIN'!$A$1:$O$86,15,0))</f>
        <v>0</v>
      </c>
      <c r="W297" s="128">
        <f>IF(ISERROR(VLOOKUP($T$297,'TAR FIN'!$A$1:$O$86,15,0)),0,VLOOKUP($T$297,'TAR FIN'!$A$1:$O$86,15,0))*(1-0.06)</f>
        <v>68.798599999999993</v>
      </c>
      <c r="X297" s="128">
        <f>IF(ISERROR(VLOOKUP($U$297,'TAR FIN'!$A$1:$O$86,15,0)),0,VLOOKUP($U$297,'TAR FIN'!$A$1:$O$86,15,0))*(1-0.06)</f>
        <v>199.00739999999999</v>
      </c>
      <c r="Y297" s="128"/>
      <c r="Z297" s="128">
        <f ca="1">('TUSD BE'!$AM$12+'TUSD BF'!$AM$12+'TUSD CVA'!$AM$12)*1*(1-0.03)</f>
        <v>114.29744777163032</v>
      </c>
      <c r="AA297" s="128">
        <f>('TE BE'!$AB$6+'TE BF'!$AB$6+'TE CVA'!$AB$6)*1*(1-0.03)</f>
        <v>216.30904504598922</v>
      </c>
      <c r="AB297" s="6">
        <f>$K$297*$V$297</f>
        <v>0</v>
      </c>
      <c r="AC297" s="6">
        <f>$M$297*$W$297</f>
        <v>11738.4859306</v>
      </c>
      <c r="AD297" s="6">
        <f>$O$297*$X$297</f>
        <v>33954.841595400001</v>
      </c>
      <c r="AE297" s="6">
        <f>$K$297*$Y$297</f>
        <v>0</v>
      </c>
      <c r="AF297" s="6">
        <f ca="1">$M$297*$Z$297</f>
        <v>19501.544836243338</v>
      </c>
      <c r="AG297" s="6">
        <f>$O$297*$AA$297</f>
        <v>36906.865574791729</v>
      </c>
    </row>
    <row r="298" spans="1:33" ht="11.25" customHeight="1" x14ac:dyDescent="0.25">
      <c r="A298" s="4" t="s">
        <v>21</v>
      </c>
      <c r="B298" s="4" t="s">
        <v>35</v>
      </c>
      <c r="C298" s="4" t="s">
        <v>39</v>
      </c>
      <c r="D298" s="4" t="s">
        <v>47</v>
      </c>
      <c r="E298" s="4" t="s">
        <v>48</v>
      </c>
      <c r="F298" s="4" t="s">
        <v>25</v>
      </c>
      <c r="G298" s="4" t="s">
        <v>25</v>
      </c>
      <c r="H298" s="4" t="s">
        <v>38</v>
      </c>
      <c r="I298" s="5">
        <v>44652</v>
      </c>
      <c r="J298" s="6">
        <v>0</v>
      </c>
      <c r="K298" s="128">
        <v>0</v>
      </c>
      <c r="L298" s="6">
        <v>164.25200000000001</v>
      </c>
      <c r="M298" s="128">
        <v>164.25200000000001</v>
      </c>
      <c r="N298" s="6">
        <v>164.25200000000001</v>
      </c>
      <c r="O298" s="128">
        <v>164.25200000000001</v>
      </c>
      <c r="P298" s="6">
        <v>0</v>
      </c>
      <c r="Q298" s="4" t="s">
        <v>26</v>
      </c>
      <c r="R298" s="4">
        <v>0</v>
      </c>
      <c r="S298" s="6">
        <v>0</v>
      </c>
      <c r="T298" s="6">
        <v>18</v>
      </c>
      <c r="U298" s="6">
        <v>73</v>
      </c>
      <c r="V298" s="128">
        <f>IF(ISERROR(VLOOKUP($S$298,'TAR FIN'!$A$1:$O$86,15,0)),0,VLOOKUP($S$298,'TAR FIN'!$A$1:$O$86,15,0))</f>
        <v>0</v>
      </c>
      <c r="W298" s="128">
        <f>IF(ISERROR(VLOOKUP($T$298,'TAR FIN'!$A$1:$O$86,15,0)),0,VLOOKUP($T$298,'TAR FIN'!$A$1:$O$86,15,0))*(1-0.06)</f>
        <v>68.798599999999993</v>
      </c>
      <c r="X298" s="128">
        <f>IF(ISERROR(VLOOKUP($U$298,'TAR FIN'!$A$1:$O$86,15,0)),0,VLOOKUP($U$298,'TAR FIN'!$A$1:$O$86,15,0))*(1-0.06)</f>
        <v>199.00739999999999</v>
      </c>
      <c r="Y298" s="128"/>
      <c r="Z298" s="128">
        <f ca="1">('TUSD BE'!$AM$12+'TUSD BF'!$AM$12+'TUSD CVA'!$AM$12)*1*(1-0.03)</f>
        <v>114.29744777163032</v>
      </c>
      <c r="AA298" s="128">
        <f>('TE BE'!$AB$6+'TE BF'!$AB$6+'TE CVA'!$AB$6)*1*(1-0.03)</f>
        <v>216.30904504598922</v>
      </c>
      <c r="AB298" s="6">
        <f>$K$298*$V$298</f>
        <v>0</v>
      </c>
      <c r="AC298" s="6">
        <f>$M$298*$W$298</f>
        <v>11300.307647199999</v>
      </c>
      <c r="AD298" s="6">
        <f>$O$298*$X$298</f>
        <v>32687.363464800001</v>
      </c>
      <c r="AE298" s="6">
        <f>$K$298*$Y$298</f>
        <v>0</v>
      </c>
      <c r="AF298" s="6">
        <f ca="1">$M$298*$Z$298</f>
        <v>18773.584391385823</v>
      </c>
      <c r="AG298" s="6">
        <f>$O$298*$AA$298</f>
        <v>35529.193266893824</v>
      </c>
    </row>
    <row r="299" spans="1:33" ht="11.25" customHeight="1" x14ac:dyDescent="0.25">
      <c r="A299" s="4" t="s">
        <v>21</v>
      </c>
      <c r="B299" s="4" t="s">
        <v>35</v>
      </c>
      <c r="C299" s="4" t="s">
        <v>39</v>
      </c>
      <c r="D299" s="4" t="s">
        <v>47</v>
      </c>
      <c r="E299" s="4" t="s">
        <v>48</v>
      </c>
      <c r="F299" s="4" t="s">
        <v>25</v>
      </c>
      <c r="G299" s="4" t="s">
        <v>25</v>
      </c>
      <c r="H299" s="4" t="s">
        <v>38</v>
      </c>
      <c r="I299" s="5">
        <v>44682</v>
      </c>
      <c r="J299" s="6">
        <v>0</v>
      </c>
      <c r="K299" s="128">
        <v>0</v>
      </c>
      <c r="L299" s="6">
        <v>160.15100000000001</v>
      </c>
      <c r="M299" s="128">
        <v>160.15100000000001</v>
      </c>
      <c r="N299" s="6">
        <v>160.15100000000001</v>
      </c>
      <c r="O299" s="128">
        <v>160.15100000000001</v>
      </c>
      <c r="P299" s="6">
        <v>0</v>
      </c>
      <c r="Q299" s="4" t="s">
        <v>26</v>
      </c>
      <c r="R299" s="4">
        <v>0</v>
      </c>
      <c r="S299" s="6">
        <v>0</v>
      </c>
      <c r="T299" s="6">
        <v>18</v>
      </c>
      <c r="U299" s="6">
        <v>73</v>
      </c>
      <c r="V299" s="128">
        <f>IF(ISERROR(VLOOKUP($S$299,'TAR FIN'!$A$1:$O$86,15,0)),0,VLOOKUP($S$299,'TAR FIN'!$A$1:$O$86,15,0))</f>
        <v>0</v>
      </c>
      <c r="W299" s="128">
        <f>IF(ISERROR(VLOOKUP($T$299,'TAR FIN'!$A$1:$O$86,15,0)),0,VLOOKUP($T$299,'TAR FIN'!$A$1:$O$86,15,0))*(1-0.06)</f>
        <v>68.798599999999993</v>
      </c>
      <c r="X299" s="128">
        <f>IF(ISERROR(VLOOKUP($U$299,'TAR FIN'!$A$1:$O$86,15,0)),0,VLOOKUP($U$299,'TAR FIN'!$A$1:$O$86,15,0))*(1-0.06)</f>
        <v>199.00739999999999</v>
      </c>
      <c r="Y299" s="128"/>
      <c r="Z299" s="128">
        <f ca="1">('TUSD BE'!$AM$12+'TUSD BF'!$AM$12+'TUSD CVA'!$AM$12)*1*(1-0.03)</f>
        <v>114.29744777163032</v>
      </c>
      <c r="AA299" s="128">
        <f>('TE BE'!$AB$6+'TE BF'!$AB$6+'TE CVA'!$AB$6)*1*(1-0.03)</f>
        <v>216.30904504598922</v>
      </c>
      <c r="AB299" s="6">
        <f>$K$299*$V$299</f>
        <v>0</v>
      </c>
      <c r="AC299" s="6">
        <f>$M$299*$W$299</f>
        <v>11018.164588599999</v>
      </c>
      <c r="AD299" s="6">
        <f>$O$299*$X$299</f>
        <v>31871.234117399999</v>
      </c>
      <c r="AE299" s="6">
        <f>$K$299*$Y$299</f>
        <v>0</v>
      </c>
      <c r="AF299" s="6">
        <f ca="1">$M$299*$Z$299</f>
        <v>18304.850558074369</v>
      </c>
      <c r="AG299" s="6">
        <f>$O$299*$AA$299</f>
        <v>34642.109873160225</v>
      </c>
    </row>
    <row r="300" spans="1:33" ht="11.25" customHeight="1" x14ac:dyDescent="0.25">
      <c r="A300" s="4" t="s">
        <v>21</v>
      </c>
      <c r="B300" s="4" t="s">
        <v>35</v>
      </c>
      <c r="C300" s="4" t="s">
        <v>39</v>
      </c>
      <c r="D300" s="4" t="s">
        <v>47</v>
      </c>
      <c r="E300" s="4" t="s">
        <v>48</v>
      </c>
      <c r="F300" s="4" t="s">
        <v>25</v>
      </c>
      <c r="G300" s="4" t="s">
        <v>25</v>
      </c>
      <c r="H300" s="4" t="s">
        <v>38</v>
      </c>
      <c r="I300" s="5">
        <v>44713</v>
      </c>
      <c r="J300" s="6">
        <v>0</v>
      </c>
      <c r="K300" s="128">
        <v>0</v>
      </c>
      <c r="L300" s="6">
        <v>160.02600000000001</v>
      </c>
      <c r="M300" s="128">
        <v>160.02600000000001</v>
      </c>
      <c r="N300" s="6">
        <v>160.02600000000001</v>
      </c>
      <c r="O300" s="128">
        <v>160.02600000000001</v>
      </c>
      <c r="P300" s="6">
        <v>0</v>
      </c>
      <c r="Q300" s="4" t="s">
        <v>26</v>
      </c>
      <c r="R300" s="4">
        <v>0</v>
      </c>
      <c r="S300" s="6">
        <v>0</v>
      </c>
      <c r="T300" s="6">
        <v>18</v>
      </c>
      <c r="U300" s="6">
        <v>73</v>
      </c>
      <c r="V300" s="128">
        <f>IF(ISERROR(VLOOKUP($S$300,'TAR FIN'!$A$1:$O$86,15,0)),0,VLOOKUP($S$300,'TAR FIN'!$A$1:$O$86,15,0))</f>
        <v>0</v>
      </c>
      <c r="W300" s="128">
        <f>IF(ISERROR(VLOOKUP($T$300,'TAR FIN'!$A$1:$O$86,15,0)),0,VLOOKUP($T$300,'TAR FIN'!$A$1:$O$86,15,0))*(1-0.06)</f>
        <v>68.798599999999993</v>
      </c>
      <c r="X300" s="128">
        <f>IF(ISERROR(VLOOKUP($U$300,'TAR FIN'!$A$1:$O$86,15,0)),0,VLOOKUP($U$300,'TAR FIN'!$A$1:$O$86,15,0))*(1-0.06)</f>
        <v>199.00739999999999</v>
      </c>
      <c r="Y300" s="128"/>
      <c r="Z300" s="128">
        <f ca="1">('TUSD BE'!$AM$12+'TUSD BF'!$AM$12+'TUSD CVA'!$AM$12)*1*(1-0.03)</f>
        <v>114.29744777163032</v>
      </c>
      <c r="AA300" s="128">
        <f>('TE BE'!$AB$6+'TE BF'!$AB$6+'TE CVA'!$AB$6)*1*(1-0.03)</f>
        <v>216.30904504598922</v>
      </c>
      <c r="AB300" s="6">
        <f>$K$300*$V$300</f>
        <v>0</v>
      </c>
      <c r="AC300" s="6">
        <f>$M$300*$W$300</f>
        <v>11009.564763599999</v>
      </c>
      <c r="AD300" s="6">
        <f>$O$300*$X$300</f>
        <v>31846.358192399999</v>
      </c>
      <c r="AE300" s="6">
        <f>$K$300*$Y$300</f>
        <v>0</v>
      </c>
      <c r="AF300" s="6">
        <f ca="1">$M$300*$Z$300</f>
        <v>18290.563377102913</v>
      </c>
      <c r="AG300" s="6">
        <f>$O$300*$AA$300</f>
        <v>34615.071242529477</v>
      </c>
    </row>
    <row r="301" spans="1:33" ht="11.25" customHeight="1" x14ac:dyDescent="0.25">
      <c r="A301" s="4" t="s">
        <v>55</v>
      </c>
      <c r="B301" s="4" t="s">
        <v>35</v>
      </c>
      <c r="C301" s="4" t="s">
        <v>39</v>
      </c>
      <c r="D301" s="4" t="s">
        <v>47</v>
      </c>
      <c r="E301" s="4" t="s">
        <v>48</v>
      </c>
      <c r="F301" s="4" t="s">
        <v>25</v>
      </c>
      <c r="G301" s="4" t="s">
        <v>25</v>
      </c>
      <c r="H301" s="4" t="s">
        <v>38</v>
      </c>
      <c r="I301" s="5">
        <v>44743</v>
      </c>
      <c r="J301" s="6">
        <v>0</v>
      </c>
      <c r="K301" s="128">
        <v>0</v>
      </c>
      <c r="L301" s="6">
        <v>160.02600000000001</v>
      </c>
      <c r="M301" s="128">
        <v>160.02600000000001</v>
      </c>
      <c r="N301" s="6">
        <v>160.02600000000001</v>
      </c>
      <c r="O301" s="128">
        <v>160.02600000000001</v>
      </c>
      <c r="P301" s="6">
        <v>0</v>
      </c>
      <c r="Q301" s="4" t="s">
        <v>26</v>
      </c>
      <c r="R301" s="4">
        <v>0</v>
      </c>
      <c r="S301" s="6">
        <v>0</v>
      </c>
      <c r="T301" s="6">
        <v>18</v>
      </c>
      <c r="U301" s="6">
        <v>73</v>
      </c>
      <c r="V301" s="128">
        <f>IF(ISERROR(VLOOKUP($S$301,'TAR FIN'!$A$1:$O$86,15,0)),0,VLOOKUP($S$301,'TAR FIN'!$A$1:$O$86,15,0))</f>
        <v>0</v>
      </c>
      <c r="W301" s="128">
        <f>IF(ISERROR(VLOOKUP($T$301,'TAR FIN'!$A$1:$O$86,15,0)),0,VLOOKUP($T$301,'TAR FIN'!$A$1:$O$86,15,0))*(1-0.06)</f>
        <v>68.798599999999993</v>
      </c>
      <c r="X301" s="128">
        <f>IF(ISERROR(VLOOKUP($U$301,'TAR FIN'!$A$1:$O$86,15,0)),0,VLOOKUP($U$301,'TAR FIN'!$A$1:$O$86,15,0))*(1-0.06)</f>
        <v>199.00739999999999</v>
      </c>
      <c r="Y301" s="128"/>
      <c r="Z301" s="128">
        <f ca="1">('TUSD BE'!$AM$12+'TUSD BF'!$AM$12+'TUSD CVA'!$AM$12)*1*(1-0.03)</f>
        <v>114.29744777163032</v>
      </c>
      <c r="AA301" s="128">
        <f>('TE BE'!$AB$6+'TE BF'!$AB$6+'TE CVA'!$AB$6)*1*(1-0.03)</f>
        <v>216.30904504598922</v>
      </c>
      <c r="AB301" s="6">
        <f>$K$301*$V$301</f>
        <v>0</v>
      </c>
      <c r="AC301" s="6">
        <f>$M$301*$W$301</f>
        <v>11009.564763599999</v>
      </c>
      <c r="AD301" s="6">
        <f>$O$301*$X$301</f>
        <v>31846.358192399999</v>
      </c>
      <c r="AE301" s="6">
        <f>$K$301*$Y$301</f>
        <v>0</v>
      </c>
      <c r="AF301" s="6">
        <f ca="1">$M$301*$Z$301</f>
        <v>18290.563377102913</v>
      </c>
      <c r="AG301" s="6">
        <f>$O$301*$AA$301</f>
        <v>34615.071242529477</v>
      </c>
    </row>
    <row r="302" spans="1:33" ht="11.25" customHeight="1" x14ac:dyDescent="0.25">
      <c r="A302" s="4" t="s">
        <v>21</v>
      </c>
      <c r="B302" s="4" t="s">
        <v>35</v>
      </c>
      <c r="C302" s="4" t="s">
        <v>39</v>
      </c>
      <c r="D302" s="4" t="s">
        <v>47</v>
      </c>
      <c r="E302" s="4" t="s">
        <v>48</v>
      </c>
      <c r="F302" s="4" t="s">
        <v>25</v>
      </c>
      <c r="G302" s="4" t="s">
        <v>25</v>
      </c>
      <c r="H302" s="4" t="s">
        <v>25</v>
      </c>
      <c r="I302" s="5">
        <v>44409</v>
      </c>
      <c r="J302" s="6">
        <v>400</v>
      </c>
      <c r="K302" s="129">
        <v>400</v>
      </c>
      <c r="L302" s="6">
        <v>0</v>
      </c>
      <c r="M302" s="128">
        <v>0</v>
      </c>
      <c r="N302" s="6">
        <v>0</v>
      </c>
      <c r="O302" s="128">
        <v>0</v>
      </c>
      <c r="P302" s="6">
        <v>1</v>
      </c>
      <c r="Q302" s="4" t="s">
        <v>26</v>
      </c>
      <c r="R302" s="4">
        <v>0</v>
      </c>
      <c r="S302" s="6">
        <v>24</v>
      </c>
      <c r="T302" s="6">
        <v>0</v>
      </c>
      <c r="U302" s="6">
        <v>0</v>
      </c>
      <c r="V302" s="128">
        <f>IF(ISERROR(VLOOKUP($S$302,'TAR FIN'!$A$1:$O$86,15,0)),0,VLOOKUP($S$302,'TAR FIN'!$A$1:$O$86,15,0))*(1-0.06)</f>
        <v>21.525999999999996</v>
      </c>
      <c r="W302" s="128">
        <f>IF(ISERROR(VLOOKUP($T$302,'TAR FIN'!$A$1:$O$86,15,0)),0,VLOOKUP($T$302,'TAR FIN'!$A$1:$O$86,15,0))</f>
        <v>0</v>
      </c>
      <c r="X302" s="128">
        <f>IF(ISERROR(VLOOKUP($U$302,'TAR FIN'!$A$1:$O$86,15,0)),0,VLOOKUP($U$302,'TAR FIN'!$A$1:$O$86,15,0))</f>
        <v>0</v>
      </c>
      <c r="Y302" s="128">
        <f ca="1">('TUSD BE'!$AM$10+'TUSD BF'!$AM$10+'TUSD CVA'!$AM$10)*1*(1-0.03)</f>
        <v>21.081719932182427</v>
      </c>
      <c r="Z302" s="128"/>
      <c r="AA302" s="128"/>
      <c r="AB302" s="6">
        <f>$K$302*$V$302</f>
        <v>8610.3999999999978</v>
      </c>
      <c r="AC302" s="6">
        <f>$M$302*$W$302</f>
        <v>0</v>
      </c>
      <c r="AD302" s="6">
        <f>$O$302*$X$302</f>
        <v>0</v>
      </c>
      <c r="AE302" s="6">
        <f ca="1">$K$302*$Y$302</f>
        <v>8432.6879728729709</v>
      </c>
      <c r="AF302" s="6">
        <f>$M$302*$Z$302</f>
        <v>0</v>
      </c>
      <c r="AG302" s="6">
        <f>$O$302*$AA$302</f>
        <v>0</v>
      </c>
    </row>
    <row r="303" spans="1:33" ht="11.25" customHeight="1" x14ac:dyDescent="0.25">
      <c r="A303" s="4" t="s">
        <v>21</v>
      </c>
      <c r="B303" s="4" t="s">
        <v>35</v>
      </c>
      <c r="C303" s="4" t="s">
        <v>39</v>
      </c>
      <c r="D303" s="4" t="s">
        <v>47</v>
      </c>
      <c r="E303" s="4" t="s">
        <v>48</v>
      </c>
      <c r="F303" s="4" t="s">
        <v>25</v>
      </c>
      <c r="G303" s="4" t="s">
        <v>25</v>
      </c>
      <c r="H303" s="4" t="s">
        <v>25</v>
      </c>
      <c r="I303" s="5">
        <v>44440</v>
      </c>
      <c r="J303" s="6">
        <v>400</v>
      </c>
      <c r="K303" s="129">
        <v>400</v>
      </c>
      <c r="L303" s="6">
        <v>0</v>
      </c>
      <c r="M303" s="128">
        <v>0</v>
      </c>
      <c r="N303" s="6">
        <v>0</v>
      </c>
      <c r="O303" s="128">
        <v>0</v>
      </c>
      <c r="P303" s="6">
        <v>1</v>
      </c>
      <c r="Q303" s="4" t="s">
        <v>26</v>
      </c>
      <c r="R303" s="4">
        <v>0</v>
      </c>
      <c r="S303" s="6">
        <v>24</v>
      </c>
      <c r="T303" s="6">
        <v>0</v>
      </c>
      <c r="U303" s="6">
        <v>0</v>
      </c>
      <c r="V303" s="128">
        <f>IF(ISERROR(VLOOKUP($S$303,'TAR FIN'!$A$1:$O$86,15,0)),0,VLOOKUP($S$303,'TAR FIN'!$A$1:$O$86,15,0))*(1-0.06)</f>
        <v>21.525999999999996</v>
      </c>
      <c r="W303" s="128">
        <f>IF(ISERROR(VLOOKUP($T$303,'TAR FIN'!$A$1:$O$86,15,0)),0,VLOOKUP($T$303,'TAR FIN'!$A$1:$O$86,15,0))</f>
        <v>0</v>
      </c>
      <c r="X303" s="128">
        <f>IF(ISERROR(VLOOKUP($U$303,'TAR FIN'!$A$1:$O$86,15,0)),0,VLOOKUP($U$303,'TAR FIN'!$A$1:$O$86,15,0))</f>
        <v>0</v>
      </c>
      <c r="Y303" s="128">
        <f ca="1">('TUSD BE'!$AM$10+'TUSD BF'!$AM$10+'TUSD CVA'!$AM$10)*1*(1-0.03)</f>
        <v>21.081719932182427</v>
      </c>
      <c r="Z303" s="128"/>
      <c r="AA303" s="128"/>
      <c r="AB303" s="6">
        <f>$K$303*$V$303</f>
        <v>8610.3999999999978</v>
      </c>
      <c r="AC303" s="6">
        <f>$M$303*$W$303</f>
        <v>0</v>
      </c>
      <c r="AD303" s="6">
        <f>$O$303*$X$303</f>
        <v>0</v>
      </c>
      <c r="AE303" s="6">
        <f ca="1">$K$303*$Y$303</f>
        <v>8432.6879728729709</v>
      </c>
      <c r="AF303" s="6">
        <f>$M$303*$Z$303</f>
        <v>0</v>
      </c>
      <c r="AG303" s="6">
        <f>$O$303*$AA$303</f>
        <v>0</v>
      </c>
    </row>
    <row r="304" spans="1:33" ht="11.25" customHeight="1" x14ac:dyDescent="0.25">
      <c r="A304" s="4" t="s">
        <v>21</v>
      </c>
      <c r="B304" s="4" t="s">
        <v>35</v>
      </c>
      <c r="C304" s="4" t="s">
        <v>39</v>
      </c>
      <c r="D304" s="4" t="s">
        <v>47</v>
      </c>
      <c r="E304" s="4" t="s">
        <v>48</v>
      </c>
      <c r="F304" s="4" t="s">
        <v>25</v>
      </c>
      <c r="G304" s="4" t="s">
        <v>25</v>
      </c>
      <c r="H304" s="4" t="s">
        <v>25</v>
      </c>
      <c r="I304" s="5">
        <v>44470</v>
      </c>
      <c r="J304" s="6">
        <v>400</v>
      </c>
      <c r="K304" s="129">
        <v>400</v>
      </c>
      <c r="L304" s="6">
        <v>0</v>
      </c>
      <c r="M304" s="128">
        <v>0</v>
      </c>
      <c r="N304" s="6">
        <v>0</v>
      </c>
      <c r="O304" s="128">
        <v>0</v>
      </c>
      <c r="P304" s="6">
        <v>1</v>
      </c>
      <c r="Q304" s="4" t="s">
        <v>26</v>
      </c>
      <c r="R304" s="4">
        <v>0</v>
      </c>
      <c r="S304" s="6">
        <v>24</v>
      </c>
      <c r="T304" s="6">
        <v>0</v>
      </c>
      <c r="U304" s="6">
        <v>0</v>
      </c>
      <c r="V304" s="128">
        <f>IF(ISERROR(VLOOKUP($S$304,'TAR FIN'!$A$1:$O$86,15,0)),0,VLOOKUP($S$304,'TAR FIN'!$A$1:$O$86,15,0))*(1-0.06)</f>
        <v>21.525999999999996</v>
      </c>
      <c r="W304" s="128">
        <f>IF(ISERROR(VLOOKUP($T$304,'TAR FIN'!$A$1:$O$86,15,0)),0,VLOOKUP($T$304,'TAR FIN'!$A$1:$O$86,15,0))</f>
        <v>0</v>
      </c>
      <c r="X304" s="128">
        <f>IF(ISERROR(VLOOKUP($U$304,'TAR FIN'!$A$1:$O$86,15,0)),0,VLOOKUP($U$304,'TAR FIN'!$A$1:$O$86,15,0))</f>
        <v>0</v>
      </c>
      <c r="Y304" s="128">
        <f ca="1">('TUSD BE'!$AM$10+'TUSD BF'!$AM$10+'TUSD CVA'!$AM$10)*1*(1-0.03)</f>
        <v>21.081719932182427</v>
      </c>
      <c r="Z304" s="128"/>
      <c r="AA304" s="128"/>
      <c r="AB304" s="6">
        <f>$K$304*$V$304</f>
        <v>8610.3999999999978</v>
      </c>
      <c r="AC304" s="6">
        <f>$M$304*$W$304</f>
        <v>0</v>
      </c>
      <c r="AD304" s="6">
        <f>$O$304*$X$304</f>
        <v>0</v>
      </c>
      <c r="AE304" s="6">
        <f ca="1">$K$304*$Y$304</f>
        <v>8432.6879728729709</v>
      </c>
      <c r="AF304" s="6">
        <f>$M$304*$Z$304</f>
        <v>0</v>
      </c>
      <c r="AG304" s="6">
        <f>$O$304*$AA$304</f>
        <v>0</v>
      </c>
    </row>
    <row r="305" spans="1:33" ht="11.25" customHeight="1" x14ac:dyDescent="0.25">
      <c r="A305" s="4" t="s">
        <v>21</v>
      </c>
      <c r="B305" s="4" t="s">
        <v>35</v>
      </c>
      <c r="C305" s="4" t="s">
        <v>39</v>
      </c>
      <c r="D305" s="4" t="s">
        <v>47</v>
      </c>
      <c r="E305" s="4" t="s">
        <v>48</v>
      </c>
      <c r="F305" s="4" t="s">
        <v>25</v>
      </c>
      <c r="G305" s="4" t="s">
        <v>25</v>
      </c>
      <c r="H305" s="4" t="s">
        <v>25</v>
      </c>
      <c r="I305" s="5">
        <v>44501</v>
      </c>
      <c r="J305" s="6">
        <v>400</v>
      </c>
      <c r="K305" s="129">
        <v>400</v>
      </c>
      <c r="L305" s="6">
        <v>0</v>
      </c>
      <c r="M305" s="128">
        <v>0</v>
      </c>
      <c r="N305" s="6">
        <v>0</v>
      </c>
      <c r="O305" s="128">
        <v>0</v>
      </c>
      <c r="P305" s="6">
        <v>1</v>
      </c>
      <c r="Q305" s="4" t="s">
        <v>26</v>
      </c>
      <c r="R305" s="4">
        <v>0</v>
      </c>
      <c r="S305" s="6">
        <v>24</v>
      </c>
      <c r="T305" s="6">
        <v>0</v>
      </c>
      <c r="U305" s="6">
        <v>0</v>
      </c>
      <c r="V305" s="128">
        <f>IF(ISERROR(VLOOKUP($S$305,'TAR FIN'!$A$1:$O$86,15,0)),0,VLOOKUP($S$305,'TAR FIN'!$A$1:$O$86,15,0))*(1-0.06)</f>
        <v>21.525999999999996</v>
      </c>
      <c r="W305" s="128">
        <f>IF(ISERROR(VLOOKUP($T$305,'TAR FIN'!$A$1:$O$86,15,0)),0,VLOOKUP($T$305,'TAR FIN'!$A$1:$O$86,15,0))</f>
        <v>0</v>
      </c>
      <c r="X305" s="128">
        <f>IF(ISERROR(VLOOKUP($U$305,'TAR FIN'!$A$1:$O$86,15,0)),0,VLOOKUP($U$305,'TAR FIN'!$A$1:$O$86,15,0))</f>
        <v>0</v>
      </c>
      <c r="Y305" s="128">
        <f ca="1">('TUSD BE'!$AM$10+'TUSD BF'!$AM$10+'TUSD CVA'!$AM$10)*1*(1-0.03)</f>
        <v>21.081719932182427</v>
      </c>
      <c r="Z305" s="128"/>
      <c r="AA305" s="128"/>
      <c r="AB305" s="6">
        <f>$K$305*$V$305</f>
        <v>8610.3999999999978</v>
      </c>
      <c r="AC305" s="6">
        <f>$M$305*$W$305</f>
        <v>0</v>
      </c>
      <c r="AD305" s="6">
        <f>$O$305*$X$305</f>
        <v>0</v>
      </c>
      <c r="AE305" s="6">
        <f ca="1">$K$305*$Y$305</f>
        <v>8432.6879728729709</v>
      </c>
      <c r="AF305" s="6">
        <f>$M$305*$Z$305</f>
        <v>0</v>
      </c>
      <c r="AG305" s="6">
        <f>$O$305*$AA$305</f>
        <v>0</v>
      </c>
    </row>
    <row r="306" spans="1:33" ht="11.25" customHeight="1" x14ac:dyDescent="0.25">
      <c r="A306" s="4" t="s">
        <v>21</v>
      </c>
      <c r="B306" s="4" t="s">
        <v>35</v>
      </c>
      <c r="C306" s="4" t="s">
        <v>39</v>
      </c>
      <c r="D306" s="4" t="s">
        <v>47</v>
      </c>
      <c r="E306" s="4" t="s">
        <v>48</v>
      </c>
      <c r="F306" s="4" t="s">
        <v>25</v>
      </c>
      <c r="G306" s="4" t="s">
        <v>25</v>
      </c>
      <c r="H306" s="4" t="s">
        <v>25</v>
      </c>
      <c r="I306" s="5">
        <v>44531</v>
      </c>
      <c r="J306" s="6">
        <v>484</v>
      </c>
      <c r="K306" s="129">
        <v>484</v>
      </c>
      <c r="L306" s="6">
        <v>0</v>
      </c>
      <c r="M306" s="128">
        <v>0</v>
      </c>
      <c r="N306" s="6">
        <v>0</v>
      </c>
      <c r="O306" s="128">
        <v>0</v>
      </c>
      <c r="P306" s="6">
        <v>1</v>
      </c>
      <c r="Q306" s="4" t="s">
        <v>26</v>
      </c>
      <c r="R306" s="4">
        <v>0</v>
      </c>
      <c r="S306" s="6">
        <v>24</v>
      </c>
      <c r="T306" s="6">
        <v>0</v>
      </c>
      <c r="U306" s="6">
        <v>0</v>
      </c>
      <c r="V306" s="128">
        <f>IF(ISERROR(VLOOKUP($S$306,'TAR FIN'!$A$1:$O$86,15,0)),0,VLOOKUP($S$306,'TAR FIN'!$A$1:$O$86,15,0))*(1-0.06)</f>
        <v>21.525999999999996</v>
      </c>
      <c r="W306" s="128">
        <f>IF(ISERROR(VLOOKUP($T$306,'TAR FIN'!$A$1:$O$86,15,0)),0,VLOOKUP($T$306,'TAR FIN'!$A$1:$O$86,15,0))</f>
        <v>0</v>
      </c>
      <c r="X306" s="128">
        <f>IF(ISERROR(VLOOKUP($U$306,'TAR FIN'!$A$1:$O$86,15,0)),0,VLOOKUP($U$306,'TAR FIN'!$A$1:$O$86,15,0))</f>
        <v>0</v>
      </c>
      <c r="Y306" s="128">
        <f ca="1">('TUSD BE'!$AM$10+'TUSD BF'!$AM$10+'TUSD CVA'!$AM$10)*1*(1-0.03)</f>
        <v>21.081719932182427</v>
      </c>
      <c r="Z306" s="128"/>
      <c r="AA306" s="128"/>
      <c r="AB306" s="6">
        <f>$K$306*$V$306</f>
        <v>10418.583999999999</v>
      </c>
      <c r="AC306" s="6">
        <f>$M$306*$W$306</f>
        <v>0</v>
      </c>
      <c r="AD306" s="6">
        <f>$O$306*$X$306</f>
        <v>0</v>
      </c>
      <c r="AE306" s="6">
        <f ca="1">$K$306*$Y$306</f>
        <v>10203.552447176295</v>
      </c>
      <c r="AF306" s="6">
        <f>$M$306*$Z$306</f>
        <v>0</v>
      </c>
      <c r="AG306" s="6">
        <f>$O$306*$AA$306</f>
        <v>0</v>
      </c>
    </row>
    <row r="307" spans="1:33" ht="11.25" customHeight="1" x14ac:dyDescent="0.25">
      <c r="A307" s="4" t="s">
        <v>21</v>
      </c>
      <c r="B307" s="4" t="s">
        <v>35</v>
      </c>
      <c r="C307" s="4" t="s">
        <v>39</v>
      </c>
      <c r="D307" s="4" t="s">
        <v>47</v>
      </c>
      <c r="E307" s="4" t="s">
        <v>48</v>
      </c>
      <c r="F307" s="4" t="s">
        <v>25</v>
      </c>
      <c r="G307" s="4" t="s">
        <v>25</v>
      </c>
      <c r="H307" s="4" t="s">
        <v>25</v>
      </c>
      <c r="I307" s="5">
        <v>44562</v>
      </c>
      <c r="J307" s="6">
        <v>490</v>
      </c>
      <c r="K307" s="129">
        <v>490</v>
      </c>
      <c r="L307" s="6">
        <v>0</v>
      </c>
      <c r="M307" s="128">
        <v>0</v>
      </c>
      <c r="N307" s="6">
        <v>0</v>
      </c>
      <c r="O307" s="128">
        <v>0</v>
      </c>
      <c r="P307" s="6">
        <v>1</v>
      </c>
      <c r="Q307" s="4" t="s">
        <v>26</v>
      </c>
      <c r="R307" s="4">
        <v>0</v>
      </c>
      <c r="S307" s="6">
        <v>24</v>
      </c>
      <c r="T307" s="6">
        <v>0</v>
      </c>
      <c r="U307" s="6">
        <v>0</v>
      </c>
      <c r="V307" s="128">
        <f>IF(ISERROR(VLOOKUP($S$307,'TAR FIN'!$A$1:$O$86,15,0)),0,VLOOKUP($S$307,'TAR FIN'!$A$1:$O$86,15,0))*(1-0.06)</f>
        <v>21.525999999999996</v>
      </c>
      <c r="W307" s="128">
        <f>IF(ISERROR(VLOOKUP($T$307,'TAR FIN'!$A$1:$O$86,15,0)),0,VLOOKUP($T$307,'TAR FIN'!$A$1:$O$86,15,0))</f>
        <v>0</v>
      </c>
      <c r="X307" s="128">
        <f>IF(ISERROR(VLOOKUP($U$307,'TAR FIN'!$A$1:$O$86,15,0)),0,VLOOKUP($U$307,'TAR FIN'!$A$1:$O$86,15,0))</f>
        <v>0</v>
      </c>
      <c r="Y307" s="128">
        <f ca="1">('TUSD BE'!$AM$10+'TUSD BF'!$AM$10+'TUSD CVA'!$AM$10)*1*(1-0.03)</f>
        <v>21.081719932182427</v>
      </c>
      <c r="Z307" s="128"/>
      <c r="AA307" s="128"/>
      <c r="AB307" s="6">
        <f>$K$307*$V$307</f>
        <v>10547.739999999998</v>
      </c>
      <c r="AC307" s="6">
        <f>$M$307*$W$307</f>
        <v>0</v>
      </c>
      <c r="AD307" s="6">
        <f>$O$307*$X$307</f>
        <v>0</v>
      </c>
      <c r="AE307" s="6">
        <f ca="1">$K$307*$Y$307</f>
        <v>10330.042766769389</v>
      </c>
      <c r="AF307" s="6">
        <f>$M$307*$Z$307</f>
        <v>0</v>
      </c>
      <c r="AG307" s="6">
        <f>$O$307*$AA$307</f>
        <v>0</v>
      </c>
    </row>
    <row r="308" spans="1:33" ht="11.25" customHeight="1" x14ac:dyDescent="0.25">
      <c r="A308" s="4" t="s">
        <v>21</v>
      </c>
      <c r="B308" s="4" t="s">
        <v>35</v>
      </c>
      <c r="C308" s="4" t="s">
        <v>39</v>
      </c>
      <c r="D308" s="4" t="s">
        <v>47</v>
      </c>
      <c r="E308" s="4" t="s">
        <v>48</v>
      </c>
      <c r="F308" s="4" t="s">
        <v>25</v>
      </c>
      <c r="G308" s="4" t="s">
        <v>25</v>
      </c>
      <c r="H308" s="4" t="s">
        <v>25</v>
      </c>
      <c r="I308" s="5">
        <v>44593</v>
      </c>
      <c r="J308" s="6">
        <v>421</v>
      </c>
      <c r="K308" s="129">
        <v>421</v>
      </c>
      <c r="L308" s="6">
        <v>0</v>
      </c>
      <c r="M308" s="128">
        <v>0</v>
      </c>
      <c r="N308" s="6">
        <v>0</v>
      </c>
      <c r="O308" s="128">
        <v>0</v>
      </c>
      <c r="P308" s="6">
        <v>1</v>
      </c>
      <c r="Q308" s="4" t="s">
        <v>26</v>
      </c>
      <c r="R308" s="4">
        <v>0</v>
      </c>
      <c r="S308" s="6">
        <v>24</v>
      </c>
      <c r="T308" s="6">
        <v>0</v>
      </c>
      <c r="U308" s="6">
        <v>0</v>
      </c>
      <c r="V308" s="128">
        <f>IF(ISERROR(VLOOKUP($S$308,'TAR FIN'!$A$1:$O$86,15,0)),0,VLOOKUP($S$308,'TAR FIN'!$A$1:$O$86,15,0))*(1-0.06)</f>
        <v>21.525999999999996</v>
      </c>
      <c r="W308" s="128">
        <f>IF(ISERROR(VLOOKUP($T$308,'TAR FIN'!$A$1:$O$86,15,0)),0,VLOOKUP($T$308,'TAR FIN'!$A$1:$O$86,15,0))</f>
        <v>0</v>
      </c>
      <c r="X308" s="128">
        <f>IF(ISERROR(VLOOKUP($U$308,'TAR FIN'!$A$1:$O$86,15,0)),0,VLOOKUP($U$308,'TAR FIN'!$A$1:$O$86,15,0))</f>
        <v>0</v>
      </c>
      <c r="Y308" s="128">
        <f ca="1">('TUSD BE'!$AM$10+'TUSD BF'!$AM$10+'TUSD CVA'!$AM$10)*1*(1-0.03)</f>
        <v>21.081719932182427</v>
      </c>
      <c r="Z308" s="128"/>
      <c r="AA308" s="128"/>
      <c r="AB308" s="6">
        <f>$K$308*$V$308</f>
        <v>9062.4459999999981</v>
      </c>
      <c r="AC308" s="6">
        <f>$M$308*$W$308</f>
        <v>0</v>
      </c>
      <c r="AD308" s="6">
        <f>$O$308*$X$308</f>
        <v>0</v>
      </c>
      <c r="AE308" s="6">
        <f ca="1">$K$308*$Y$308</f>
        <v>8875.4040914488014</v>
      </c>
      <c r="AF308" s="6">
        <f>$M$308*$Z$308</f>
        <v>0</v>
      </c>
      <c r="AG308" s="6">
        <f>$O$308*$AA$308</f>
        <v>0</v>
      </c>
    </row>
    <row r="309" spans="1:33" ht="11.25" customHeight="1" x14ac:dyDescent="0.25">
      <c r="A309" s="4" t="s">
        <v>21</v>
      </c>
      <c r="B309" s="4" t="s">
        <v>35</v>
      </c>
      <c r="C309" s="4" t="s">
        <v>39</v>
      </c>
      <c r="D309" s="4" t="s">
        <v>47</v>
      </c>
      <c r="E309" s="4" t="s">
        <v>48</v>
      </c>
      <c r="F309" s="4" t="s">
        <v>25</v>
      </c>
      <c r="G309" s="4" t="s">
        <v>25</v>
      </c>
      <c r="H309" s="4" t="s">
        <v>25</v>
      </c>
      <c r="I309" s="5">
        <v>44621</v>
      </c>
      <c r="J309" s="6">
        <v>426</v>
      </c>
      <c r="K309" s="129">
        <v>426</v>
      </c>
      <c r="L309" s="6">
        <v>0</v>
      </c>
      <c r="M309" s="128">
        <v>0</v>
      </c>
      <c r="N309" s="6">
        <v>0</v>
      </c>
      <c r="O309" s="128">
        <v>0</v>
      </c>
      <c r="P309" s="6">
        <v>1</v>
      </c>
      <c r="Q309" s="4" t="s">
        <v>26</v>
      </c>
      <c r="R309" s="4">
        <v>0</v>
      </c>
      <c r="S309" s="6">
        <v>24</v>
      </c>
      <c r="T309" s="6">
        <v>0</v>
      </c>
      <c r="U309" s="6">
        <v>0</v>
      </c>
      <c r="V309" s="128">
        <f>IF(ISERROR(VLOOKUP($S$309,'TAR FIN'!$A$1:$O$86,15,0)),0,VLOOKUP($S$309,'TAR FIN'!$A$1:$O$86,15,0))*(1-0.06)</f>
        <v>21.525999999999996</v>
      </c>
      <c r="W309" s="128">
        <f>IF(ISERROR(VLOOKUP($T$309,'TAR FIN'!$A$1:$O$86,15,0)),0,VLOOKUP($T$309,'TAR FIN'!$A$1:$O$86,15,0))</f>
        <v>0</v>
      </c>
      <c r="X309" s="128">
        <f>IF(ISERROR(VLOOKUP($U$309,'TAR FIN'!$A$1:$O$86,15,0)),0,VLOOKUP($U$309,'TAR FIN'!$A$1:$O$86,15,0))</f>
        <v>0</v>
      </c>
      <c r="Y309" s="128">
        <f ca="1">('TUSD BE'!$AM$10+'TUSD BF'!$AM$10+'TUSD CVA'!$AM$10)*1*(1-0.03)</f>
        <v>21.081719932182427</v>
      </c>
      <c r="Z309" s="128"/>
      <c r="AA309" s="128"/>
      <c r="AB309" s="6">
        <f>$K$309*$V$309</f>
        <v>9170.0759999999991</v>
      </c>
      <c r="AC309" s="6">
        <f>$M$309*$W$309</f>
        <v>0</v>
      </c>
      <c r="AD309" s="6">
        <f>$O$309*$X$309</f>
        <v>0</v>
      </c>
      <c r="AE309" s="6">
        <f ca="1">$K$309*$Y$309</f>
        <v>8980.8126911097133</v>
      </c>
      <c r="AF309" s="6">
        <f>$M$309*$Z$309</f>
        <v>0</v>
      </c>
      <c r="AG309" s="6">
        <f>$O$309*$AA$309</f>
        <v>0</v>
      </c>
    </row>
    <row r="310" spans="1:33" ht="11.25" customHeight="1" x14ac:dyDescent="0.25">
      <c r="A310" s="4" t="s">
        <v>21</v>
      </c>
      <c r="B310" s="4" t="s">
        <v>35</v>
      </c>
      <c r="C310" s="4" t="s">
        <v>39</v>
      </c>
      <c r="D310" s="4" t="s">
        <v>47</v>
      </c>
      <c r="E310" s="4" t="s">
        <v>48</v>
      </c>
      <c r="F310" s="4" t="s">
        <v>25</v>
      </c>
      <c r="G310" s="4" t="s">
        <v>25</v>
      </c>
      <c r="H310" s="4" t="s">
        <v>25</v>
      </c>
      <c r="I310" s="5">
        <v>44652</v>
      </c>
      <c r="J310" s="6">
        <v>405</v>
      </c>
      <c r="K310" s="129">
        <v>405</v>
      </c>
      <c r="L310" s="6">
        <v>0</v>
      </c>
      <c r="M310" s="128">
        <v>0</v>
      </c>
      <c r="N310" s="6">
        <v>0</v>
      </c>
      <c r="O310" s="128">
        <v>0</v>
      </c>
      <c r="P310" s="6">
        <v>1</v>
      </c>
      <c r="Q310" s="4" t="s">
        <v>26</v>
      </c>
      <c r="R310" s="4">
        <v>0</v>
      </c>
      <c r="S310" s="6">
        <v>24</v>
      </c>
      <c r="T310" s="6">
        <v>0</v>
      </c>
      <c r="U310" s="6">
        <v>0</v>
      </c>
      <c r="V310" s="128">
        <f>IF(ISERROR(VLOOKUP($S$310,'TAR FIN'!$A$1:$O$86,15,0)),0,VLOOKUP($S$310,'TAR FIN'!$A$1:$O$86,15,0))*(1-0.06)</f>
        <v>21.525999999999996</v>
      </c>
      <c r="W310" s="128">
        <f>IF(ISERROR(VLOOKUP($T$310,'TAR FIN'!$A$1:$O$86,15,0)),0,VLOOKUP($T$310,'TAR FIN'!$A$1:$O$86,15,0))</f>
        <v>0</v>
      </c>
      <c r="X310" s="128">
        <f>IF(ISERROR(VLOOKUP($U$310,'TAR FIN'!$A$1:$O$86,15,0)),0,VLOOKUP($U$310,'TAR FIN'!$A$1:$O$86,15,0))</f>
        <v>0</v>
      </c>
      <c r="Y310" s="128">
        <f ca="1">('TUSD BE'!$AM$10+'TUSD BF'!$AM$10+'TUSD CVA'!$AM$10)*1*(1-0.03)</f>
        <v>21.081719932182427</v>
      </c>
      <c r="Z310" s="128"/>
      <c r="AA310" s="128"/>
      <c r="AB310" s="6">
        <f>$K$310*$V$310</f>
        <v>8718.0299999999988</v>
      </c>
      <c r="AC310" s="6">
        <f>$M$310*$W$310</f>
        <v>0</v>
      </c>
      <c r="AD310" s="6">
        <f>$O$310*$X$310</f>
        <v>0</v>
      </c>
      <c r="AE310" s="6">
        <f ca="1">$K$310*$Y$310</f>
        <v>8538.0965725338829</v>
      </c>
      <c r="AF310" s="6">
        <f>$M$310*$Z$310</f>
        <v>0</v>
      </c>
      <c r="AG310" s="6">
        <f>$O$310*$AA$310</f>
        <v>0</v>
      </c>
    </row>
    <row r="311" spans="1:33" ht="11.25" customHeight="1" x14ac:dyDescent="0.25">
      <c r="A311" s="4" t="s">
        <v>21</v>
      </c>
      <c r="B311" s="4" t="s">
        <v>35</v>
      </c>
      <c r="C311" s="4" t="s">
        <v>39</v>
      </c>
      <c r="D311" s="4" t="s">
        <v>47</v>
      </c>
      <c r="E311" s="4" t="s">
        <v>48</v>
      </c>
      <c r="F311" s="4" t="s">
        <v>25</v>
      </c>
      <c r="G311" s="4" t="s">
        <v>25</v>
      </c>
      <c r="H311" s="4" t="s">
        <v>25</v>
      </c>
      <c r="I311" s="5">
        <v>44682</v>
      </c>
      <c r="J311" s="6">
        <v>400</v>
      </c>
      <c r="K311" s="129">
        <v>400</v>
      </c>
      <c r="L311" s="6">
        <v>0</v>
      </c>
      <c r="M311" s="128">
        <v>0</v>
      </c>
      <c r="N311" s="6">
        <v>0</v>
      </c>
      <c r="O311" s="128">
        <v>0</v>
      </c>
      <c r="P311" s="6">
        <v>1</v>
      </c>
      <c r="Q311" s="4" t="s">
        <v>26</v>
      </c>
      <c r="R311" s="4">
        <v>0</v>
      </c>
      <c r="S311" s="6">
        <v>24</v>
      </c>
      <c r="T311" s="6">
        <v>0</v>
      </c>
      <c r="U311" s="6">
        <v>0</v>
      </c>
      <c r="V311" s="128">
        <f>IF(ISERROR(VLOOKUP($S$311,'TAR FIN'!$A$1:$O$86,15,0)),0,VLOOKUP($S$311,'TAR FIN'!$A$1:$O$86,15,0))*(1-0.06)</f>
        <v>21.525999999999996</v>
      </c>
      <c r="W311" s="128">
        <f>IF(ISERROR(VLOOKUP($T$311,'TAR FIN'!$A$1:$O$86,15,0)),0,VLOOKUP($T$311,'TAR FIN'!$A$1:$O$86,15,0))</f>
        <v>0</v>
      </c>
      <c r="X311" s="128">
        <f>IF(ISERROR(VLOOKUP($U$311,'TAR FIN'!$A$1:$O$86,15,0)),0,VLOOKUP($U$311,'TAR FIN'!$A$1:$O$86,15,0))</f>
        <v>0</v>
      </c>
      <c r="Y311" s="128">
        <f ca="1">('TUSD BE'!$AM$10+'TUSD BF'!$AM$10+'TUSD CVA'!$AM$10)*1*(1-0.03)</f>
        <v>21.081719932182427</v>
      </c>
      <c r="Z311" s="128"/>
      <c r="AA311" s="128"/>
      <c r="AB311" s="6">
        <f>$K$311*$V$311</f>
        <v>8610.3999999999978</v>
      </c>
      <c r="AC311" s="6">
        <f>$M$311*$W$311</f>
        <v>0</v>
      </c>
      <c r="AD311" s="6">
        <f>$O$311*$X$311</f>
        <v>0</v>
      </c>
      <c r="AE311" s="6">
        <f ca="1">$K$311*$Y$311</f>
        <v>8432.6879728729709</v>
      </c>
      <c r="AF311" s="6">
        <f>$M$311*$Z$311</f>
        <v>0</v>
      </c>
      <c r="AG311" s="6">
        <f>$O$311*$AA$311</f>
        <v>0</v>
      </c>
    </row>
    <row r="312" spans="1:33" ht="11.25" customHeight="1" x14ac:dyDescent="0.25">
      <c r="A312" s="4" t="s">
        <v>21</v>
      </c>
      <c r="B312" s="4" t="s">
        <v>35</v>
      </c>
      <c r="C312" s="4" t="s">
        <v>39</v>
      </c>
      <c r="D312" s="4" t="s">
        <v>47</v>
      </c>
      <c r="E312" s="4" t="s">
        <v>48</v>
      </c>
      <c r="F312" s="4" t="s">
        <v>25</v>
      </c>
      <c r="G312" s="4" t="s">
        <v>25</v>
      </c>
      <c r="H312" s="4" t="s">
        <v>25</v>
      </c>
      <c r="I312" s="5">
        <v>44713</v>
      </c>
      <c r="J312" s="6">
        <v>400</v>
      </c>
      <c r="K312" s="129">
        <v>400</v>
      </c>
      <c r="L312" s="6">
        <v>0</v>
      </c>
      <c r="M312" s="128">
        <v>0</v>
      </c>
      <c r="N312" s="6">
        <v>0</v>
      </c>
      <c r="O312" s="128">
        <v>0</v>
      </c>
      <c r="P312" s="6">
        <v>1</v>
      </c>
      <c r="Q312" s="4" t="s">
        <v>26</v>
      </c>
      <c r="R312" s="4">
        <v>0</v>
      </c>
      <c r="S312" s="6">
        <v>24</v>
      </c>
      <c r="T312" s="6">
        <v>0</v>
      </c>
      <c r="U312" s="6">
        <v>0</v>
      </c>
      <c r="V312" s="128">
        <f>IF(ISERROR(VLOOKUP($S$312,'TAR FIN'!$A$1:$O$86,15,0)),0,VLOOKUP($S$312,'TAR FIN'!$A$1:$O$86,15,0))*(1-0.06)</f>
        <v>21.525999999999996</v>
      </c>
      <c r="W312" s="128">
        <f>IF(ISERROR(VLOOKUP($T$312,'TAR FIN'!$A$1:$O$86,15,0)),0,VLOOKUP($T$312,'TAR FIN'!$A$1:$O$86,15,0))</f>
        <v>0</v>
      </c>
      <c r="X312" s="128">
        <f>IF(ISERROR(VLOOKUP($U$312,'TAR FIN'!$A$1:$O$86,15,0)),0,VLOOKUP($U$312,'TAR FIN'!$A$1:$O$86,15,0))</f>
        <v>0</v>
      </c>
      <c r="Y312" s="128">
        <f ca="1">('TUSD BE'!$AM$10+'TUSD BF'!$AM$10+'TUSD CVA'!$AM$10)*1*(1-0.03)</f>
        <v>21.081719932182427</v>
      </c>
      <c r="Z312" s="128"/>
      <c r="AA312" s="128"/>
      <c r="AB312" s="6">
        <f>$K$312*$V$312</f>
        <v>8610.3999999999978</v>
      </c>
      <c r="AC312" s="6">
        <f>$M$312*$W$312</f>
        <v>0</v>
      </c>
      <c r="AD312" s="6">
        <f>$O$312*$X$312</f>
        <v>0</v>
      </c>
      <c r="AE312" s="6">
        <f ca="1">$K$312*$Y$312</f>
        <v>8432.6879728729709</v>
      </c>
      <c r="AF312" s="6">
        <f>$M$312*$Z$312</f>
        <v>0</v>
      </c>
      <c r="AG312" s="6">
        <f>$O$312*$AA$312</f>
        <v>0</v>
      </c>
    </row>
    <row r="313" spans="1:33" ht="11.25" customHeight="1" x14ac:dyDescent="0.25">
      <c r="A313" s="4" t="s">
        <v>55</v>
      </c>
      <c r="B313" s="4" t="s">
        <v>35</v>
      </c>
      <c r="C313" s="4" t="s">
        <v>39</v>
      </c>
      <c r="D313" s="4" t="s">
        <v>47</v>
      </c>
      <c r="E313" s="4" t="s">
        <v>48</v>
      </c>
      <c r="F313" s="4" t="s">
        <v>25</v>
      </c>
      <c r="G313" s="4" t="s">
        <v>25</v>
      </c>
      <c r="H313" s="4" t="s">
        <v>25</v>
      </c>
      <c r="I313" s="5">
        <v>44743</v>
      </c>
      <c r="J313" s="6">
        <v>400</v>
      </c>
      <c r="K313" s="129">
        <v>400</v>
      </c>
      <c r="L313" s="6">
        <v>0</v>
      </c>
      <c r="M313" s="128">
        <v>0</v>
      </c>
      <c r="N313" s="6">
        <v>0</v>
      </c>
      <c r="O313" s="128">
        <v>0</v>
      </c>
      <c r="P313" s="6">
        <v>1</v>
      </c>
      <c r="Q313" s="4" t="s">
        <v>26</v>
      </c>
      <c r="R313" s="4">
        <v>0</v>
      </c>
      <c r="S313" s="6">
        <v>24</v>
      </c>
      <c r="T313" s="6">
        <v>0</v>
      </c>
      <c r="U313" s="6">
        <v>0</v>
      </c>
      <c r="V313" s="128">
        <f>IF(ISERROR(VLOOKUP($S$313,'TAR FIN'!$A$1:$O$86,15,0)),0,VLOOKUP($S$313,'TAR FIN'!$A$1:$O$86,15,0))*(1-0.06)</f>
        <v>21.525999999999996</v>
      </c>
      <c r="W313" s="128">
        <f>IF(ISERROR(VLOOKUP($T$313,'TAR FIN'!$A$1:$O$86,15,0)),0,VLOOKUP($T$313,'TAR FIN'!$A$1:$O$86,15,0))</f>
        <v>0</v>
      </c>
      <c r="X313" s="128">
        <f>IF(ISERROR(VLOOKUP($U$313,'TAR FIN'!$A$1:$O$86,15,0)),0,VLOOKUP($U$313,'TAR FIN'!$A$1:$O$86,15,0))</f>
        <v>0</v>
      </c>
      <c r="Y313" s="128">
        <f ca="1">('TUSD BE'!$AM$10+'TUSD BF'!$AM$10+'TUSD CVA'!$AM$10)*1*(1-0.03)</f>
        <v>21.081719932182427</v>
      </c>
      <c r="Z313" s="128"/>
      <c r="AA313" s="128"/>
      <c r="AB313" s="6">
        <f>$K$313*$V$313</f>
        <v>8610.3999999999978</v>
      </c>
      <c r="AC313" s="6">
        <f>$M$313*$W$313</f>
        <v>0</v>
      </c>
      <c r="AD313" s="6">
        <f>$O$313*$X$313</f>
        <v>0</v>
      </c>
      <c r="AE313" s="6">
        <f ca="1">$K$313*$Y$313</f>
        <v>8432.6879728729709</v>
      </c>
      <c r="AF313" s="6">
        <f>$M$313*$Z$313</f>
        <v>0</v>
      </c>
      <c r="AG313" s="6">
        <f>$O$313*$AA$313</f>
        <v>0</v>
      </c>
    </row>
    <row r="314" spans="1:33" ht="11.25" customHeight="1" x14ac:dyDescent="0.25">
      <c r="A314" s="4" t="s">
        <v>21</v>
      </c>
      <c r="B314" s="4" t="s">
        <v>35</v>
      </c>
      <c r="C314" s="4" t="s">
        <v>39</v>
      </c>
      <c r="D314" s="4" t="s">
        <v>47</v>
      </c>
      <c r="E314" s="4" t="s">
        <v>48</v>
      </c>
      <c r="F314" s="4" t="s">
        <v>25</v>
      </c>
      <c r="G314" s="4" t="s">
        <v>25</v>
      </c>
      <c r="H314" s="4" t="s">
        <v>37</v>
      </c>
      <c r="I314" s="5">
        <v>44409</v>
      </c>
      <c r="J314" s="6">
        <v>0</v>
      </c>
      <c r="K314" s="128">
        <v>0</v>
      </c>
      <c r="L314" s="6">
        <v>14.43</v>
      </c>
      <c r="M314" s="128">
        <v>14.43</v>
      </c>
      <c r="N314" s="6">
        <v>14.43</v>
      </c>
      <c r="O314" s="128">
        <v>14.43</v>
      </c>
      <c r="P314" s="6">
        <v>0</v>
      </c>
      <c r="Q314" s="4" t="s">
        <v>26</v>
      </c>
      <c r="R314" s="4">
        <v>0</v>
      </c>
      <c r="S314" s="6">
        <v>0</v>
      </c>
      <c r="T314" s="6">
        <v>5</v>
      </c>
      <c r="U314" s="6">
        <v>69</v>
      </c>
      <c r="V314" s="128">
        <f>IF(ISERROR(VLOOKUP($S$314,'TAR FIN'!$A$1:$O$86,15,0)),0,VLOOKUP($S$314,'TAR FIN'!$A$1:$O$86,15,0))</f>
        <v>0</v>
      </c>
      <c r="W314" s="128">
        <f>IF(ISERROR(VLOOKUP($T$314,'TAR FIN'!$A$1:$O$86,15,0)),0,VLOOKUP($T$314,'TAR FIN'!$A$1:$O$86,15,0))*(1-0.06)</f>
        <v>1427.8317999999999</v>
      </c>
      <c r="X314" s="128">
        <f>IF(ISERROR(VLOOKUP($U$314,'TAR FIN'!$A$1:$O$86,15,0)),0,VLOOKUP($U$314,'TAR FIN'!$A$1:$O$86,15,0))*(1-0.06)</f>
        <v>337.77019999999999</v>
      </c>
      <c r="Y314" s="128"/>
      <c r="Z314" s="128">
        <f ca="1">('TUSD BE'!$AM$11+'TUSD BF'!$AM$11+'TUSD CVA'!$AM$11)*1*(1-0.03)</f>
        <v>1448.1962941031572</v>
      </c>
      <c r="AA314" s="128">
        <f>('TE BE'!$AB$5+'TE BF'!$AB$5+'TE CVA'!$AB$5)*1*(1-0.03)</f>
        <v>351.85392208080407</v>
      </c>
      <c r="AB314" s="6">
        <f>$K$314*$V$314</f>
        <v>0</v>
      </c>
      <c r="AC314" s="6">
        <f>$M$314*$W$314</f>
        <v>20603.612873999999</v>
      </c>
      <c r="AD314" s="6">
        <f>$O$314*$X$314</f>
        <v>4874.0239860000001</v>
      </c>
      <c r="AE314" s="6">
        <f>$K$314*$Y$314</f>
        <v>0</v>
      </c>
      <c r="AF314" s="6">
        <f ca="1">$M$314*$Z$314</f>
        <v>20897.47252390856</v>
      </c>
      <c r="AG314" s="6">
        <f>$O$314*$AA$314</f>
        <v>5077.2520956260023</v>
      </c>
    </row>
    <row r="315" spans="1:33" ht="11.25" customHeight="1" x14ac:dyDescent="0.25">
      <c r="A315" s="4" t="s">
        <v>21</v>
      </c>
      <c r="B315" s="4" t="s">
        <v>35</v>
      </c>
      <c r="C315" s="4" t="s">
        <v>39</v>
      </c>
      <c r="D315" s="4" t="s">
        <v>47</v>
      </c>
      <c r="E315" s="4" t="s">
        <v>48</v>
      </c>
      <c r="F315" s="4" t="s">
        <v>25</v>
      </c>
      <c r="G315" s="4" t="s">
        <v>25</v>
      </c>
      <c r="H315" s="4" t="s">
        <v>37</v>
      </c>
      <c r="I315" s="5">
        <v>44440</v>
      </c>
      <c r="J315" s="6">
        <v>0</v>
      </c>
      <c r="K315" s="128">
        <v>0</v>
      </c>
      <c r="L315" s="6">
        <v>13.776999999999999</v>
      </c>
      <c r="M315" s="128">
        <v>13.776999999999999</v>
      </c>
      <c r="N315" s="6">
        <v>13.776999999999999</v>
      </c>
      <c r="O315" s="128">
        <v>13.776999999999999</v>
      </c>
      <c r="P315" s="6">
        <v>0</v>
      </c>
      <c r="Q315" s="4" t="s">
        <v>26</v>
      </c>
      <c r="R315" s="4">
        <v>0</v>
      </c>
      <c r="S315" s="6">
        <v>0</v>
      </c>
      <c r="T315" s="6">
        <v>5</v>
      </c>
      <c r="U315" s="6">
        <v>69</v>
      </c>
      <c r="V315" s="128">
        <f>IF(ISERROR(VLOOKUP($S$315,'TAR FIN'!$A$1:$O$86,15,0)),0,VLOOKUP($S$315,'TAR FIN'!$A$1:$O$86,15,0))</f>
        <v>0</v>
      </c>
      <c r="W315" s="128">
        <f>IF(ISERROR(VLOOKUP($T$315,'TAR FIN'!$A$1:$O$86,15,0)),0,VLOOKUP($T$315,'TAR FIN'!$A$1:$O$86,15,0))*(1-0.06)</f>
        <v>1427.8317999999999</v>
      </c>
      <c r="X315" s="128">
        <f>IF(ISERROR(VLOOKUP($U$315,'TAR FIN'!$A$1:$O$86,15,0)),0,VLOOKUP($U$315,'TAR FIN'!$A$1:$O$86,15,0))*(1-0.06)</f>
        <v>337.77019999999999</v>
      </c>
      <c r="Y315" s="128"/>
      <c r="Z315" s="128">
        <f ca="1">('TUSD BE'!$AM$11+'TUSD BF'!$AM$11+'TUSD CVA'!$AM$11)*1*(1-0.03)</f>
        <v>1448.1962941031572</v>
      </c>
      <c r="AA315" s="128">
        <f>('TE BE'!$AB$5+'TE BF'!$AB$5+'TE CVA'!$AB$5)*1*(1-0.03)</f>
        <v>351.85392208080407</v>
      </c>
      <c r="AB315" s="6">
        <f>$K$315*$V$315</f>
        <v>0</v>
      </c>
      <c r="AC315" s="6">
        <f>$M$315*$W$315</f>
        <v>19671.238708599998</v>
      </c>
      <c r="AD315" s="6">
        <f>$O$315*$X$315</f>
        <v>4653.4600453999992</v>
      </c>
      <c r="AE315" s="6">
        <f>$K$315*$Y$315</f>
        <v>0</v>
      </c>
      <c r="AF315" s="6">
        <f ca="1">$M$315*$Z$315</f>
        <v>19951.800343859195</v>
      </c>
      <c r="AG315" s="6">
        <f>$O$315*$AA$315</f>
        <v>4847.4914845072371</v>
      </c>
    </row>
    <row r="316" spans="1:33" ht="11.25" customHeight="1" x14ac:dyDescent="0.25">
      <c r="A316" s="4" t="s">
        <v>21</v>
      </c>
      <c r="B316" s="4" t="s">
        <v>35</v>
      </c>
      <c r="C316" s="4" t="s">
        <v>39</v>
      </c>
      <c r="D316" s="4" t="s">
        <v>47</v>
      </c>
      <c r="E316" s="4" t="s">
        <v>48</v>
      </c>
      <c r="F316" s="4" t="s">
        <v>25</v>
      </c>
      <c r="G316" s="4" t="s">
        <v>25</v>
      </c>
      <c r="H316" s="4" t="s">
        <v>37</v>
      </c>
      <c r="I316" s="5">
        <v>44470</v>
      </c>
      <c r="J316" s="6">
        <v>0</v>
      </c>
      <c r="K316" s="128">
        <v>0</v>
      </c>
      <c r="L316" s="6">
        <v>12.991</v>
      </c>
      <c r="M316" s="128">
        <v>12.991</v>
      </c>
      <c r="N316" s="6">
        <v>12.991</v>
      </c>
      <c r="O316" s="128">
        <v>12.991</v>
      </c>
      <c r="P316" s="6">
        <v>0</v>
      </c>
      <c r="Q316" s="4" t="s">
        <v>26</v>
      </c>
      <c r="R316" s="4">
        <v>0</v>
      </c>
      <c r="S316" s="6">
        <v>0</v>
      </c>
      <c r="T316" s="6">
        <v>5</v>
      </c>
      <c r="U316" s="6">
        <v>69</v>
      </c>
      <c r="V316" s="128">
        <f>IF(ISERROR(VLOOKUP($S$316,'TAR FIN'!$A$1:$O$86,15,0)),0,VLOOKUP($S$316,'TAR FIN'!$A$1:$O$86,15,0))</f>
        <v>0</v>
      </c>
      <c r="W316" s="128">
        <f>IF(ISERROR(VLOOKUP($T$316,'TAR FIN'!$A$1:$O$86,15,0)),0,VLOOKUP($T$316,'TAR FIN'!$A$1:$O$86,15,0))*(1-0.06)</f>
        <v>1427.8317999999999</v>
      </c>
      <c r="X316" s="128">
        <f>IF(ISERROR(VLOOKUP($U$316,'TAR FIN'!$A$1:$O$86,15,0)),0,VLOOKUP($U$316,'TAR FIN'!$A$1:$O$86,15,0))*(1-0.06)</f>
        <v>337.77019999999999</v>
      </c>
      <c r="Y316" s="128"/>
      <c r="Z316" s="128">
        <f ca="1">('TUSD BE'!$AM$11+'TUSD BF'!$AM$11+'TUSD CVA'!$AM$11)*1*(1-0.03)</f>
        <v>1448.1962941031572</v>
      </c>
      <c r="AA316" s="128">
        <f>('TE BE'!$AB$5+'TE BF'!$AB$5+'TE CVA'!$AB$5)*1*(1-0.03)</f>
        <v>351.85392208080407</v>
      </c>
      <c r="AB316" s="6">
        <f>$K$316*$V$316</f>
        <v>0</v>
      </c>
      <c r="AC316" s="6">
        <f>$M$316*$W$316</f>
        <v>18548.962913799998</v>
      </c>
      <c r="AD316" s="6">
        <f>$O$316*$X$316</f>
        <v>4387.9726682</v>
      </c>
      <c r="AE316" s="6">
        <f>$K$316*$Y$316</f>
        <v>0</v>
      </c>
      <c r="AF316" s="6">
        <f ca="1">$M$316*$Z$316</f>
        <v>18813.518056694116</v>
      </c>
      <c r="AG316" s="6">
        <f>$O$316*$AA$316</f>
        <v>4570.9343017517258</v>
      </c>
    </row>
    <row r="317" spans="1:33" ht="11.25" customHeight="1" x14ac:dyDescent="0.25">
      <c r="A317" s="4" t="s">
        <v>21</v>
      </c>
      <c r="B317" s="4" t="s">
        <v>35</v>
      </c>
      <c r="C317" s="4" t="s">
        <v>39</v>
      </c>
      <c r="D317" s="4" t="s">
        <v>47</v>
      </c>
      <c r="E317" s="4" t="s">
        <v>48</v>
      </c>
      <c r="F317" s="4" t="s">
        <v>25</v>
      </c>
      <c r="G317" s="4" t="s">
        <v>25</v>
      </c>
      <c r="H317" s="4" t="s">
        <v>37</v>
      </c>
      <c r="I317" s="5">
        <v>44501</v>
      </c>
      <c r="J317" s="6">
        <v>0</v>
      </c>
      <c r="K317" s="128">
        <v>0</v>
      </c>
      <c r="L317" s="6">
        <v>14.047000000000001</v>
      </c>
      <c r="M317" s="128">
        <v>14.047000000000001</v>
      </c>
      <c r="N317" s="6">
        <v>14.047000000000001</v>
      </c>
      <c r="O317" s="128">
        <v>14.047000000000001</v>
      </c>
      <c r="P317" s="6">
        <v>0</v>
      </c>
      <c r="Q317" s="4" t="s">
        <v>26</v>
      </c>
      <c r="R317" s="4">
        <v>0</v>
      </c>
      <c r="S317" s="6">
        <v>0</v>
      </c>
      <c r="T317" s="6">
        <v>5</v>
      </c>
      <c r="U317" s="6">
        <v>69</v>
      </c>
      <c r="V317" s="128">
        <f>IF(ISERROR(VLOOKUP($S$317,'TAR FIN'!$A$1:$O$86,15,0)),0,VLOOKUP($S$317,'TAR FIN'!$A$1:$O$86,15,0))</f>
        <v>0</v>
      </c>
      <c r="W317" s="128">
        <f>IF(ISERROR(VLOOKUP($T$317,'TAR FIN'!$A$1:$O$86,15,0)),0,VLOOKUP($T$317,'TAR FIN'!$A$1:$O$86,15,0))*(1-0.06)</f>
        <v>1427.8317999999999</v>
      </c>
      <c r="X317" s="128">
        <f>IF(ISERROR(VLOOKUP($U$317,'TAR FIN'!$A$1:$O$86,15,0)),0,VLOOKUP($U$317,'TAR FIN'!$A$1:$O$86,15,0))*(1-0.06)</f>
        <v>337.77019999999999</v>
      </c>
      <c r="Y317" s="128"/>
      <c r="Z317" s="128">
        <f ca="1">('TUSD BE'!$AM$11+'TUSD BF'!$AM$11+'TUSD CVA'!$AM$11)*1*(1-0.03)</f>
        <v>1448.1962941031572</v>
      </c>
      <c r="AA317" s="128">
        <f>('TE BE'!$AB$5+'TE BF'!$AB$5+'TE CVA'!$AB$5)*1*(1-0.03)</f>
        <v>351.85392208080407</v>
      </c>
      <c r="AB317" s="6">
        <f>$K$317*$V$317</f>
        <v>0</v>
      </c>
      <c r="AC317" s="6">
        <f>$M$317*$W$317</f>
        <v>20056.753294599999</v>
      </c>
      <c r="AD317" s="6">
        <f>$O$317*$X$317</f>
        <v>4744.6579994000003</v>
      </c>
      <c r="AE317" s="6">
        <f>$K$317*$Y$317</f>
        <v>0</v>
      </c>
      <c r="AF317" s="6">
        <f ca="1">$M$317*$Z$317</f>
        <v>20342.813343267051</v>
      </c>
      <c r="AG317" s="6">
        <f>$O$317*$AA$317</f>
        <v>4942.4920434690548</v>
      </c>
    </row>
    <row r="318" spans="1:33" ht="11.25" customHeight="1" x14ac:dyDescent="0.25">
      <c r="A318" s="4" t="s">
        <v>21</v>
      </c>
      <c r="B318" s="4" t="s">
        <v>35</v>
      </c>
      <c r="C318" s="4" t="s">
        <v>39</v>
      </c>
      <c r="D318" s="4" t="s">
        <v>47</v>
      </c>
      <c r="E318" s="4" t="s">
        <v>48</v>
      </c>
      <c r="F318" s="4" t="s">
        <v>25</v>
      </c>
      <c r="G318" s="4" t="s">
        <v>25</v>
      </c>
      <c r="H318" s="4" t="s">
        <v>37</v>
      </c>
      <c r="I318" s="5">
        <v>44531</v>
      </c>
      <c r="J318" s="6">
        <v>0</v>
      </c>
      <c r="K318" s="128">
        <v>0</v>
      </c>
      <c r="L318" s="6">
        <v>21.306000000000001</v>
      </c>
      <c r="M318" s="128">
        <v>21.306000000000001</v>
      </c>
      <c r="N318" s="6">
        <v>21.306000000000001</v>
      </c>
      <c r="O318" s="128">
        <v>21.306000000000001</v>
      </c>
      <c r="P318" s="6">
        <v>0</v>
      </c>
      <c r="Q318" s="4" t="s">
        <v>26</v>
      </c>
      <c r="R318" s="4">
        <v>0</v>
      </c>
      <c r="S318" s="6">
        <v>0</v>
      </c>
      <c r="T318" s="6">
        <v>5</v>
      </c>
      <c r="U318" s="6">
        <v>69</v>
      </c>
      <c r="V318" s="128">
        <f>IF(ISERROR(VLOOKUP($S$318,'TAR FIN'!$A$1:$O$86,15,0)),0,VLOOKUP($S$318,'TAR FIN'!$A$1:$O$86,15,0))</f>
        <v>0</v>
      </c>
      <c r="W318" s="128">
        <f>IF(ISERROR(VLOOKUP($T$318,'TAR FIN'!$A$1:$O$86,15,0)),0,VLOOKUP($T$318,'TAR FIN'!$A$1:$O$86,15,0))*(1-0.06)</f>
        <v>1427.8317999999999</v>
      </c>
      <c r="X318" s="128">
        <f>IF(ISERROR(VLOOKUP($U$318,'TAR FIN'!$A$1:$O$86,15,0)),0,VLOOKUP($U$318,'TAR FIN'!$A$1:$O$86,15,0))*(1-0.06)</f>
        <v>337.77019999999999</v>
      </c>
      <c r="Y318" s="128"/>
      <c r="Z318" s="128">
        <f ca="1">('TUSD BE'!$AM$11+'TUSD BF'!$AM$11+'TUSD CVA'!$AM$11)*1*(1-0.03)</f>
        <v>1448.1962941031572</v>
      </c>
      <c r="AA318" s="128">
        <f>('TE BE'!$AB$5+'TE BF'!$AB$5+'TE CVA'!$AB$5)*1*(1-0.03)</f>
        <v>351.85392208080407</v>
      </c>
      <c r="AB318" s="6">
        <f>$K$318*$V$318</f>
        <v>0</v>
      </c>
      <c r="AC318" s="6">
        <f>$M$318*$W$318</f>
        <v>30421.3843308</v>
      </c>
      <c r="AD318" s="6">
        <f>$O$318*$X$318</f>
        <v>7196.5318812000005</v>
      </c>
      <c r="AE318" s="6">
        <f>$K$318*$Y$318</f>
        <v>0</v>
      </c>
      <c r="AF318" s="6">
        <f ca="1">$M$318*$Z$318</f>
        <v>30855.270242161871</v>
      </c>
      <c r="AG318" s="6">
        <f>$O$318*$AA$318</f>
        <v>7496.5996638536117</v>
      </c>
    </row>
    <row r="319" spans="1:33" ht="11.25" customHeight="1" x14ac:dyDescent="0.25">
      <c r="A319" s="4" t="s">
        <v>21</v>
      </c>
      <c r="B319" s="4" t="s">
        <v>35</v>
      </c>
      <c r="C319" s="4" t="s">
        <v>39</v>
      </c>
      <c r="D319" s="4" t="s">
        <v>47</v>
      </c>
      <c r="E319" s="4" t="s">
        <v>48</v>
      </c>
      <c r="F319" s="4" t="s">
        <v>25</v>
      </c>
      <c r="G319" s="4" t="s">
        <v>25</v>
      </c>
      <c r="H319" s="4" t="s">
        <v>37</v>
      </c>
      <c r="I319" s="5">
        <v>44562</v>
      </c>
      <c r="J319" s="6">
        <v>0</v>
      </c>
      <c r="K319" s="128">
        <v>0</v>
      </c>
      <c r="L319" s="6">
        <v>22.757000000000001</v>
      </c>
      <c r="M319" s="128">
        <v>22.757000000000001</v>
      </c>
      <c r="N319" s="6">
        <v>22.757000000000001</v>
      </c>
      <c r="O319" s="128">
        <v>22.757000000000001</v>
      </c>
      <c r="P319" s="6">
        <v>0</v>
      </c>
      <c r="Q319" s="4" t="s">
        <v>26</v>
      </c>
      <c r="R319" s="4">
        <v>0</v>
      </c>
      <c r="S319" s="6">
        <v>0</v>
      </c>
      <c r="T319" s="6">
        <v>5</v>
      </c>
      <c r="U319" s="6">
        <v>69</v>
      </c>
      <c r="V319" s="128">
        <f>IF(ISERROR(VLOOKUP($S$319,'TAR FIN'!$A$1:$O$86,15,0)),0,VLOOKUP($S$319,'TAR FIN'!$A$1:$O$86,15,0))</f>
        <v>0</v>
      </c>
      <c r="W319" s="128">
        <f>IF(ISERROR(VLOOKUP($T$319,'TAR FIN'!$A$1:$O$86,15,0)),0,VLOOKUP($T$319,'TAR FIN'!$A$1:$O$86,15,0))*(1-0.06)</f>
        <v>1427.8317999999999</v>
      </c>
      <c r="X319" s="128">
        <f>IF(ISERROR(VLOOKUP($U$319,'TAR FIN'!$A$1:$O$86,15,0)),0,VLOOKUP($U$319,'TAR FIN'!$A$1:$O$86,15,0))*(1-0.06)</f>
        <v>337.77019999999999</v>
      </c>
      <c r="Y319" s="128"/>
      <c r="Z319" s="128">
        <f ca="1">('TUSD BE'!$AM$11+'TUSD BF'!$AM$11+'TUSD CVA'!$AM$11)*1*(1-0.03)</f>
        <v>1448.1962941031572</v>
      </c>
      <c r="AA319" s="128">
        <f>('TE BE'!$AB$5+'TE BF'!$AB$5+'TE CVA'!$AB$5)*1*(1-0.03)</f>
        <v>351.85392208080407</v>
      </c>
      <c r="AB319" s="6">
        <f>$K$319*$V$319</f>
        <v>0</v>
      </c>
      <c r="AC319" s="6">
        <f>$M$319*$W$319</f>
        <v>32493.1682726</v>
      </c>
      <c r="AD319" s="6">
        <f>$O$319*$X$319</f>
        <v>7686.6364414</v>
      </c>
      <c r="AE319" s="6">
        <f>$K$319*$Y$319</f>
        <v>0</v>
      </c>
      <c r="AF319" s="6">
        <f ca="1">$M$319*$Z$319</f>
        <v>32956.603064905554</v>
      </c>
      <c r="AG319" s="6">
        <f>$O$319*$AA$319</f>
        <v>8007.1397047928585</v>
      </c>
    </row>
    <row r="320" spans="1:33" ht="11.25" customHeight="1" x14ac:dyDescent="0.25">
      <c r="A320" s="4" t="s">
        <v>21</v>
      </c>
      <c r="B320" s="4" t="s">
        <v>35</v>
      </c>
      <c r="C320" s="4" t="s">
        <v>39</v>
      </c>
      <c r="D320" s="4" t="s">
        <v>47</v>
      </c>
      <c r="E320" s="4" t="s">
        <v>48</v>
      </c>
      <c r="F320" s="4" t="s">
        <v>25</v>
      </c>
      <c r="G320" s="4" t="s">
        <v>25</v>
      </c>
      <c r="H320" s="4" t="s">
        <v>37</v>
      </c>
      <c r="I320" s="5">
        <v>44593</v>
      </c>
      <c r="J320" s="6">
        <v>0</v>
      </c>
      <c r="K320" s="128">
        <v>0</v>
      </c>
      <c r="L320" s="6">
        <v>18.914000000000001</v>
      </c>
      <c r="M320" s="128">
        <v>18.914000000000001</v>
      </c>
      <c r="N320" s="6">
        <v>18.914000000000001</v>
      </c>
      <c r="O320" s="128">
        <v>18.914000000000001</v>
      </c>
      <c r="P320" s="6">
        <v>0</v>
      </c>
      <c r="Q320" s="4" t="s">
        <v>26</v>
      </c>
      <c r="R320" s="4">
        <v>0</v>
      </c>
      <c r="S320" s="6">
        <v>0</v>
      </c>
      <c r="T320" s="6">
        <v>5</v>
      </c>
      <c r="U320" s="6">
        <v>69</v>
      </c>
      <c r="V320" s="128">
        <f>IF(ISERROR(VLOOKUP($S$320,'TAR FIN'!$A$1:$O$86,15,0)),0,VLOOKUP($S$320,'TAR FIN'!$A$1:$O$86,15,0))</f>
        <v>0</v>
      </c>
      <c r="W320" s="128">
        <f>IF(ISERROR(VLOOKUP($T$320,'TAR FIN'!$A$1:$O$86,15,0)),0,VLOOKUP($T$320,'TAR FIN'!$A$1:$O$86,15,0))*(1-0.06)</f>
        <v>1427.8317999999999</v>
      </c>
      <c r="X320" s="128">
        <f>IF(ISERROR(VLOOKUP($U$320,'TAR FIN'!$A$1:$O$86,15,0)),0,VLOOKUP($U$320,'TAR FIN'!$A$1:$O$86,15,0))*(1-0.06)</f>
        <v>337.77019999999999</v>
      </c>
      <c r="Y320" s="128"/>
      <c r="Z320" s="128">
        <f ca="1">('TUSD BE'!$AM$11+'TUSD BF'!$AM$11+'TUSD CVA'!$AM$11)*1*(1-0.03)</f>
        <v>1448.1962941031572</v>
      </c>
      <c r="AA320" s="128">
        <f>('TE BE'!$AB$5+'TE BF'!$AB$5+'TE CVA'!$AB$5)*1*(1-0.03)</f>
        <v>351.85392208080407</v>
      </c>
      <c r="AB320" s="6">
        <f>$K$320*$V$320</f>
        <v>0</v>
      </c>
      <c r="AC320" s="6">
        <f>$M$320*$W$320</f>
        <v>27006.010665199999</v>
      </c>
      <c r="AD320" s="6">
        <f>$O$320*$X$320</f>
        <v>6388.5855627999999</v>
      </c>
      <c r="AE320" s="6">
        <f>$K$320*$Y$320</f>
        <v>0</v>
      </c>
      <c r="AF320" s="6">
        <f ca="1">$M$320*$Z$320</f>
        <v>27391.184706667118</v>
      </c>
      <c r="AG320" s="6">
        <f>$O$320*$AA$320</f>
        <v>6654.9650822363283</v>
      </c>
    </row>
    <row r="321" spans="1:33" ht="11.25" customHeight="1" x14ac:dyDescent="0.25">
      <c r="A321" s="4" t="s">
        <v>21</v>
      </c>
      <c r="B321" s="4" t="s">
        <v>35</v>
      </c>
      <c r="C321" s="4" t="s">
        <v>39</v>
      </c>
      <c r="D321" s="4" t="s">
        <v>47</v>
      </c>
      <c r="E321" s="4" t="s">
        <v>48</v>
      </c>
      <c r="F321" s="4" t="s">
        <v>25</v>
      </c>
      <c r="G321" s="4" t="s">
        <v>25</v>
      </c>
      <c r="H321" s="4" t="s">
        <v>37</v>
      </c>
      <c r="I321" s="5">
        <v>44621</v>
      </c>
      <c r="J321" s="6">
        <v>0</v>
      </c>
      <c r="K321" s="128">
        <v>0</v>
      </c>
      <c r="L321" s="6">
        <v>19.082000000000001</v>
      </c>
      <c r="M321" s="128">
        <v>19.082000000000001</v>
      </c>
      <c r="N321" s="6">
        <v>19.082000000000001</v>
      </c>
      <c r="O321" s="128">
        <v>19.082000000000001</v>
      </c>
      <c r="P321" s="6">
        <v>0</v>
      </c>
      <c r="Q321" s="4" t="s">
        <v>26</v>
      </c>
      <c r="R321" s="4">
        <v>0</v>
      </c>
      <c r="S321" s="6">
        <v>0</v>
      </c>
      <c r="T321" s="6">
        <v>5</v>
      </c>
      <c r="U321" s="6">
        <v>69</v>
      </c>
      <c r="V321" s="128">
        <f>IF(ISERROR(VLOOKUP($S$321,'TAR FIN'!$A$1:$O$86,15,0)),0,VLOOKUP($S$321,'TAR FIN'!$A$1:$O$86,15,0))</f>
        <v>0</v>
      </c>
      <c r="W321" s="128">
        <f>IF(ISERROR(VLOOKUP($T$321,'TAR FIN'!$A$1:$O$86,15,0)),0,VLOOKUP($T$321,'TAR FIN'!$A$1:$O$86,15,0))*(1-0.06)</f>
        <v>1427.8317999999999</v>
      </c>
      <c r="X321" s="128">
        <f>IF(ISERROR(VLOOKUP($U$321,'TAR FIN'!$A$1:$O$86,15,0)),0,VLOOKUP($U$321,'TAR FIN'!$A$1:$O$86,15,0))*(1-0.06)</f>
        <v>337.77019999999999</v>
      </c>
      <c r="Y321" s="128"/>
      <c r="Z321" s="128">
        <f ca="1">('TUSD BE'!$AM$11+'TUSD BF'!$AM$11+'TUSD CVA'!$AM$11)*1*(1-0.03)</f>
        <v>1448.1962941031572</v>
      </c>
      <c r="AA321" s="128">
        <f>('TE BE'!$AB$5+'TE BF'!$AB$5+'TE CVA'!$AB$5)*1*(1-0.03)</f>
        <v>351.85392208080407</v>
      </c>
      <c r="AB321" s="6">
        <f>$K$321*$V$321</f>
        <v>0</v>
      </c>
      <c r="AC321" s="6">
        <f>$M$321*$W$321</f>
        <v>27245.886407599999</v>
      </c>
      <c r="AD321" s="6">
        <f>$O$321*$X$321</f>
        <v>6445.3309564000001</v>
      </c>
      <c r="AE321" s="6">
        <f>$K$321*$Y$321</f>
        <v>0</v>
      </c>
      <c r="AF321" s="6">
        <f ca="1">$M$321*$Z$321</f>
        <v>27634.481684076447</v>
      </c>
      <c r="AG321" s="6">
        <f>$O$321*$AA$321</f>
        <v>6714.0765411459033</v>
      </c>
    </row>
    <row r="322" spans="1:33" ht="11.25" customHeight="1" x14ac:dyDescent="0.25">
      <c r="A322" s="4" t="s">
        <v>21</v>
      </c>
      <c r="B322" s="4" t="s">
        <v>35</v>
      </c>
      <c r="C322" s="4" t="s">
        <v>39</v>
      </c>
      <c r="D322" s="4" t="s">
        <v>47</v>
      </c>
      <c r="E322" s="4" t="s">
        <v>48</v>
      </c>
      <c r="F322" s="4" t="s">
        <v>25</v>
      </c>
      <c r="G322" s="4" t="s">
        <v>25</v>
      </c>
      <c r="H322" s="4" t="s">
        <v>37</v>
      </c>
      <c r="I322" s="5">
        <v>44652</v>
      </c>
      <c r="J322" s="6">
        <v>0</v>
      </c>
      <c r="K322" s="128">
        <v>0</v>
      </c>
      <c r="L322" s="6">
        <v>16.46</v>
      </c>
      <c r="M322" s="128">
        <v>16.46</v>
      </c>
      <c r="N322" s="6">
        <v>16.46</v>
      </c>
      <c r="O322" s="128">
        <v>16.46</v>
      </c>
      <c r="P322" s="6">
        <v>0</v>
      </c>
      <c r="Q322" s="4" t="s">
        <v>26</v>
      </c>
      <c r="R322" s="4">
        <v>0</v>
      </c>
      <c r="S322" s="6">
        <v>0</v>
      </c>
      <c r="T322" s="6">
        <v>5</v>
      </c>
      <c r="U322" s="6">
        <v>69</v>
      </c>
      <c r="V322" s="128">
        <f>IF(ISERROR(VLOOKUP($S$322,'TAR FIN'!$A$1:$O$86,15,0)),0,VLOOKUP($S$322,'TAR FIN'!$A$1:$O$86,15,0))</f>
        <v>0</v>
      </c>
      <c r="W322" s="128">
        <f>IF(ISERROR(VLOOKUP($T$322,'TAR FIN'!$A$1:$O$86,15,0)),0,VLOOKUP($T$322,'TAR FIN'!$A$1:$O$86,15,0))*(1-0.06)</f>
        <v>1427.8317999999999</v>
      </c>
      <c r="X322" s="128">
        <f>IF(ISERROR(VLOOKUP($U$322,'TAR FIN'!$A$1:$O$86,15,0)),0,VLOOKUP($U$322,'TAR FIN'!$A$1:$O$86,15,0))*(1-0.06)</f>
        <v>337.77019999999999</v>
      </c>
      <c r="Y322" s="128"/>
      <c r="Z322" s="128">
        <f ca="1">('TUSD BE'!$AM$11+'TUSD BF'!$AM$11+'TUSD CVA'!$AM$11)*1*(1-0.03)</f>
        <v>1448.1962941031572</v>
      </c>
      <c r="AA322" s="128">
        <f>('TE BE'!$AB$5+'TE BF'!$AB$5+'TE CVA'!$AB$5)*1*(1-0.03)</f>
        <v>351.85392208080407</v>
      </c>
      <c r="AB322" s="6">
        <f>$K$322*$V$322</f>
        <v>0</v>
      </c>
      <c r="AC322" s="6">
        <f>$M$322*$W$322</f>
        <v>23502.111428</v>
      </c>
      <c r="AD322" s="6">
        <f>$O$322*$X$322</f>
        <v>5559.6974920000002</v>
      </c>
      <c r="AE322" s="6">
        <f>$K$322*$Y$322</f>
        <v>0</v>
      </c>
      <c r="AF322" s="6">
        <f ca="1">$M$322*$Z$322</f>
        <v>23837.311000937971</v>
      </c>
      <c r="AG322" s="6">
        <f>$O$322*$AA$322</f>
        <v>5791.515557450035</v>
      </c>
    </row>
    <row r="323" spans="1:33" ht="11.25" customHeight="1" x14ac:dyDescent="0.25">
      <c r="A323" s="4" t="s">
        <v>21</v>
      </c>
      <c r="B323" s="4" t="s">
        <v>35</v>
      </c>
      <c r="C323" s="4" t="s">
        <v>39</v>
      </c>
      <c r="D323" s="4" t="s">
        <v>47</v>
      </c>
      <c r="E323" s="4" t="s">
        <v>48</v>
      </c>
      <c r="F323" s="4" t="s">
        <v>25</v>
      </c>
      <c r="G323" s="4" t="s">
        <v>25</v>
      </c>
      <c r="H323" s="4" t="s">
        <v>37</v>
      </c>
      <c r="I323" s="5">
        <v>44682</v>
      </c>
      <c r="J323" s="6">
        <v>0</v>
      </c>
      <c r="K323" s="128">
        <v>0</v>
      </c>
      <c r="L323" s="6">
        <v>17.936</v>
      </c>
      <c r="M323" s="128">
        <v>17.936</v>
      </c>
      <c r="N323" s="6">
        <v>17.936</v>
      </c>
      <c r="O323" s="128">
        <v>17.936</v>
      </c>
      <c r="P323" s="6">
        <v>0</v>
      </c>
      <c r="Q323" s="4" t="s">
        <v>26</v>
      </c>
      <c r="R323" s="4">
        <v>0</v>
      </c>
      <c r="S323" s="6">
        <v>0</v>
      </c>
      <c r="T323" s="6">
        <v>5</v>
      </c>
      <c r="U323" s="6">
        <v>69</v>
      </c>
      <c r="V323" s="128">
        <f>IF(ISERROR(VLOOKUP($S$323,'TAR FIN'!$A$1:$O$86,15,0)),0,VLOOKUP($S$323,'TAR FIN'!$A$1:$O$86,15,0))</f>
        <v>0</v>
      </c>
      <c r="W323" s="128">
        <f>IF(ISERROR(VLOOKUP($T$323,'TAR FIN'!$A$1:$O$86,15,0)),0,VLOOKUP($T$323,'TAR FIN'!$A$1:$O$86,15,0))*(1-0.06)</f>
        <v>1427.8317999999999</v>
      </c>
      <c r="X323" s="128">
        <f>IF(ISERROR(VLOOKUP($U$323,'TAR FIN'!$A$1:$O$86,15,0)),0,VLOOKUP($U$323,'TAR FIN'!$A$1:$O$86,15,0))*(1-0.06)</f>
        <v>337.77019999999999</v>
      </c>
      <c r="Y323" s="128"/>
      <c r="Z323" s="128">
        <f ca="1">('TUSD BE'!$AM$11+'TUSD BF'!$AM$11+'TUSD CVA'!$AM$11)*1*(1-0.03)</f>
        <v>1448.1962941031572</v>
      </c>
      <c r="AA323" s="128">
        <f>('TE BE'!$AB$5+'TE BF'!$AB$5+'TE CVA'!$AB$5)*1*(1-0.03)</f>
        <v>351.85392208080407</v>
      </c>
      <c r="AB323" s="6">
        <f>$K$323*$V$323</f>
        <v>0</v>
      </c>
      <c r="AC323" s="6">
        <f>$M$323*$W$323</f>
        <v>25609.5911648</v>
      </c>
      <c r="AD323" s="6">
        <f>$O$323*$X$323</f>
        <v>6058.2463072</v>
      </c>
      <c r="AE323" s="6">
        <f>$K$323*$Y$323</f>
        <v>0</v>
      </c>
      <c r="AF323" s="6">
        <f ca="1">$M$323*$Z$323</f>
        <v>25974.848731034228</v>
      </c>
      <c r="AG323" s="6">
        <f>$O$323*$AA$323</f>
        <v>6310.8519464413021</v>
      </c>
    </row>
    <row r="324" spans="1:33" ht="11.25" customHeight="1" x14ac:dyDescent="0.25">
      <c r="A324" s="4" t="s">
        <v>21</v>
      </c>
      <c r="B324" s="4" t="s">
        <v>35</v>
      </c>
      <c r="C324" s="4" t="s">
        <v>39</v>
      </c>
      <c r="D324" s="4" t="s">
        <v>47</v>
      </c>
      <c r="E324" s="4" t="s">
        <v>48</v>
      </c>
      <c r="F324" s="4" t="s">
        <v>25</v>
      </c>
      <c r="G324" s="4" t="s">
        <v>25</v>
      </c>
      <c r="H324" s="4" t="s">
        <v>37</v>
      </c>
      <c r="I324" s="5">
        <v>44713</v>
      </c>
      <c r="J324" s="6">
        <v>0</v>
      </c>
      <c r="K324" s="128">
        <v>0</v>
      </c>
      <c r="L324" s="6">
        <v>18.001000000000001</v>
      </c>
      <c r="M324" s="128">
        <v>18.001000000000001</v>
      </c>
      <c r="N324" s="6">
        <v>18.001000000000001</v>
      </c>
      <c r="O324" s="128">
        <v>18.001000000000001</v>
      </c>
      <c r="P324" s="6">
        <v>0</v>
      </c>
      <c r="Q324" s="4" t="s">
        <v>26</v>
      </c>
      <c r="R324" s="4">
        <v>0</v>
      </c>
      <c r="S324" s="6">
        <v>0</v>
      </c>
      <c r="T324" s="6">
        <v>5</v>
      </c>
      <c r="U324" s="6">
        <v>69</v>
      </c>
      <c r="V324" s="128">
        <f>IF(ISERROR(VLOOKUP($S$324,'TAR FIN'!$A$1:$O$86,15,0)),0,VLOOKUP($S$324,'TAR FIN'!$A$1:$O$86,15,0))</f>
        <v>0</v>
      </c>
      <c r="W324" s="128">
        <f>IF(ISERROR(VLOOKUP($T$324,'TAR FIN'!$A$1:$O$86,15,0)),0,VLOOKUP($T$324,'TAR FIN'!$A$1:$O$86,15,0))*(1-0.06)</f>
        <v>1427.8317999999999</v>
      </c>
      <c r="X324" s="128">
        <f>IF(ISERROR(VLOOKUP($U$324,'TAR FIN'!$A$1:$O$86,15,0)),0,VLOOKUP($U$324,'TAR FIN'!$A$1:$O$86,15,0))*(1-0.06)</f>
        <v>337.77019999999999</v>
      </c>
      <c r="Y324" s="128"/>
      <c r="Z324" s="128">
        <f ca="1">('TUSD BE'!$AM$11+'TUSD BF'!$AM$11+'TUSD CVA'!$AM$11)*1*(1-0.03)</f>
        <v>1448.1962941031572</v>
      </c>
      <c r="AA324" s="128">
        <f>('TE BE'!$AB$5+'TE BF'!$AB$5+'TE CVA'!$AB$5)*1*(1-0.03)</f>
        <v>351.85392208080407</v>
      </c>
      <c r="AB324" s="6">
        <f>$K$324*$V$324</f>
        <v>0</v>
      </c>
      <c r="AC324" s="6">
        <f>$M$324*$W$324</f>
        <v>25702.400231800002</v>
      </c>
      <c r="AD324" s="6">
        <f>$O$324*$X$324</f>
        <v>6080.2013702000004</v>
      </c>
      <c r="AE324" s="6">
        <f>$K$324*$Y$324</f>
        <v>0</v>
      </c>
      <c r="AF324" s="6">
        <f ca="1">$M$324*$Z$324</f>
        <v>26068.981490150934</v>
      </c>
      <c r="AG324" s="6">
        <f>$O$324*$AA$324</f>
        <v>6333.7224513765541</v>
      </c>
    </row>
    <row r="325" spans="1:33" ht="11.25" customHeight="1" x14ac:dyDescent="0.25">
      <c r="A325" s="4" t="s">
        <v>55</v>
      </c>
      <c r="B325" s="4" t="s">
        <v>35</v>
      </c>
      <c r="C325" s="4" t="s">
        <v>39</v>
      </c>
      <c r="D325" s="4" t="s">
        <v>47</v>
      </c>
      <c r="E325" s="4" t="s">
        <v>48</v>
      </c>
      <c r="F325" s="4" t="s">
        <v>25</v>
      </c>
      <c r="G325" s="4" t="s">
        <v>25</v>
      </c>
      <c r="H325" s="4" t="s">
        <v>37</v>
      </c>
      <c r="I325" s="5">
        <v>44743</v>
      </c>
      <c r="J325" s="6">
        <v>0</v>
      </c>
      <c r="K325" s="128">
        <v>0</v>
      </c>
      <c r="L325" s="6">
        <v>18.001000000000001</v>
      </c>
      <c r="M325" s="128">
        <v>18.001000000000001</v>
      </c>
      <c r="N325" s="6">
        <v>18.001000000000001</v>
      </c>
      <c r="O325" s="128">
        <v>18.001000000000001</v>
      </c>
      <c r="P325" s="6">
        <v>0</v>
      </c>
      <c r="Q325" s="4" t="s">
        <v>26</v>
      </c>
      <c r="R325" s="4">
        <v>0</v>
      </c>
      <c r="S325" s="6">
        <v>0</v>
      </c>
      <c r="T325" s="6">
        <v>5</v>
      </c>
      <c r="U325" s="6">
        <v>69</v>
      </c>
      <c r="V325" s="128">
        <f>IF(ISERROR(VLOOKUP($S$325,'TAR FIN'!$A$1:$O$86,15,0)),0,VLOOKUP($S$325,'TAR FIN'!$A$1:$O$86,15,0))</f>
        <v>0</v>
      </c>
      <c r="W325" s="128">
        <f>IF(ISERROR(VLOOKUP($T$325,'TAR FIN'!$A$1:$O$86,15,0)),0,VLOOKUP($T$325,'TAR FIN'!$A$1:$O$86,15,0))*(1-0.06)</f>
        <v>1427.8317999999999</v>
      </c>
      <c r="X325" s="128">
        <f>IF(ISERROR(VLOOKUP($U$325,'TAR FIN'!$A$1:$O$86,15,0)),0,VLOOKUP($U$325,'TAR FIN'!$A$1:$O$86,15,0))*(1-0.06)</f>
        <v>337.77019999999999</v>
      </c>
      <c r="Y325" s="128"/>
      <c r="Z325" s="128">
        <f ca="1">('TUSD BE'!$AM$11+'TUSD BF'!$AM$11+'TUSD CVA'!$AM$11)*1*(1-0.03)</f>
        <v>1448.1962941031572</v>
      </c>
      <c r="AA325" s="128">
        <f>('TE BE'!$AB$5+'TE BF'!$AB$5+'TE CVA'!$AB$5)*1*(1-0.03)</f>
        <v>351.85392208080407</v>
      </c>
      <c r="AB325" s="6">
        <f>$K$325*$V$325</f>
        <v>0</v>
      </c>
      <c r="AC325" s="6">
        <f>$M$325*$W$325</f>
        <v>25702.400231800002</v>
      </c>
      <c r="AD325" s="6">
        <f>$O$325*$X$325</f>
        <v>6080.2013702000004</v>
      </c>
      <c r="AE325" s="6">
        <f>$K$325*$Y$325</f>
        <v>0</v>
      </c>
      <c r="AF325" s="6">
        <f ca="1">$M$325*$Z$325</f>
        <v>26068.981490150934</v>
      </c>
      <c r="AG325" s="6">
        <f>$O$325*$AA$325</f>
        <v>6333.7224513765541</v>
      </c>
    </row>
    <row r="326" spans="1:33" ht="11.25" customHeight="1" x14ac:dyDescent="0.25">
      <c r="A326" s="4" t="s">
        <v>21</v>
      </c>
      <c r="B326" s="4" t="s">
        <v>22</v>
      </c>
      <c r="C326" s="4" t="s">
        <v>23</v>
      </c>
      <c r="D326" s="4" t="s">
        <v>24</v>
      </c>
      <c r="E326" s="4" t="s">
        <v>24</v>
      </c>
      <c r="F326" s="4" t="s">
        <v>25</v>
      </c>
      <c r="G326" s="4" t="s">
        <v>25</v>
      </c>
      <c r="H326" s="4" t="s">
        <v>25</v>
      </c>
      <c r="I326" s="5">
        <v>44409</v>
      </c>
      <c r="J326" s="6">
        <v>0</v>
      </c>
      <c r="K326" s="6">
        <v>0</v>
      </c>
      <c r="L326" s="6">
        <v>4928.0069999999996</v>
      </c>
      <c r="M326" s="6">
        <v>4928.0069999999996</v>
      </c>
      <c r="N326" s="6">
        <v>4928.0069999999996</v>
      </c>
      <c r="O326" s="6">
        <v>4928.0069999999996</v>
      </c>
      <c r="P326" s="6">
        <v>33874</v>
      </c>
      <c r="Q326" s="4" t="s">
        <v>26</v>
      </c>
      <c r="R326" s="4">
        <v>0</v>
      </c>
      <c r="S326" s="6">
        <v>0</v>
      </c>
      <c r="T326" s="6">
        <v>2</v>
      </c>
      <c r="U326" s="6">
        <v>41</v>
      </c>
      <c r="V326" s="6">
        <f>IF(ISERROR(VLOOKUP($S$326,'TAR FIN'!$A$1:$O$86,15,0)),0,VLOOKUP($S$326,'TAR FIN'!$A$1:$O$86,15,0))</f>
        <v>0</v>
      </c>
      <c r="W326" s="6">
        <f>IF(ISERROR(VLOOKUP($T$326,'TAR FIN'!$A$1:$O$86,15,0)),0,VLOOKUP($T$326,'TAR FIN'!$A$1:$O$86,15,0))</f>
        <v>338.51</v>
      </c>
      <c r="X326" s="6">
        <f>IF(ISERROR(VLOOKUP($U$326,'TAR FIN'!$A$1:$O$86,15,0)),0,VLOOKUP($U$326,'TAR FIN'!$A$1:$O$86,15,0))</f>
        <v>224.01</v>
      </c>
      <c r="Y326" s="6"/>
      <c r="Z326" s="6">
        <f ca="1">('TUSD BE'!$AM$20+'TUSD BF'!$AM$20+'TUSD CVA'!$AM$20)*1</f>
        <v>417.58832886049538</v>
      </c>
      <c r="AA326" s="6">
        <f>('TE BE'!$AB$11+'TE BF'!$AB$11+'TE CVA'!$AB$11)*1</f>
        <v>234.64376439748159</v>
      </c>
      <c r="AB326" s="6">
        <f>$K$326*$V$326</f>
        <v>0</v>
      </c>
      <c r="AC326" s="6">
        <f>$M$326*$W$326</f>
        <v>1668179.6495699999</v>
      </c>
      <c r="AD326" s="6">
        <f>$O$326*$X$326</f>
        <v>1103922.8480699998</v>
      </c>
      <c r="AE326" s="6">
        <f>$K$326*$Y$326</f>
        <v>0</v>
      </c>
      <c r="AF326" s="6">
        <f ca="1">$M$326*$Z$326</f>
        <v>2057878.2077428231</v>
      </c>
      <c r="AG326" s="6">
        <f>$O$326*$AA$326</f>
        <v>1156326.11345714</v>
      </c>
    </row>
    <row r="327" spans="1:33" ht="11.25" customHeight="1" x14ac:dyDescent="0.25">
      <c r="A327" s="4" t="s">
        <v>27</v>
      </c>
      <c r="B327" s="4" t="s">
        <v>22</v>
      </c>
      <c r="C327" s="4" t="s">
        <v>23</v>
      </c>
      <c r="D327" s="4" t="s">
        <v>24</v>
      </c>
      <c r="E327" s="4" t="s">
        <v>24</v>
      </c>
      <c r="F327" s="4" t="s">
        <v>25</v>
      </c>
      <c r="G327" s="4" t="s">
        <v>25</v>
      </c>
      <c r="H327" s="4" t="s">
        <v>25</v>
      </c>
      <c r="I327" s="5">
        <v>44409</v>
      </c>
      <c r="J327" s="6">
        <v>0</v>
      </c>
      <c r="K327" s="6">
        <v>0</v>
      </c>
      <c r="L327" s="6">
        <v>-7.3739999999999997</v>
      </c>
      <c r="M327" s="6">
        <v>-7.3739999999999997</v>
      </c>
      <c r="N327" s="6">
        <v>-7.3739999999999997</v>
      </c>
      <c r="O327" s="6">
        <v>-7.3739999999999997</v>
      </c>
      <c r="P327" s="6">
        <v>0</v>
      </c>
      <c r="Q327" s="4" t="s">
        <v>26</v>
      </c>
      <c r="R327" s="4">
        <v>0</v>
      </c>
      <c r="S327" s="6">
        <v>0</v>
      </c>
      <c r="T327" s="6">
        <v>2</v>
      </c>
      <c r="U327" s="6">
        <v>41</v>
      </c>
      <c r="V327" s="6">
        <f>IF(ISERROR(VLOOKUP($S$327,'TAR FIN'!$A$1:$O$86,15,0)),0,VLOOKUP($S$327,'TAR FIN'!$A$1:$O$86,15,0))</f>
        <v>0</v>
      </c>
      <c r="W327" s="6">
        <f>IF(ISERROR(VLOOKUP($T$327,'TAR FIN'!$A$1:$O$86,15,0)),0,VLOOKUP($T$327,'TAR FIN'!$A$1:$O$86,15,0))</f>
        <v>338.51</v>
      </c>
      <c r="X327" s="6">
        <f>IF(ISERROR(VLOOKUP($U$327,'TAR FIN'!$A$1:$O$86,15,0)),0,VLOOKUP($U$327,'TAR FIN'!$A$1:$O$86,15,0))</f>
        <v>224.01</v>
      </c>
      <c r="Y327" s="6"/>
      <c r="Z327" s="6">
        <f ca="1">('TUSD BE'!$AM$20+'TUSD BF'!$AM$20+'TUSD CVA'!$AM$20)*1</f>
        <v>417.58832886049538</v>
      </c>
      <c r="AA327" s="6">
        <f>('TE BE'!$AB$11+'TE BF'!$AB$11+'TE CVA'!$AB$11)*1</f>
        <v>234.64376439748159</v>
      </c>
      <c r="AB327" s="6">
        <f>$K$327*$V$327</f>
        <v>0</v>
      </c>
      <c r="AC327" s="6">
        <f>$M$327*$W$327</f>
        <v>-2496.17274</v>
      </c>
      <c r="AD327" s="6">
        <f>$O$327*$X$327</f>
        <v>-1651.8497399999999</v>
      </c>
      <c r="AE327" s="6">
        <f>$K$327*$Y$327</f>
        <v>0</v>
      </c>
      <c r="AF327" s="6">
        <f ca="1">$M$327*$Z$327</f>
        <v>-3079.2963370172929</v>
      </c>
      <c r="AG327" s="6">
        <f>$O$327*$AA$327</f>
        <v>-1730.2631186670292</v>
      </c>
    </row>
    <row r="328" spans="1:33" ht="11.25" customHeight="1" x14ac:dyDescent="0.25">
      <c r="A328" s="4" t="s">
        <v>28</v>
      </c>
      <c r="B328" s="4" t="s">
        <v>22</v>
      </c>
      <c r="C328" s="4" t="s">
        <v>23</v>
      </c>
      <c r="D328" s="4" t="s">
        <v>24</v>
      </c>
      <c r="E328" s="4" t="s">
        <v>24</v>
      </c>
      <c r="F328" s="4" t="s">
        <v>25</v>
      </c>
      <c r="G328" s="4" t="s">
        <v>25</v>
      </c>
      <c r="H328" s="4" t="s">
        <v>25</v>
      </c>
      <c r="I328" s="5">
        <v>44409</v>
      </c>
      <c r="J328" s="6">
        <v>0</v>
      </c>
      <c r="K328" s="6">
        <v>0</v>
      </c>
      <c r="L328" s="6">
        <v>15.32</v>
      </c>
      <c r="M328" s="6">
        <v>15.32</v>
      </c>
      <c r="N328" s="6">
        <v>15.32</v>
      </c>
      <c r="O328" s="6">
        <v>15.32</v>
      </c>
      <c r="P328" s="6">
        <v>70</v>
      </c>
      <c r="Q328" s="4" t="s">
        <v>26</v>
      </c>
      <c r="R328" s="4">
        <v>0</v>
      </c>
      <c r="S328" s="6">
        <v>0</v>
      </c>
      <c r="T328" s="6">
        <v>2</v>
      </c>
      <c r="U328" s="6">
        <v>41</v>
      </c>
      <c r="V328" s="6">
        <f>IF(ISERROR(VLOOKUP($S$328,'TAR FIN'!$A$1:$O$86,15,0)),0,VLOOKUP($S$328,'TAR FIN'!$A$1:$O$86,15,0))</f>
        <v>0</v>
      </c>
      <c r="W328" s="6">
        <f>IF(ISERROR(VLOOKUP($T$328,'TAR FIN'!$A$1:$O$86,15,0)),0,VLOOKUP($T$328,'TAR FIN'!$A$1:$O$86,15,0))</f>
        <v>338.51</v>
      </c>
      <c r="X328" s="6">
        <f>IF(ISERROR(VLOOKUP($U$328,'TAR FIN'!$A$1:$O$86,15,0)),0,VLOOKUP($U$328,'TAR FIN'!$A$1:$O$86,15,0))</f>
        <v>224.01</v>
      </c>
      <c r="Y328" s="6"/>
      <c r="Z328" s="6">
        <f ca="1">('TUSD BE'!$AM$20+'TUSD BF'!$AM$20+'TUSD CVA'!$AM$20)*1</f>
        <v>417.58832886049538</v>
      </c>
      <c r="AA328" s="6">
        <f>('TE BE'!$AB$11+'TE BF'!$AB$11+'TE CVA'!$AB$11)*1</f>
        <v>234.64376439748159</v>
      </c>
      <c r="AB328" s="6">
        <f>$K$328*$V$328</f>
        <v>0</v>
      </c>
      <c r="AC328" s="6">
        <f>$M$328*$W$328</f>
        <v>5185.9732000000004</v>
      </c>
      <c r="AD328" s="6">
        <f>$O$328*$X$328</f>
        <v>3431.8332</v>
      </c>
      <c r="AE328" s="6">
        <f>$K$328*$Y$328</f>
        <v>0</v>
      </c>
      <c r="AF328" s="6">
        <f ca="1">$M$328*$Z$328</f>
        <v>6397.453198142789</v>
      </c>
      <c r="AG328" s="6">
        <f>$O$328*$AA$328</f>
        <v>3594.7424705694179</v>
      </c>
    </row>
    <row r="329" spans="1:33" ht="11.25" customHeight="1" x14ac:dyDescent="0.25">
      <c r="A329" s="4" t="s">
        <v>21</v>
      </c>
      <c r="B329" s="4" t="s">
        <v>22</v>
      </c>
      <c r="C329" s="4" t="s">
        <v>23</v>
      </c>
      <c r="D329" s="4" t="s">
        <v>24</v>
      </c>
      <c r="E329" s="4" t="s">
        <v>24</v>
      </c>
      <c r="F329" s="4" t="s">
        <v>25</v>
      </c>
      <c r="G329" s="4" t="s">
        <v>25</v>
      </c>
      <c r="H329" s="4" t="s">
        <v>25</v>
      </c>
      <c r="I329" s="5">
        <v>44440</v>
      </c>
      <c r="J329" s="6">
        <v>0</v>
      </c>
      <c r="K329" s="6">
        <v>0</v>
      </c>
      <c r="L329" s="6">
        <v>5208.9440000000004</v>
      </c>
      <c r="M329" s="6">
        <v>5208.9440000000004</v>
      </c>
      <c r="N329" s="6">
        <v>5208.9440000000004</v>
      </c>
      <c r="O329" s="6">
        <v>5208.9440000000004</v>
      </c>
      <c r="P329" s="6">
        <v>33927</v>
      </c>
      <c r="Q329" s="4" t="s">
        <v>26</v>
      </c>
      <c r="R329" s="4">
        <v>0</v>
      </c>
      <c r="S329" s="6">
        <v>0</v>
      </c>
      <c r="T329" s="6">
        <v>2</v>
      </c>
      <c r="U329" s="6">
        <v>41</v>
      </c>
      <c r="V329" s="6">
        <f>IF(ISERROR(VLOOKUP($S$329,'TAR FIN'!$A$1:$O$86,15,0)),0,VLOOKUP($S$329,'TAR FIN'!$A$1:$O$86,15,0))</f>
        <v>0</v>
      </c>
      <c r="W329" s="6">
        <f>IF(ISERROR(VLOOKUP($T$329,'TAR FIN'!$A$1:$O$86,15,0)),0,VLOOKUP($T$329,'TAR FIN'!$A$1:$O$86,15,0))</f>
        <v>338.51</v>
      </c>
      <c r="X329" s="6">
        <f>IF(ISERROR(VLOOKUP($U$329,'TAR FIN'!$A$1:$O$86,15,0)),0,VLOOKUP($U$329,'TAR FIN'!$A$1:$O$86,15,0))</f>
        <v>224.01</v>
      </c>
      <c r="Y329" s="6"/>
      <c r="Z329" s="6">
        <f ca="1">('TUSD BE'!$AM$20+'TUSD BF'!$AM$20+'TUSD CVA'!$AM$20)*1</f>
        <v>417.58832886049538</v>
      </c>
      <c r="AA329" s="6">
        <f>('TE BE'!$AB$11+'TE BF'!$AB$11+'TE CVA'!$AB$11)*1</f>
        <v>234.64376439748159</v>
      </c>
      <c r="AB329" s="6">
        <f>$K$329*$V$329</f>
        <v>0</v>
      </c>
      <c r="AC329" s="6">
        <f>$M$329*$W$329</f>
        <v>1763279.63344</v>
      </c>
      <c r="AD329" s="6">
        <f>$O$329*$X$329</f>
        <v>1166855.54544</v>
      </c>
      <c r="AE329" s="6">
        <f>$K$329*$Y$329</f>
        <v>0</v>
      </c>
      <c r="AF329" s="6">
        <f ca="1">$M$329*$Z$329</f>
        <v>2175194.2200879045</v>
      </c>
      <c r="AG329" s="6">
        <f>$O$329*$AA$329</f>
        <v>1222246.2286956755</v>
      </c>
    </row>
    <row r="330" spans="1:33" ht="11.25" customHeight="1" x14ac:dyDescent="0.25">
      <c r="A330" s="4" t="s">
        <v>27</v>
      </c>
      <c r="B330" s="4" t="s">
        <v>22</v>
      </c>
      <c r="C330" s="4" t="s">
        <v>23</v>
      </c>
      <c r="D330" s="4" t="s">
        <v>24</v>
      </c>
      <c r="E330" s="4" t="s">
        <v>24</v>
      </c>
      <c r="F330" s="4" t="s">
        <v>25</v>
      </c>
      <c r="G330" s="4" t="s">
        <v>25</v>
      </c>
      <c r="H330" s="4" t="s">
        <v>25</v>
      </c>
      <c r="I330" s="5">
        <v>44440</v>
      </c>
      <c r="J330" s="6">
        <v>0</v>
      </c>
      <c r="K330" s="6">
        <v>0</v>
      </c>
      <c r="L330" s="6">
        <v>-5.6660000000000004</v>
      </c>
      <c r="M330" s="6">
        <v>-5.6660000000000004</v>
      </c>
      <c r="N330" s="6">
        <v>-5.6660000000000004</v>
      </c>
      <c r="O330" s="6">
        <v>-5.6660000000000004</v>
      </c>
      <c r="P330" s="6">
        <v>0</v>
      </c>
      <c r="Q330" s="4" t="s">
        <v>26</v>
      </c>
      <c r="R330" s="4">
        <v>0</v>
      </c>
      <c r="S330" s="6">
        <v>0</v>
      </c>
      <c r="T330" s="6">
        <v>2</v>
      </c>
      <c r="U330" s="6">
        <v>41</v>
      </c>
      <c r="V330" s="6">
        <f>IF(ISERROR(VLOOKUP($S$330,'TAR FIN'!$A$1:$O$86,15,0)),0,VLOOKUP($S$330,'TAR FIN'!$A$1:$O$86,15,0))</f>
        <v>0</v>
      </c>
      <c r="W330" s="6">
        <f>IF(ISERROR(VLOOKUP($T$330,'TAR FIN'!$A$1:$O$86,15,0)),0,VLOOKUP($T$330,'TAR FIN'!$A$1:$O$86,15,0))</f>
        <v>338.51</v>
      </c>
      <c r="X330" s="6">
        <f>IF(ISERROR(VLOOKUP($U$330,'TAR FIN'!$A$1:$O$86,15,0)),0,VLOOKUP($U$330,'TAR FIN'!$A$1:$O$86,15,0))</f>
        <v>224.01</v>
      </c>
      <c r="Y330" s="6"/>
      <c r="Z330" s="6">
        <f ca="1">('TUSD BE'!$AM$20+'TUSD BF'!$AM$20+'TUSD CVA'!$AM$20)*1</f>
        <v>417.58832886049538</v>
      </c>
      <c r="AA330" s="6">
        <f>('TE BE'!$AB$11+'TE BF'!$AB$11+'TE CVA'!$AB$11)*1</f>
        <v>234.64376439748159</v>
      </c>
      <c r="AB330" s="6">
        <f>$K$330*$V$330</f>
        <v>0</v>
      </c>
      <c r="AC330" s="6">
        <f>$M$330*$W$330</f>
        <v>-1917.99766</v>
      </c>
      <c r="AD330" s="6">
        <f>$O$330*$X$330</f>
        <v>-1269.2406599999999</v>
      </c>
      <c r="AE330" s="6">
        <f>$K$330*$Y$330</f>
        <v>0</v>
      </c>
      <c r="AF330" s="6">
        <f ca="1">$M$330*$Z$330</f>
        <v>-2366.055471323567</v>
      </c>
      <c r="AG330" s="6">
        <f>$O$330*$AA$330</f>
        <v>-1329.4915690761309</v>
      </c>
    </row>
    <row r="331" spans="1:33" ht="11.25" customHeight="1" x14ac:dyDescent="0.25">
      <c r="A331" s="4" t="s">
        <v>28</v>
      </c>
      <c r="B331" s="4" t="s">
        <v>22</v>
      </c>
      <c r="C331" s="4" t="s">
        <v>23</v>
      </c>
      <c r="D331" s="4" t="s">
        <v>24</v>
      </c>
      <c r="E331" s="4" t="s">
        <v>24</v>
      </c>
      <c r="F331" s="4" t="s">
        <v>25</v>
      </c>
      <c r="G331" s="4" t="s">
        <v>25</v>
      </c>
      <c r="H331" s="4" t="s">
        <v>25</v>
      </c>
      <c r="I331" s="5">
        <v>44440</v>
      </c>
      <c r="J331" s="6">
        <v>0</v>
      </c>
      <c r="K331" s="6">
        <v>0</v>
      </c>
      <c r="L331" s="6">
        <v>17.734000000000002</v>
      </c>
      <c r="M331" s="6">
        <v>17.734000000000002</v>
      </c>
      <c r="N331" s="6">
        <v>17.734000000000002</v>
      </c>
      <c r="O331" s="6">
        <v>17.734000000000002</v>
      </c>
      <c r="P331" s="6">
        <v>76</v>
      </c>
      <c r="Q331" s="4" t="s">
        <v>26</v>
      </c>
      <c r="R331" s="4">
        <v>0</v>
      </c>
      <c r="S331" s="6">
        <v>0</v>
      </c>
      <c r="T331" s="6">
        <v>2</v>
      </c>
      <c r="U331" s="6">
        <v>41</v>
      </c>
      <c r="V331" s="6">
        <f>IF(ISERROR(VLOOKUP($S$331,'TAR FIN'!$A$1:$O$86,15,0)),0,VLOOKUP($S$331,'TAR FIN'!$A$1:$O$86,15,0))</f>
        <v>0</v>
      </c>
      <c r="W331" s="6">
        <f>IF(ISERROR(VLOOKUP($T$331,'TAR FIN'!$A$1:$O$86,15,0)),0,VLOOKUP($T$331,'TAR FIN'!$A$1:$O$86,15,0))</f>
        <v>338.51</v>
      </c>
      <c r="X331" s="6">
        <f>IF(ISERROR(VLOOKUP($U$331,'TAR FIN'!$A$1:$O$86,15,0)),0,VLOOKUP($U$331,'TAR FIN'!$A$1:$O$86,15,0))</f>
        <v>224.01</v>
      </c>
      <c r="Y331" s="6"/>
      <c r="Z331" s="6">
        <f ca="1">('TUSD BE'!$AM$20+'TUSD BF'!$AM$20+'TUSD CVA'!$AM$20)*1</f>
        <v>417.58832886049538</v>
      </c>
      <c r="AA331" s="6">
        <f>('TE BE'!$AB$11+'TE BF'!$AB$11+'TE CVA'!$AB$11)*1</f>
        <v>234.64376439748159</v>
      </c>
      <c r="AB331" s="6">
        <f>$K$331*$V$331</f>
        <v>0</v>
      </c>
      <c r="AC331" s="6">
        <f>$M$331*$W$331</f>
        <v>6003.13634</v>
      </c>
      <c r="AD331" s="6">
        <f>$O$331*$X$331</f>
        <v>3972.5933400000004</v>
      </c>
      <c r="AE331" s="6">
        <f>$K$331*$Y$331</f>
        <v>0</v>
      </c>
      <c r="AF331" s="6">
        <f ca="1">$M$331*$Z$331</f>
        <v>7405.5114240120256</v>
      </c>
      <c r="AG331" s="6">
        <f>$O$331*$AA$331</f>
        <v>4161.172517824939</v>
      </c>
    </row>
    <row r="332" spans="1:33" ht="11.25" customHeight="1" x14ac:dyDescent="0.25">
      <c r="A332" s="4" t="s">
        <v>21</v>
      </c>
      <c r="B332" s="4" t="s">
        <v>22</v>
      </c>
      <c r="C332" s="4" t="s">
        <v>23</v>
      </c>
      <c r="D332" s="4" t="s">
        <v>24</v>
      </c>
      <c r="E332" s="4" t="s">
        <v>24</v>
      </c>
      <c r="F332" s="4" t="s">
        <v>25</v>
      </c>
      <c r="G332" s="4" t="s">
        <v>25</v>
      </c>
      <c r="H332" s="4" t="s">
        <v>25</v>
      </c>
      <c r="I332" s="5">
        <v>44470</v>
      </c>
      <c r="J332" s="6">
        <v>0</v>
      </c>
      <c r="K332" s="6">
        <v>0</v>
      </c>
      <c r="L332" s="6">
        <v>4926.8670000000002</v>
      </c>
      <c r="M332" s="6">
        <v>4926.8670000000002</v>
      </c>
      <c r="N332" s="6">
        <v>4926.8670000000002</v>
      </c>
      <c r="O332" s="6">
        <v>4926.8670000000002</v>
      </c>
      <c r="P332" s="6">
        <v>33992</v>
      </c>
      <c r="Q332" s="4" t="s">
        <v>26</v>
      </c>
      <c r="R332" s="4">
        <v>0</v>
      </c>
      <c r="S332" s="6">
        <v>0</v>
      </c>
      <c r="T332" s="6">
        <v>2</v>
      </c>
      <c r="U332" s="6">
        <v>41</v>
      </c>
      <c r="V332" s="6">
        <f>IF(ISERROR(VLOOKUP($S$332,'TAR FIN'!$A$1:$O$86,15,0)),0,VLOOKUP($S$332,'TAR FIN'!$A$1:$O$86,15,0))</f>
        <v>0</v>
      </c>
      <c r="W332" s="6">
        <f>IF(ISERROR(VLOOKUP($T$332,'TAR FIN'!$A$1:$O$86,15,0)),0,VLOOKUP($T$332,'TAR FIN'!$A$1:$O$86,15,0))</f>
        <v>338.51</v>
      </c>
      <c r="X332" s="6">
        <f>IF(ISERROR(VLOOKUP($U$332,'TAR FIN'!$A$1:$O$86,15,0)),0,VLOOKUP($U$332,'TAR FIN'!$A$1:$O$86,15,0))</f>
        <v>224.01</v>
      </c>
      <c r="Y332" s="6"/>
      <c r="Z332" s="6">
        <f ca="1">('TUSD BE'!$AM$20+'TUSD BF'!$AM$20+'TUSD CVA'!$AM$20)*1</f>
        <v>417.58832886049538</v>
      </c>
      <c r="AA332" s="6">
        <f>('TE BE'!$AB$11+'TE BF'!$AB$11+'TE CVA'!$AB$11)*1</f>
        <v>234.64376439748159</v>
      </c>
      <c r="AB332" s="6">
        <f>$K$332*$V$332</f>
        <v>0</v>
      </c>
      <c r="AC332" s="6">
        <f>$M$332*$W$332</f>
        <v>1667793.74817</v>
      </c>
      <c r="AD332" s="6">
        <f>$O$332*$X$332</f>
        <v>1103667.47667</v>
      </c>
      <c r="AE332" s="6">
        <f>$K$332*$Y$332</f>
        <v>0</v>
      </c>
      <c r="AF332" s="6">
        <f ca="1">$M$332*$Z$332</f>
        <v>2057402.1570479223</v>
      </c>
      <c r="AG332" s="6">
        <f>$O$332*$AA$332</f>
        <v>1156058.619565727</v>
      </c>
    </row>
    <row r="333" spans="1:33" ht="11.25" customHeight="1" x14ac:dyDescent="0.25">
      <c r="A333" s="4" t="s">
        <v>27</v>
      </c>
      <c r="B333" s="4" t="s">
        <v>22</v>
      </c>
      <c r="C333" s="4" t="s">
        <v>23</v>
      </c>
      <c r="D333" s="4" t="s">
        <v>24</v>
      </c>
      <c r="E333" s="4" t="s">
        <v>24</v>
      </c>
      <c r="F333" s="4" t="s">
        <v>25</v>
      </c>
      <c r="G333" s="4" t="s">
        <v>25</v>
      </c>
      <c r="H333" s="4" t="s">
        <v>25</v>
      </c>
      <c r="I333" s="5">
        <v>44470</v>
      </c>
      <c r="J333" s="6">
        <v>0</v>
      </c>
      <c r="K333" s="6">
        <v>0</v>
      </c>
      <c r="L333" s="6">
        <v>-4.68</v>
      </c>
      <c r="M333" s="6">
        <v>-4.68</v>
      </c>
      <c r="N333" s="6">
        <v>-4.68</v>
      </c>
      <c r="O333" s="6">
        <v>-4.68</v>
      </c>
      <c r="P333" s="6">
        <v>0</v>
      </c>
      <c r="Q333" s="4" t="s">
        <v>26</v>
      </c>
      <c r="R333" s="4">
        <v>0</v>
      </c>
      <c r="S333" s="6">
        <v>0</v>
      </c>
      <c r="T333" s="6">
        <v>2</v>
      </c>
      <c r="U333" s="6">
        <v>41</v>
      </c>
      <c r="V333" s="6">
        <f>IF(ISERROR(VLOOKUP($S$333,'TAR FIN'!$A$1:$O$86,15,0)),0,VLOOKUP($S$333,'TAR FIN'!$A$1:$O$86,15,0))</f>
        <v>0</v>
      </c>
      <c r="W333" s="6">
        <f>IF(ISERROR(VLOOKUP($T$333,'TAR FIN'!$A$1:$O$86,15,0)),0,VLOOKUP($T$333,'TAR FIN'!$A$1:$O$86,15,0))</f>
        <v>338.51</v>
      </c>
      <c r="X333" s="6">
        <f>IF(ISERROR(VLOOKUP($U$333,'TAR FIN'!$A$1:$O$86,15,0)),0,VLOOKUP($U$333,'TAR FIN'!$A$1:$O$86,15,0))</f>
        <v>224.01</v>
      </c>
      <c r="Y333" s="6"/>
      <c r="Z333" s="6">
        <f ca="1">('TUSD BE'!$AM$20+'TUSD BF'!$AM$20+'TUSD CVA'!$AM$20)*1</f>
        <v>417.58832886049538</v>
      </c>
      <c r="AA333" s="6">
        <f>('TE BE'!$AB$11+'TE BF'!$AB$11+'TE CVA'!$AB$11)*1</f>
        <v>234.64376439748159</v>
      </c>
      <c r="AB333" s="6">
        <f>$K$333*$V$333</f>
        <v>0</v>
      </c>
      <c r="AC333" s="6">
        <f>$M$333*$W$333</f>
        <v>-1584.2267999999999</v>
      </c>
      <c r="AD333" s="6">
        <f>$O$333*$X$333</f>
        <v>-1048.3667999999998</v>
      </c>
      <c r="AE333" s="6">
        <f>$K$333*$Y$333</f>
        <v>0</v>
      </c>
      <c r="AF333" s="6">
        <f ca="1">$M$333*$Z$333</f>
        <v>-1954.3133790671181</v>
      </c>
      <c r="AG333" s="6">
        <f>$O$333*$AA$333</f>
        <v>-1098.1328173802137</v>
      </c>
    </row>
    <row r="334" spans="1:33" ht="11.25" customHeight="1" x14ac:dyDescent="0.25">
      <c r="A334" s="4" t="s">
        <v>28</v>
      </c>
      <c r="B334" s="4" t="s">
        <v>22</v>
      </c>
      <c r="C334" s="4" t="s">
        <v>23</v>
      </c>
      <c r="D334" s="4" t="s">
        <v>24</v>
      </c>
      <c r="E334" s="4" t="s">
        <v>24</v>
      </c>
      <c r="F334" s="4" t="s">
        <v>25</v>
      </c>
      <c r="G334" s="4" t="s">
        <v>25</v>
      </c>
      <c r="H334" s="4" t="s">
        <v>25</v>
      </c>
      <c r="I334" s="5">
        <v>44470</v>
      </c>
      <c r="J334" s="6">
        <v>0</v>
      </c>
      <c r="K334" s="6">
        <v>0</v>
      </c>
      <c r="L334" s="6">
        <v>14.765000000000001</v>
      </c>
      <c r="M334" s="6">
        <v>14.765000000000001</v>
      </c>
      <c r="N334" s="6">
        <v>14.765000000000001</v>
      </c>
      <c r="O334" s="6">
        <v>14.765000000000001</v>
      </c>
      <c r="P334" s="6">
        <v>77</v>
      </c>
      <c r="Q334" s="4" t="s">
        <v>26</v>
      </c>
      <c r="R334" s="4">
        <v>0</v>
      </c>
      <c r="S334" s="6">
        <v>0</v>
      </c>
      <c r="T334" s="6">
        <v>2</v>
      </c>
      <c r="U334" s="6">
        <v>41</v>
      </c>
      <c r="V334" s="6">
        <f>IF(ISERROR(VLOOKUP($S$334,'TAR FIN'!$A$1:$O$86,15,0)),0,VLOOKUP($S$334,'TAR FIN'!$A$1:$O$86,15,0))</f>
        <v>0</v>
      </c>
      <c r="W334" s="6">
        <f>IF(ISERROR(VLOOKUP($T$334,'TAR FIN'!$A$1:$O$86,15,0)),0,VLOOKUP($T$334,'TAR FIN'!$A$1:$O$86,15,0))</f>
        <v>338.51</v>
      </c>
      <c r="X334" s="6">
        <f>IF(ISERROR(VLOOKUP($U$334,'TAR FIN'!$A$1:$O$86,15,0)),0,VLOOKUP($U$334,'TAR FIN'!$A$1:$O$86,15,0))</f>
        <v>224.01</v>
      </c>
      <c r="Y334" s="6"/>
      <c r="Z334" s="6">
        <f ca="1">('TUSD BE'!$AM$20+'TUSD BF'!$AM$20+'TUSD CVA'!$AM$20)*1</f>
        <v>417.58832886049538</v>
      </c>
      <c r="AA334" s="6">
        <f>('TE BE'!$AB$11+'TE BF'!$AB$11+'TE CVA'!$AB$11)*1</f>
        <v>234.64376439748159</v>
      </c>
      <c r="AB334" s="6">
        <f>$K$334*$V$334</f>
        <v>0</v>
      </c>
      <c r="AC334" s="6">
        <f>$M$334*$W$334</f>
        <v>4998.1001500000002</v>
      </c>
      <c r="AD334" s="6">
        <f>$O$334*$X$334</f>
        <v>3307.50765</v>
      </c>
      <c r="AE334" s="6">
        <f>$K$334*$Y$334</f>
        <v>0</v>
      </c>
      <c r="AF334" s="6">
        <f ca="1">$M$334*$Z$334</f>
        <v>6165.6916756252149</v>
      </c>
      <c r="AG334" s="6">
        <f>$O$334*$AA$334</f>
        <v>3464.5151813288157</v>
      </c>
    </row>
    <row r="335" spans="1:33" ht="11.25" customHeight="1" x14ac:dyDescent="0.25">
      <c r="A335" s="4" t="s">
        <v>21</v>
      </c>
      <c r="B335" s="4" t="s">
        <v>22</v>
      </c>
      <c r="C335" s="4" t="s">
        <v>23</v>
      </c>
      <c r="D335" s="4" t="s">
        <v>24</v>
      </c>
      <c r="E335" s="4" t="s">
        <v>24</v>
      </c>
      <c r="F335" s="4" t="s">
        <v>25</v>
      </c>
      <c r="G335" s="4" t="s">
        <v>25</v>
      </c>
      <c r="H335" s="4" t="s">
        <v>25</v>
      </c>
      <c r="I335" s="5">
        <v>44501</v>
      </c>
      <c r="J335" s="6">
        <v>0</v>
      </c>
      <c r="K335" s="6">
        <v>0</v>
      </c>
      <c r="L335" s="6">
        <v>5126.7280000000001</v>
      </c>
      <c r="M335" s="6">
        <v>5126.7280000000001</v>
      </c>
      <c r="N335" s="6">
        <v>5126.7280000000001</v>
      </c>
      <c r="O335" s="6">
        <v>5126.7280000000001</v>
      </c>
      <c r="P335" s="6">
        <v>34168</v>
      </c>
      <c r="Q335" s="4" t="s">
        <v>26</v>
      </c>
      <c r="R335" s="4">
        <v>0</v>
      </c>
      <c r="S335" s="6">
        <v>0</v>
      </c>
      <c r="T335" s="6">
        <v>2</v>
      </c>
      <c r="U335" s="6">
        <v>41</v>
      </c>
      <c r="V335" s="6">
        <f>IF(ISERROR(VLOOKUP($S$335,'TAR FIN'!$A$1:$O$86,15,0)),0,VLOOKUP($S$335,'TAR FIN'!$A$1:$O$86,15,0))</f>
        <v>0</v>
      </c>
      <c r="W335" s="6">
        <f>IF(ISERROR(VLOOKUP($T$335,'TAR FIN'!$A$1:$O$86,15,0)),0,VLOOKUP($T$335,'TAR FIN'!$A$1:$O$86,15,0))</f>
        <v>338.51</v>
      </c>
      <c r="X335" s="6">
        <f>IF(ISERROR(VLOOKUP($U$335,'TAR FIN'!$A$1:$O$86,15,0)),0,VLOOKUP($U$335,'TAR FIN'!$A$1:$O$86,15,0))</f>
        <v>224.01</v>
      </c>
      <c r="Y335" s="6"/>
      <c r="Z335" s="6">
        <f ca="1">('TUSD BE'!$AM$20+'TUSD BF'!$AM$20+'TUSD CVA'!$AM$20)*1</f>
        <v>417.58832886049538</v>
      </c>
      <c r="AA335" s="6">
        <f>('TE BE'!$AB$11+'TE BF'!$AB$11+'TE CVA'!$AB$11)*1</f>
        <v>234.64376439748159</v>
      </c>
      <c r="AB335" s="6">
        <f>$K$335*$V$335</f>
        <v>0</v>
      </c>
      <c r="AC335" s="6">
        <f>$M$335*$W$335</f>
        <v>1735448.6952799999</v>
      </c>
      <c r="AD335" s="6">
        <f>$O$335*$X$335</f>
        <v>1148438.33928</v>
      </c>
      <c r="AE335" s="6">
        <f>$K$335*$Y$335</f>
        <v>0</v>
      </c>
      <c r="AF335" s="6">
        <f ca="1">$M$335*$Z$335</f>
        <v>2140861.7780423099</v>
      </c>
      <c r="AG335" s="6">
        <f>$O$335*$AA$335</f>
        <v>1202954.756961972</v>
      </c>
    </row>
    <row r="336" spans="1:33" ht="11.25" customHeight="1" x14ac:dyDescent="0.25">
      <c r="A336" s="4" t="s">
        <v>27</v>
      </c>
      <c r="B336" s="4" t="s">
        <v>22</v>
      </c>
      <c r="C336" s="4" t="s">
        <v>23</v>
      </c>
      <c r="D336" s="4" t="s">
        <v>24</v>
      </c>
      <c r="E336" s="4" t="s">
        <v>24</v>
      </c>
      <c r="F336" s="4" t="s">
        <v>25</v>
      </c>
      <c r="G336" s="4" t="s">
        <v>25</v>
      </c>
      <c r="H336" s="4" t="s">
        <v>25</v>
      </c>
      <c r="I336" s="5">
        <v>44501</v>
      </c>
      <c r="J336" s="6">
        <v>0</v>
      </c>
      <c r="K336" s="6">
        <v>0</v>
      </c>
      <c r="L336" s="6">
        <v>-5.8</v>
      </c>
      <c r="M336" s="6">
        <v>-5.8</v>
      </c>
      <c r="N336" s="6">
        <v>-5.8</v>
      </c>
      <c r="O336" s="6">
        <v>-5.8</v>
      </c>
      <c r="P336" s="6">
        <v>0</v>
      </c>
      <c r="Q336" s="4" t="s">
        <v>26</v>
      </c>
      <c r="R336" s="4">
        <v>0</v>
      </c>
      <c r="S336" s="6">
        <v>0</v>
      </c>
      <c r="T336" s="6">
        <v>2</v>
      </c>
      <c r="U336" s="6">
        <v>41</v>
      </c>
      <c r="V336" s="6">
        <f>IF(ISERROR(VLOOKUP($S$336,'TAR FIN'!$A$1:$O$86,15,0)),0,VLOOKUP($S$336,'TAR FIN'!$A$1:$O$86,15,0))</f>
        <v>0</v>
      </c>
      <c r="W336" s="6">
        <f>IF(ISERROR(VLOOKUP($T$336,'TAR FIN'!$A$1:$O$86,15,0)),0,VLOOKUP($T$336,'TAR FIN'!$A$1:$O$86,15,0))</f>
        <v>338.51</v>
      </c>
      <c r="X336" s="6">
        <f>IF(ISERROR(VLOOKUP($U$336,'TAR FIN'!$A$1:$O$86,15,0)),0,VLOOKUP($U$336,'TAR FIN'!$A$1:$O$86,15,0))</f>
        <v>224.01</v>
      </c>
      <c r="Y336" s="6"/>
      <c r="Z336" s="6">
        <f ca="1">('TUSD BE'!$AM$20+'TUSD BF'!$AM$20+'TUSD CVA'!$AM$20)*1</f>
        <v>417.58832886049538</v>
      </c>
      <c r="AA336" s="6">
        <f>('TE BE'!$AB$11+'TE BF'!$AB$11+'TE CVA'!$AB$11)*1</f>
        <v>234.64376439748159</v>
      </c>
      <c r="AB336" s="6">
        <f>$K$336*$V$336</f>
        <v>0</v>
      </c>
      <c r="AC336" s="6">
        <f>$M$336*$W$336</f>
        <v>-1963.3579999999999</v>
      </c>
      <c r="AD336" s="6">
        <f>$O$336*$X$336</f>
        <v>-1299.2579999999998</v>
      </c>
      <c r="AE336" s="6">
        <f>$K$336*$Y$336</f>
        <v>0</v>
      </c>
      <c r="AF336" s="6">
        <f ca="1">$M$336*$Z$336</f>
        <v>-2422.012307390873</v>
      </c>
      <c r="AG336" s="6">
        <f>$O$336*$AA$336</f>
        <v>-1360.9338335053931</v>
      </c>
    </row>
    <row r="337" spans="1:33" ht="11.25" customHeight="1" x14ac:dyDescent="0.25">
      <c r="A337" s="4" t="s">
        <v>28</v>
      </c>
      <c r="B337" s="4" t="s">
        <v>22</v>
      </c>
      <c r="C337" s="4" t="s">
        <v>23</v>
      </c>
      <c r="D337" s="4" t="s">
        <v>24</v>
      </c>
      <c r="E337" s="4" t="s">
        <v>24</v>
      </c>
      <c r="F337" s="4" t="s">
        <v>25</v>
      </c>
      <c r="G337" s="4" t="s">
        <v>25</v>
      </c>
      <c r="H337" s="4" t="s">
        <v>25</v>
      </c>
      <c r="I337" s="5">
        <v>44501</v>
      </c>
      <c r="J337" s="6">
        <v>0</v>
      </c>
      <c r="K337" s="6">
        <v>0</v>
      </c>
      <c r="L337" s="6">
        <v>12.593</v>
      </c>
      <c r="M337" s="6">
        <v>12.593</v>
      </c>
      <c r="N337" s="6">
        <v>12.593</v>
      </c>
      <c r="O337" s="6">
        <v>12.593</v>
      </c>
      <c r="P337" s="6">
        <v>89</v>
      </c>
      <c r="Q337" s="4" t="s">
        <v>26</v>
      </c>
      <c r="R337" s="4">
        <v>0</v>
      </c>
      <c r="S337" s="6">
        <v>0</v>
      </c>
      <c r="T337" s="6">
        <v>2</v>
      </c>
      <c r="U337" s="6">
        <v>41</v>
      </c>
      <c r="V337" s="6">
        <f>IF(ISERROR(VLOOKUP($S$337,'TAR FIN'!$A$1:$O$86,15,0)),0,VLOOKUP($S$337,'TAR FIN'!$A$1:$O$86,15,0))</f>
        <v>0</v>
      </c>
      <c r="W337" s="6">
        <f>IF(ISERROR(VLOOKUP($T$337,'TAR FIN'!$A$1:$O$86,15,0)),0,VLOOKUP($T$337,'TAR FIN'!$A$1:$O$86,15,0))</f>
        <v>338.51</v>
      </c>
      <c r="X337" s="6">
        <f>IF(ISERROR(VLOOKUP($U$337,'TAR FIN'!$A$1:$O$86,15,0)),0,VLOOKUP($U$337,'TAR FIN'!$A$1:$O$86,15,0))</f>
        <v>224.01</v>
      </c>
      <c r="Y337" s="6"/>
      <c r="Z337" s="6">
        <f ca="1">('TUSD BE'!$AM$20+'TUSD BF'!$AM$20+'TUSD CVA'!$AM$20)*1</f>
        <v>417.58832886049538</v>
      </c>
      <c r="AA337" s="6">
        <f>('TE BE'!$AB$11+'TE BF'!$AB$11+'TE CVA'!$AB$11)*1</f>
        <v>234.64376439748159</v>
      </c>
      <c r="AB337" s="6">
        <f>$K$337*$V$337</f>
        <v>0</v>
      </c>
      <c r="AC337" s="6">
        <f>$M$337*$W$337</f>
        <v>4262.8564299999998</v>
      </c>
      <c r="AD337" s="6">
        <f>$O$337*$X$337</f>
        <v>2820.95793</v>
      </c>
      <c r="AE337" s="6">
        <f>$K$337*$Y$337</f>
        <v>0</v>
      </c>
      <c r="AF337" s="6">
        <f ca="1">$M$337*$Z$337</f>
        <v>5258.6898253402187</v>
      </c>
      <c r="AG337" s="6">
        <f>$O$337*$AA$337</f>
        <v>2954.8689250574857</v>
      </c>
    </row>
    <row r="338" spans="1:33" ht="11.25" customHeight="1" x14ac:dyDescent="0.25">
      <c r="A338" s="4" t="s">
        <v>21</v>
      </c>
      <c r="B338" s="4" t="s">
        <v>22</v>
      </c>
      <c r="C338" s="4" t="s">
        <v>23</v>
      </c>
      <c r="D338" s="4" t="s">
        <v>24</v>
      </c>
      <c r="E338" s="4" t="s">
        <v>24</v>
      </c>
      <c r="F338" s="4" t="s">
        <v>25</v>
      </c>
      <c r="G338" s="4" t="s">
        <v>25</v>
      </c>
      <c r="H338" s="4" t="s">
        <v>25</v>
      </c>
      <c r="I338" s="5">
        <v>44531</v>
      </c>
      <c r="J338" s="6">
        <v>0</v>
      </c>
      <c r="K338" s="6">
        <v>0</v>
      </c>
      <c r="L338" s="6">
        <v>5234.1000000000004</v>
      </c>
      <c r="M338" s="6">
        <v>5234.1000000000004</v>
      </c>
      <c r="N338" s="6">
        <v>5234.1000000000004</v>
      </c>
      <c r="O338" s="6">
        <v>5234.1000000000004</v>
      </c>
      <c r="P338" s="6">
        <v>34261</v>
      </c>
      <c r="Q338" s="4" t="s">
        <v>26</v>
      </c>
      <c r="R338" s="4">
        <v>0</v>
      </c>
      <c r="S338" s="6">
        <v>0</v>
      </c>
      <c r="T338" s="6">
        <v>2</v>
      </c>
      <c r="U338" s="6">
        <v>41</v>
      </c>
      <c r="V338" s="6">
        <f>IF(ISERROR(VLOOKUP($S$338,'TAR FIN'!$A$1:$O$86,15,0)),0,VLOOKUP($S$338,'TAR FIN'!$A$1:$O$86,15,0))</f>
        <v>0</v>
      </c>
      <c r="W338" s="6">
        <f>IF(ISERROR(VLOOKUP($T$338,'TAR FIN'!$A$1:$O$86,15,0)),0,VLOOKUP($T$338,'TAR FIN'!$A$1:$O$86,15,0))</f>
        <v>338.51</v>
      </c>
      <c r="X338" s="6">
        <f>IF(ISERROR(VLOOKUP($U$338,'TAR FIN'!$A$1:$O$86,15,0)),0,VLOOKUP($U$338,'TAR FIN'!$A$1:$O$86,15,0))</f>
        <v>224.01</v>
      </c>
      <c r="Y338" s="6"/>
      <c r="Z338" s="6">
        <f ca="1">('TUSD BE'!$AM$20+'TUSD BF'!$AM$20+'TUSD CVA'!$AM$20)*1</f>
        <v>417.58832886049538</v>
      </c>
      <c r="AA338" s="6">
        <f>('TE BE'!$AB$11+'TE BF'!$AB$11+'TE CVA'!$AB$11)*1</f>
        <v>234.64376439748159</v>
      </c>
      <c r="AB338" s="6">
        <f>$K$338*$V$338</f>
        <v>0</v>
      </c>
      <c r="AC338" s="6">
        <f>$M$338*$W$338</f>
        <v>1771795.1910000001</v>
      </c>
      <c r="AD338" s="6">
        <f>$O$338*$X$338</f>
        <v>1172490.7409999999</v>
      </c>
      <c r="AE338" s="6">
        <f>$K$338*$Y$338</f>
        <v>0</v>
      </c>
      <c r="AF338" s="6">
        <f ca="1">$M$338*$Z$338</f>
        <v>2185699.0720887189</v>
      </c>
      <c r="AG338" s="6">
        <f>$O$338*$AA$338</f>
        <v>1228148.9272328585</v>
      </c>
    </row>
    <row r="339" spans="1:33" ht="11.25" customHeight="1" x14ac:dyDescent="0.25">
      <c r="A339" s="4" t="s">
        <v>27</v>
      </c>
      <c r="B339" s="4" t="s">
        <v>22</v>
      </c>
      <c r="C339" s="4" t="s">
        <v>23</v>
      </c>
      <c r="D339" s="4" t="s">
        <v>24</v>
      </c>
      <c r="E339" s="4" t="s">
        <v>24</v>
      </c>
      <c r="F339" s="4" t="s">
        <v>25</v>
      </c>
      <c r="G339" s="4" t="s">
        <v>25</v>
      </c>
      <c r="H339" s="4" t="s">
        <v>25</v>
      </c>
      <c r="I339" s="5">
        <v>44531</v>
      </c>
      <c r="J339" s="6">
        <v>0</v>
      </c>
      <c r="K339" s="6">
        <v>0</v>
      </c>
      <c r="L339" s="6">
        <v>-5.3869999999999996</v>
      </c>
      <c r="M339" s="6">
        <v>-5.3869999999999996</v>
      </c>
      <c r="N339" s="6">
        <v>-5.3869999999999996</v>
      </c>
      <c r="O339" s="6">
        <v>-5.3869999999999996</v>
      </c>
      <c r="P339" s="6">
        <v>0</v>
      </c>
      <c r="Q339" s="4" t="s">
        <v>26</v>
      </c>
      <c r="R339" s="4">
        <v>0</v>
      </c>
      <c r="S339" s="6">
        <v>0</v>
      </c>
      <c r="T339" s="6">
        <v>2</v>
      </c>
      <c r="U339" s="6">
        <v>41</v>
      </c>
      <c r="V339" s="6">
        <f>IF(ISERROR(VLOOKUP($S$339,'TAR FIN'!$A$1:$O$86,15,0)),0,VLOOKUP($S$339,'TAR FIN'!$A$1:$O$86,15,0))</f>
        <v>0</v>
      </c>
      <c r="W339" s="6">
        <f>IF(ISERROR(VLOOKUP($T$339,'TAR FIN'!$A$1:$O$86,15,0)),0,VLOOKUP($T$339,'TAR FIN'!$A$1:$O$86,15,0))</f>
        <v>338.51</v>
      </c>
      <c r="X339" s="6">
        <f>IF(ISERROR(VLOOKUP($U$339,'TAR FIN'!$A$1:$O$86,15,0)),0,VLOOKUP($U$339,'TAR FIN'!$A$1:$O$86,15,0))</f>
        <v>224.01</v>
      </c>
      <c r="Y339" s="6"/>
      <c r="Z339" s="6">
        <f ca="1">('TUSD BE'!$AM$20+'TUSD BF'!$AM$20+'TUSD CVA'!$AM$20)*1</f>
        <v>417.58832886049538</v>
      </c>
      <c r="AA339" s="6">
        <f>('TE BE'!$AB$11+'TE BF'!$AB$11+'TE CVA'!$AB$11)*1</f>
        <v>234.64376439748159</v>
      </c>
      <c r="AB339" s="6">
        <f>$K$339*$V$339</f>
        <v>0</v>
      </c>
      <c r="AC339" s="6">
        <f>$M$339*$W$339</f>
        <v>-1823.5533699999999</v>
      </c>
      <c r="AD339" s="6">
        <f>$O$339*$X$339</f>
        <v>-1206.7418699999998</v>
      </c>
      <c r="AE339" s="6">
        <f>$K$339*$Y$339</f>
        <v>0</v>
      </c>
      <c r="AF339" s="6">
        <f ca="1">$M$339*$Z$339</f>
        <v>-2249.5483275714882</v>
      </c>
      <c r="AG339" s="6">
        <f>$O$339*$AA$339</f>
        <v>-1264.0259588092333</v>
      </c>
    </row>
    <row r="340" spans="1:33" ht="11.25" customHeight="1" x14ac:dyDescent="0.25">
      <c r="A340" s="4" t="s">
        <v>28</v>
      </c>
      <c r="B340" s="4" t="s">
        <v>22</v>
      </c>
      <c r="C340" s="4" t="s">
        <v>23</v>
      </c>
      <c r="D340" s="4" t="s">
        <v>24</v>
      </c>
      <c r="E340" s="4" t="s">
        <v>24</v>
      </c>
      <c r="F340" s="4" t="s">
        <v>25</v>
      </c>
      <c r="G340" s="4" t="s">
        <v>25</v>
      </c>
      <c r="H340" s="4" t="s">
        <v>25</v>
      </c>
      <c r="I340" s="5">
        <v>44531</v>
      </c>
      <c r="J340" s="6">
        <v>0</v>
      </c>
      <c r="K340" s="6">
        <v>0</v>
      </c>
      <c r="L340" s="6">
        <v>12.22</v>
      </c>
      <c r="M340" s="6">
        <v>12.22</v>
      </c>
      <c r="N340" s="6">
        <v>12.22</v>
      </c>
      <c r="O340" s="6">
        <v>12.22</v>
      </c>
      <c r="P340" s="6">
        <v>97</v>
      </c>
      <c r="Q340" s="4" t="s">
        <v>26</v>
      </c>
      <c r="R340" s="4">
        <v>0</v>
      </c>
      <c r="S340" s="6">
        <v>0</v>
      </c>
      <c r="T340" s="6">
        <v>2</v>
      </c>
      <c r="U340" s="6">
        <v>41</v>
      </c>
      <c r="V340" s="6">
        <f>IF(ISERROR(VLOOKUP($S$340,'TAR FIN'!$A$1:$O$86,15,0)),0,VLOOKUP($S$340,'TAR FIN'!$A$1:$O$86,15,0))</f>
        <v>0</v>
      </c>
      <c r="W340" s="6">
        <f>IF(ISERROR(VLOOKUP($T$340,'TAR FIN'!$A$1:$O$86,15,0)),0,VLOOKUP($T$340,'TAR FIN'!$A$1:$O$86,15,0))</f>
        <v>338.51</v>
      </c>
      <c r="X340" s="6">
        <f>IF(ISERROR(VLOOKUP($U$340,'TAR FIN'!$A$1:$O$86,15,0)),0,VLOOKUP($U$340,'TAR FIN'!$A$1:$O$86,15,0))</f>
        <v>224.01</v>
      </c>
      <c r="Y340" s="6"/>
      <c r="Z340" s="6">
        <f ca="1">('TUSD BE'!$AM$20+'TUSD BF'!$AM$20+'TUSD CVA'!$AM$20)*1</f>
        <v>417.58832886049538</v>
      </c>
      <c r="AA340" s="6">
        <f>('TE BE'!$AB$11+'TE BF'!$AB$11+'TE CVA'!$AB$11)*1</f>
        <v>234.64376439748159</v>
      </c>
      <c r="AB340" s="6">
        <f>$K$340*$V$340</f>
        <v>0</v>
      </c>
      <c r="AC340" s="6">
        <f>$M$340*$W$340</f>
        <v>4136.5922</v>
      </c>
      <c r="AD340" s="6">
        <f>$O$340*$X$340</f>
        <v>2737.4022</v>
      </c>
      <c r="AE340" s="6">
        <f>$K$340*$Y$340</f>
        <v>0</v>
      </c>
      <c r="AF340" s="6">
        <f ca="1">$M$340*$Z$340</f>
        <v>5102.9293786752542</v>
      </c>
      <c r="AG340" s="6">
        <f>$O$340*$AA$340</f>
        <v>2867.346800937225</v>
      </c>
    </row>
    <row r="341" spans="1:33" ht="11.25" customHeight="1" x14ac:dyDescent="0.25">
      <c r="A341" s="4" t="s">
        <v>21</v>
      </c>
      <c r="B341" s="4" t="s">
        <v>22</v>
      </c>
      <c r="C341" s="4" t="s">
        <v>23</v>
      </c>
      <c r="D341" s="4" t="s">
        <v>24</v>
      </c>
      <c r="E341" s="4" t="s">
        <v>24</v>
      </c>
      <c r="F341" s="4" t="s">
        <v>25</v>
      </c>
      <c r="G341" s="4" t="s">
        <v>25</v>
      </c>
      <c r="H341" s="4" t="s">
        <v>25</v>
      </c>
      <c r="I341" s="5">
        <v>44562</v>
      </c>
      <c r="J341" s="6">
        <v>0</v>
      </c>
      <c r="K341" s="6">
        <v>0</v>
      </c>
      <c r="L341" s="6">
        <v>7849.884</v>
      </c>
      <c r="M341" s="6">
        <v>7849.884</v>
      </c>
      <c r="N341" s="6">
        <v>7849.884</v>
      </c>
      <c r="O341" s="6">
        <v>7849.884</v>
      </c>
      <c r="P341" s="6">
        <v>34480</v>
      </c>
      <c r="Q341" s="4" t="s">
        <v>26</v>
      </c>
      <c r="R341" s="4">
        <v>0</v>
      </c>
      <c r="S341" s="6">
        <v>0</v>
      </c>
      <c r="T341" s="6">
        <v>2</v>
      </c>
      <c r="U341" s="6">
        <v>41</v>
      </c>
      <c r="V341" s="6">
        <f>IF(ISERROR(VLOOKUP($S$341,'TAR FIN'!$A$1:$O$86,15,0)),0,VLOOKUP($S$341,'TAR FIN'!$A$1:$O$86,15,0))</f>
        <v>0</v>
      </c>
      <c r="W341" s="6">
        <f>IF(ISERROR(VLOOKUP($T$341,'TAR FIN'!$A$1:$O$86,15,0)),0,VLOOKUP($T$341,'TAR FIN'!$A$1:$O$86,15,0))</f>
        <v>338.51</v>
      </c>
      <c r="X341" s="6">
        <f>IF(ISERROR(VLOOKUP($U$341,'TAR FIN'!$A$1:$O$86,15,0)),0,VLOOKUP($U$341,'TAR FIN'!$A$1:$O$86,15,0))</f>
        <v>224.01</v>
      </c>
      <c r="Y341" s="6"/>
      <c r="Z341" s="6">
        <f ca="1">('TUSD BE'!$AM$20+'TUSD BF'!$AM$20+'TUSD CVA'!$AM$20)*1</f>
        <v>417.58832886049538</v>
      </c>
      <c r="AA341" s="6">
        <f>('TE BE'!$AB$11+'TE BF'!$AB$11+'TE CVA'!$AB$11)*1</f>
        <v>234.64376439748159</v>
      </c>
      <c r="AB341" s="6">
        <f>$K$341*$V$341</f>
        <v>0</v>
      </c>
      <c r="AC341" s="6">
        <f>$M$341*$W$341</f>
        <v>2657264.2328399997</v>
      </c>
      <c r="AD341" s="6">
        <f>$O$341*$X$341</f>
        <v>1758452.5148399998</v>
      </c>
      <c r="AE341" s="6">
        <f>$K$341*$Y$341</f>
        <v>0</v>
      </c>
      <c r="AF341" s="6">
        <f ca="1">$M$341*$Z$341</f>
        <v>3278019.941308741</v>
      </c>
      <c r="AG341" s="6">
        <f>$O$341*$AA$341</f>
        <v>1841926.3318435603</v>
      </c>
    </row>
    <row r="342" spans="1:33" ht="11.25" customHeight="1" x14ac:dyDescent="0.25">
      <c r="A342" s="4" t="s">
        <v>27</v>
      </c>
      <c r="B342" s="4" t="s">
        <v>22</v>
      </c>
      <c r="C342" s="4" t="s">
        <v>23</v>
      </c>
      <c r="D342" s="4" t="s">
        <v>24</v>
      </c>
      <c r="E342" s="4" t="s">
        <v>24</v>
      </c>
      <c r="F342" s="4" t="s">
        <v>25</v>
      </c>
      <c r="G342" s="4" t="s">
        <v>25</v>
      </c>
      <c r="H342" s="4" t="s">
        <v>25</v>
      </c>
      <c r="I342" s="5">
        <v>44562</v>
      </c>
      <c r="J342" s="6">
        <v>0</v>
      </c>
      <c r="K342" s="6">
        <v>0</v>
      </c>
      <c r="L342" s="6">
        <v>-6.492</v>
      </c>
      <c r="M342" s="6">
        <v>-6.492</v>
      </c>
      <c r="N342" s="6">
        <v>-6.492</v>
      </c>
      <c r="O342" s="6">
        <v>-6.492</v>
      </c>
      <c r="P342" s="6">
        <v>0</v>
      </c>
      <c r="Q342" s="4" t="s">
        <v>26</v>
      </c>
      <c r="R342" s="4">
        <v>0</v>
      </c>
      <c r="S342" s="6">
        <v>0</v>
      </c>
      <c r="T342" s="6">
        <v>2</v>
      </c>
      <c r="U342" s="6">
        <v>41</v>
      </c>
      <c r="V342" s="6">
        <f>IF(ISERROR(VLOOKUP($S$342,'TAR FIN'!$A$1:$O$86,15,0)),0,VLOOKUP($S$342,'TAR FIN'!$A$1:$O$86,15,0))</f>
        <v>0</v>
      </c>
      <c r="W342" s="6">
        <f>IF(ISERROR(VLOOKUP($T$342,'TAR FIN'!$A$1:$O$86,15,0)),0,VLOOKUP($T$342,'TAR FIN'!$A$1:$O$86,15,0))</f>
        <v>338.51</v>
      </c>
      <c r="X342" s="6">
        <f>IF(ISERROR(VLOOKUP($U$342,'TAR FIN'!$A$1:$O$86,15,0)),0,VLOOKUP($U$342,'TAR FIN'!$A$1:$O$86,15,0))</f>
        <v>224.01</v>
      </c>
      <c r="Y342" s="6"/>
      <c r="Z342" s="6">
        <f ca="1">('TUSD BE'!$AM$20+'TUSD BF'!$AM$20+'TUSD CVA'!$AM$20)*1</f>
        <v>417.58832886049538</v>
      </c>
      <c r="AA342" s="6">
        <f>('TE BE'!$AB$11+'TE BF'!$AB$11+'TE CVA'!$AB$11)*1</f>
        <v>234.64376439748159</v>
      </c>
      <c r="AB342" s="6">
        <f>$K$342*$V$342</f>
        <v>0</v>
      </c>
      <c r="AC342" s="6">
        <f>$M$342*$W$342</f>
        <v>-2197.6069199999997</v>
      </c>
      <c r="AD342" s="6">
        <f>$O$342*$X$342</f>
        <v>-1454.2729199999999</v>
      </c>
      <c r="AE342" s="6">
        <f>$K$342*$Y$342</f>
        <v>0</v>
      </c>
      <c r="AF342" s="6">
        <f ca="1">$M$342*$Z$342</f>
        <v>-2710.9834309623361</v>
      </c>
      <c r="AG342" s="6">
        <f>$O$342*$AA$342</f>
        <v>-1523.3073184684504</v>
      </c>
    </row>
    <row r="343" spans="1:33" ht="11.25" customHeight="1" x14ac:dyDescent="0.25">
      <c r="A343" s="4" t="s">
        <v>28</v>
      </c>
      <c r="B343" s="4" t="s">
        <v>22</v>
      </c>
      <c r="C343" s="4" t="s">
        <v>23</v>
      </c>
      <c r="D343" s="4" t="s">
        <v>24</v>
      </c>
      <c r="E343" s="4" t="s">
        <v>24</v>
      </c>
      <c r="F343" s="4" t="s">
        <v>25</v>
      </c>
      <c r="G343" s="4" t="s">
        <v>25</v>
      </c>
      <c r="H343" s="4" t="s">
        <v>25</v>
      </c>
      <c r="I343" s="5">
        <v>44562</v>
      </c>
      <c r="J343" s="6">
        <v>0</v>
      </c>
      <c r="K343" s="6">
        <v>0</v>
      </c>
      <c r="L343" s="6">
        <v>20.792000000000002</v>
      </c>
      <c r="M343" s="6">
        <v>20.792000000000002</v>
      </c>
      <c r="N343" s="6">
        <v>20.792000000000002</v>
      </c>
      <c r="O343" s="6">
        <v>20.792000000000002</v>
      </c>
      <c r="P343" s="6">
        <v>112</v>
      </c>
      <c r="Q343" s="4" t="s">
        <v>26</v>
      </c>
      <c r="R343" s="4">
        <v>0</v>
      </c>
      <c r="S343" s="6">
        <v>0</v>
      </c>
      <c r="T343" s="6">
        <v>2</v>
      </c>
      <c r="U343" s="6">
        <v>41</v>
      </c>
      <c r="V343" s="6">
        <f>IF(ISERROR(VLOOKUP($S$343,'TAR FIN'!$A$1:$O$86,15,0)),0,VLOOKUP($S$343,'TAR FIN'!$A$1:$O$86,15,0))</f>
        <v>0</v>
      </c>
      <c r="W343" s="6">
        <f>IF(ISERROR(VLOOKUP($T$343,'TAR FIN'!$A$1:$O$86,15,0)),0,VLOOKUP($T$343,'TAR FIN'!$A$1:$O$86,15,0))</f>
        <v>338.51</v>
      </c>
      <c r="X343" s="6">
        <f>IF(ISERROR(VLOOKUP($U$343,'TAR FIN'!$A$1:$O$86,15,0)),0,VLOOKUP($U$343,'TAR FIN'!$A$1:$O$86,15,0))</f>
        <v>224.01</v>
      </c>
      <c r="Y343" s="6"/>
      <c r="Z343" s="6">
        <f ca="1">('TUSD BE'!$AM$20+'TUSD BF'!$AM$20+'TUSD CVA'!$AM$20)*1</f>
        <v>417.58832886049538</v>
      </c>
      <c r="AA343" s="6">
        <f>('TE BE'!$AB$11+'TE BF'!$AB$11+'TE CVA'!$AB$11)*1</f>
        <v>234.64376439748159</v>
      </c>
      <c r="AB343" s="6">
        <f>$K$343*$V$343</f>
        <v>0</v>
      </c>
      <c r="AC343" s="6">
        <f>$M$343*$W$343</f>
        <v>7038.2999200000004</v>
      </c>
      <c r="AD343" s="6">
        <f>$O$343*$X$343</f>
        <v>4657.6159200000002</v>
      </c>
      <c r="AE343" s="6">
        <f>$K$343*$Y$343</f>
        <v>0</v>
      </c>
      <c r="AF343" s="6">
        <f ca="1">$M$343*$Z$343</f>
        <v>8682.4965336674213</v>
      </c>
      <c r="AG343" s="6">
        <f>$O$343*$AA$343</f>
        <v>4878.7131493524375</v>
      </c>
    </row>
    <row r="344" spans="1:33" ht="11.25" customHeight="1" x14ac:dyDescent="0.25">
      <c r="A344" s="4" t="s">
        <v>28</v>
      </c>
      <c r="B344" s="4" t="s">
        <v>22</v>
      </c>
      <c r="C344" s="4" t="s">
        <v>23</v>
      </c>
      <c r="D344" s="4" t="s">
        <v>24</v>
      </c>
      <c r="E344" s="4" t="s">
        <v>24</v>
      </c>
      <c r="F344" s="4" t="s">
        <v>25</v>
      </c>
      <c r="G344" s="4" t="s">
        <v>25</v>
      </c>
      <c r="H344" s="4" t="s">
        <v>25</v>
      </c>
      <c r="I344" s="5">
        <v>44562</v>
      </c>
      <c r="J344" s="6">
        <v>0</v>
      </c>
      <c r="K344" s="6">
        <v>0</v>
      </c>
      <c r="L344" s="6">
        <v>-0.123</v>
      </c>
      <c r="M344" s="6">
        <v>-0.123</v>
      </c>
      <c r="N344" s="6">
        <v>-0.123</v>
      </c>
      <c r="O344" s="6">
        <v>-0.123</v>
      </c>
      <c r="P344" s="6">
        <v>2</v>
      </c>
      <c r="Q344" s="4" t="s">
        <v>26</v>
      </c>
      <c r="R344" s="4">
        <v>0</v>
      </c>
      <c r="S344" s="6">
        <v>0</v>
      </c>
      <c r="T344" s="6">
        <v>2</v>
      </c>
      <c r="U344" s="6">
        <v>41</v>
      </c>
      <c r="V344" s="6">
        <f>IF(ISERROR(VLOOKUP($S$344,'TAR FIN'!$A$1:$O$86,15,0)),0,VLOOKUP($S$344,'TAR FIN'!$A$1:$O$86,15,0))</f>
        <v>0</v>
      </c>
      <c r="W344" s="6">
        <f>IF(ISERROR(VLOOKUP($T$344,'TAR FIN'!$A$1:$O$86,15,0)),0,VLOOKUP($T$344,'TAR FIN'!$A$1:$O$86,15,0))</f>
        <v>338.51</v>
      </c>
      <c r="X344" s="6">
        <f>IF(ISERROR(VLOOKUP($U$344,'TAR FIN'!$A$1:$O$86,15,0)),0,VLOOKUP($U$344,'TAR FIN'!$A$1:$O$86,15,0))</f>
        <v>224.01</v>
      </c>
      <c r="Y344" s="6"/>
      <c r="Z344" s="6">
        <f ca="1">('TUSD BE'!$AM$20+'TUSD BF'!$AM$20+'TUSD CVA'!$AM$20)*1</f>
        <v>417.58832886049538</v>
      </c>
      <c r="AA344" s="6">
        <f>('TE BE'!$AB$11+'TE BF'!$AB$11+'TE CVA'!$AB$11)*1</f>
        <v>234.64376439748159</v>
      </c>
      <c r="AB344" s="6">
        <f>$K$344*$V$344</f>
        <v>0</v>
      </c>
      <c r="AC344" s="6">
        <f>$M$344*$W$344</f>
        <v>-41.63673</v>
      </c>
      <c r="AD344" s="6">
        <f>$O$344*$X$344</f>
        <v>-27.553229999999999</v>
      </c>
      <c r="AE344" s="6">
        <f>$K$344*$Y$344</f>
        <v>0</v>
      </c>
      <c r="AF344" s="6">
        <f ca="1">$M$344*$Z$344</f>
        <v>-51.36336444984093</v>
      </c>
      <c r="AG344" s="6">
        <f>$O$344*$AA$344</f>
        <v>-28.861183020890234</v>
      </c>
    </row>
    <row r="345" spans="1:33" ht="11.25" customHeight="1" x14ac:dyDescent="0.25">
      <c r="A345" s="4" t="s">
        <v>21</v>
      </c>
      <c r="B345" s="4" t="s">
        <v>22</v>
      </c>
      <c r="C345" s="4" t="s">
        <v>23</v>
      </c>
      <c r="D345" s="4" t="s">
        <v>24</v>
      </c>
      <c r="E345" s="4" t="s">
        <v>24</v>
      </c>
      <c r="F345" s="4" t="s">
        <v>25</v>
      </c>
      <c r="G345" s="4" t="s">
        <v>25</v>
      </c>
      <c r="H345" s="4" t="s">
        <v>25</v>
      </c>
      <c r="I345" s="5">
        <v>44593</v>
      </c>
      <c r="J345" s="6">
        <v>0</v>
      </c>
      <c r="K345" s="6">
        <v>0</v>
      </c>
      <c r="L345" s="6">
        <v>7514.75</v>
      </c>
      <c r="M345" s="6">
        <v>7514.75</v>
      </c>
      <c r="N345" s="6">
        <v>7514.75</v>
      </c>
      <c r="O345" s="6">
        <v>7514.75</v>
      </c>
      <c r="P345" s="6">
        <v>34521</v>
      </c>
      <c r="Q345" s="4" t="s">
        <v>26</v>
      </c>
      <c r="R345" s="4">
        <v>0</v>
      </c>
      <c r="S345" s="6">
        <v>0</v>
      </c>
      <c r="T345" s="6">
        <v>2</v>
      </c>
      <c r="U345" s="6">
        <v>41</v>
      </c>
      <c r="V345" s="6">
        <f>IF(ISERROR(VLOOKUP($S$345,'TAR FIN'!$A$1:$O$86,15,0)),0,VLOOKUP($S$345,'TAR FIN'!$A$1:$O$86,15,0))</f>
        <v>0</v>
      </c>
      <c r="W345" s="6">
        <f>IF(ISERROR(VLOOKUP($T$345,'TAR FIN'!$A$1:$O$86,15,0)),0,VLOOKUP($T$345,'TAR FIN'!$A$1:$O$86,15,0))</f>
        <v>338.51</v>
      </c>
      <c r="X345" s="6">
        <f>IF(ISERROR(VLOOKUP($U$345,'TAR FIN'!$A$1:$O$86,15,0)),0,VLOOKUP($U$345,'TAR FIN'!$A$1:$O$86,15,0))</f>
        <v>224.01</v>
      </c>
      <c r="Y345" s="6"/>
      <c r="Z345" s="6">
        <f ca="1">('TUSD BE'!$AM$20+'TUSD BF'!$AM$20+'TUSD CVA'!$AM$20)*1</f>
        <v>417.58832886049538</v>
      </c>
      <c r="AA345" s="6">
        <f>('TE BE'!$AB$11+'TE BF'!$AB$11+'TE CVA'!$AB$11)*1</f>
        <v>234.64376439748159</v>
      </c>
      <c r="AB345" s="6">
        <f>$K$345*$V$345</f>
        <v>0</v>
      </c>
      <c r="AC345" s="6">
        <f>$M$345*$W$345</f>
        <v>2543818.0225</v>
      </c>
      <c r="AD345" s="6">
        <f>$O$345*$X$345</f>
        <v>1683379.1475</v>
      </c>
      <c r="AE345" s="6">
        <f>$K$345*$Y$345</f>
        <v>0</v>
      </c>
      <c r="AF345" s="6">
        <f ca="1">$M$345*$Z$345</f>
        <v>3138071.8943044078</v>
      </c>
      <c r="AG345" s="6">
        <f>$O$345*$AA$345</f>
        <v>1763289.2285059749</v>
      </c>
    </row>
    <row r="346" spans="1:33" ht="11.25" customHeight="1" x14ac:dyDescent="0.25">
      <c r="A346" s="4" t="s">
        <v>27</v>
      </c>
      <c r="B346" s="4" t="s">
        <v>22</v>
      </c>
      <c r="C346" s="4" t="s">
        <v>23</v>
      </c>
      <c r="D346" s="4" t="s">
        <v>24</v>
      </c>
      <c r="E346" s="4" t="s">
        <v>24</v>
      </c>
      <c r="F346" s="4" t="s">
        <v>25</v>
      </c>
      <c r="G346" s="4" t="s">
        <v>25</v>
      </c>
      <c r="H346" s="4" t="s">
        <v>25</v>
      </c>
      <c r="I346" s="5">
        <v>44593</v>
      </c>
      <c r="J346" s="6">
        <v>0</v>
      </c>
      <c r="K346" s="6">
        <v>0</v>
      </c>
      <c r="L346" s="6">
        <v>-40.649000000000001</v>
      </c>
      <c r="M346" s="6">
        <v>-40.649000000000001</v>
      </c>
      <c r="N346" s="6">
        <v>-40.649000000000001</v>
      </c>
      <c r="O346" s="6">
        <v>-40.649000000000001</v>
      </c>
      <c r="P346" s="6">
        <v>0</v>
      </c>
      <c r="Q346" s="4" t="s">
        <v>26</v>
      </c>
      <c r="R346" s="4">
        <v>0</v>
      </c>
      <c r="S346" s="6">
        <v>0</v>
      </c>
      <c r="T346" s="6">
        <v>2</v>
      </c>
      <c r="U346" s="6">
        <v>41</v>
      </c>
      <c r="V346" s="6">
        <f>IF(ISERROR(VLOOKUP($S$346,'TAR FIN'!$A$1:$O$86,15,0)),0,VLOOKUP($S$346,'TAR FIN'!$A$1:$O$86,15,0))</f>
        <v>0</v>
      </c>
      <c r="W346" s="6">
        <f>IF(ISERROR(VLOOKUP($T$346,'TAR FIN'!$A$1:$O$86,15,0)),0,VLOOKUP($T$346,'TAR FIN'!$A$1:$O$86,15,0))</f>
        <v>338.51</v>
      </c>
      <c r="X346" s="6">
        <f>IF(ISERROR(VLOOKUP($U$346,'TAR FIN'!$A$1:$O$86,15,0)),0,VLOOKUP($U$346,'TAR FIN'!$A$1:$O$86,15,0))</f>
        <v>224.01</v>
      </c>
      <c r="Y346" s="6"/>
      <c r="Z346" s="6">
        <f ca="1">('TUSD BE'!$AM$20+'TUSD BF'!$AM$20+'TUSD CVA'!$AM$20)*1</f>
        <v>417.58832886049538</v>
      </c>
      <c r="AA346" s="6">
        <f>('TE BE'!$AB$11+'TE BF'!$AB$11+'TE CVA'!$AB$11)*1</f>
        <v>234.64376439748159</v>
      </c>
      <c r="AB346" s="6">
        <f>$K$346*$V$346</f>
        <v>0</v>
      </c>
      <c r="AC346" s="6">
        <f>$M$346*$W$346</f>
        <v>-13760.092989999999</v>
      </c>
      <c r="AD346" s="6">
        <f>$O$346*$X$346</f>
        <v>-9105.7824899999996</v>
      </c>
      <c r="AE346" s="6">
        <f>$K$346*$Y$346</f>
        <v>0</v>
      </c>
      <c r="AF346" s="6">
        <f ca="1">$M$346*$Z$346</f>
        <v>-16974.547979850278</v>
      </c>
      <c r="AG346" s="6">
        <f>$O$346*$AA$346</f>
        <v>-9538.0343789932285</v>
      </c>
    </row>
    <row r="347" spans="1:33" ht="11.25" customHeight="1" x14ac:dyDescent="0.25">
      <c r="A347" s="4" t="s">
        <v>28</v>
      </c>
      <c r="B347" s="4" t="s">
        <v>22</v>
      </c>
      <c r="C347" s="4" t="s">
        <v>23</v>
      </c>
      <c r="D347" s="4" t="s">
        <v>24</v>
      </c>
      <c r="E347" s="4" t="s">
        <v>24</v>
      </c>
      <c r="F347" s="4" t="s">
        <v>25</v>
      </c>
      <c r="G347" s="4" t="s">
        <v>25</v>
      </c>
      <c r="H347" s="4" t="s">
        <v>25</v>
      </c>
      <c r="I347" s="5">
        <v>44593</v>
      </c>
      <c r="J347" s="6">
        <v>0</v>
      </c>
      <c r="K347" s="6">
        <v>0</v>
      </c>
      <c r="L347" s="6">
        <v>26.545999999999999</v>
      </c>
      <c r="M347" s="6">
        <v>26.545999999999999</v>
      </c>
      <c r="N347" s="6">
        <v>26.545999999999999</v>
      </c>
      <c r="O347" s="6">
        <v>26.545999999999999</v>
      </c>
      <c r="P347" s="6">
        <v>125</v>
      </c>
      <c r="Q347" s="4" t="s">
        <v>26</v>
      </c>
      <c r="R347" s="4">
        <v>0</v>
      </c>
      <c r="S347" s="6">
        <v>0</v>
      </c>
      <c r="T347" s="6">
        <v>2</v>
      </c>
      <c r="U347" s="6">
        <v>41</v>
      </c>
      <c r="V347" s="6">
        <f>IF(ISERROR(VLOOKUP($S$347,'TAR FIN'!$A$1:$O$86,15,0)),0,VLOOKUP($S$347,'TAR FIN'!$A$1:$O$86,15,0))</f>
        <v>0</v>
      </c>
      <c r="W347" s="6">
        <f>IF(ISERROR(VLOOKUP($T$347,'TAR FIN'!$A$1:$O$86,15,0)),0,VLOOKUP($T$347,'TAR FIN'!$A$1:$O$86,15,0))</f>
        <v>338.51</v>
      </c>
      <c r="X347" s="6">
        <f>IF(ISERROR(VLOOKUP($U$347,'TAR FIN'!$A$1:$O$86,15,0)),0,VLOOKUP($U$347,'TAR FIN'!$A$1:$O$86,15,0))</f>
        <v>224.01</v>
      </c>
      <c r="Y347" s="6"/>
      <c r="Z347" s="6">
        <f ca="1">('TUSD BE'!$AM$20+'TUSD BF'!$AM$20+'TUSD CVA'!$AM$20)*1</f>
        <v>417.58832886049538</v>
      </c>
      <c r="AA347" s="6">
        <f>('TE BE'!$AB$11+'TE BF'!$AB$11+'TE CVA'!$AB$11)*1</f>
        <v>234.64376439748159</v>
      </c>
      <c r="AB347" s="6">
        <f>$K$347*$V$347</f>
        <v>0</v>
      </c>
      <c r="AC347" s="6">
        <f>$M$347*$W$347</f>
        <v>8986.0864600000004</v>
      </c>
      <c r="AD347" s="6">
        <f>$O$347*$X$347</f>
        <v>5946.5694599999997</v>
      </c>
      <c r="AE347" s="6">
        <f>$K$347*$Y$347</f>
        <v>0</v>
      </c>
      <c r="AF347" s="6">
        <f ca="1">$M$347*$Z$347</f>
        <v>11085.29977793071</v>
      </c>
      <c r="AG347" s="6">
        <f>$O$347*$AA$347</f>
        <v>6228.8533696955465</v>
      </c>
    </row>
    <row r="348" spans="1:33" ht="11.25" customHeight="1" x14ac:dyDescent="0.25">
      <c r="A348" s="4" t="s">
        <v>28</v>
      </c>
      <c r="B348" s="4" t="s">
        <v>22</v>
      </c>
      <c r="C348" s="4" t="s">
        <v>23</v>
      </c>
      <c r="D348" s="4" t="s">
        <v>24</v>
      </c>
      <c r="E348" s="4" t="s">
        <v>24</v>
      </c>
      <c r="F348" s="4" t="s">
        <v>25</v>
      </c>
      <c r="G348" s="4" t="s">
        <v>25</v>
      </c>
      <c r="H348" s="4" t="s">
        <v>25</v>
      </c>
      <c r="I348" s="5">
        <v>44593</v>
      </c>
      <c r="J348" s="6">
        <v>0</v>
      </c>
      <c r="K348" s="6">
        <v>0</v>
      </c>
      <c r="L348" s="6">
        <v>0.34799999999999998</v>
      </c>
      <c r="M348" s="6">
        <v>0.34799999999999998</v>
      </c>
      <c r="N348" s="6">
        <v>0.34799999999999998</v>
      </c>
      <c r="O348" s="6">
        <v>0.34799999999999998</v>
      </c>
      <c r="P348" s="6">
        <v>2</v>
      </c>
      <c r="Q348" s="4" t="s">
        <v>26</v>
      </c>
      <c r="R348" s="4">
        <v>0</v>
      </c>
      <c r="S348" s="6">
        <v>0</v>
      </c>
      <c r="T348" s="6">
        <v>2</v>
      </c>
      <c r="U348" s="6">
        <v>41</v>
      </c>
      <c r="V348" s="6">
        <f>IF(ISERROR(VLOOKUP($S$348,'TAR FIN'!$A$1:$O$86,15,0)),0,VLOOKUP($S$348,'TAR FIN'!$A$1:$O$86,15,0))</f>
        <v>0</v>
      </c>
      <c r="W348" s="6">
        <f>IF(ISERROR(VLOOKUP($T$348,'TAR FIN'!$A$1:$O$86,15,0)),0,VLOOKUP($T$348,'TAR FIN'!$A$1:$O$86,15,0))</f>
        <v>338.51</v>
      </c>
      <c r="X348" s="6">
        <f>IF(ISERROR(VLOOKUP($U$348,'TAR FIN'!$A$1:$O$86,15,0)),0,VLOOKUP($U$348,'TAR FIN'!$A$1:$O$86,15,0))</f>
        <v>224.01</v>
      </c>
      <c r="Y348" s="6"/>
      <c r="Z348" s="6">
        <f ca="1">('TUSD BE'!$AM$20+'TUSD BF'!$AM$20+'TUSD CVA'!$AM$20)*1</f>
        <v>417.58832886049538</v>
      </c>
      <c r="AA348" s="6">
        <f>('TE BE'!$AB$11+'TE BF'!$AB$11+'TE CVA'!$AB$11)*1</f>
        <v>234.64376439748159</v>
      </c>
      <c r="AB348" s="6">
        <f>$K$348*$V$348</f>
        <v>0</v>
      </c>
      <c r="AC348" s="6">
        <f>$M$348*$W$348</f>
        <v>117.80147999999998</v>
      </c>
      <c r="AD348" s="6">
        <f>$O$348*$X$348</f>
        <v>77.955479999999994</v>
      </c>
      <c r="AE348" s="6">
        <f>$K$348*$Y$348</f>
        <v>0</v>
      </c>
      <c r="AF348" s="6">
        <f ca="1">$M$348*$Z$348</f>
        <v>145.32073844345237</v>
      </c>
      <c r="AG348" s="6">
        <f>$O$348*$AA$348</f>
        <v>81.65603001032359</v>
      </c>
    </row>
    <row r="349" spans="1:33" ht="11.25" customHeight="1" x14ac:dyDescent="0.25">
      <c r="A349" s="4" t="s">
        <v>21</v>
      </c>
      <c r="B349" s="4" t="s">
        <v>22</v>
      </c>
      <c r="C349" s="4" t="s">
        <v>23</v>
      </c>
      <c r="D349" s="4" t="s">
        <v>24</v>
      </c>
      <c r="E349" s="4" t="s">
        <v>24</v>
      </c>
      <c r="F349" s="4" t="s">
        <v>25</v>
      </c>
      <c r="G349" s="4" t="s">
        <v>25</v>
      </c>
      <c r="H349" s="4" t="s">
        <v>25</v>
      </c>
      <c r="I349" s="5">
        <v>44621</v>
      </c>
      <c r="J349" s="6">
        <v>0</v>
      </c>
      <c r="K349" s="6">
        <v>0</v>
      </c>
      <c r="L349" s="6">
        <v>6618.0469999999996</v>
      </c>
      <c r="M349" s="6">
        <v>6618.0469999999996</v>
      </c>
      <c r="N349" s="6">
        <v>6618.0469999999996</v>
      </c>
      <c r="O349" s="6">
        <v>6618.0469999999996</v>
      </c>
      <c r="P349" s="6">
        <v>34509</v>
      </c>
      <c r="Q349" s="4" t="s">
        <v>26</v>
      </c>
      <c r="R349" s="4">
        <v>0</v>
      </c>
      <c r="S349" s="6">
        <v>0</v>
      </c>
      <c r="T349" s="6">
        <v>2</v>
      </c>
      <c r="U349" s="6">
        <v>41</v>
      </c>
      <c r="V349" s="6">
        <f>IF(ISERROR(VLOOKUP($S$349,'TAR FIN'!$A$1:$O$86,15,0)),0,VLOOKUP($S$349,'TAR FIN'!$A$1:$O$86,15,0))</f>
        <v>0</v>
      </c>
      <c r="W349" s="6">
        <f>IF(ISERROR(VLOOKUP($T$349,'TAR FIN'!$A$1:$O$86,15,0)),0,VLOOKUP($T$349,'TAR FIN'!$A$1:$O$86,15,0))</f>
        <v>338.51</v>
      </c>
      <c r="X349" s="6">
        <f>IF(ISERROR(VLOOKUP($U$349,'TAR FIN'!$A$1:$O$86,15,0)),0,VLOOKUP($U$349,'TAR FIN'!$A$1:$O$86,15,0))</f>
        <v>224.01</v>
      </c>
      <c r="Y349" s="6"/>
      <c r="Z349" s="6">
        <f ca="1">('TUSD BE'!$AM$20+'TUSD BF'!$AM$20+'TUSD CVA'!$AM$20)*1</f>
        <v>417.58832886049538</v>
      </c>
      <c r="AA349" s="6">
        <f>('TE BE'!$AB$11+'TE BF'!$AB$11+'TE CVA'!$AB$11)*1</f>
        <v>234.64376439748159</v>
      </c>
      <c r="AB349" s="6">
        <f>$K$349*$V$349</f>
        <v>0</v>
      </c>
      <c r="AC349" s="6">
        <f>$M$349*$W$349</f>
        <v>2240275.0899699996</v>
      </c>
      <c r="AD349" s="6">
        <f>$O$349*$X$349</f>
        <v>1482508.70847</v>
      </c>
      <c r="AE349" s="6">
        <f>$K$349*$Y$349</f>
        <v>0</v>
      </c>
      <c r="AF349" s="6">
        <f ca="1">$M$349*$Z$349</f>
        <v>2763619.1870502145</v>
      </c>
      <c r="AG349" s="6">
        <f>$O$349*$AA$349</f>
        <v>1552883.4610394598</v>
      </c>
    </row>
    <row r="350" spans="1:33" ht="11.25" customHeight="1" x14ac:dyDescent="0.25">
      <c r="A350" s="4" t="s">
        <v>27</v>
      </c>
      <c r="B350" s="4" t="s">
        <v>22</v>
      </c>
      <c r="C350" s="4" t="s">
        <v>23</v>
      </c>
      <c r="D350" s="4" t="s">
        <v>24</v>
      </c>
      <c r="E350" s="4" t="s">
        <v>24</v>
      </c>
      <c r="F350" s="4" t="s">
        <v>25</v>
      </c>
      <c r="G350" s="4" t="s">
        <v>25</v>
      </c>
      <c r="H350" s="4" t="s">
        <v>25</v>
      </c>
      <c r="I350" s="5">
        <v>44621</v>
      </c>
      <c r="J350" s="6">
        <v>0</v>
      </c>
      <c r="K350" s="6">
        <v>0</v>
      </c>
      <c r="L350" s="6">
        <v>-17.483000000000001</v>
      </c>
      <c r="M350" s="6">
        <v>-17.483000000000001</v>
      </c>
      <c r="N350" s="6">
        <v>-17.483000000000001</v>
      </c>
      <c r="O350" s="6">
        <v>-17.483000000000001</v>
      </c>
      <c r="P350" s="6">
        <v>0</v>
      </c>
      <c r="Q350" s="4" t="s">
        <v>26</v>
      </c>
      <c r="R350" s="4">
        <v>0</v>
      </c>
      <c r="S350" s="6">
        <v>0</v>
      </c>
      <c r="T350" s="6">
        <v>2</v>
      </c>
      <c r="U350" s="6">
        <v>41</v>
      </c>
      <c r="V350" s="6">
        <f>IF(ISERROR(VLOOKUP($S$350,'TAR FIN'!$A$1:$O$86,15,0)),0,VLOOKUP($S$350,'TAR FIN'!$A$1:$O$86,15,0))</f>
        <v>0</v>
      </c>
      <c r="W350" s="6">
        <f>IF(ISERROR(VLOOKUP($T$350,'TAR FIN'!$A$1:$O$86,15,0)),0,VLOOKUP($T$350,'TAR FIN'!$A$1:$O$86,15,0))</f>
        <v>338.51</v>
      </c>
      <c r="X350" s="6">
        <f>IF(ISERROR(VLOOKUP($U$350,'TAR FIN'!$A$1:$O$86,15,0)),0,VLOOKUP($U$350,'TAR FIN'!$A$1:$O$86,15,0))</f>
        <v>224.01</v>
      </c>
      <c r="Y350" s="6"/>
      <c r="Z350" s="6">
        <f ca="1">('TUSD BE'!$AM$20+'TUSD BF'!$AM$20+'TUSD CVA'!$AM$20)*1</f>
        <v>417.58832886049538</v>
      </c>
      <c r="AA350" s="6">
        <f>('TE BE'!$AB$11+'TE BF'!$AB$11+'TE CVA'!$AB$11)*1</f>
        <v>234.64376439748159</v>
      </c>
      <c r="AB350" s="6">
        <f>$K$350*$V$350</f>
        <v>0</v>
      </c>
      <c r="AC350" s="6">
        <f>$M$350*$W$350</f>
        <v>-5918.1703299999999</v>
      </c>
      <c r="AD350" s="6">
        <f>$O$350*$X$350</f>
        <v>-3916.3668299999999</v>
      </c>
      <c r="AE350" s="6">
        <f>$K$350*$Y$350</f>
        <v>0</v>
      </c>
      <c r="AF350" s="6">
        <f ca="1">$M$350*$Z$350</f>
        <v>-7300.6967534680407</v>
      </c>
      <c r="AG350" s="6">
        <f>$O$350*$AA$350</f>
        <v>-4102.276932961171</v>
      </c>
    </row>
    <row r="351" spans="1:33" ht="11.25" customHeight="1" x14ac:dyDescent="0.25">
      <c r="A351" s="4" t="s">
        <v>28</v>
      </c>
      <c r="B351" s="4" t="s">
        <v>22</v>
      </c>
      <c r="C351" s="4" t="s">
        <v>23</v>
      </c>
      <c r="D351" s="4" t="s">
        <v>24</v>
      </c>
      <c r="E351" s="4" t="s">
        <v>24</v>
      </c>
      <c r="F351" s="4" t="s">
        <v>25</v>
      </c>
      <c r="G351" s="4" t="s">
        <v>25</v>
      </c>
      <c r="H351" s="4" t="s">
        <v>25</v>
      </c>
      <c r="I351" s="5">
        <v>44621</v>
      </c>
      <c r="J351" s="6">
        <v>0</v>
      </c>
      <c r="K351" s="6">
        <v>0</v>
      </c>
      <c r="L351" s="6">
        <v>28.388000000000002</v>
      </c>
      <c r="M351" s="6">
        <v>28.388000000000002</v>
      </c>
      <c r="N351" s="6">
        <v>28.388000000000002</v>
      </c>
      <c r="O351" s="6">
        <v>28.388000000000002</v>
      </c>
      <c r="P351" s="6">
        <v>137</v>
      </c>
      <c r="Q351" s="4" t="s">
        <v>26</v>
      </c>
      <c r="R351" s="4">
        <v>0</v>
      </c>
      <c r="S351" s="6">
        <v>0</v>
      </c>
      <c r="T351" s="6">
        <v>2</v>
      </c>
      <c r="U351" s="6">
        <v>41</v>
      </c>
      <c r="V351" s="6">
        <f>IF(ISERROR(VLOOKUP($S$351,'TAR FIN'!$A$1:$O$86,15,0)),0,VLOOKUP($S$351,'TAR FIN'!$A$1:$O$86,15,0))</f>
        <v>0</v>
      </c>
      <c r="W351" s="6">
        <f>IF(ISERROR(VLOOKUP($T$351,'TAR FIN'!$A$1:$O$86,15,0)),0,VLOOKUP($T$351,'TAR FIN'!$A$1:$O$86,15,0))</f>
        <v>338.51</v>
      </c>
      <c r="X351" s="6">
        <f>IF(ISERROR(VLOOKUP($U$351,'TAR FIN'!$A$1:$O$86,15,0)),0,VLOOKUP($U$351,'TAR FIN'!$A$1:$O$86,15,0))</f>
        <v>224.01</v>
      </c>
      <c r="Y351" s="6"/>
      <c r="Z351" s="6">
        <f ca="1">('TUSD BE'!$AM$20+'TUSD BF'!$AM$20+'TUSD CVA'!$AM$20)*1</f>
        <v>417.58832886049538</v>
      </c>
      <c r="AA351" s="6">
        <f>('TE BE'!$AB$11+'TE BF'!$AB$11+'TE CVA'!$AB$11)*1</f>
        <v>234.64376439748159</v>
      </c>
      <c r="AB351" s="6">
        <f>$K$351*$V$351</f>
        <v>0</v>
      </c>
      <c r="AC351" s="6">
        <f>$M$351*$W$351</f>
        <v>9609.6218800000006</v>
      </c>
      <c r="AD351" s="6">
        <f>$O$351*$X$351</f>
        <v>6359.1958800000002</v>
      </c>
      <c r="AE351" s="6">
        <f>$K$351*$Y$351</f>
        <v>0</v>
      </c>
      <c r="AF351" s="6">
        <f ca="1">$M$351*$Z$351</f>
        <v>11854.497479691743</v>
      </c>
      <c r="AG351" s="6">
        <f>$O$351*$AA$351</f>
        <v>6661.0671837157079</v>
      </c>
    </row>
    <row r="352" spans="1:33" ht="11.25" customHeight="1" x14ac:dyDescent="0.25">
      <c r="A352" s="4" t="s">
        <v>21</v>
      </c>
      <c r="B352" s="4" t="s">
        <v>22</v>
      </c>
      <c r="C352" s="4" t="s">
        <v>23</v>
      </c>
      <c r="D352" s="4" t="s">
        <v>24</v>
      </c>
      <c r="E352" s="4" t="s">
        <v>24</v>
      </c>
      <c r="F352" s="4" t="s">
        <v>25</v>
      </c>
      <c r="G352" s="4" t="s">
        <v>25</v>
      </c>
      <c r="H352" s="4" t="s">
        <v>25</v>
      </c>
      <c r="I352" s="5">
        <v>44652</v>
      </c>
      <c r="J352" s="6">
        <v>0</v>
      </c>
      <c r="K352" s="6">
        <v>0</v>
      </c>
      <c r="L352" s="6">
        <v>5701.33</v>
      </c>
      <c r="M352" s="6">
        <v>5701.33</v>
      </c>
      <c r="N352" s="6">
        <v>5701.33</v>
      </c>
      <c r="O352" s="6">
        <v>5701.33</v>
      </c>
      <c r="P352" s="6">
        <v>34551</v>
      </c>
      <c r="Q352" s="4" t="s">
        <v>26</v>
      </c>
      <c r="R352" s="4">
        <v>0</v>
      </c>
      <c r="S352" s="6">
        <v>0</v>
      </c>
      <c r="T352" s="6">
        <v>2</v>
      </c>
      <c r="U352" s="6">
        <v>41</v>
      </c>
      <c r="V352" s="6">
        <f>IF(ISERROR(VLOOKUP($S$352,'TAR FIN'!$A$1:$O$86,15,0)),0,VLOOKUP($S$352,'TAR FIN'!$A$1:$O$86,15,0))</f>
        <v>0</v>
      </c>
      <c r="W352" s="6">
        <f>IF(ISERROR(VLOOKUP($T$352,'TAR FIN'!$A$1:$O$86,15,0)),0,VLOOKUP($T$352,'TAR FIN'!$A$1:$O$86,15,0))</f>
        <v>338.51</v>
      </c>
      <c r="X352" s="6">
        <f>IF(ISERROR(VLOOKUP($U$352,'TAR FIN'!$A$1:$O$86,15,0)),0,VLOOKUP($U$352,'TAR FIN'!$A$1:$O$86,15,0))</f>
        <v>224.01</v>
      </c>
      <c r="Y352" s="6"/>
      <c r="Z352" s="6">
        <f ca="1">('TUSD BE'!$AM$20+'TUSD BF'!$AM$20+'TUSD CVA'!$AM$20)*1</f>
        <v>417.58832886049538</v>
      </c>
      <c r="AA352" s="6">
        <f>('TE BE'!$AB$11+'TE BF'!$AB$11+'TE CVA'!$AB$11)*1</f>
        <v>234.64376439748159</v>
      </c>
      <c r="AB352" s="6">
        <f>$K$352*$V$352</f>
        <v>0</v>
      </c>
      <c r="AC352" s="6">
        <f>$M$352*$W$352</f>
        <v>1929957.2182999998</v>
      </c>
      <c r="AD352" s="6">
        <f>$O$352*$X$352</f>
        <v>1277154.9332999999</v>
      </c>
      <c r="AE352" s="6">
        <f>$K$352*$Y$352</f>
        <v>0</v>
      </c>
      <c r="AF352" s="6">
        <f ca="1">$M$352*$Z$352</f>
        <v>2380808.8669822081</v>
      </c>
      <c r="AG352" s="6">
        <f>$O$352*$AA$352</f>
        <v>1337781.5332722936</v>
      </c>
    </row>
    <row r="353" spans="1:33" ht="11.25" customHeight="1" x14ac:dyDescent="0.25">
      <c r="A353" s="4" t="s">
        <v>27</v>
      </c>
      <c r="B353" s="4" t="s">
        <v>22</v>
      </c>
      <c r="C353" s="4" t="s">
        <v>23</v>
      </c>
      <c r="D353" s="4" t="s">
        <v>24</v>
      </c>
      <c r="E353" s="4" t="s">
        <v>24</v>
      </c>
      <c r="F353" s="4" t="s">
        <v>25</v>
      </c>
      <c r="G353" s="4" t="s">
        <v>25</v>
      </c>
      <c r="H353" s="4" t="s">
        <v>25</v>
      </c>
      <c r="I353" s="5">
        <v>44652</v>
      </c>
      <c r="J353" s="6">
        <v>0</v>
      </c>
      <c r="K353" s="6">
        <v>0</v>
      </c>
      <c r="L353" s="6">
        <v>-3.4449999999999998</v>
      </c>
      <c r="M353" s="6">
        <v>-3.4449999999999998</v>
      </c>
      <c r="N353" s="6">
        <v>-3.4449999999999998</v>
      </c>
      <c r="O353" s="6">
        <v>-3.4449999999999998</v>
      </c>
      <c r="P353" s="6">
        <v>0</v>
      </c>
      <c r="Q353" s="4" t="s">
        <v>26</v>
      </c>
      <c r="R353" s="4">
        <v>0</v>
      </c>
      <c r="S353" s="6">
        <v>0</v>
      </c>
      <c r="T353" s="6">
        <v>2</v>
      </c>
      <c r="U353" s="6">
        <v>41</v>
      </c>
      <c r="V353" s="6">
        <f>IF(ISERROR(VLOOKUP($S$353,'TAR FIN'!$A$1:$O$86,15,0)),0,VLOOKUP($S$353,'TAR FIN'!$A$1:$O$86,15,0))</f>
        <v>0</v>
      </c>
      <c r="W353" s="6">
        <f>IF(ISERROR(VLOOKUP($T$353,'TAR FIN'!$A$1:$O$86,15,0)),0,VLOOKUP($T$353,'TAR FIN'!$A$1:$O$86,15,0))</f>
        <v>338.51</v>
      </c>
      <c r="X353" s="6">
        <f>IF(ISERROR(VLOOKUP($U$353,'TAR FIN'!$A$1:$O$86,15,0)),0,VLOOKUP($U$353,'TAR FIN'!$A$1:$O$86,15,0))</f>
        <v>224.01</v>
      </c>
      <c r="Y353" s="6"/>
      <c r="Z353" s="6">
        <f ca="1">('TUSD BE'!$AM$20+'TUSD BF'!$AM$20+'TUSD CVA'!$AM$20)*1</f>
        <v>417.58832886049538</v>
      </c>
      <c r="AA353" s="6">
        <f>('TE BE'!$AB$11+'TE BF'!$AB$11+'TE CVA'!$AB$11)*1</f>
        <v>234.64376439748159</v>
      </c>
      <c r="AB353" s="6">
        <f>$K$353*$V$353</f>
        <v>0</v>
      </c>
      <c r="AC353" s="6">
        <f>$M$353*$W$353</f>
        <v>-1166.1669499999998</v>
      </c>
      <c r="AD353" s="6">
        <f>$O$353*$X$353</f>
        <v>-771.71444999999994</v>
      </c>
      <c r="AE353" s="6">
        <f>$K$353*$Y$353</f>
        <v>0</v>
      </c>
      <c r="AF353" s="6">
        <f ca="1">$M$353*$Z$353</f>
        <v>-1438.5917929244065</v>
      </c>
      <c r="AG353" s="6">
        <f>$O$353*$AA$353</f>
        <v>-808.34776834932404</v>
      </c>
    </row>
    <row r="354" spans="1:33" ht="11.25" customHeight="1" x14ac:dyDescent="0.25">
      <c r="A354" s="4" t="s">
        <v>28</v>
      </c>
      <c r="B354" s="4" t="s">
        <v>22</v>
      </c>
      <c r="C354" s="4" t="s">
        <v>23</v>
      </c>
      <c r="D354" s="4" t="s">
        <v>24</v>
      </c>
      <c r="E354" s="4" t="s">
        <v>24</v>
      </c>
      <c r="F354" s="4" t="s">
        <v>25</v>
      </c>
      <c r="G354" s="4" t="s">
        <v>25</v>
      </c>
      <c r="H354" s="4" t="s">
        <v>25</v>
      </c>
      <c r="I354" s="5">
        <v>44652</v>
      </c>
      <c r="J354" s="6">
        <v>0</v>
      </c>
      <c r="K354" s="6">
        <v>0</v>
      </c>
      <c r="L354" s="6">
        <v>25.193000000000001</v>
      </c>
      <c r="M354" s="6">
        <v>25.193000000000001</v>
      </c>
      <c r="N354" s="6">
        <v>25.193000000000001</v>
      </c>
      <c r="O354" s="6">
        <v>25.193000000000001</v>
      </c>
      <c r="P354" s="6">
        <v>149</v>
      </c>
      <c r="Q354" s="4" t="s">
        <v>26</v>
      </c>
      <c r="R354" s="4">
        <v>0</v>
      </c>
      <c r="S354" s="6">
        <v>0</v>
      </c>
      <c r="T354" s="6">
        <v>2</v>
      </c>
      <c r="U354" s="6">
        <v>41</v>
      </c>
      <c r="V354" s="6">
        <f>IF(ISERROR(VLOOKUP($S$354,'TAR FIN'!$A$1:$O$86,15,0)),0,VLOOKUP($S$354,'TAR FIN'!$A$1:$O$86,15,0))</f>
        <v>0</v>
      </c>
      <c r="W354" s="6">
        <f>IF(ISERROR(VLOOKUP($T$354,'TAR FIN'!$A$1:$O$86,15,0)),0,VLOOKUP($T$354,'TAR FIN'!$A$1:$O$86,15,0))</f>
        <v>338.51</v>
      </c>
      <c r="X354" s="6">
        <f>IF(ISERROR(VLOOKUP($U$354,'TAR FIN'!$A$1:$O$86,15,0)),0,VLOOKUP($U$354,'TAR FIN'!$A$1:$O$86,15,0))</f>
        <v>224.01</v>
      </c>
      <c r="Y354" s="6"/>
      <c r="Z354" s="6">
        <f ca="1">('TUSD BE'!$AM$20+'TUSD BF'!$AM$20+'TUSD CVA'!$AM$20)*1</f>
        <v>417.58832886049538</v>
      </c>
      <c r="AA354" s="6">
        <f>('TE BE'!$AB$11+'TE BF'!$AB$11+'TE CVA'!$AB$11)*1</f>
        <v>234.64376439748159</v>
      </c>
      <c r="AB354" s="6">
        <f>$K$354*$V$354</f>
        <v>0</v>
      </c>
      <c r="AC354" s="6">
        <f>$M$354*$W$354</f>
        <v>8528.0824300000004</v>
      </c>
      <c r="AD354" s="6">
        <f>$O$354*$X$354</f>
        <v>5643.4839300000003</v>
      </c>
      <c r="AE354" s="6">
        <f>$K$354*$Y$354</f>
        <v>0</v>
      </c>
      <c r="AF354" s="6">
        <f ca="1">$M$354*$Z$354</f>
        <v>10520.302768982461</v>
      </c>
      <c r="AG354" s="6">
        <f>$O$354*$AA$354</f>
        <v>5911.3803564657537</v>
      </c>
    </row>
    <row r="355" spans="1:33" ht="11.25" customHeight="1" x14ac:dyDescent="0.25">
      <c r="A355" s="4" t="s">
        <v>21</v>
      </c>
      <c r="B355" s="4" t="s">
        <v>22</v>
      </c>
      <c r="C355" s="4" t="s">
        <v>23</v>
      </c>
      <c r="D355" s="4" t="s">
        <v>24</v>
      </c>
      <c r="E355" s="4" t="s">
        <v>24</v>
      </c>
      <c r="F355" s="4" t="s">
        <v>25</v>
      </c>
      <c r="G355" s="4" t="s">
        <v>25</v>
      </c>
      <c r="H355" s="4" t="s">
        <v>25</v>
      </c>
      <c r="I355" s="5">
        <v>44682</v>
      </c>
      <c r="J355" s="6">
        <v>0</v>
      </c>
      <c r="K355" s="6">
        <v>0</v>
      </c>
      <c r="L355" s="6">
        <v>5303.0519999999997</v>
      </c>
      <c r="M355" s="6">
        <v>5303.0519999999997</v>
      </c>
      <c r="N355" s="6">
        <v>5303.0519999999997</v>
      </c>
      <c r="O355" s="6">
        <v>5303.0519999999997</v>
      </c>
      <c r="P355" s="6">
        <v>34508</v>
      </c>
      <c r="Q355" s="4" t="s">
        <v>26</v>
      </c>
      <c r="R355" s="4">
        <v>0</v>
      </c>
      <c r="S355" s="6">
        <v>0</v>
      </c>
      <c r="T355" s="6">
        <v>2</v>
      </c>
      <c r="U355" s="6">
        <v>41</v>
      </c>
      <c r="V355" s="6">
        <f>IF(ISERROR(VLOOKUP($S$355,'TAR FIN'!$A$1:$O$86,15,0)),0,VLOOKUP($S$355,'TAR FIN'!$A$1:$O$86,15,0))</f>
        <v>0</v>
      </c>
      <c r="W355" s="6">
        <f>IF(ISERROR(VLOOKUP($T$355,'TAR FIN'!$A$1:$O$86,15,0)),0,VLOOKUP($T$355,'TAR FIN'!$A$1:$O$86,15,0))</f>
        <v>338.51</v>
      </c>
      <c r="X355" s="6">
        <f>IF(ISERROR(VLOOKUP($U$355,'TAR FIN'!$A$1:$O$86,15,0)),0,VLOOKUP($U$355,'TAR FIN'!$A$1:$O$86,15,0))</f>
        <v>224.01</v>
      </c>
      <c r="Y355" s="6"/>
      <c r="Z355" s="6">
        <f ca="1">('TUSD BE'!$AM$20+'TUSD BF'!$AM$20+'TUSD CVA'!$AM$20)*1</f>
        <v>417.58832886049538</v>
      </c>
      <c r="AA355" s="6">
        <f>('TE BE'!$AB$11+'TE BF'!$AB$11+'TE CVA'!$AB$11)*1</f>
        <v>234.64376439748159</v>
      </c>
      <c r="AB355" s="6">
        <f>$K$355*$V$355</f>
        <v>0</v>
      </c>
      <c r="AC355" s="6">
        <f>$M$355*$W$355</f>
        <v>1795136.1325199998</v>
      </c>
      <c r="AD355" s="6">
        <f>$O$355*$X$355</f>
        <v>1187936.6785199998</v>
      </c>
      <c r="AE355" s="6">
        <f>$K$355*$Y$355</f>
        <v>0</v>
      </c>
      <c r="AF355" s="6">
        <f ca="1">$M$355*$Z$355</f>
        <v>2214492.6225403077</v>
      </c>
      <c r="AG355" s="6">
        <f>$O$355*$AA$355</f>
        <v>1244328.0840755934</v>
      </c>
    </row>
    <row r="356" spans="1:33" ht="11.25" customHeight="1" x14ac:dyDescent="0.25">
      <c r="A356" s="4" t="s">
        <v>27</v>
      </c>
      <c r="B356" s="4" t="s">
        <v>22</v>
      </c>
      <c r="C356" s="4" t="s">
        <v>23</v>
      </c>
      <c r="D356" s="4" t="s">
        <v>24</v>
      </c>
      <c r="E356" s="4" t="s">
        <v>24</v>
      </c>
      <c r="F356" s="4" t="s">
        <v>25</v>
      </c>
      <c r="G356" s="4" t="s">
        <v>25</v>
      </c>
      <c r="H356" s="4" t="s">
        <v>25</v>
      </c>
      <c r="I356" s="5">
        <v>44682</v>
      </c>
      <c r="J356" s="6">
        <v>0</v>
      </c>
      <c r="K356" s="6">
        <v>0</v>
      </c>
      <c r="L356" s="6">
        <v>-6.3440000000000003</v>
      </c>
      <c r="M356" s="6">
        <v>-6.3440000000000003</v>
      </c>
      <c r="N356" s="6">
        <v>-6.3440000000000003</v>
      </c>
      <c r="O356" s="6">
        <v>-6.3440000000000003</v>
      </c>
      <c r="P356" s="6">
        <v>0</v>
      </c>
      <c r="Q356" s="4" t="s">
        <v>26</v>
      </c>
      <c r="R356" s="4">
        <v>0</v>
      </c>
      <c r="S356" s="6">
        <v>0</v>
      </c>
      <c r="T356" s="6">
        <v>2</v>
      </c>
      <c r="U356" s="6">
        <v>41</v>
      </c>
      <c r="V356" s="6">
        <f>IF(ISERROR(VLOOKUP($S$356,'TAR FIN'!$A$1:$O$86,15,0)),0,VLOOKUP($S$356,'TAR FIN'!$A$1:$O$86,15,0))</f>
        <v>0</v>
      </c>
      <c r="W356" s="6">
        <f>IF(ISERROR(VLOOKUP($T$356,'TAR FIN'!$A$1:$O$86,15,0)),0,VLOOKUP($T$356,'TAR FIN'!$A$1:$O$86,15,0))</f>
        <v>338.51</v>
      </c>
      <c r="X356" s="6">
        <f>IF(ISERROR(VLOOKUP($U$356,'TAR FIN'!$A$1:$O$86,15,0)),0,VLOOKUP($U$356,'TAR FIN'!$A$1:$O$86,15,0))</f>
        <v>224.01</v>
      </c>
      <c r="Y356" s="6"/>
      <c r="Z356" s="6">
        <f ca="1">('TUSD BE'!$AM$20+'TUSD BF'!$AM$20+'TUSD CVA'!$AM$20)*1</f>
        <v>417.58832886049538</v>
      </c>
      <c r="AA356" s="6">
        <f>('TE BE'!$AB$11+'TE BF'!$AB$11+'TE CVA'!$AB$11)*1</f>
        <v>234.64376439748159</v>
      </c>
      <c r="AB356" s="6">
        <f>$K$356*$V$356</f>
        <v>0</v>
      </c>
      <c r="AC356" s="6">
        <f>$M$356*$W$356</f>
        <v>-2147.5074399999999</v>
      </c>
      <c r="AD356" s="6">
        <f>$O$356*$X$356</f>
        <v>-1421.1194399999999</v>
      </c>
      <c r="AE356" s="6">
        <f>$K$356*$Y$356</f>
        <v>0</v>
      </c>
      <c r="AF356" s="6">
        <f ca="1">$M$356*$Z$356</f>
        <v>-2649.1803582909829</v>
      </c>
      <c r="AG356" s="6">
        <f>$O$356*$AA$356</f>
        <v>-1488.5800413376232</v>
      </c>
    </row>
    <row r="357" spans="1:33" ht="11.25" customHeight="1" x14ac:dyDescent="0.25">
      <c r="A357" s="4" t="s">
        <v>28</v>
      </c>
      <c r="B357" s="4" t="s">
        <v>22</v>
      </c>
      <c r="C357" s="4" t="s">
        <v>23</v>
      </c>
      <c r="D357" s="4" t="s">
        <v>24</v>
      </c>
      <c r="E357" s="4" t="s">
        <v>24</v>
      </c>
      <c r="F357" s="4" t="s">
        <v>25</v>
      </c>
      <c r="G357" s="4" t="s">
        <v>25</v>
      </c>
      <c r="H357" s="4" t="s">
        <v>25</v>
      </c>
      <c r="I357" s="5">
        <v>44682</v>
      </c>
      <c r="J357" s="6">
        <v>0</v>
      </c>
      <c r="K357" s="6">
        <v>0</v>
      </c>
      <c r="L357" s="6">
        <v>25.428999999999998</v>
      </c>
      <c r="M357" s="6">
        <v>25.428999999999998</v>
      </c>
      <c r="N357" s="6">
        <v>25.428999999999998</v>
      </c>
      <c r="O357" s="6">
        <v>25.428999999999998</v>
      </c>
      <c r="P357" s="6">
        <v>161</v>
      </c>
      <c r="Q357" s="4" t="s">
        <v>26</v>
      </c>
      <c r="R357" s="4">
        <v>0</v>
      </c>
      <c r="S357" s="6">
        <v>0</v>
      </c>
      <c r="T357" s="6">
        <v>2</v>
      </c>
      <c r="U357" s="6">
        <v>41</v>
      </c>
      <c r="V357" s="6">
        <f>IF(ISERROR(VLOOKUP($S$357,'TAR FIN'!$A$1:$O$86,15,0)),0,VLOOKUP($S$357,'TAR FIN'!$A$1:$O$86,15,0))</f>
        <v>0</v>
      </c>
      <c r="W357" s="6">
        <f>IF(ISERROR(VLOOKUP($T$357,'TAR FIN'!$A$1:$O$86,15,0)),0,VLOOKUP($T$357,'TAR FIN'!$A$1:$O$86,15,0))</f>
        <v>338.51</v>
      </c>
      <c r="X357" s="6">
        <f>IF(ISERROR(VLOOKUP($U$357,'TAR FIN'!$A$1:$O$86,15,0)),0,VLOOKUP($U$357,'TAR FIN'!$A$1:$O$86,15,0))</f>
        <v>224.01</v>
      </c>
      <c r="Y357" s="6"/>
      <c r="Z357" s="6">
        <f ca="1">('TUSD BE'!$AM$20+'TUSD BF'!$AM$20+'TUSD CVA'!$AM$20)*1</f>
        <v>417.58832886049538</v>
      </c>
      <c r="AA357" s="6">
        <f>('TE BE'!$AB$11+'TE BF'!$AB$11+'TE CVA'!$AB$11)*1</f>
        <v>234.64376439748159</v>
      </c>
      <c r="AB357" s="6">
        <f>$K$357*$V$357</f>
        <v>0</v>
      </c>
      <c r="AC357" s="6">
        <f>$M$357*$W$357</f>
        <v>8607.9707899999994</v>
      </c>
      <c r="AD357" s="6">
        <f>$O$357*$X$357</f>
        <v>5696.3502899999994</v>
      </c>
      <c r="AE357" s="6">
        <f>$K$357*$Y$357</f>
        <v>0</v>
      </c>
      <c r="AF357" s="6">
        <f ca="1">$M$357*$Z$357</f>
        <v>10618.853614593536</v>
      </c>
      <c r="AG357" s="6">
        <f>$O$357*$AA$357</f>
        <v>5966.7562848635589</v>
      </c>
    </row>
    <row r="358" spans="1:33" ht="11.25" customHeight="1" x14ac:dyDescent="0.25">
      <c r="A358" s="4" t="s">
        <v>21</v>
      </c>
      <c r="B358" s="4" t="s">
        <v>22</v>
      </c>
      <c r="C358" s="4" t="s">
        <v>23</v>
      </c>
      <c r="D358" s="4" t="s">
        <v>24</v>
      </c>
      <c r="E358" s="4" t="s">
        <v>24</v>
      </c>
      <c r="F358" s="4" t="s">
        <v>25</v>
      </c>
      <c r="G358" s="4" t="s">
        <v>25</v>
      </c>
      <c r="H358" s="4" t="s">
        <v>25</v>
      </c>
      <c r="I358" s="5">
        <v>44713</v>
      </c>
      <c r="J358" s="6">
        <v>0</v>
      </c>
      <c r="K358" s="6">
        <v>0</v>
      </c>
      <c r="L358" s="6">
        <v>4975.6130000000003</v>
      </c>
      <c r="M358" s="6">
        <v>4975.6130000000003</v>
      </c>
      <c r="N358" s="6">
        <v>4975.6130000000003</v>
      </c>
      <c r="O358" s="6">
        <v>4975.6130000000003</v>
      </c>
      <c r="P358" s="6">
        <v>34371</v>
      </c>
      <c r="Q358" s="4" t="s">
        <v>26</v>
      </c>
      <c r="R358" s="4">
        <v>0</v>
      </c>
      <c r="S358" s="6">
        <v>0</v>
      </c>
      <c r="T358" s="6">
        <v>2</v>
      </c>
      <c r="U358" s="6">
        <v>41</v>
      </c>
      <c r="V358" s="6">
        <f>IF(ISERROR(VLOOKUP($S$358,'TAR FIN'!$A$1:$O$86,15,0)),0,VLOOKUP($S$358,'TAR FIN'!$A$1:$O$86,15,0))</f>
        <v>0</v>
      </c>
      <c r="W358" s="6">
        <f>IF(ISERROR(VLOOKUP($T$358,'TAR FIN'!$A$1:$O$86,15,0)),0,VLOOKUP($T$358,'TAR FIN'!$A$1:$O$86,15,0))</f>
        <v>338.51</v>
      </c>
      <c r="X358" s="6">
        <f>IF(ISERROR(VLOOKUP($U$358,'TAR FIN'!$A$1:$O$86,15,0)),0,VLOOKUP($U$358,'TAR FIN'!$A$1:$O$86,15,0))</f>
        <v>224.01</v>
      </c>
      <c r="Y358" s="6"/>
      <c r="Z358" s="6">
        <f ca="1">('TUSD BE'!$AM$20+'TUSD BF'!$AM$20+'TUSD CVA'!$AM$20)*1</f>
        <v>417.58832886049538</v>
      </c>
      <c r="AA358" s="6">
        <f>('TE BE'!$AB$11+'TE BF'!$AB$11+'TE CVA'!$AB$11)*1</f>
        <v>234.64376439748159</v>
      </c>
      <c r="AB358" s="6">
        <f>$K$358*$V$358</f>
        <v>0</v>
      </c>
      <c r="AC358" s="6">
        <f>$M$358*$W$358</f>
        <v>1684294.75663</v>
      </c>
      <c r="AD358" s="6">
        <f>$O$358*$X$358</f>
        <v>1114587.06813</v>
      </c>
      <c r="AE358" s="6">
        <f>$K$358*$Y$358</f>
        <v>0</v>
      </c>
      <c r="AF358" s="6">
        <f ca="1">$M$358*$Z$358</f>
        <v>2077757.9177265561</v>
      </c>
      <c r="AG358" s="6">
        <f>$O$358*$AA$358</f>
        <v>1167496.5645050467</v>
      </c>
    </row>
    <row r="359" spans="1:33" ht="11.25" customHeight="1" x14ac:dyDescent="0.25">
      <c r="A359" s="4" t="s">
        <v>27</v>
      </c>
      <c r="B359" s="4" t="s">
        <v>22</v>
      </c>
      <c r="C359" s="4" t="s">
        <v>23</v>
      </c>
      <c r="D359" s="4" t="s">
        <v>24</v>
      </c>
      <c r="E359" s="4" t="s">
        <v>24</v>
      </c>
      <c r="F359" s="4" t="s">
        <v>25</v>
      </c>
      <c r="G359" s="4" t="s">
        <v>25</v>
      </c>
      <c r="H359" s="4" t="s">
        <v>25</v>
      </c>
      <c r="I359" s="5">
        <v>44713</v>
      </c>
      <c r="J359" s="6">
        <v>0</v>
      </c>
      <c r="K359" s="6">
        <v>0</v>
      </c>
      <c r="L359" s="6">
        <v>-300.40899999999999</v>
      </c>
      <c r="M359" s="6">
        <v>-300.40899999999999</v>
      </c>
      <c r="N359" s="6">
        <v>-300.40899999999999</v>
      </c>
      <c r="O359" s="6">
        <v>-300.40899999999999</v>
      </c>
      <c r="P359" s="6">
        <v>0</v>
      </c>
      <c r="Q359" s="4" t="s">
        <v>26</v>
      </c>
      <c r="R359" s="4">
        <v>0</v>
      </c>
      <c r="S359" s="6">
        <v>0</v>
      </c>
      <c r="T359" s="6">
        <v>2</v>
      </c>
      <c r="U359" s="6">
        <v>41</v>
      </c>
      <c r="V359" s="6">
        <f>IF(ISERROR(VLOOKUP($S$359,'TAR FIN'!$A$1:$O$86,15,0)),0,VLOOKUP($S$359,'TAR FIN'!$A$1:$O$86,15,0))</f>
        <v>0</v>
      </c>
      <c r="W359" s="6">
        <f>IF(ISERROR(VLOOKUP($T$359,'TAR FIN'!$A$1:$O$86,15,0)),0,VLOOKUP($T$359,'TAR FIN'!$A$1:$O$86,15,0))</f>
        <v>338.51</v>
      </c>
      <c r="X359" s="6">
        <f>IF(ISERROR(VLOOKUP($U$359,'TAR FIN'!$A$1:$O$86,15,0)),0,VLOOKUP($U$359,'TAR FIN'!$A$1:$O$86,15,0))</f>
        <v>224.01</v>
      </c>
      <c r="Y359" s="6"/>
      <c r="Z359" s="6">
        <f ca="1">('TUSD BE'!$AM$20+'TUSD BF'!$AM$20+'TUSD CVA'!$AM$20)*1</f>
        <v>417.58832886049538</v>
      </c>
      <c r="AA359" s="6">
        <f>('TE BE'!$AB$11+'TE BF'!$AB$11+'TE CVA'!$AB$11)*1</f>
        <v>234.64376439748159</v>
      </c>
      <c r="AB359" s="6">
        <f>$K$359*$V$359</f>
        <v>0</v>
      </c>
      <c r="AC359" s="6">
        <f>$M$359*$W$359</f>
        <v>-101691.45058999999</v>
      </c>
      <c r="AD359" s="6">
        <f>$O$359*$X$359</f>
        <v>-67294.620089999997</v>
      </c>
      <c r="AE359" s="6">
        <f>$K$359*$Y$359</f>
        <v>0</v>
      </c>
      <c r="AF359" s="6">
        <f ca="1">$M$359*$Z$359</f>
        <v>-125447.29228465255</v>
      </c>
      <c r="AG359" s="6">
        <f>$O$359*$AA$359</f>
        <v>-70489.098618883043</v>
      </c>
    </row>
    <row r="360" spans="1:33" ht="11.25" customHeight="1" x14ac:dyDescent="0.25">
      <c r="A360" s="4" t="s">
        <v>28</v>
      </c>
      <c r="B360" s="4" t="s">
        <v>22</v>
      </c>
      <c r="C360" s="4" t="s">
        <v>23</v>
      </c>
      <c r="D360" s="4" t="s">
        <v>24</v>
      </c>
      <c r="E360" s="4" t="s">
        <v>24</v>
      </c>
      <c r="F360" s="4" t="s">
        <v>25</v>
      </c>
      <c r="G360" s="4" t="s">
        <v>25</v>
      </c>
      <c r="H360" s="4" t="s">
        <v>25</v>
      </c>
      <c r="I360" s="5">
        <v>44713</v>
      </c>
      <c r="J360" s="6">
        <v>0</v>
      </c>
      <c r="K360" s="6">
        <v>0</v>
      </c>
      <c r="L360" s="6">
        <v>32.904000000000003</v>
      </c>
      <c r="M360" s="6">
        <v>32.904000000000003</v>
      </c>
      <c r="N360" s="6">
        <v>32.904000000000003</v>
      </c>
      <c r="O360" s="6">
        <v>32.904000000000003</v>
      </c>
      <c r="P360" s="6">
        <v>168</v>
      </c>
      <c r="Q360" s="4" t="s">
        <v>26</v>
      </c>
      <c r="R360" s="4">
        <v>0</v>
      </c>
      <c r="S360" s="6">
        <v>0</v>
      </c>
      <c r="T360" s="6">
        <v>2</v>
      </c>
      <c r="U360" s="6">
        <v>41</v>
      </c>
      <c r="V360" s="6">
        <f>IF(ISERROR(VLOOKUP($S$360,'TAR FIN'!$A$1:$O$86,15,0)),0,VLOOKUP($S$360,'TAR FIN'!$A$1:$O$86,15,0))</f>
        <v>0</v>
      </c>
      <c r="W360" s="6">
        <f>IF(ISERROR(VLOOKUP($T$360,'TAR FIN'!$A$1:$O$86,15,0)),0,VLOOKUP($T$360,'TAR FIN'!$A$1:$O$86,15,0))</f>
        <v>338.51</v>
      </c>
      <c r="X360" s="6">
        <f>IF(ISERROR(VLOOKUP($U$360,'TAR FIN'!$A$1:$O$86,15,0)),0,VLOOKUP($U$360,'TAR FIN'!$A$1:$O$86,15,0))</f>
        <v>224.01</v>
      </c>
      <c r="Y360" s="6"/>
      <c r="Z360" s="6">
        <f ca="1">('TUSD BE'!$AM$20+'TUSD BF'!$AM$20+'TUSD CVA'!$AM$20)*1</f>
        <v>417.58832886049538</v>
      </c>
      <c r="AA360" s="6">
        <f>('TE BE'!$AB$11+'TE BF'!$AB$11+'TE CVA'!$AB$11)*1</f>
        <v>234.64376439748159</v>
      </c>
      <c r="AB360" s="6">
        <f>$K$360*$V$360</f>
        <v>0</v>
      </c>
      <c r="AC360" s="6">
        <f>$M$360*$W$360</f>
        <v>11138.333040000001</v>
      </c>
      <c r="AD360" s="6">
        <f>$O$360*$X$360</f>
        <v>7370.8250400000006</v>
      </c>
      <c r="AE360" s="6">
        <f>$K$360*$Y$360</f>
        <v>0</v>
      </c>
      <c r="AF360" s="6">
        <f ca="1">$M$360*$Z$360</f>
        <v>13740.326372825741</v>
      </c>
      <c r="AG360" s="6">
        <f>$O$360*$AA$360</f>
        <v>7720.7184237347346</v>
      </c>
    </row>
    <row r="361" spans="1:33" ht="11.25" customHeight="1" x14ac:dyDescent="0.25">
      <c r="A361" s="4" t="s">
        <v>55</v>
      </c>
      <c r="B361" s="4" t="s">
        <v>22</v>
      </c>
      <c r="C361" s="4" t="s">
        <v>23</v>
      </c>
      <c r="D361" s="4" t="s">
        <v>24</v>
      </c>
      <c r="E361" s="4" t="s">
        <v>24</v>
      </c>
      <c r="F361" s="4" t="s">
        <v>25</v>
      </c>
      <c r="G361" s="4" t="s">
        <v>25</v>
      </c>
      <c r="H361" s="4" t="s">
        <v>25</v>
      </c>
      <c r="I361" s="5">
        <v>44743</v>
      </c>
      <c r="J361" s="6">
        <v>0</v>
      </c>
      <c r="K361" s="6">
        <v>0</v>
      </c>
      <c r="L361" s="6">
        <v>4975.6130000000003</v>
      </c>
      <c r="M361" s="6">
        <v>4975.6130000000003</v>
      </c>
      <c r="N361" s="6">
        <v>4975.6130000000003</v>
      </c>
      <c r="O361" s="6">
        <v>4975.6130000000003</v>
      </c>
      <c r="P361" s="6">
        <v>34371</v>
      </c>
      <c r="Q361" s="4" t="s">
        <v>26</v>
      </c>
      <c r="R361" s="4">
        <v>0</v>
      </c>
      <c r="S361" s="6">
        <v>0</v>
      </c>
      <c r="T361" s="6">
        <v>2</v>
      </c>
      <c r="U361" s="6">
        <v>41</v>
      </c>
      <c r="V361" s="6">
        <f>IF(ISERROR(VLOOKUP($S$361,'TAR FIN'!$A$1:$O$86,15,0)),0,VLOOKUP($S$361,'TAR FIN'!$A$1:$O$86,15,0))</f>
        <v>0</v>
      </c>
      <c r="W361" s="6">
        <f>IF(ISERROR(VLOOKUP($T$361,'TAR FIN'!$A$1:$O$86,15,0)),0,VLOOKUP($T$361,'TAR FIN'!$A$1:$O$86,15,0))</f>
        <v>338.51</v>
      </c>
      <c r="X361" s="6">
        <f>IF(ISERROR(VLOOKUP($U$361,'TAR FIN'!$A$1:$O$86,15,0)),0,VLOOKUP($U$361,'TAR FIN'!$A$1:$O$86,15,0))</f>
        <v>224.01</v>
      </c>
      <c r="Y361" s="6"/>
      <c r="Z361" s="6">
        <f ca="1">('TUSD BE'!$AM$20+'TUSD BF'!$AM$20+'TUSD CVA'!$AM$20)*1</f>
        <v>417.58832886049538</v>
      </c>
      <c r="AA361" s="6">
        <f>('TE BE'!$AB$11+'TE BF'!$AB$11+'TE CVA'!$AB$11)*1</f>
        <v>234.64376439748159</v>
      </c>
      <c r="AB361" s="6">
        <f>$K$361*$V$361</f>
        <v>0</v>
      </c>
      <c r="AC361" s="6">
        <f>$M$361*$W$361</f>
        <v>1684294.75663</v>
      </c>
      <c r="AD361" s="6">
        <f>$O$361*$X$361</f>
        <v>1114587.06813</v>
      </c>
      <c r="AE361" s="6">
        <f>$K$361*$Y$361</f>
        <v>0</v>
      </c>
      <c r="AF361" s="6">
        <f ca="1">$M$361*$Z$361</f>
        <v>2077757.9177265561</v>
      </c>
      <c r="AG361" s="6">
        <f>$O$361*$AA$361</f>
        <v>1167496.5645050467</v>
      </c>
    </row>
    <row r="362" spans="1:33" ht="11.25" customHeight="1" x14ac:dyDescent="0.25">
      <c r="A362" s="4" t="s">
        <v>55</v>
      </c>
      <c r="B362" s="4" t="s">
        <v>22</v>
      </c>
      <c r="C362" s="4" t="s">
        <v>23</v>
      </c>
      <c r="D362" s="4" t="s">
        <v>24</v>
      </c>
      <c r="E362" s="4" t="s">
        <v>24</v>
      </c>
      <c r="F362" s="4" t="s">
        <v>25</v>
      </c>
      <c r="G362" s="4" t="s">
        <v>25</v>
      </c>
      <c r="H362" s="4" t="s">
        <v>25</v>
      </c>
      <c r="I362" s="5">
        <v>44743</v>
      </c>
      <c r="J362" s="6">
        <v>0</v>
      </c>
      <c r="K362" s="6">
        <v>0</v>
      </c>
      <c r="L362" s="6">
        <v>-300.40899999999999</v>
      </c>
      <c r="M362" s="6">
        <v>-300.40899999999999</v>
      </c>
      <c r="N362" s="6">
        <v>-300.40899999999999</v>
      </c>
      <c r="O362" s="6">
        <v>-300.40899999999999</v>
      </c>
      <c r="P362" s="6">
        <v>0</v>
      </c>
      <c r="Q362" s="4" t="s">
        <v>26</v>
      </c>
      <c r="R362" s="4">
        <v>0</v>
      </c>
      <c r="S362" s="6">
        <v>0</v>
      </c>
      <c r="T362" s="6">
        <v>2</v>
      </c>
      <c r="U362" s="6">
        <v>41</v>
      </c>
      <c r="V362" s="6">
        <f>IF(ISERROR(VLOOKUP($S$362,'TAR FIN'!$A$1:$O$86,15,0)),0,VLOOKUP($S$362,'TAR FIN'!$A$1:$O$86,15,0))</f>
        <v>0</v>
      </c>
      <c r="W362" s="6">
        <f>IF(ISERROR(VLOOKUP($T$362,'TAR FIN'!$A$1:$O$86,15,0)),0,VLOOKUP($T$362,'TAR FIN'!$A$1:$O$86,15,0))</f>
        <v>338.51</v>
      </c>
      <c r="X362" s="6">
        <f>IF(ISERROR(VLOOKUP($U$362,'TAR FIN'!$A$1:$O$86,15,0)),0,VLOOKUP($U$362,'TAR FIN'!$A$1:$O$86,15,0))</f>
        <v>224.01</v>
      </c>
      <c r="Y362" s="6"/>
      <c r="Z362" s="6">
        <f ca="1">('TUSD BE'!$AM$20+'TUSD BF'!$AM$20+'TUSD CVA'!$AM$20)*1</f>
        <v>417.58832886049538</v>
      </c>
      <c r="AA362" s="6">
        <f>('TE BE'!$AB$11+'TE BF'!$AB$11+'TE CVA'!$AB$11)*1</f>
        <v>234.64376439748159</v>
      </c>
      <c r="AB362" s="6">
        <f>$K$362*$V$362</f>
        <v>0</v>
      </c>
      <c r="AC362" s="6">
        <f>$M$362*$W$362</f>
        <v>-101691.45058999999</v>
      </c>
      <c r="AD362" s="6">
        <f>$O$362*$X$362</f>
        <v>-67294.620089999997</v>
      </c>
      <c r="AE362" s="6">
        <f>$K$362*$Y$362</f>
        <v>0</v>
      </c>
      <c r="AF362" s="6">
        <f ca="1">$M$362*$Z$362</f>
        <v>-125447.29228465255</v>
      </c>
      <c r="AG362" s="6">
        <f>$O$362*$AA$362</f>
        <v>-70489.098618883043</v>
      </c>
    </row>
    <row r="363" spans="1:33" ht="11.25" customHeight="1" x14ac:dyDescent="0.25">
      <c r="A363" s="4" t="s">
        <v>55</v>
      </c>
      <c r="B363" s="4" t="s">
        <v>22</v>
      </c>
      <c r="C363" s="4" t="s">
        <v>23</v>
      </c>
      <c r="D363" s="4" t="s">
        <v>24</v>
      </c>
      <c r="E363" s="4" t="s">
        <v>24</v>
      </c>
      <c r="F363" s="4" t="s">
        <v>25</v>
      </c>
      <c r="G363" s="4" t="s">
        <v>25</v>
      </c>
      <c r="H363" s="4" t="s">
        <v>25</v>
      </c>
      <c r="I363" s="5">
        <v>44743</v>
      </c>
      <c r="J363" s="6">
        <v>0</v>
      </c>
      <c r="K363" s="6">
        <v>0</v>
      </c>
      <c r="L363" s="6">
        <v>32.904000000000003</v>
      </c>
      <c r="M363" s="6">
        <v>32.904000000000003</v>
      </c>
      <c r="N363" s="6">
        <v>32.904000000000003</v>
      </c>
      <c r="O363" s="6">
        <v>32.904000000000003</v>
      </c>
      <c r="P363" s="6">
        <v>168</v>
      </c>
      <c r="Q363" s="4" t="s">
        <v>26</v>
      </c>
      <c r="R363" s="4">
        <v>0</v>
      </c>
      <c r="S363" s="6">
        <v>0</v>
      </c>
      <c r="T363" s="6">
        <v>2</v>
      </c>
      <c r="U363" s="6">
        <v>41</v>
      </c>
      <c r="V363" s="6">
        <f>IF(ISERROR(VLOOKUP($S$363,'TAR FIN'!$A$1:$O$86,15,0)),0,VLOOKUP($S$363,'TAR FIN'!$A$1:$O$86,15,0))</f>
        <v>0</v>
      </c>
      <c r="W363" s="6">
        <f>IF(ISERROR(VLOOKUP($T$363,'TAR FIN'!$A$1:$O$86,15,0)),0,VLOOKUP($T$363,'TAR FIN'!$A$1:$O$86,15,0))</f>
        <v>338.51</v>
      </c>
      <c r="X363" s="6">
        <f>IF(ISERROR(VLOOKUP($U$363,'TAR FIN'!$A$1:$O$86,15,0)),0,VLOOKUP($U$363,'TAR FIN'!$A$1:$O$86,15,0))</f>
        <v>224.01</v>
      </c>
      <c r="Y363" s="6"/>
      <c r="Z363" s="6">
        <f ca="1">('TUSD BE'!$AM$20+'TUSD BF'!$AM$20+'TUSD CVA'!$AM$20)*1</f>
        <v>417.58832886049538</v>
      </c>
      <c r="AA363" s="6">
        <f>('TE BE'!$AB$11+'TE BF'!$AB$11+'TE CVA'!$AB$11)*1</f>
        <v>234.64376439748159</v>
      </c>
      <c r="AB363" s="6">
        <f>$K$363*$V$363</f>
        <v>0</v>
      </c>
      <c r="AC363" s="6">
        <f>$M$363*$W$363</f>
        <v>11138.333040000001</v>
      </c>
      <c r="AD363" s="6">
        <f>$O$363*$X$363</f>
        <v>7370.8250400000006</v>
      </c>
      <c r="AE363" s="6">
        <f>$K$363*$Y$363</f>
        <v>0</v>
      </c>
      <c r="AF363" s="6">
        <f ca="1">$M$363*$Z$363</f>
        <v>13740.326372825741</v>
      </c>
      <c r="AG363" s="6">
        <f>$O$363*$AA$363</f>
        <v>7720.7184237347346</v>
      </c>
    </row>
    <row r="364" spans="1:33" ht="11.25" customHeight="1" x14ac:dyDescent="0.25">
      <c r="A364" s="4" t="s">
        <v>21</v>
      </c>
      <c r="B364" s="4" t="s">
        <v>22</v>
      </c>
      <c r="C364" s="4" t="s">
        <v>23</v>
      </c>
      <c r="D364" s="4" t="s">
        <v>24</v>
      </c>
      <c r="E364" s="4" t="s">
        <v>29</v>
      </c>
      <c r="F364" s="4" t="s">
        <v>25</v>
      </c>
      <c r="G364" s="4" t="s">
        <v>25</v>
      </c>
      <c r="H364" s="4" t="s">
        <v>25</v>
      </c>
      <c r="I364" s="5">
        <v>44409</v>
      </c>
      <c r="J364" s="6">
        <v>0</v>
      </c>
      <c r="K364" s="6">
        <v>0</v>
      </c>
      <c r="L364" s="6">
        <v>39.646000000000001</v>
      </c>
      <c r="M364" s="6">
        <v>39.646000000000001</v>
      </c>
      <c r="N364" s="6">
        <v>39.646000000000001</v>
      </c>
      <c r="O364" s="6">
        <v>39.646000000000001</v>
      </c>
      <c r="P364" s="6">
        <v>69</v>
      </c>
      <c r="Q364" s="4" t="s">
        <v>26</v>
      </c>
      <c r="R364" s="4">
        <v>0</v>
      </c>
      <c r="S364" s="6">
        <v>0</v>
      </c>
      <c r="T364" s="6">
        <v>28</v>
      </c>
      <c r="U364" s="6">
        <v>64</v>
      </c>
      <c r="V364" s="6">
        <f>IF(ISERROR(VLOOKUP($S$364,'TAR FIN'!$A$1:$O$86,15,0)),0,VLOOKUP($S$364,'TAR FIN'!$A$1:$O$86,15,0))</f>
        <v>0</v>
      </c>
      <c r="W364" s="6">
        <f>IF(ISERROR(VLOOKUP($T$364,'TAR FIN'!$A$1:$O$86,15,0)),0,VLOOKUP($T$364,'TAR FIN'!$A$1:$O$86,15,0))</f>
        <v>94.55</v>
      </c>
      <c r="X364" s="6">
        <f>IF(ISERROR(VLOOKUP($U$364,'TAR FIN'!$A$1:$O$86,15,0)),0,VLOOKUP($U$364,'TAR FIN'!$A$1:$O$86,15,0))</f>
        <v>78.400000000000006</v>
      </c>
      <c r="Y364" s="6"/>
      <c r="Z364" s="6">
        <f ca="1">('TUSD BE'!$AM$21+'TUSD BF'!$AM$21+'TUSD CVA'!$AM$21-('TUSD BE'!$P$21+'TUSD BF'!$P$21+'TUSD CVA'!$P$21)-('TUSD BE'!$Q$21+'TUSD BF'!$Q$21+'TUSD CVA'!$Q$21)-('TUSD BE'!$R$21+'TUSD BF'!$R$21+'TUSD CVA'!$R$21))*(1-CUSTOS!$M$34)</f>
        <v>102.5548534812466</v>
      </c>
      <c r="AA364" s="6">
        <f>('TE BE'!$AB$12+'TE BF'!$AB$12+'TE CVA'!$AB$12)*(1-CUSTOS!$M$34)</f>
        <v>82.125317539118555</v>
      </c>
      <c r="AB364" s="6">
        <f>$K$364*$V$364</f>
        <v>0</v>
      </c>
      <c r="AC364" s="6">
        <f>$M$364*$W$364</f>
        <v>3748.5293000000001</v>
      </c>
      <c r="AD364" s="6">
        <f>$O$364*$X$364</f>
        <v>3108.2464000000004</v>
      </c>
      <c r="AE364" s="6">
        <f>$K$364*$Y$364</f>
        <v>0</v>
      </c>
      <c r="AF364" s="6">
        <f ca="1">$M$364*$Z$364</f>
        <v>4065.8897211175026</v>
      </c>
      <c r="AG364" s="6">
        <f>$O$364*$AA$364</f>
        <v>3255.9403391558944</v>
      </c>
    </row>
    <row r="365" spans="1:33" ht="11.25" customHeight="1" x14ac:dyDescent="0.25">
      <c r="A365" s="4" t="s">
        <v>21</v>
      </c>
      <c r="B365" s="4" t="s">
        <v>22</v>
      </c>
      <c r="C365" s="4" t="s">
        <v>23</v>
      </c>
      <c r="D365" s="4" t="s">
        <v>24</v>
      </c>
      <c r="E365" s="4" t="s">
        <v>29</v>
      </c>
      <c r="F365" s="4" t="s">
        <v>25</v>
      </c>
      <c r="G365" s="4" t="s">
        <v>25</v>
      </c>
      <c r="H365" s="4" t="s">
        <v>25</v>
      </c>
      <c r="I365" s="5">
        <v>44440</v>
      </c>
      <c r="J365" s="6">
        <v>0</v>
      </c>
      <c r="K365" s="6">
        <v>0</v>
      </c>
      <c r="L365" s="6">
        <v>40.024999999999999</v>
      </c>
      <c r="M365" s="6">
        <v>40.024999999999999</v>
      </c>
      <c r="N365" s="6">
        <v>40.024999999999999</v>
      </c>
      <c r="O365" s="6">
        <v>40.024999999999999</v>
      </c>
      <c r="P365" s="6">
        <v>62</v>
      </c>
      <c r="Q365" s="4" t="s">
        <v>26</v>
      </c>
      <c r="R365" s="4">
        <v>0</v>
      </c>
      <c r="S365" s="6">
        <v>0</v>
      </c>
      <c r="T365" s="6">
        <v>28</v>
      </c>
      <c r="U365" s="6">
        <v>64</v>
      </c>
      <c r="V365" s="6">
        <f>IF(ISERROR(VLOOKUP($S$365,'TAR FIN'!$A$1:$O$86,15,0)),0,VLOOKUP($S$365,'TAR FIN'!$A$1:$O$86,15,0))</f>
        <v>0</v>
      </c>
      <c r="W365" s="6">
        <f>IF(ISERROR(VLOOKUP($T$365,'TAR FIN'!$A$1:$O$86,15,0)),0,VLOOKUP($T$365,'TAR FIN'!$A$1:$O$86,15,0))</f>
        <v>94.55</v>
      </c>
      <c r="X365" s="6">
        <f>IF(ISERROR(VLOOKUP($U$365,'TAR FIN'!$A$1:$O$86,15,0)),0,VLOOKUP($U$365,'TAR FIN'!$A$1:$O$86,15,0))</f>
        <v>78.400000000000006</v>
      </c>
      <c r="Y365" s="6"/>
      <c r="Z365" s="6">
        <f ca="1">('TUSD BE'!$AM$21+'TUSD BF'!$AM$21+'TUSD CVA'!$AM$21-('TUSD BE'!$P$21+'TUSD BF'!$P$21+'TUSD CVA'!$P$21)-('TUSD BE'!$Q$21+'TUSD BF'!$Q$21+'TUSD CVA'!$Q$21)-('TUSD BE'!$R$21+'TUSD BF'!$R$21+'TUSD CVA'!$R$21))*(1-CUSTOS!$M$34)</f>
        <v>102.5548534812466</v>
      </c>
      <c r="AA365" s="6">
        <f>('TE BE'!$AB$12+'TE BF'!$AB$12+'TE CVA'!$AB$12)*(1-CUSTOS!$M$34)</f>
        <v>82.125317539118555</v>
      </c>
      <c r="AB365" s="6">
        <f>$K$365*$V$365</f>
        <v>0</v>
      </c>
      <c r="AC365" s="6">
        <f>$M$365*$W$365</f>
        <v>3784.3637499999995</v>
      </c>
      <c r="AD365" s="6">
        <f>$O$365*$X$365</f>
        <v>3137.96</v>
      </c>
      <c r="AE365" s="6">
        <f>$K$365*$Y$365</f>
        <v>0</v>
      </c>
      <c r="AF365" s="6">
        <f ca="1">$M$365*$Z$365</f>
        <v>4104.7580105868947</v>
      </c>
      <c r="AG365" s="6">
        <f>$O$365*$AA$365</f>
        <v>3287.0658345032202</v>
      </c>
    </row>
    <row r="366" spans="1:33" ht="11.25" customHeight="1" x14ac:dyDescent="0.25">
      <c r="A366" s="4" t="s">
        <v>21</v>
      </c>
      <c r="B366" s="4" t="s">
        <v>22</v>
      </c>
      <c r="C366" s="4" t="s">
        <v>23</v>
      </c>
      <c r="D366" s="4" t="s">
        <v>24</v>
      </c>
      <c r="E366" s="4" t="s">
        <v>29</v>
      </c>
      <c r="F366" s="4" t="s">
        <v>25</v>
      </c>
      <c r="G366" s="4" t="s">
        <v>25</v>
      </c>
      <c r="H366" s="4" t="s">
        <v>25</v>
      </c>
      <c r="I366" s="5">
        <v>44470</v>
      </c>
      <c r="J366" s="6">
        <v>0</v>
      </c>
      <c r="K366" s="6">
        <v>0</v>
      </c>
      <c r="L366" s="6">
        <v>40.651000000000003</v>
      </c>
      <c r="M366" s="6">
        <v>40.651000000000003</v>
      </c>
      <c r="N366" s="6">
        <v>40.651000000000003</v>
      </c>
      <c r="O366" s="6">
        <v>40.651000000000003</v>
      </c>
      <c r="P366" s="6">
        <v>62</v>
      </c>
      <c r="Q366" s="4" t="s">
        <v>26</v>
      </c>
      <c r="R366" s="4">
        <v>0</v>
      </c>
      <c r="S366" s="6">
        <v>0</v>
      </c>
      <c r="T366" s="6">
        <v>28</v>
      </c>
      <c r="U366" s="6">
        <v>64</v>
      </c>
      <c r="V366" s="6">
        <f>IF(ISERROR(VLOOKUP($S$366,'TAR FIN'!$A$1:$O$86,15,0)),0,VLOOKUP($S$366,'TAR FIN'!$A$1:$O$86,15,0))</f>
        <v>0</v>
      </c>
      <c r="W366" s="6">
        <f>IF(ISERROR(VLOOKUP($T$366,'TAR FIN'!$A$1:$O$86,15,0)),0,VLOOKUP($T$366,'TAR FIN'!$A$1:$O$86,15,0))</f>
        <v>94.55</v>
      </c>
      <c r="X366" s="6">
        <f>IF(ISERROR(VLOOKUP($U$366,'TAR FIN'!$A$1:$O$86,15,0)),0,VLOOKUP($U$366,'TAR FIN'!$A$1:$O$86,15,0))</f>
        <v>78.400000000000006</v>
      </c>
      <c r="Y366" s="6"/>
      <c r="Z366" s="6">
        <f ca="1">('TUSD BE'!$AM$21+'TUSD BF'!$AM$21+'TUSD CVA'!$AM$21-('TUSD BE'!$P$21+'TUSD BF'!$P$21+'TUSD CVA'!$P$21)-('TUSD BE'!$Q$21+'TUSD BF'!$Q$21+'TUSD CVA'!$Q$21)-('TUSD BE'!$R$21+'TUSD BF'!$R$21+'TUSD CVA'!$R$21))*(1-CUSTOS!$M$34)</f>
        <v>102.5548534812466</v>
      </c>
      <c r="AA366" s="6">
        <f>('TE BE'!$AB$12+'TE BF'!$AB$12+'TE CVA'!$AB$12)*(1-CUSTOS!$M$34)</f>
        <v>82.125317539118555</v>
      </c>
      <c r="AB366" s="6">
        <f>$K$366*$V$366</f>
        <v>0</v>
      </c>
      <c r="AC366" s="6">
        <f>$M$366*$W$366</f>
        <v>3843.5520500000002</v>
      </c>
      <c r="AD366" s="6">
        <f>$O$366*$X$366</f>
        <v>3187.0384000000004</v>
      </c>
      <c r="AE366" s="6">
        <f>$K$366*$Y$366</f>
        <v>0</v>
      </c>
      <c r="AF366" s="6">
        <f ca="1">$M$366*$Z$366</f>
        <v>4168.9573488661554</v>
      </c>
      <c r="AG366" s="6">
        <f>$O$366*$AA$366</f>
        <v>3338.4762832827087</v>
      </c>
    </row>
    <row r="367" spans="1:33" ht="11.25" customHeight="1" x14ac:dyDescent="0.25">
      <c r="A367" s="4" t="s">
        <v>21</v>
      </c>
      <c r="B367" s="4" t="s">
        <v>22</v>
      </c>
      <c r="C367" s="4" t="s">
        <v>23</v>
      </c>
      <c r="D367" s="4" t="s">
        <v>24</v>
      </c>
      <c r="E367" s="4" t="s">
        <v>29</v>
      </c>
      <c r="F367" s="4" t="s">
        <v>25</v>
      </c>
      <c r="G367" s="4" t="s">
        <v>25</v>
      </c>
      <c r="H367" s="4" t="s">
        <v>25</v>
      </c>
      <c r="I367" s="5">
        <v>44501</v>
      </c>
      <c r="J367" s="6">
        <v>0</v>
      </c>
      <c r="K367" s="6">
        <v>0</v>
      </c>
      <c r="L367" s="6">
        <v>40.799999999999997</v>
      </c>
      <c r="M367" s="6">
        <v>40.799999999999997</v>
      </c>
      <c r="N367" s="6">
        <v>40.799999999999997</v>
      </c>
      <c r="O367" s="6">
        <v>40.799999999999997</v>
      </c>
      <c r="P367" s="6">
        <v>62</v>
      </c>
      <c r="Q367" s="4" t="s">
        <v>26</v>
      </c>
      <c r="R367" s="4">
        <v>0</v>
      </c>
      <c r="S367" s="6">
        <v>0</v>
      </c>
      <c r="T367" s="6">
        <v>28</v>
      </c>
      <c r="U367" s="6">
        <v>64</v>
      </c>
      <c r="V367" s="6">
        <f>IF(ISERROR(VLOOKUP($S$367,'TAR FIN'!$A$1:$O$86,15,0)),0,VLOOKUP($S$367,'TAR FIN'!$A$1:$O$86,15,0))</f>
        <v>0</v>
      </c>
      <c r="W367" s="6">
        <f>IF(ISERROR(VLOOKUP($T$367,'TAR FIN'!$A$1:$O$86,15,0)),0,VLOOKUP($T$367,'TAR FIN'!$A$1:$O$86,15,0))</f>
        <v>94.55</v>
      </c>
      <c r="X367" s="6">
        <f>IF(ISERROR(VLOOKUP($U$367,'TAR FIN'!$A$1:$O$86,15,0)),0,VLOOKUP($U$367,'TAR FIN'!$A$1:$O$86,15,0))</f>
        <v>78.400000000000006</v>
      </c>
      <c r="Y367" s="6"/>
      <c r="Z367" s="6">
        <f ca="1">('TUSD BE'!$AM$21+'TUSD BF'!$AM$21+'TUSD CVA'!$AM$21-('TUSD BE'!$P$21+'TUSD BF'!$P$21+'TUSD CVA'!$P$21)-('TUSD BE'!$Q$21+'TUSD BF'!$Q$21+'TUSD CVA'!$Q$21)-('TUSD BE'!$R$21+'TUSD BF'!$R$21+'TUSD CVA'!$R$21))*(1-CUSTOS!$M$34)</f>
        <v>102.5548534812466</v>
      </c>
      <c r="AA367" s="6">
        <f>('TE BE'!$AB$12+'TE BF'!$AB$12+'TE CVA'!$AB$12)*(1-CUSTOS!$M$34)</f>
        <v>82.125317539118555</v>
      </c>
      <c r="AB367" s="6">
        <f>$K$367*$V$367</f>
        <v>0</v>
      </c>
      <c r="AC367" s="6">
        <f>$M$367*$W$367</f>
        <v>3857.6399999999994</v>
      </c>
      <c r="AD367" s="6">
        <f>$O$367*$X$367</f>
        <v>3198.72</v>
      </c>
      <c r="AE367" s="6">
        <f>$K$367*$Y$367</f>
        <v>0</v>
      </c>
      <c r="AF367" s="6">
        <f ca="1">$M$367*$Z$367</f>
        <v>4184.2380220348605</v>
      </c>
      <c r="AG367" s="6">
        <f>$O$367*$AA$367</f>
        <v>3350.7129555960369</v>
      </c>
    </row>
    <row r="368" spans="1:33" ht="11.25" customHeight="1" x14ac:dyDescent="0.25">
      <c r="A368" s="4" t="s">
        <v>21</v>
      </c>
      <c r="B368" s="4" t="s">
        <v>22</v>
      </c>
      <c r="C368" s="4" t="s">
        <v>23</v>
      </c>
      <c r="D368" s="4" t="s">
        <v>24</v>
      </c>
      <c r="E368" s="4" t="s">
        <v>29</v>
      </c>
      <c r="F368" s="4" t="s">
        <v>25</v>
      </c>
      <c r="G368" s="4" t="s">
        <v>25</v>
      </c>
      <c r="H368" s="4" t="s">
        <v>25</v>
      </c>
      <c r="I368" s="5">
        <v>44531</v>
      </c>
      <c r="J368" s="6">
        <v>0</v>
      </c>
      <c r="K368" s="6">
        <v>0</v>
      </c>
      <c r="L368" s="6">
        <v>41.198999999999998</v>
      </c>
      <c r="M368" s="6">
        <v>41.198999999999998</v>
      </c>
      <c r="N368" s="6">
        <v>41.198999999999998</v>
      </c>
      <c r="O368" s="6">
        <v>41.198999999999998</v>
      </c>
      <c r="P368" s="6">
        <v>61</v>
      </c>
      <c r="Q368" s="4" t="s">
        <v>26</v>
      </c>
      <c r="R368" s="4">
        <v>0</v>
      </c>
      <c r="S368" s="6">
        <v>0</v>
      </c>
      <c r="T368" s="6">
        <v>28</v>
      </c>
      <c r="U368" s="6">
        <v>64</v>
      </c>
      <c r="V368" s="6">
        <f>IF(ISERROR(VLOOKUP($S$368,'TAR FIN'!$A$1:$O$86,15,0)),0,VLOOKUP($S$368,'TAR FIN'!$A$1:$O$86,15,0))</f>
        <v>0</v>
      </c>
      <c r="W368" s="6">
        <f>IF(ISERROR(VLOOKUP($T$368,'TAR FIN'!$A$1:$O$86,15,0)),0,VLOOKUP($T$368,'TAR FIN'!$A$1:$O$86,15,0))</f>
        <v>94.55</v>
      </c>
      <c r="X368" s="6">
        <f>IF(ISERROR(VLOOKUP($U$368,'TAR FIN'!$A$1:$O$86,15,0)),0,VLOOKUP($U$368,'TAR FIN'!$A$1:$O$86,15,0))</f>
        <v>78.400000000000006</v>
      </c>
      <c r="Y368" s="6"/>
      <c r="Z368" s="6">
        <f ca="1">('TUSD BE'!$AM$21+'TUSD BF'!$AM$21+'TUSD CVA'!$AM$21-('TUSD BE'!$P$21+'TUSD BF'!$P$21+'TUSD CVA'!$P$21)-('TUSD BE'!$Q$21+'TUSD BF'!$Q$21+'TUSD CVA'!$Q$21)-('TUSD BE'!$R$21+'TUSD BF'!$R$21+'TUSD CVA'!$R$21))*(1-CUSTOS!$M$34)</f>
        <v>102.5548534812466</v>
      </c>
      <c r="AA368" s="6">
        <f>('TE BE'!$AB$12+'TE BF'!$AB$12+'TE CVA'!$AB$12)*(1-CUSTOS!$M$34)</f>
        <v>82.125317539118555</v>
      </c>
      <c r="AB368" s="6">
        <f>$K$368*$V$368</f>
        <v>0</v>
      </c>
      <c r="AC368" s="6">
        <f>$M$368*$W$368</f>
        <v>3895.3654499999998</v>
      </c>
      <c r="AD368" s="6">
        <f>$O$368*$X$368</f>
        <v>3230.0016000000001</v>
      </c>
      <c r="AE368" s="6">
        <f>$K$368*$Y$368</f>
        <v>0</v>
      </c>
      <c r="AF368" s="6">
        <f ca="1">$M$368*$Z$368</f>
        <v>4225.1574085738785</v>
      </c>
      <c r="AG368" s="6">
        <f>$O$368*$AA$368</f>
        <v>3383.4809572941454</v>
      </c>
    </row>
    <row r="369" spans="1:33" ht="11.25" customHeight="1" x14ac:dyDescent="0.25">
      <c r="A369" s="4" t="s">
        <v>21</v>
      </c>
      <c r="B369" s="4" t="s">
        <v>22</v>
      </c>
      <c r="C369" s="4" t="s">
        <v>23</v>
      </c>
      <c r="D369" s="4" t="s">
        <v>24</v>
      </c>
      <c r="E369" s="4" t="s">
        <v>29</v>
      </c>
      <c r="F369" s="4" t="s">
        <v>25</v>
      </c>
      <c r="G369" s="4" t="s">
        <v>25</v>
      </c>
      <c r="H369" s="4" t="s">
        <v>25</v>
      </c>
      <c r="I369" s="5">
        <v>44562</v>
      </c>
      <c r="J369" s="6">
        <v>0</v>
      </c>
      <c r="K369" s="6">
        <v>0</v>
      </c>
      <c r="L369" s="6">
        <v>41.094000000000001</v>
      </c>
      <c r="M369" s="6">
        <v>41.094000000000001</v>
      </c>
      <c r="N369" s="6">
        <v>41.094000000000001</v>
      </c>
      <c r="O369" s="6">
        <v>41.094000000000001</v>
      </c>
      <c r="P369" s="6">
        <v>38</v>
      </c>
      <c r="Q369" s="4" t="s">
        <v>26</v>
      </c>
      <c r="R369" s="4">
        <v>0</v>
      </c>
      <c r="S369" s="6">
        <v>0</v>
      </c>
      <c r="T369" s="6">
        <v>28</v>
      </c>
      <c r="U369" s="6">
        <v>64</v>
      </c>
      <c r="V369" s="6">
        <f>IF(ISERROR(VLOOKUP($S$369,'TAR FIN'!$A$1:$O$86,15,0)),0,VLOOKUP($S$369,'TAR FIN'!$A$1:$O$86,15,0))</f>
        <v>0</v>
      </c>
      <c r="W369" s="6">
        <f>IF(ISERROR(VLOOKUP($T$369,'TAR FIN'!$A$1:$O$86,15,0)),0,VLOOKUP($T$369,'TAR FIN'!$A$1:$O$86,15,0))</f>
        <v>94.55</v>
      </c>
      <c r="X369" s="6">
        <f>IF(ISERROR(VLOOKUP($U$369,'TAR FIN'!$A$1:$O$86,15,0)),0,VLOOKUP($U$369,'TAR FIN'!$A$1:$O$86,15,0))</f>
        <v>78.400000000000006</v>
      </c>
      <c r="Y369" s="6"/>
      <c r="Z369" s="6">
        <f ca="1">('TUSD BE'!$AM$21+'TUSD BF'!$AM$21+'TUSD CVA'!$AM$21-('TUSD BE'!$P$21+'TUSD BF'!$P$21+'TUSD CVA'!$P$21)-('TUSD BE'!$Q$21+'TUSD BF'!$Q$21+'TUSD CVA'!$Q$21)-('TUSD BE'!$R$21+'TUSD BF'!$R$21+'TUSD CVA'!$R$21))*(1-CUSTOS!$M$34)</f>
        <v>102.5548534812466</v>
      </c>
      <c r="AA369" s="6">
        <f>('TE BE'!$AB$12+'TE BF'!$AB$12+'TE CVA'!$AB$12)*(1-CUSTOS!$M$34)</f>
        <v>82.125317539118555</v>
      </c>
      <c r="AB369" s="6">
        <f>$K$369*$V$369</f>
        <v>0</v>
      </c>
      <c r="AC369" s="6">
        <f>$M$369*$W$369</f>
        <v>3885.4376999999999</v>
      </c>
      <c r="AD369" s="6">
        <f>$O$369*$X$369</f>
        <v>3221.7696000000005</v>
      </c>
      <c r="AE369" s="6">
        <f>$K$369*$Y$369</f>
        <v>0</v>
      </c>
      <c r="AF369" s="6">
        <f ca="1">$M$369*$Z$369</f>
        <v>4214.3891489583475</v>
      </c>
      <c r="AG369" s="6">
        <f>$O$369*$AA$369</f>
        <v>3374.8577989525379</v>
      </c>
    </row>
    <row r="370" spans="1:33" ht="11.25" customHeight="1" x14ac:dyDescent="0.25">
      <c r="A370" s="4" t="s">
        <v>21</v>
      </c>
      <c r="B370" s="4" t="s">
        <v>22</v>
      </c>
      <c r="C370" s="4" t="s">
        <v>23</v>
      </c>
      <c r="D370" s="4" t="s">
        <v>24</v>
      </c>
      <c r="E370" s="4" t="s">
        <v>29</v>
      </c>
      <c r="F370" s="4" t="s">
        <v>25</v>
      </c>
      <c r="G370" s="4" t="s">
        <v>25</v>
      </c>
      <c r="H370" s="4" t="s">
        <v>25</v>
      </c>
      <c r="I370" s="5">
        <v>44593</v>
      </c>
      <c r="J370" s="6">
        <v>0</v>
      </c>
      <c r="K370" s="6">
        <v>0</v>
      </c>
      <c r="L370" s="6">
        <v>41.872999999999998</v>
      </c>
      <c r="M370" s="6">
        <v>41.872999999999998</v>
      </c>
      <c r="N370" s="6">
        <v>41.872999999999998</v>
      </c>
      <c r="O370" s="6">
        <v>41.872999999999998</v>
      </c>
      <c r="P370" s="6">
        <v>35</v>
      </c>
      <c r="Q370" s="4" t="s">
        <v>26</v>
      </c>
      <c r="R370" s="4">
        <v>0</v>
      </c>
      <c r="S370" s="6">
        <v>0</v>
      </c>
      <c r="T370" s="6">
        <v>28</v>
      </c>
      <c r="U370" s="6">
        <v>64</v>
      </c>
      <c r="V370" s="6">
        <f>IF(ISERROR(VLOOKUP($S$370,'TAR FIN'!$A$1:$O$86,15,0)),0,VLOOKUP($S$370,'TAR FIN'!$A$1:$O$86,15,0))</f>
        <v>0</v>
      </c>
      <c r="W370" s="6">
        <f>IF(ISERROR(VLOOKUP($T$370,'TAR FIN'!$A$1:$O$86,15,0)),0,VLOOKUP($T$370,'TAR FIN'!$A$1:$O$86,15,0))</f>
        <v>94.55</v>
      </c>
      <c r="X370" s="6">
        <f>IF(ISERROR(VLOOKUP($U$370,'TAR FIN'!$A$1:$O$86,15,0)),0,VLOOKUP($U$370,'TAR FIN'!$A$1:$O$86,15,0))</f>
        <v>78.400000000000006</v>
      </c>
      <c r="Y370" s="6"/>
      <c r="Z370" s="6">
        <f ca="1">('TUSD BE'!$AM$21+'TUSD BF'!$AM$21+'TUSD CVA'!$AM$21-('TUSD BE'!$P$21+'TUSD BF'!$P$21+'TUSD CVA'!$P$21)-('TUSD BE'!$Q$21+'TUSD BF'!$Q$21+'TUSD CVA'!$Q$21)-('TUSD BE'!$R$21+'TUSD BF'!$R$21+'TUSD CVA'!$R$21))*(1-CUSTOS!$M$34)</f>
        <v>102.5548534812466</v>
      </c>
      <c r="AA370" s="6">
        <f>('TE BE'!$AB$12+'TE BF'!$AB$12+'TE CVA'!$AB$12)*(1-CUSTOS!$M$34)</f>
        <v>82.125317539118555</v>
      </c>
      <c r="AB370" s="6">
        <f>$K$370*$V$370</f>
        <v>0</v>
      </c>
      <c r="AC370" s="6">
        <f>$M$370*$W$370</f>
        <v>3959.0921499999995</v>
      </c>
      <c r="AD370" s="6">
        <f>$O$370*$X$370</f>
        <v>3282.8432000000003</v>
      </c>
      <c r="AE370" s="6">
        <f>$K$370*$Y$370</f>
        <v>0</v>
      </c>
      <c r="AF370" s="6">
        <f ca="1">$M$370*$Z$370</f>
        <v>4294.2793798202383</v>
      </c>
      <c r="AG370" s="6">
        <f>$O$370*$AA$370</f>
        <v>3438.8334213155113</v>
      </c>
    </row>
    <row r="371" spans="1:33" ht="11.25" customHeight="1" x14ac:dyDescent="0.25">
      <c r="A371" s="4" t="s">
        <v>21</v>
      </c>
      <c r="B371" s="4" t="s">
        <v>22</v>
      </c>
      <c r="C371" s="4" t="s">
        <v>23</v>
      </c>
      <c r="D371" s="4" t="s">
        <v>24</v>
      </c>
      <c r="E371" s="4" t="s">
        <v>29</v>
      </c>
      <c r="F371" s="4" t="s">
        <v>25</v>
      </c>
      <c r="G371" s="4" t="s">
        <v>25</v>
      </c>
      <c r="H371" s="4" t="s">
        <v>25</v>
      </c>
      <c r="I371" s="5">
        <v>44621</v>
      </c>
      <c r="J371" s="6">
        <v>0</v>
      </c>
      <c r="K371" s="6">
        <v>0</v>
      </c>
      <c r="L371" s="6">
        <v>42.484999999999999</v>
      </c>
      <c r="M371" s="6">
        <v>42.484999999999999</v>
      </c>
      <c r="N371" s="6">
        <v>42.484999999999999</v>
      </c>
      <c r="O371" s="6">
        <v>42.484999999999999</v>
      </c>
      <c r="P371" s="6">
        <v>36</v>
      </c>
      <c r="Q371" s="4" t="s">
        <v>26</v>
      </c>
      <c r="R371" s="4">
        <v>0</v>
      </c>
      <c r="S371" s="6">
        <v>0</v>
      </c>
      <c r="T371" s="6">
        <v>28</v>
      </c>
      <c r="U371" s="6">
        <v>64</v>
      </c>
      <c r="V371" s="6">
        <f>IF(ISERROR(VLOOKUP($S$371,'TAR FIN'!$A$1:$O$86,15,0)),0,VLOOKUP($S$371,'TAR FIN'!$A$1:$O$86,15,0))</f>
        <v>0</v>
      </c>
      <c r="W371" s="6">
        <f>IF(ISERROR(VLOOKUP($T$371,'TAR FIN'!$A$1:$O$86,15,0)),0,VLOOKUP($T$371,'TAR FIN'!$A$1:$O$86,15,0))</f>
        <v>94.55</v>
      </c>
      <c r="X371" s="6">
        <f>IF(ISERROR(VLOOKUP($U$371,'TAR FIN'!$A$1:$O$86,15,0)),0,VLOOKUP($U$371,'TAR FIN'!$A$1:$O$86,15,0))</f>
        <v>78.400000000000006</v>
      </c>
      <c r="Y371" s="6"/>
      <c r="Z371" s="6">
        <f ca="1">('TUSD BE'!$AM$21+'TUSD BF'!$AM$21+'TUSD CVA'!$AM$21-('TUSD BE'!$P$21+'TUSD BF'!$P$21+'TUSD CVA'!$P$21)-('TUSD BE'!$Q$21+'TUSD BF'!$Q$21+'TUSD CVA'!$Q$21)-('TUSD BE'!$R$21+'TUSD BF'!$R$21+'TUSD CVA'!$R$21))*(1-CUSTOS!$M$34)</f>
        <v>102.5548534812466</v>
      </c>
      <c r="AA371" s="6">
        <f>('TE BE'!$AB$12+'TE BF'!$AB$12+'TE CVA'!$AB$12)*(1-CUSTOS!$M$34)</f>
        <v>82.125317539118555</v>
      </c>
      <c r="AB371" s="6">
        <f>$K$371*$V$371</f>
        <v>0</v>
      </c>
      <c r="AC371" s="6">
        <f>$M$371*$W$371</f>
        <v>4016.9567499999998</v>
      </c>
      <c r="AD371" s="6">
        <f>$O$371*$X$371</f>
        <v>3330.8240000000001</v>
      </c>
      <c r="AE371" s="6">
        <f>$K$371*$Y$371</f>
        <v>0</v>
      </c>
      <c r="AF371" s="6">
        <f ca="1">$M$371*$Z$371</f>
        <v>4357.0429501507615</v>
      </c>
      <c r="AG371" s="6">
        <f>$O$371*$AA$371</f>
        <v>3489.0941156494519</v>
      </c>
    </row>
    <row r="372" spans="1:33" ht="11.25" customHeight="1" x14ac:dyDescent="0.25">
      <c r="A372" s="4" t="s">
        <v>21</v>
      </c>
      <c r="B372" s="4" t="s">
        <v>22</v>
      </c>
      <c r="C372" s="4" t="s">
        <v>23</v>
      </c>
      <c r="D372" s="4" t="s">
        <v>24</v>
      </c>
      <c r="E372" s="4" t="s">
        <v>29</v>
      </c>
      <c r="F372" s="4" t="s">
        <v>25</v>
      </c>
      <c r="G372" s="4" t="s">
        <v>25</v>
      </c>
      <c r="H372" s="4" t="s">
        <v>25</v>
      </c>
      <c r="I372" s="5">
        <v>44652</v>
      </c>
      <c r="J372" s="6">
        <v>0</v>
      </c>
      <c r="K372" s="6">
        <v>0</v>
      </c>
      <c r="L372" s="6">
        <v>42.991</v>
      </c>
      <c r="M372" s="6">
        <v>42.991</v>
      </c>
      <c r="N372" s="6">
        <v>42.991</v>
      </c>
      <c r="O372" s="6">
        <v>42.991</v>
      </c>
      <c r="P372" s="6">
        <v>47</v>
      </c>
      <c r="Q372" s="4" t="s">
        <v>26</v>
      </c>
      <c r="R372" s="4">
        <v>0</v>
      </c>
      <c r="S372" s="6">
        <v>0</v>
      </c>
      <c r="T372" s="6">
        <v>28</v>
      </c>
      <c r="U372" s="6">
        <v>64</v>
      </c>
      <c r="V372" s="6">
        <f>IF(ISERROR(VLOOKUP($S$372,'TAR FIN'!$A$1:$O$86,15,0)),0,VLOOKUP($S$372,'TAR FIN'!$A$1:$O$86,15,0))</f>
        <v>0</v>
      </c>
      <c r="W372" s="6">
        <f>IF(ISERROR(VLOOKUP($T$372,'TAR FIN'!$A$1:$O$86,15,0)),0,VLOOKUP($T$372,'TAR FIN'!$A$1:$O$86,15,0))</f>
        <v>94.55</v>
      </c>
      <c r="X372" s="6">
        <f>IF(ISERROR(VLOOKUP($U$372,'TAR FIN'!$A$1:$O$86,15,0)),0,VLOOKUP($U$372,'TAR FIN'!$A$1:$O$86,15,0))</f>
        <v>78.400000000000006</v>
      </c>
      <c r="Y372" s="6"/>
      <c r="Z372" s="6">
        <f ca="1">('TUSD BE'!$AM$21+'TUSD BF'!$AM$21+'TUSD CVA'!$AM$21-('TUSD BE'!$P$21+'TUSD BF'!$P$21+'TUSD CVA'!$P$21)-('TUSD BE'!$Q$21+'TUSD BF'!$Q$21+'TUSD CVA'!$Q$21)-('TUSD BE'!$R$21+'TUSD BF'!$R$21+'TUSD CVA'!$R$21))*(1-CUSTOS!$M$34)</f>
        <v>102.5548534812466</v>
      </c>
      <c r="AA372" s="6">
        <f>('TE BE'!$AB$12+'TE BF'!$AB$12+'TE CVA'!$AB$12)*(1-CUSTOS!$M$34)</f>
        <v>82.125317539118555</v>
      </c>
      <c r="AB372" s="6">
        <f>$K$372*$V$372</f>
        <v>0</v>
      </c>
      <c r="AC372" s="6">
        <f>$M$372*$W$372</f>
        <v>4064.7990499999996</v>
      </c>
      <c r="AD372" s="6">
        <f>$O$372*$X$372</f>
        <v>3370.4944</v>
      </c>
      <c r="AE372" s="6">
        <f>$K$372*$Y$372</f>
        <v>0</v>
      </c>
      <c r="AF372" s="6">
        <f ca="1">$M$372*$Z$372</f>
        <v>4408.935706012272</v>
      </c>
      <c r="AG372" s="6">
        <f>$O$372*$AA$372</f>
        <v>3530.6495263242459</v>
      </c>
    </row>
    <row r="373" spans="1:33" ht="11.25" customHeight="1" x14ac:dyDescent="0.25">
      <c r="A373" s="4" t="s">
        <v>21</v>
      </c>
      <c r="B373" s="4" t="s">
        <v>22</v>
      </c>
      <c r="C373" s="4" t="s">
        <v>23</v>
      </c>
      <c r="D373" s="4" t="s">
        <v>24</v>
      </c>
      <c r="E373" s="4" t="s">
        <v>29</v>
      </c>
      <c r="F373" s="4" t="s">
        <v>25</v>
      </c>
      <c r="G373" s="4" t="s">
        <v>25</v>
      </c>
      <c r="H373" s="4" t="s">
        <v>25</v>
      </c>
      <c r="I373" s="5">
        <v>44682</v>
      </c>
      <c r="J373" s="6">
        <v>0</v>
      </c>
      <c r="K373" s="6">
        <v>0</v>
      </c>
      <c r="L373" s="6">
        <v>44.802999999999997</v>
      </c>
      <c r="M373" s="6">
        <v>44.802999999999997</v>
      </c>
      <c r="N373" s="6">
        <v>44.802999999999997</v>
      </c>
      <c r="O373" s="6">
        <v>44.802999999999997</v>
      </c>
      <c r="P373" s="6">
        <v>50</v>
      </c>
      <c r="Q373" s="4" t="s">
        <v>26</v>
      </c>
      <c r="R373" s="4">
        <v>0</v>
      </c>
      <c r="S373" s="6">
        <v>0</v>
      </c>
      <c r="T373" s="6">
        <v>28</v>
      </c>
      <c r="U373" s="6">
        <v>64</v>
      </c>
      <c r="V373" s="6">
        <f>IF(ISERROR(VLOOKUP($S$373,'TAR FIN'!$A$1:$O$86,15,0)),0,VLOOKUP($S$373,'TAR FIN'!$A$1:$O$86,15,0))</f>
        <v>0</v>
      </c>
      <c r="W373" s="6">
        <f>IF(ISERROR(VLOOKUP($T$373,'TAR FIN'!$A$1:$O$86,15,0)),0,VLOOKUP($T$373,'TAR FIN'!$A$1:$O$86,15,0))</f>
        <v>94.55</v>
      </c>
      <c r="X373" s="6">
        <f>IF(ISERROR(VLOOKUP($U$373,'TAR FIN'!$A$1:$O$86,15,0)),0,VLOOKUP($U$373,'TAR FIN'!$A$1:$O$86,15,0))</f>
        <v>78.400000000000006</v>
      </c>
      <c r="Y373" s="6"/>
      <c r="Z373" s="6">
        <f ca="1">('TUSD BE'!$AM$21+'TUSD BF'!$AM$21+'TUSD CVA'!$AM$21-('TUSD BE'!$P$21+'TUSD BF'!$P$21+'TUSD CVA'!$P$21)-('TUSD BE'!$Q$21+'TUSD BF'!$Q$21+'TUSD CVA'!$Q$21)-('TUSD BE'!$R$21+'TUSD BF'!$R$21+'TUSD CVA'!$R$21))*(1-CUSTOS!$M$34)</f>
        <v>102.5548534812466</v>
      </c>
      <c r="AA373" s="6">
        <f>('TE BE'!$AB$12+'TE BF'!$AB$12+'TE CVA'!$AB$12)*(1-CUSTOS!$M$34)</f>
        <v>82.125317539118555</v>
      </c>
      <c r="AB373" s="6">
        <f>$K$373*$V$373</f>
        <v>0</v>
      </c>
      <c r="AC373" s="6">
        <f>$M$373*$W$373</f>
        <v>4236.1236499999995</v>
      </c>
      <c r="AD373" s="6">
        <f>$O$373*$X$373</f>
        <v>3512.5552000000002</v>
      </c>
      <c r="AE373" s="6">
        <f>$K$373*$Y$373</f>
        <v>0</v>
      </c>
      <c r="AF373" s="6">
        <f ca="1">$M$373*$Z$373</f>
        <v>4594.7651005202906</v>
      </c>
      <c r="AG373" s="6">
        <f>$O$373*$AA$373</f>
        <v>3679.4606017051283</v>
      </c>
    </row>
    <row r="374" spans="1:33" ht="11.25" customHeight="1" x14ac:dyDescent="0.25">
      <c r="A374" s="4" t="s">
        <v>21</v>
      </c>
      <c r="B374" s="4" t="s">
        <v>22</v>
      </c>
      <c r="C374" s="4" t="s">
        <v>23</v>
      </c>
      <c r="D374" s="4" t="s">
        <v>24</v>
      </c>
      <c r="E374" s="4" t="s">
        <v>29</v>
      </c>
      <c r="F374" s="4" t="s">
        <v>25</v>
      </c>
      <c r="G374" s="4" t="s">
        <v>25</v>
      </c>
      <c r="H374" s="4" t="s">
        <v>25</v>
      </c>
      <c r="I374" s="5">
        <v>44713</v>
      </c>
      <c r="J374" s="6">
        <v>0</v>
      </c>
      <c r="K374" s="6">
        <v>0</v>
      </c>
      <c r="L374" s="6">
        <v>49.92</v>
      </c>
      <c r="M374" s="6">
        <v>49.92</v>
      </c>
      <c r="N374" s="6">
        <v>49.92</v>
      </c>
      <c r="O374" s="6">
        <v>49.92</v>
      </c>
      <c r="P374" s="6">
        <v>71</v>
      </c>
      <c r="Q374" s="4" t="s">
        <v>26</v>
      </c>
      <c r="R374" s="4">
        <v>0</v>
      </c>
      <c r="S374" s="6">
        <v>0</v>
      </c>
      <c r="T374" s="6">
        <v>28</v>
      </c>
      <c r="U374" s="6">
        <v>64</v>
      </c>
      <c r="V374" s="6">
        <f>IF(ISERROR(VLOOKUP($S$374,'TAR FIN'!$A$1:$O$86,15,0)),0,VLOOKUP($S$374,'TAR FIN'!$A$1:$O$86,15,0))</f>
        <v>0</v>
      </c>
      <c r="W374" s="6">
        <f>IF(ISERROR(VLOOKUP($T$374,'TAR FIN'!$A$1:$O$86,15,0)),0,VLOOKUP($T$374,'TAR FIN'!$A$1:$O$86,15,0))</f>
        <v>94.55</v>
      </c>
      <c r="X374" s="6">
        <f>IF(ISERROR(VLOOKUP($U$374,'TAR FIN'!$A$1:$O$86,15,0)),0,VLOOKUP($U$374,'TAR FIN'!$A$1:$O$86,15,0))</f>
        <v>78.400000000000006</v>
      </c>
      <c r="Y374" s="6"/>
      <c r="Z374" s="6">
        <f ca="1">('TUSD BE'!$AM$21+'TUSD BF'!$AM$21+'TUSD CVA'!$AM$21-('TUSD BE'!$P$21+'TUSD BF'!$P$21+'TUSD CVA'!$P$21)-('TUSD BE'!$Q$21+'TUSD BF'!$Q$21+'TUSD CVA'!$Q$21)-('TUSD BE'!$R$21+'TUSD BF'!$R$21+'TUSD CVA'!$R$21))*(1-CUSTOS!$M$34)</f>
        <v>102.5548534812466</v>
      </c>
      <c r="AA374" s="6">
        <f>('TE BE'!$AB$12+'TE BF'!$AB$12+'TE CVA'!$AB$12)*(1-CUSTOS!$M$34)</f>
        <v>82.125317539118555</v>
      </c>
      <c r="AB374" s="6">
        <f>$K$374*$V$374</f>
        <v>0</v>
      </c>
      <c r="AC374" s="6">
        <f>$M$374*$W$374</f>
        <v>4719.9359999999997</v>
      </c>
      <c r="AD374" s="6">
        <f>$O$374*$X$374</f>
        <v>3913.7280000000005</v>
      </c>
      <c r="AE374" s="6">
        <f>$K$374*$Y$374</f>
        <v>0</v>
      </c>
      <c r="AF374" s="6">
        <f ca="1">$M$374*$Z$374</f>
        <v>5119.5382857838304</v>
      </c>
      <c r="AG374" s="6">
        <f>$O$374*$AA$374</f>
        <v>4099.6958515527986</v>
      </c>
    </row>
    <row r="375" spans="1:33" ht="11.25" customHeight="1" x14ac:dyDescent="0.25">
      <c r="A375" s="4" t="s">
        <v>28</v>
      </c>
      <c r="B375" s="4" t="s">
        <v>22</v>
      </c>
      <c r="C375" s="4" t="s">
        <v>23</v>
      </c>
      <c r="D375" s="4" t="s">
        <v>24</v>
      </c>
      <c r="E375" s="4" t="s">
        <v>29</v>
      </c>
      <c r="F375" s="4" t="s">
        <v>25</v>
      </c>
      <c r="G375" s="4" t="s">
        <v>25</v>
      </c>
      <c r="H375" s="4" t="s">
        <v>25</v>
      </c>
      <c r="I375" s="5">
        <v>44713</v>
      </c>
      <c r="J375" s="6">
        <v>0</v>
      </c>
      <c r="K375" s="6">
        <v>0</v>
      </c>
      <c r="L375" s="6">
        <v>0.06</v>
      </c>
      <c r="M375" s="6">
        <v>-1.7999999999999999E-2</v>
      </c>
      <c r="N375" s="6">
        <v>0.06</v>
      </c>
      <c r="O375" s="6">
        <v>-1.7999999999999999E-2</v>
      </c>
      <c r="P375" s="6">
        <v>0</v>
      </c>
      <c r="Q375" s="4" t="s">
        <v>26</v>
      </c>
      <c r="R375" s="4">
        <v>0</v>
      </c>
      <c r="S375" s="6">
        <v>0</v>
      </c>
      <c r="T375" s="6">
        <v>28</v>
      </c>
      <c r="U375" s="6">
        <v>64</v>
      </c>
      <c r="V375" s="6">
        <f>IF(ISERROR(VLOOKUP($S$375,'TAR FIN'!$A$1:$O$86,15,0)),0,VLOOKUP($S$375,'TAR FIN'!$A$1:$O$86,15,0))</f>
        <v>0</v>
      </c>
      <c r="W375" s="6">
        <f>IF(ISERROR(VLOOKUP($T$375,'TAR FIN'!$A$1:$O$86,15,0)),0,VLOOKUP($T$375,'TAR FIN'!$A$1:$O$86,15,0))</f>
        <v>94.55</v>
      </c>
      <c r="X375" s="6">
        <f>IF(ISERROR(VLOOKUP($U$375,'TAR FIN'!$A$1:$O$86,15,0)),0,VLOOKUP($U$375,'TAR FIN'!$A$1:$O$86,15,0))</f>
        <v>78.400000000000006</v>
      </c>
      <c r="Y375" s="6"/>
      <c r="Z375" s="6">
        <f ca="1">('TUSD BE'!$AM$21+'TUSD BF'!$AM$21+'TUSD CVA'!$AM$21-('TUSD BE'!$P$21+'TUSD BF'!$P$21+'TUSD CVA'!$P$21)-('TUSD BE'!$Q$21+'TUSD BF'!$Q$21+'TUSD CVA'!$Q$21)-('TUSD BE'!$R$21+'TUSD BF'!$R$21+'TUSD CVA'!$R$21))*(1-CUSTOS!$M$34)</f>
        <v>102.5548534812466</v>
      </c>
      <c r="AA375" s="6">
        <f>('TE BE'!$AB$12+'TE BF'!$AB$12+'TE CVA'!$AB$12)*(1-CUSTOS!$M$34)</f>
        <v>82.125317539118555</v>
      </c>
      <c r="AB375" s="6">
        <f>$K$375*$V$375</f>
        <v>0</v>
      </c>
      <c r="AC375" s="6">
        <f>$M$375*$W$375</f>
        <v>-1.7018999999999997</v>
      </c>
      <c r="AD375" s="6">
        <f>$O$375*$X$375</f>
        <v>-1.4112</v>
      </c>
      <c r="AE375" s="6">
        <f>$K$375*$Y$375</f>
        <v>0</v>
      </c>
      <c r="AF375" s="6">
        <f ca="1">$M$375*$Z$375</f>
        <v>-1.8459873626624386</v>
      </c>
      <c r="AG375" s="6">
        <f>$O$375*$AA$375</f>
        <v>-1.4782557157041338</v>
      </c>
    </row>
    <row r="376" spans="1:33" ht="11.25" customHeight="1" x14ac:dyDescent="0.25">
      <c r="A376" s="4" t="s">
        <v>55</v>
      </c>
      <c r="B376" s="4" t="s">
        <v>22</v>
      </c>
      <c r="C376" s="4" t="s">
        <v>23</v>
      </c>
      <c r="D376" s="4" t="s">
        <v>24</v>
      </c>
      <c r="E376" s="4" t="s">
        <v>29</v>
      </c>
      <c r="F376" s="4" t="s">
        <v>25</v>
      </c>
      <c r="G376" s="4" t="s">
        <v>25</v>
      </c>
      <c r="H376" s="4" t="s">
        <v>25</v>
      </c>
      <c r="I376" s="5">
        <v>44743</v>
      </c>
      <c r="J376" s="6">
        <v>0</v>
      </c>
      <c r="K376" s="6">
        <v>0</v>
      </c>
      <c r="L376" s="6">
        <v>49.92</v>
      </c>
      <c r="M376" s="6">
        <v>49.92</v>
      </c>
      <c r="N376" s="6">
        <v>49.92</v>
      </c>
      <c r="O376" s="6">
        <v>49.92</v>
      </c>
      <c r="P376" s="6">
        <v>71</v>
      </c>
      <c r="Q376" s="4" t="s">
        <v>26</v>
      </c>
      <c r="R376" s="4">
        <v>0</v>
      </c>
      <c r="S376" s="6">
        <v>0</v>
      </c>
      <c r="T376" s="6">
        <v>28</v>
      </c>
      <c r="U376" s="6">
        <v>64</v>
      </c>
      <c r="V376" s="6">
        <f>IF(ISERROR(VLOOKUP($S$376,'TAR FIN'!$A$1:$O$86,15,0)),0,VLOOKUP($S$376,'TAR FIN'!$A$1:$O$86,15,0))</f>
        <v>0</v>
      </c>
      <c r="W376" s="6">
        <f>IF(ISERROR(VLOOKUP($T$376,'TAR FIN'!$A$1:$O$86,15,0)),0,VLOOKUP($T$376,'TAR FIN'!$A$1:$O$86,15,0))</f>
        <v>94.55</v>
      </c>
      <c r="X376" s="6">
        <f>IF(ISERROR(VLOOKUP($U$376,'TAR FIN'!$A$1:$O$86,15,0)),0,VLOOKUP($U$376,'TAR FIN'!$A$1:$O$86,15,0))</f>
        <v>78.400000000000006</v>
      </c>
      <c r="Y376" s="6"/>
      <c r="Z376" s="6">
        <f ca="1">('TUSD BE'!$AM$21+'TUSD BF'!$AM$21+'TUSD CVA'!$AM$21-('TUSD BE'!$P$21+'TUSD BF'!$P$21+'TUSD CVA'!$P$21)-('TUSD BE'!$Q$21+'TUSD BF'!$Q$21+'TUSD CVA'!$Q$21)-('TUSD BE'!$R$21+'TUSD BF'!$R$21+'TUSD CVA'!$R$21))*(1-CUSTOS!$M$34)</f>
        <v>102.5548534812466</v>
      </c>
      <c r="AA376" s="6">
        <f>('TE BE'!$AB$12+'TE BF'!$AB$12+'TE CVA'!$AB$12)*(1-CUSTOS!$M$34)</f>
        <v>82.125317539118555</v>
      </c>
      <c r="AB376" s="6">
        <f>$K$376*$V$376</f>
        <v>0</v>
      </c>
      <c r="AC376" s="6">
        <f>$M$376*$W$376</f>
        <v>4719.9359999999997</v>
      </c>
      <c r="AD376" s="6">
        <f>$O$376*$X$376</f>
        <v>3913.7280000000005</v>
      </c>
      <c r="AE376" s="6">
        <f>$K$376*$Y$376</f>
        <v>0</v>
      </c>
      <c r="AF376" s="6">
        <f ca="1">$M$376*$Z$376</f>
        <v>5119.5382857838304</v>
      </c>
      <c r="AG376" s="6">
        <f>$O$376*$AA$376</f>
        <v>4099.6958515527986</v>
      </c>
    </row>
    <row r="377" spans="1:33" ht="11.25" customHeight="1" x14ac:dyDescent="0.25">
      <c r="A377" s="4" t="s">
        <v>55</v>
      </c>
      <c r="B377" s="4" t="s">
        <v>22</v>
      </c>
      <c r="C377" s="4" t="s">
        <v>23</v>
      </c>
      <c r="D377" s="4" t="s">
        <v>24</v>
      </c>
      <c r="E377" s="4" t="s">
        <v>29</v>
      </c>
      <c r="F377" s="4" t="s">
        <v>25</v>
      </c>
      <c r="G377" s="4" t="s">
        <v>25</v>
      </c>
      <c r="H377" s="4" t="s">
        <v>25</v>
      </c>
      <c r="I377" s="5">
        <v>44743</v>
      </c>
      <c r="J377" s="6">
        <v>0</v>
      </c>
      <c r="K377" s="6">
        <v>0</v>
      </c>
      <c r="L377" s="6">
        <v>0.06</v>
      </c>
      <c r="M377" s="6">
        <v>-1.7999999999999999E-2</v>
      </c>
      <c r="N377" s="6">
        <v>0.06</v>
      </c>
      <c r="O377" s="6">
        <v>-1.7999999999999999E-2</v>
      </c>
      <c r="P377" s="6">
        <v>0</v>
      </c>
      <c r="Q377" s="4" t="s">
        <v>26</v>
      </c>
      <c r="R377" s="4">
        <v>0</v>
      </c>
      <c r="S377" s="6">
        <v>0</v>
      </c>
      <c r="T377" s="6">
        <v>28</v>
      </c>
      <c r="U377" s="6">
        <v>64</v>
      </c>
      <c r="V377" s="6">
        <f>IF(ISERROR(VLOOKUP($S$377,'TAR FIN'!$A$1:$O$86,15,0)),0,VLOOKUP($S$377,'TAR FIN'!$A$1:$O$86,15,0))</f>
        <v>0</v>
      </c>
      <c r="W377" s="6">
        <f>IF(ISERROR(VLOOKUP($T$377,'TAR FIN'!$A$1:$O$86,15,0)),0,VLOOKUP($T$377,'TAR FIN'!$A$1:$O$86,15,0))</f>
        <v>94.55</v>
      </c>
      <c r="X377" s="6">
        <f>IF(ISERROR(VLOOKUP($U$377,'TAR FIN'!$A$1:$O$86,15,0)),0,VLOOKUP($U$377,'TAR FIN'!$A$1:$O$86,15,0))</f>
        <v>78.400000000000006</v>
      </c>
      <c r="Y377" s="6"/>
      <c r="Z377" s="6">
        <f ca="1">('TUSD BE'!$AM$21+'TUSD BF'!$AM$21+'TUSD CVA'!$AM$21-('TUSD BE'!$P$21+'TUSD BF'!$P$21+'TUSD CVA'!$P$21)-('TUSD BE'!$Q$21+'TUSD BF'!$Q$21+'TUSD CVA'!$Q$21)-('TUSD BE'!$R$21+'TUSD BF'!$R$21+'TUSD CVA'!$R$21))*(1-CUSTOS!$M$34)</f>
        <v>102.5548534812466</v>
      </c>
      <c r="AA377" s="6">
        <f>('TE BE'!$AB$12+'TE BF'!$AB$12+'TE CVA'!$AB$12)*(1-CUSTOS!$M$34)</f>
        <v>82.125317539118555</v>
      </c>
      <c r="AB377" s="6">
        <f>$K$377*$V$377</f>
        <v>0</v>
      </c>
      <c r="AC377" s="6">
        <f>$M$377*$W$377</f>
        <v>-1.7018999999999997</v>
      </c>
      <c r="AD377" s="6">
        <f>$O$377*$X$377</f>
        <v>-1.4112</v>
      </c>
      <c r="AE377" s="6">
        <f>$K$377*$Y$377</f>
        <v>0</v>
      </c>
      <c r="AF377" s="6">
        <f ca="1">$M$377*$Z$377</f>
        <v>-1.8459873626624386</v>
      </c>
      <c r="AG377" s="6">
        <f>$O$377*$AA$377</f>
        <v>-1.4782557157041338</v>
      </c>
    </row>
    <row r="378" spans="1:33" ht="11.25" customHeight="1" x14ac:dyDescent="0.25">
      <c r="A378" s="4" t="s">
        <v>21</v>
      </c>
      <c r="B378" s="4" t="s">
        <v>22</v>
      </c>
      <c r="C378" s="4" t="s">
        <v>23</v>
      </c>
      <c r="D378" s="4" t="s">
        <v>24</v>
      </c>
      <c r="E378" s="4" t="s">
        <v>30</v>
      </c>
      <c r="F378" s="4" t="s">
        <v>25</v>
      </c>
      <c r="G378" s="4" t="s">
        <v>25</v>
      </c>
      <c r="H378" s="4" t="s">
        <v>25</v>
      </c>
      <c r="I378" s="5">
        <v>44409</v>
      </c>
      <c r="J378" s="6">
        <v>0</v>
      </c>
      <c r="K378" s="6">
        <v>0</v>
      </c>
      <c r="L378" s="6">
        <v>79.998000000000005</v>
      </c>
      <c r="M378" s="6">
        <v>79.998000000000005</v>
      </c>
      <c r="N378" s="6">
        <v>79.998000000000005</v>
      </c>
      <c r="O378" s="6">
        <v>79.998000000000005</v>
      </c>
      <c r="P378" s="6">
        <v>276</v>
      </c>
      <c r="Q378" s="4" t="s">
        <v>26</v>
      </c>
      <c r="R378" s="4">
        <v>0</v>
      </c>
      <c r="S378" s="6">
        <v>0</v>
      </c>
      <c r="T378" s="6">
        <v>30</v>
      </c>
      <c r="U378" s="6">
        <v>32</v>
      </c>
      <c r="V378" s="6">
        <f>IF(ISERROR(VLOOKUP($S$378,'TAR FIN'!$A$1:$O$86,15,0)),0,VLOOKUP($S$378,'TAR FIN'!$A$1:$O$86,15,0))</f>
        <v>0</v>
      </c>
      <c r="W378" s="6">
        <f>IF(ISERROR(VLOOKUP($T$378,'TAR FIN'!$A$1:$O$86,15,0)),0,VLOOKUP($T$378,'TAR FIN'!$A$1:$O$86,15,0))</f>
        <v>162.08000000000001</v>
      </c>
      <c r="X378" s="6">
        <f>IF(ISERROR(VLOOKUP($U$378,'TAR FIN'!$A$1:$O$86,15,0)),0,VLOOKUP($U$378,'TAR FIN'!$A$1:$O$86,15,0))</f>
        <v>134.4</v>
      </c>
      <c r="Y378" s="6"/>
      <c r="Z378" s="6">
        <f ca="1">('TUSD BE'!$AM$22+'TUSD BF'!$AM$22+'TUSD CVA'!$AM$22-('TUSD BE'!$P$22+'TUSD BF'!$P$22+'TUSD CVA'!$P$22)-('TUSD BE'!$Q$22+'TUSD BF'!$Q$22+'TUSD CVA'!$Q$22)-('TUSD BE'!$R$22+'TUSD BF'!$R$22+'TUSD CVA'!$R$22))*(1-CUSTOS!$M$35)</f>
        <v>175.8083202535656</v>
      </c>
      <c r="AA378" s="6">
        <f>('TE BE'!$AB$13+'TE BF'!$AB$13+'TE CVA'!$AB$13)*(1-CUSTOS!$M$35)</f>
        <v>140.78625863848896</v>
      </c>
      <c r="AB378" s="6">
        <f>$K$378*$V$378</f>
        <v>0</v>
      </c>
      <c r="AC378" s="6">
        <f>$M$378*$W$378</f>
        <v>12966.075840000001</v>
      </c>
      <c r="AD378" s="6">
        <f>$O$378*$X$378</f>
        <v>10751.731200000002</v>
      </c>
      <c r="AE378" s="6">
        <f>$K$378*$Y$378</f>
        <v>0</v>
      </c>
      <c r="AF378" s="6">
        <f ca="1">$M$378*$Z$378</f>
        <v>14064.314003644742</v>
      </c>
      <c r="AG378" s="6">
        <f>$O$378*$AA$378</f>
        <v>11262.619118561841</v>
      </c>
    </row>
    <row r="379" spans="1:33" ht="11.25" customHeight="1" x14ac:dyDescent="0.25">
      <c r="A379" s="4" t="s">
        <v>21</v>
      </c>
      <c r="B379" s="4" t="s">
        <v>22</v>
      </c>
      <c r="C379" s="4" t="s">
        <v>23</v>
      </c>
      <c r="D379" s="4" t="s">
        <v>24</v>
      </c>
      <c r="E379" s="4" t="s">
        <v>30</v>
      </c>
      <c r="F379" s="4" t="s">
        <v>25</v>
      </c>
      <c r="G379" s="4" t="s">
        <v>25</v>
      </c>
      <c r="H379" s="4" t="s">
        <v>25</v>
      </c>
      <c r="I379" s="5">
        <v>44440</v>
      </c>
      <c r="J379" s="6">
        <v>0</v>
      </c>
      <c r="K379" s="6">
        <v>0</v>
      </c>
      <c r="L379" s="6">
        <v>83.417000000000002</v>
      </c>
      <c r="M379" s="6">
        <v>83.417000000000002</v>
      </c>
      <c r="N379" s="6">
        <v>83.417000000000002</v>
      </c>
      <c r="O379" s="6">
        <v>83.417000000000002</v>
      </c>
      <c r="P379" s="6">
        <v>230</v>
      </c>
      <c r="Q379" s="4" t="s">
        <v>26</v>
      </c>
      <c r="R379" s="4">
        <v>0</v>
      </c>
      <c r="S379" s="6">
        <v>0</v>
      </c>
      <c r="T379" s="6">
        <v>30</v>
      </c>
      <c r="U379" s="6">
        <v>32</v>
      </c>
      <c r="V379" s="6">
        <f>IF(ISERROR(VLOOKUP($S$379,'TAR FIN'!$A$1:$O$86,15,0)),0,VLOOKUP($S$379,'TAR FIN'!$A$1:$O$86,15,0))</f>
        <v>0</v>
      </c>
      <c r="W379" s="6">
        <f>IF(ISERROR(VLOOKUP($T$379,'TAR FIN'!$A$1:$O$86,15,0)),0,VLOOKUP($T$379,'TAR FIN'!$A$1:$O$86,15,0))</f>
        <v>162.08000000000001</v>
      </c>
      <c r="X379" s="6">
        <f>IF(ISERROR(VLOOKUP($U$379,'TAR FIN'!$A$1:$O$86,15,0)),0,VLOOKUP($U$379,'TAR FIN'!$A$1:$O$86,15,0))</f>
        <v>134.4</v>
      </c>
      <c r="Y379" s="6"/>
      <c r="Z379" s="6">
        <f ca="1">('TUSD BE'!$AM$22+'TUSD BF'!$AM$22+'TUSD CVA'!$AM$22-('TUSD BE'!$P$22+'TUSD BF'!$P$22+'TUSD CVA'!$P$22)-('TUSD BE'!$Q$22+'TUSD BF'!$Q$22+'TUSD CVA'!$Q$22)-('TUSD BE'!$R$22+'TUSD BF'!$R$22+'TUSD CVA'!$R$22))*(1-CUSTOS!$M$35)</f>
        <v>175.8083202535656</v>
      </c>
      <c r="AA379" s="6">
        <f>('TE BE'!$AB$13+'TE BF'!$AB$13+'TE CVA'!$AB$13)*(1-CUSTOS!$M$35)</f>
        <v>140.78625863848896</v>
      </c>
      <c r="AB379" s="6">
        <f>$K$379*$V$379</f>
        <v>0</v>
      </c>
      <c r="AC379" s="6">
        <f>$M$379*$W$379</f>
        <v>13520.227360000001</v>
      </c>
      <c r="AD379" s="6">
        <f>$O$379*$X$379</f>
        <v>11211.2448</v>
      </c>
      <c r="AE379" s="6">
        <f>$K$379*$Y$379</f>
        <v>0</v>
      </c>
      <c r="AF379" s="6">
        <f ca="1">$M$379*$Z$379</f>
        <v>14665.402650591681</v>
      </c>
      <c r="AG379" s="6">
        <f>$O$379*$AA$379</f>
        <v>11743.967336846834</v>
      </c>
    </row>
    <row r="380" spans="1:33" ht="11.25" customHeight="1" x14ac:dyDescent="0.25">
      <c r="A380" s="4" t="s">
        <v>21</v>
      </c>
      <c r="B380" s="4" t="s">
        <v>22</v>
      </c>
      <c r="C380" s="4" t="s">
        <v>23</v>
      </c>
      <c r="D380" s="4" t="s">
        <v>24</v>
      </c>
      <c r="E380" s="4" t="s">
        <v>30</v>
      </c>
      <c r="F380" s="4" t="s">
        <v>25</v>
      </c>
      <c r="G380" s="4" t="s">
        <v>25</v>
      </c>
      <c r="H380" s="4" t="s">
        <v>25</v>
      </c>
      <c r="I380" s="5">
        <v>44470</v>
      </c>
      <c r="J380" s="6">
        <v>0</v>
      </c>
      <c r="K380" s="6">
        <v>0</v>
      </c>
      <c r="L380" s="6">
        <v>83.188999999999993</v>
      </c>
      <c r="M380" s="6">
        <v>83.188999999999993</v>
      </c>
      <c r="N380" s="6">
        <v>83.188999999999993</v>
      </c>
      <c r="O380" s="6">
        <v>83.188999999999993</v>
      </c>
      <c r="P380" s="6">
        <v>269</v>
      </c>
      <c r="Q380" s="4" t="s">
        <v>26</v>
      </c>
      <c r="R380" s="4">
        <v>0</v>
      </c>
      <c r="S380" s="6">
        <v>0</v>
      </c>
      <c r="T380" s="6">
        <v>30</v>
      </c>
      <c r="U380" s="6">
        <v>32</v>
      </c>
      <c r="V380" s="6">
        <f>IF(ISERROR(VLOOKUP($S$380,'TAR FIN'!$A$1:$O$86,15,0)),0,VLOOKUP($S$380,'TAR FIN'!$A$1:$O$86,15,0))</f>
        <v>0</v>
      </c>
      <c r="W380" s="6">
        <f>IF(ISERROR(VLOOKUP($T$380,'TAR FIN'!$A$1:$O$86,15,0)),0,VLOOKUP($T$380,'TAR FIN'!$A$1:$O$86,15,0))</f>
        <v>162.08000000000001</v>
      </c>
      <c r="X380" s="6">
        <f>IF(ISERROR(VLOOKUP($U$380,'TAR FIN'!$A$1:$O$86,15,0)),0,VLOOKUP($U$380,'TAR FIN'!$A$1:$O$86,15,0))</f>
        <v>134.4</v>
      </c>
      <c r="Y380" s="6"/>
      <c r="Z380" s="6">
        <f ca="1">('TUSD BE'!$AM$22+'TUSD BF'!$AM$22+'TUSD CVA'!$AM$22-('TUSD BE'!$P$22+'TUSD BF'!$P$22+'TUSD CVA'!$P$22)-('TUSD BE'!$Q$22+'TUSD BF'!$Q$22+'TUSD CVA'!$Q$22)-('TUSD BE'!$R$22+'TUSD BF'!$R$22+'TUSD CVA'!$R$22))*(1-CUSTOS!$M$35)</f>
        <v>175.8083202535656</v>
      </c>
      <c r="AA380" s="6">
        <f>('TE BE'!$AB$13+'TE BF'!$AB$13+'TE CVA'!$AB$13)*(1-CUSTOS!$M$35)</f>
        <v>140.78625863848896</v>
      </c>
      <c r="AB380" s="6">
        <f>$K$380*$V$380</f>
        <v>0</v>
      </c>
      <c r="AC380" s="6">
        <f>$M$380*$W$380</f>
        <v>13483.27312</v>
      </c>
      <c r="AD380" s="6">
        <f>$O$380*$X$380</f>
        <v>11180.6016</v>
      </c>
      <c r="AE380" s="6">
        <f>$K$380*$Y$380</f>
        <v>0</v>
      </c>
      <c r="AF380" s="6">
        <f ca="1">$M$380*$Z$380</f>
        <v>14625.318353573868</v>
      </c>
      <c r="AG380" s="6">
        <f>$O$380*$AA$380</f>
        <v>11711.868069877257</v>
      </c>
    </row>
    <row r="381" spans="1:33" ht="11.25" customHeight="1" x14ac:dyDescent="0.25">
      <c r="A381" s="4" t="s">
        <v>27</v>
      </c>
      <c r="B381" s="4" t="s">
        <v>22</v>
      </c>
      <c r="C381" s="4" t="s">
        <v>23</v>
      </c>
      <c r="D381" s="4" t="s">
        <v>24</v>
      </c>
      <c r="E381" s="4" t="s">
        <v>30</v>
      </c>
      <c r="F381" s="4" t="s">
        <v>25</v>
      </c>
      <c r="G381" s="4" t="s">
        <v>25</v>
      </c>
      <c r="H381" s="4" t="s">
        <v>25</v>
      </c>
      <c r="I381" s="5">
        <v>44470</v>
      </c>
      <c r="J381" s="6">
        <v>0</v>
      </c>
      <c r="K381" s="6">
        <v>0</v>
      </c>
      <c r="L381" s="6">
        <v>6.3E-2</v>
      </c>
      <c r="M381" s="6">
        <v>6.3E-2</v>
      </c>
      <c r="N381" s="6">
        <v>6.3E-2</v>
      </c>
      <c r="O381" s="6">
        <v>6.3E-2</v>
      </c>
      <c r="P381" s="6">
        <v>0</v>
      </c>
      <c r="Q381" s="4" t="s">
        <v>26</v>
      </c>
      <c r="R381" s="4">
        <v>0</v>
      </c>
      <c r="S381" s="6">
        <v>0</v>
      </c>
      <c r="T381" s="6">
        <v>30</v>
      </c>
      <c r="U381" s="6">
        <v>32</v>
      </c>
      <c r="V381" s="6">
        <f>IF(ISERROR(VLOOKUP($S$381,'TAR FIN'!$A$1:$O$86,15,0)),0,VLOOKUP($S$381,'TAR FIN'!$A$1:$O$86,15,0))</f>
        <v>0</v>
      </c>
      <c r="W381" s="6">
        <f>IF(ISERROR(VLOOKUP($T$381,'TAR FIN'!$A$1:$O$86,15,0)),0,VLOOKUP($T$381,'TAR FIN'!$A$1:$O$86,15,0))</f>
        <v>162.08000000000001</v>
      </c>
      <c r="X381" s="6">
        <f>IF(ISERROR(VLOOKUP($U$381,'TAR FIN'!$A$1:$O$86,15,0)),0,VLOOKUP($U$381,'TAR FIN'!$A$1:$O$86,15,0))</f>
        <v>134.4</v>
      </c>
      <c r="Y381" s="6"/>
      <c r="Z381" s="6">
        <f ca="1">('TUSD BE'!$AM$22+'TUSD BF'!$AM$22+'TUSD CVA'!$AM$22-('TUSD BE'!$P$22+'TUSD BF'!$P$22+'TUSD CVA'!$P$22)-('TUSD BE'!$Q$22+'TUSD BF'!$Q$22+'TUSD CVA'!$Q$22)-('TUSD BE'!$R$22+'TUSD BF'!$R$22+'TUSD CVA'!$R$22))*(1-CUSTOS!$M$35)</f>
        <v>175.8083202535656</v>
      </c>
      <c r="AA381" s="6">
        <f>('TE BE'!$AB$13+'TE BF'!$AB$13+'TE CVA'!$AB$13)*(1-CUSTOS!$M$35)</f>
        <v>140.78625863848896</v>
      </c>
      <c r="AB381" s="6">
        <f>$K$381*$V$381</f>
        <v>0</v>
      </c>
      <c r="AC381" s="6">
        <f>$M$381*$W$381</f>
        <v>10.211040000000001</v>
      </c>
      <c r="AD381" s="6">
        <f>$O$381*$X$381</f>
        <v>8.4672000000000001</v>
      </c>
      <c r="AE381" s="6">
        <f>$K$381*$Y$381</f>
        <v>0</v>
      </c>
      <c r="AF381" s="6">
        <f ca="1">$M$381*$Z$381</f>
        <v>11.075924175974633</v>
      </c>
      <c r="AG381" s="6">
        <f>$O$381*$AA$381</f>
        <v>8.8695342942248043</v>
      </c>
    </row>
    <row r="382" spans="1:33" ht="11.25" customHeight="1" x14ac:dyDescent="0.25">
      <c r="A382" s="4" t="s">
        <v>21</v>
      </c>
      <c r="B382" s="4" t="s">
        <v>22</v>
      </c>
      <c r="C382" s="4" t="s">
        <v>23</v>
      </c>
      <c r="D382" s="4" t="s">
        <v>24</v>
      </c>
      <c r="E382" s="4" t="s">
        <v>30</v>
      </c>
      <c r="F382" s="4" t="s">
        <v>25</v>
      </c>
      <c r="G382" s="4" t="s">
        <v>25</v>
      </c>
      <c r="H382" s="4" t="s">
        <v>25</v>
      </c>
      <c r="I382" s="5">
        <v>44501</v>
      </c>
      <c r="J382" s="6">
        <v>0</v>
      </c>
      <c r="K382" s="6">
        <v>0</v>
      </c>
      <c r="L382" s="6">
        <v>84.503</v>
      </c>
      <c r="M382" s="6">
        <v>84.503</v>
      </c>
      <c r="N382" s="6">
        <v>84.503</v>
      </c>
      <c r="O382" s="6">
        <v>84.503</v>
      </c>
      <c r="P382" s="6">
        <v>244</v>
      </c>
      <c r="Q382" s="4" t="s">
        <v>26</v>
      </c>
      <c r="R382" s="4">
        <v>0</v>
      </c>
      <c r="S382" s="6">
        <v>0</v>
      </c>
      <c r="T382" s="6">
        <v>30</v>
      </c>
      <c r="U382" s="6">
        <v>32</v>
      </c>
      <c r="V382" s="6">
        <f>IF(ISERROR(VLOOKUP($S$382,'TAR FIN'!$A$1:$O$86,15,0)),0,VLOOKUP($S$382,'TAR FIN'!$A$1:$O$86,15,0))</f>
        <v>0</v>
      </c>
      <c r="W382" s="6">
        <f>IF(ISERROR(VLOOKUP($T$382,'TAR FIN'!$A$1:$O$86,15,0)),0,VLOOKUP($T$382,'TAR FIN'!$A$1:$O$86,15,0))</f>
        <v>162.08000000000001</v>
      </c>
      <c r="X382" s="6">
        <f>IF(ISERROR(VLOOKUP($U$382,'TAR FIN'!$A$1:$O$86,15,0)),0,VLOOKUP($U$382,'TAR FIN'!$A$1:$O$86,15,0))</f>
        <v>134.4</v>
      </c>
      <c r="Y382" s="6"/>
      <c r="Z382" s="6">
        <f ca="1">('TUSD BE'!$AM$22+'TUSD BF'!$AM$22+'TUSD CVA'!$AM$22-('TUSD BE'!$P$22+'TUSD BF'!$P$22+'TUSD CVA'!$P$22)-('TUSD BE'!$Q$22+'TUSD BF'!$Q$22+'TUSD CVA'!$Q$22)-('TUSD BE'!$R$22+'TUSD BF'!$R$22+'TUSD CVA'!$R$22))*(1-CUSTOS!$M$35)</f>
        <v>175.8083202535656</v>
      </c>
      <c r="AA382" s="6">
        <f>('TE BE'!$AB$13+'TE BF'!$AB$13+'TE CVA'!$AB$13)*(1-CUSTOS!$M$35)</f>
        <v>140.78625863848896</v>
      </c>
      <c r="AB382" s="6">
        <f>$K$382*$V$382</f>
        <v>0</v>
      </c>
      <c r="AC382" s="6">
        <f>$M$382*$W$382</f>
        <v>13696.24624</v>
      </c>
      <c r="AD382" s="6">
        <f>$O$382*$X$382</f>
        <v>11357.2032</v>
      </c>
      <c r="AE382" s="6">
        <f>$K$382*$Y$382</f>
        <v>0</v>
      </c>
      <c r="AF382" s="6">
        <f ca="1">$M$382*$Z$382</f>
        <v>14856.330486387054</v>
      </c>
      <c r="AG382" s="6">
        <f>$O$382*$AA$382</f>
        <v>11896.861213728233</v>
      </c>
    </row>
    <row r="383" spans="1:33" ht="11.25" customHeight="1" x14ac:dyDescent="0.25">
      <c r="A383" s="4" t="s">
        <v>21</v>
      </c>
      <c r="B383" s="4" t="s">
        <v>22</v>
      </c>
      <c r="C383" s="4" t="s">
        <v>23</v>
      </c>
      <c r="D383" s="4" t="s">
        <v>24</v>
      </c>
      <c r="E383" s="4" t="s">
        <v>30</v>
      </c>
      <c r="F383" s="4" t="s">
        <v>25</v>
      </c>
      <c r="G383" s="4" t="s">
        <v>25</v>
      </c>
      <c r="H383" s="4" t="s">
        <v>25</v>
      </c>
      <c r="I383" s="5">
        <v>44531</v>
      </c>
      <c r="J383" s="6">
        <v>0</v>
      </c>
      <c r="K383" s="6">
        <v>0</v>
      </c>
      <c r="L383" s="6">
        <v>85.695999999999998</v>
      </c>
      <c r="M383" s="6">
        <v>85.695999999999998</v>
      </c>
      <c r="N383" s="6">
        <v>85.695999999999998</v>
      </c>
      <c r="O383" s="6">
        <v>85.695999999999998</v>
      </c>
      <c r="P383" s="6">
        <v>244</v>
      </c>
      <c r="Q383" s="4" t="s">
        <v>26</v>
      </c>
      <c r="R383" s="4">
        <v>0</v>
      </c>
      <c r="S383" s="6">
        <v>0</v>
      </c>
      <c r="T383" s="6">
        <v>30</v>
      </c>
      <c r="U383" s="6">
        <v>32</v>
      </c>
      <c r="V383" s="6">
        <f>IF(ISERROR(VLOOKUP($S$383,'TAR FIN'!$A$1:$O$86,15,0)),0,VLOOKUP($S$383,'TAR FIN'!$A$1:$O$86,15,0))</f>
        <v>0</v>
      </c>
      <c r="W383" s="6">
        <f>IF(ISERROR(VLOOKUP($T$383,'TAR FIN'!$A$1:$O$86,15,0)),0,VLOOKUP($T$383,'TAR FIN'!$A$1:$O$86,15,0))</f>
        <v>162.08000000000001</v>
      </c>
      <c r="X383" s="6">
        <f>IF(ISERROR(VLOOKUP($U$383,'TAR FIN'!$A$1:$O$86,15,0)),0,VLOOKUP($U$383,'TAR FIN'!$A$1:$O$86,15,0))</f>
        <v>134.4</v>
      </c>
      <c r="Y383" s="6"/>
      <c r="Z383" s="6">
        <f ca="1">('TUSD BE'!$AM$22+'TUSD BF'!$AM$22+'TUSD CVA'!$AM$22-('TUSD BE'!$P$22+'TUSD BF'!$P$22+'TUSD CVA'!$P$22)-('TUSD BE'!$Q$22+'TUSD BF'!$Q$22+'TUSD CVA'!$Q$22)-('TUSD BE'!$R$22+'TUSD BF'!$R$22+'TUSD CVA'!$R$22))*(1-CUSTOS!$M$35)</f>
        <v>175.8083202535656</v>
      </c>
      <c r="AA383" s="6">
        <f>('TE BE'!$AB$13+'TE BF'!$AB$13+'TE CVA'!$AB$13)*(1-CUSTOS!$M$35)</f>
        <v>140.78625863848896</v>
      </c>
      <c r="AB383" s="6">
        <f>$K$383*$V$383</f>
        <v>0</v>
      </c>
      <c r="AC383" s="6">
        <f>$M$383*$W$383</f>
        <v>13889.607680000001</v>
      </c>
      <c r="AD383" s="6">
        <f>$O$383*$X$383</f>
        <v>11517.5424</v>
      </c>
      <c r="AE383" s="6">
        <f>$K$383*$Y$383</f>
        <v>0</v>
      </c>
      <c r="AF383" s="6">
        <f ca="1">$M$383*$Z$383</f>
        <v>15066.069812449558</v>
      </c>
      <c r="AG383" s="6">
        <f>$O$383*$AA$383</f>
        <v>12064.819220283949</v>
      </c>
    </row>
    <row r="384" spans="1:33" ht="11.25" customHeight="1" x14ac:dyDescent="0.25">
      <c r="A384" s="4" t="s">
        <v>27</v>
      </c>
      <c r="B384" s="4" t="s">
        <v>22</v>
      </c>
      <c r="C384" s="4" t="s">
        <v>23</v>
      </c>
      <c r="D384" s="4" t="s">
        <v>24</v>
      </c>
      <c r="E384" s="4" t="s">
        <v>30</v>
      </c>
      <c r="F384" s="4" t="s">
        <v>25</v>
      </c>
      <c r="G384" s="4" t="s">
        <v>25</v>
      </c>
      <c r="H384" s="4" t="s">
        <v>25</v>
      </c>
      <c r="I384" s="5">
        <v>44531</v>
      </c>
      <c r="J384" s="6">
        <v>0</v>
      </c>
      <c r="K384" s="6">
        <v>0</v>
      </c>
      <c r="L384" s="6">
        <v>4.2999999999999997E-2</v>
      </c>
      <c r="M384" s="6">
        <v>4.2999999999999997E-2</v>
      </c>
      <c r="N384" s="6">
        <v>4.2999999999999997E-2</v>
      </c>
      <c r="O384" s="6">
        <v>4.2999999999999997E-2</v>
      </c>
      <c r="P384" s="6">
        <v>0</v>
      </c>
      <c r="Q384" s="4" t="s">
        <v>26</v>
      </c>
      <c r="R384" s="4">
        <v>0</v>
      </c>
      <c r="S384" s="6">
        <v>0</v>
      </c>
      <c r="T384" s="6">
        <v>30</v>
      </c>
      <c r="U384" s="6">
        <v>32</v>
      </c>
      <c r="V384" s="6">
        <f>IF(ISERROR(VLOOKUP($S$384,'TAR FIN'!$A$1:$O$86,15,0)),0,VLOOKUP($S$384,'TAR FIN'!$A$1:$O$86,15,0))</f>
        <v>0</v>
      </c>
      <c r="W384" s="6">
        <f>IF(ISERROR(VLOOKUP($T$384,'TAR FIN'!$A$1:$O$86,15,0)),0,VLOOKUP($T$384,'TAR FIN'!$A$1:$O$86,15,0))</f>
        <v>162.08000000000001</v>
      </c>
      <c r="X384" s="6">
        <f>IF(ISERROR(VLOOKUP($U$384,'TAR FIN'!$A$1:$O$86,15,0)),0,VLOOKUP($U$384,'TAR FIN'!$A$1:$O$86,15,0))</f>
        <v>134.4</v>
      </c>
      <c r="Y384" s="6"/>
      <c r="Z384" s="6">
        <f ca="1">('TUSD BE'!$AM$22+'TUSD BF'!$AM$22+'TUSD CVA'!$AM$22-('TUSD BE'!$P$22+'TUSD BF'!$P$22+'TUSD CVA'!$P$22)-('TUSD BE'!$Q$22+'TUSD BF'!$Q$22+'TUSD CVA'!$Q$22)-('TUSD BE'!$R$22+'TUSD BF'!$R$22+'TUSD CVA'!$R$22))*(1-CUSTOS!$M$35)</f>
        <v>175.8083202535656</v>
      </c>
      <c r="AA384" s="6">
        <f>('TE BE'!$AB$13+'TE BF'!$AB$13+'TE CVA'!$AB$13)*(1-CUSTOS!$M$35)</f>
        <v>140.78625863848896</v>
      </c>
      <c r="AB384" s="6">
        <f>$K$384*$V$384</f>
        <v>0</v>
      </c>
      <c r="AC384" s="6">
        <f>$M$384*$W$384</f>
        <v>6.9694399999999996</v>
      </c>
      <c r="AD384" s="6">
        <f>$O$384*$X$384</f>
        <v>5.7791999999999994</v>
      </c>
      <c r="AE384" s="6">
        <f>$K$384*$Y$384</f>
        <v>0</v>
      </c>
      <c r="AF384" s="6">
        <f ca="1">$M$384*$Z$384</f>
        <v>7.5597577709033201</v>
      </c>
      <c r="AG384" s="6">
        <f>$O$384*$AA$384</f>
        <v>6.0538091214550249</v>
      </c>
    </row>
    <row r="385" spans="1:33" ht="11.25" customHeight="1" x14ac:dyDescent="0.25">
      <c r="A385" s="4" t="s">
        <v>21</v>
      </c>
      <c r="B385" s="4" t="s">
        <v>22</v>
      </c>
      <c r="C385" s="4" t="s">
        <v>23</v>
      </c>
      <c r="D385" s="4" t="s">
        <v>24</v>
      </c>
      <c r="E385" s="4" t="s">
        <v>30</v>
      </c>
      <c r="F385" s="4" t="s">
        <v>25</v>
      </c>
      <c r="G385" s="4" t="s">
        <v>25</v>
      </c>
      <c r="H385" s="4" t="s">
        <v>25</v>
      </c>
      <c r="I385" s="5">
        <v>44562</v>
      </c>
      <c r="J385" s="6">
        <v>0</v>
      </c>
      <c r="K385" s="6">
        <v>0</v>
      </c>
      <c r="L385" s="6">
        <v>89.171000000000006</v>
      </c>
      <c r="M385" s="6">
        <v>89.171000000000006</v>
      </c>
      <c r="N385" s="6">
        <v>89.171000000000006</v>
      </c>
      <c r="O385" s="6">
        <v>89.171000000000006</v>
      </c>
      <c r="P385" s="6">
        <v>161</v>
      </c>
      <c r="Q385" s="4" t="s">
        <v>26</v>
      </c>
      <c r="R385" s="4">
        <v>0</v>
      </c>
      <c r="S385" s="6">
        <v>0</v>
      </c>
      <c r="T385" s="6">
        <v>30</v>
      </c>
      <c r="U385" s="6">
        <v>32</v>
      </c>
      <c r="V385" s="6">
        <f>IF(ISERROR(VLOOKUP($S$385,'TAR FIN'!$A$1:$O$86,15,0)),0,VLOOKUP($S$385,'TAR FIN'!$A$1:$O$86,15,0))</f>
        <v>0</v>
      </c>
      <c r="W385" s="6">
        <f>IF(ISERROR(VLOOKUP($T$385,'TAR FIN'!$A$1:$O$86,15,0)),0,VLOOKUP($T$385,'TAR FIN'!$A$1:$O$86,15,0))</f>
        <v>162.08000000000001</v>
      </c>
      <c r="X385" s="6">
        <f>IF(ISERROR(VLOOKUP($U$385,'TAR FIN'!$A$1:$O$86,15,0)),0,VLOOKUP($U$385,'TAR FIN'!$A$1:$O$86,15,0))</f>
        <v>134.4</v>
      </c>
      <c r="Y385" s="6"/>
      <c r="Z385" s="6">
        <f ca="1">('TUSD BE'!$AM$22+'TUSD BF'!$AM$22+'TUSD CVA'!$AM$22-('TUSD BE'!$P$22+'TUSD BF'!$P$22+'TUSD CVA'!$P$22)-('TUSD BE'!$Q$22+'TUSD BF'!$Q$22+'TUSD CVA'!$Q$22)-('TUSD BE'!$R$22+'TUSD BF'!$R$22+'TUSD CVA'!$R$22))*(1-CUSTOS!$M$35)</f>
        <v>175.8083202535656</v>
      </c>
      <c r="AA385" s="6">
        <f>('TE BE'!$AB$13+'TE BF'!$AB$13+'TE CVA'!$AB$13)*(1-CUSTOS!$M$35)</f>
        <v>140.78625863848896</v>
      </c>
      <c r="AB385" s="6">
        <f>$K$385*$V$385</f>
        <v>0</v>
      </c>
      <c r="AC385" s="6">
        <f>$M$385*$W$385</f>
        <v>14452.835680000002</v>
      </c>
      <c r="AD385" s="6">
        <f>$O$385*$X$385</f>
        <v>11984.582400000001</v>
      </c>
      <c r="AE385" s="6">
        <f>$K$385*$Y$385</f>
        <v>0</v>
      </c>
      <c r="AF385" s="6">
        <f ca="1">$M$385*$Z$385</f>
        <v>15677.003725330698</v>
      </c>
      <c r="AG385" s="6">
        <f>$O$385*$AA$385</f>
        <v>12554.0514690527</v>
      </c>
    </row>
    <row r="386" spans="1:33" ht="11.25" customHeight="1" x14ac:dyDescent="0.25">
      <c r="A386" s="4" t="s">
        <v>27</v>
      </c>
      <c r="B386" s="4" t="s">
        <v>22</v>
      </c>
      <c r="C386" s="4" t="s">
        <v>23</v>
      </c>
      <c r="D386" s="4" t="s">
        <v>24</v>
      </c>
      <c r="E386" s="4" t="s">
        <v>30</v>
      </c>
      <c r="F386" s="4" t="s">
        <v>25</v>
      </c>
      <c r="G386" s="4" t="s">
        <v>25</v>
      </c>
      <c r="H386" s="4" t="s">
        <v>25</v>
      </c>
      <c r="I386" s="5">
        <v>44562</v>
      </c>
      <c r="J386" s="6">
        <v>0</v>
      </c>
      <c r="K386" s="6">
        <v>0</v>
      </c>
      <c r="L386" s="6">
        <v>-6.8000000000000005E-2</v>
      </c>
      <c r="M386" s="6">
        <v>-6.8000000000000005E-2</v>
      </c>
      <c r="N386" s="6">
        <v>-6.8000000000000005E-2</v>
      </c>
      <c r="O386" s="6">
        <v>-6.8000000000000005E-2</v>
      </c>
      <c r="P386" s="6">
        <v>0</v>
      </c>
      <c r="Q386" s="4" t="s">
        <v>26</v>
      </c>
      <c r="R386" s="4">
        <v>0</v>
      </c>
      <c r="S386" s="6">
        <v>0</v>
      </c>
      <c r="T386" s="6">
        <v>30</v>
      </c>
      <c r="U386" s="6">
        <v>32</v>
      </c>
      <c r="V386" s="6">
        <f>IF(ISERROR(VLOOKUP($S$386,'TAR FIN'!$A$1:$O$86,15,0)),0,VLOOKUP($S$386,'TAR FIN'!$A$1:$O$86,15,0))</f>
        <v>0</v>
      </c>
      <c r="W386" s="6">
        <f>IF(ISERROR(VLOOKUP($T$386,'TAR FIN'!$A$1:$O$86,15,0)),0,VLOOKUP($T$386,'TAR FIN'!$A$1:$O$86,15,0))</f>
        <v>162.08000000000001</v>
      </c>
      <c r="X386" s="6">
        <f>IF(ISERROR(VLOOKUP($U$386,'TAR FIN'!$A$1:$O$86,15,0)),0,VLOOKUP($U$386,'TAR FIN'!$A$1:$O$86,15,0))</f>
        <v>134.4</v>
      </c>
      <c r="Y386" s="6"/>
      <c r="Z386" s="6">
        <f ca="1">('TUSD BE'!$AM$22+'TUSD BF'!$AM$22+'TUSD CVA'!$AM$22-('TUSD BE'!$P$22+'TUSD BF'!$P$22+'TUSD CVA'!$P$22)-('TUSD BE'!$Q$22+'TUSD BF'!$Q$22+'TUSD CVA'!$Q$22)-('TUSD BE'!$R$22+'TUSD BF'!$R$22+'TUSD CVA'!$R$22))*(1-CUSTOS!$M$35)</f>
        <v>175.8083202535656</v>
      </c>
      <c r="AA386" s="6">
        <f>('TE BE'!$AB$13+'TE BF'!$AB$13+'TE CVA'!$AB$13)*(1-CUSTOS!$M$35)</f>
        <v>140.78625863848896</v>
      </c>
      <c r="AB386" s="6">
        <f>$K$386*$V$386</f>
        <v>0</v>
      </c>
      <c r="AC386" s="6">
        <f>$M$386*$W$386</f>
        <v>-11.021440000000002</v>
      </c>
      <c r="AD386" s="6">
        <f>$O$386*$X$386</f>
        <v>-9.1392000000000007</v>
      </c>
      <c r="AE386" s="6">
        <f>$K$386*$Y$386</f>
        <v>0</v>
      </c>
      <c r="AF386" s="6">
        <f ca="1">$M$386*$Z$386</f>
        <v>-11.954965777242462</v>
      </c>
      <c r="AG386" s="6">
        <f>$O$386*$AA$386</f>
        <v>-9.5734655874172496</v>
      </c>
    </row>
    <row r="387" spans="1:33" ht="11.25" customHeight="1" x14ac:dyDescent="0.25">
      <c r="A387" s="4" t="s">
        <v>21</v>
      </c>
      <c r="B387" s="4" t="s">
        <v>22</v>
      </c>
      <c r="C387" s="4" t="s">
        <v>23</v>
      </c>
      <c r="D387" s="4" t="s">
        <v>24</v>
      </c>
      <c r="E387" s="4" t="s">
        <v>30</v>
      </c>
      <c r="F387" s="4" t="s">
        <v>25</v>
      </c>
      <c r="G387" s="4" t="s">
        <v>25</v>
      </c>
      <c r="H387" s="4" t="s">
        <v>25</v>
      </c>
      <c r="I387" s="5">
        <v>44593</v>
      </c>
      <c r="J387" s="6">
        <v>0</v>
      </c>
      <c r="K387" s="6">
        <v>0</v>
      </c>
      <c r="L387" s="6">
        <v>90.623000000000005</v>
      </c>
      <c r="M387" s="6">
        <v>90.623000000000005</v>
      </c>
      <c r="N387" s="6">
        <v>90.623000000000005</v>
      </c>
      <c r="O387" s="6">
        <v>90.623000000000005</v>
      </c>
      <c r="P387" s="6">
        <v>166</v>
      </c>
      <c r="Q387" s="4" t="s">
        <v>26</v>
      </c>
      <c r="R387" s="4">
        <v>0</v>
      </c>
      <c r="S387" s="6">
        <v>0</v>
      </c>
      <c r="T387" s="6">
        <v>30</v>
      </c>
      <c r="U387" s="6">
        <v>32</v>
      </c>
      <c r="V387" s="6">
        <f>IF(ISERROR(VLOOKUP($S$387,'TAR FIN'!$A$1:$O$86,15,0)),0,VLOOKUP($S$387,'TAR FIN'!$A$1:$O$86,15,0))</f>
        <v>0</v>
      </c>
      <c r="W387" s="6">
        <f>IF(ISERROR(VLOOKUP($T$387,'TAR FIN'!$A$1:$O$86,15,0)),0,VLOOKUP($T$387,'TAR FIN'!$A$1:$O$86,15,0))</f>
        <v>162.08000000000001</v>
      </c>
      <c r="X387" s="6">
        <f>IF(ISERROR(VLOOKUP($U$387,'TAR FIN'!$A$1:$O$86,15,0)),0,VLOOKUP($U$387,'TAR FIN'!$A$1:$O$86,15,0))</f>
        <v>134.4</v>
      </c>
      <c r="Y387" s="6"/>
      <c r="Z387" s="6">
        <f ca="1">('TUSD BE'!$AM$22+'TUSD BF'!$AM$22+'TUSD CVA'!$AM$22-('TUSD BE'!$P$22+'TUSD BF'!$P$22+'TUSD CVA'!$P$22)-('TUSD BE'!$Q$22+'TUSD BF'!$Q$22+'TUSD CVA'!$Q$22)-('TUSD BE'!$R$22+'TUSD BF'!$R$22+'TUSD CVA'!$R$22))*(1-CUSTOS!$M$35)</f>
        <v>175.8083202535656</v>
      </c>
      <c r="AA387" s="6">
        <f>('TE BE'!$AB$13+'TE BF'!$AB$13+'TE CVA'!$AB$13)*(1-CUSTOS!$M$35)</f>
        <v>140.78625863848896</v>
      </c>
      <c r="AB387" s="6">
        <f>$K$387*$V$387</f>
        <v>0</v>
      </c>
      <c r="AC387" s="6">
        <f>$M$387*$W$387</f>
        <v>14688.175840000002</v>
      </c>
      <c r="AD387" s="6">
        <f>$O$387*$X$387</f>
        <v>12179.731200000002</v>
      </c>
      <c r="AE387" s="6">
        <f>$K$387*$Y$387</f>
        <v>0</v>
      </c>
      <c r="AF387" s="6">
        <f ca="1">$M$387*$Z$387</f>
        <v>15932.277406338875</v>
      </c>
      <c r="AG387" s="6">
        <f>$O$387*$AA$387</f>
        <v>12758.473116595786</v>
      </c>
    </row>
    <row r="388" spans="1:33" ht="11.25" customHeight="1" x14ac:dyDescent="0.25">
      <c r="A388" s="4" t="s">
        <v>21</v>
      </c>
      <c r="B388" s="4" t="s">
        <v>22</v>
      </c>
      <c r="C388" s="4" t="s">
        <v>23</v>
      </c>
      <c r="D388" s="4" t="s">
        <v>24</v>
      </c>
      <c r="E388" s="4" t="s">
        <v>30</v>
      </c>
      <c r="F388" s="4" t="s">
        <v>25</v>
      </c>
      <c r="G388" s="4" t="s">
        <v>25</v>
      </c>
      <c r="H388" s="4" t="s">
        <v>25</v>
      </c>
      <c r="I388" s="5">
        <v>44621</v>
      </c>
      <c r="J388" s="6">
        <v>0</v>
      </c>
      <c r="K388" s="6">
        <v>0</v>
      </c>
      <c r="L388" s="6">
        <v>91.774000000000001</v>
      </c>
      <c r="M388" s="6">
        <v>91.774000000000001</v>
      </c>
      <c r="N388" s="6">
        <v>91.774000000000001</v>
      </c>
      <c r="O388" s="6">
        <v>91.774000000000001</v>
      </c>
      <c r="P388" s="6">
        <v>177</v>
      </c>
      <c r="Q388" s="4" t="s">
        <v>26</v>
      </c>
      <c r="R388" s="4">
        <v>0</v>
      </c>
      <c r="S388" s="6">
        <v>0</v>
      </c>
      <c r="T388" s="6">
        <v>30</v>
      </c>
      <c r="U388" s="6">
        <v>32</v>
      </c>
      <c r="V388" s="6">
        <f>IF(ISERROR(VLOOKUP($S$388,'TAR FIN'!$A$1:$O$86,15,0)),0,VLOOKUP($S$388,'TAR FIN'!$A$1:$O$86,15,0))</f>
        <v>0</v>
      </c>
      <c r="W388" s="6">
        <f>IF(ISERROR(VLOOKUP($T$388,'TAR FIN'!$A$1:$O$86,15,0)),0,VLOOKUP($T$388,'TAR FIN'!$A$1:$O$86,15,0))</f>
        <v>162.08000000000001</v>
      </c>
      <c r="X388" s="6">
        <f>IF(ISERROR(VLOOKUP($U$388,'TAR FIN'!$A$1:$O$86,15,0)),0,VLOOKUP($U$388,'TAR FIN'!$A$1:$O$86,15,0))</f>
        <v>134.4</v>
      </c>
      <c r="Y388" s="6"/>
      <c r="Z388" s="6">
        <f ca="1">('TUSD BE'!$AM$22+'TUSD BF'!$AM$22+'TUSD CVA'!$AM$22-('TUSD BE'!$P$22+'TUSD BF'!$P$22+'TUSD CVA'!$P$22)-('TUSD BE'!$Q$22+'TUSD BF'!$Q$22+'TUSD CVA'!$Q$22)-('TUSD BE'!$R$22+'TUSD BF'!$R$22+'TUSD CVA'!$R$22))*(1-CUSTOS!$M$35)</f>
        <v>175.8083202535656</v>
      </c>
      <c r="AA388" s="6">
        <f>('TE BE'!$AB$13+'TE BF'!$AB$13+'TE CVA'!$AB$13)*(1-CUSTOS!$M$35)</f>
        <v>140.78625863848896</v>
      </c>
      <c r="AB388" s="6">
        <f>$K$388*$V$388</f>
        <v>0</v>
      </c>
      <c r="AC388" s="6">
        <f>$M$388*$W$388</f>
        <v>14874.729920000002</v>
      </c>
      <c r="AD388" s="6">
        <f>$O$388*$X$388</f>
        <v>12334.4256</v>
      </c>
      <c r="AE388" s="6">
        <f>$K$388*$Y$388</f>
        <v>0</v>
      </c>
      <c r="AF388" s="6">
        <f ca="1">$M$388*$Z$388</f>
        <v>16134.63278295073</v>
      </c>
      <c r="AG388" s="6">
        <f>$O$388*$AA$388</f>
        <v>12920.518100288686</v>
      </c>
    </row>
    <row r="389" spans="1:33" ht="11.25" customHeight="1" x14ac:dyDescent="0.25">
      <c r="A389" s="4" t="s">
        <v>21</v>
      </c>
      <c r="B389" s="4" t="s">
        <v>22</v>
      </c>
      <c r="C389" s="4" t="s">
        <v>23</v>
      </c>
      <c r="D389" s="4" t="s">
        <v>24</v>
      </c>
      <c r="E389" s="4" t="s">
        <v>30</v>
      </c>
      <c r="F389" s="4" t="s">
        <v>25</v>
      </c>
      <c r="G389" s="4" t="s">
        <v>25</v>
      </c>
      <c r="H389" s="4" t="s">
        <v>25</v>
      </c>
      <c r="I389" s="5">
        <v>44652</v>
      </c>
      <c r="J389" s="6">
        <v>0</v>
      </c>
      <c r="K389" s="6">
        <v>0</v>
      </c>
      <c r="L389" s="6">
        <v>92.322999999999993</v>
      </c>
      <c r="M389" s="6">
        <v>92.322999999999993</v>
      </c>
      <c r="N389" s="6">
        <v>92.322999999999993</v>
      </c>
      <c r="O389" s="6">
        <v>92.322999999999993</v>
      </c>
      <c r="P389" s="6">
        <v>189</v>
      </c>
      <c r="Q389" s="4" t="s">
        <v>26</v>
      </c>
      <c r="R389" s="4">
        <v>0</v>
      </c>
      <c r="S389" s="6">
        <v>0</v>
      </c>
      <c r="T389" s="6">
        <v>30</v>
      </c>
      <c r="U389" s="6">
        <v>32</v>
      </c>
      <c r="V389" s="6">
        <f>IF(ISERROR(VLOOKUP($S$389,'TAR FIN'!$A$1:$O$86,15,0)),0,VLOOKUP($S$389,'TAR FIN'!$A$1:$O$86,15,0))</f>
        <v>0</v>
      </c>
      <c r="W389" s="6">
        <f>IF(ISERROR(VLOOKUP($T$389,'TAR FIN'!$A$1:$O$86,15,0)),0,VLOOKUP($T$389,'TAR FIN'!$A$1:$O$86,15,0))</f>
        <v>162.08000000000001</v>
      </c>
      <c r="X389" s="6">
        <f>IF(ISERROR(VLOOKUP($U$389,'TAR FIN'!$A$1:$O$86,15,0)),0,VLOOKUP($U$389,'TAR FIN'!$A$1:$O$86,15,0))</f>
        <v>134.4</v>
      </c>
      <c r="Y389" s="6"/>
      <c r="Z389" s="6">
        <f ca="1">('TUSD BE'!$AM$22+'TUSD BF'!$AM$22+'TUSD CVA'!$AM$22-('TUSD BE'!$P$22+'TUSD BF'!$P$22+'TUSD CVA'!$P$22)-('TUSD BE'!$Q$22+'TUSD BF'!$Q$22+'TUSD CVA'!$Q$22)-('TUSD BE'!$R$22+'TUSD BF'!$R$22+'TUSD CVA'!$R$22))*(1-CUSTOS!$M$35)</f>
        <v>175.8083202535656</v>
      </c>
      <c r="AA389" s="6">
        <f>('TE BE'!$AB$13+'TE BF'!$AB$13+'TE CVA'!$AB$13)*(1-CUSTOS!$M$35)</f>
        <v>140.78625863848896</v>
      </c>
      <c r="AB389" s="6">
        <f>$K$389*$V$389</f>
        <v>0</v>
      </c>
      <c r="AC389" s="6">
        <f>$M$389*$W$389</f>
        <v>14963.71184</v>
      </c>
      <c r="AD389" s="6">
        <f>$O$389*$X$389</f>
        <v>12408.2112</v>
      </c>
      <c r="AE389" s="6">
        <f>$K$389*$Y$389</f>
        <v>0</v>
      </c>
      <c r="AF389" s="6">
        <f ca="1">$M$389*$Z$389</f>
        <v>16231.151550769935</v>
      </c>
      <c r="AG389" s="6">
        <f>$O$389*$AA$389</f>
        <v>12997.809756281215</v>
      </c>
    </row>
    <row r="390" spans="1:33" ht="11.25" customHeight="1" x14ac:dyDescent="0.25">
      <c r="A390" s="4" t="s">
        <v>27</v>
      </c>
      <c r="B390" s="4" t="s">
        <v>22</v>
      </c>
      <c r="C390" s="4" t="s">
        <v>23</v>
      </c>
      <c r="D390" s="4" t="s">
        <v>24</v>
      </c>
      <c r="E390" s="4" t="s">
        <v>30</v>
      </c>
      <c r="F390" s="4" t="s">
        <v>25</v>
      </c>
      <c r="G390" s="4" t="s">
        <v>25</v>
      </c>
      <c r="H390" s="4" t="s">
        <v>25</v>
      </c>
      <c r="I390" s="5">
        <v>44652</v>
      </c>
      <c r="J390" s="6">
        <v>0</v>
      </c>
      <c r="K390" s="6">
        <v>0</v>
      </c>
      <c r="L390" s="6">
        <v>5.8000000000000003E-2</v>
      </c>
      <c r="M390" s="6">
        <v>5.8000000000000003E-2</v>
      </c>
      <c r="N390" s="6">
        <v>5.8000000000000003E-2</v>
      </c>
      <c r="O390" s="6">
        <v>5.8000000000000003E-2</v>
      </c>
      <c r="P390" s="6">
        <v>0</v>
      </c>
      <c r="Q390" s="4" t="s">
        <v>26</v>
      </c>
      <c r="R390" s="4">
        <v>0</v>
      </c>
      <c r="S390" s="6">
        <v>0</v>
      </c>
      <c r="T390" s="6">
        <v>30</v>
      </c>
      <c r="U390" s="6">
        <v>32</v>
      </c>
      <c r="V390" s="6">
        <f>IF(ISERROR(VLOOKUP($S$390,'TAR FIN'!$A$1:$O$86,15,0)),0,VLOOKUP($S$390,'TAR FIN'!$A$1:$O$86,15,0))</f>
        <v>0</v>
      </c>
      <c r="W390" s="6">
        <f>IF(ISERROR(VLOOKUP($T$390,'TAR FIN'!$A$1:$O$86,15,0)),0,VLOOKUP($T$390,'TAR FIN'!$A$1:$O$86,15,0))</f>
        <v>162.08000000000001</v>
      </c>
      <c r="X390" s="6">
        <f>IF(ISERROR(VLOOKUP($U$390,'TAR FIN'!$A$1:$O$86,15,0)),0,VLOOKUP($U$390,'TAR FIN'!$A$1:$O$86,15,0))</f>
        <v>134.4</v>
      </c>
      <c r="Y390" s="6"/>
      <c r="Z390" s="6">
        <f ca="1">('TUSD BE'!$AM$22+'TUSD BF'!$AM$22+'TUSD CVA'!$AM$22-('TUSD BE'!$P$22+'TUSD BF'!$P$22+'TUSD CVA'!$P$22)-('TUSD BE'!$Q$22+'TUSD BF'!$Q$22+'TUSD CVA'!$Q$22)-('TUSD BE'!$R$22+'TUSD BF'!$R$22+'TUSD CVA'!$R$22))*(1-CUSTOS!$M$35)</f>
        <v>175.8083202535656</v>
      </c>
      <c r="AA390" s="6">
        <f>('TE BE'!$AB$13+'TE BF'!$AB$13+'TE CVA'!$AB$13)*(1-CUSTOS!$M$35)</f>
        <v>140.78625863848896</v>
      </c>
      <c r="AB390" s="6">
        <f>$K$390*$V$390</f>
        <v>0</v>
      </c>
      <c r="AC390" s="6">
        <f>$M$390*$W$390</f>
        <v>9.400640000000001</v>
      </c>
      <c r="AD390" s="6">
        <f>$O$390*$X$390</f>
        <v>7.7952000000000004</v>
      </c>
      <c r="AE390" s="6">
        <f>$K$390*$Y$390</f>
        <v>0</v>
      </c>
      <c r="AF390" s="6">
        <f ca="1">$M$390*$Z$390</f>
        <v>10.196882574706805</v>
      </c>
      <c r="AG390" s="6">
        <f>$O$390*$AA$390</f>
        <v>8.1656030010323608</v>
      </c>
    </row>
    <row r="391" spans="1:33" ht="11.25" customHeight="1" x14ac:dyDescent="0.25">
      <c r="A391" s="4" t="s">
        <v>21</v>
      </c>
      <c r="B391" s="4" t="s">
        <v>22</v>
      </c>
      <c r="C391" s="4" t="s">
        <v>23</v>
      </c>
      <c r="D391" s="4" t="s">
        <v>24</v>
      </c>
      <c r="E391" s="4" t="s">
        <v>30</v>
      </c>
      <c r="F391" s="4" t="s">
        <v>25</v>
      </c>
      <c r="G391" s="4" t="s">
        <v>25</v>
      </c>
      <c r="H391" s="4" t="s">
        <v>25</v>
      </c>
      <c r="I391" s="5">
        <v>44682</v>
      </c>
      <c r="J391" s="6">
        <v>0</v>
      </c>
      <c r="K391" s="6">
        <v>0</v>
      </c>
      <c r="L391" s="6">
        <v>93.614000000000004</v>
      </c>
      <c r="M391" s="6">
        <v>93.614000000000004</v>
      </c>
      <c r="N391" s="6">
        <v>93.614000000000004</v>
      </c>
      <c r="O391" s="6">
        <v>93.614000000000004</v>
      </c>
      <c r="P391" s="6">
        <v>267</v>
      </c>
      <c r="Q391" s="4" t="s">
        <v>26</v>
      </c>
      <c r="R391" s="4">
        <v>0</v>
      </c>
      <c r="S391" s="6">
        <v>0</v>
      </c>
      <c r="T391" s="6">
        <v>30</v>
      </c>
      <c r="U391" s="6">
        <v>32</v>
      </c>
      <c r="V391" s="6">
        <f>IF(ISERROR(VLOOKUP($S$391,'TAR FIN'!$A$1:$O$86,15,0)),0,VLOOKUP($S$391,'TAR FIN'!$A$1:$O$86,15,0))</f>
        <v>0</v>
      </c>
      <c r="W391" s="6">
        <f>IF(ISERROR(VLOOKUP($T$391,'TAR FIN'!$A$1:$O$86,15,0)),0,VLOOKUP($T$391,'TAR FIN'!$A$1:$O$86,15,0))</f>
        <v>162.08000000000001</v>
      </c>
      <c r="X391" s="6">
        <f>IF(ISERROR(VLOOKUP($U$391,'TAR FIN'!$A$1:$O$86,15,0)),0,VLOOKUP($U$391,'TAR FIN'!$A$1:$O$86,15,0))</f>
        <v>134.4</v>
      </c>
      <c r="Y391" s="6"/>
      <c r="Z391" s="6">
        <f ca="1">('TUSD BE'!$AM$22+'TUSD BF'!$AM$22+'TUSD CVA'!$AM$22-('TUSD BE'!$P$22+'TUSD BF'!$P$22+'TUSD CVA'!$P$22)-('TUSD BE'!$Q$22+'TUSD BF'!$Q$22+'TUSD CVA'!$Q$22)-('TUSD BE'!$R$22+'TUSD BF'!$R$22+'TUSD CVA'!$R$22))*(1-CUSTOS!$M$35)</f>
        <v>175.8083202535656</v>
      </c>
      <c r="AA391" s="6">
        <f>('TE BE'!$AB$13+'TE BF'!$AB$13+'TE CVA'!$AB$13)*(1-CUSTOS!$M$35)</f>
        <v>140.78625863848896</v>
      </c>
      <c r="AB391" s="6">
        <f>$K$391*$V$391</f>
        <v>0</v>
      </c>
      <c r="AC391" s="6">
        <f>$M$391*$W$391</f>
        <v>15172.957120000003</v>
      </c>
      <c r="AD391" s="6">
        <f>$O$391*$X$391</f>
        <v>12581.721600000001</v>
      </c>
      <c r="AE391" s="6">
        <f>$K$391*$Y$391</f>
        <v>0</v>
      </c>
      <c r="AF391" s="6">
        <f ca="1">$M$391*$Z$391</f>
        <v>16458.12009221729</v>
      </c>
      <c r="AG391" s="6">
        <f>$O$391*$AA$391</f>
        <v>13179.564816183505</v>
      </c>
    </row>
    <row r="392" spans="1:33" ht="11.25" customHeight="1" x14ac:dyDescent="0.25">
      <c r="A392" s="4" t="s">
        <v>21</v>
      </c>
      <c r="B392" s="4" t="s">
        <v>22</v>
      </c>
      <c r="C392" s="4" t="s">
        <v>23</v>
      </c>
      <c r="D392" s="4" t="s">
        <v>24</v>
      </c>
      <c r="E392" s="4" t="s">
        <v>30</v>
      </c>
      <c r="F392" s="4" t="s">
        <v>25</v>
      </c>
      <c r="G392" s="4" t="s">
        <v>25</v>
      </c>
      <c r="H392" s="4" t="s">
        <v>25</v>
      </c>
      <c r="I392" s="5">
        <v>44713</v>
      </c>
      <c r="J392" s="6">
        <v>0</v>
      </c>
      <c r="K392" s="6">
        <v>0</v>
      </c>
      <c r="L392" s="6">
        <v>101.9</v>
      </c>
      <c r="M392" s="6">
        <v>101.9</v>
      </c>
      <c r="N392" s="6">
        <v>101.9</v>
      </c>
      <c r="O392" s="6">
        <v>101.9</v>
      </c>
      <c r="P392" s="6">
        <v>333</v>
      </c>
      <c r="Q392" s="4" t="s">
        <v>26</v>
      </c>
      <c r="R392" s="4">
        <v>0</v>
      </c>
      <c r="S392" s="6">
        <v>0</v>
      </c>
      <c r="T392" s="6">
        <v>30</v>
      </c>
      <c r="U392" s="6">
        <v>32</v>
      </c>
      <c r="V392" s="6">
        <f>IF(ISERROR(VLOOKUP($S$392,'TAR FIN'!$A$1:$O$86,15,0)),0,VLOOKUP($S$392,'TAR FIN'!$A$1:$O$86,15,0))</f>
        <v>0</v>
      </c>
      <c r="W392" s="6">
        <f>IF(ISERROR(VLOOKUP($T$392,'TAR FIN'!$A$1:$O$86,15,0)),0,VLOOKUP($T$392,'TAR FIN'!$A$1:$O$86,15,0))</f>
        <v>162.08000000000001</v>
      </c>
      <c r="X392" s="6">
        <f>IF(ISERROR(VLOOKUP($U$392,'TAR FIN'!$A$1:$O$86,15,0)),0,VLOOKUP($U$392,'TAR FIN'!$A$1:$O$86,15,0))</f>
        <v>134.4</v>
      </c>
      <c r="Y392" s="6"/>
      <c r="Z392" s="6">
        <f ca="1">('TUSD BE'!$AM$22+'TUSD BF'!$AM$22+'TUSD CVA'!$AM$22-('TUSD BE'!$P$22+'TUSD BF'!$P$22+'TUSD CVA'!$P$22)-('TUSD BE'!$Q$22+'TUSD BF'!$Q$22+'TUSD CVA'!$Q$22)-('TUSD BE'!$R$22+'TUSD BF'!$R$22+'TUSD CVA'!$R$22))*(1-CUSTOS!$M$35)</f>
        <v>175.8083202535656</v>
      </c>
      <c r="AA392" s="6">
        <f>('TE BE'!$AB$13+'TE BF'!$AB$13+'TE CVA'!$AB$13)*(1-CUSTOS!$M$35)</f>
        <v>140.78625863848896</v>
      </c>
      <c r="AB392" s="6">
        <f>$K$392*$V$392</f>
        <v>0</v>
      </c>
      <c r="AC392" s="6">
        <f>$M$392*$W$392</f>
        <v>16515.952000000001</v>
      </c>
      <c r="AD392" s="6">
        <f>$O$392*$X$392</f>
        <v>13695.36</v>
      </c>
      <c r="AE392" s="6">
        <f>$K$392*$Y$392</f>
        <v>0</v>
      </c>
      <c r="AF392" s="6">
        <f ca="1">$M$392*$Z$392</f>
        <v>17914.867833838336</v>
      </c>
      <c r="AG392" s="6">
        <f>$O$392*$AA$392</f>
        <v>14346.119755262025</v>
      </c>
    </row>
    <row r="393" spans="1:33" ht="11.25" customHeight="1" x14ac:dyDescent="0.25">
      <c r="A393" s="4" t="s">
        <v>28</v>
      </c>
      <c r="B393" s="4" t="s">
        <v>22</v>
      </c>
      <c r="C393" s="4" t="s">
        <v>23</v>
      </c>
      <c r="D393" s="4" t="s">
        <v>24</v>
      </c>
      <c r="E393" s="4" t="s">
        <v>30</v>
      </c>
      <c r="F393" s="4" t="s">
        <v>25</v>
      </c>
      <c r="G393" s="4" t="s">
        <v>25</v>
      </c>
      <c r="H393" s="4" t="s">
        <v>25</v>
      </c>
      <c r="I393" s="5">
        <v>44713</v>
      </c>
      <c r="J393" s="6">
        <v>0</v>
      </c>
      <c r="K393" s="6">
        <v>0</v>
      </c>
      <c r="L393" s="6">
        <v>1.4E-2</v>
      </c>
      <c r="M393" s="6">
        <v>2.8E-3</v>
      </c>
      <c r="N393" s="6">
        <v>1.4E-2</v>
      </c>
      <c r="O393" s="6">
        <v>2.8E-3</v>
      </c>
      <c r="P393" s="6">
        <v>0</v>
      </c>
      <c r="Q393" s="4" t="s">
        <v>26</v>
      </c>
      <c r="R393" s="4">
        <v>0</v>
      </c>
      <c r="S393" s="6">
        <v>0</v>
      </c>
      <c r="T393" s="6">
        <v>30</v>
      </c>
      <c r="U393" s="6">
        <v>32</v>
      </c>
      <c r="V393" s="6">
        <f>IF(ISERROR(VLOOKUP($S$393,'TAR FIN'!$A$1:$O$86,15,0)),0,VLOOKUP($S$393,'TAR FIN'!$A$1:$O$86,15,0))</f>
        <v>0</v>
      </c>
      <c r="W393" s="6">
        <f>IF(ISERROR(VLOOKUP($T$393,'TAR FIN'!$A$1:$O$86,15,0)),0,VLOOKUP($T$393,'TAR FIN'!$A$1:$O$86,15,0))</f>
        <v>162.08000000000001</v>
      </c>
      <c r="X393" s="6">
        <f>IF(ISERROR(VLOOKUP($U$393,'TAR FIN'!$A$1:$O$86,15,0)),0,VLOOKUP($U$393,'TAR FIN'!$A$1:$O$86,15,0))</f>
        <v>134.4</v>
      </c>
      <c r="Y393" s="6"/>
      <c r="Z393" s="6">
        <f ca="1">('TUSD BE'!$AM$22+'TUSD BF'!$AM$22+'TUSD CVA'!$AM$22-('TUSD BE'!$P$22+'TUSD BF'!$P$22+'TUSD CVA'!$P$22)-('TUSD BE'!$Q$22+'TUSD BF'!$Q$22+'TUSD CVA'!$Q$22)-('TUSD BE'!$R$22+'TUSD BF'!$R$22+'TUSD CVA'!$R$22))*(1-CUSTOS!$M$35)</f>
        <v>175.8083202535656</v>
      </c>
      <c r="AA393" s="6">
        <f>('TE BE'!$AB$13+'TE BF'!$AB$13+'TE CVA'!$AB$13)*(1-CUSTOS!$M$35)</f>
        <v>140.78625863848896</v>
      </c>
      <c r="AB393" s="6">
        <f>$K$393*$V$393</f>
        <v>0</v>
      </c>
      <c r="AC393" s="6">
        <f>$M$393*$W$393</f>
        <v>0.45382400000000001</v>
      </c>
      <c r="AD393" s="6">
        <f>$O$393*$X$393</f>
        <v>0.37631999999999999</v>
      </c>
      <c r="AE393" s="6">
        <f>$K$393*$Y$393</f>
        <v>0</v>
      </c>
      <c r="AF393" s="6">
        <f ca="1">$M$393*$Z$393</f>
        <v>0.49226329670998364</v>
      </c>
      <c r="AG393" s="6">
        <f>$O$393*$AA$393</f>
        <v>0.3942015241877691</v>
      </c>
    </row>
    <row r="394" spans="1:33" ht="11.25" customHeight="1" x14ac:dyDescent="0.25">
      <c r="A394" s="4" t="s">
        <v>55</v>
      </c>
      <c r="B394" s="4" t="s">
        <v>22</v>
      </c>
      <c r="C394" s="4" t="s">
        <v>23</v>
      </c>
      <c r="D394" s="4" t="s">
        <v>24</v>
      </c>
      <c r="E394" s="4" t="s">
        <v>30</v>
      </c>
      <c r="F394" s="4" t="s">
        <v>25</v>
      </c>
      <c r="G394" s="4" t="s">
        <v>25</v>
      </c>
      <c r="H394" s="4" t="s">
        <v>25</v>
      </c>
      <c r="I394" s="5">
        <v>44743</v>
      </c>
      <c r="J394" s="6">
        <v>0</v>
      </c>
      <c r="K394" s="6">
        <v>0</v>
      </c>
      <c r="L394" s="6">
        <v>101.9</v>
      </c>
      <c r="M394" s="6">
        <v>101.9</v>
      </c>
      <c r="N394" s="6">
        <v>101.9</v>
      </c>
      <c r="O394" s="6">
        <v>101.9</v>
      </c>
      <c r="P394" s="6">
        <v>333</v>
      </c>
      <c r="Q394" s="4" t="s">
        <v>26</v>
      </c>
      <c r="R394" s="4">
        <v>0</v>
      </c>
      <c r="S394" s="6">
        <v>0</v>
      </c>
      <c r="T394" s="6">
        <v>30</v>
      </c>
      <c r="U394" s="6">
        <v>32</v>
      </c>
      <c r="V394" s="6">
        <f>IF(ISERROR(VLOOKUP($S$394,'TAR FIN'!$A$1:$O$86,15,0)),0,VLOOKUP($S$394,'TAR FIN'!$A$1:$O$86,15,0))</f>
        <v>0</v>
      </c>
      <c r="W394" s="6">
        <f>IF(ISERROR(VLOOKUP($T$394,'TAR FIN'!$A$1:$O$86,15,0)),0,VLOOKUP($T$394,'TAR FIN'!$A$1:$O$86,15,0))</f>
        <v>162.08000000000001</v>
      </c>
      <c r="X394" s="6">
        <f>IF(ISERROR(VLOOKUP($U$394,'TAR FIN'!$A$1:$O$86,15,0)),0,VLOOKUP($U$394,'TAR FIN'!$A$1:$O$86,15,0))</f>
        <v>134.4</v>
      </c>
      <c r="Y394" s="6"/>
      <c r="Z394" s="6">
        <f ca="1">('TUSD BE'!$AM$22+'TUSD BF'!$AM$22+'TUSD CVA'!$AM$22-('TUSD BE'!$P$22+'TUSD BF'!$P$22+'TUSD CVA'!$P$22)-('TUSD BE'!$Q$22+'TUSD BF'!$Q$22+'TUSD CVA'!$Q$22)-('TUSD BE'!$R$22+'TUSD BF'!$R$22+'TUSD CVA'!$R$22))*(1-CUSTOS!$M$35)</f>
        <v>175.8083202535656</v>
      </c>
      <c r="AA394" s="6">
        <f>('TE BE'!$AB$13+'TE BF'!$AB$13+'TE CVA'!$AB$13)*(1-CUSTOS!$M$35)</f>
        <v>140.78625863848896</v>
      </c>
      <c r="AB394" s="6">
        <f>$K$394*$V$394</f>
        <v>0</v>
      </c>
      <c r="AC394" s="6">
        <f>$M$394*$W$394</f>
        <v>16515.952000000001</v>
      </c>
      <c r="AD394" s="6">
        <f>$O$394*$X$394</f>
        <v>13695.36</v>
      </c>
      <c r="AE394" s="6">
        <f>$K$394*$Y$394</f>
        <v>0</v>
      </c>
      <c r="AF394" s="6">
        <f ca="1">$M$394*$Z$394</f>
        <v>17914.867833838336</v>
      </c>
      <c r="AG394" s="6">
        <f>$O$394*$AA$394</f>
        <v>14346.119755262025</v>
      </c>
    </row>
    <row r="395" spans="1:33" ht="11.25" customHeight="1" x14ac:dyDescent="0.25">
      <c r="A395" s="4" t="s">
        <v>55</v>
      </c>
      <c r="B395" s="4" t="s">
        <v>22</v>
      </c>
      <c r="C395" s="4" t="s">
        <v>23</v>
      </c>
      <c r="D395" s="4" t="s">
        <v>24</v>
      </c>
      <c r="E395" s="4" t="s">
        <v>30</v>
      </c>
      <c r="F395" s="4" t="s">
        <v>25</v>
      </c>
      <c r="G395" s="4" t="s">
        <v>25</v>
      </c>
      <c r="H395" s="4" t="s">
        <v>25</v>
      </c>
      <c r="I395" s="5">
        <v>44743</v>
      </c>
      <c r="J395" s="6">
        <v>0</v>
      </c>
      <c r="K395" s="6">
        <v>0</v>
      </c>
      <c r="L395" s="6">
        <v>1.4E-2</v>
      </c>
      <c r="M395" s="6">
        <v>2.8E-3</v>
      </c>
      <c r="N395" s="6">
        <v>1.4E-2</v>
      </c>
      <c r="O395" s="6">
        <v>2.8E-3</v>
      </c>
      <c r="P395" s="6">
        <v>0</v>
      </c>
      <c r="Q395" s="4" t="s">
        <v>26</v>
      </c>
      <c r="R395" s="4">
        <v>0</v>
      </c>
      <c r="S395" s="6">
        <v>0</v>
      </c>
      <c r="T395" s="6">
        <v>30</v>
      </c>
      <c r="U395" s="6">
        <v>32</v>
      </c>
      <c r="V395" s="6">
        <f>IF(ISERROR(VLOOKUP($S$395,'TAR FIN'!$A$1:$O$86,15,0)),0,VLOOKUP($S$395,'TAR FIN'!$A$1:$O$86,15,0))</f>
        <v>0</v>
      </c>
      <c r="W395" s="6">
        <f>IF(ISERROR(VLOOKUP($T$395,'TAR FIN'!$A$1:$O$86,15,0)),0,VLOOKUP($T$395,'TAR FIN'!$A$1:$O$86,15,0))</f>
        <v>162.08000000000001</v>
      </c>
      <c r="X395" s="6">
        <f>IF(ISERROR(VLOOKUP($U$395,'TAR FIN'!$A$1:$O$86,15,0)),0,VLOOKUP($U$395,'TAR FIN'!$A$1:$O$86,15,0))</f>
        <v>134.4</v>
      </c>
      <c r="Y395" s="6"/>
      <c r="Z395" s="6">
        <f ca="1">('TUSD BE'!$AM$22+'TUSD BF'!$AM$22+'TUSD CVA'!$AM$22-('TUSD BE'!$P$22+'TUSD BF'!$P$22+'TUSD CVA'!$P$22)-('TUSD BE'!$Q$22+'TUSD BF'!$Q$22+'TUSD CVA'!$Q$22)-('TUSD BE'!$R$22+'TUSD BF'!$R$22+'TUSD CVA'!$R$22))*(1-CUSTOS!$M$35)</f>
        <v>175.8083202535656</v>
      </c>
      <c r="AA395" s="6">
        <f>('TE BE'!$AB$13+'TE BF'!$AB$13+'TE CVA'!$AB$13)*(1-CUSTOS!$M$35)</f>
        <v>140.78625863848896</v>
      </c>
      <c r="AB395" s="6">
        <f>$K$395*$V$395</f>
        <v>0</v>
      </c>
      <c r="AC395" s="6">
        <f>$M$395*$W$395</f>
        <v>0.45382400000000001</v>
      </c>
      <c r="AD395" s="6">
        <f>$O$395*$X$395</f>
        <v>0.37631999999999999</v>
      </c>
      <c r="AE395" s="6">
        <f>$K$395*$Y$395</f>
        <v>0</v>
      </c>
      <c r="AF395" s="6">
        <f ca="1">$M$395*$Z$395</f>
        <v>0.49226329670998364</v>
      </c>
      <c r="AG395" s="6">
        <f>$O$395*$AA$395</f>
        <v>0.3942015241877691</v>
      </c>
    </row>
    <row r="396" spans="1:33" ht="11.25" customHeight="1" x14ac:dyDescent="0.25">
      <c r="A396" s="4" t="s">
        <v>21</v>
      </c>
      <c r="B396" s="4" t="s">
        <v>22</v>
      </c>
      <c r="C396" s="4" t="s">
        <v>23</v>
      </c>
      <c r="D396" s="4" t="s">
        <v>24</v>
      </c>
      <c r="E396" s="4" t="s">
        <v>31</v>
      </c>
      <c r="F396" s="4" t="s">
        <v>25</v>
      </c>
      <c r="G396" s="4" t="s">
        <v>25</v>
      </c>
      <c r="H396" s="4" t="s">
        <v>25</v>
      </c>
      <c r="I396" s="5">
        <v>44409</v>
      </c>
      <c r="J396" s="6">
        <v>0</v>
      </c>
      <c r="K396" s="6">
        <v>0</v>
      </c>
      <c r="L396" s="6">
        <v>77.028999999999996</v>
      </c>
      <c r="M396" s="6">
        <v>77.028999999999996</v>
      </c>
      <c r="N396" s="6">
        <v>77.028999999999996</v>
      </c>
      <c r="O396" s="6">
        <v>77.028999999999996</v>
      </c>
      <c r="P396" s="6">
        <v>652</v>
      </c>
      <c r="Q396" s="4" t="s">
        <v>26</v>
      </c>
      <c r="R396" s="4">
        <v>0</v>
      </c>
      <c r="S396" s="6">
        <v>0</v>
      </c>
      <c r="T396" s="6">
        <v>37</v>
      </c>
      <c r="U396" s="6">
        <v>58</v>
      </c>
      <c r="V396" s="6">
        <f>IF(ISERROR(VLOOKUP($S$396,'TAR FIN'!$A$1:$O$86,15,0)),0,VLOOKUP($S$396,'TAR FIN'!$A$1:$O$86,15,0))</f>
        <v>0</v>
      </c>
      <c r="W396" s="6">
        <f>IF(ISERROR(VLOOKUP($T$396,'TAR FIN'!$A$1:$O$86,15,0)),0,VLOOKUP($T$396,'TAR FIN'!$A$1:$O$86,15,0))</f>
        <v>243.12</v>
      </c>
      <c r="X396" s="6">
        <f>IF(ISERROR(VLOOKUP($U$396,'TAR FIN'!$A$1:$O$86,15,0)),0,VLOOKUP($U$396,'TAR FIN'!$A$1:$O$86,15,0))</f>
        <v>201.61</v>
      </c>
      <c r="Y396" s="6"/>
      <c r="Z396" s="6">
        <f ca="1">('TUSD BE'!$AM$23+'TUSD BF'!$AM$23+'TUSD CVA'!$AM$23-('TUSD BE'!$P$23+'TUSD BF'!$P$23+'TUSD CVA'!$P$23)-('TUSD BE'!$Q$23+'TUSD BF'!$Q$23+'TUSD CVA'!$Q$23)-('TUSD BE'!$R$23+'TUSD BF'!$R$23+'TUSD CVA'!$R$23))*(1-CUSTOS!$M$36)</f>
        <v>263.71248038034844</v>
      </c>
      <c r="AA396" s="6">
        <f>('TE BE'!$AB$14+'TE BF'!$AB$14+'TE CVA'!$AB$14)*(1-CUSTOS!$M$36)</f>
        <v>211.17938795773344</v>
      </c>
      <c r="AB396" s="6">
        <f>$K$396*$V$396</f>
        <v>0</v>
      </c>
      <c r="AC396" s="6">
        <f>$M$396*$W$396</f>
        <v>18727.29048</v>
      </c>
      <c r="AD396" s="6">
        <f>$O$396*$X$396</f>
        <v>15529.81669</v>
      </c>
      <c r="AE396" s="6">
        <f>$K$396*$Y$396</f>
        <v>0</v>
      </c>
      <c r="AF396" s="6">
        <f ca="1">$M$396*$Z$396</f>
        <v>20313.50865121786</v>
      </c>
      <c r="AG396" s="6">
        <f>$O$396*$AA$396</f>
        <v>16266.937074996249</v>
      </c>
    </row>
    <row r="397" spans="1:33" ht="11.25" customHeight="1" x14ac:dyDescent="0.25">
      <c r="A397" s="4" t="s">
        <v>27</v>
      </c>
      <c r="B397" s="4" t="s">
        <v>22</v>
      </c>
      <c r="C397" s="4" t="s">
        <v>23</v>
      </c>
      <c r="D397" s="4" t="s">
        <v>24</v>
      </c>
      <c r="E397" s="4" t="s">
        <v>31</v>
      </c>
      <c r="F397" s="4" t="s">
        <v>25</v>
      </c>
      <c r="G397" s="4" t="s">
        <v>25</v>
      </c>
      <c r="H397" s="4" t="s">
        <v>25</v>
      </c>
      <c r="I397" s="5">
        <v>44409</v>
      </c>
      <c r="J397" s="6">
        <v>0</v>
      </c>
      <c r="K397" s="6">
        <v>0</v>
      </c>
      <c r="L397" s="6">
        <v>-6.7000000000000004E-2</v>
      </c>
      <c r="M397" s="6">
        <v>-6.7000000000000004E-2</v>
      </c>
      <c r="N397" s="6">
        <v>-6.7000000000000004E-2</v>
      </c>
      <c r="O397" s="6">
        <v>-6.7000000000000004E-2</v>
      </c>
      <c r="P397" s="6">
        <v>0</v>
      </c>
      <c r="Q397" s="4" t="s">
        <v>26</v>
      </c>
      <c r="R397" s="4">
        <v>0</v>
      </c>
      <c r="S397" s="6">
        <v>0</v>
      </c>
      <c r="T397" s="6">
        <v>37</v>
      </c>
      <c r="U397" s="6">
        <v>58</v>
      </c>
      <c r="V397" s="6">
        <f>IF(ISERROR(VLOOKUP($S$397,'TAR FIN'!$A$1:$O$86,15,0)),0,VLOOKUP($S$397,'TAR FIN'!$A$1:$O$86,15,0))</f>
        <v>0</v>
      </c>
      <c r="W397" s="6">
        <f>IF(ISERROR(VLOOKUP($T$397,'TAR FIN'!$A$1:$O$86,15,0)),0,VLOOKUP($T$397,'TAR FIN'!$A$1:$O$86,15,0))</f>
        <v>243.12</v>
      </c>
      <c r="X397" s="6">
        <f>IF(ISERROR(VLOOKUP($U$397,'TAR FIN'!$A$1:$O$86,15,0)),0,VLOOKUP($U$397,'TAR FIN'!$A$1:$O$86,15,0))</f>
        <v>201.61</v>
      </c>
      <c r="Y397" s="6"/>
      <c r="Z397" s="6">
        <f ca="1">('TUSD BE'!$AM$23+'TUSD BF'!$AM$23+'TUSD CVA'!$AM$23-('TUSD BE'!$P$23+'TUSD BF'!$P$23+'TUSD CVA'!$P$23)-('TUSD BE'!$Q$23+'TUSD BF'!$Q$23+'TUSD CVA'!$Q$23)-('TUSD BE'!$R$23+'TUSD BF'!$R$23+'TUSD CVA'!$R$23))*(1-CUSTOS!$M$36)</f>
        <v>263.71248038034844</v>
      </c>
      <c r="AA397" s="6">
        <f>('TE BE'!$AB$14+'TE BF'!$AB$14+'TE CVA'!$AB$14)*(1-CUSTOS!$M$36)</f>
        <v>211.17938795773344</v>
      </c>
      <c r="AB397" s="6">
        <f>$K$397*$V$397</f>
        <v>0</v>
      </c>
      <c r="AC397" s="6">
        <f>$M$397*$W$397</f>
        <v>-16.28904</v>
      </c>
      <c r="AD397" s="6">
        <f>$O$397*$X$397</f>
        <v>-13.507870000000002</v>
      </c>
      <c r="AE397" s="6">
        <f>$K$397*$Y$397</f>
        <v>0</v>
      </c>
      <c r="AF397" s="6">
        <f ca="1">$M$397*$Z$397</f>
        <v>-17.668736185483347</v>
      </c>
      <c r="AG397" s="6">
        <f>$O$397*$AA$397</f>
        <v>-14.149018993168141</v>
      </c>
    </row>
    <row r="398" spans="1:33" ht="11.25" customHeight="1" x14ac:dyDescent="0.25">
      <c r="A398" s="4" t="s">
        <v>21</v>
      </c>
      <c r="B398" s="4" t="s">
        <v>22</v>
      </c>
      <c r="C398" s="4" t="s">
        <v>23</v>
      </c>
      <c r="D398" s="4" t="s">
        <v>24</v>
      </c>
      <c r="E398" s="4" t="s">
        <v>31</v>
      </c>
      <c r="F398" s="4" t="s">
        <v>25</v>
      </c>
      <c r="G398" s="4" t="s">
        <v>25</v>
      </c>
      <c r="H398" s="4" t="s">
        <v>25</v>
      </c>
      <c r="I398" s="5">
        <v>44440</v>
      </c>
      <c r="J398" s="6">
        <v>0</v>
      </c>
      <c r="K398" s="6">
        <v>0</v>
      </c>
      <c r="L398" s="6">
        <v>85.152000000000001</v>
      </c>
      <c r="M398" s="6">
        <v>85.152000000000001</v>
      </c>
      <c r="N398" s="6">
        <v>85.152000000000001</v>
      </c>
      <c r="O398" s="6">
        <v>85.152000000000001</v>
      </c>
      <c r="P398" s="6">
        <v>652</v>
      </c>
      <c r="Q398" s="4" t="s">
        <v>26</v>
      </c>
      <c r="R398" s="4">
        <v>0</v>
      </c>
      <c r="S398" s="6">
        <v>0</v>
      </c>
      <c r="T398" s="6">
        <v>37</v>
      </c>
      <c r="U398" s="6">
        <v>58</v>
      </c>
      <c r="V398" s="6">
        <f>IF(ISERROR(VLOOKUP($S$398,'TAR FIN'!$A$1:$O$86,15,0)),0,VLOOKUP($S$398,'TAR FIN'!$A$1:$O$86,15,0))</f>
        <v>0</v>
      </c>
      <c r="W398" s="6">
        <f>IF(ISERROR(VLOOKUP($T$398,'TAR FIN'!$A$1:$O$86,15,0)),0,VLOOKUP($T$398,'TAR FIN'!$A$1:$O$86,15,0))</f>
        <v>243.12</v>
      </c>
      <c r="X398" s="6">
        <f>IF(ISERROR(VLOOKUP($U$398,'TAR FIN'!$A$1:$O$86,15,0)),0,VLOOKUP($U$398,'TAR FIN'!$A$1:$O$86,15,0))</f>
        <v>201.61</v>
      </c>
      <c r="Y398" s="6"/>
      <c r="Z398" s="6">
        <f ca="1">('TUSD BE'!$AM$23+'TUSD BF'!$AM$23+'TUSD CVA'!$AM$23-('TUSD BE'!$P$23+'TUSD BF'!$P$23+'TUSD CVA'!$P$23)-('TUSD BE'!$Q$23+'TUSD BF'!$Q$23+'TUSD CVA'!$Q$23)-('TUSD BE'!$R$23+'TUSD BF'!$R$23+'TUSD CVA'!$R$23))*(1-CUSTOS!$M$36)</f>
        <v>263.71248038034844</v>
      </c>
      <c r="AA398" s="6">
        <f>('TE BE'!$AB$14+'TE BF'!$AB$14+'TE CVA'!$AB$14)*(1-CUSTOS!$M$36)</f>
        <v>211.17938795773344</v>
      </c>
      <c r="AB398" s="6">
        <f>$K$398*$V$398</f>
        <v>0</v>
      </c>
      <c r="AC398" s="6">
        <f>$M$398*$W$398</f>
        <v>20702.15424</v>
      </c>
      <c r="AD398" s="6">
        <f>$O$398*$X$398</f>
        <v>17167.494720000002</v>
      </c>
      <c r="AE398" s="6">
        <f>$K$398*$Y$398</f>
        <v>0</v>
      </c>
      <c r="AF398" s="6">
        <f ca="1">$M$398*$Z$398</f>
        <v>22455.645129347431</v>
      </c>
      <c r="AG398" s="6">
        <f>$O$398*$AA$398</f>
        <v>17982.347243376917</v>
      </c>
    </row>
    <row r="399" spans="1:33" ht="11.25" customHeight="1" x14ac:dyDescent="0.25">
      <c r="A399" s="4" t="s">
        <v>27</v>
      </c>
      <c r="B399" s="4" t="s">
        <v>22</v>
      </c>
      <c r="C399" s="4" t="s">
        <v>23</v>
      </c>
      <c r="D399" s="4" t="s">
        <v>24</v>
      </c>
      <c r="E399" s="4" t="s">
        <v>31</v>
      </c>
      <c r="F399" s="4" t="s">
        <v>25</v>
      </c>
      <c r="G399" s="4" t="s">
        <v>25</v>
      </c>
      <c r="H399" s="4" t="s">
        <v>25</v>
      </c>
      <c r="I399" s="5">
        <v>44440</v>
      </c>
      <c r="J399" s="6">
        <v>0</v>
      </c>
      <c r="K399" s="6">
        <v>0</v>
      </c>
      <c r="L399" s="6">
        <v>-8.5000000000000006E-2</v>
      </c>
      <c r="M399" s="6">
        <v>-8.5000000000000006E-2</v>
      </c>
      <c r="N399" s="6">
        <v>-8.5000000000000006E-2</v>
      </c>
      <c r="O399" s="6">
        <v>-8.5000000000000006E-2</v>
      </c>
      <c r="P399" s="6">
        <v>0</v>
      </c>
      <c r="Q399" s="4" t="s">
        <v>26</v>
      </c>
      <c r="R399" s="4">
        <v>0</v>
      </c>
      <c r="S399" s="6">
        <v>0</v>
      </c>
      <c r="T399" s="6">
        <v>37</v>
      </c>
      <c r="U399" s="6">
        <v>58</v>
      </c>
      <c r="V399" s="6">
        <f>IF(ISERROR(VLOOKUP($S$399,'TAR FIN'!$A$1:$O$86,15,0)),0,VLOOKUP($S$399,'TAR FIN'!$A$1:$O$86,15,0))</f>
        <v>0</v>
      </c>
      <c r="W399" s="6">
        <f>IF(ISERROR(VLOOKUP($T$399,'TAR FIN'!$A$1:$O$86,15,0)),0,VLOOKUP($T$399,'TAR FIN'!$A$1:$O$86,15,0))</f>
        <v>243.12</v>
      </c>
      <c r="X399" s="6">
        <f>IF(ISERROR(VLOOKUP($U$399,'TAR FIN'!$A$1:$O$86,15,0)),0,VLOOKUP($U$399,'TAR FIN'!$A$1:$O$86,15,0))</f>
        <v>201.61</v>
      </c>
      <c r="Y399" s="6"/>
      <c r="Z399" s="6">
        <f ca="1">('TUSD BE'!$AM$23+'TUSD BF'!$AM$23+'TUSD CVA'!$AM$23-('TUSD BE'!$P$23+'TUSD BF'!$P$23+'TUSD CVA'!$P$23)-('TUSD BE'!$Q$23+'TUSD BF'!$Q$23+'TUSD CVA'!$Q$23)-('TUSD BE'!$R$23+'TUSD BF'!$R$23+'TUSD CVA'!$R$23))*(1-CUSTOS!$M$36)</f>
        <v>263.71248038034844</v>
      </c>
      <c r="AA399" s="6">
        <f>('TE BE'!$AB$14+'TE BF'!$AB$14+'TE CVA'!$AB$14)*(1-CUSTOS!$M$36)</f>
        <v>211.17938795773344</v>
      </c>
      <c r="AB399" s="6">
        <f>$K$399*$V$399</f>
        <v>0</v>
      </c>
      <c r="AC399" s="6">
        <f>$M$399*$W$399</f>
        <v>-20.665200000000002</v>
      </c>
      <c r="AD399" s="6">
        <f>$O$399*$X$399</f>
        <v>-17.136850000000003</v>
      </c>
      <c r="AE399" s="6">
        <f>$K$399*$Y$399</f>
        <v>0</v>
      </c>
      <c r="AF399" s="6">
        <f ca="1">$M$399*$Z$399</f>
        <v>-22.415560832329618</v>
      </c>
      <c r="AG399" s="6">
        <f>$O$399*$AA$399</f>
        <v>-17.950247976407343</v>
      </c>
    </row>
    <row r="400" spans="1:33" ht="11.25" customHeight="1" x14ac:dyDescent="0.25">
      <c r="A400" s="4" t="s">
        <v>21</v>
      </c>
      <c r="B400" s="4" t="s">
        <v>22</v>
      </c>
      <c r="C400" s="4" t="s">
        <v>23</v>
      </c>
      <c r="D400" s="4" t="s">
        <v>24</v>
      </c>
      <c r="E400" s="4" t="s">
        <v>31</v>
      </c>
      <c r="F400" s="4" t="s">
        <v>25</v>
      </c>
      <c r="G400" s="4" t="s">
        <v>25</v>
      </c>
      <c r="H400" s="4" t="s">
        <v>25</v>
      </c>
      <c r="I400" s="5">
        <v>44470</v>
      </c>
      <c r="J400" s="6">
        <v>0</v>
      </c>
      <c r="K400" s="6">
        <v>0</v>
      </c>
      <c r="L400" s="6">
        <v>79.515000000000001</v>
      </c>
      <c r="M400" s="6">
        <v>79.515000000000001</v>
      </c>
      <c r="N400" s="6">
        <v>79.515000000000001</v>
      </c>
      <c r="O400" s="6">
        <v>79.515000000000001</v>
      </c>
      <c r="P400" s="6">
        <v>705</v>
      </c>
      <c r="Q400" s="4" t="s">
        <v>26</v>
      </c>
      <c r="R400" s="4">
        <v>0</v>
      </c>
      <c r="S400" s="6">
        <v>0</v>
      </c>
      <c r="T400" s="6">
        <v>37</v>
      </c>
      <c r="U400" s="6">
        <v>58</v>
      </c>
      <c r="V400" s="6">
        <f>IF(ISERROR(VLOOKUP($S$400,'TAR FIN'!$A$1:$O$86,15,0)),0,VLOOKUP($S$400,'TAR FIN'!$A$1:$O$86,15,0))</f>
        <v>0</v>
      </c>
      <c r="W400" s="6">
        <f>IF(ISERROR(VLOOKUP($T$400,'TAR FIN'!$A$1:$O$86,15,0)),0,VLOOKUP($T$400,'TAR FIN'!$A$1:$O$86,15,0))</f>
        <v>243.12</v>
      </c>
      <c r="X400" s="6">
        <f>IF(ISERROR(VLOOKUP($U$400,'TAR FIN'!$A$1:$O$86,15,0)),0,VLOOKUP($U$400,'TAR FIN'!$A$1:$O$86,15,0))</f>
        <v>201.61</v>
      </c>
      <c r="Y400" s="6"/>
      <c r="Z400" s="6">
        <f ca="1">('TUSD BE'!$AM$23+'TUSD BF'!$AM$23+'TUSD CVA'!$AM$23-('TUSD BE'!$P$23+'TUSD BF'!$P$23+'TUSD CVA'!$P$23)-('TUSD BE'!$Q$23+'TUSD BF'!$Q$23+'TUSD CVA'!$Q$23)-('TUSD BE'!$R$23+'TUSD BF'!$R$23+'TUSD CVA'!$R$23))*(1-CUSTOS!$M$36)</f>
        <v>263.71248038034844</v>
      </c>
      <c r="AA400" s="6">
        <f>('TE BE'!$AB$14+'TE BF'!$AB$14+'TE CVA'!$AB$14)*(1-CUSTOS!$M$36)</f>
        <v>211.17938795773344</v>
      </c>
      <c r="AB400" s="6">
        <f>$K$400*$V$400</f>
        <v>0</v>
      </c>
      <c r="AC400" s="6">
        <f>$M$400*$W$400</f>
        <v>19331.686799999999</v>
      </c>
      <c r="AD400" s="6">
        <f>$O$400*$X$400</f>
        <v>16031.019150000002</v>
      </c>
      <c r="AE400" s="6">
        <f>$K$400*$Y$400</f>
        <v>0</v>
      </c>
      <c r="AF400" s="6">
        <f ca="1">$M$400*$Z$400</f>
        <v>20969.097877443408</v>
      </c>
      <c r="AG400" s="6">
        <f>$O$400*$AA$400</f>
        <v>16791.929033459175</v>
      </c>
    </row>
    <row r="401" spans="1:33" ht="11.25" customHeight="1" x14ac:dyDescent="0.25">
      <c r="A401" s="4" t="s">
        <v>27</v>
      </c>
      <c r="B401" s="4" t="s">
        <v>22</v>
      </c>
      <c r="C401" s="4" t="s">
        <v>23</v>
      </c>
      <c r="D401" s="4" t="s">
        <v>24</v>
      </c>
      <c r="E401" s="4" t="s">
        <v>31</v>
      </c>
      <c r="F401" s="4" t="s">
        <v>25</v>
      </c>
      <c r="G401" s="4" t="s">
        <v>25</v>
      </c>
      <c r="H401" s="4" t="s">
        <v>25</v>
      </c>
      <c r="I401" s="5">
        <v>44470</v>
      </c>
      <c r="J401" s="6">
        <v>0</v>
      </c>
      <c r="K401" s="6">
        <v>0</v>
      </c>
      <c r="L401" s="6">
        <v>-1.9E-2</v>
      </c>
      <c r="M401" s="6">
        <v>-1.9E-2</v>
      </c>
      <c r="N401" s="6">
        <v>-1.9E-2</v>
      </c>
      <c r="O401" s="6">
        <v>-1.9E-2</v>
      </c>
      <c r="P401" s="6">
        <v>0</v>
      </c>
      <c r="Q401" s="4" t="s">
        <v>26</v>
      </c>
      <c r="R401" s="4">
        <v>0</v>
      </c>
      <c r="S401" s="6">
        <v>0</v>
      </c>
      <c r="T401" s="6">
        <v>37</v>
      </c>
      <c r="U401" s="6">
        <v>58</v>
      </c>
      <c r="V401" s="6">
        <f>IF(ISERROR(VLOOKUP($S$401,'TAR FIN'!$A$1:$O$86,15,0)),0,VLOOKUP($S$401,'TAR FIN'!$A$1:$O$86,15,0))</f>
        <v>0</v>
      </c>
      <c r="W401" s="6">
        <f>IF(ISERROR(VLOOKUP($T$401,'TAR FIN'!$A$1:$O$86,15,0)),0,VLOOKUP($T$401,'TAR FIN'!$A$1:$O$86,15,0))</f>
        <v>243.12</v>
      </c>
      <c r="X401" s="6">
        <f>IF(ISERROR(VLOOKUP($U$401,'TAR FIN'!$A$1:$O$86,15,0)),0,VLOOKUP($U$401,'TAR FIN'!$A$1:$O$86,15,0))</f>
        <v>201.61</v>
      </c>
      <c r="Y401" s="6"/>
      <c r="Z401" s="6">
        <f ca="1">('TUSD BE'!$AM$23+'TUSD BF'!$AM$23+'TUSD CVA'!$AM$23-('TUSD BE'!$P$23+'TUSD BF'!$P$23+'TUSD CVA'!$P$23)-('TUSD BE'!$Q$23+'TUSD BF'!$Q$23+'TUSD CVA'!$Q$23)-('TUSD BE'!$R$23+'TUSD BF'!$R$23+'TUSD CVA'!$R$23))*(1-CUSTOS!$M$36)</f>
        <v>263.71248038034844</v>
      </c>
      <c r="AA401" s="6">
        <f>('TE BE'!$AB$14+'TE BF'!$AB$14+'TE CVA'!$AB$14)*(1-CUSTOS!$M$36)</f>
        <v>211.17938795773344</v>
      </c>
      <c r="AB401" s="6">
        <f>$K$401*$V$401</f>
        <v>0</v>
      </c>
      <c r="AC401" s="6">
        <f>$M$401*$W$401</f>
        <v>-4.6192799999999998</v>
      </c>
      <c r="AD401" s="6">
        <f>$O$401*$X$401</f>
        <v>-3.8305900000000004</v>
      </c>
      <c r="AE401" s="6">
        <f>$K$401*$Y$401</f>
        <v>0</v>
      </c>
      <c r="AF401" s="6">
        <f ca="1">$M$401*$Z$401</f>
        <v>-5.0105371272266206</v>
      </c>
      <c r="AG401" s="6">
        <f>$O$401*$AA$401</f>
        <v>-4.0124083711969352</v>
      </c>
    </row>
    <row r="402" spans="1:33" ht="11.25" customHeight="1" x14ac:dyDescent="0.25">
      <c r="A402" s="4" t="s">
        <v>21</v>
      </c>
      <c r="B402" s="4" t="s">
        <v>22</v>
      </c>
      <c r="C402" s="4" t="s">
        <v>23</v>
      </c>
      <c r="D402" s="4" t="s">
        <v>24</v>
      </c>
      <c r="E402" s="4" t="s">
        <v>31</v>
      </c>
      <c r="F402" s="4" t="s">
        <v>25</v>
      </c>
      <c r="G402" s="4" t="s">
        <v>25</v>
      </c>
      <c r="H402" s="4" t="s">
        <v>25</v>
      </c>
      <c r="I402" s="5">
        <v>44501</v>
      </c>
      <c r="J402" s="6">
        <v>0</v>
      </c>
      <c r="K402" s="6">
        <v>0</v>
      </c>
      <c r="L402" s="6">
        <v>82.828000000000003</v>
      </c>
      <c r="M402" s="6">
        <v>82.828000000000003</v>
      </c>
      <c r="N402" s="6">
        <v>82.828000000000003</v>
      </c>
      <c r="O402" s="6">
        <v>82.828000000000003</v>
      </c>
      <c r="P402" s="6">
        <v>702</v>
      </c>
      <c r="Q402" s="4" t="s">
        <v>26</v>
      </c>
      <c r="R402" s="4">
        <v>0</v>
      </c>
      <c r="S402" s="6">
        <v>0</v>
      </c>
      <c r="T402" s="6">
        <v>37</v>
      </c>
      <c r="U402" s="6">
        <v>58</v>
      </c>
      <c r="V402" s="6">
        <f>IF(ISERROR(VLOOKUP($S$402,'TAR FIN'!$A$1:$O$86,15,0)),0,VLOOKUP($S$402,'TAR FIN'!$A$1:$O$86,15,0))</f>
        <v>0</v>
      </c>
      <c r="W402" s="6">
        <f>IF(ISERROR(VLOOKUP($T$402,'TAR FIN'!$A$1:$O$86,15,0)),0,VLOOKUP($T$402,'TAR FIN'!$A$1:$O$86,15,0))</f>
        <v>243.12</v>
      </c>
      <c r="X402" s="6">
        <f>IF(ISERROR(VLOOKUP($U$402,'TAR FIN'!$A$1:$O$86,15,0)),0,VLOOKUP($U$402,'TAR FIN'!$A$1:$O$86,15,0))</f>
        <v>201.61</v>
      </c>
      <c r="Y402" s="6"/>
      <c r="Z402" s="6">
        <f ca="1">('TUSD BE'!$AM$23+'TUSD BF'!$AM$23+'TUSD CVA'!$AM$23-('TUSD BE'!$P$23+'TUSD BF'!$P$23+'TUSD CVA'!$P$23)-('TUSD BE'!$Q$23+'TUSD BF'!$Q$23+'TUSD CVA'!$Q$23)-('TUSD BE'!$R$23+'TUSD BF'!$R$23+'TUSD CVA'!$R$23))*(1-CUSTOS!$M$36)</f>
        <v>263.71248038034844</v>
      </c>
      <c r="AA402" s="6">
        <f>('TE BE'!$AB$14+'TE BF'!$AB$14+'TE CVA'!$AB$14)*(1-CUSTOS!$M$36)</f>
        <v>211.17938795773344</v>
      </c>
      <c r="AB402" s="6">
        <f>$K$402*$V$402</f>
        <v>0</v>
      </c>
      <c r="AC402" s="6">
        <f>$M$402*$W$402</f>
        <v>20137.143360000002</v>
      </c>
      <c r="AD402" s="6">
        <f>$O$402*$X$402</f>
        <v>16698.953080000003</v>
      </c>
      <c r="AE402" s="6">
        <f>$K$402*$Y$402</f>
        <v>0</v>
      </c>
      <c r="AF402" s="6">
        <f ca="1">$M$402*$Z$402</f>
        <v>21842.777324943501</v>
      </c>
      <c r="AG402" s="6">
        <f>$O$402*$AA$402</f>
        <v>17491.566345763145</v>
      </c>
    </row>
    <row r="403" spans="1:33" ht="11.25" customHeight="1" x14ac:dyDescent="0.25">
      <c r="A403" s="4" t="s">
        <v>27</v>
      </c>
      <c r="B403" s="4" t="s">
        <v>22</v>
      </c>
      <c r="C403" s="4" t="s">
        <v>23</v>
      </c>
      <c r="D403" s="4" t="s">
        <v>24</v>
      </c>
      <c r="E403" s="4" t="s">
        <v>31</v>
      </c>
      <c r="F403" s="4" t="s">
        <v>25</v>
      </c>
      <c r="G403" s="4" t="s">
        <v>25</v>
      </c>
      <c r="H403" s="4" t="s">
        <v>25</v>
      </c>
      <c r="I403" s="5">
        <v>44501</v>
      </c>
      <c r="J403" s="6">
        <v>0</v>
      </c>
      <c r="K403" s="6">
        <v>0</v>
      </c>
      <c r="L403" s="6">
        <v>-0.11</v>
      </c>
      <c r="M403" s="6">
        <v>-0.11</v>
      </c>
      <c r="N403" s="6">
        <v>-0.11</v>
      </c>
      <c r="O403" s="6">
        <v>-0.11</v>
      </c>
      <c r="P403" s="6">
        <v>0</v>
      </c>
      <c r="Q403" s="4" t="s">
        <v>26</v>
      </c>
      <c r="R403" s="4">
        <v>0</v>
      </c>
      <c r="S403" s="6">
        <v>0</v>
      </c>
      <c r="T403" s="6">
        <v>37</v>
      </c>
      <c r="U403" s="6">
        <v>58</v>
      </c>
      <c r="V403" s="6">
        <f>IF(ISERROR(VLOOKUP($S$403,'TAR FIN'!$A$1:$O$86,15,0)),0,VLOOKUP($S$403,'TAR FIN'!$A$1:$O$86,15,0))</f>
        <v>0</v>
      </c>
      <c r="W403" s="6">
        <f>IF(ISERROR(VLOOKUP($T$403,'TAR FIN'!$A$1:$O$86,15,0)),0,VLOOKUP($T$403,'TAR FIN'!$A$1:$O$86,15,0))</f>
        <v>243.12</v>
      </c>
      <c r="X403" s="6">
        <f>IF(ISERROR(VLOOKUP($U$403,'TAR FIN'!$A$1:$O$86,15,0)),0,VLOOKUP($U$403,'TAR FIN'!$A$1:$O$86,15,0))</f>
        <v>201.61</v>
      </c>
      <c r="Y403" s="6"/>
      <c r="Z403" s="6">
        <f ca="1">('TUSD BE'!$AM$23+'TUSD BF'!$AM$23+'TUSD CVA'!$AM$23-('TUSD BE'!$P$23+'TUSD BF'!$P$23+'TUSD CVA'!$P$23)-('TUSD BE'!$Q$23+'TUSD BF'!$Q$23+'TUSD CVA'!$Q$23)-('TUSD BE'!$R$23+'TUSD BF'!$R$23+'TUSD CVA'!$R$23))*(1-CUSTOS!$M$36)</f>
        <v>263.71248038034844</v>
      </c>
      <c r="AA403" s="6">
        <f>('TE BE'!$AB$14+'TE BF'!$AB$14+'TE CVA'!$AB$14)*(1-CUSTOS!$M$36)</f>
        <v>211.17938795773344</v>
      </c>
      <c r="AB403" s="6">
        <f>$K$403*$V$403</f>
        <v>0</v>
      </c>
      <c r="AC403" s="6">
        <f>$M$403*$W$403</f>
        <v>-26.743200000000002</v>
      </c>
      <c r="AD403" s="6">
        <f>$O$403*$X$403</f>
        <v>-22.177100000000003</v>
      </c>
      <c r="AE403" s="6">
        <f>$K$403*$Y$403</f>
        <v>0</v>
      </c>
      <c r="AF403" s="6">
        <f ca="1">$M$403*$Z$403</f>
        <v>-29.008372841838327</v>
      </c>
      <c r="AG403" s="6">
        <f>$O$403*$AA$403</f>
        <v>-23.229732675350679</v>
      </c>
    </row>
    <row r="404" spans="1:33" ht="11.25" customHeight="1" x14ac:dyDescent="0.25">
      <c r="A404" s="4" t="s">
        <v>21</v>
      </c>
      <c r="B404" s="4" t="s">
        <v>22</v>
      </c>
      <c r="C404" s="4" t="s">
        <v>23</v>
      </c>
      <c r="D404" s="4" t="s">
        <v>24</v>
      </c>
      <c r="E404" s="4" t="s">
        <v>31</v>
      </c>
      <c r="F404" s="4" t="s">
        <v>25</v>
      </c>
      <c r="G404" s="4" t="s">
        <v>25</v>
      </c>
      <c r="H404" s="4" t="s">
        <v>25</v>
      </c>
      <c r="I404" s="5">
        <v>44531</v>
      </c>
      <c r="J404" s="6">
        <v>0</v>
      </c>
      <c r="K404" s="6">
        <v>0</v>
      </c>
      <c r="L404" s="6">
        <v>82.319000000000003</v>
      </c>
      <c r="M404" s="6">
        <v>82.319000000000003</v>
      </c>
      <c r="N404" s="6">
        <v>82.319000000000003</v>
      </c>
      <c r="O404" s="6">
        <v>82.319000000000003</v>
      </c>
      <c r="P404" s="6">
        <v>726</v>
      </c>
      <c r="Q404" s="4" t="s">
        <v>26</v>
      </c>
      <c r="R404" s="4">
        <v>0</v>
      </c>
      <c r="S404" s="6">
        <v>0</v>
      </c>
      <c r="T404" s="6">
        <v>37</v>
      </c>
      <c r="U404" s="6">
        <v>58</v>
      </c>
      <c r="V404" s="6">
        <f>IF(ISERROR(VLOOKUP($S$404,'TAR FIN'!$A$1:$O$86,15,0)),0,VLOOKUP($S$404,'TAR FIN'!$A$1:$O$86,15,0))</f>
        <v>0</v>
      </c>
      <c r="W404" s="6">
        <f>IF(ISERROR(VLOOKUP($T$404,'TAR FIN'!$A$1:$O$86,15,0)),0,VLOOKUP($T$404,'TAR FIN'!$A$1:$O$86,15,0))</f>
        <v>243.12</v>
      </c>
      <c r="X404" s="6">
        <f>IF(ISERROR(VLOOKUP($U$404,'TAR FIN'!$A$1:$O$86,15,0)),0,VLOOKUP($U$404,'TAR FIN'!$A$1:$O$86,15,0))</f>
        <v>201.61</v>
      </c>
      <c r="Y404" s="6"/>
      <c r="Z404" s="6">
        <f ca="1">('TUSD BE'!$AM$23+'TUSD BF'!$AM$23+'TUSD CVA'!$AM$23-('TUSD BE'!$P$23+'TUSD BF'!$P$23+'TUSD CVA'!$P$23)-('TUSD BE'!$Q$23+'TUSD BF'!$Q$23+'TUSD CVA'!$Q$23)-('TUSD BE'!$R$23+'TUSD BF'!$R$23+'TUSD CVA'!$R$23))*(1-CUSTOS!$M$36)</f>
        <v>263.71248038034844</v>
      </c>
      <c r="AA404" s="6">
        <f>('TE BE'!$AB$14+'TE BF'!$AB$14+'TE CVA'!$AB$14)*(1-CUSTOS!$M$36)</f>
        <v>211.17938795773344</v>
      </c>
      <c r="AB404" s="6">
        <f>$K$404*$V$404</f>
        <v>0</v>
      </c>
      <c r="AC404" s="6">
        <f>$M$404*$W$404</f>
        <v>20013.395280000001</v>
      </c>
      <c r="AD404" s="6">
        <f>$O$404*$X$404</f>
        <v>16596.333590000002</v>
      </c>
      <c r="AE404" s="6">
        <f>$K$404*$Y$404</f>
        <v>0</v>
      </c>
      <c r="AF404" s="6">
        <f ca="1">$M$404*$Z$404</f>
        <v>21708.547672429904</v>
      </c>
      <c r="AG404" s="6">
        <f>$O$404*$AA$404</f>
        <v>17384.07603729266</v>
      </c>
    </row>
    <row r="405" spans="1:33" ht="11.25" customHeight="1" x14ac:dyDescent="0.25">
      <c r="A405" s="4" t="s">
        <v>27</v>
      </c>
      <c r="B405" s="4" t="s">
        <v>22</v>
      </c>
      <c r="C405" s="4" t="s">
        <v>23</v>
      </c>
      <c r="D405" s="4" t="s">
        <v>24</v>
      </c>
      <c r="E405" s="4" t="s">
        <v>31</v>
      </c>
      <c r="F405" s="4" t="s">
        <v>25</v>
      </c>
      <c r="G405" s="4" t="s">
        <v>25</v>
      </c>
      <c r="H405" s="4" t="s">
        <v>25</v>
      </c>
      <c r="I405" s="5">
        <v>44531</v>
      </c>
      <c r="J405" s="6">
        <v>0</v>
      </c>
      <c r="K405" s="6">
        <v>0</v>
      </c>
      <c r="L405" s="6">
        <v>-5.8000000000000003E-2</v>
      </c>
      <c r="M405" s="6">
        <v>-5.8000000000000003E-2</v>
      </c>
      <c r="N405" s="6">
        <v>-5.8000000000000003E-2</v>
      </c>
      <c r="O405" s="6">
        <v>-5.8000000000000003E-2</v>
      </c>
      <c r="P405" s="6">
        <v>0</v>
      </c>
      <c r="Q405" s="4" t="s">
        <v>26</v>
      </c>
      <c r="R405" s="4">
        <v>0</v>
      </c>
      <c r="S405" s="6">
        <v>0</v>
      </c>
      <c r="T405" s="6">
        <v>37</v>
      </c>
      <c r="U405" s="6">
        <v>58</v>
      </c>
      <c r="V405" s="6">
        <f>IF(ISERROR(VLOOKUP($S$405,'TAR FIN'!$A$1:$O$86,15,0)),0,VLOOKUP($S$405,'TAR FIN'!$A$1:$O$86,15,0))</f>
        <v>0</v>
      </c>
      <c r="W405" s="6">
        <f>IF(ISERROR(VLOOKUP($T$405,'TAR FIN'!$A$1:$O$86,15,0)),0,VLOOKUP($T$405,'TAR FIN'!$A$1:$O$86,15,0))</f>
        <v>243.12</v>
      </c>
      <c r="X405" s="6">
        <f>IF(ISERROR(VLOOKUP($U$405,'TAR FIN'!$A$1:$O$86,15,0)),0,VLOOKUP($U$405,'TAR FIN'!$A$1:$O$86,15,0))</f>
        <v>201.61</v>
      </c>
      <c r="Y405" s="6"/>
      <c r="Z405" s="6">
        <f ca="1">('TUSD BE'!$AM$23+'TUSD BF'!$AM$23+'TUSD CVA'!$AM$23-('TUSD BE'!$P$23+'TUSD BF'!$P$23+'TUSD CVA'!$P$23)-('TUSD BE'!$Q$23+'TUSD BF'!$Q$23+'TUSD CVA'!$Q$23)-('TUSD BE'!$R$23+'TUSD BF'!$R$23+'TUSD CVA'!$R$23))*(1-CUSTOS!$M$36)</f>
        <v>263.71248038034844</v>
      </c>
      <c r="AA405" s="6">
        <f>('TE BE'!$AB$14+'TE BF'!$AB$14+'TE CVA'!$AB$14)*(1-CUSTOS!$M$36)</f>
        <v>211.17938795773344</v>
      </c>
      <c r="AB405" s="6">
        <f>$K$405*$V$405</f>
        <v>0</v>
      </c>
      <c r="AC405" s="6">
        <f>$M$405*$W$405</f>
        <v>-14.100960000000001</v>
      </c>
      <c r="AD405" s="6">
        <f>$O$405*$X$405</f>
        <v>-11.693380000000001</v>
      </c>
      <c r="AE405" s="6">
        <f>$K$405*$Y$405</f>
        <v>0</v>
      </c>
      <c r="AF405" s="6">
        <f ca="1">$M$405*$Z$405</f>
        <v>-15.29532386206021</v>
      </c>
      <c r="AG405" s="6">
        <f>$O$405*$AA$405</f>
        <v>-12.24840450154854</v>
      </c>
    </row>
    <row r="406" spans="1:33" ht="11.25" customHeight="1" x14ac:dyDescent="0.25">
      <c r="A406" s="4" t="s">
        <v>21</v>
      </c>
      <c r="B406" s="4" t="s">
        <v>22</v>
      </c>
      <c r="C406" s="4" t="s">
        <v>23</v>
      </c>
      <c r="D406" s="4" t="s">
        <v>24</v>
      </c>
      <c r="E406" s="4" t="s">
        <v>31</v>
      </c>
      <c r="F406" s="4" t="s">
        <v>25</v>
      </c>
      <c r="G406" s="4" t="s">
        <v>25</v>
      </c>
      <c r="H406" s="4" t="s">
        <v>25</v>
      </c>
      <c r="I406" s="5">
        <v>44562</v>
      </c>
      <c r="J406" s="6">
        <v>0</v>
      </c>
      <c r="K406" s="6">
        <v>0</v>
      </c>
      <c r="L406" s="6">
        <v>104.45399999999999</v>
      </c>
      <c r="M406" s="6">
        <v>104.45399999999999</v>
      </c>
      <c r="N406" s="6">
        <v>104.45399999999999</v>
      </c>
      <c r="O406" s="6">
        <v>104.45399999999999</v>
      </c>
      <c r="P406" s="6">
        <v>616</v>
      </c>
      <c r="Q406" s="4" t="s">
        <v>26</v>
      </c>
      <c r="R406" s="4">
        <v>0</v>
      </c>
      <c r="S406" s="6">
        <v>0</v>
      </c>
      <c r="T406" s="6">
        <v>37</v>
      </c>
      <c r="U406" s="6">
        <v>58</v>
      </c>
      <c r="V406" s="6">
        <f>IF(ISERROR(VLOOKUP($S$406,'TAR FIN'!$A$1:$O$86,15,0)),0,VLOOKUP($S$406,'TAR FIN'!$A$1:$O$86,15,0))</f>
        <v>0</v>
      </c>
      <c r="W406" s="6">
        <f>IF(ISERROR(VLOOKUP($T$406,'TAR FIN'!$A$1:$O$86,15,0)),0,VLOOKUP($T$406,'TAR FIN'!$A$1:$O$86,15,0))</f>
        <v>243.12</v>
      </c>
      <c r="X406" s="6">
        <f>IF(ISERROR(VLOOKUP($U$406,'TAR FIN'!$A$1:$O$86,15,0)),0,VLOOKUP($U$406,'TAR FIN'!$A$1:$O$86,15,0))</f>
        <v>201.61</v>
      </c>
      <c r="Y406" s="6"/>
      <c r="Z406" s="6">
        <f ca="1">('TUSD BE'!$AM$23+'TUSD BF'!$AM$23+'TUSD CVA'!$AM$23-('TUSD BE'!$P$23+'TUSD BF'!$P$23+'TUSD CVA'!$P$23)-('TUSD BE'!$Q$23+'TUSD BF'!$Q$23+'TUSD CVA'!$Q$23)-('TUSD BE'!$R$23+'TUSD BF'!$R$23+'TUSD CVA'!$R$23))*(1-CUSTOS!$M$36)</f>
        <v>263.71248038034844</v>
      </c>
      <c r="AA406" s="6">
        <f>('TE BE'!$AB$14+'TE BF'!$AB$14+'TE CVA'!$AB$14)*(1-CUSTOS!$M$36)</f>
        <v>211.17938795773344</v>
      </c>
      <c r="AB406" s="6">
        <f>$K$406*$V$406</f>
        <v>0</v>
      </c>
      <c r="AC406" s="6">
        <f>$M$406*$W$406</f>
        <v>25394.856479999999</v>
      </c>
      <c r="AD406" s="6">
        <f>$O$406*$X$406</f>
        <v>21058.970939999999</v>
      </c>
      <c r="AE406" s="6">
        <f>$K$406*$Y$406</f>
        <v>0</v>
      </c>
      <c r="AF406" s="6">
        <f ca="1">$M$406*$Z$406</f>
        <v>27545.823425648916</v>
      </c>
      <c r="AG406" s="6">
        <f>$O$406*$AA$406</f>
        <v>22058.531789737088</v>
      </c>
    </row>
    <row r="407" spans="1:33" ht="11.25" customHeight="1" x14ac:dyDescent="0.25">
      <c r="A407" s="4" t="s">
        <v>27</v>
      </c>
      <c r="B407" s="4" t="s">
        <v>22</v>
      </c>
      <c r="C407" s="4" t="s">
        <v>23</v>
      </c>
      <c r="D407" s="4" t="s">
        <v>24</v>
      </c>
      <c r="E407" s="4" t="s">
        <v>31</v>
      </c>
      <c r="F407" s="4" t="s">
        <v>25</v>
      </c>
      <c r="G407" s="4" t="s">
        <v>25</v>
      </c>
      <c r="H407" s="4" t="s">
        <v>25</v>
      </c>
      <c r="I407" s="5">
        <v>44562</v>
      </c>
      <c r="J407" s="6">
        <v>0</v>
      </c>
      <c r="K407" s="6">
        <v>0</v>
      </c>
      <c r="L407" s="6">
        <v>-0.12</v>
      </c>
      <c r="M407" s="6">
        <v>-0.12</v>
      </c>
      <c r="N407" s="6">
        <v>-0.12</v>
      </c>
      <c r="O407" s="6">
        <v>-0.12</v>
      </c>
      <c r="P407" s="6">
        <v>0</v>
      </c>
      <c r="Q407" s="4" t="s">
        <v>26</v>
      </c>
      <c r="R407" s="4">
        <v>0</v>
      </c>
      <c r="S407" s="6">
        <v>0</v>
      </c>
      <c r="T407" s="6">
        <v>37</v>
      </c>
      <c r="U407" s="6">
        <v>58</v>
      </c>
      <c r="V407" s="6">
        <f>IF(ISERROR(VLOOKUP($S$407,'TAR FIN'!$A$1:$O$86,15,0)),0,VLOOKUP($S$407,'TAR FIN'!$A$1:$O$86,15,0))</f>
        <v>0</v>
      </c>
      <c r="W407" s="6">
        <f>IF(ISERROR(VLOOKUP($T$407,'TAR FIN'!$A$1:$O$86,15,0)),0,VLOOKUP($T$407,'TAR FIN'!$A$1:$O$86,15,0))</f>
        <v>243.12</v>
      </c>
      <c r="X407" s="6">
        <f>IF(ISERROR(VLOOKUP($U$407,'TAR FIN'!$A$1:$O$86,15,0)),0,VLOOKUP($U$407,'TAR FIN'!$A$1:$O$86,15,0))</f>
        <v>201.61</v>
      </c>
      <c r="Y407" s="6"/>
      <c r="Z407" s="6">
        <f ca="1">('TUSD BE'!$AM$23+'TUSD BF'!$AM$23+'TUSD CVA'!$AM$23-('TUSD BE'!$P$23+'TUSD BF'!$P$23+'TUSD CVA'!$P$23)-('TUSD BE'!$Q$23+'TUSD BF'!$Q$23+'TUSD CVA'!$Q$23)-('TUSD BE'!$R$23+'TUSD BF'!$R$23+'TUSD CVA'!$R$23))*(1-CUSTOS!$M$36)</f>
        <v>263.71248038034844</v>
      </c>
      <c r="AA407" s="6">
        <f>('TE BE'!$AB$14+'TE BF'!$AB$14+'TE CVA'!$AB$14)*(1-CUSTOS!$M$36)</f>
        <v>211.17938795773344</v>
      </c>
      <c r="AB407" s="6">
        <f>$K$407*$V$407</f>
        <v>0</v>
      </c>
      <c r="AC407" s="6">
        <f>$M$407*$W$407</f>
        <v>-29.174399999999999</v>
      </c>
      <c r="AD407" s="6">
        <f>$O$407*$X$407</f>
        <v>-24.193200000000001</v>
      </c>
      <c r="AE407" s="6">
        <f>$K$407*$Y$407</f>
        <v>0</v>
      </c>
      <c r="AF407" s="6">
        <f ca="1">$M$407*$Z$407</f>
        <v>-31.645497645641811</v>
      </c>
      <c r="AG407" s="6">
        <f>$O$407*$AA$407</f>
        <v>-25.341526554928013</v>
      </c>
    </row>
    <row r="408" spans="1:33" ht="11.25" customHeight="1" x14ac:dyDescent="0.25">
      <c r="A408" s="4" t="s">
        <v>21</v>
      </c>
      <c r="B408" s="4" t="s">
        <v>22</v>
      </c>
      <c r="C408" s="4" t="s">
        <v>23</v>
      </c>
      <c r="D408" s="4" t="s">
        <v>24</v>
      </c>
      <c r="E408" s="4" t="s">
        <v>31</v>
      </c>
      <c r="F408" s="4" t="s">
        <v>25</v>
      </c>
      <c r="G408" s="4" t="s">
        <v>25</v>
      </c>
      <c r="H408" s="4" t="s">
        <v>25</v>
      </c>
      <c r="I408" s="5">
        <v>44593</v>
      </c>
      <c r="J408" s="6">
        <v>0</v>
      </c>
      <c r="K408" s="6">
        <v>0</v>
      </c>
      <c r="L408" s="6">
        <v>105.911</v>
      </c>
      <c r="M408" s="6">
        <v>105.911</v>
      </c>
      <c r="N408" s="6">
        <v>105.911</v>
      </c>
      <c r="O408" s="6">
        <v>105.911</v>
      </c>
      <c r="P408" s="6">
        <v>626</v>
      </c>
      <c r="Q408" s="4" t="s">
        <v>26</v>
      </c>
      <c r="R408" s="4">
        <v>0</v>
      </c>
      <c r="S408" s="6">
        <v>0</v>
      </c>
      <c r="T408" s="6">
        <v>37</v>
      </c>
      <c r="U408" s="6">
        <v>58</v>
      </c>
      <c r="V408" s="6">
        <f>IF(ISERROR(VLOOKUP($S$408,'TAR FIN'!$A$1:$O$86,15,0)),0,VLOOKUP($S$408,'TAR FIN'!$A$1:$O$86,15,0))</f>
        <v>0</v>
      </c>
      <c r="W408" s="6">
        <f>IF(ISERROR(VLOOKUP($T$408,'TAR FIN'!$A$1:$O$86,15,0)),0,VLOOKUP($T$408,'TAR FIN'!$A$1:$O$86,15,0))</f>
        <v>243.12</v>
      </c>
      <c r="X408" s="6">
        <f>IF(ISERROR(VLOOKUP($U$408,'TAR FIN'!$A$1:$O$86,15,0)),0,VLOOKUP($U$408,'TAR FIN'!$A$1:$O$86,15,0))</f>
        <v>201.61</v>
      </c>
      <c r="Y408" s="6"/>
      <c r="Z408" s="6">
        <f ca="1">('TUSD BE'!$AM$23+'TUSD BF'!$AM$23+'TUSD CVA'!$AM$23-('TUSD BE'!$P$23+'TUSD BF'!$P$23+'TUSD CVA'!$P$23)-('TUSD BE'!$Q$23+'TUSD BF'!$Q$23+'TUSD CVA'!$Q$23)-('TUSD BE'!$R$23+'TUSD BF'!$R$23+'TUSD CVA'!$R$23))*(1-CUSTOS!$M$36)</f>
        <v>263.71248038034844</v>
      </c>
      <c r="AA408" s="6">
        <f>('TE BE'!$AB$14+'TE BF'!$AB$14+'TE CVA'!$AB$14)*(1-CUSTOS!$M$36)</f>
        <v>211.17938795773344</v>
      </c>
      <c r="AB408" s="6">
        <f>$K$408*$V$408</f>
        <v>0</v>
      </c>
      <c r="AC408" s="6">
        <f>$M$408*$W$408</f>
        <v>25749.082320000001</v>
      </c>
      <c r="AD408" s="6">
        <f>$O$408*$X$408</f>
        <v>21352.716710000001</v>
      </c>
      <c r="AE408" s="6">
        <f>$K$408*$Y$408</f>
        <v>0</v>
      </c>
      <c r="AF408" s="6">
        <f ca="1">$M$408*$Z$408</f>
        <v>27930.052509563084</v>
      </c>
      <c r="AG408" s="6">
        <f>$O$408*$AA$408</f>
        <v>22366.220157991505</v>
      </c>
    </row>
    <row r="409" spans="1:33" ht="11.25" customHeight="1" x14ac:dyDescent="0.25">
      <c r="A409" s="4" t="s">
        <v>21</v>
      </c>
      <c r="B409" s="4" t="s">
        <v>22</v>
      </c>
      <c r="C409" s="4" t="s">
        <v>23</v>
      </c>
      <c r="D409" s="4" t="s">
        <v>24</v>
      </c>
      <c r="E409" s="4" t="s">
        <v>31</v>
      </c>
      <c r="F409" s="4" t="s">
        <v>25</v>
      </c>
      <c r="G409" s="4" t="s">
        <v>25</v>
      </c>
      <c r="H409" s="4" t="s">
        <v>25</v>
      </c>
      <c r="I409" s="5">
        <v>44621</v>
      </c>
      <c r="J409" s="6">
        <v>0</v>
      </c>
      <c r="K409" s="6">
        <v>0</v>
      </c>
      <c r="L409" s="6">
        <v>103.733</v>
      </c>
      <c r="M409" s="6">
        <v>103.733</v>
      </c>
      <c r="N409" s="6">
        <v>103.733</v>
      </c>
      <c r="O409" s="6">
        <v>103.733</v>
      </c>
      <c r="P409" s="6">
        <v>682</v>
      </c>
      <c r="Q409" s="4" t="s">
        <v>26</v>
      </c>
      <c r="R409" s="4">
        <v>0</v>
      </c>
      <c r="S409" s="6">
        <v>0</v>
      </c>
      <c r="T409" s="6">
        <v>37</v>
      </c>
      <c r="U409" s="6">
        <v>58</v>
      </c>
      <c r="V409" s="6">
        <f>IF(ISERROR(VLOOKUP($S$409,'TAR FIN'!$A$1:$O$86,15,0)),0,VLOOKUP($S$409,'TAR FIN'!$A$1:$O$86,15,0))</f>
        <v>0</v>
      </c>
      <c r="W409" s="6">
        <f>IF(ISERROR(VLOOKUP($T$409,'TAR FIN'!$A$1:$O$86,15,0)),0,VLOOKUP($T$409,'TAR FIN'!$A$1:$O$86,15,0))</f>
        <v>243.12</v>
      </c>
      <c r="X409" s="6">
        <f>IF(ISERROR(VLOOKUP($U$409,'TAR FIN'!$A$1:$O$86,15,0)),0,VLOOKUP($U$409,'TAR FIN'!$A$1:$O$86,15,0))</f>
        <v>201.61</v>
      </c>
      <c r="Y409" s="6"/>
      <c r="Z409" s="6">
        <f ca="1">('TUSD BE'!$AM$23+'TUSD BF'!$AM$23+'TUSD CVA'!$AM$23-('TUSD BE'!$P$23+'TUSD BF'!$P$23+'TUSD CVA'!$P$23)-('TUSD BE'!$Q$23+'TUSD BF'!$Q$23+'TUSD CVA'!$Q$23)-('TUSD BE'!$R$23+'TUSD BF'!$R$23+'TUSD CVA'!$R$23))*(1-CUSTOS!$M$36)</f>
        <v>263.71248038034844</v>
      </c>
      <c r="AA409" s="6">
        <f>('TE BE'!$AB$14+'TE BF'!$AB$14+'TE CVA'!$AB$14)*(1-CUSTOS!$M$36)</f>
        <v>211.17938795773344</v>
      </c>
      <c r="AB409" s="6">
        <f>$K$409*$V$409</f>
        <v>0</v>
      </c>
      <c r="AC409" s="6">
        <f>$M$409*$W$409</f>
        <v>25219.56696</v>
      </c>
      <c r="AD409" s="6">
        <f>$O$409*$X$409</f>
        <v>20913.610130000001</v>
      </c>
      <c r="AE409" s="6">
        <f>$K$409*$Y$409</f>
        <v>0</v>
      </c>
      <c r="AF409" s="6">
        <f ca="1">$M$409*$Z$409</f>
        <v>27355.686727294687</v>
      </c>
      <c r="AG409" s="6">
        <f>$O$409*$AA$409</f>
        <v>21906.271451019562</v>
      </c>
    </row>
    <row r="410" spans="1:33" ht="11.25" customHeight="1" x14ac:dyDescent="0.25">
      <c r="A410" s="4" t="s">
        <v>27</v>
      </c>
      <c r="B410" s="4" t="s">
        <v>22</v>
      </c>
      <c r="C410" s="4" t="s">
        <v>23</v>
      </c>
      <c r="D410" s="4" t="s">
        <v>24</v>
      </c>
      <c r="E410" s="4" t="s">
        <v>31</v>
      </c>
      <c r="F410" s="4" t="s">
        <v>25</v>
      </c>
      <c r="G410" s="4" t="s">
        <v>25</v>
      </c>
      <c r="H410" s="4" t="s">
        <v>25</v>
      </c>
      <c r="I410" s="5">
        <v>44621</v>
      </c>
      <c r="J410" s="6">
        <v>0</v>
      </c>
      <c r="K410" s="6">
        <v>0</v>
      </c>
      <c r="L410" s="6">
        <v>-4.3999999999999997E-2</v>
      </c>
      <c r="M410" s="6">
        <v>-4.3999999999999997E-2</v>
      </c>
      <c r="N410" s="6">
        <v>-4.3999999999999997E-2</v>
      </c>
      <c r="O410" s="6">
        <v>-4.3999999999999997E-2</v>
      </c>
      <c r="P410" s="6">
        <v>0</v>
      </c>
      <c r="Q410" s="4" t="s">
        <v>26</v>
      </c>
      <c r="R410" s="4">
        <v>0</v>
      </c>
      <c r="S410" s="6">
        <v>0</v>
      </c>
      <c r="T410" s="6">
        <v>37</v>
      </c>
      <c r="U410" s="6">
        <v>58</v>
      </c>
      <c r="V410" s="6">
        <f>IF(ISERROR(VLOOKUP($S$410,'TAR FIN'!$A$1:$O$86,15,0)),0,VLOOKUP($S$410,'TAR FIN'!$A$1:$O$86,15,0))</f>
        <v>0</v>
      </c>
      <c r="W410" s="6">
        <f>IF(ISERROR(VLOOKUP($T$410,'TAR FIN'!$A$1:$O$86,15,0)),0,VLOOKUP($T$410,'TAR FIN'!$A$1:$O$86,15,0))</f>
        <v>243.12</v>
      </c>
      <c r="X410" s="6">
        <f>IF(ISERROR(VLOOKUP($U$410,'TAR FIN'!$A$1:$O$86,15,0)),0,VLOOKUP($U$410,'TAR FIN'!$A$1:$O$86,15,0))</f>
        <v>201.61</v>
      </c>
      <c r="Y410" s="6"/>
      <c r="Z410" s="6">
        <f ca="1">('TUSD BE'!$AM$23+'TUSD BF'!$AM$23+'TUSD CVA'!$AM$23-('TUSD BE'!$P$23+'TUSD BF'!$P$23+'TUSD CVA'!$P$23)-('TUSD BE'!$Q$23+'TUSD BF'!$Q$23+'TUSD CVA'!$Q$23)-('TUSD BE'!$R$23+'TUSD BF'!$R$23+'TUSD CVA'!$R$23))*(1-CUSTOS!$M$36)</f>
        <v>263.71248038034844</v>
      </c>
      <c r="AA410" s="6">
        <f>('TE BE'!$AB$14+'TE BF'!$AB$14+'TE CVA'!$AB$14)*(1-CUSTOS!$M$36)</f>
        <v>211.17938795773344</v>
      </c>
      <c r="AB410" s="6">
        <f>$K$410*$V$410</f>
        <v>0</v>
      </c>
      <c r="AC410" s="6">
        <f>$M$410*$W$410</f>
        <v>-10.697279999999999</v>
      </c>
      <c r="AD410" s="6">
        <f>$O$410*$X$410</f>
        <v>-8.8708399999999994</v>
      </c>
      <c r="AE410" s="6">
        <f>$K$410*$Y$410</f>
        <v>0</v>
      </c>
      <c r="AF410" s="6">
        <f ca="1">$M$410*$Z$410</f>
        <v>-11.60334913673533</v>
      </c>
      <c r="AG410" s="6">
        <f>$O$410*$AA$410</f>
        <v>-9.2918930701402704</v>
      </c>
    </row>
    <row r="411" spans="1:33" ht="11.25" customHeight="1" x14ac:dyDescent="0.25">
      <c r="A411" s="4" t="s">
        <v>21</v>
      </c>
      <c r="B411" s="4" t="s">
        <v>22</v>
      </c>
      <c r="C411" s="4" t="s">
        <v>23</v>
      </c>
      <c r="D411" s="4" t="s">
        <v>24</v>
      </c>
      <c r="E411" s="4" t="s">
        <v>31</v>
      </c>
      <c r="F411" s="4" t="s">
        <v>25</v>
      </c>
      <c r="G411" s="4" t="s">
        <v>25</v>
      </c>
      <c r="H411" s="4" t="s">
        <v>25</v>
      </c>
      <c r="I411" s="5">
        <v>44652</v>
      </c>
      <c r="J411" s="6">
        <v>0</v>
      </c>
      <c r="K411" s="6">
        <v>0</v>
      </c>
      <c r="L411" s="6">
        <v>101.02200000000001</v>
      </c>
      <c r="M411" s="6">
        <v>101.02200000000001</v>
      </c>
      <c r="N411" s="6">
        <v>101.02200000000001</v>
      </c>
      <c r="O411" s="6">
        <v>101.02200000000001</v>
      </c>
      <c r="P411" s="6">
        <v>726</v>
      </c>
      <c r="Q411" s="4" t="s">
        <v>26</v>
      </c>
      <c r="R411" s="4">
        <v>0</v>
      </c>
      <c r="S411" s="6">
        <v>0</v>
      </c>
      <c r="T411" s="6">
        <v>37</v>
      </c>
      <c r="U411" s="6">
        <v>58</v>
      </c>
      <c r="V411" s="6">
        <f>IF(ISERROR(VLOOKUP($S$411,'TAR FIN'!$A$1:$O$86,15,0)),0,VLOOKUP($S$411,'TAR FIN'!$A$1:$O$86,15,0))</f>
        <v>0</v>
      </c>
      <c r="W411" s="6">
        <f>IF(ISERROR(VLOOKUP($T$411,'TAR FIN'!$A$1:$O$86,15,0)),0,VLOOKUP($T$411,'TAR FIN'!$A$1:$O$86,15,0))</f>
        <v>243.12</v>
      </c>
      <c r="X411" s="6">
        <f>IF(ISERROR(VLOOKUP($U$411,'TAR FIN'!$A$1:$O$86,15,0)),0,VLOOKUP($U$411,'TAR FIN'!$A$1:$O$86,15,0))</f>
        <v>201.61</v>
      </c>
      <c r="Y411" s="6"/>
      <c r="Z411" s="6">
        <f ca="1">('TUSD BE'!$AM$23+'TUSD BF'!$AM$23+'TUSD CVA'!$AM$23-('TUSD BE'!$P$23+'TUSD BF'!$P$23+'TUSD CVA'!$P$23)-('TUSD BE'!$Q$23+'TUSD BF'!$Q$23+'TUSD CVA'!$Q$23)-('TUSD BE'!$R$23+'TUSD BF'!$R$23+'TUSD CVA'!$R$23))*(1-CUSTOS!$M$36)</f>
        <v>263.71248038034844</v>
      </c>
      <c r="AA411" s="6">
        <f>('TE BE'!$AB$14+'TE BF'!$AB$14+'TE CVA'!$AB$14)*(1-CUSTOS!$M$36)</f>
        <v>211.17938795773344</v>
      </c>
      <c r="AB411" s="6">
        <f>$K$411*$V$411</f>
        <v>0</v>
      </c>
      <c r="AC411" s="6">
        <f>$M$411*$W$411</f>
        <v>24560.468640000003</v>
      </c>
      <c r="AD411" s="6">
        <f>$O$411*$X$411</f>
        <v>20367.045420000002</v>
      </c>
      <c r="AE411" s="6">
        <f>$K$411*$Y$411</f>
        <v>0</v>
      </c>
      <c r="AF411" s="6">
        <f ca="1">$M$411*$Z$411</f>
        <v>26640.762192983562</v>
      </c>
      <c r="AG411" s="6">
        <f>$O$411*$AA$411</f>
        <v>21333.76413026615</v>
      </c>
    </row>
    <row r="412" spans="1:33" ht="11.25" customHeight="1" x14ac:dyDescent="0.25">
      <c r="A412" s="4" t="s">
        <v>27</v>
      </c>
      <c r="B412" s="4" t="s">
        <v>22</v>
      </c>
      <c r="C412" s="4" t="s">
        <v>23</v>
      </c>
      <c r="D412" s="4" t="s">
        <v>24</v>
      </c>
      <c r="E412" s="4" t="s">
        <v>31</v>
      </c>
      <c r="F412" s="4" t="s">
        <v>25</v>
      </c>
      <c r="G412" s="4" t="s">
        <v>25</v>
      </c>
      <c r="H412" s="4" t="s">
        <v>25</v>
      </c>
      <c r="I412" s="5">
        <v>44652</v>
      </c>
      <c r="J412" s="6">
        <v>0</v>
      </c>
      <c r="K412" s="6">
        <v>0</v>
      </c>
      <c r="L412" s="6">
        <v>5.8999999999999997E-2</v>
      </c>
      <c r="M412" s="6">
        <v>5.8999999999999997E-2</v>
      </c>
      <c r="N412" s="6">
        <v>5.8999999999999997E-2</v>
      </c>
      <c r="O412" s="6">
        <v>5.8999999999999997E-2</v>
      </c>
      <c r="P412" s="6">
        <v>0</v>
      </c>
      <c r="Q412" s="4" t="s">
        <v>26</v>
      </c>
      <c r="R412" s="4">
        <v>0</v>
      </c>
      <c r="S412" s="6">
        <v>0</v>
      </c>
      <c r="T412" s="6">
        <v>37</v>
      </c>
      <c r="U412" s="6">
        <v>58</v>
      </c>
      <c r="V412" s="6">
        <f>IF(ISERROR(VLOOKUP($S$412,'TAR FIN'!$A$1:$O$86,15,0)),0,VLOOKUP($S$412,'TAR FIN'!$A$1:$O$86,15,0))</f>
        <v>0</v>
      </c>
      <c r="W412" s="6">
        <f>IF(ISERROR(VLOOKUP($T$412,'TAR FIN'!$A$1:$O$86,15,0)),0,VLOOKUP($T$412,'TAR FIN'!$A$1:$O$86,15,0))</f>
        <v>243.12</v>
      </c>
      <c r="X412" s="6">
        <f>IF(ISERROR(VLOOKUP($U$412,'TAR FIN'!$A$1:$O$86,15,0)),0,VLOOKUP($U$412,'TAR FIN'!$A$1:$O$86,15,0))</f>
        <v>201.61</v>
      </c>
      <c r="Y412" s="6"/>
      <c r="Z412" s="6">
        <f ca="1">('TUSD BE'!$AM$23+'TUSD BF'!$AM$23+'TUSD CVA'!$AM$23-('TUSD BE'!$P$23+'TUSD BF'!$P$23+'TUSD CVA'!$P$23)-('TUSD BE'!$Q$23+'TUSD BF'!$Q$23+'TUSD CVA'!$Q$23)-('TUSD BE'!$R$23+'TUSD BF'!$R$23+'TUSD CVA'!$R$23))*(1-CUSTOS!$M$36)</f>
        <v>263.71248038034844</v>
      </c>
      <c r="AA412" s="6">
        <f>('TE BE'!$AB$14+'TE BF'!$AB$14+'TE CVA'!$AB$14)*(1-CUSTOS!$M$36)</f>
        <v>211.17938795773344</v>
      </c>
      <c r="AB412" s="6">
        <f>$K$412*$V$412</f>
        <v>0</v>
      </c>
      <c r="AC412" s="6">
        <f>$M$412*$W$412</f>
        <v>14.34408</v>
      </c>
      <c r="AD412" s="6">
        <f>$O$412*$X$412</f>
        <v>11.89499</v>
      </c>
      <c r="AE412" s="6">
        <f>$K$412*$Y$412</f>
        <v>0</v>
      </c>
      <c r="AF412" s="6">
        <f ca="1">$M$412*$Z$412</f>
        <v>15.559036342440557</v>
      </c>
      <c r="AG412" s="6">
        <f>$O$412*$AA$412</f>
        <v>12.459583889506272</v>
      </c>
    </row>
    <row r="413" spans="1:33" ht="11.25" customHeight="1" x14ac:dyDescent="0.25">
      <c r="A413" s="4" t="s">
        <v>21</v>
      </c>
      <c r="B413" s="4" t="s">
        <v>22</v>
      </c>
      <c r="C413" s="4" t="s">
        <v>23</v>
      </c>
      <c r="D413" s="4" t="s">
        <v>24</v>
      </c>
      <c r="E413" s="4" t="s">
        <v>31</v>
      </c>
      <c r="F413" s="4" t="s">
        <v>25</v>
      </c>
      <c r="G413" s="4" t="s">
        <v>25</v>
      </c>
      <c r="H413" s="4" t="s">
        <v>25</v>
      </c>
      <c r="I413" s="5">
        <v>44682</v>
      </c>
      <c r="J413" s="6">
        <v>0</v>
      </c>
      <c r="K413" s="6">
        <v>0</v>
      </c>
      <c r="L413" s="6">
        <v>91.027000000000001</v>
      </c>
      <c r="M413" s="6">
        <v>91.027000000000001</v>
      </c>
      <c r="N413" s="6">
        <v>91.027000000000001</v>
      </c>
      <c r="O413" s="6">
        <v>91.027000000000001</v>
      </c>
      <c r="P413" s="6">
        <v>817</v>
      </c>
      <c r="Q413" s="4" t="s">
        <v>26</v>
      </c>
      <c r="R413" s="4">
        <v>0</v>
      </c>
      <c r="S413" s="6">
        <v>0</v>
      </c>
      <c r="T413" s="6">
        <v>37</v>
      </c>
      <c r="U413" s="6">
        <v>58</v>
      </c>
      <c r="V413" s="6">
        <f>IF(ISERROR(VLOOKUP($S$413,'TAR FIN'!$A$1:$O$86,15,0)),0,VLOOKUP($S$413,'TAR FIN'!$A$1:$O$86,15,0))</f>
        <v>0</v>
      </c>
      <c r="W413" s="6">
        <f>IF(ISERROR(VLOOKUP($T$413,'TAR FIN'!$A$1:$O$86,15,0)),0,VLOOKUP($T$413,'TAR FIN'!$A$1:$O$86,15,0))</f>
        <v>243.12</v>
      </c>
      <c r="X413" s="6">
        <f>IF(ISERROR(VLOOKUP($U$413,'TAR FIN'!$A$1:$O$86,15,0)),0,VLOOKUP($U$413,'TAR FIN'!$A$1:$O$86,15,0))</f>
        <v>201.61</v>
      </c>
      <c r="Y413" s="6"/>
      <c r="Z413" s="6">
        <f ca="1">('TUSD BE'!$AM$23+'TUSD BF'!$AM$23+'TUSD CVA'!$AM$23-('TUSD BE'!$P$23+'TUSD BF'!$P$23+'TUSD CVA'!$P$23)-('TUSD BE'!$Q$23+'TUSD BF'!$Q$23+'TUSD CVA'!$Q$23)-('TUSD BE'!$R$23+'TUSD BF'!$R$23+'TUSD CVA'!$R$23))*(1-CUSTOS!$M$36)</f>
        <v>263.71248038034844</v>
      </c>
      <c r="AA413" s="6">
        <f>('TE BE'!$AB$14+'TE BF'!$AB$14+'TE CVA'!$AB$14)*(1-CUSTOS!$M$36)</f>
        <v>211.17938795773344</v>
      </c>
      <c r="AB413" s="6">
        <f>$K$413*$V$413</f>
        <v>0</v>
      </c>
      <c r="AC413" s="6">
        <f>$M$413*$W$413</f>
        <v>22130.484240000002</v>
      </c>
      <c r="AD413" s="6">
        <f>$O$413*$X$413</f>
        <v>18351.95347</v>
      </c>
      <c r="AE413" s="6">
        <f>$K$413*$Y$413</f>
        <v>0</v>
      </c>
      <c r="AF413" s="6">
        <f ca="1">$M$413*$Z$413</f>
        <v>24004.955951581978</v>
      </c>
      <c r="AG413" s="6">
        <f>$O$413*$AA$413</f>
        <v>19223.026147628603</v>
      </c>
    </row>
    <row r="414" spans="1:33" ht="11.25" customHeight="1" x14ac:dyDescent="0.25">
      <c r="A414" s="4" t="s">
        <v>21</v>
      </c>
      <c r="B414" s="4" t="s">
        <v>22</v>
      </c>
      <c r="C414" s="4" t="s">
        <v>23</v>
      </c>
      <c r="D414" s="4" t="s">
        <v>24</v>
      </c>
      <c r="E414" s="4" t="s">
        <v>31</v>
      </c>
      <c r="F414" s="4" t="s">
        <v>25</v>
      </c>
      <c r="G414" s="4" t="s">
        <v>25</v>
      </c>
      <c r="H414" s="4" t="s">
        <v>25</v>
      </c>
      <c r="I414" s="5">
        <v>44713</v>
      </c>
      <c r="J414" s="6">
        <v>0</v>
      </c>
      <c r="K414" s="6">
        <v>0</v>
      </c>
      <c r="L414" s="6">
        <v>99.652000000000001</v>
      </c>
      <c r="M414" s="6">
        <v>99.652000000000001</v>
      </c>
      <c r="N414" s="6">
        <v>99.652000000000001</v>
      </c>
      <c r="O414" s="6">
        <v>99.652000000000001</v>
      </c>
      <c r="P414" s="6">
        <v>825</v>
      </c>
      <c r="Q414" s="4" t="s">
        <v>26</v>
      </c>
      <c r="R414" s="4">
        <v>0</v>
      </c>
      <c r="S414" s="6">
        <v>0</v>
      </c>
      <c r="T414" s="6">
        <v>37</v>
      </c>
      <c r="U414" s="6">
        <v>58</v>
      </c>
      <c r="V414" s="6">
        <f>IF(ISERROR(VLOOKUP($S$414,'TAR FIN'!$A$1:$O$86,15,0)),0,VLOOKUP($S$414,'TAR FIN'!$A$1:$O$86,15,0))</f>
        <v>0</v>
      </c>
      <c r="W414" s="6">
        <f>IF(ISERROR(VLOOKUP($T$414,'TAR FIN'!$A$1:$O$86,15,0)),0,VLOOKUP($T$414,'TAR FIN'!$A$1:$O$86,15,0))</f>
        <v>243.12</v>
      </c>
      <c r="X414" s="6">
        <f>IF(ISERROR(VLOOKUP($U$414,'TAR FIN'!$A$1:$O$86,15,0)),0,VLOOKUP($U$414,'TAR FIN'!$A$1:$O$86,15,0))</f>
        <v>201.61</v>
      </c>
      <c r="Y414" s="6"/>
      <c r="Z414" s="6">
        <f ca="1">('TUSD BE'!$AM$23+'TUSD BF'!$AM$23+'TUSD CVA'!$AM$23-('TUSD BE'!$P$23+'TUSD BF'!$P$23+'TUSD CVA'!$P$23)-('TUSD BE'!$Q$23+'TUSD BF'!$Q$23+'TUSD CVA'!$Q$23)-('TUSD BE'!$R$23+'TUSD BF'!$R$23+'TUSD CVA'!$R$23))*(1-CUSTOS!$M$36)</f>
        <v>263.71248038034844</v>
      </c>
      <c r="AA414" s="6">
        <f>('TE BE'!$AB$14+'TE BF'!$AB$14+'TE CVA'!$AB$14)*(1-CUSTOS!$M$36)</f>
        <v>211.17938795773344</v>
      </c>
      <c r="AB414" s="6">
        <f>$K$414*$V$414</f>
        <v>0</v>
      </c>
      <c r="AC414" s="6">
        <f>$M$414*$W$414</f>
        <v>24227.394240000001</v>
      </c>
      <c r="AD414" s="6">
        <f>$O$414*$X$414</f>
        <v>20090.83972</v>
      </c>
      <c r="AE414" s="6">
        <f>$K$414*$Y$414</f>
        <v>0</v>
      </c>
      <c r="AF414" s="6">
        <f ca="1">$M$414*$Z$414</f>
        <v>26279.476094862483</v>
      </c>
      <c r="AG414" s="6">
        <f>$O$414*$AA$414</f>
        <v>21044.448368764053</v>
      </c>
    </row>
    <row r="415" spans="1:33" ht="11.25" customHeight="1" x14ac:dyDescent="0.25">
      <c r="A415" s="4" t="s">
        <v>55</v>
      </c>
      <c r="B415" s="4" t="s">
        <v>22</v>
      </c>
      <c r="C415" s="4" t="s">
        <v>23</v>
      </c>
      <c r="D415" s="4" t="s">
        <v>24</v>
      </c>
      <c r="E415" s="4" t="s">
        <v>31</v>
      </c>
      <c r="F415" s="4" t="s">
        <v>25</v>
      </c>
      <c r="G415" s="4" t="s">
        <v>25</v>
      </c>
      <c r="H415" s="4" t="s">
        <v>25</v>
      </c>
      <c r="I415" s="5">
        <v>44743</v>
      </c>
      <c r="J415" s="6">
        <v>0</v>
      </c>
      <c r="K415" s="6">
        <v>0</v>
      </c>
      <c r="L415" s="6">
        <v>99.652000000000001</v>
      </c>
      <c r="M415" s="6">
        <v>99.652000000000001</v>
      </c>
      <c r="N415" s="6">
        <v>99.652000000000001</v>
      </c>
      <c r="O415" s="6">
        <v>99.652000000000001</v>
      </c>
      <c r="P415" s="6">
        <v>825</v>
      </c>
      <c r="Q415" s="4" t="s">
        <v>26</v>
      </c>
      <c r="R415" s="4">
        <v>0</v>
      </c>
      <c r="S415" s="6">
        <v>0</v>
      </c>
      <c r="T415" s="6">
        <v>37</v>
      </c>
      <c r="U415" s="6">
        <v>58</v>
      </c>
      <c r="V415" s="6">
        <f>IF(ISERROR(VLOOKUP($S$415,'TAR FIN'!$A$1:$O$86,15,0)),0,VLOOKUP($S$415,'TAR FIN'!$A$1:$O$86,15,0))</f>
        <v>0</v>
      </c>
      <c r="W415" s="6">
        <f>IF(ISERROR(VLOOKUP($T$415,'TAR FIN'!$A$1:$O$86,15,0)),0,VLOOKUP($T$415,'TAR FIN'!$A$1:$O$86,15,0))</f>
        <v>243.12</v>
      </c>
      <c r="X415" s="6">
        <f>IF(ISERROR(VLOOKUP($U$415,'TAR FIN'!$A$1:$O$86,15,0)),0,VLOOKUP($U$415,'TAR FIN'!$A$1:$O$86,15,0))</f>
        <v>201.61</v>
      </c>
      <c r="Y415" s="6"/>
      <c r="Z415" s="6">
        <f ca="1">('TUSD BE'!$AM$23+'TUSD BF'!$AM$23+'TUSD CVA'!$AM$23-('TUSD BE'!$P$23+'TUSD BF'!$P$23+'TUSD CVA'!$P$23)-('TUSD BE'!$Q$23+'TUSD BF'!$Q$23+'TUSD CVA'!$Q$23)-('TUSD BE'!$R$23+'TUSD BF'!$R$23+'TUSD CVA'!$R$23))*(1-CUSTOS!$M$36)</f>
        <v>263.71248038034844</v>
      </c>
      <c r="AA415" s="6">
        <f>('TE BE'!$AB$14+'TE BF'!$AB$14+'TE CVA'!$AB$14)*(1-CUSTOS!$M$36)</f>
        <v>211.17938795773344</v>
      </c>
      <c r="AB415" s="6">
        <f>$K$415*$V$415</f>
        <v>0</v>
      </c>
      <c r="AC415" s="6">
        <f>$M$415*$W$415</f>
        <v>24227.394240000001</v>
      </c>
      <c r="AD415" s="6">
        <f>$O$415*$X$415</f>
        <v>20090.83972</v>
      </c>
      <c r="AE415" s="6">
        <f>$K$415*$Y$415</f>
        <v>0</v>
      </c>
      <c r="AF415" s="6">
        <f ca="1">$M$415*$Z$415</f>
        <v>26279.476094862483</v>
      </c>
      <c r="AG415" s="6">
        <f>$O$415*$AA$415</f>
        <v>21044.448368764053</v>
      </c>
    </row>
    <row r="416" spans="1:33" ht="11.25" customHeight="1" x14ac:dyDescent="0.25">
      <c r="A416" s="4" t="s">
        <v>21</v>
      </c>
      <c r="B416" s="4" t="s">
        <v>22</v>
      </c>
      <c r="C416" s="4" t="s">
        <v>23</v>
      </c>
      <c r="D416" s="4" t="s">
        <v>24</v>
      </c>
      <c r="E416" s="4" t="s">
        <v>32</v>
      </c>
      <c r="F416" s="4" t="s">
        <v>25</v>
      </c>
      <c r="G416" s="4" t="s">
        <v>25</v>
      </c>
      <c r="H416" s="4" t="s">
        <v>25</v>
      </c>
      <c r="I416" s="5">
        <v>44409</v>
      </c>
      <c r="J416" s="6">
        <v>0</v>
      </c>
      <c r="K416" s="6">
        <v>0</v>
      </c>
      <c r="L416" s="6">
        <v>25.678999999999998</v>
      </c>
      <c r="M416" s="6">
        <v>25.678999999999998</v>
      </c>
      <c r="N416" s="6">
        <v>25.678999999999998</v>
      </c>
      <c r="O416" s="6">
        <v>25.678999999999998</v>
      </c>
      <c r="P416" s="6">
        <v>322</v>
      </c>
      <c r="Q416" s="4" t="s">
        <v>26</v>
      </c>
      <c r="R416" s="4">
        <v>0</v>
      </c>
      <c r="S416" s="6">
        <v>0</v>
      </c>
      <c r="T416" s="6">
        <v>6</v>
      </c>
      <c r="U416" s="6">
        <v>34</v>
      </c>
      <c r="V416" s="6">
        <f>IF(ISERROR(VLOOKUP($S$416,'TAR FIN'!$A$1:$O$86,15,0)),0,VLOOKUP($S$416,'TAR FIN'!$A$1:$O$86,15,0))</f>
        <v>0</v>
      </c>
      <c r="W416" s="6">
        <f>IF(ISERROR(VLOOKUP($T$416,'TAR FIN'!$A$1:$O$86,15,0)),0,VLOOKUP($T$416,'TAR FIN'!$A$1:$O$86,15,0))</f>
        <v>270.13</v>
      </c>
      <c r="X416" s="6">
        <f>IF(ISERROR(VLOOKUP($U$416,'TAR FIN'!$A$1:$O$86,15,0)),0,VLOOKUP($U$416,'TAR FIN'!$A$1:$O$86,15,0))</f>
        <v>224.01</v>
      </c>
      <c r="Y416" s="6"/>
      <c r="Z416" s="6">
        <f ca="1">('TUSD BE'!$AM$24+'TUSD BF'!$AM$24+'TUSD CVA'!$AM$24-('TUSD BE'!$P$24+'TUSD BF'!$P$24+'TUSD CVA'!$P$24)-('TUSD BE'!$Q$24+'TUSD BF'!$Q$24+'TUSD CVA'!$Q$24)-('TUSD BE'!$R$24+'TUSD BF'!$R$24+'TUSD CVA'!$R$24))*(1-CUSTOS!$M$37)</f>
        <v>293.013867089276</v>
      </c>
      <c r="AA416" s="6">
        <f>('TE BE'!$AB$15+'TE BF'!$AB$15+'TE CVA'!$AB$15)*(1-CUSTOS!$M$37)</f>
        <v>234.64376439748159</v>
      </c>
      <c r="AB416" s="6">
        <f>$K$416*$V$416</f>
        <v>0</v>
      </c>
      <c r="AC416" s="6">
        <f>$M$416*$W$416</f>
        <v>6936.6682699999992</v>
      </c>
      <c r="AD416" s="6">
        <f>$O$416*$X$416</f>
        <v>5752.352789999999</v>
      </c>
      <c r="AE416" s="6">
        <f>$K$416*$Y$416</f>
        <v>0</v>
      </c>
      <c r="AF416" s="6">
        <f ca="1">$M$416*$Z$416</f>
        <v>7524.3030929855177</v>
      </c>
      <c r="AG416" s="6">
        <f>$O$416*$AA$416</f>
        <v>6025.4172259629295</v>
      </c>
    </row>
    <row r="417" spans="1:33" ht="11.25" customHeight="1" x14ac:dyDescent="0.25">
      <c r="A417" s="4" t="s">
        <v>27</v>
      </c>
      <c r="B417" s="4" t="s">
        <v>22</v>
      </c>
      <c r="C417" s="4" t="s">
        <v>23</v>
      </c>
      <c r="D417" s="4" t="s">
        <v>24</v>
      </c>
      <c r="E417" s="4" t="s">
        <v>32</v>
      </c>
      <c r="F417" s="4" t="s">
        <v>25</v>
      </c>
      <c r="G417" s="4" t="s">
        <v>25</v>
      </c>
      <c r="H417" s="4" t="s">
        <v>25</v>
      </c>
      <c r="I417" s="5">
        <v>44409</v>
      </c>
      <c r="J417" s="6">
        <v>0</v>
      </c>
      <c r="K417" s="6">
        <v>0</v>
      </c>
      <c r="L417" s="6">
        <v>-0.13300000000000001</v>
      </c>
      <c r="M417" s="6">
        <v>-0.13300000000000001</v>
      </c>
      <c r="N417" s="6">
        <v>-0.13300000000000001</v>
      </c>
      <c r="O417" s="6">
        <v>-0.13300000000000001</v>
      </c>
      <c r="P417" s="6">
        <v>0</v>
      </c>
      <c r="Q417" s="4" t="s">
        <v>26</v>
      </c>
      <c r="R417" s="4">
        <v>0</v>
      </c>
      <c r="S417" s="6">
        <v>0</v>
      </c>
      <c r="T417" s="6">
        <v>6</v>
      </c>
      <c r="U417" s="6">
        <v>34</v>
      </c>
      <c r="V417" s="6">
        <f>IF(ISERROR(VLOOKUP($S$417,'TAR FIN'!$A$1:$O$86,15,0)),0,VLOOKUP($S$417,'TAR FIN'!$A$1:$O$86,15,0))</f>
        <v>0</v>
      </c>
      <c r="W417" s="6">
        <f>IF(ISERROR(VLOOKUP($T$417,'TAR FIN'!$A$1:$O$86,15,0)),0,VLOOKUP($T$417,'TAR FIN'!$A$1:$O$86,15,0))</f>
        <v>270.13</v>
      </c>
      <c r="X417" s="6">
        <f>IF(ISERROR(VLOOKUP($U$417,'TAR FIN'!$A$1:$O$86,15,0)),0,VLOOKUP($U$417,'TAR FIN'!$A$1:$O$86,15,0))</f>
        <v>224.01</v>
      </c>
      <c r="Y417" s="6"/>
      <c r="Z417" s="6">
        <f ca="1">('TUSD BE'!$AM$24+'TUSD BF'!$AM$24+'TUSD CVA'!$AM$24-('TUSD BE'!$P$24+'TUSD BF'!$P$24+'TUSD CVA'!$P$24)-('TUSD BE'!$Q$24+'TUSD BF'!$Q$24+'TUSD CVA'!$Q$24)-('TUSD BE'!$R$24+'TUSD BF'!$R$24+'TUSD CVA'!$R$24))*(1-CUSTOS!$M$37)</f>
        <v>293.013867089276</v>
      </c>
      <c r="AA417" s="6">
        <f>('TE BE'!$AB$15+'TE BF'!$AB$15+'TE CVA'!$AB$15)*(1-CUSTOS!$M$37)</f>
        <v>234.64376439748159</v>
      </c>
      <c r="AB417" s="6">
        <f>$K$417*$V$417</f>
        <v>0</v>
      </c>
      <c r="AC417" s="6">
        <f>$M$417*$W$417</f>
        <v>-35.927289999999999</v>
      </c>
      <c r="AD417" s="6">
        <f>$O$417*$X$417</f>
        <v>-29.793330000000001</v>
      </c>
      <c r="AE417" s="6">
        <f>$K$417*$Y$417</f>
        <v>0</v>
      </c>
      <c r="AF417" s="6">
        <f ca="1">$M$417*$Z$417</f>
        <v>-38.97084432287371</v>
      </c>
      <c r="AG417" s="6">
        <f>$O$417*$AA$417</f>
        <v>-31.207620664865054</v>
      </c>
    </row>
    <row r="418" spans="1:33" ht="11.25" customHeight="1" x14ac:dyDescent="0.25">
      <c r="A418" s="4" t="s">
        <v>21</v>
      </c>
      <c r="B418" s="4" t="s">
        <v>22</v>
      </c>
      <c r="C418" s="4" t="s">
        <v>23</v>
      </c>
      <c r="D418" s="4" t="s">
        <v>24</v>
      </c>
      <c r="E418" s="4" t="s">
        <v>32</v>
      </c>
      <c r="F418" s="4" t="s">
        <v>25</v>
      </c>
      <c r="G418" s="4" t="s">
        <v>25</v>
      </c>
      <c r="H418" s="4" t="s">
        <v>25</v>
      </c>
      <c r="I418" s="5">
        <v>44440</v>
      </c>
      <c r="J418" s="6">
        <v>0</v>
      </c>
      <c r="K418" s="6">
        <v>0</v>
      </c>
      <c r="L418" s="6">
        <v>33.174999999999997</v>
      </c>
      <c r="M418" s="6">
        <v>33.174999999999997</v>
      </c>
      <c r="N418" s="6">
        <v>33.174999999999997</v>
      </c>
      <c r="O418" s="6">
        <v>33.174999999999997</v>
      </c>
      <c r="P418" s="6">
        <v>390</v>
      </c>
      <c r="Q418" s="4" t="s">
        <v>26</v>
      </c>
      <c r="R418" s="4">
        <v>0</v>
      </c>
      <c r="S418" s="6">
        <v>0</v>
      </c>
      <c r="T418" s="6">
        <v>6</v>
      </c>
      <c r="U418" s="6">
        <v>34</v>
      </c>
      <c r="V418" s="6">
        <f>IF(ISERROR(VLOOKUP($S$418,'TAR FIN'!$A$1:$O$86,15,0)),0,VLOOKUP($S$418,'TAR FIN'!$A$1:$O$86,15,0))</f>
        <v>0</v>
      </c>
      <c r="W418" s="6">
        <f>IF(ISERROR(VLOOKUP($T$418,'TAR FIN'!$A$1:$O$86,15,0)),0,VLOOKUP($T$418,'TAR FIN'!$A$1:$O$86,15,0))</f>
        <v>270.13</v>
      </c>
      <c r="X418" s="6">
        <f>IF(ISERROR(VLOOKUP($U$418,'TAR FIN'!$A$1:$O$86,15,0)),0,VLOOKUP($U$418,'TAR FIN'!$A$1:$O$86,15,0))</f>
        <v>224.01</v>
      </c>
      <c r="Y418" s="6"/>
      <c r="Z418" s="6">
        <f ca="1">('TUSD BE'!$AM$24+'TUSD BF'!$AM$24+'TUSD CVA'!$AM$24-('TUSD BE'!$P$24+'TUSD BF'!$P$24+'TUSD CVA'!$P$24)-('TUSD BE'!$Q$24+'TUSD BF'!$Q$24+'TUSD CVA'!$Q$24)-('TUSD BE'!$R$24+'TUSD BF'!$R$24+'TUSD CVA'!$R$24))*(1-CUSTOS!$M$37)</f>
        <v>293.013867089276</v>
      </c>
      <c r="AA418" s="6">
        <f>('TE BE'!$AB$15+'TE BF'!$AB$15+'TE CVA'!$AB$15)*(1-CUSTOS!$M$37)</f>
        <v>234.64376439748159</v>
      </c>
      <c r="AB418" s="6">
        <f>$K$418*$V$418</f>
        <v>0</v>
      </c>
      <c r="AC418" s="6">
        <f>$M$418*$W$418</f>
        <v>8961.5627499999991</v>
      </c>
      <c r="AD418" s="6">
        <f>$O$418*$X$418</f>
        <v>7431.5317499999992</v>
      </c>
      <c r="AE418" s="6">
        <f>$K$418*$Y$418</f>
        <v>0</v>
      </c>
      <c r="AF418" s="6">
        <f ca="1">$M$418*$Z$418</f>
        <v>9720.7350406867299</v>
      </c>
      <c r="AG418" s="6">
        <f>$O$418*$AA$418</f>
        <v>7784.306883886451</v>
      </c>
    </row>
    <row r="419" spans="1:33" ht="11.25" customHeight="1" x14ac:dyDescent="0.25">
      <c r="A419" s="4" t="s">
        <v>27</v>
      </c>
      <c r="B419" s="4" t="s">
        <v>22</v>
      </c>
      <c r="C419" s="4" t="s">
        <v>23</v>
      </c>
      <c r="D419" s="4" t="s">
        <v>24</v>
      </c>
      <c r="E419" s="4" t="s">
        <v>32</v>
      </c>
      <c r="F419" s="4" t="s">
        <v>25</v>
      </c>
      <c r="G419" s="4" t="s">
        <v>25</v>
      </c>
      <c r="H419" s="4" t="s">
        <v>25</v>
      </c>
      <c r="I419" s="5">
        <v>44440</v>
      </c>
      <c r="J419" s="6">
        <v>0</v>
      </c>
      <c r="K419" s="6">
        <v>0</v>
      </c>
      <c r="L419" s="6">
        <v>-0.115</v>
      </c>
      <c r="M419" s="6">
        <v>-0.115</v>
      </c>
      <c r="N419" s="6">
        <v>-0.115</v>
      </c>
      <c r="O419" s="6">
        <v>-0.115</v>
      </c>
      <c r="P419" s="6">
        <v>0</v>
      </c>
      <c r="Q419" s="4" t="s">
        <v>26</v>
      </c>
      <c r="R419" s="4">
        <v>0</v>
      </c>
      <c r="S419" s="6">
        <v>0</v>
      </c>
      <c r="T419" s="6">
        <v>6</v>
      </c>
      <c r="U419" s="6">
        <v>34</v>
      </c>
      <c r="V419" s="6">
        <f>IF(ISERROR(VLOOKUP($S$419,'TAR FIN'!$A$1:$O$86,15,0)),0,VLOOKUP($S$419,'TAR FIN'!$A$1:$O$86,15,0))</f>
        <v>0</v>
      </c>
      <c r="W419" s="6">
        <f>IF(ISERROR(VLOOKUP($T$419,'TAR FIN'!$A$1:$O$86,15,0)),0,VLOOKUP($T$419,'TAR FIN'!$A$1:$O$86,15,0))</f>
        <v>270.13</v>
      </c>
      <c r="X419" s="6">
        <f>IF(ISERROR(VLOOKUP($U$419,'TAR FIN'!$A$1:$O$86,15,0)),0,VLOOKUP($U$419,'TAR FIN'!$A$1:$O$86,15,0))</f>
        <v>224.01</v>
      </c>
      <c r="Y419" s="6"/>
      <c r="Z419" s="6">
        <f ca="1">('TUSD BE'!$AM$24+'TUSD BF'!$AM$24+'TUSD CVA'!$AM$24-('TUSD BE'!$P$24+'TUSD BF'!$P$24+'TUSD CVA'!$P$24)-('TUSD BE'!$Q$24+'TUSD BF'!$Q$24+'TUSD CVA'!$Q$24)-('TUSD BE'!$R$24+'TUSD BF'!$R$24+'TUSD CVA'!$R$24))*(1-CUSTOS!$M$37)</f>
        <v>293.013867089276</v>
      </c>
      <c r="AA419" s="6">
        <f>('TE BE'!$AB$15+'TE BF'!$AB$15+'TE CVA'!$AB$15)*(1-CUSTOS!$M$37)</f>
        <v>234.64376439748159</v>
      </c>
      <c r="AB419" s="6">
        <f>$K$419*$V$419</f>
        <v>0</v>
      </c>
      <c r="AC419" s="6">
        <f>$M$419*$W$419</f>
        <v>-31.06495</v>
      </c>
      <c r="AD419" s="6">
        <f>$O$419*$X$419</f>
        <v>-25.761150000000001</v>
      </c>
      <c r="AE419" s="6">
        <f>$K$419*$Y$419</f>
        <v>0</v>
      </c>
      <c r="AF419" s="6">
        <f ca="1">$M$419*$Z$419</f>
        <v>-33.696594715266741</v>
      </c>
      <c r="AG419" s="6">
        <f>$O$419*$AA$419</f>
        <v>-26.984032905710382</v>
      </c>
    </row>
    <row r="420" spans="1:33" ht="11.25" customHeight="1" x14ac:dyDescent="0.25">
      <c r="A420" s="4" t="s">
        <v>21</v>
      </c>
      <c r="B420" s="4" t="s">
        <v>22</v>
      </c>
      <c r="C420" s="4" t="s">
        <v>23</v>
      </c>
      <c r="D420" s="4" t="s">
        <v>24</v>
      </c>
      <c r="E420" s="4" t="s">
        <v>32</v>
      </c>
      <c r="F420" s="4" t="s">
        <v>25</v>
      </c>
      <c r="G420" s="4" t="s">
        <v>25</v>
      </c>
      <c r="H420" s="4" t="s">
        <v>25</v>
      </c>
      <c r="I420" s="5">
        <v>44470</v>
      </c>
      <c r="J420" s="6">
        <v>0</v>
      </c>
      <c r="K420" s="6">
        <v>0</v>
      </c>
      <c r="L420" s="6">
        <v>25.416</v>
      </c>
      <c r="M420" s="6">
        <v>25.416</v>
      </c>
      <c r="N420" s="6">
        <v>25.416</v>
      </c>
      <c r="O420" s="6">
        <v>25.416</v>
      </c>
      <c r="P420" s="6">
        <v>317</v>
      </c>
      <c r="Q420" s="4" t="s">
        <v>26</v>
      </c>
      <c r="R420" s="4">
        <v>0</v>
      </c>
      <c r="S420" s="6">
        <v>0</v>
      </c>
      <c r="T420" s="6">
        <v>6</v>
      </c>
      <c r="U420" s="6">
        <v>34</v>
      </c>
      <c r="V420" s="6">
        <f>IF(ISERROR(VLOOKUP($S$420,'TAR FIN'!$A$1:$O$86,15,0)),0,VLOOKUP($S$420,'TAR FIN'!$A$1:$O$86,15,0))</f>
        <v>0</v>
      </c>
      <c r="W420" s="6">
        <f>IF(ISERROR(VLOOKUP($T$420,'TAR FIN'!$A$1:$O$86,15,0)),0,VLOOKUP($T$420,'TAR FIN'!$A$1:$O$86,15,0))</f>
        <v>270.13</v>
      </c>
      <c r="X420" s="6">
        <f>IF(ISERROR(VLOOKUP($U$420,'TAR FIN'!$A$1:$O$86,15,0)),0,VLOOKUP($U$420,'TAR FIN'!$A$1:$O$86,15,0))</f>
        <v>224.01</v>
      </c>
      <c r="Y420" s="6"/>
      <c r="Z420" s="6">
        <f ca="1">('TUSD BE'!$AM$24+'TUSD BF'!$AM$24+'TUSD CVA'!$AM$24-('TUSD BE'!$P$24+'TUSD BF'!$P$24+'TUSD CVA'!$P$24)-('TUSD BE'!$Q$24+'TUSD BF'!$Q$24+'TUSD CVA'!$Q$24)-('TUSD BE'!$R$24+'TUSD BF'!$R$24+'TUSD CVA'!$R$24))*(1-CUSTOS!$M$37)</f>
        <v>293.013867089276</v>
      </c>
      <c r="AA420" s="6">
        <f>('TE BE'!$AB$15+'TE BF'!$AB$15+'TE CVA'!$AB$15)*(1-CUSTOS!$M$37)</f>
        <v>234.64376439748159</v>
      </c>
      <c r="AB420" s="6">
        <f>$K$420*$V$420</f>
        <v>0</v>
      </c>
      <c r="AC420" s="6">
        <f>$M$420*$W$420</f>
        <v>6865.6240799999996</v>
      </c>
      <c r="AD420" s="6">
        <f>$O$420*$X$420</f>
        <v>5693.4381599999997</v>
      </c>
      <c r="AE420" s="6">
        <f>$K$420*$Y$420</f>
        <v>0</v>
      </c>
      <c r="AF420" s="6">
        <f ca="1">$M$420*$Z$420</f>
        <v>7447.2404459410391</v>
      </c>
      <c r="AG420" s="6">
        <f>$O$420*$AA$420</f>
        <v>5963.7059159263918</v>
      </c>
    </row>
    <row r="421" spans="1:33" ht="11.25" customHeight="1" x14ac:dyDescent="0.25">
      <c r="A421" s="4" t="s">
        <v>27</v>
      </c>
      <c r="B421" s="4" t="s">
        <v>22</v>
      </c>
      <c r="C421" s="4" t="s">
        <v>23</v>
      </c>
      <c r="D421" s="4" t="s">
        <v>24</v>
      </c>
      <c r="E421" s="4" t="s">
        <v>32</v>
      </c>
      <c r="F421" s="4" t="s">
        <v>25</v>
      </c>
      <c r="G421" s="4" t="s">
        <v>25</v>
      </c>
      <c r="H421" s="4" t="s">
        <v>25</v>
      </c>
      <c r="I421" s="5">
        <v>44470</v>
      </c>
      <c r="J421" s="6">
        <v>0</v>
      </c>
      <c r="K421" s="6">
        <v>0</v>
      </c>
      <c r="L421" s="6">
        <v>-0.16500000000000001</v>
      </c>
      <c r="M421" s="6">
        <v>-0.16500000000000001</v>
      </c>
      <c r="N421" s="6">
        <v>-0.16500000000000001</v>
      </c>
      <c r="O421" s="6">
        <v>-0.16500000000000001</v>
      </c>
      <c r="P421" s="6">
        <v>0</v>
      </c>
      <c r="Q421" s="4" t="s">
        <v>26</v>
      </c>
      <c r="R421" s="4">
        <v>0</v>
      </c>
      <c r="S421" s="6">
        <v>0</v>
      </c>
      <c r="T421" s="6">
        <v>6</v>
      </c>
      <c r="U421" s="6">
        <v>34</v>
      </c>
      <c r="V421" s="6">
        <f>IF(ISERROR(VLOOKUP($S$421,'TAR FIN'!$A$1:$O$86,15,0)),0,VLOOKUP($S$421,'TAR FIN'!$A$1:$O$86,15,0))</f>
        <v>0</v>
      </c>
      <c r="W421" s="6">
        <f>IF(ISERROR(VLOOKUP($T$421,'TAR FIN'!$A$1:$O$86,15,0)),0,VLOOKUP($T$421,'TAR FIN'!$A$1:$O$86,15,0))</f>
        <v>270.13</v>
      </c>
      <c r="X421" s="6">
        <f>IF(ISERROR(VLOOKUP($U$421,'TAR FIN'!$A$1:$O$86,15,0)),0,VLOOKUP($U$421,'TAR FIN'!$A$1:$O$86,15,0))</f>
        <v>224.01</v>
      </c>
      <c r="Y421" s="6"/>
      <c r="Z421" s="6">
        <f ca="1">('TUSD BE'!$AM$24+'TUSD BF'!$AM$24+'TUSD CVA'!$AM$24-('TUSD BE'!$P$24+'TUSD BF'!$P$24+'TUSD CVA'!$P$24)-('TUSD BE'!$Q$24+'TUSD BF'!$Q$24+'TUSD CVA'!$Q$24)-('TUSD BE'!$R$24+'TUSD BF'!$R$24+'TUSD CVA'!$R$24))*(1-CUSTOS!$M$37)</f>
        <v>293.013867089276</v>
      </c>
      <c r="AA421" s="6">
        <f>('TE BE'!$AB$15+'TE BF'!$AB$15+'TE CVA'!$AB$15)*(1-CUSTOS!$M$37)</f>
        <v>234.64376439748159</v>
      </c>
      <c r="AB421" s="6">
        <f>$K$421*$V$421</f>
        <v>0</v>
      </c>
      <c r="AC421" s="6">
        <f>$M$421*$W$421</f>
        <v>-44.571449999999999</v>
      </c>
      <c r="AD421" s="6">
        <f>$O$421*$X$421</f>
        <v>-36.961649999999999</v>
      </c>
      <c r="AE421" s="6">
        <f>$K$421*$Y$421</f>
        <v>0</v>
      </c>
      <c r="AF421" s="6">
        <f ca="1">$M$421*$Z$421</f>
        <v>-48.347288069730546</v>
      </c>
      <c r="AG421" s="6">
        <f>$O$421*$AA$421</f>
        <v>-38.716221125584461</v>
      </c>
    </row>
    <row r="422" spans="1:33" ht="11.25" customHeight="1" x14ac:dyDescent="0.25">
      <c r="A422" s="4" t="s">
        <v>21</v>
      </c>
      <c r="B422" s="4" t="s">
        <v>22</v>
      </c>
      <c r="C422" s="4" t="s">
        <v>23</v>
      </c>
      <c r="D422" s="4" t="s">
        <v>24</v>
      </c>
      <c r="E422" s="4" t="s">
        <v>32</v>
      </c>
      <c r="F422" s="4" t="s">
        <v>25</v>
      </c>
      <c r="G422" s="4" t="s">
        <v>25</v>
      </c>
      <c r="H422" s="4" t="s">
        <v>25</v>
      </c>
      <c r="I422" s="5">
        <v>44501</v>
      </c>
      <c r="J422" s="6">
        <v>0</v>
      </c>
      <c r="K422" s="6">
        <v>0</v>
      </c>
      <c r="L422" s="6">
        <v>25.062000000000001</v>
      </c>
      <c r="M422" s="6">
        <v>25.062000000000001</v>
      </c>
      <c r="N422" s="6">
        <v>25.062000000000001</v>
      </c>
      <c r="O422" s="6">
        <v>25.062000000000001</v>
      </c>
      <c r="P422" s="6">
        <v>349</v>
      </c>
      <c r="Q422" s="4" t="s">
        <v>26</v>
      </c>
      <c r="R422" s="4">
        <v>0</v>
      </c>
      <c r="S422" s="6">
        <v>0</v>
      </c>
      <c r="T422" s="6">
        <v>6</v>
      </c>
      <c r="U422" s="6">
        <v>34</v>
      </c>
      <c r="V422" s="6">
        <f>IF(ISERROR(VLOOKUP($S$422,'TAR FIN'!$A$1:$O$86,15,0)),0,VLOOKUP($S$422,'TAR FIN'!$A$1:$O$86,15,0))</f>
        <v>0</v>
      </c>
      <c r="W422" s="6">
        <f>IF(ISERROR(VLOOKUP($T$422,'TAR FIN'!$A$1:$O$86,15,0)),0,VLOOKUP($T$422,'TAR FIN'!$A$1:$O$86,15,0))</f>
        <v>270.13</v>
      </c>
      <c r="X422" s="6">
        <f>IF(ISERROR(VLOOKUP($U$422,'TAR FIN'!$A$1:$O$86,15,0)),0,VLOOKUP($U$422,'TAR FIN'!$A$1:$O$86,15,0))</f>
        <v>224.01</v>
      </c>
      <c r="Y422" s="6"/>
      <c r="Z422" s="6">
        <f ca="1">('TUSD BE'!$AM$24+'TUSD BF'!$AM$24+'TUSD CVA'!$AM$24-('TUSD BE'!$P$24+'TUSD BF'!$P$24+'TUSD CVA'!$P$24)-('TUSD BE'!$Q$24+'TUSD BF'!$Q$24+'TUSD CVA'!$Q$24)-('TUSD BE'!$R$24+'TUSD BF'!$R$24+'TUSD CVA'!$R$24))*(1-CUSTOS!$M$37)</f>
        <v>293.013867089276</v>
      </c>
      <c r="AA422" s="6">
        <f>('TE BE'!$AB$15+'TE BF'!$AB$15+'TE CVA'!$AB$15)*(1-CUSTOS!$M$37)</f>
        <v>234.64376439748159</v>
      </c>
      <c r="AB422" s="6">
        <f>$K$422*$V$422</f>
        <v>0</v>
      </c>
      <c r="AC422" s="6">
        <f>$M$422*$W$422</f>
        <v>6769.9980599999999</v>
      </c>
      <c r="AD422" s="6">
        <f>$O$422*$X$422</f>
        <v>5614.1386199999997</v>
      </c>
      <c r="AE422" s="6">
        <f>$K$422*$Y$422</f>
        <v>0</v>
      </c>
      <c r="AF422" s="6">
        <f ca="1">$M$422*$Z$422</f>
        <v>7343.513536991436</v>
      </c>
      <c r="AG422" s="6">
        <f>$O$422*$AA$422</f>
        <v>5880.642023329684</v>
      </c>
    </row>
    <row r="423" spans="1:33" ht="11.25" customHeight="1" x14ac:dyDescent="0.25">
      <c r="A423" s="4" t="s">
        <v>27</v>
      </c>
      <c r="B423" s="4" t="s">
        <v>22</v>
      </c>
      <c r="C423" s="4" t="s">
        <v>23</v>
      </c>
      <c r="D423" s="4" t="s">
        <v>24</v>
      </c>
      <c r="E423" s="4" t="s">
        <v>32</v>
      </c>
      <c r="F423" s="4" t="s">
        <v>25</v>
      </c>
      <c r="G423" s="4" t="s">
        <v>25</v>
      </c>
      <c r="H423" s="4" t="s">
        <v>25</v>
      </c>
      <c r="I423" s="5">
        <v>44501</v>
      </c>
      <c r="J423" s="6">
        <v>0</v>
      </c>
      <c r="K423" s="6">
        <v>0</v>
      </c>
      <c r="L423" s="6">
        <v>-8.8999999999999996E-2</v>
      </c>
      <c r="M423" s="6">
        <v>-8.8999999999999996E-2</v>
      </c>
      <c r="N423" s="6">
        <v>-8.8999999999999996E-2</v>
      </c>
      <c r="O423" s="6">
        <v>-8.8999999999999996E-2</v>
      </c>
      <c r="P423" s="6">
        <v>0</v>
      </c>
      <c r="Q423" s="4" t="s">
        <v>26</v>
      </c>
      <c r="R423" s="4">
        <v>0</v>
      </c>
      <c r="S423" s="6">
        <v>0</v>
      </c>
      <c r="T423" s="6">
        <v>6</v>
      </c>
      <c r="U423" s="6">
        <v>34</v>
      </c>
      <c r="V423" s="6">
        <f>IF(ISERROR(VLOOKUP($S$423,'TAR FIN'!$A$1:$O$86,15,0)),0,VLOOKUP($S$423,'TAR FIN'!$A$1:$O$86,15,0))</f>
        <v>0</v>
      </c>
      <c r="W423" s="6">
        <f>IF(ISERROR(VLOOKUP($T$423,'TAR FIN'!$A$1:$O$86,15,0)),0,VLOOKUP($T$423,'TAR FIN'!$A$1:$O$86,15,0))</f>
        <v>270.13</v>
      </c>
      <c r="X423" s="6">
        <f>IF(ISERROR(VLOOKUP($U$423,'TAR FIN'!$A$1:$O$86,15,0)),0,VLOOKUP($U$423,'TAR FIN'!$A$1:$O$86,15,0))</f>
        <v>224.01</v>
      </c>
      <c r="Y423" s="6"/>
      <c r="Z423" s="6">
        <f ca="1">('TUSD BE'!$AM$24+'TUSD BF'!$AM$24+'TUSD CVA'!$AM$24-('TUSD BE'!$P$24+'TUSD BF'!$P$24+'TUSD CVA'!$P$24)-('TUSD BE'!$Q$24+'TUSD BF'!$Q$24+'TUSD CVA'!$Q$24)-('TUSD BE'!$R$24+'TUSD BF'!$R$24+'TUSD CVA'!$R$24))*(1-CUSTOS!$M$37)</f>
        <v>293.013867089276</v>
      </c>
      <c r="AA423" s="6">
        <f>('TE BE'!$AB$15+'TE BF'!$AB$15+'TE CVA'!$AB$15)*(1-CUSTOS!$M$37)</f>
        <v>234.64376439748159</v>
      </c>
      <c r="AB423" s="6">
        <f>$K$423*$V$423</f>
        <v>0</v>
      </c>
      <c r="AC423" s="6">
        <f>$M$423*$W$423</f>
        <v>-24.04157</v>
      </c>
      <c r="AD423" s="6">
        <f>$O$423*$X$423</f>
        <v>-19.936889999999998</v>
      </c>
      <c r="AE423" s="6">
        <f>$K$423*$Y$423</f>
        <v>0</v>
      </c>
      <c r="AF423" s="6">
        <f ca="1">$M$423*$Z$423</f>
        <v>-26.078234170945564</v>
      </c>
      <c r="AG423" s="6">
        <f>$O$423*$AA$423</f>
        <v>-20.883295031375859</v>
      </c>
    </row>
    <row r="424" spans="1:33" ht="11.25" customHeight="1" x14ac:dyDescent="0.25">
      <c r="A424" s="4" t="s">
        <v>21</v>
      </c>
      <c r="B424" s="4" t="s">
        <v>22</v>
      </c>
      <c r="C424" s="4" t="s">
        <v>23</v>
      </c>
      <c r="D424" s="4" t="s">
        <v>24</v>
      </c>
      <c r="E424" s="4" t="s">
        <v>32</v>
      </c>
      <c r="F424" s="4" t="s">
        <v>25</v>
      </c>
      <c r="G424" s="4" t="s">
        <v>25</v>
      </c>
      <c r="H424" s="4" t="s">
        <v>25</v>
      </c>
      <c r="I424" s="5">
        <v>44531</v>
      </c>
      <c r="J424" s="6">
        <v>0</v>
      </c>
      <c r="K424" s="6">
        <v>0</v>
      </c>
      <c r="L424" s="6">
        <v>24.013999999999999</v>
      </c>
      <c r="M424" s="6">
        <v>24.013999999999999</v>
      </c>
      <c r="N424" s="6">
        <v>24.013999999999999</v>
      </c>
      <c r="O424" s="6">
        <v>24.013999999999999</v>
      </c>
      <c r="P424" s="6">
        <v>339</v>
      </c>
      <c r="Q424" s="4" t="s">
        <v>26</v>
      </c>
      <c r="R424" s="4">
        <v>0</v>
      </c>
      <c r="S424" s="6">
        <v>0</v>
      </c>
      <c r="T424" s="6">
        <v>6</v>
      </c>
      <c r="U424" s="6">
        <v>34</v>
      </c>
      <c r="V424" s="6">
        <f>IF(ISERROR(VLOOKUP($S$424,'TAR FIN'!$A$1:$O$86,15,0)),0,VLOOKUP($S$424,'TAR FIN'!$A$1:$O$86,15,0))</f>
        <v>0</v>
      </c>
      <c r="W424" s="6">
        <f>IF(ISERROR(VLOOKUP($T$424,'TAR FIN'!$A$1:$O$86,15,0)),0,VLOOKUP($T$424,'TAR FIN'!$A$1:$O$86,15,0))</f>
        <v>270.13</v>
      </c>
      <c r="X424" s="6">
        <f>IF(ISERROR(VLOOKUP($U$424,'TAR FIN'!$A$1:$O$86,15,0)),0,VLOOKUP($U$424,'TAR FIN'!$A$1:$O$86,15,0))</f>
        <v>224.01</v>
      </c>
      <c r="Y424" s="6"/>
      <c r="Z424" s="6">
        <f ca="1">('TUSD BE'!$AM$24+'TUSD BF'!$AM$24+'TUSD CVA'!$AM$24-('TUSD BE'!$P$24+'TUSD BF'!$P$24+'TUSD CVA'!$P$24)-('TUSD BE'!$Q$24+'TUSD BF'!$Q$24+'TUSD CVA'!$Q$24)-('TUSD BE'!$R$24+'TUSD BF'!$R$24+'TUSD CVA'!$R$24))*(1-CUSTOS!$M$37)</f>
        <v>293.013867089276</v>
      </c>
      <c r="AA424" s="6">
        <f>('TE BE'!$AB$15+'TE BF'!$AB$15+'TE CVA'!$AB$15)*(1-CUSTOS!$M$37)</f>
        <v>234.64376439748159</v>
      </c>
      <c r="AB424" s="6">
        <f>$K$424*$V$424</f>
        <v>0</v>
      </c>
      <c r="AC424" s="6">
        <f>$M$424*$W$424</f>
        <v>6486.90182</v>
      </c>
      <c r="AD424" s="6">
        <f>$O$424*$X$424</f>
        <v>5379.3761399999994</v>
      </c>
      <c r="AE424" s="6">
        <f>$K$424*$Y$424</f>
        <v>0</v>
      </c>
      <c r="AF424" s="6">
        <f ca="1">$M$424*$Z$424</f>
        <v>7036.4350042818742</v>
      </c>
      <c r="AG424" s="6">
        <f>$O$424*$AA$424</f>
        <v>5634.7353582411224</v>
      </c>
    </row>
    <row r="425" spans="1:33" ht="11.25" customHeight="1" x14ac:dyDescent="0.25">
      <c r="A425" s="4" t="s">
        <v>27</v>
      </c>
      <c r="B425" s="4" t="s">
        <v>22</v>
      </c>
      <c r="C425" s="4" t="s">
        <v>23</v>
      </c>
      <c r="D425" s="4" t="s">
        <v>24</v>
      </c>
      <c r="E425" s="4" t="s">
        <v>32</v>
      </c>
      <c r="F425" s="4" t="s">
        <v>25</v>
      </c>
      <c r="G425" s="4" t="s">
        <v>25</v>
      </c>
      <c r="H425" s="4" t="s">
        <v>25</v>
      </c>
      <c r="I425" s="5">
        <v>44531</v>
      </c>
      <c r="J425" s="6">
        <v>0</v>
      </c>
      <c r="K425" s="6">
        <v>0</v>
      </c>
      <c r="L425" s="6">
        <v>-2.3E-2</v>
      </c>
      <c r="M425" s="6">
        <v>-2.3E-2</v>
      </c>
      <c r="N425" s="6">
        <v>-2.3E-2</v>
      </c>
      <c r="O425" s="6">
        <v>-2.3E-2</v>
      </c>
      <c r="P425" s="6">
        <v>0</v>
      </c>
      <c r="Q425" s="4" t="s">
        <v>26</v>
      </c>
      <c r="R425" s="4">
        <v>0</v>
      </c>
      <c r="S425" s="6">
        <v>0</v>
      </c>
      <c r="T425" s="6">
        <v>6</v>
      </c>
      <c r="U425" s="6">
        <v>34</v>
      </c>
      <c r="V425" s="6">
        <f>IF(ISERROR(VLOOKUP($S$425,'TAR FIN'!$A$1:$O$86,15,0)),0,VLOOKUP($S$425,'TAR FIN'!$A$1:$O$86,15,0))</f>
        <v>0</v>
      </c>
      <c r="W425" s="6">
        <f>IF(ISERROR(VLOOKUP($T$425,'TAR FIN'!$A$1:$O$86,15,0)),0,VLOOKUP($T$425,'TAR FIN'!$A$1:$O$86,15,0))</f>
        <v>270.13</v>
      </c>
      <c r="X425" s="6">
        <f>IF(ISERROR(VLOOKUP($U$425,'TAR FIN'!$A$1:$O$86,15,0)),0,VLOOKUP($U$425,'TAR FIN'!$A$1:$O$86,15,0))</f>
        <v>224.01</v>
      </c>
      <c r="Y425" s="6"/>
      <c r="Z425" s="6">
        <f ca="1">('TUSD BE'!$AM$24+'TUSD BF'!$AM$24+'TUSD CVA'!$AM$24-('TUSD BE'!$P$24+'TUSD BF'!$P$24+'TUSD CVA'!$P$24)-('TUSD BE'!$Q$24+'TUSD BF'!$Q$24+'TUSD CVA'!$Q$24)-('TUSD BE'!$R$24+'TUSD BF'!$R$24+'TUSD CVA'!$R$24))*(1-CUSTOS!$M$37)</f>
        <v>293.013867089276</v>
      </c>
      <c r="AA425" s="6">
        <f>('TE BE'!$AB$15+'TE BF'!$AB$15+'TE CVA'!$AB$15)*(1-CUSTOS!$M$37)</f>
        <v>234.64376439748159</v>
      </c>
      <c r="AB425" s="6">
        <f>$K$425*$V$425</f>
        <v>0</v>
      </c>
      <c r="AC425" s="6">
        <f>$M$425*$W$425</f>
        <v>-6.2129899999999996</v>
      </c>
      <c r="AD425" s="6">
        <f>$O$425*$X$425</f>
        <v>-5.1522299999999994</v>
      </c>
      <c r="AE425" s="6">
        <f>$K$425*$Y$425</f>
        <v>0</v>
      </c>
      <c r="AF425" s="6">
        <f ca="1">$M$425*$Z$425</f>
        <v>-6.7393189430533482</v>
      </c>
      <c r="AG425" s="6">
        <f>$O$425*$AA$425</f>
        <v>-5.3968065811420765</v>
      </c>
    </row>
    <row r="426" spans="1:33" ht="11.25" customHeight="1" x14ac:dyDescent="0.25">
      <c r="A426" s="4" t="s">
        <v>21</v>
      </c>
      <c r="B426" s="4" t="s">
        <v>22</v>
      </c>
      <c r="C426" s="4" t="s">
        <v>23</v>
      </c>
      <c r="D426" s="4" t="s">
        <v>24</v>
      </c>
      <c r="E426" s="4" t="s">
        <v>32</v>
      </c>
      <c r="F426" s="4" t="s">
        <v>25</v>
      </c>
      <c r="G426" s="4" t="s">
        <v>25</v>
      </c>
      <c r="H426" s="4" t="s">
        <v>25</v>
      </c>
      <c r="I426" s="5">
        <v>44562</v>
      </c>
      <c r="J426" s="6">
        <v>0</v>
      </c>
      <c r="K426" s="6">
        <v>0</v>
      </c>
      <c r="L426" s="6">
        <v>54.155000000000001</v>
      </c>
      <c r="M426" s="6">
        <v>54.155000000000001</v>
      </c>
      <c r="N426" s="6">
        <v>54.155000000000001</v>
      </c>
      <c r="O426" s="6">
        <v>54.155000000000001</v>
      </c>
      <c r="P426" s="6">
        <v>552</v>
      </c>
      <c r="Q426" s="4" t="s">
        <v>26</v>
      </c>
      <c r="R426" s="4">
        <v>0</v>
      </c>
      <c r="S426" s="6">
        <v>0</v>
      </c>
      <c r="T426" s="6">
        <v>6</v>
      </c>
      <c r="U426" s="6">
        <v>34</v>
      </c>
      <c r="V426" s="6">
        <f>IF(ISERROR(VLOOKUP($S$426,'TAR FIN'!$A$1:$O$86,15,0)),0,VLOOKUP($S$426,'TAR FIN'!$A$1:$O$86,15,0))</f>
        <v>0</v>
      </c>
      <c r="W426" s="6">
        <f>IF(ISERROR(VLOOKUP($T$426,'TAR FIN'!$A$1:$O$86,15,0)),0,VLOOKUP($T$426,'TAR FIN'!$A$1:$O$86,15,0))</f>
        <v>270.13</v>
      </c>
      <c r="X426" s="6">
        <f>IF(ISERROR(VLOOKUP($U$426,'TAR FIN'!$A$1:$O$86,15,0)),0,VLOOKUP($U$426,'TAR FIN'!$A$1:$O$86,15,0))</f>
        <v>224.01</v>
      </c>
      <c r="Y426" s="6"/>
      <c r="Z426" s="6">
        <f ca="1">('TUSD BE'!$AM$24+'TUSD BF'!$AM$24+'TUSD CVA'!$AM$24-('TUSD BE'!$P$24+'TUSD BF'!$P$24+'TUSD CVA'!$P$24)-('TUSD BE'!$Q$24+'TUSD BF'!$Q$24+'TUSD CVA'!$Q$24)-('TUSD BE'!$R$24+'TUSD BF'!$R$24+'TUSD CVA'!$R$24))*(1-CUSTOS!$M$37)</f>
        <v>293.013867089276</v>
      </c>
      <c r="AA426" s="6">
        <f>('TE BE'!$AB$15+'TE BF'!$AB$15+'TE CVA'!$AB$15)*(1-CUSTOS!$M$37)</f>
        <v>234.64376439748159</v>
      </c>
      <c r="AB426" s="6">
        <f>$K$426*$V$426</f>
        <v>0</v>
      </c>
      <c r="AC426" s="6">
        <f>$M$426*$W$426</f>
        <v>14628.890149999999</v>
      </c>
      <c r="AD426" s="6">
        <f>$O$426*$X$426</f>
        <v>12131.261549999999</v>
      </c>
      <c r="AE426" s="6">
        <f>$K$426*$Y$426</f>
        <v>0</v>
      </c>
      <c r="AF426" s="6">
        <f ca="1">$M$426*$Z$426</f>
        <v>15868.165972219742</v>
      </c>
      <c r="AG426" s="6">
        <f>$O$426*$AA$426</f>
        <v>12707.133060945616</v>
      </c>
    </row>
    <row r="427" spans="1:33" ht="11.25" customHeight="1" x14ac:dyDescent="0.25">
      <c r="A427" s="4" t="s">
        <v>27</v>
      </c>
      <c r="B427" s="4" t="s">
        <v>22</v>
      </c>
      <c r="C427" s="4" t="s">
        <v>23</v>
      </c>
      <c r="D427" s="4" t="s">
        <v>24</v>
      </c>
      <c r="E427" s="4" t="s">
        <v>32</v>
      </c>
      <c r="F427" s="4" t="s">
        <v>25</v>
      </c>
      <c r="G427" s="4" t="s">
        <v>25</v>
      </c>
      <c r="H427" s="4" t="s">
        <v>25</v>
      </c>
      <c r="I427" s="5">
        <v>44562</v>
      </c>
      <c r="J427" s="6">
        <v>0</v>
      </c>
      <c r="K427" s="6">
        <v>0</v>
      </c>
      <c r="L427" s="6">
        <v>-0.01</v>
      </c>
      <c r="M427" s="6">
        <v>-0.01</v>
      </c>
      <c r="N427" s="6">
        <v>-0.01</v>
      </c>
      <c r="O427" s="6">
        <v>-0.01</v>
      </c>
      <c r="P427" s="6">
        <v>0</v>
      </c>
      <c r="Q427" s="4" t="s">
        <v>26</v>
      </c>
      <c r="R427" s="4">
        <v>0</v>
      </c>
      <c r="S427" s="6">
        <v>0</v>
      </c>
      <c r="T427" s="6">
        <v>6</v>
      </c>
      <c r="U427" s="6">
        <v>34</v>
      </c>
      <c r="V427" s="6">
        <f>IF(ISERROR(VLOOKUP($S$427,'TAR FIN'!$A$1:$O$86,15,0)),0,VLOOKUP($S$427,'TAR FIN'!$A$1:$O$86,15,0))</f>
        <v>0</v>
      </c>
      <c r="W427" s="6">
        <f>IF(ISERROR(VLOOKUP($T$427,'TAR FIN'!$A$1:$O$86,15,0)),0,VLOOKUP($T$427,'TAR FIN'!$A$1:$O$86,15,0))</f>
        <v>270.13</v>
      </c>
      <c r="X427" s="6">
        <f>IF(ISERROR(VLOOKUP($U$427,'TAR FIN'!$A$1:$O$86,15,0)),0,VLOOKUP($U$427,'TAR FIN'!$A$1:$O$86,15,0))</f>
        <v>224.01</v>
      </c>
      <c r="Y427" s="6"/>
      <c r="Z427" s="6">
        <f ca="1">('TUSD BE'!$AM$24+'TUSD BF'!$AM$24+'TUSD CVA'!$AM$24-('TUSD BE'!$P$24+'TUSD BF'!$P$24+'TUSD CVA'!$P$24)-('TUSD BE'!$Q$24+'TUSD BF'!$Q$24+'TUSD CVA'!$Q$24)-('TUSD BE'!$R$24+'TUSD BF'!$R$24+'TUSD CVA'!$R$24))*(1-CUSTOS!$M$37)</f>
        <v>293.013867089276</v>
      </c>
      <c r="AA427" s="6">
        <f>('TE BE'!$AB$15+'TE BF'!$AB$15+'TE CVA'!$AB$15)*(1-CUSTOS!$M$37)</f>
        <v>234.64376439748159</v>
      </c>
      <c r="AB427" s="6">
        <f>$K$427*$V$427</f>
        <v>0</v>
      </c>
      <c r="AC427" s="6">
        <f>$M$427*$W$427</f>
        <v>-2.7012999999999998</v>
      </c>
      <c r="AD427" s="6">
        <f>$O$427*$X$427</f>
        <v>-2.2401</v>
      </c>
      <c r="AE427" s="6">
        <f>$K$427*$Y$427</f>
        <v>0</v>
      </c>
      <c r="AF427" s="6">
        <f ca="1">$M$427*$Z$427</f>
        <v>-2.9301386708927599</v>
      </c>
      <c r="AG427" s="6">
        <f>$O$427*$AA$427</f>
        <v>-2.346437643974816</v>
      </c>
    </row>
    <row r="428" spans="1:33" ht="11.25" customHeight="1" x14ac:dyDescent="0.25">
      <c r="A428" s="4" t="s">
        <v>21</v>
      </c>
      <c r="B428" s="4" t="s">
        <v>22</v>
      </c>
      <c r="C428" s="4" t="s">
        <v>23</v>
      </c>
      <c r="D428" s="4" t="s">
        <v>24</v>
      </c>
      <c r="E428" s="4" t="s">
        <v>32</v>
      </c>
      <c r="F428" s="4" t="s">
        <v>25</v>
      </c>
      <c r="G428" s="4" t="s">
        <v>25</v>
      </c>
      <c r="H428" s="4" t="s">
        <v>25</v>
      </c>
      <c r="I428" s="5">
        <v>44593</v>
      </c>
      <c r="J428" s="6">
        <v>0</v>
      </c>
      <c r="K428" s="6">
        <v>0</v>
      </c>
      <c r="L428" s="6">
        <v>63.542000000000002</v>
      </c>
      <c r="M428" s="6">
        <v>63.542000000000002</v>
      </c>
      <c r="N428" s="6">
        <v>63.542000000000002</v>
      </c>
      <c r="O428" s="6">
        <v>63.542000000000002</v>
      </c>
      <c r="P428" s="6">
        <v>567</v>
      </c>
      <c r="Q428" s="4" t="s">
        <v>26</v>
      </c>
      <c r="R428" s="4">
        <v>0</v>
      </c>
      <c r="S428" s="6">
        <v>0</v>
      </c>
      <c r="T428" s="6">
        <v>6</v>
      </c>
      <c r="U428" s="6">
        <v>34</v>
      </c>
      <c r="V428" s="6">
        <f>IF(ISERROR(VLOOKUP($S$428,'TAR FIN'!$A$1:$O$86,15,0)),0,VLOOKUP($S$428,'TAR FIN'!$A$1:$O$86,15,0))</f>
        <v>0</v>
      </c>
      <c r="W428" s="6">
        <f>IF(ISERROR(VLOOKUP($T$428,'TAR FIN'!$A$1:$O$86,15,0)),0,VLOOKUP($T$428,'TAR FIN'!$A$1:$O$86,15,0))</f>
        <v>270.13</v>
      </c>
      <c r="X428" s="6">
        <f>IF(ISERROR(VLOOKUP($U$428,'TAR FIN'!$A$1:$O$86,15,0)),0,VLOOKUP($U$428,'TAR FIN'!$A$1:$O$86,15,0))</f>
        <v>224.01</v>
      </c>
      <c r="Y428" s="6"/>
      <c r="Z428" s="6">
        <f ca="1">('TUSD BE'!$AM$24+'TUSD BF'!$AM$24+'TUSD CVA'!$AM$24-('TUSD BE'!$P$24+'TUSD BF'!$P$24+'TUSD CVA'!$P$24)-('TUSD BE'!$Q$24+'TUSD BF'!$Q$24+'TUSD CVA'!$Q$24)-('TUSD BE'!$R$24+'TUSD BF'!$R$24+'TUSD CVA'!$R$24))*(1-CUSTOS!$M$37)</f>
        <v>293.013867089276</v>
      </c>
      <c r="AA428" s="6">
        <f>('TE BE'!$AB$15+'TE BF'!$AB$15+'TE CVA'!$AB$15)*(1-CUSTOS!$M$37)</f>
        <v>234.64376439748159</v>
      </c>
      <c r="AB428" s="6">
        <f>$K$428*$V$428</f>
        <v>0</v>
      </c>
      <c r="AC428" s="6">
        <f>$M$428*$W$428</f>
        <v>17164.600460000001</v>
      </c>
      <c r="AD428" s="6">
        <f>$O$428*$X$428</f>
        <v>14234.04342</v>
      </c>
      <c r="AE428" s="6">
        <f>$K$428*$Y$428</f>
        <v>0</v>
      </c>
      <c r="AF428" s="6">
        <f ca="1">$M$428*$Z$428</f>
        <v>18618.687142586776</v>
      </c>
      <c r="AG428" s="6">
        <f>$O$428*$AA$428</f>
        <v>14909.734077344776</v>
      </c>
    </row>
    <row r="429" spans="1:33" ht="11.25" customHeight="1" x14ac:dyDescent="0.25">
      <c r="A429" s="4" t="s">
        <v>21</v>
      </c>
      <c r="B429" s="4" t="s">
        <v>22</v>
      </c>
      <c r="C429" s="4" t="s">
        <v>23</v>
      </c>
      <c r="D429" s="4" t="s">
        <v>24</v>
      </c>
      <c r="E429" s="4" t="s">
        <v>32</v>
      </c>
      <c r="F429" s="4" t="s">
        <v>25</v>
      </c>
      <c r="G429" s="4" t="s">
        <v>25</v>
      </c>
      <c r="H429" s="4" t="s">
        <v>25</v>
      </c>
      <c r="I429" s="5">
        <v>44621</v>
      </c>
      <c r="J429" s="6">
        <v>0</v>
      </c>
      <c r="K429" s="6">
        <v>0</v>
      </c>
      <c r="L429" s="6">
        <v>56.566000000000003</v>
      </c>
      <c r="M429" s="6">
        <v>56.566000000000003</v>
      </c>
      <c r="N429" s="6">
        <v>56.566000000000003</v>
      </c>
      <c r="O429" s="6">
        <v>56.566000000000003</v>
      </c>
      <c r="P429" s="6">
        <v>517</v>
      </c>
      <c r="Q429" s="4" t="s">
        <v>26</v>
      </c>
      <c r="R429" s="4">
        <v>0</v>
      </c>
      <c r="S429" s="6">
        <v>0</v>
      </c>
      <c r="T429" s="6">
        <v>6</v>
      </c>
      <c r="U429" s="6">
        <v>34</v>
      </c>
      <c r="V429" s="6">
        <f>IF(ISERROR(VLOOKUP($S$429,'TAR FIN'!$A$1:$O$86,15,0)),0,VLOOKUP($S$429,'TAR FIN'!$A$1:$O$86,15,0))</f>
        <v>0</v>
      </c>
      <c r="W429" s="6">
        <f>IF(ISERROR(VLOOKUP($T$429,'TAR FIN'!$A$1:$O$86,15,0)),0,VLOOKUP($T$429,'TAR FIN'!$A$1:$O$86,15,0))</f>
        <v>270.13</v>
      </c>
      <c r="X429" s="6">
        <f>IF(ISERROR(VLOOKUP($U$429,'TAR FIN'!$A$1:$O$86,15,0)),0,VLOOKUP($U$429,'TAR FIN'!$A$1:$O$86,15,0))</f>
        <v>224.01</v>
      </c>
      <c r="Y429" s="6"/>
      <c r="Z429" s="6">
        <f ca="1">('TUSD BE'!$AM$24+'TUSD BF'!$AM$24+'TUSD CVA'!$AM$24-('TUSD BE'!$P$24+'TUSD BF'!$P$24+'TUSD CVA'!$P$24)-('TUSD BE'!$Q$24+'TUSD BF'!$Q$24+'TUSD CVA'!$Q$24)-('TUSD BE'!$R$24+'TUSD BF'!$R$24+'TUSD CVA'!$R$24))*(1-CUSTOS!$M$37)</f>
        <v>293.013867089276</v>
      </c>
      <c r="AA429" s="6">
        <f>('TE BE'!$AB$15+'TE BF'!$AB$15+'TE CVA'!$AB$15)*(1-CUSTOS!$M$37)</f>
        <v>234.64376439748159</v>
      </c>
      <c r="AB429" s="6">
        <f>$K$429*$V$429</f>
        <v>0</v>
      </c>
      <c r="AC429" s="6">
        <f>$M$429*$W$429</f>
        <v>15280.173580000001</v>
      </c>
      <c r="AD429" s="6">
        <f>$O$429*$X$429</f>
        <v>12671.34966</v>
      </c>
      <c r="AE429" s="6">
        <f>$K$429*$Y$429</f>
        <v>0</v>
      </c>
      <c r="AF429" s="6">
        <f ca="1">$M$429*$Z$429</f>
        <v>16574.622405771988</v>
      </c>
      <c r="AG429" s="6">
        <f>$O$429*$AA$429</f>
        <v>13272.859176907945</v>
      </c>
    </row>
    <row r="430" spans="1:33" ht="11.25" customHeight="1" x14ac:dyDescent="0.25">
      <c r="A430" s="4" t="s">
        <v>27</v>
      </c>
      <c r="B430" s="4" t="s">
        <v>22</v>
      </c>
      <c r="C430" s="4" t="s">
        <v>23</v>
      </c>
      <c r="D430" s="4" t="s">
        <v>24</v>
      </c>
      <c r="E430" s="4" t="s">
        <v>32</v>
      </c>
      <c r="F430" s="4" t="s">
        <v>25</v>
      </c>
      <c r="G430" s="4" t="s">
        <v>25</v>
      </c>
      <c r="H430" s="4" t="s">
        <v>25</v>
      </c>
      <c r="I430" s="5">
        <v>44621</v>
      </c>
      <c r="J430" s="6">
        <v>0</v>
      </c>
      <c r="K430" s="6">
        <v>0</v>
      </c>
      <c r="L430" s="6">
        <v>-1.474</v>
      </c>
      <c r="M430" s="6">
        <v>-1.474</v>
      </c>
      <c r="N430" s="6">
        <v>-1.474</v>
      </c>
      <c r="O430" s="6">
        <v>-1.474</v>
      </c>
      <c r="P430" s="6">
        <v>0</v>
      </c>
      <c r="Q430" s="4" t="s">
        <v>26</v>
      </c>
      <c r="R430" s="4">
        <v>0</v>
      </c>
      <c r="S430" s="6">
        <v>0</v>
      </c>
      <c r="T430" s="6">
        <v>6</v>
      </c>
      <c r="U430" s="6">
        <v>34</v>
      </c>
      <c r="V430" s="6">
        <f>IF(ISERROR(VLOOKUP($S$430,'TAR FIN'!$A$1:$O$86,15,0)),0,VLOOKUP($S$430,'TAR FIN'!$A$1:$O$86,15,0))</f>
        <v>0</v>
      </c>
      <c r="W430" s="6">
        <f>IF(ISERROR(VLOOKUP($T$430,'TAR FIN'!$A$1:$O$86,15,0)),0,VLOOKUP($T$430,'TAR FIN'!$A$1:$O$86,15,0))</f>
        <v>270.13</v>
      </c>
      <c r="X430" s="6">
        <f>IF(ISERROR(VLOOKUP($U$430,'TAR FIN'!$A$1:$O$86,15,0)),0,VLOOKUP($U$430,'TAR FIN'!$A$1:$O$86,15,0))</f>
        <v>224.01</v>
      </c>
      <c r="Y430" s="6"/>
      <c r="Z430" s="6">
        <f ca="1">('TUSD BE'!$AM$24+'TUSD BF'!$AM$24+'TUSD CVA'!$AM$24-('TUSD BE'!$P$24+'TUSD BF'!$P$24+'TUSD CVA'!$P$24)-('TUSD BE'!$Q$24+'TUSD BF'!$Q$24+'TUSD CVA'!$Q$24)-('TUSD BE'!$R$24+'TUSD BF'!$R$24+'TUSD CVA'!$R$24))*(1-CUSTOS!$M$37)</f>
        <v>293.013867089276</v>
      </c>
      <c r="AA430" s="6">
        <f>('TE BE'!$AB$15+'TE BF'!$AB$15+'TE CVA'!$AB$15)*(1-CUSTOS!$M$37)</f>
        <v>234.64376439748159</v>
      </c>
      <c r="AB430" s="6">
        <f>$K$430*$V$430</f>
        <v>0</v>
      </c>
      <c r="AC430" s="6">
        <f>$M$430*$W$430</f>
        <v>-398.17161999999996</v>
      </c>
      <c r="AD430" s="6">
        <f>$O$430*$X$430</f>
        <v>-330.19074000000001</v>
      </c>
      <c r="AE430" s="6">
        <f>$K$430*$Y$430</f>
        <v>0</v>
      </c>
      <c r="AF430" s="6">
        <f ca="1">$M$430*$Z$430</f>
        <v>-431.9024400895928</v>
      </c>
      <c r="AG430" s="6">
        <f>$O$430*$AA$430</f>
        <v>-345.86490872188784</v>
      </c>
    </row>
    <row r="431" spans="1:33" ht="11.25" customHeight="1" x14ac:dyDescent="0.25">
      <c r="A431" s="4" t="s">
        <v>21</v>
      </c>
      <c r="B431" s="4" t="s">
        <v>22</v>
      </c>
      <c r="C431" s="4" t="s">
        <v>23</v>
      </c>
      <c r="D431" s="4" t="s">
        <v>24</v>
      </c>
      <c r="E431" s="4" t="s">
        <v>32</v>
      </c>
      <c r="F431" s="4" t="s">
        <v>25</v>
      </c>
      <c r="G431" s="4" t="s">
        <v>25</v>
      </c>
      <c r="H431" s="4" t="s">
        <v>25</v>
      </c>
      <c r="I431" s="5">
        <v>44652</v>
      </c>
      <c r="J431" s="6">
        <v>0</v>
      </c>
      <c r="K431" s="6">
        <v>0</v>
      </c>
      <c r="L431" s="6">
        <v>42.036000000000001</v>
      </c>
      <c r="M431" s="6">
        <v>42.036000000000001</v>
      </c>
      <c r="N431" s="6">
        <v>42.036000000000001</v>
      </c>
      <c r="O431" s="6">
        <v>42.036000000000001</v>
      </c>
      <c r="P431" s="6">
        <v>470</v>
      </c>
      <c r="Q431" s="4" t="s">
        <v>26</v>
      </c>
      <c r="R431" s="4">
        <v>0</v>
      </c>
      <c r="S431" s="6">
        <v>0</v>
      </c>
      <c r="T431" s="6">
        <v>6</v>
      </c>
      <c r="U431" s="6">
        <v>34</v>
      </c>
      <c r="V431" s="6">
        <f>IF(ISERROR(VLOOKUP($S$431,'TAR FIN'!$A$1:$O$86,15,0)),0,VLOOKUP($S$431,'TAR FIN'!$A$1:$O$86,15,0))</f>
        <v>0</v>
      </c>
      <c r="W431" s="6">
        <f>IF(ISERROR(VLOOKUP($T$431,'TAR FIN'!$A$1:$O$86,15,0)),0,VLOOKUP($T$431,'TAR FIN'!$A$1:$O$86,15,0))</f>
        <v>270.13</v>
      </c>
      <c r="X431" s="6">
        <f>IF(ISERROR(VLOOKUP($U$431,'TAR FIN'!$A$1:$O$86,15,0)),0,VLOOKUP($U$431,'TAR FIN'!$A$1:$O$86,15,0))</f>
        <v>224.01</v>
      </c>
      <c r="Y431" s="6"/>
      <c r="Z431" s="6">
        <f ca="1">('TUSD BE'!$AM$24+'TUSD BF'!$AM$24+'TUSD CVA'!$AM$24-('TUSD BE'!$P$24+'TUSD BF'!$P$24+'TUSD CVA'!$P$24)-('TUSD BE'!$Q$24+'TUSD BF'!$Q$24+'TUSD CVA'!$Q$24)-('TUSD BE'!$R$24+'TUSD BF'!$R$24+'TUSD CVA'!$R$24))*(1-CUSTOS!$M$37)</f>
        <v>293.013867089276</v>
      </c>
      <c r="AA431" s="6">
        <f>('TE BE'!$AB$15+'TE BF'!$AB$15+'TE CVA'!$AB$15)*(1-CUSTOS!$M$37)</f>
        <v>234.64376439748159</v>
      </c>
      <c r="AB431" s="6">
        <f>$K$431*$V$431</f>
        <v>0</v>
      </c>
      <c r="AC431" s="6">
        <f>$M$431*$W$431</f>
        <v>11355.18468</v>
      </c>
      <c r="AD431" s="6">
        <f>$O$431*$X$431</f>
        <v>9416.4843600000004</v>
      </c>
      <c r="AE431" s="6">
        <f>$K$431*$Y$431</f>
        <v>0</v>
      </c>
      <c r="AF431" s="6">
        <f ca="1">$M$431*$Z$431</f>
        <v>12317.130916964807</v>
      </c>
      <c r="AG431" s="6">
        <f>$O$431*$AA$431</f>
        <v>9863.485280212537</v>
      </c>
    </row>
    <row r="432" spans="1:33" ht="11.25" customHeight="1" x14ac:dyDescent="0.25">
      <c r="A432" s="4" t="s">
        <v>27</v>
      </c>
      <c r="B432" s="4" t="s">
        <v>22</v>
      </c>
      <c r="C432" s="4" t="s">
        <v>23</v>
      </c>
      <c r="D432" s="4" t="s">
        <v>24</v>
      </c>
      <c r="E432" s="4" t="s">
        <v>32</v>
      </c>
      <c r="F432" s="4" t="s">
        <v>25</v>
      </c>
      <c r="G432" s="4" t="s">
        <v>25</v>
      </c>
      <c r="H432" s="4" t="s">
        <v>25</v>
      </c>
      <c r="I432" s="5">
        <v>44652</v>
      </c>
      <c r="J432" s="6">
        <v>0</v>
      </c>
      <c r="K432" s="6">
        <v>0</v>
      </c>
      <c r="L432" s="6">
        <v>-0.28999999999999998</v>
      </c>
      <c r="M432" s="6">
        <v>-0.28999999999999998</v>
      </c>
      <c r="N432" s="6">
        <v>-0.28999999999999998</v>
      </c>
      <c r="O432" s="6">
        <v>-0.28999999999999998</v>
      </c>
      <c r="P432" s="6">
        <v>0</v>
      </c>
      <c r="Q432" s="4" t="s">
        <v>26</v>
      </c>
      <c r="R432" s="4">
        <v>0</v>
      </c>
      <c r="S432" s="6">
        <v>0</v>
      </c>
      <c r="T432" s="6">
        <v>6</v>
      </c>
      <c r="U432" s="6">
        <v>34</v>
      </c>
      <c r="V432" s="6">
        <f>IF(ISERROR(VLOOKUP($S$432,'TAR FIN'!$A$1:$O$86,15,0)),0,VLOOKUP($S$432,'TAR FIN'!$A$1:$O$86,15,0))</f>
        <v>0</v>
      </c>
      <c r="W432" s="6">
        <f>IF(ISERROR(VLOOKUP($T$432,'TAR FIN'!$A$1:$O$86,15,0)),0,VLOOKUP($T$432,'TAR FIN'!$A$1:$O$86,15,0))</f>
        <v>270.13</v>
      </c>
      <c r="X432" s="6">
        <f>IF(ISERROR(VLOOKUP($U$432,'TAR FIN'!$A$1:$O$86,15,0)),0,VLOOKUP($U$432,'TAR FIN'!$A$1:$O$86,15,0))</f>
        <v>224.01</v>
      </c>
      <c r="Y432" s="6"/>
      <c r="Z432" s="6">
        <f ca="1">('TUSD BE'!$AM$24+'TUSD BF'!$AM$24+'TUSD CVA'!$AM$24-('TUSD BE'!$P$24+'TUSD BF'!$P$24+'TUSD CVA'!$P$24)-('TUSD BE'!$Q$24+'TUSD BF'!$Q$24+'TUSD CVA'!$Q$24)-('TUSD BE'!$R$24+'TUSD BF'!$R$24+'TUSD CVA'!$R$24))*(1-CUSTOS!$M$37)</f>
        <v>293.013867089276</v>
      </c>
      <c r="AA432" s="6">
        <f>('TE BE'!$AB$15+'TE BF'!$AB$15+'TE CVA'!$AB$15)*(1-CUSTOS!$M$37)</f>
        <v>234.64376439748159</v>
      </c>
      <c r="AB432" s="6">
        <f>$K$432*$V$432</f>
        <v>0</v>
      </c>
      <c r="AC432" s="6">
        <f>$M$432*$W$432</f>
        <v>-78.337699999999998</v>
      </c>
      <c r="AD432" s="6">
        <f>$O$432*$X$432</f>
        <v>-64.962899999999991</v>
      </c>
      <c r="AE432" s="6">
        <f>$K$432*$Y$432</f>
        <v>0</v>
      </c>
      <c r="AF432" s="6">
        <f ca="1">$M$432*$Z$432</f>
        <v>-84.974021455890039</v>
      </c>
      <c r="AG432" s="6">
        <f>$O$432*$AA$432</f>
        <v>-68.046691675269656</v>
      </c>
    </row>
    <row r="433" spans="1:33" ht="11.25" customHeight="1" x14ac:dyDescent="0.25">
      <c r="A433" s="4" t="s">
        <v>21</v>
      </c>
      <c r="B433" s="4" t="s">
        <v>22</v>
      </c>
      <c r="C433" s="4" t="s">
        <v>23</v>
      </c>
      <c r="D433" s="4" t="s">
        <v>24</v>
      </c>
      <c r="E433" s="4" t="s">
        <v>32</v>
      </c>
      <c r="F433" s="4" t="s">
        <v>25</v>
      </c>
      <c r="G433" s="4" t="s">
        <v>25</v>
      </c>
      <c r="H433" s="4" t="s">
        <v>25</v>
      </c>
      <c r="I433" s="5">
        <v>44682</v>
      </c>
      <c r="J433" s="6">
        <v>0</v>
      </c>
      <c r="K433" s="6">
        <v>0</v>
      </c>
      <c r="L433" s="6">
        <v>29.068999999999999</v>
      </c>
      <c r="M433" s="6">
        <v>29.068999999999999</v>
      </c>
      <c r="N433" s="6">
        <v>29.068999999999999</v>
      </c>
      <c r="O433" s="6">
        <v>29.068999999999999</v>
      </c>
      <c r="P433" s="6">
        <v>361</v>
      </c>
      <c r="Q433" s="4" t="s">
        <v>26</v>
      </c>
      <c r="R433" s="4">
        <v>0</v>
      </c>
      <c r="S433" s="6">
        <v>0</v>
      </c>
      <c r="T433" s="6">
        <v>6</v>
      </c>
      <c r="U433" s="6">
        <v>34</v>
      </c>
      <c r="V433" s="6">
        <f>IF(ISERROR(VLOOKUP($S$433,'TAR FIN'!$A$1:$O$86,15,0)),0,VLOOKUP($S$433,'TAR FIN'!$A$1:$O$86,15,0))</f>
        <v>0</v>
      </c>
      <c r="W433" s="6">
        <f>IF(ISERROR(VLOOKUP($T$433,'TAR FIN'!$A$1:$O$86,15,0)),0,VLOOKUP($T$433,'TAR FIN'!$A$1:$O$86,15,0))</f>
        <v>270.13</v>
      </c>
      <c r="X433" s="6">
        <f>IF(ISERROR(VLOOKUP($U$433,'TAR FIN'!$A$1:$O$86,15,0)),0,VLOOKUP($U$433,'TAR FIN'!$A$1:$O$86,15,0))</f>
        <v>224.01</v>
      </c>
      <c r="Y433" s="6"/>
      <c r="Z433" s="6">
        <f ca="1">('TUSD BE'!$AM$24+'TUSD BF'!$AM$24+'TUSD CVA'!$AM$24-('TUSD BE'!$P$24+'TUSD BF'!$P$24+'TUSD CVA'!$P$24)-('TUSD BE'!$Q$24+'TUSD BF'!$Q$24+'TUSD CVA'!$Q$24)-('TUSD BE'!$R$24+'TUSD BF'!$R$24+'TUSD CVA'!$R$24))*(1-CUSTOS!$M$37)</f>
        <v>293.013867089276</v>
      </c>
      <c r="AA433" s="6">
        <f>('TE BE'!$AB$15+'TE BF'!$AB$15+'TE CVA'!$AB$15)*(1-CUSTOS!$M$37)</f>
        <v>234.64376439748159</v>
      </c>
      <c r="AB433" s="6">
        <f>$K$433*$V$433</f>
        <v>0</v>
      </c>
      <c r="AC433" s="6">
        <f>$M$433*$W$433</f>
        <v>7852.4089699999995</v>
      </c>
      <c r="AD433" s="6">
        <f>$O$433*$X$433</f>
        <v>6511.7466899999999</v>
      </c>
      <c r="AE433" s="6">
        <f>$K$433*$Y$433</f>
        <v>0</v>
      </c>
      <c r="AF433" s="6">
        <f ca="1">$M$433*$Z$433</f>
        <v>8517.6201024181646</v>
      </c>
      <c r="AG433" s="6">
        <f>$O$433*$AA$433</f>
        <v>6820.8595872703918</v>
      </c>
    </row>
    <row r="434" spans="1:33" ht="11.25" customHeight="1" x14ac:dyDescent="0.25">
      <c r="A434" s="4" t="s">
        <v>21</v>
      </c>
      <c r="B434" s="4" t="s">
        <v>22</v>
      </c>
      <c r="C434" s="4" t="s">
        <v>23</v>
      </c>
      <c r="D434" s="4" t="s">
        <v>24</v>
      </c>
      <c r="E434" s="4" t="s">
        <v>32</v>
      </c>
      <c r="F434" s="4" t="s">
        <v>25</v>
      </c>
      <c r="G434" s="4" t="s">
        <v>25</v>
      </c>
      <c r="H434" s="4" t="s">
        <v>25</v>
      </c>
      <c r="I434" s="5">
        <v>44713</v>
      </c>
      <c r="J434" s="6">
        <v>0</v>
      </c>
      <c r="K434" s="6">
        <v>0</v>
      </c>
      <c r="L434" s="6">
        <v>38.725000000000001</v>
      </c>
      <c r="M434" s="6">
        <v>38.725000000000001</v>
      </c>
      <c r="N434" s="6">
        <v>38.725000000000001</v>
      </c>
      <c r="O434" s="6">
        <v>38.725000000000001</v>
      </c>
      <c r="P434" s="6">
        <v>433</v>
      </c>
      <c r="Q434" s="4" t="s">
        <v>26</v>
      </c>
      <c r="R434" s="4">
        <v>0</v>
      </c>
      <c r="S434" s="6">
        <v>0</v>
      </c>
      <c r="T434" s="6">
        <v>6</v>
      </c>
      <c r="U434" s="6">
        <v>34</v>
      </c>
      <c r="V434" s="6">
        <f>IF(ISERROR(VLOOKUP($S$434,'TAR FIN'!$A$1:$O$86,15,0)),0,VLOOKUP($S$434,'TAR FIN'!$A$1:$O$86,15,0))</f>
        <v>0</v>
      </c>
      <c r="W434" s="6">
        <f>IF(ISERROR(VLOOKUP($T$434,'TAR FIN'!$A$1:$O$86,15,0)),0,VLOOKUP($T$434,'TAR FIN'!$A$1:$O$86,15,0))</f>
        <v>270.13</v>
      </c>
      <c r="X434" s="6">
        <f>IF(ISERROR(VLOOKUP($U$434,'TAR FIN'!$A$1:$O$86,15,0)),0,VLOOKUP($U$434,'TAR FIN'!$A$1:$O$86,15,0))</f>
        <v>224.01</v>
      </c>
      <c r="Y434" s="6"/>
      <c r="Z434" s="6">
        <f ca="1">('TUSD BE'!$AM$24+'TUSD BF'!$AM$24+'TUSD CVA'!$AM$24-('TUSD BE'!$P$24+'TUSD BF'!$P$24+'TUSD CVA'!$P$24)-('TUSD BE'!$Q$24+'TUSD BF'!$Q$24+'TUSD CVA'!$Q$24)-('TUSD BE'!$R$24+'TUSD BF'!$R$24+'TUSD CVA'!$R$24))*(1-CUSTOS!$M$37)</f>
        <v>293.013867089276</v>
      </c>
      <c r="AA434" s="6">
        <f>('TE BE'!$AB$15+'TE BF'!$AB$15+'TE CVA'!$AB$15)*(1-CUSTOS!$M$37)</f>
        <v>234.64376439748159</v>
      </c>
      <c r="AB434" s="6">
        <f>$K$434*$V$434</f>
        <v>0</v>
      </c>
      <c r="AC434" s="6">
        <f>$M$434*$W$434</f>
        <v>10460.784250000001</v>
      </c>
      <c r="AD434" s="6">
        <f>$O$434*$X$434</f>
        <v>8674.7872499999994</v>
      </c>
      <c r="AE434" s="6">
        <f>$K$434*$Y$434</f>
        <v>0</v>
      </c>
      <c r="AF434" s="6">
        <f ca="1">$M$434*$Z$434</f>
        <v>11346.962003032213</v>
      </c>
      <c r="AG434" s="6">
        <f>$O$434*$AA$434</f>
        <v>9086.5797762924758</v>
      </c>
    </row>
    <row r="435" spans="1:33" ht="11.25" customHeight="1" x14ac:dyDescent="0.25">
      <c r="A435" s="4" t="s">
        <v>55</v>
      </c>
      <c r="B435" s="4" t="s">
        <v>22</v>
      </c>
      <c r="C435" s="4" t="s">
        <v>23</v>
      </c>
      <c r="D435" s="4" t="s">
        <v>24</v>
      </c>
      <c r="E435" s="4" t="s">
        <v>32</v>
      </c>
      <c r="F435" s="4" t="s">
        <v>25</v>
      </c>
      <c r="G435" s="4" t="s">
        <v>25</v>
      </c>
      <c r="H435" s="4" t="s">
        <v>25</v>
      </c>
      <c r="I435" s="5">
        <v>44743</v>
      </c>
      <c r="J435" s="6">
        <v>0</v>
      </c>
      <c r="K435" s="6">
        <v>0</v>
      </c>
      <c r="L435" s="6">
        <v>38.725000000000001</v>
      </c>
      <c r="M435" s="6">
        <v>38.725000000000001</v>
      </c>
      <c r="N435" s="6">
        <v>38.725000000000001</v>
      </c>
      <c r="O435" s="6">
        <v>38.725000000000001</v>
      </c>
      <c r="P435" s="6">
        <v>433</v>
      </c>
      <c r="Q435" s="4" t="s">
        <v>26</v>
      </c>
      <c r="R435" s="4">
        <v>0</v>
      </c>
      <c r="S435" s="6">
        <v>0</v>
      </c>
      <c r="T435" s="6">
        <v>6</v>
      </c>
      <c r="U435" s="6">
        <v>34</v>
      </c>
      <c r="V435" s="6">
        <f>IF(ISERROR(VLOOKUP($S$435,'TAR FIN'!$A$1:$O$86,15,0)),0,VLOOKUP($S$435,'TAR FIN'!$A$1:$O$86,15,0))</f>
        <v>0</v>
      </c>
      <c r="W435" s="6">
        <f>IF(ISERROR(VLOOKUP($T$435,'TAR FIN'!$A$1:$O$86,15,0)),0,VLOOKUP($T$435,'TAR FIN'!$A$1:$O$86,15,0))</f>
        <v>270.13</v>
      </c>
      <c r="X435" s="6">
        <f>IF(ISERROR(VLOOKUP($U$435,'TAR FIN'!$A$1:$O$86,15,0)),0,VLOOKUP($U$435,'TAR FIN'!$A$1:$O$86,15,0))</f>
        <v>224.01</v>
      </c>
      <c r="Y435" s="6"/>
      <c r="Z435" s="6">
        <f ca="1">('TUSD BE'!$AM$24+'TUSD BF'!$AM$24+'TUSD CVA'!$AM$24-('TUSD BE'!$P$24+'TUSD BF'!$P$24+'TUSD CVA'!$P$24)-('TUSD BE'!$Q$24+'TUSD BF'!$Q$24+'TUSD CVA'!$Q$24)-('TUSD BE'!$R$24+'TUSD BF'!$R$24+'TUSD CVA'!$R$24))*(1-CUSTOS!$M$37)</f>
        <v>293.013867089276</v>
      </c>
      <c r="AA435" s="6">
        <f>('TE BE'!$AB$15+'TE BF'!$AB$15+'TE CVA'!$AB$15)*(1-CUSTOS!$M$37)</f>
        <v>234.64376439748159</v>
      </c>
      <c r="AB435" s="6">
        <f>$K$435*$V$435</f>
        <v>0</v>
      </c>
      <c r="AC435" s="6">
        <f>$M$435*$W$435</f>
        <v>10460.784250000001</v>
      </c>
      <c r="AD435" s="6">
        <f>$O$435*$X$435</f>
        <v>8674.7872499999994</v>
      </c>
      <c r="AE435" s="6">
        <f>$K$435*$Y$435</f>
        <v>0</v>
      </c>
      <c r="AF435" s="6">
        <f ca="1">$M$435*$Z$435</f>
        <v>11346.962003032213</v>
      </c>
      <c r="AG435" s="6">
        <f>$O$435*$AA$435</f>
        <v>9086.5797762924758</v>
      </c>
    </row>
    <row r="436" spans="1:33" ht="11.25" customHeight="1" x14ac:dyDescent="0.25">
      <c r="A436" s="4" t="s">
        <v>21</v>
      </c>
      <c r="B436" s="4" t="s">
        <v>41</v>
      </c>
      <c r="C436" s="4" t="s">
        <v>23</v>
      </c>
      <c r="D436" s="4" t="s">
        <v>42</v>
      </c>
      <c r="E436" s="4" t="s">
        <v>52</v>
      </c>
      <c r="F436" s="4" t="s">
        <v>53</v>
      </c>
      <c r="G436" s="4" t="s">
        <v>25</v>
      </c>
      <c r="H436" s="4" t="s">
        <v>25</v>
      </c>
      <c r="I436" s="5">
        <v>44409</v>
      </c>
      <c r="J436" s="6">
        <v>0</v>
      </c>
      <c r="K436" s="6">
        <v>0</v>
      </c>
      <c r="L436" s="6">
        <v>2.472</v>
      </c>
      <c r="M436" s="6">
        <v>2.472</v>
      </c>
      <c r="N436" s="6">
        <v>2.472</v>
      </c>
      <c r="O436" s="6">
        <v>2.472</v>
      </c>
      <c r="P436" s="6">
        <v>0</v>
      </c>
      <c r="Q436" s="4" t="s">
        <v>26</v>
      </c>
      <c r="R436" s="4">
        <v>0</v>
      </c>
      <c r="S436" s="6">
        <v>0</v>
      </c>
      <c r="T436" s="6">
        <v>16</v>
      </c>
      <c r="U436" s="6">
        <v>54</v>
      </c>
      <c r="V436" s="6">
        <f>IF(ISERROR(VLOOKUP($S$436,'TAR FIN'!$A$1:$O$86,15,0)),0,VLOOKUP($S$436,'TAR FIN'!$A$1:$O$86,15,0))</f>
        <v>0</v>
      </c>
      <c r="W436" s="6">
        <f>IF(ISERROR(VLOOKUP($T$436,'TAR FIN'!$A$1:$O$86,15,0)),0,VLOOKUP($T$436,'TAR FIN'!$A$1:$O$86,15,0))</f>
        <v>297.89</v>
      </c>
      <c r="X436" s="6">
        <f>IF(ISERROR(VLOOKUP($U$436,'TAR FIN'!$A$1:$O$86,15,0)),0,VLOOKUP($U$436,'TAR FIN'!$A$1:$O$86,15,0))</f>
        <v>197.13</v>
      </c>
      <c r="Y436" s="6"/>
      <c r="Z436" s="6">
        <f ca="1">('TUSD BE'!$AM$33+'TUSD BF'!$AM$33+'TUSD CVA'!$AM$33)*(1-CUSTOS!$M$38)</f>
        <v>392.53302912886562</v>
      </c>
      <c r="AA436" s="6">
        <f>('TE BE'!$AB$24+'TE BF'!$AB$24+'TE CVA'!$AB$24)*(1-CUSTOS!$M$38)</f>
        <v>220.56513853363268</v>
      </c>
      <c r="AB436" s="6">
        <f>$K$436*$V$436</f>
        <v>0</v>
      </c>
      <c r="AC436" s="6">
        <f>$M$436*$W$436</f>
        <v>736.38407999999993</v>
      </c>
      <c r="AD436" s="6">
        <f>$O$436*$X$436</f>
        <v>487.30536000000001</v>
      </c>
      <c r="AE436" s="6">
        <f>$K$436*$Y$436</f>
        <v>0</v>
      </c>
      <c r="AF436" s="6">
        <f ca="1">$M$436*$Z$436</f>
        <v>970.34164800655583</v>
      </c>
      <c r="AG436" s="6">
        <f>$O$436*$AA$436</f>
        <v>545.23702245513994</v>
      </c>
    </row>
    <row r="437" spans="1:33" ht="11.25" customHeight="1" x14ac:dyDescent="0.25">
      <c r="A437" s="4" t="s">
        <v>21</v>
      </c>
      <c r="B437" s="4" t="s">
        <v>41</v>
      </c>
      <c r="C437" s="4" t="s">
        <v>23</v>
      </c>
      <c r="D437" s="4" t="s">
        <v>42</v>
      </c>
      <c r="E437" s="4" t="s">
        <v>52</v>
      </c>
      <c r="F437" s="4" t="s">
        <v>53</v>
      </c>
      <c r="G437" s="4" t="s">
        <v>25</v>
      </c>
      <c r="H437" s="4" t="s">
        <v>25</v>
      </c>
      <c r="I437" s="5">
        <v>44440</v>
      </c>
      <c r="J437" s="6">
        <v>0</v>
      </c>
      <c r="K437" s="6">
        <v>0</v>
      </c>
      <c r="L437" s="6">
        <v>3.6890000000000001</v>
      </c>
      <c r="M437" s="6">
        <v>3.6890000000000001</v>
      </c>
      <c r="N437" s="6">
        <v>3.6890000000000001</v>
      </c>
      <c r="O437" s="6">
        <v>3.6890000000000001</v>
      </c>
      <c r="P437" s="6">
        <v>0</v>
      </c>
      <c r="Q437" s="4" t="s">
        <v>26</v>
      </c>
      <c r="R437" s="4">
        <v>0</v>
      </c>
      <c r="S437" s="6">
        <v>0</v>
      </c>
      <c r="T437" s="6">
        <v>16</v>
      </c>
      <c r="U437" s="6">
        <v>54</v>
      </c>
      <c r="V437" s="6">
        <f>IF(ISERROR(VLOOKUP($S$437,'TAR FIN'!$A$1:$O$86,15,0)),0,VLOOKUP($S$437,'TAR FIN'!$A$1:$O$86,15,0))</f>
        <v>0</v>
      </c>
      <c r="W437" s="6">
        <f>IF(ISERROR(VLOOKUP($T$437,'TAR FIN'!$A$1:$O$86,15,0)),0,VLOOKUP($T$437,'TAR FIN'!$A$1:$O$86,15,0))</f>
        <v>297.89</v>
      </c>
      <c r="X437" s="6">
        <f>IF(ISERROR(VLOOKUP($U$437,'TAR FIN'!$A$1:$O$86,15,0)),0,VLOOKUP($U$437,'TAR FIN'!$A$1:$O$86,15,0))</f>
        <v>197.13</v>
      </c>
      <c r="Y437" s="6"/>
      <c r="Z437" s="6">
        <f ca="1">('TUSD BE'!$AM$33+'TUSD BF'!$AM$33+'TUSD CVA'!$AM$33)*(1-CUSTOS!$M$38)</f>
        <v>392.53302912886562</v>
      </c>
      <c r="AA437" s="6">
        <f>('TE BE'!$AB$24+'TE BF'!$AB$24+'TE CVA'!$AB$24)*(1-CUSTOS!$M$38)</f>
        <v>220.56513853363268</v>
      </c>
      <c r="AB437" s="6">
        <f>$K$437*$V$437</f>
        <v>0</v>
      </c>
      <c r="AC437" s="6">
        <f>$M$437*$W$437</f>
        <v>1098.9162099999999</v>
      </c>
      <c r="AD437" s="6">
        <f>$O$437*$X$437</f>
        <v>727.21257000000003</v>
      </c>
      <c r="AE437" s="6">
        <f>$K$437*$Y$437</f>
        <v>0</v>
      </c>
      <c r="AF437" s="6">
        <f ca="1">$M$437*$Z$437</f>
        <v>1448.0543444563853</v>
      </c>
      <c r="AG437" s="6">
        <f>$O$437*$AA$437</f>
        <v>813.664796050571</v>
      </c>
    </row>
    <row r="438" spans="1:33" ht="11.25" customHeight="1" x14ac:dyDescent="0.25">
      <c r="A438" s="4" t="s">
        <v>21</v>
      </c>
      <c r="B438" s="4" t="s">
        <v>41</v>
      </c>
      <c r="C438" s="4" t="s">
        <v>23</v>
      </c>
      <c r="D438" s="4" t="s">
        <v>42</v>
      </c>
      <c r="E438" s="4" t="s">
        <v>52</v>
      </c>
      <c r="F438" s="4" t="s">
        <v>53</v>
      </c>
      <c r="G438" s="4" t="s">
        <v>25</v>
      </c>
      <c r="H438" s="4" t="s">
        <v>25</v>
      </c>
      <c r="I438" s="5">
        <v>44470</v>
      </c>
      <c r="J438" s="6">
        <v>0</v>
      </c>
      <c r="K438" s="6">
        <v>0</v>
      </c>
      <c r="L438" s="6">
        <v>1.538</v>
      </c>
      <c r="M438" s="6">
        <v>1.538</v>
      </c>
      <c r="N438" s="6">
        <v>1.538</v>
      </c>
      <c r="O438" s="6">
        <v>1.538</v>
      </c>
      <c r="P438" s="6">
        <v>0</v>
      </c>
      <c r="Q438" s="4" t="s">
        <v>26</v>
      </c>
      <c r="R438" s="4">
        <v>0</v>
      </c>
      <c r="S438" s="6">
        <v>0</v>
      </c>
      <c r="T438" s="6">
        <v>16</v>
      </c>
      <c r="U438" s="6">
        <v>54</v>
      </c>
      <c r="V438" s="6">
        <f>IF(ISERROR(VLOOKUP($S$438,'TAR FIN'!$A$1:$O$86,15,0)),0,VLOOKUP($S$438,'TAR FIN'!$A$1:$O$86,15,0))</f>
        <v>0</v>
      </c>
      <c r="W438" s="6">
        <f>IF(ISERROR(VLOOKUP($T$438,'TAR FIN'!$A$1:$O$86,15,0)),0,VLOOKUP($T$438,'TAR FIN'!$A$1:$O$86,15,0))</f>
        <v>297.89</v>
      </c>
      <c r="X438" s="6">
        <f>IF(ISERROR(VLOOKUP($U$438,'TAR FIN'!$A$1:$O$86,15,0)),0,VLOOKUP($U$438,'TAR FIN'!$A$1:$O$86,15,0))</f>
        <v>197.13</v>
      </c>
      <c r="Y438" s="6"/>
      <c r="Z438" s="6">
        <f ca="1">('TUSD BE'!$AM$33+'TUSD BF'!$AM$33+'TUSD CVA'!$AM$33)*(1-CUSTOS!$M$38)</f>
        <v>392.53302912886562</v>
      </c>
      <c r="AA438" s="6">
        <f>('TE BE'!$AB$24+'TE BF'!$AB$24+'TE CVA'!$AB$24)*(1-CUSTOS!$M$38)</f>
        <v>220.56513853363268</v>
      </c>
      <c r="AB438" s="6">
        <f>$K$438*$V$438</f>
        <v>0</v>
      </c>
      <c r="AC438" s="6">
        <f>$M$438*$W$438</f>
        <v>458.15481999999997</v>
      </c>
      <c r="AD438" s="6">
        <f>$O$438*$X$438</f>
        <v>303.18594000000002</v>
      </c>
      <c r="AE438" s="6">
        <f>$K$438*$Y$438</f>
        <v>0</v>
      </c>
      <c r="AF438" s="6">
        <f ca="1">$M$438*$Z$438</f>
        <v>603.71579880019533</v>
      </c>
      <c r="AG438" s="6">
        <f>$O$438*$AA$438</f>
        <v>339.22918306472707</v>
      </c>
    </row>
    <row r="439" spans="1:33" ht="11.25" customHeight="1" x14ac:dyDescent="0.25">
      <c r="A439" s="4" t="s">
        <v>21</v>
      </c>
      <c r="B439" s="4" t="s">
        <v>41</v>
      </c>
      <c r="C439" s="4" t="s">
        <v>23</v>
      </c>
      <c r="D439" s="4" t="s">
        <v>42</v>
      </c>
      <c r="E439" s="4" t="s">
        <v>52</v>
      </c>
      <c r="F439" s="4" t="s">
        <v>53</v>
      </c>
      <c r="G439" s="4" t="s">
        <v>25</v>
      </c>
      <c r="H439" s="4" t="s">
        <v>25</v>
      </c>
      <c r="I439" s="5">
        <v>44501</v>
      </c>
      <c r="J439" s="6">
        <v>0</v>
      </c>
      <c r="K439" s="6">
        <v>0</v>
      </c>
      <c r="L439" s="6">
        <v>2.7269999999999999</v>
      </c>
      <c r="M439" s="6">
        <v>2.7269999999999999</v>
      </c>
      <c r="N439" s="6">
        <v>2.7269999999999999</v>
      </c>
      <c r="O439" s="6">
        <v>2.7269999999999999</v>
      </c>
      <c r="P439" s="6">
        <v>0</v>
      </c>
      <c r="Q439" s="4" t="s">
        <v>26</v>
      </c>
      <c r="R439" s="4">
        <v>0</v>
      </c>
      <c r="S439" s="6">
        <v>0</v>
      </c>
      <c r="T439" s="6">
        <v>16</v>
      </c>
      <c r="U439" s="6">
        <v>54</v>
      </c>
      <c r="V439" s="6">
        <f>IF(ISERROR(VLOOKUP($S$439,'TAR FIN'!$A$1:$O$86,15,0)),0,VLOOKUP($S$439,'TAR FIN'!$A$1:$O$86,15,0))</f>
        <v>0</v>
      </c>
      <c r="W439" s="6">
        <f>IF(ISERROR(VLOOKUP($T$439,'TAR FIN'!$A$1:$O$86,15,0)),0,VLOOKUP($T$439,'TAR FIN'!$A$1:$O$86,15,0))</f>
        <v>297.89</v>
      </c>
      <c r="X439" s="6">
        <f>IF(ISERROR(VLOOKUP($U$439,'TAR FIN'!$A$1:$O$86,15,0)),0,VLOOKUP($U$439,'TAR FIN'!$A$1:$O$86,15,0))</f>
        <v>197.13</v>
      </c>
      <c r="Y439" s="6"/>
      <c r="Z439" s="6">
        <f ca="1">('TUSD BE'!$AM$33+'TUSD BF'!$AM$33+'TUSD CVA'!$AM$33)*(1-CUSTOS!$M$38)</f>
        <v>392.53302912886562</v>
      </c>
      <c r="AA439" s="6">
        <f>('TE BE'!$AB$24+'TE BF'!$AB$24+'TE CVA'!$AB$24)*(1-CUSTOS!$M$38)</f>
        <v>220.56513853363268</v>
      </c>
      <c r="AB439" s="6">
        <f>$K$439*$V$439</f>
        <v>0</v>
      </c>
      <c r="AC439" s="6">
        <f>$M$439*$W$439</f>
        <v>812.34602999999993</v>
      </c>
      <c r="AD439" s="6">
        <f>$O$439*$X$439</f>
        <v>537.57350999999994</v>
      </c>
      <c r="AE439" s="6">
        <f>$K$439*$Y$439</f>
        <v>0</v>
      </c>
      <c r="AF439" s="6">
        <f ca="1">$M$439*$Z$439</f>
        <v>1070.4375704344166</v>
      </c>
      <c r="AG439" s="6">
        <f>$O$439*$AA$439</f>
        <v>601.48113278121627</v>
      </c>
    </row>
    <row r="440" spans="1:33" ht="11.25" customHeight="1" x14ac:dyDescent="0.25">
      <c r="A440" s="4" t="s">
        <v>21</v>
      </c>
      <c r="B440" s="4" t="s">
        <v>41</v>
      </c>
      <c r="C440" s="4" t="s">
        <v>23</v>
      </c>
      <c r="D440" s="4" t="s">
        <v>42</v>
      </c>
      <c r="E440" s="4" t="s">
        <v>52</v>
      </c>
      <c r="F440" s="4" t="s">
        <v>53</v>
      </c>
      <c r="G440" s="4" t="s">
        <v>25</v>
      </c>
      <c r="H440" s="4" t="s">
        <v>25</v>
      </c>
      <c r="I440" s="5">
        <v>44531</v>
      </c>
      <c r="J440" s="6">
        <v>0</v>
      </c>
      <c r="K440" s="6">
        <v>0</v>
      </c>
      <c r="L440" s="6">
        <v>8.2140000000000004</v>
      </c>
      <c r="M440" s="6">
        <v>8.2140000000000004</v>
      </c>
      <c r="N440" s="6">
        <v>8.2140000000000004</v>
      </c>
      <c r="O440" s="6">
        <v>8.2140000000000004</v>
      </c>
      <c r="P440" s="6">
        <v>0</v>
      </c>
      <c r="Q440" s="4" t="s">
        <v>26</v>
      </c>
      <c r="R440" s="4">
        <v>0</v>
      </c>
      <c r="S440" s="6">
        <v>0</v>
      </c>
      <c r="T440" s="6">
        <v>16</v>
      </c>
      <c r="U440" s="6">
        <v>54</v>
      </c>
      <c r="V440" s="6">
        <f>IF(ISERROR(VLOOKUP($S$440,'TAR FIN'!$A$1:$O$86,15,0)),0,VLOOKUP($S$440,'TAR FIN'!$A$1:$O$86,15,0))</f>
        <v>0</v>
      </c>
      <c r="W440" s="6">
        <f>IF(ISERROR(VLOOKUP($T$440,'TAR FIN'!$A$1:$O$86,15,0)),0,VLOOKUP($T$440,'TAR FIN'!$A$1:$O$86,15,0))</f>
        <v>297.89</v>
      </c>
      <c r="X440" s="6">
        <f>IF(ISERROR(VLOOKUP($U$440,'TAR FIN'!$A$1:$O$86,15,0)),0,VLOOKUP($U$440,'TAR FIN'!$A$1:$O$86,15,0))</f>
        <v>197.13</v>
      </c>
      <c r="Y440" s="6"/>
      <c r="Z440" s="6">
        <f ca="1">('TUSD BE'!$AM$33+'TUSD BF'!$AM$33+'TUSD CVA'!$AM$33)*(1-CUSTOS!$M$38)</f>
        <v>392.53302912886562</v>
      </c>
      <c r="AA440" s="6">
        <f>('TE BE'!$AB$24+'TE BF'!$AB$24+'TE CVA'!$AB$24)*(1-CUSTOS!$M$38)</f>
        <v>220.56513853363268</v>
      </c>
      <c r="AB440" s="6">
        <f>$K$440*$V$440</f>
        <v>0</v>
      </c>
      <c r="AC440" s="6">
        <f>$M$440*$W$440</f>
        <v>2446.8684600000001</v>
      </c>
      <c r="AD440" s="6">
        <f>$O$440*$X$440</f>
        <v>1619.2258200000001</v>
      </c>
      <c r="AE440" s="6">
        <f>$K$440*$Y$440</f>
        <v>0</v>
      </c>
      <c r="AF440" s="6">
        <f ca="1">$M$440*$Z$440</f>
        <v>3224.2663012645025</v>
      </c>
      <c r="AG440" s="6">
        <f>$O$440*$AA$440</f>
        <v>1811.7220479152588</v>
      </c>
    </row>
    <row r="441" spans="1:33" ht="11.25" customHeight="1" x14ac:dyDescent="0.25">
      <c r="A441" s="4" t="s">
        <v>27</v>
      </c>
      <c r="B441" s="4" t="s">
        <v>41</v>
      </c>
      <c r="C441" s="4" t="s">
        <v>23</v>
      </c>
      <c r="D441" s="4" t="s">
        <v>42</v>
      </c>
      <c r="E441" s="4" t="s">
        <v>52</v>
      </c>
      <c r="F441" s="4" t="s">
        <v>53</v>
      </c>
      <c r="G441" s="4" t="s">
        <v>25</v>
      </c>
      <c r="H441" s="4" t="s">
        <v>25</v>
      </c>
      <c r="I441" s="5">
        <v>44531</v>
      </c>
      <c r="J441" s="6">
        <v>0</v>
      </c>
      <c r="K441" s="6">
        <v>0</v>
      </c>
      <c r="L441" s="6">
        <v>-0.85299999999999998</v>
      </c>
      <c r="M441" s="6">
        <v>-0.85299999999999998</v>
      </c>
      <c r="N441" s="6">
        <v>-0.85299999999999998</v>
      </c>
      <c r="O441" s="6">
        <v>-0.85299999999999998</v>
      </c>
      <c r="P441" s="6">
        <v>0</v>
      </c>
      <c r="Q441" s="4" t="s">
        <v>26</v>
      </c>
      <c r="R441" s="4">
        <v>0</v>
      </c>
      <c r="S441" s="6">
        <v>0</v>
      </c>
      <c r="T441" s="6">
        <v>16</v>
      </c>
      <c r="U441" s="6">
        <v>54</v>
      </c>
      <c r="V441" s="6">
        <f>IF(ISERROR(VLOOKUP($S$441,'TAR FIN'!$A$1:$O$86,15,0)),0,VLOOKUP($S$441,'TAR FIN'!$A$1:$O$86,15,0))</f>
        <v>0</v>
      </c>
      <c r="W441" s="6">
        <f>IF(ISERROR(VLOOKUP($T$441,'TAR FIN'!$A$1:$O$86,15,0)),0,VLOOKUP($T$441,'TAR FIN'!$A$1:$O$86,15,0))</f>
        <v>297.89</v>
      </c>
      <c r="X441" s="6">
        <f>IF(ISERROR(VLOOKUP($U$441,'TAR FIN'!$A$1:$O$86,15,0)),0,VLOOKUP($U$441,'TAR FIN'!$A$1:$O$86,15,0))</f>
        <v>197.13</v>
      </c>
      <c r="Y441" s="6"/>
      <c r="Z441" s="6">
        <f ca="1">('TUSD BE'!$AM$33+'TUSD BF'!$AM$33+'TUSD CVA'!$AM$33)*(1-CUSTOS!$M$38)</f>
        <v>392.53302912886562</v>
      </c>
      <c r="AA441" s="6">
        <f>('TE BE'!$AB$24+'TE BF'!$AB$24+'TE CVA'!$AB$24)*(1-CUSTOS!$M$38)</f>
        <v>220.56513853363268</v>
      </c>
      <c r="AB441" s="6">
        <f>$K$441*$V$441</f>
        <v>0</v>
      </c>
      <c r="AC441" s="6">
        <f>$M$441*$W$441</f>
        <v>-254.10016999999999</v>
      </c>
      <c r="AD441" s="6">
        <f>$O$441*$X$441</f>
        <v>-168.15188999999998</v>
      </c>
      <c r="AE441" s="6">
        <f>$K$441*$Y$441</f>
        <v>0</v>
      </c>
      <c r="AF441" s="6">
        <f ca="1">$M$441*$Z$441</f>
        <v>-334.83067384692237</v>
      </c>
      <c r="AG441" s="6">
        <f>$O$441*$AA$441</f>
        <v>-188.14206316918867</v>
      </c>
    </row>
    <row r="442" spans="1:33" ht="11.25" customHeight="1" x14ac:dyDescent="0.25">
      <c r="A442" s="4" t="s">
        <v>21</v>
      </c>
      <c r="B442" s="4" t="s">
        <v>41</v>
      </c>
      <c r="C442" s="4" t="s">
        <v>23</v>
      </c>
      <c r="D442" s="4" t="s">
        <v>42</v>
      </c>
      <c r="E442" s="4" t="s">
        <v>52</v>
      </c>
      <c r="F442" s="4" t="s">
        <v>53</v>
      </c>
      <c r="G442" s="4" t="s">
        <v>25</v>
      </c>
      <c r="H442" s="4" t="s">
        <v>25</v>
      </c>
      <c r="I442" s="5">
        <v>44562</v>
      </c>
      <c r="J442" s="6">
        <v>0</v>
      </c>
      <c r="K442" s="6">
        <v>0</v>
      </c>
      <c r="L442" s="6">
        <v>5.101</v>
      </c>
      <c r="M442" s="6">
        <v>5.101</v>
      </c>
      <c r="N442" s="6">
        <v>5.101</v>
      </c>
      <c r="O442" s="6">
        <v>5.101</v>
      </c>
      <c r="P442" s="6">
        <v>0</v>
      </c>
      <c r="Q442" s="4" t="s">
        <v>26</v>
      </c>
      <c r="R442" s="4">
        <v>0</v>
      </c>
      <c r="S442" s="6">
        <v>0</v>
      </c>
      <c r="T442" s="6">
        <v>16</v>
      </c>
      <c r="U442" s="6">
        <v>54</v>
      </c>
      <c r="V442" s="6">
        <f>IF(ISERROR(VLOOKUP($S$442,'TAR FIN'!$A$1:$O$86,15,0)),0,VLOOKUP($S$442,'TAR FIN'!$A$1:$O$86,15,0))</f>
        <v>0</v>
      </c>
      <c r="W442" s="6">
        <f>IF(ISERROR(VLOOKUP($T$442,'TAR FIN'!$A$1:$O$86,15,0)),0,VLOOKUP($T$442,'TAR FIN'!$A$1:$O$86,15,0))</f>
        <v>297.89</v>
      </c>
      <c r="X442" s="6">
        <f>IF(ISERROR(VLOOKUP($U$442,'TAR FIN'!$A$1:$O$86,15,0)),0,VLOOKUP($U$442,'TAR FIN'!$A$1:$O$86,15,0))</f>
        <v>197.13</v>
      </c>
      <c r="Y442" s="6"/>
      <c r="Z442" s="6">
        <f ca="1">('TUSD BE'!$AM$33+'TUSD BF'!$AM$33+'TUSD CVA'!$AM$33)*(1-CUSTOS!$M$38)</f>
        <v>392.53302912886562</v>
      </c>
      <c r="AA442" s="6">
        <f>('TE BE'!$AB$24+'TE BF'!$AB$24+'TE CVA'!$AB$24)*(1-CUSTOS!$M$38)</f>
        <v>220.56513853363268</v>
      </c>
      <c r="AB442" s="6">
        <f>$K$442*$V$442</f>
        <v>0</v>
      </c>
      <c r="AC442" s="6">
        <f>$M$442*$W$442</f>
        <v>1519.5368899999999</v>
      </c>
      <c r="AD442" s="6">
        <f>$O$442*$X$442</f>
        <v>1005.56013</v>
      </c>
      <c r="AE442" s="6">
        <f>$K$442*$Y$442</f>
        <v>0</v>
      </c>
      <c r="AF442" s="6">
        <f ca="1">$M$442*$Z$442</f>
        <v>2002.3109815863436</v>
      </c>
      <c r="AG442" s="6">
        <f>$O$442*$AA$442</f>
        <v>1125.1027716600602</v>
      </c>
    </row>
    <row r="443" spans="1:33" ht="11.25" customHeight="1" x14ac:dyDescent="0.25">
      <c r="A443" s="4" t="s">
        <v>27</v>
      </c>
      <c r="B443" s="4" t="s">
        <v>41</v>
      </c>
      <c r="C443" s="4" t="s">
        <v>23</v>
      </c>
      <c r="D443" s="4" t="s">
        <v>42</v>
      </c>
      <c r="E443" s="4" t="s">
        <v>52</v>
      </c>
      <c r="F443" s="4" t="s">
        <v>53</v>
      </c>
      <c r="G443" s="4" t="s">
        <v>25</v>
      </c>
      <c r="H443" s="4" t="s">
        <v>25</v>
      </c>
      <c r="I443" s="5">
        <v>44562</v>
      </c>
      <c r="J443" s="6">
        <v>0</v>
      </c>
      <c r="K443" s="6">
        <v>0</v>
      </c>
      <c r="L443" s="6">
        <v>-2.6259999999999999</v>
      </c>
      <c r="M443" s="6">
        <v>-2.6259999999999999</v>
      </c>
      <c r="N443" s="6">
        <v>-2.6259999999999999</v>
      </c>
      <c r="O443" s="6">
        <v>-2.6259999999999999</v>
      </c>
      <c r="P443" s="6">
        <v>0</v>
      </c>
      <c r="Q443" s="4" t="s">
        <v>26</v>
      </c>
      <c r="R443" s="4">
        <v>0</v>
      </c>
      <c r="S443" s="6">
        <v>0</v>
      </c>
      <c r="T443" s="6">
        <v>16</v>
      </c>
      <c r="U443" s="6">
        <v>54</v>
      </c>
      <c r="V443" s="6">
        <f>IF(ISERROR(VLOOKUP($S$443,'TAR FIN'!$A$1:$O$86,15,0)),0,VLOOKUP($S$443,'TAR FIN'!$A$1:$O$86,15,0))</f>
        <v>0</v>
      </c>
      <c r="W443" s="6">
        <f>IF(ISERROR(VLOOKUP($T$443,'TAR FIN'!$A$1:$O$86,15,0)),0,VLOOKUP($T$443,'TAR FIN'!$A$1:$O$86,15,0))</f>
        <v>297.89</v>
      </c>
      <c r="X443" s="6">
        <f>IF(ISERROR(VLOOKUP($U$443,'TAR FIN'!$A$1:$O$86,15,0)),0,VLOOKUP($U$443,'TAR FIN'!$A$1:$O$86,15,0))</f>
        <v>197.13</v>
      </c>
      <c r="Y443" s="6"/>
      <c r="Z443" s="6">
        <f ca="1">('TUSD BE'!$AM$33+'TUSD BF'!$AM$33+'TUSD CVA'!$AM$33)*(1-CUSTOS!$M$38)</f>
        <v>392.53302912886562</v>
      </c>
      <c r="AA443" s="6">
        <f>('TE BE'!$AB$24+'TE BF'!$AB$24+'TE CVA'!$AB$24)*(1-CUSTOS!$M$38)</f>
        <v>220.56513853363268</v>
      </c>
      <c r="AB443" s="6">
        <f>$K$443*$V$443</f>
        <v>0</v>
      </c>
      <c r="AC443" s="6">
        <f>$M$443*$W$443</f>
        <v>-782.25913999999989</v>
      </c>
      <c r="AD443" s="6">
        <f>$O$443*$X$443</f>
        <v>-517.66337999999996</v>
      </c>
      <c r="AE443" s="6">
        <f>$K$443*$Y$443</f>
        <v>0</v>
      </c>
      <c r="AF443" s="6">
        <f ca="1">$M$443*$Z$443</f>
        <v>-1030.791734492401</v>
      </c>
      <c r="AG443" s="6">
        <f>$O$443*$AA$443</f>
        <v>-579.20405378931935</v>
      </c>
    </row>
    <row r="444" spans="1:33" ht="11.25" customHeight="1" x14ac:dyDescent="0.25">
      <c r="A444" s="4" t="s">
        <v>21</v>
      </c>
      <c r="B444" s="4" t="s">
        <v>41</v>
      </c>
      <c r="C444" s="4" t="s">
        <v>23</v>
      </c>
      <c r="D444" s="4" t="s">
        <v>42</v>
      </c>
      <c r="E444" s="4" t="s">
        <v>52</v>
      </c>
      <c r="F444" s="4" t="s">
        <v>53</v>
      </c>
      <c r="G444" s="4" t="s">
        <v>25</v>
      </c>
      <c r="H444" s="4" t="s">
        <v>25</v>
      </c>
      <c r="I444" s="5">
        <v>44593</v>
      </c>
      <c r="J444" s="6">
        <v>0</v>
      </c>
      <c r="K444" s="6">
        <v>0</v>
      </c>
      <c r="L444" s="6">
        <v>4.117</v>
      </c>
      <c r="M444" s="6">
        <v>4.117</v>
      </c>
      <c r="N444" s="6">
        <v>4.117</v>
      </c>
      <c r="O444" s="6">
        <v>4.117</v>
      </c>
      <c r="P444" s="6">
        <v>0</v>
      </c>
      <c r="Q444" s="4" t="s">
        <v>26</v>
      </c>
      <c r="R444" s="4">
        <v>0</v>
      </c>
      <c r="S444" s="6">
        <v>0</v>
      </c>
      <c r="T444" s="6">
        <v>16</v>
      </c>
      <c r="U444" s="6">
        <v>54</v>
      </c>
      <c r="V444" s="6">
        <f>IF(ISERROR(VLOOKUP($S$444,'TAR FIN'!$A$1:$O$86,15,0)),0,VLOOKUP($S$444,'TAR FIN'!$A$1:$O$86,15,0))</f>
        <v>0</v>
      </c>
      <c r="W444" s="6">
        <f>IF(ISERROR(VLOOKUP($T$444,'TAR FIN'!$A$1:$O$86,15,0)),0,VLOOKUP($T$444,'TAR FIN'!$A$1:$O$86,15,0))</f>
        <v>297.89</v>
      </c>
      <c r="X444" s="6">
        <f>IF(ISERROR(VLOOKUP($U$444,'TAR FIN'!$A$1:$O$86,15,0)),0,VLOOKUP($U$444,'TAR FIN'!$A$1:$O$86,15,0))</f>
        <v>197.13</v>
      </c>
      <c r="Y444" s="6"/>
      <c r="Z444" s="6">
        <f ca="1">('TUSD BE'!$AM$33+'TUSD BF'!$AM$33+'TUSD CVA'!$AM$33)*(1-CUSTOS!$M$38)</f>
        <v>392.53302912886562</v>
      </c>
      <c r="AA444" s="6">
        <f>('TE BE'!$AB$24+'TE BF'!$AB$24+'TE CVA'!$AB$24)*(1-CUSTOS!$M$38)</f>
        <v>220.56513853363268</v>
      </c>
      <c r="AB444" s="6">
        <f>$K$444*$V$444</f>
        <v>0</v>
      </c>
      <c r="AC444" s="6">
        <f>$M$444*$W$444</f>
        <v>1226.4131299999999</v>
      </c>
      <c r="AD444" s="6">
        <f>$O$444*$X$444</f>
        <v>811.58420999999998</v>
      </c>
      <c r="AE444" s="6">
        <f>$K$444*$Y$444</f>
        <v>0</v>
      </c>
      <c r="AF444" s="6">
        <f ca="1">$M$444*$Z$444</f>
        <v>1616.0584809235397</v>
      </c>
      <c r="AG444" s="6">
        <f>$O$444*$AA$444</f>
        <v>908.06667534296571</v>
      </c>
    </row>
    <row r="445" spans="1:33" ht="11.25" customHeight="1" x14ac:dyDescent="0.25">
      <c r="A445" s="4" t="s">
        <v>21</v>
      </c>
      <c r="B445" s="4" t="s">
        <v>41</v>
      </c>
      <c r="C445" s="4" t="s">
        <v>23</v>
      </c>
      <c r="D445" s="4" t="s">
        <v>42</v>
      </c>
      <c r="E445" s="4" t="s">
        <v>52</v>
      </c>
      <c r="F445" s="4" t="s">
        <v>53</v>
      </c>
      <c r="G445" s="4" t="s">
        <v>25</v>
      </c>
      <c r="H445" s="4" t="s">
        <v>25</v>
      </c>
      <c r="I445" s="5">
        <v>44621</v>
      </c>
      <c r="J445" s="6">
        <v>0</v>
      </c>
      <c r="K445" s="6">
        <v>0</v>
      </c>
      <c r="L445" s="6">
        <v>1.5509999999999999</v>
      </c>
      <c r="M445" s="6">
        <v>1.5509999999999999</v>
      </c>
      <c r="N445" s="6">
        <v>1.5509999999999999</v>
      </c>
      <c r="O445" s="6">
        <v>1.5509999999999999</v>
      </c>
      <c r="P445" s="6">
        <v>0</v>
      </c>
      <c r="Q445" s="4" t="s">
        <v>26</v>
      </c>
      <c r="R445" s="4">
        <v>0</v>
      </c>
      <c r="S445" s="6">
        <v>0</v>
      </c>
      <c r="T445" s="6">
        <v>16</v>
      </c>
      <c r="U445" s="6">
        <v>54</v>
      </c>
      <c r="V445" s="6">
        <f>IF(ISERROR(VLOOKUP($S$445,'TAR FIN'!$A$1:$O$86,15,0)),0,VLOOKUP($S$445,'TAR FIN'!$A$1:$O$86,15,0))</f>
        <v>0</v>
      </c>
      <c r="W445" s="6">
        <f>IF(ISERROR(VLOOKUP($T$445,'TAR FIN'!$A$1:$O$86,15,0)),0,VLOOKUP($T$445,'TAR FIN'!$A$1:$O$86,15,0))</f>
        <v>297.89</v>
      </c>
      <c r="X445" s="6">
        <f>IF(ISERROR(VLOOKUP($U$445,'TAR FIN'!$A$1:$O$86,15,0)),0,VLOOKUP($U$445,'TAR FIN'!$A$1:$O$86,15,0))</f>
        <v>197.13</v>
      </c>
      <c r="Y445" s="6"/>
      <c r="Z445" s="6">
        <f ca="1">('TUSD BE'!$AM$33+'TUSD BF'!$AM$33+'TUSD CVA'!$AM$33)*(1-CUSTOS!$M$38)</f>
        <v>392.53302912886562</v>
      </c>
      <c r="AA445" s="6">
        <f>('TE BE'!$AB$24+'TE BF'!$AB$24+'TE CVA'!$AB$24)*(1-CUSTOS!$M$38)</f>
        <v>220.56513853363268</v>
      </c>
      <c r="AB445" s="6">
        <f>$K$445*$V$445</f>
        <v>0</v>
      </c>
      <c r="AC445" s="6">
        <f>$M$445*$W$445</f>
        <v>462.02738999999997</v>
      </c>
      <c r="AD445" s="6">
        <f>$O$445*$X$445</f>
        <v>305.74862999999999</v>
      </c>
      <c r="AE445" s="6">
        <f>$K$445*$Y$445</f>
        <v>0</v>
      </c>
      <c r="AF445" s="6">
        <f ca="1">$M$445*$Z$445</f>
        <v>608.81872817887051</v>
      </c>
      <c r="AG445" s="6">
        <f>$O$445*$AA$445</f>
        <v>342.09652986566425</v>
      </c>
    </row>
    <row r="446" spans="1:33" ht="11.25" customHeight="1" x14ac:dyDescent="0.25">
      <c r="A446" s="4" t="s">
        <v>21</v>
      </c>
      <c r="B446" s="4" t="s">
        <v>41</v>
      </c>
      <c r="C446" s="4" t="s">
        <v>23</v>
      </c>
      <c r="D446" s="4" t="s">
        <v>42</v>
      </c>
      <c r="E446" s="4" t="s">
        <v>52</v>
      </c>
      <c r="F446" s="4" t="s">
        <v>53</v>
      </c>
      <c r="G446" s="4" t="s">
        <v>25</v>
      </c>
      <c r="H446" s="4" t="s">
        <v>25</v>
      </c>
      <c r="I446" s="5">
        <v>44652</v>
      </c>
      <c r="J446" s="6">
        <v>0</v>
      </c>
      <c r="K446" s="6">
        <v>0</v>
      </c>
      <c r="L446" s="6">
        <v>1.1870000000000001</v>
      </c>
      <c r="M446" s="6">
        <v>1.1870000000000001</v>
      </c>
      <c r="N446" s="6">
        <v>1.1870000000000001</v>
      </c>
      <c r="O446" s="6">
        <v>1.1870000000000001</v>
      </c>
      <c r="P446" s="6">
        <v>0</v>
      </c>
      <c r="Q446" s="4" t="s">
        <v>26</v>
      </c>
      <c r="R446" s="4">
        <v>0</v>
      </c>
      <c r="S446" s="6">
        <v>0</v>
      </c>
      <c r="T446" s="6">
        <v>16</v>
      </c>
      <c r="U446" s="6">
        <v>54</v>
      </c>
      <c r="V446" s="6">
        <f>IF(ISERROR(VLOOKUP($S$446,'TAR FIN'!$A$1:$O$86,15,0)),0,VLOOKUP($S$446,'TAR FIN'!$A$1:$O$86,15,0))</f>
        <v>0</v>
      </c>
      <c r="W446" s="6">
        <f>IF(ISERROR(VLOOKUP($T$446,'TAR FIN'!$A$1:$O$86,15,0)),0,VLOOKUP($T$446,'TAR FIN'!$A$1:$O$86,15,0))</f>
        <v>297.89</v>
      </c>
      <c r="X446" s="6">
        <f>IF(ISERROR(VLOOKUP($U$446,'TAR FIN'!$A$1:$O$86,15,0)),0,VLOOKUP($U$446,'TAR FIN'!$A$1:$O$86,15,0))</f>
        <v>197.13</v>
      </c>
      <c r="Y446" s="6"/>
      <c r="Z446" s="6">
        <f ca="1">('TUSD BE'!$AM$33+'TUSD BF'!$AM$33+'TUSD CVA'!$AM$33)*(1-CUSTOS!$M$38)</f>
        <v>392.53302912886562</v>
      </c>
      <c r="AA446" s="6">
        <f>('TE BE'!$AB$24+'TE BF'!$AB$24+'TE CVA'!$AB$24)*(1-CUSTOS!$M$38)</f>
        <v>220.56513853363268</v>
      </c>
      <c r="AB446" s="6">
        <f>$K$446*$V$446</f>
        <v>0</v>
      </c>
      <c r="AC446" s="6">
        <f>$M$446*$W$446</f>
        <v>353.59543000000002</v>
      </c>
      <c r="AD446" s="6">
        <f>$O$446*$X$446</f>
        <v>233.99331000000001</v>
      </c>
      <c r="AE446" s="6">
        <f>$K$446*$Y$446</f>
        <v>0</v>
      </c>
      <c r="AF446" s="6">
        <f ca="1">$M$446*$Z$446</f>
        <v>465.93670557596352</v>
      </c>
      <c r="AG446" s="6">
        <f>$O$446*$AA$446</f>
        <v>261.810819439422</v>
      </c>
    </row>
    <row r="447" spans="1:33" ht="11.25" customHeight="1" x14ac:dyDescent="0.25">
      <c r="A447" s="4" t="s">
        <v>21</v>
      </c>
      <c r="B447" s="4" t="s">
        <v>41</v>
      </c>
      <c r="C447" s="4" t="s">
        <v>23</v>
      </c>
      <c r="D447" s="4" t="s">
        <v>42</v>
      </c>
      <c r="E447" s="4" t="s">
        <v>52</v>
      </c>
      <c r="F447" s="4" t="s">
        <v>53</v>
      </c>
      <c r="G447" s="4" t="s">
        <v>25</v>
      </c>
      <c r="H447" s="4" t="s">
        <v>25</v>
      </c>
      <c r="I447" s="5">
        <v>44682</v>
      </c>
      <c r="J447" s="6">
        <v>0</v>
      </c>
      <c r="K447" s="6">
        <v>0</v>
      </c>
      <c r="L447" s="6">
        <v>0.27300000000000002</v>
      </c>
      <c r="M447" s="6">
        <v>0.27300000000000002</v>
      </c>
      <c r="N447" s="6">
        <v>0.27300000000000002</v>
      </c>
      <c r="O447" s="6">
        <v>0.27300000000000002</v>
      </c>
      <c r="P447" s="6">
        <v>0</v>
      </c>
      <c r="Q447" s="4" t="s">
        <v>26</v>
      </c>
      <c r="R447" s="4">
        <v>0</v>
      </c>
      <c r="S447" s="6">
        <v>0</v>
      </c>
      <c r="T447" s="6">
        <v>16</v>
      </c>
      <c r="U447" s="6">
        <v>54</v>
      </c>
      <c r="V447" s="6">
        <f>IF(ISERROR(VLOOKUP($S$447,'TAR FIN'!$A$1:$O$86,15,0)),0,VLOOKUP($S$447,'TAR FIN'!$A$1:$O$86,15,0))</f>
        <v>0</v>
      </c>
      <c r="W447" s="6">
        <f>IF(ISERROR(VLOOKUP($T$447,'TAR FIN'!$A$1:$O$86,15,0)),0,VLOOKUP($T$447,'TAR FIN'!$A$1:$O$86,15,0))</f>
        <v>297.89</v>
      </c>
      <c r="X447" s="6">
        <f>IF(ISERROR(VLOOKUP($U$447,'TAR FIN'!$A$1:$O$86,15,0)),0,VLOOKUP($U$447,'TAR FIN'!$A$1:$O$86,15,0))</f>
        <v>197.13</v>
      </c>
      <c r="Y447" s="6"/>
      <c r="Z447" s="6">
        <f ca="1">('TUSD BE'!$AM$33+'TUSD BF'!$AM$33+'TUSD CVA'!$AM$33)*(1-CUSTOS!$M$38)</f>
        <v>392.53302912886562</v>
      </c>
      <c r="AA447" s="6">
        <f>('TE BE'!$AB$24+'TE BF'!$AB$24+'TE CVA'!$AB$24)*(1-CUSTOS!$M$38)</f>
        <v>220.56513853363268</v>
      </c>
      <c r="AB447" s="6">
        <f>$K$447*$V$447</f>
        <v>0</v>
      </c>
      <c r="AC447" s="6">
        <f>$M$447*$W$447</f>
        <v>81.323970000000003</v>
      </c>
      <c r="AD447" s="6">
        <f>$O$447*$X$447</f>
        <v>53.816490000000002</v>
      </c>
      <c r="AE447" s="6">
        <f>$K$447*$Y$447</f>
        <v>0</v>
      </c>
      <c r="AF447" s="6">
        <f ca="1">$M$447*$Z$447</f>
        <v>107.16151695218032</v>
      </c>
      <c r="AG447" s="6">
        <f>$O$447*$AA$447</f>
        <v>60.214282819681728</v>
      </c>
    </row>
    <row r="448" spans="1:33" ht="11.25" customHeight="1" x14ac:dyDescent="0.25">
      <c r="A448" s="4" t="s">
        <v>27</v>
      </c>
      <c r="B448" s="4" t="s">
        <v>41</v>
      </c>
      <c r="C448" s="4" t="s">
        <v>23</v>
      </c>
      <c r="D448" s="4" t="s">
        <v>42</v>
      </c>
      <c r="E448" s="4" t="s">
        <v>52</v>
      </c>
      <c r="F448" s="4" t="s">
        <v>53</v>
      </c>
      <c r="G448" s="4" t="s">
        <v>25</v>
      </c>
      <c r="H448" s="4" t="s">
        <v>25</v>
      </c>
      <c r="I448" s="5">
        <v>44682</v>
      </c>
      <c r="J448" s="6">
        <v>0</v>
      </c>
      <c r="K448" s="6">
        <v>0</v>
      </c>
      <c r="L448" s="6">
        <v>-0.33600000000000002</v>
      </c>
      <c r="M448" s="6">
        <v>-0.33600000000000002</v>
      </c>
      <c r="N448" s="6">
        <v>-0.33600000000000002</v>
      </c>
      <c r="O448" s="6">
        <v>-0.33600000000000002</v>
      </c>
      <c r="P448" s="6">
        <v>0</v>
      </c>
      <c r="Q448" s="4" t="s">
        <v>26</v>
      </c>
      <c r="R448" s="4">
        <v>0</v>
      </c>
      <c r="S448" s="6">
        <v>0</v>
      </c>
      <c r="T448" s="6">
        <v>16</v>
      </c>
      <c r="U448" s="6">
        <v>54</v>
      </c>
      <c r="V448" s="6">
        <f>IF(ISERROR(VLOOKUP($S$448,'TAR FIN'!$A$1:$O$86,15,0)),0,VLOOKUP($S$448,'TAR FIN'!$A$1:$O$86,15,0))</f>
        <v>0</v>
      </c>
      <c r="W448" s="6">
        <f>IF(ISERROR(VLOOKUP($T$448,'TAR FIN'!$A$1:$O$86,15,0)),0,VLOOKUP($T$448,'TAR FIN'!$A$1:$O$86,15,0))</f>
        <v>297.89</v>
      </c>
      <c r="X448" s="6">
        <f>IF(ISERROR(VLOOKUP($U$448,'TAR FIN'!$A$1:$O$86,15,0)),0,VLOOKUP($U$448,'TAR FIN'!$A$1:$O$86,15,0))</f>
        <v>197.13</v>
      </c>
      <c r="Y448" s="6"/>
      <c r="Z448" s="6">
        <f ca="1">('TUSD BE'!$AM$33+'TUSD BF'!$AM$33+'TUSD CVA'!$AM$33)*(1-CUSTOS!$M$38)</f>
        <v>392.53302912886562</v>
      </c>
      <c r="AA448" s="6">
        <f>('TE BE'!$AB$24+'TE BF'!$AB$24+'TE CVA'!$AB$24)*(1-CUSTOS!$M$38)</f>
        <v>220.56513853363268</v>
      </c>
      <c r="AB448" s="6">
        <f>$K$448*$V$448</f>
        <v>0</v>
      </c>
      <c r="AC448" s="6">
        <f>$M$448*$W$448</f>
        <v>-100.09104000000001</v>
      </c>
      <c r="AD448" s="6">
        <f>$O$448*$X$448</f>
        <v>-66.235680000000002</v>
      </c>
      <c r="AE448" s="6">
        <f>$K$448*$Y$448</f>
        <v>0</v>
      </c>
      <c r="AF448" s="6">
        <f ca="1">$M$448*$Z$448</f>
        <v>-131.89109778729886</v>
      </c>
      <c r="AG448" s="6">
        <f>$O$448*$AA$448</f>
        <v>-74.10988654730059</v>
      </c>
    </row>
    <row r="449" spans="1:33" ht="11.25" customHeight="1" x14ac:dyDescent="0.25">
      <c r="A449" s="4" t="s">
        <v>21</v>
      </c>
      <c r="B449" s="4" t="s">
        <v>41</v>
      </c>
      <c r="C449" s="4" t="s">
        <v>23</v>
      </c>
      <c r="D449" s="4" t="s">
        <v>42</v>
      </c>
      <c r="E449" s="4" t="s">
        <v>52</v>
      </c>
      <c r="F449" s="4" t="s">
        <v>53</v>
      </c>
      <c r="G449" s="4" t="s">
        <v>25</v>
      </c>
      <c r="H449" s="4" t="s">
        <v>25</v>
      </c>
      <c r="I449" s="5">
        <v>44713</v>
      </c>
      <c r="J449" s="6">
        <v>0</v>
      </c>
      <c r="K449" s="6">
        <v>0</v>
      </c>
      <c r="L449" s="6">
        <v>0.17699999999999999</v>
      </c>
      <c r="M449" s="6">
        <v>0.17699999999999999</v>
      </c>
      <c r="N449" s="6">
        <v>0.17699999999999999</v>
      </c>
      <c r="O449" s="6">
        <v>0.17699999999999999</v>
      </c>
      <c r="P449" s="6">
        <v>0</v>
      </c>
      <c r="Q449" s="4" t="s">
        <v>26</v>
      </c>
      <c r="R449" s="4">
        <v>0</v>
      </c>
      <c r="S449" s="6">
        <v>0</v>
      </c>
      <c r="T449" s="6">
        <v>16</v>
      </c>
      <c r="U449" s="6">
        <v>54</v>
      </c>
      <c r="V449" s="6">
        <f>IF(ISERROR(VLOOKUP($S$449,'TAR FIN'!$A$1:$O$86,15,0)),0,VLOOKUP($S$449,'TAR FIN'!$A$1:$O$86,15,0))</f>
        <v>0</v>
      </c>
      <c r="W449" s="6">
        <f>IF(ISERROR(VLOOKUP($T$449,'TAR FIN'!$A$1:$O$86,15,0)),0,VLOOKUP($T$449,'TAR FIN'!$A$1:$O$86,15,0))</f>
        <v>297.89</v>
      </c>
      <c r="X449" s="6">
        <f>IF(ISERROR(VLOOKUP($U$449,'TAR FIN'!$A$1:$O$86,15,0)),0,VLOOKUP($U$449,'TAR FIN'!$A$1:$O$86,15,0))</f>
        <v>197.13</v>
      </c>
      <c r="Y449" s="6"/>
      <c r="Z449" s="6">
        <f ca="1">('TUSD BE'!$AM$33+'TUSD BF'!$AM$33+'TUSD CVA'!$AM$33)*(1-CUSTOS!$M$38)</f>
        <v>392.53302912886562</v>
      </c>
      <c r="AA449" s="6">
        <f>('TE BE'!$AB$24+'TE BF'!$AB$24+'TE CVA'!$AB$24)*(1-CUSTOS!$M$38)</f>
        <v>220.56513853363268</v>
      </c>
      <c r="AB449" s="6">
        <f>$K$449*$V$449</f>
        <v>0</v>
      </c>
      <c r="AC449" s="6">
        <f>$M$449*$W$449</f>
        <v>52.726529999999997</v>
      </c>
      <c r="AD449" s="6">
        <f>$O$449*$X$449</f>
        <v>34.892009999999999</v>
      </c>
      <c r="AE449" s="6">
        <f>$K$449*$Y$449</f>
        <v>0</v>
      </c>
      <c r="AF449" s="6">
        <f ca="1">$M$449*$Z$449</f>
        <v>69.478346155809206</v>
      </c>
      <c r="AG449" s="6">
        <f>$O$449*$AA$449</f>
        <v>39.040029520452983</v>
      </c>
    </row>
    <row r="450" spans="1:33" ht="11.25" customHeight="1" x14ac:dyDescent="0.25">
      <c r="A450" s="4" t="s">
        <v>55</v>
      </c>
      <c r="B450" s="4" t="s">
        <v>41</v>
      </c>
      <c r="C450" s="4" t="s">
        <v>23</v>
      </c>
      <c r="D450" s="4" t="s">
        <v>42</v>
      </c>
      <c r="E450" s="4" t="s">
        <v>52</v>
      </c>
      <c r="F450" s="4" t="s">
        <v>53</v>
      </c>
      <c r="G450" s="4" t="s">
        <v>25</v>
      </c>
      <c r="H450" s="4" t="s">
        <v>25</v>
      </c>
      <c r="I450" s="5">
        <v>44743</v>
      </c>
      <c r="J450" s="6">
        <v>0</v>
      </c>
      <c r="K450" s="6">
        <v>0</v>
      </c>
      <c r="L450" s="6">
        <v>0.17699999999999999</v>
      </c>
      <c r="M450" s="6">
        <v>0.17699999999999999</v>
      </c>
      <c r="N450" s="6">
        <v>0.17699999999999999</v>
      </c>
      <c r="O450" s="6">
        <v>0.17699999999999999</v>
      </c>
      <c r="P450" s="6">
        <v>0</v>
      </c>
      <c r="Q450" s="4" t="s">
        <v>26</v>
      </c>
      <c r="R450" s="4">
        <v>0</v>
      </c>
      <c r="S450" s="6">
        <v>0</v>
      </c>
      <c r="T450" s="6">
        <v>16</v>
      </c>
      <c r="U450" s="6">
        <v>54</v>
      </c>
      <c r="V450" s="6">
        <f>IF(ISERROR(VLOOKUP($S$450,'TAR FIN'!$A$1:$O$86,15,0)),0,VLOOKUP($S$450,'TAR FIN'!$A$1:$O$86,15,0))</f>
        <v>0</v>
      </c>
      <c r="W450" s="6">
        <f>IF(ISERROR(VLOOKUP($T$450,'TAR FIN'!$A$1:$O$86,15,0)),0,VLOOKUP($T$450,'TAR FIN'!$A$1:$O$86,15,0))</f>
        <v>297.89</v>
      </c>
      <c r="X450" s="6">
        <f>IF(ISERROR(VLOOKUP($U$450,'TAR FIN'!$A$1:$O$86,15,0)),0,VLOOKUP($U$450,'TAR FIN'!$A$1:$O$86,15,0))</f>
        <v>197.13</v>
      </c>
      <c r="Y450" s="6"/>
      <c r="Z450" s="6">
        <f ca="1">('TUSD BE'!$AM$33+'TUSD BF'!$AM$33+'TUSD CVA'!$AM$33)*(1-CUSTOS!$M$38)</f>
        <v>392.53302912886562</v>
      </c>
      <c r="AA450" s="6">
        <f>('TE BE'!$AB$24+'TE BF'!$AB$24+'TE CVA'!$AB$24)*(1-CUSTOS!$M$38)</f>
        <v>220.56513853363268</v>
      </c>
      <c r="AB450" s="6">
        <f>$K$450*$V$450</f>
        <v>0</v>
      </c>
      <c r="AC450" s="6">
        <f>$M$450*$W$450</f>
        <v>52.726529999999997</v>
      </c>
      <c r="AD450" s="6">
        <f>$O$450*$X$450</f>
        <v>34.892009999999999</v>
      </c>
      <c r="AE450" s="6">
        <f>$K$450*$Y$450</f>
        <v>0</v>
      </c>
      <c r="AF450" s="6">
        <f ca="1">$M$450*$Z$450</f>
        <v>69.478346155809206</v>
      </c>
      <c r="AG450" s="6">
        <f>$O$450*$AA$450</f>
        <v>39.040029520452983</v>
      </c>
    </row>
    <row r="451" spans="1:33" ht="11.25" customHeight="1" x14ac:dyDescent="0.25">
      <c r="A451" s="4" t="s">
        <v>21</v>
      </c>
      <c r="B451" s="4" t="s">
        <v>41</v>
      </c>
      <c r="C451" s="4" t="s">
        <v>23</v>
      </c>
      <c r="D451" s="4" t="s">
        <v>42</v>
      </c>
      <c r="E451" s="4" t="s">
        <v>52</v>
      </c>
      <c r="F451" s="4" t="s">
        <v>54</v>
      </c>
      <c r="G451" s="4" t="s">
        <v>25</v>
      </c>
      <c r="H451" s="4" t="s">
        <v>25</v>
      </c>
      <c r="I451" s="5">
        <v>44409</v>
      </c>
      <c r="J451" s="6">
        <v>0</v>
      </c>
      <c r="K451" s="6">
        <v>0</v>
      </c>
      <c r="L451" s="6">
        <v>1.3129999999999999</v>
      </c>
      <c r="M451" s="6">
        <v>0.5252</v>
      </c>
      <c r="N451" s="6">
        <v>1.3129999999999999</v>
      </c>
      <c r="O451" s="6">
        <v>0.5252</v>
      </c>
      <c r="P451" s="6">
        <v>0</v>
      </c>
      <c r="Q451" s="4" t="s">
        <v>26</v>
      </c>
      <c r="R451" s="4">
        <v>0</v>
      </c>
      <c r="S451" s="6">
        <v>0</v>
      </c>
      <c r="T451" s="6">
        <v>16</v>
      </c>
      <c r="U451" s="6">
        <v>54</v>
      </c>
      <c r="V451" s="6">
        <f>IF(ISERROR(VLOOKUP($S$451,'TAR FIN'!$A$1:$O$86,15,0)),0,VLOOKUP($S$451,'TAR FIN'!$A$1:$O$86,15,0))</f>
        <v>0</v>
      </c>
      <c r="W451" s="6">
        <f>IF(ISERROR(VLOOKUP($T$451,'TAR FIN'!$A$1:$O$86,15,0)),0,VLOOKUP($T$451,'TAR FIN'!$A$1:$O$86,15,0))</f>
        <v>297.89</v>
      </c>
      <c r="X451" s="6">
        <f>IF(ISERROR(VLOOKUP($U$451,'TAR FIN'!$A$1:$O$86,15,0)),0,VLOOKUP($U$451,'TAR FIN'!$A$1:$O$86,15,0))</f>
        <v>197.13</v>
      </c>
      <c r="Y451" s="6"/>
      <c r="Z451" s="6">
        <f ca="1">('TUSD BE'!$AM$33+'TUSD BF'!$AM$33+'TUSD CVA'!$AM$33)*(1-CUSTOS!$M$38)</f>
        <v>392.53302912886562</v>
      </c>
      <c r="AA451" s="6">
        <f>('TE BE'!$AB$24+'TE BF'!$AB$24+'TE CVA'!$AB$24)*(1-CUSTOS!$M$38)</f>
        <v>220.56513853363268</v>
      </c>
      <c r="AB451" s="6">
        <f>$K$451*$V$451</f>
        <v>0</v>
      </c>
      <c r="AC451" s="6">
        <f>$M$451*$W$451</f>
        <v>156.45182800000001</v>
      </c>
      <c r="AD451" s="6">
        <f>$O$451*$X$451</f>
        <v>103.532676</v>
      </c>
      <c r="AE451" s="6">
        <f>$K$451*$Y$451</f>
        <v>0</v>
      </c>
      <c r="AF451" s="6">
        <f ca="1">$M$451*$Z$451</f>
        <v>206.15834689848023</v>
      </c>
      <c r="AG451" s="6">
        <f>$O$451*$AA$451</f>
        <v>115.84081075786388</v>
      </c>
    </row>
    <row r="452" spans="1:33" ht="11.25" customHeight="1" x14ac:dyDescent="0.25">
      <c r="A452" s="4" t="s">
        <v>21</v>
      </c>
      <c r="B452" s="4" t="s">
        <v>41</v>
      </c>
      <c r="C452" s="4" t="s">
        <v>23</v>
      </c>
      <c r="D452" s="4" t="s">
        <v>42</v>
      </c>
      <c r="E452" s="4" t="s">
        <v>52</v>
      </c>
      <c r="F452" s="4" t="s">
        <v>54</v>
      </c>
      <c r="G452" s="4" t="s">
        <v>25</v>
      </c>
      <c r="H452" s="4" t="s">
        <v>25</v>
      </c>
      <c r="I452" s="5">
        <v>44440</v>
      </c>
      <c r="J452" s="6">
        <v>0</v>
      </c>
      <c r="K452" s="6">
        <v>0</v>
      </c>
      <c r="L452" s="6">
        <v>1.7609999999999999</v>
      </c>
      <c r="M452" s="6">
        <v>0.70440000000000003</v>
      </c>
      <c r="N452" s="6">
        <v>1.7609999999999999</v>
      </c>
      <c r="O452" s="6">
        <v>0.70440000000000003</v>
      </c>
      <c r="P452" s="6">
        <v>0</v>
      </c>
      <c r="Q452" s="4" t="s">
        <v>26</v>
      </c>
      <c r="R452" s="4">
        <v>0</v>
      </c>
      <c r="S452" s="6">
        <v>0</v>
      </c>
      <c r="T452" s="6">
        <v>16</v>
      </c>
      <c r="U452" s="6">
        <v>54</v>
      </c>
      <c r="V452" s="6">
        <f>IF(ISERROR(VLOOKUP($S$452,'TAR FIN'!$A$1:$O$86,15,0)),0,VLOOKUP($S$452,'TAR FIN'!$A$1:$O$86,15,0))</f>
        <v>0</v>
      </c>
      <c r="W452" s="6">
        <f>IF(ISERROR(VLOOKUP($T$452,'TAR FIN'!$A$1:$O$86,15,0)),0,VLOOKUP($T$452,'TAR FIN'!$A$1:$O$86,15,0))</f>
        <v>297.89</v>
      </c>
      <c r="X452" s="6">
        <f>IF(ISERROR(VLOOKUP($U$452,'TAR FIN'!$A$1:$O$86,15,0)),0,VLOOKUP($U$452,'TAR FIN'!$A$1:$O$86,15,0))</f>
        <v>197.13</v>
      </c>
      <c r="Y452" s="6"/>
      <c r="Z452" s="6">
        <f ca="1">('TUSD BE'!$AM$33+'TUSD BF'!$AM$33+'TUSD CVA'!$AM$33)*(1-CUSTOS!$M$38)</f>
        <v>392.53302912886562</v>
      </c>
      <c r="AA452" s="6">
        <f>('TE BE'!$AB$24+'TE BF'!$AB$24+'TE CVA'!$AB$24)*(1-CUSTOS!$M$38)</f>
        <v>220.56513853363268</v>
      </c>
      <c r="AB452" s="6">
        <f>$K$452*$V$452</f>
        <v>0</v>
      </c>
      <c r="AC452" s="6">
        <f>$M$452*$W$452</f>
        <v>209.83371600000001</v>
      </c>
      <c r="AD452" s="6">
        <f>$O$452*$X$452</f>
        <v>138.858372</v>
      </c>
      <c r="AE452" s="6">
        <f>$K$452*$Y$452</f>
        <v>0</v>
      </c>
      <c r="AF452" s="6">
        <f ca="1">$M$452*$Z$452</f>
        <v>276.50026571837293</v>
      </c>
      <c r="AG452" s="6">
        <f>$O$452*$AA$452</f>
        <v>155.36608358309087</v>
      </c>
    </row>
    <row r="453" spans="1:33" ht="11.25" customHeight="1" x14ac:dyDescent="0.25">
      <c r="A453" s="4" t="s">
        <v>21</v>
      </c>
      <c r="B453" s="4" t="s">
        <v>41</v>
      </c>
      <c r="C453" s="4" t="s">
        <v>23</v>
      </c>
      <c r="D453" s="4" t="s">
        <v>42</v>
      </c>
      <c r="E453" s="4" t="s">
        <v>52</v>
      </c>
      <c r="F453" s="4" t="s">
        <v>54</v>
      </c>
      <c r="G453" s="4" t="s">
        <v>25</v>
      </c>
      <c r="H453" s="4" t="s">
        <v>25</v>
      </c>
      <c r="I453" s="5">
        <v>44470</v>
      </c>
      <c r="J453" s="6">
        <v>0</v>
      </c>
      <c r="K453" s="6">
        <v>0</v>
      </c>
      <c r="L453" s="6">
        <v>0.82599999999999996</v>
      </c>
      <c r="M453" s="6">
        <v>0.33040000000000003</v>
      </c>
      <c r="N453" s="6">
        <v>0.82599999999999996</v>
      </c>
      <c r="O453" s="6">
        <v>0.33040000000000003</v>
      </c>
      <c r="P453" s="6">
        <v>0</v>
      </c>
      <c r="Q453" s="4" t="s">
        <v>26</v>
      </c>
      <c r="R453" s="4">
        <v>0</v>
      </c>
      <c r="S453" s="6">
        <v>0</v>
      </c>
      <c r="T453" s="6">
        <v>16</v>
      </c>
      <c r="U453" s="6">
        <v>54</v>
      </c>
      <c r="V453" s="6">
        <f>IF(ISERROR(VLOOKUP($S$453,'TAR FIN'!$A$1:$O$86,15,0)),0,VLOOKUP($S$453,'TAR FIN'!$A$1:$O$86,15,0))</f>
        <v>0</v>
      </c>
      <c r="W453" s="6">
        <f>IF(ISERROR(VLOOKUP($T$453,'TAR FIN'!$A$1:$O$86,15,0)),0,VLOOKUP($T$453,'TAR FIN'!$A$1:$O$86,15,0))</f>
        <v>297.89</v>
      </c>
      <c r="X453" s="6">
        <f>IF(ISERROR(VLOOKUP($U$453,'TAR FIN'!$A$1:$O$86,15,0)),0,VLOOKUP($U$453,'TAR FIN'!$A$1:$O$86,15,0))</f>
        <v>197.13</v>
      </c>
      <c r="Y453" s="6"/>
      <c r="Z453" s="6">
        <f ca="1">('TUSD BE'!$AM$33+'TUSD BF'!$AM$33+'TUSD CVA'!$AM$33)*(1-CUSTOS!$M$38)</f>
        <v>392.53302912886562</v>
      </c>
      <c r="AA453" s="6">
        <f>('TE BE'!$AB$24+'TE BF'!$AB$24+'TE CVA'!$AB$24)*(1-CUSTOS!$M$38)</f>
        <v>220.56513853363268</v>
      </c>
      <c r="AB453" s="6">
        <f>$K$453*$V$453</f>
        <v>0</v>
      </c>
      <c r="AC453" s="6">
        <f>$M$453*$W$453</f>
        <v>98.42285600000001</v>
      </c>
      <c r="AD453" s="6">
        <f>$O$453*$X$453</f>
        <v>65.131752000000006</v>
      </c>
      <c r="AE453" s="6">
        <f>$K$453*$Y$453</f>
        <v>0</v>
      </c>
      <c r="AF453" s="6">
        <f ca="1">$M$453*$Z$453</f>
        <v>129.6929128241772</v>
      </c>
      <c r="AG453" s="6">
        <f>$O$453*$AA$453</f>
        <v>72.874721771512242</v>
      </c>
    </row>
    <row r="454" spans="1:33" ht="11.25" customHeight="1" x14ac:dyDescent="0.25">
      <c r="A454" s="4" t="s">
        <v>21</v>
      </c>
      <c r="B454" s="4" t="s">
        <v>41</v>
      </c>
      <c r="C454" s="4" t="s">
        <v>23</v>
      </c>
      <c r="D454" s="4" t="s">
        <v>42</v>
      </c>
      <c r="E454" s="4" t="s">
        <v>52</v>
      </c>
      <c r="F454" s="4" t="s">
        <v>54</v>
      </c>
      <c r="G454" s="4" t="s">
        <v>25</v>
      </c>
      <c r="H454" s="4" t="s">
        <v>25</v>
      </c>
      <c r="I454" s="5">
        <v>44501</v>
      </c>
      <c r="J454" s="6">
        <v>0</v>
      </c>
      <c r="K454" s="6">
        <v>0</v>
      </c>
      <c r="L454" s="6">
        <v>1.579</v>
      </c>
      <c r="M454" s="6">
        <v>0.63160000000000005</v>
      </c>
      <c r="N454" s="6">
        <v>1.579</v>
      </c>
      <c r="O454" s="6">
        <v>0.63160000000000005</v>
      </c>
      <c r="P454" s="6">
        <v>0</v>
      </c>
      <c r="Q454" s="4" t="s">
        <v>26</v>
      </c>
      <c r="R454" s="4">
        <v>0</v>
      </c>
      <c r="S454" s="6">
        <v>0</v>
      </c>
      <c r="T454" s="6">
        <v>16</v>
      </c>
      <c r="U454" s="6">
        <v>54</v>
      </c>
      <c r="V454" s="6">
        <f>IF(ISERROR(VLOOKUP($S$454,'TAR FIN'!$A$1:$O$86,15,0)),0,VLOOKUP($S$454,'TAR FIN'!$A$1:$O$86,15,0))</f>
        <v>0</v>
      </c>
      <c r="W454" s="6">
        <f>IF(ISERROR(VLOOKUP($T$454,'TAR FIN'!$A$1:$O$86,15,0)),0,VLOOKUP($T$454,'TAR FIN'!$A$1:$O$86,15,0))</f>
        <v>297.89</v>
      </c>
      <c r="X454" s="6">
        <f>IF(ISERROR(VLOOKUP($U$454,'TAR FIN'!$A$1:$O$86,15,0)),0,VLOOKUP($U$454,'TAR FIN'!$A$1:$O$86,15,0))</f>
        <v>197.13</v>
      </c>
      <c r="Y454" s="6"/>
      <c r="Z454" s="6">
        <f ca="1">('TUSD BE'!$AM$33+'TUSD BF'!$AM$33+'TUSD CVA'!$AM$33)*(1-CUSTOS!$M$38)</f>
        <v>392.53302912886562</v>
      </c>
      <c r="AA454" s="6">
        <f>('TE BE'!$AB$24+'TE BF'!$AB$24+'TE CVA'!$AB$24)*(1-CUSTOS!$M$38)</f>
        <v>220.56513853363268</v>
      </c>
      <c r="AB454" s="6">
        <f>$K$454*$V$454</f>
        <v>0</v>
      </c>
      <c r="AC454" s="6">
        <f>$M$454*$W$454</f>
        <v>188.147324</v>
      </c>
      <c r="AD454" s="6">
        <f>$O$454*$X$454</f>
        <v>124.50730800000001</v>
      </c>
      <c r="AE454" s="6">
        <f>$K$454*$Y$454</f>
        <v>0</v>
      </c>
      <c r="AF454" s="6">
        <f ca="1">$M$454*$Z$454</f>
        <v>247.92386119779155</v>
      </c>
      <c r="AG454" s="6">
        <f>$O$454*$AA$454</f>
        <v>139.3089414978424</v>
      </c>
    </row>
    <row r="455" spans="1:33" ht="11.25" customHeight="1" x14ac:dyDescent="0.25">
      <c r="A455" s="4" t="s">
        <v>21</v>
      </c>
      <c r="B455" s="4" t="s">
        <v>41</v>
      </c>
      <c r="C455" s="4" t="s">
        <v>23</v>
      </c>
      <c r="D455" s="4" t="s">
        <v>42</v>
      </c>
      <c r="E455" s="4" t="s">
        <v>52</v>
      </c>
      <c r="F455" s="4" t="s">
        <v>54</v>
      </c>
      <c r="G455" s="4" t="s">
        <v>25</v>
      </c>
      <c r="H455" s="4" t="s">
        <v>25</v>
      </c>
      <c r="I455" s="5">
        <v>44531</v>
      </c>
      <c r="J455" s="6">
        <v>0</v>
      </c>
      <c r="K455" s="6">
        <v>0</v>
      </c>
      <c r="L455" s="6">
        <v>3.202</v>
      </c>
      <c r="M455" s="6">
        <v>1.2807999999999999</v>
      </c>
      <c r="N455" s="6">
        <v>3.202</v>
      </c>
      <c r="O455" s="6">
        <v>1.2807999999999999</v>
      </c>
      <c r="P455" s="6">
        <v>0</v>
      </c>
      <c r="Q455" s="4" t="s">
        <v>26</v>
      </c>
      <c r="R455" s="4">
        <v>0</v>
      </c>
      <c r="S455" s="6">
        <v>0</v>
      </c>
      <c r="T455" s="6">
        <v>16</v>
      </c>
      <c r="U455" s="6">
        <v>54</v>
      </c>
      <c r="V455" s="6">
        <f>IF(ISERROR(VLOOKUP($S$455,'TAR FIN'!$A$1:$O$86,15,0)),0,VLOOKUP($S$455,'TAR FIN'!$A$1:$O$86,15,0))</f>
        <v>0</v>
      </c>
      <c r="W455" s="6">
        <f>IF(ISERROR(VLOOKUP($T$455,'TAR FIN'!$A$1:$O$86,15,0)),0,VLOOKUP($T$455,'TAR FIN'!$A$1:$O$86,15,0))</f>
        <v>297.89</v>
      </c>
      <c r="X455" s="6">
        <f>IF(ISERROR(VLOOKUP($U$455,'TAR FIN'!$A$1:$O$86,15,0)),0,VLOOKUP($U$455,'TAR FIN'!$A$1:$O$86,15,0))</f>
        <v>197.13</v>
      </c>
      <c r="Y455" s="6"/>
      <c r="Z455" s="6">
        <f ca="1">('TUSD BE'!$AM$33+'TUSD BF'!$AM$33+'TUSD CVA'!$AM$33)*(1-CUSTOS!$M$38)</f>
        <v>392.53302912886562</v>
      </c>
      <c r="AA455" s="6">
        <f>('TE BE'!$AB$24+'TE BF'!$AB$24+'TE CVA'!$AB$24)*(1-CUSTOS!$M$38)</f>
        <v>220.56513853363268</v>
      </c>
      <c r="AB455" s="6">
        <f>$K$455*$V$455</f>
        <v>0</v>
      </c>
      <c r="AC455" s="6">
        <f>$M$455*$W$455</f>
        <v>381.53751199999999</v>
      </c>
      <c r="AD455" s="6">
        <f>$O$455*$X$455</f>
        <v>252.48410399999997</v>
      </c>
      <c r="AE455" s="6">
        <f>$K$455*$Y$455</f>
        <v>0</v>
      </c>
      <c r="AF455" s="6">
        <f ca="1">$M$455*$Z$455</f>
        <v>502.75630370825104</v>
      </c>
      <c r="AG455" s="6">
        <f>$O$455*$AA$455</f>
        <v>282.4998294338767</v>
      </c>
    </row>
    <row r="456" spans="1:33" ht="11.25" customHeight="1" x14ac:dyDescent="0.25">
      <c r="A456" s="4" t="s">
        <v>27</v>
      </c>
      <c r="B456" s="4" t="s">
        <v>41</v>
      </c>
      <c r="C456" s="4" t="s">
        <v>23</v>
      </c>
      <c r="D456" s="4" t="s">
        <v>42</v>
      </c>
      <c r="E456" s="4" t="s">
        <v>52</v>
      </c>
      <c r="F456" s="4" t="s">
        <v>54</v>
      </c>
      <c r="G456" s="4" t="s">
        <v>25</v>
      </c>
      <c r="H456" s="4" t="s">
        <v>25</v>
      </c>
      <c r="I456" s="5">
        <v>44531</v>
      </c>
      <c r="J456" s="6">
        <v>0</v>
      </c>
      <c r="K456" s="6">
        <v>0</v>
      </c>
      <c r="L456" s="6">
        <v>0.08</v>
      </c>
      <c r="M456" s="6">
        <v>3.2000000000000001E-2</v>
      </c>
      <c r="N456" s="6">
        <v>0.08</v>
      </c>
      <c r="O456" s="6">
        <v>3.2000000000000001E-2</v>
      </c>
      <c r="P456" s="6">
        <v>0</v>
      </c>
      <c r="Q456" s="4" t="s">
        <v>26</v>
      </c>
      <c r="R456" s="4">
        <v>0</v>
      </c>
      <c r="S456" s="6">
        <v>0</v>
      </c>
      <c r="T456" s="6">
        <v>16</v>
      </c>
      <c r="U456" s="6">
        <v>54</v>
      </c>
      <c r="V456" s="6">
        <f>IF(ISERROR(VLOOKUP($S$456,'TAR FIN'!$A$1:$O$86,15,0)),0,VLOOKUP($S$456,'TAR FIN'!$A$1:$O$86,15,0))</f>
        <v>0</v>
      </c>
      <c r="W456" s="6">
        <f>IF(ISERROR(VLOOKUP($T$456,'TAR FIN'!$A$1:$O$86,15,0)),0,VLOOKUP($T$456,'TAR FIN'!$A$1:$O$86,15,0))</f>
        <v>297.89</v>
      </c>
      <c r="X456" s="6">
        <f>IF(ISERROR(VLOOKUP($U$456,'TAR FIN'!$A$1:$O$86,15,0)),0,VLOOKUP($U$456,'TAR FIN'!$A$1:$O$86,15,0))</f>
        <v>197.13</v>
      </c>
      <c r="Y456" s="6"/>
      <c r="Z456" s="6">
        <f ca="1">('TUSD BE'!$AM$33+'TUSD BF'!$AM$33+'TUSD CVA'!$AM$33)*(1-CUSTOS!$M$38)</f>
        <v>392.53302912886562</v>
      </c>
      <c r="AA456" s="6">
        <f>('TE BE'!$AB$24+'TE BF'!$AB$24+'TE CVA'!$AB$24)*(1-CUSTOS!$M$38)</f>
        <v>220.56513853363268</v>
      </c>
      <c r="AB456" s="6">
        <f>$K$456*$V$456</f>
        <v>0</v>
      </c>
      <c r="AC456" s="6">
        <f>$M$456*$W$456</f>
        <v>9.5324799999999996</v>
      </c>
      <c r="AD456" s="6">
        <f>$O$456*$X$456</f>
        <v>6.30816</v>
      </c>
      <c r="AE456" s="6">
        <f>$K$456*$Y$456</f>
        <v>0</v>
      </c>
      <c r="AF456" s="6">
        <f ca="1">$M$456*$Z$456</f>
        <v>12.5610569321237</v>
      </c>
      <c r="AG456" s="6">
        <f>$O$456*$AA$456</f>
        <v>7.058084433076246</v>
      </c>
    </row>
    <row r="457" spans="1:33" ht="11.25" customHeight="1" x14ac:dyDescent="0.25">
      <c r="A457" s="4" t="s">
        <v>21</v>
      </c>
      <c r="B457" s="4" t="s">
        <v>41</v>
      </c>
      <c r="C457" s="4" t="s">
        <v>23</v>
      </c>
      <c r="D457" s="4" t="s">
        <v>42</v>
      </c>
      <c r="E457" s="4" t="s">
        <v>52</v>
      </c>
      <c r="F457" s="4" t="s">
        <v>54</v>
      </c>
      <c r="G457" s="4" t="s">
        <v>25</v>
      </c>
      <c r="H457" s="4" t="s">
        <v>25</v>
      </c>
      <c r="I457" s="5">
        <v>44562</v>
      </c>
      <c r="J457" s="6">
        <v>0</v>
      </c>
      <c r="K457" s="6">
        <v>0</v>
      </c>
      <c r="L457" s="6">
        <v>3.0150000000000001</v>
      </c>
      <c r="M457" s="6">
        <v>1.206</v>
      </c>
      <c r="N457" s="6">
        <v>3.0150000000000001</v>
      </c>
      <c r="O457" s="6">
        <v>1.206</v>
      </c>
      <c r="P457" s="6">
        <v>0</v>
      </c>
      <c r="Q457" s="4" t="s">
        <v>26</v>
      </c>
      <c r="R457" s="4">
        <v>0</v>
      </c>
      <c r="S457" s="6">
        <v>0</v>
      </c>
      <c r="T457" s="6">
        <v>16</v>
      </c>
      <c r="U457" s="6">
        <v>54</v>
      </c>
      <c r="V457" s="6">
        <f>IF(ISERROR(VLOOKUP($S$457,'TAR FIN'!$A$1:$O$86,15,0)),0,VLOOKUP($S$457,'TAR FIN'!$A$1:$O$86,15,0))</f>
        <v>0</v>
      </c>
      <c r="W457" s="6">
        <f>IF(ISERROR(VLOOKUP($T$457,'TAR FIN'!$A$1:$O$86,15,0)),0,VLOOKUP($T$457,'TAR FIN'!$A$1:$O$86,15,0))</f>
        <v>297.89</v>
      </c>
      <c r="X457" s="6">
        <f>IF(ISERROR(VLOOKUP($U$457,'TAR FIN'!$A$1:$O$86,15,0)),0,VLOOKUP($U$457,'TAR FIN'!$A$1:$O$86,15,0))</f>
        <v>197.13</v>
      </c>
      <c r="Y457" s="6"/>
      <c r="Z457" s="6">
        <f ca="1">('TUSD BE'!$AM$33+'TUSD BF'!$AM$33+'TUSD CVA'!$AM$33)*(1-CUSTOS!$M$38)</f>
        <v>392.53302912886562</v>
      </c>
      <c r="AA457" s="6">
        <f>('TE BE'!$AB$24+'TE BF'!$AB$24+'TE CVA'!$AB$24)*(1-CUSTOS!$M$38)</f>
        <v>220.56513853363268</v>
      </c>
      <c r="AB457" s="6">
        <f>$K$457*$V$457</f>
        <v>0</v>
      </c>
      <c r="AC457" s="6">
        <f>$M$457*$W$457</f>
        <v>359.25533999999999</v>
      </c>
      <c r="AD457" s="6">
        <f>$O$457*$X$457</f>
        <v>237.73877999999999</v>
      </c>
      <c r="AE457" s="6">
        <f>$K$457*$Y$457</f>
        <v>0</v>
      </c>
      <c r="AF457" s="6">
        <f ca="1">$M$457*$Z$457</f>
        <v>473.39483312941195</v>
      </c>
      <c r="AG457" s="6">
        <f>$O$457*$AA$457</f>
        <v>266.00155707156102</v>
      </c>
    </row>
    <row r="458" spans="1:33" ht="11.25" customHeight="1" x14ac:dyDescent="0.25">
      <c r="A458" s="4" t="s">
        <v>21</v>
      </c>
      <c r="B458" s="4" t="s">
        <v>41</v>
      </c>
      <c r="C458" s="4" t="s">
        <v>23</v>
      </c>
      <c r="D458" s="4" t="s">
        <v>42</v>
      </c>
      <c r="E458" s="4" t="s">
        <v>52</v>
      </c>
      <c r="F458" s="4" t="s">
        <v>54</v>
      </c>
      <c r="G458" s="4" t="s">
        <v>25</v>
      </c>
      <c r="H458" s="4" t="s">
        <v>25</v>
      </c>
      <c r="I458" s="5">
        <v>44593</v>
      </c>
      <c r="J458" s="6">
        <v>0</v>
      </c>
      <c r="K458" s="6">
        <v>0</v>
      </c>
      <c r="L458" s="6">
        <v>2.5670000000000002</v>
      </c>
      <c r="M458" s="6">
        <v>1.0267999999999999</v>
      </c>
      <c r="N458" s="6">
        <v>2.5670000000000002</v>
      </c>
      <c r="O458" s="6">
        <v>1.0267999999999999</v>
      </c>
      <c r="P458" s="6">
        <v>0</v>
      </c>
      <c r="Q458" s="4" t="s">
        <v>26</v>
      </c>
      <c r="R458" s="4">
        <v>0</v>
      </c>
      <c r="S458" s="6">
        <v>0</v>
      </c>
      <c r="T458" s="6">
        <v>16</v>
      </c>
      <c r="U458" s="6">
        <v>54</v>
      </c>
      <c r="V458" s="6">
        <f>IF(ISERROR(VLOOKUP($S$458,'TAR FIN'!$A$1:$O$86,15,0)),0,VLOOKUP($S$458,'TAR FIN'!$A$1:$O$86,15,0))</f>
        <v>0</v>
      </c>
      <c r="W458" s="6">
        <f>IF(ISERROR(VLOOKUP($T$458,'TAR FIN'!$A$1:$O$86,15,0)),0,VLOOKUP($T$458,'TAR FIN'!$A$1:$O$86,15,0))</f>
        <v>297.89</v>
      </c>
      <c r="X458" s="6">
        <f>IF(ISERROR(VLOOKUP($U$458,'TAR FIN'!$A$1:$O$86,15,0)),0,VLOOKUP($U$458,'TAR FIN'!$A$1:$O$86,15,0))</f>
        <v>197.13</v>
      </c>
      <c r="Y458" s="6"/>
      <c r="Z458" s="6">
        <f ca="1">('TUSD BE'!$AM$33+'TUSD BF'!$AM$33+'TUSD CVA'!$AM$33)*(1-CUSTOS!$M$38)</f>
        <v>392.53302912886562</v>
      </c>
      <c r="AA458" s="6">
        <f>('TE BE'!$AB$24+'TE BF'!$AB$24+'TE CVA'!$AB$24)*(1-CUSTOS!$M$38)</f>
        <v>220.56513853363268</v>
      </c>
      <c r="AB458" s="6">
        <f>$K$458*$V$458</f>
        <v>0</v>
      </c>
      <c r="AC458" s="6">
        <f>$M$458*$W$458</f>
        <v>305.87345199999999</v>
      </c>
      <c r="AD458" s="6">
        <f>$O$458*$X$458</f>
        <v>202.41308399999997</v>
      </c>
      <c r="AE458" s="6">
        <f>$K$458*$Y$458</f>
        <v>0</v>
      </c>
      <c r="AF458" s="6">
        <f ca="1">$M$458*$Z$458</f>
        <v>403.05291430951917</v>
      </c>
      <c r="AG458" s="6">
        <f>$O$458*$AA$458</f>
        <v>226.47628424633402</v>
      </c>
    </row>
    <row r="459" spans="1:33" ht="11.25" customHeight="1" x14ac:dyDescent="0.25">
      <c r="A459" s="4" t="s">
        <v>21</v>
      </c>
      <c r="B459" s="4" t="s">
        <v>41</v>
      </c>
      <c r="C459" s="4" t="s">
        <v>23</v>
      </c>
      <c r="D459" s="4" t="s">
        <v>42</v>
      </c>
      <c r="E459" s="4" t="s">
        <v>52</v>
      </c>
      <c r="F459" s="4" t="s">
        <v>54</v>
      </c>
      <c r="G459" s="4" t="s">
        <v>25</v>
      </c>
      <c r="H459" s="4" t="s">
        <v>25</v>
      </c>
      <c r="I459" s="5">
        <v>44621</v>
      </c>
      <c r="J459" s="6">
        <v>0</v>
      </c>
      <c r="K459" s="6">
        <v>0</v>
      </c>
      <c r="L459" s="6">
        <v>0.36399999999999999</v>
      </c>
      <c r="M459" s="6">
        <v>0.14560000000000001</v>
      </c>
      <c r="N459" s="6">
        <v>0.36399999999999999</v>
      </c>
      <c r="O459" s="6">
        <v>0.14560000000000001</v>
      </c>
      <c r="P459" s="6">
        <v>0</v>
      </c>
      <c r="Q459" s="4" t="s">
        <v>26</v>
      </c>
      <c r="R459" s="4">
        <v>0</v>
      </c>
      <c r="S459" s="6">
        <v>0</v>
      </c>
      <c r="T459" s="6">
        <v>16</v>
      </c>
      <c r="U459" s="6">
        <v>54</v>
      </c>
      <c r="V459" s="6">
        <f>IF(ISERROR(VLOOKUP($S$459,'TAR FIN'!$A$1:$O$86,15,0)),0,VLOOKUP($S$459,'TAR FIN'!$A$1:$O$86,15,0))</f>
        <v>0</v>
      </c>
      <c r="W459" s="6">
        <f>IF(ISERROR(VLOOKUP($T$459,'TAR FIN'!$A$1:$O$86,15,0)),0,VLOOKUP($T$459,'TAR FIN'!$A$1:$O$86,15,0))</f>
        <v>297.89</v>
      </c>
      <c r="X459" s="6">
        <f>IF(ISERROR(VLOOKUP($U$459,'TAR FIN'!$A$1:$O$86,15,0)),0,VLOOKUP($U$459,'TAR FIN'!$A$1:$O$86,15,0))</f>
        <v>197.13</v>
      </c>
      <c r="Y459" s="6"/>
      <c r="Z459" s="6">
        <f ca="1">('TUSD BE'!$AM$33+'TUSD BF'!$AM$33+'TUSD CVA'!$AM$33)*(1-CUSTOS!$M$38)</f>
        <v>392.53302912886562</v>
      </c>
      <c r="AA459" s="6">
        <f>('TE BE'!$AB$24+'TE BF'!$AB$24+'TE CVA'!$AB$24)*(1-CUSTOS!$M$38)</f>
        <v>220.56513853363268</v>
      </c>
      <c r="AB459" s="6">
        <f>$K$459*$V$459</f>
        <v>0</v>
      </c>
      <c r="AC459" s="6">
        <f>$M$459*$W$459</f>
        <v>43.372784000000003</v>
      </c>
      <c r="AD459" s="6">
        <f>$O$459*$X$459</f>
        <v>28.702128000000002</v>
      </c>
      <c r="AE459" s="6">
        <f>$K$459*$Y$459</f>
        <v>0</v>
      </c>
      <c r="AF459" s="6">
        <f ca="1">$M$459*$Z$459</f>
        <v>57.15280904116284</v>
      </c>
      <c r="AG459" s="6">
        <f>$O$459*$AA$459</f>
        <v>32.114284170496923</v>
      </c>
    </row>
    <row r="460" spans="1:33" ht="11.25" customHeight="1" x14ac:dyDescent="0.25">
      <c r="A460" s="4" t="s">
        <v>21</v>
      </c>
      <c r="B460" s="4" t="s">
        <v>41</v>
      </c>
      <c r="C460" s="4" t="s">
        <v>23</v>
      </c>
      <c r="D460" s="4" t="s">
        <v>42</v>
      </c>
      <c r="E460" s="4" t="s">
        <v>52</v>
      </c>
      <c r="F460" s="4" t="s">
        <v>54</v>
      </c>
      <c r="G460" s="4" t="s">
        <v>25</v>
      </c>
      <c r="H460" s="4" t="s">
        <v>25</v>
      </c>
      <c r="I460" s="5">
        <v>44652</v>
      </c>
      <c r="J460" s="6">
        <v>0</v>
      </c>
      <c r="K460" s="6">
        <v>0</v>
      </c>
      <c r="L460" s="6">
        <v>2.9000000000000001E-2</v>
      </c>
      <c r="M460" s="6">
        <v>1.1599999999999999E-2</v>
      </c>
      <c r="N460" s="6">
        <v>2.9000000000000001E-2</v>
      </c>
      <c r="O460" s="6">
        <v>1.1599999999999999E-2</v>
      </c>
      <c r="P460" s="6">
        <v>0</v>
      </c>
      <c r="Q460" s="4" t="s">
        <v>26</v>
      </c>
      <c r="R460" s="4">
        <v>0</v>
      </c>
      <c r="S460" s="6">
        <v>0</v>
      </c>
      <c r="T460" s="6">
        <v>16</v>
      </c>
      <c r="U460" s="6">
        <v>54</v>
      </c>
      <c r="V460" s="6">
        <f>IF(ISERROR(VLOOKUP($S$460,'TAR FIN'!$A$1:$O$86,15,0)),0,VLOOKUP($S$460,'TAR FIN'!$A$1:$O$86,15,0))</f>
        <v>0</v>
      </c>
      <c r="W460" s="6">
        <f>IF(ISERROR(VLOOKUP($T$460,'TAR FIN'!$A$1:$O$86,15,0)),0,VLOOKUP($T$460,'TAR FIN'!$A$1:$O$86,15,0))</f>
        <v>297.89</v>
      </c>
      <c r="X460" s="6">
        <f>IF(ISERROR(VLOOKUP($U$460,'TAR FIN'!$A$1:$O$86,15,0)),0,VLOOKUP($U$460,'TAR FIN'!$A$1:$O$86,15,0))</f>
        <v>197.13</v>
      </c>
      <c r="Y460" s="6"/>
      <c r="Z460" s="6">
        <f ca="1">('TUSD BE'!$AM$33+'TUSD BF'!$AM$33+'TUSD CVA'!$AM$33)*(1-CUSTOS!$M$38)</f>
        <v>392.53302912886562</v>
      </c>
      <c r="AA460" s="6">
        <f>('TE BE'!$AB$24+'TE BF'!$AB$24+'TE CVA'!$AB$24)*(1-CUSTOS!$M$38)</f>
        <v>220.56513853363268</v>
      </c>
      <c r="AB460" s="6">
        <f>$K$460*$V$460</f>
        <v>0</v>
      </c>
      <c r="AC460" s="6">
        <f>$M$460*$W$460</f>
        <v>3.4555239999999996</v>
      </c>
      <c r="AD460" s="6">
        <f>$O$460*$X$460</f>
        <v>2.286708</v>
      </c>
      <c r="AE460" s="6">
        <f>$K$460*$Y$460</f>
        <v>0</v>
      </c>
      <c r="AF460" s="6">
        <f ca="1">$M$460*$Z$460</f>
        <v>4.5533831378948406</v>
      </c>
      <c r="AG460" s="6">
        <f>$O$460*$AA$460</f>
        <v>2.5585556069901387</v>
      </c>
    </row>
    <row r="461" spans="1:33" ht="11.25" customHeight="1" x14ac:dyDescent="0.25">
      <c r="A461" s="4" t="s">
        <v>21</v>
      </c>
      <c r="B461" s="4" t="s">
        <v>41</v>
      </c>
      <c r="C461" s="4" t="s">
        <v>23</v>
      </c>
      <c r="D461" s="4" t="s">
        <v>42</v>
      </c>
      <c r="E461" s="4" t="s">
        <v>52</v>
      </c>
      <c r="F461" s="4" t="s">
        <v>54</v>
      </c>
      <c r="G461" s="4" t="s">
        <v>25</v>
      </c>
      <c r="H461" s="4" t="s">
        <v>25</v>
      </c>
      <c r="I461" s="5">
        <v>44682</v>
      </c>
      <c r="J461" s="6">
        <v>0</v>
      </c>
      <c r="K461" s="6">
        <v>0</v>
      </c>
      <c r="L461" s="6">
        <v>2.7E-2</v>
      </c>
      <c r="M461" s="6">
        <v>1.0800000000000001E-2</v>
      </c>
      <c r="N461" s="6">
        <v>2.7E-2</v>
      </c>
      <c r="O461" s="6">
        <v>1.0800000000000001E-2</v>
      </c>
      <c r="P461" s="6">
        <v>0</v>
      </c>
      <c r="Q461" s="4" t="s">
        <v>26</v>
      </c>
      <c r="R461" s="4">
        <v>0</v>
      </c>
      <c r="S461" s="6">
        <v>0</v>
      </c>
      <c r="T461" s="6">
        <v>16</v>
      </c>
      <c r="U461" s="6">
        <v>54</v>
      </c>
      <c r="V461" s="6">
        <f>IF(ISERROR(VLOOKUP($S$461,'TAR FIN'!$A$1:$O$86,15,0)),0,VLOOKUP($S$461,'TAR FIN'!$A$1:$O$86,15,0))</f>
        <v>0</v>
      </c>
      <c r="W461" s="6">
        <f>IF(ISERROR(VLOOKUP($T$461,'TAR FIN'!$A$1:$O$86,15,0)),0,VLOOKUP($T$461,'TAR FIN'!$A$1:$O$86,15,0))</f>
        <v>297.89</v>
      </c>
      <c r="X461" s="6">
        <f>IF(ISERROR(VLOOKUP($U$461,'TAR FIN'!$A$1:$O$86,15,0)),0,VLOOKUP($U$461,'TAR FIN'!$A$1:$O$86,15,0))</f>
        <v>197.13</v>
      </c>
      <c r="Y461" s="6"/>
      <c r="Z461" s="6">
        <f ca="1">('TUSD BE'!$AM$33+'TUSD BF'!$AM$33+'TUSD CVA'!$AM$33)*(1-CUSTOS!$M$38)</f>
        <v>392.53302912886562</v>
      </c>
      <c r="AA461" s="6">
        <f>('TE BE'!$AB$24+'TE BF'!$AB$24+'TE CVA'!$AB$24)*(1-CUSTOS!$M$38)</f>
        <v>220.56513853363268</v>
      </c>
      <c r="AB461" s="6">
        <f>$K$461*$V$461</f>
        <v>0</v>
      </c>
      <c r="AC461" s="6">
        <f>$M$461*$W$461</f>
        <v>3.217212</v>
      </c>
      <c r="AD461" s="6">
        <f>$O$461*$X$461</f>
        <v>2.1290040000000001</v>
      </c>
      <c r="AE461" s="6">
        <f>$K$461*$Y$461</f>
        <v>0</v>
      </c>
      <c r="AF461" s="6">
        <f ca="1">$M$461*$Z$461</f>
        <v>4.2393567145917492</v>
      </c>
      <c r="AG461" s="6">
        <f>$O$461*$AA$461</f>
        <v>2.382103496163233</v>
      </c>
    </row>
    <row r="462" spans="1:33" ht="11.25" customHeight="1" x14ac:dyDescent="0.25">
      <c r="A462" s="4" t="s">
        <v>27</v>
      </c>
      <c r="B462" s="4" t="s">
        <v>41</v>
      </c>
      <c r="C462" s="4" t="s">
        <v>23</v>
      </c>
      <c r="D462" s="4" t="s">
        <v>42</v>
      </c>
      <c r="E462" s="4" t="s">
        <v>52</v>
      </c>
      <c r="F462" s="4" t="s">
        <v>54</v>
      </c>
      <c r="G462" s="4" t="s">
        <v>25</v>
      </c>
      <c r="H462" s="4" t="s">
        <v>25</v>
      </c>
      <c r="I462" s="5">
        <v>44682</v>
      </c>
      <c r="J462" s="6">
        <v>0</v>
      </c>
      <c r="K462" s="6">
        <v>0</v>
      </c>
      <c r="L462" s="6">
        <v>0.09</v>
      </c>
      <c r="M462" s="6">
        <v>3.5999999999999997E-2</v>
      </c>
      <c r="N462" s="6">
        <v>0.09</v>
      </c>
      <c r="O462" s="6">
        <v>3.5999999999999997E-2</v>
      </c>
      <c r="P462" s="6">
        <v>0</v>
      </c>
      <c r="Q462" s="4" t="s">
        <v>26</v>
      </c>
      <c r="R462" s="4">
        <v>0</v>
      </c>
      <c r="S462" s="6">
        <v>0</v>
      </c>
      <c r="T462" s="6">
        <v>16</v>
      </c>
      <c r="U462" s="6">
        <v>54</v>
      </c>
      <c r="V462" s="6">
        <f>IF(ISERROR(VLOOKUP($S$462,'TAR FIN'!$A$1:$O$86,15,0)),0,VLOOKUP($S$462,'TAR FIN'!$A$1:$O$86,15,0))</f>
        <v>0</v>
      </c>
      <c r="W462" s="6">
        <f>IF(ISERROR(VLOOKUP($T$462,'TAR FIN'!$A$1:$O$86,15,0)),0,VLOOKUP($T$462,'TAR FIN'!$A$1:$O$86,15,0))</f>
        <v>297.89</v>
      </c>
      <c r="X462" s="6">
        <f>IF(ISERROR(VLOOKUP($U$462,'TAR FIN'!$A$1:$O$86,15,0)),0,VLOOKUP($U$462,'TAR FIN'!$A$1:$O$86,15,0))</f>
        <v>197.13</v>
      </c>
      <c r="Y462" s="6"/>
      <c r="Z462" s="6">
        <f ca="1">('TUSD BE'!$AM$33+'TUSD BF'!$AM$33+'TUSD CVA'!$AM$33)*(1-CUSTOS!$M$38)</f>
        <v>392.53302912886562</v>
      </c>
      <c r="AA462" s="6">
        <f>('TE BE'!$AB$24+'TE BF'!$AB$24+'TE CVA'!$AB$24)*(1-CUSTOS!$M$38)</f>
        <v>220.56513853363268</v>
      </c>
      <c r="AB462" s="6">
        <f>$K$462*$V$462</f>
        <v>0</v>
      </c>
      <c r="AC462" s="6">
        <f>$M$462*$W$462</f>
        <v>10.724039999999999</v>
      </c>
      <c r="AD462" s="6">
        <f>$O$462*$X$462</f>
        <v>7.0966799999999992</v>
      </c>
      <c r="AE462" s="6">
        <f>$K$462*$Y$462</f>
        <v>0</v>
      </c>
      <c r="AF462" s="6">
        <f ca="1">$M$462*$Z$462</f>
        <v>14.131189048639161</v>
      </c>
      <c r="AG462" s="6">
        <f>$O$462*$AA$462</f>
        <v>7.9403449872107759</v>
      </c>
    </row>
    <row r="463" spans="1:33" ht="11.25" customHeight="1" x14ac:dyDescent="0.25">
      <c r="A463" s="4" t="s">
        <v>21</v>
      </c>
      <c r="B463" s="4" t="s">
        <v>41</v>
      </c>
      <c r="C463" s="4" t="s">
        <v>23</v>
      </c>
      <c r="D463" s="4" t="s">
        <v>42</v>
      </c>
      <c r="E463" s="4" t="s">
        <v>52</v>
      </c>
      <c r="F463" s="4" t="s">
        <v>54</v>
      </c>
      <c r="G463" s="4" t="s">
        <v>25</v>
      </c>
      <c r="H463" s="4" t="s">
        <v>25</v>
      </c>
      <c r="I463" s="5">
        <v>44713</v>
      </c>
      <c r="J463" s="6">
        <v>0</v>
      </c>
      <c r="K463" s="6">
        <v>0</v>
      </c>
      <c r="L463" s="6">
        <v>2.3E-2</v>
      </c>
      <c r="M463" s="6">
        <v>9.1999999999999998E-3</v>
      </c>
      <c r="N463" s="6">
        <v>2.3E-2</v>
      </c>
      <c r="O463" s="6">
        <v>9.1999999999999998E-3</v>
      </c>
      <c r="P463" s="6">
        <v>0</v>
      </c>
      <c r="Q463" s="4" t="s">
        <v>26</v>
      </c>
      <c r="R463" s="4">
        <v>0</v>
      </c>
      <c r="S463" s="6">
        <v>0</v>
      </c>
      <c r="T463" s="6">
        <v>16</v>
      </c>
      <c r="U463" s="6">
        <v>54</v>
      </c>
      <c r="V463" s="6">
        <f>IF(ISERROR(VLOOKUP($S$463,'TAR FIN'!$A$1:$O$86,15,0)),0,VLOOKUP($S$463,'TAR FIN'!$A$1:$O$86,15,0))</f>
        <v>0</v>
      </c>
      <c r="W463" s="6">
        <f>IF(ISERROR(VLOOKUP($T$463,'TAR FIN'!$A$1:$O$86,15,0)),0,VLOOKUP($T$463,'TAR FIN'!$A$1:$O$86,15,0))</f>
        <v>297.89</v>
      </c>
      <c r="X463" s="6">
        <f>IF(ISERROR(VLOOKUP($U$463,'TAR FIN'!$A$1:$O$86,15,0)),0,VLOOKUP($U$463,'TAR FIN'!$A$1:$O$86,15,0))</f>
        <v>197.13</v>
      </c>
      <c r="Y463" s="6"/>
      <c r="Z463" s="6">
        <f ca="1">('TUSD BE'!$AM$33+'TUSD BF'!$AM$33+'TUSD CVA'!$AM$33)*(1-CUSTOS!$M$38)</f>
        <v>392.53302912886562</v>
      </c>
      <c r="AA463" s="6">
        <f>('TE BE'!$AB$24+'TE BF'!$AB$24+'TE CVA'!$AB$24)*(1-CUSTOS!$M$38)</f>
        <v>220.56513853363268</v>
      </c>
      <c r="AB463" s="6">
        <f>$K$463*$V$463</f>
        <v>0</v>
      </c>
      <c r="AC463" s="6">
        <f>$M$463*$W$463</f>
        <v>2.7405879999999998</v>
      </c>
      <c r="AD463" s="6">
        <f>$O$463*$X$463</f>
        <v>1.813596</v>
      </c>
      <c r="AE463" s="6">
        <f>$K$463*$Y$463</f>
        <v>0</v>
      </c>
      <c r="AF463" s="6">
        <f ca="1">$M$463*$Z$463</f>
        <v>3.6113038679855638</v>
      </c>
      <c r="AG463" s="6">
        <f>$O$463*$AA$463</f>
        <v>2.0291992745094207</v>
      </c>
    </row>
    <row r="464" spans="1:33" ht="11.25" customHeight="1" x14ac:dyDescent="0.25">
      <c r="A464" s="4" t="s">
        <v>55</v>
      </c>
      <c r="B464" s="4" t="s">
        <v>41</v>
      </c>
      <c r="C464" s="4" t="s">
        <v>23</v>
      </c>
      <c r="D464" s="4" t="s">
        <v>42</v>
      </c>
      <c r="E464" s="4" t="s">
        <v>52</v>
      </c>
      <c r="F464" s="4" t="s">
        <v>54</v>
      </c>
      <c r="G464" s="4" t="s">
        <v>25</v>
      </c>
      <c r="H464" s="4" t="s">
        <v>25</v>
      </c>
      <c r="I464" s="5">
        <v>44743</v>
      </c>
      <c r="J464" s="6">
        <v>0</v>
      </c>
      <c r="K464" s="6">
        <v>0</v>
      </c>
      <c r="L464" s="6">
        <v>2.3E-2</v>
      </c>
      <c r="M464" s="6">
        <v>9.1999999999999998E-3</v>
      </c>
      <c r="N464" s="6">
        <v>2.3E-2</v>
      </c>
      <c r="O464" s="6">
        <v>9.1999999999999998E-3</v>
      </c>
      <c r="P464" s="6">
        <v>0</v>
      </c>
      <c r="Q464" s="4" t="s">
        <v>26</v>
      </c>
      <c r="R464" s="4">
        <v>0</v>
      </c>
      <c r="S464" s="6">
        <v>0</v>
      </c>
      <c r="T464" s="6">
        <v>16</v>
      </c>
      <c r="U464" s="6">
        <v>54</v>
      </c>
      <c r="V464" s="6">
        <f>IF(ISERROR(VLOOKUP($S$464,'TAR FIN'!$A$1:$O$86,15,0)),0,VLOOKUP($S$464,'TAR FIN'!$A$1:$O$86,15,0))</f>
        <v>0</v>
      </c>
      <c r="W464" s="6">
        <f>IF(ISERROR(VLOOKUP($T$464,'TAR FIN'!$A$1:$O$86,15,0)),0,VLOOKUP($T$464,'TAR FIN'!$A$1:$O$86,15,0))</f>
        <v>297.89</v>
      </c>
      <c r="X464" s="6">
        <f>IF(ISERROR(VLOOKUP($U$464,'TAR FIN'!$A$1:$O$86,15,0)),0,VLOOKUP($U$464,'TAR FIN'!$A$1:$O$86,15,0))</f>
        <v>197.13</v>
      </c>
      <c r="Y464" s="6"/>
      <c r="Z464" s="6">
        <f ca="1">('TUSD BE'!$AM$33+'TUSD BF'!$AM$33+'TUSD CVA'!$AM$33)*(1-CUSTOS!$M$38)</f>
        <v>392.53302912886562</v>
      </c>
      <c r="AA464" s="6">
        <f>('TE BE'!$AB$24+'TE BF'!$AB$24+'TE CVA'!$AB$24)*(1-CUSTOS!$M$38)</f>
        <v>220.56513853363268</v>
      </c>
      <c r="AB464" s="6">
        <f>$K$464*$V$464</f>
        <v>0</v>
      </c>
      <c r="AC464" s="6">
        <f>$M$464*$W$464</f>
        <v>2.7405879999999998</v>
      </c>
      <c r="AD464" s="6">
        <f>$O$464*$X$464</f>
        <v>1.813596</v>
      </c>
      <c r="AE464" s="6">
        <f>$K$464*$Y$464</f>
        <v>0</v>
      </c>
      <c r="AF464" s="6">
        <f ca="1">$M$464*$Z$464</f>
        <v>3.6113038679855638</v>
      </c>
      <c r="AG464" s="6">
        <f>$O$464*$AA$464</f>
        <v>2.0291992745094207</v>
      </c>
    </row>
    <row r="465" spans="1:33" ht="11.25" customHeight="1" x14ac:dyDescent="0.25">
      <c r="A465" s="4" t="s">
        <v>21</v>
      </c>
      <c r="B465" s="4" t="s">
        <v>41</v>
      </c>
      <c r="C465" s="4" t="s">
        <v>23</v>
      </c>
      <c r="D465" s="4" t="s">
        <v>42</v>
      </c>
      <c r="E465" s="4" t="s">
        <v>25</v>
      </c>
      <c r="F465" s="4" t="s">
        <v>25</v>
      </c>
      <c r="G465" s="4" t="s">
        <v>25</v>
      </c>
      <c r="H465" s="4" t="s">
        <v>25</v>
      </c>
      <c r="I465" s="5">
        <v>44409</v>
      </c>
      <c r="J465" s="6">
        <v>0</v>
      </c>
      <c r="K465" s="6">
        <v>0</v>
      </c>
      <c r="L465" s="6">
        <v>751.04300000000001</v>
      </c>
      <c r="M465" s="6">
        <v>751.04300000000001</v>
      </c>
      <c r="N465" s="6">
        <v>751.04300000000001</v>
      </c>
      <c r="O465" s="6">
        <v>751.04300000000001</v>
      </c>
      <c r="P465" s="6">
        <v>2482</v>
      </c>
      <c r="Q465" s="4" t="s">
        <v>26</v>
      </c>
      <c r="R465" s="4">
        <v>0</v>
      </c>
      <c r="S465" s="6">
        <v>0</v>
      </c>
      <c r="T465" s="6">
        <v>16</v>
      </c>
      <c r="U465" s="6">
        <v>54</v>
      </c>
      <c r="V465" s="6">
        <f>IF(ISERROR(VLOOKUP($S$465,'TAR FIN'!$A$1:$O$86,15,0)),0,VLOOKUP($S$465,'TAR FIN'!$A$1:$O$86,15,0))</f>
        <v>0</v>
      </c>
      <c r="W465" s="6">
        <f>IF(ISERROR(VLOOKUP($T$465,'TAR FIN'!$A$1:$O$86,15,0)),0,VLOOKUP($T$465,'TAR FIN'!$A$1:$O$86,15,0))</f>
        <v>297.89</v>
      </c>
      <c r="X465" s="6">
        <f>IF(ISERROR(VLOOKUP($U$465,'TAR FIN'!$A$1:$O$86,15,0)),0,VLOOKUP($U$465,'TAR FIN'!$A$1:$O$86,15,0))</f>
        <v>197.13</v>
      </c>
      <c r="Y465" s="6"/>
      <c r="Z465" s="6">
        <f ca="1">('TUSD BE'!$AM$33+'TUSD BF'!$AM$33+'TUSD CVA'!$AM$33)*(1-CUSTOS!$M$38)</f>
        <v>392.53302912886562</v>
      </c>
      <c r="AA465" s="6">
        <f>('TE BE'!$AB$24+'TE BF'!$AB$24+'TE CVA'!$AB$24)*(1-CUSTOS!$M$38)</f>
        <v>220.56513853363268</v>
      </c>
      <c r="AB465" s="6">
        <f>$K$465*$V$465</f>
        <v>0</v>
      </c>
      <c r="AC465" s="6">
        <f>$M$465*$W$465</f>
        <v>223728.19926999998</v>
      </c>
      <c r="AD465" s="6">
        <f>$O$465*$X$465</f>
        <v>148053.10659000001</v>
      </c>
      <c r="AE465" s="6">
        <f>$K$465*$Y$465</f>
        <v>0</v>
      </c>
      <c r="AF465" s="6">
        <f ca="1">$M$465*$Z$465</f>
        <v>294809.18379603064</v>
      </c>
      <c r="AG465" s="6">
        <f>$O$465*$AA$465</f>
        <v>165653.90333971509</v>
      </c>
    </row>
    <row r="466" spans="1:33" ht="11.25" customHeight="1" x14ac:dyDescent="0.25">
      <c r="A466" s="4" t="s">
        <v>27</v>
      </c>
      <c r="B466" s="4" t="s">
        <v>41</v>
      </c>
      <c r="C466" s="4" t="s">
        <v>23</v>
      </c>
      <c r="D466" s="4" t="s">
        <v>42</v>
      </c>
      <c r="E466" s="4" t="s">
        <v>25</v>
      </c>
      <c r="F466" s="4" t="s">
        <v>25</v>
      </c>
      <c r="G466" s="4" t="s">
        <v>25</v>
      </c>
      <c r="H466" s="4" t="s">
        <v>25</v>
      </c>
      <c r="I466" s="5">
        <v>44409</v>
      </c>
      <c r="J466" s="6">
        <v>0</v>
      </c>
      <c r="K466" s="6">
        <v>0</v>
      </c>
      <c r="L466" s="6">
        <v>-1.2769999999999999</v>
      </c>
      <c r="M466" s="6">
        <v>-1.2769999999999999</v>
      </c>
      <c r="N466" s="6">
        <v>-1.2769999999999999</v>
      </c>
      <c r="O466" s="6">
        <v>-1.2769999999999999</v>
      </c>
      <c r="P466" s="6">
        <v>0</v>
      </c>
      <c r="Q466" s="4" t="s">
        <v>26</v>
      </c>
      <c r="R466" s="4">
        <v>0</v>
      </c>
      <c r="S466" s="6">
        <v>0</v>
      </c>
      <c r="T466" s="6">
        <v>16</v>
      </c>
      <c r="U466" s="6">
        <v>54</v>
      </c>
      <c r="V466" s="6">
        <f>IF(ISERROR(VLOOKUP($S$466,'TAR FIN'!$A$1:$O$86,15,0)),0,VLOOKUP($S$466,'TAR FIN'!$A$1:$O$86,15,0))</f>
        <v>0</v>
      </c>
      <c r="W466" s="6">
        <f>IF(ISERROR(VLOOKUP($T$466,'TAR FIN'!$A$1:$O$86,15,0)),0,VLOOKUP($T$466,'TAR FIN'!$A$1:$O$86,15,0))</f>
        <v>297.89</v>
      </c>
      <c r="X466" s="6">
        <f>IF(ISERROR(VLOOKUP($U$466,'TAR FIN'!$A$1:$O$86,15,0)),0,VLOOKUP($U$466,'TAR FIN'!$A$1:$O$86,15,0))</f>
        <v>197.13</v>
      </c>
      <c r="Y466" s="6"/>
      <c r="Z466" s="6">
        <f ca="1">('TUSD BE'!$AM$33+'TUSD BF'!$AM$33+'TUSD CVA'!$AM$33)*(1-CUSTOS!$M$38)</f>
        <v>392.53302912886562</v>
      </c>
      <c r="AA466" s="6">
        <f>('TE BE'!$AB$24+'TE BF'!$AB$24+'TE CVA'!$AB$24)*(1-CUSTOS!$M$38)</f>
        <v>220.56513853363268</v>
      </c>
      <c r="AB466" s="6">
        <f>$K$466*$V$466</f>
        <v>0</v>
      </c>
      <c r="AC466" s="6">
        <f>$M$466*$W$466</f>
        <v>-380.40552999999994</v>
      </c>
      <c r="AD466" s="6">
        <f>$O$466*$X$466</f>
        <v>-251.73500999999999</v>
      </c>
      <c r="AE466" s="6">
        <f>$K$466*$Y$466</f>
        <v>0</v>
      </c>
      <c r="AF466" s="6">
        <f ca="1">$M$466*$Z$466</f>
        <v>-501.26467819756135</v>
      </c>
      <c r="AG466" s="6">
        <f>$O$466*$AA$466</f>
        <v>-281.66168190744889</v>
      </c>
    </row>
    <row r="467" spans="1:33" ht="11.25" customHeight="1" x14ac:dyDescent="0.25">
      <c r="A467" s="4" t="s">
        <v>28</v>
      </c>
      <c r="B467" s="4" t="s">
        <v>41</v>
      </c>
      <c r="C467" s="4" t="s">
        <v>23</v>
      </c>
      <c r="D467" s="4" t="s">
        <v>42</v>
      </c>
      <c r="E467" s="4" t="s">
        <v>25</v>
      </c>
      <c r="F467" s="4" t="s">
        <v>25</v>
      </c>
      <c r="G467" s="4" t="s">
        <v>25</v>
      </c>
      <c r="H467" s="4" t="s">
        <v>25</v>
      </c>
      <c r="I467" s="5">
        <v>44409</v>
      </c>
      <c r="J467" s="6">
        <v>0</v>
      </c>
      <c r="K467" s="6">
        <v>0</v>
      </c>
      <c r="L467" s="6">
        <v>6.4160000000000004</v>
      </c>
      <c r="M467" s="6">
        <v>6.4160000000000004</v>
      </c>
      <c r="N467" s="6">
        <v>6.4160000000000004</v>
      </c>
      <c r="O467" s="6">
        <v>6.4160000000000004</v>
      </c>
      <c r="P467" s="6">
        <v>10</v>
      </c>
      <c r="Q467" s="4" t="s">
        <v>26</v>
      </c>
      <c r="R467" s="4">
        <v>0</v>
      </c>
      <c r="S467" s="6">
        <v>0</v>
      </c>
      <c r="T467" s="6">
        <v>16</v>
      </c>
      <c r="U467" s="6">
        <v>54</v>
      </c>
      <c r="V467" s="6">
        <f>IF(ISERROR(VLOOKUP($S$467,'TAR FIN'!$A$1:$O$86,15,0)),0,VLOOKUP($S$467,'TAR FIN'!$A$1:$O$86,15,0))</f>
        <v>0</v>
      </c>
      <c r="W467" s="6">
        <f>IF(ISERROR(VLOOKUP($T$467,'TAR FIN'!$A$1:$O$86,15,0)),0,VLOOKUP($T$467,'TAR FIN'!$A$1:$O$86,15,0))</f>
        <v>297.89</v>
      </c>
      <c r="X467" s="6">
        <f>IF(ISERROR(VLOOKUP($U$467,'TAR FIN'!$A$1:$O$86,15,0)),0,VLOOKUP($U$467,'TAR FIN'!$A$1:$O$86,15,0))</f>
        <v>197.13</v>
      </c>
      <c r="Y467" s="6"/>
      <c r="Z467" s="6">
        <f ca="1">('TUSD BE'!$AM$33+'TUSD BF'!$AM$33+'TUSD CVA'!$AM$33)*(1-CUSTOS!$M$38)</f>
        <v>392.53302912886562</v>
      </c>
      <c r="AA467" s="6">
        <f>('TE BE'!$AB$24+'TE BF'!$AB$24+'TE CVA'!$AB$24)*(1-CUSTOS!$M$38)</f>
        <v>220.56513853363268</v>
      </c>
      <c r="AB467" s="6">
        <f>$K$467*$V$467</f>
        <v>0</v>
      </c>
      <c r="AC467" s="6">
        <f>$M$467*$W$467</f>
        <v>1911.26224</v>
      </c>
      <c r="AD467" s="6">
        <f>$O$467*$X$467</f>
        <v>1264.7860800000001</v>
      </c>
      <c r="AE467" s="6">
        <f>$K$467*$Y$467</f>
        <v>0</v>
      </c>
      <c r="AF467" s="6">
        <f ca="1">$M$467*$Z$467</f>
        <v>2518.491914890802</v>
      </c>
      <c r="AG467" s="6">
        <f>$O$467*$AA$467</f>
        <v>1415.1459288317874</v>
      </c>
    </row>
    <row r="468" spans="1:33" ht="11.25" customHeight="1" x14ac:dyDescent="0.25">
      <c r="A468" s="4" t="s">
        <v>21</v>
      </c>
      <c r="B468" s="4" t="s">
        <v>41</v>
      </c>
      <c r="C468" s="4" t="s">
        <v>23</v>
      </c>
      <c r="D468" s="4" t="s">
        <v>42</v>
      </c>
      <c r="E468" s="4" t="s">
        <v>25</v>
      </c>
      <c r="F468" s="4" t="s">
        <v>25</v>
      </c>
      <c r="G468" s="4" t="s">
        <v>25</v>
      </c>
      <c r="H468" s="4" t="s">
        <v>25</v>
      </c>
      <c r="I468" s="5">
        <v>44440</v>
      </c>
      <c r="J468" s="6">
        <v>0</v>
      </c>
      <c r="K468" s="6">
        <v>0</v>
      </c>
      <c r="L468" s="6">
        <v>922.43</v>
      </c>
      <c r="M468" s="6">
        <v>922.43</v>
      </c>
      <c r="N468" s="6">
        <v>922.43</v>
      </c>
      <c r="O468" s="6">
        <v>922.43</v>
      </c>
      <c r="P468" s="6">
        <v>2485</v>
      </c>
      <c r="Q468" s="4" t="s">
        <v>26</v>
      </c>
      <c r="R468" s="4">
        <v>0</v>
      </c>
      <c r="S468" s="6">
        <v>0</v>
      </c>
      <c r="T468" s="6">
        <v>16</v>
      </c>
      <c r="U468" s="6">
        <v>54</v>
      </c>
      <c r="V468" s="6">
        <f>IF(ISERROR(VLOOKUP($S$468,'TAR FIN'!$A$1:$O$86,15,0)),0,VLOOKUP($S$468,'TAR FIN'!$A$1:$O$86,15,0))</f>
        <v>0</v>
      </c>
      <c r="W468" s="6">
        <f>IF(ISERROR(VLOOKUP($T$468,'TAR FIN'!$A$1:$O$86,15,0)),0,VLOOKUP($T$468,'TAR FIN'!$A$1:$O$86,15,0))</f>
        <v>297.89</v>
      </c>
      <c r="X468" s="6">
        <f>IF(ISERROR(VLOOKUP($U$468,'TAR FIN'!$A$1:$O$86,15,0)),0,VLOOKUP($U$468,'TAR FIN'!$A$1:$O$86,15,0))</f>
        <v>197.13</v>
      </c>
      <c r="Y468" s="6"/>
      <c r="Z468" s="6">
        <f ca="1">('TUSD BE'!$AM$33+'TUSD BF'!$AM$33+'TUSD CVA'!$AM$33)*(1-CUSTOS!$M$38)</f>
        <v>392.53302912886562</v>
      </c>
      <c r="AA468" s="6">
        <f>('TE BE'!$AB$24+'TE BF'!$AB$24+'TE CVA'!$AB$24)*(1-CUSTOS!$M$38)</f>
        <v>220.56513853363268</v>
      </c>
      <c r="AB468" s="6">
        <f>$K$468*$V$468</f>
        <v>0</v>
      </c>
      <c r="AC468" s="6">
        <f>$M$468*$W$468</f>
        <v>274782.6727</v>
      </c>
      <c r="AD468" s="6">
        <f>$O$468*$X$468</f>
        <v>181838.62589999998</v>
      </c>
      <c r="AE468" s="6">
        <f>$K$468*$Y$468</f>
        <v>0</v>
      </c>
      <c r="AF468" s="6">
        <f ca="1">$M$468*$Z$468</f>
        <v>362084.24205933948</v>
      </c>
      <c r="AG468" s="6">
        <f>$O$468*$AA$468</f>
        <v>203455.90073757878</v>
      </c>
    </row>
    <row r="469" spans="1:33" ht="11.25" customHeight="1" x14ac:dyDescent="0.25">
      <c r="A469" s="4" t="s">
        <v>27</v>
      </c>
      <c r="B469" s="4" t="s">
        <v>41</v>
      </c>
      <c r="C469" s="4" t="s">
        <v>23</v>
      </c>
      <c r="D469" s="4" t="s">
        <v>42</v>
      </c>
      <c r="E469" s="4" t="s">
        <v>25</v>
      </c>
      <c r="F469" s="4" t="s">
        <v>25</v>
      </c>
      <c r="G469" s="4" t="s">
        <v>25</v>
      </c>
      <c r="H469" s="4" t="s">
        <v>25</v>
      </c>
      <c r="I469" s="5">
        <v>44440</v>
      </c>
      <c r="J469" s="6">
        <v>0</v>
      </c>
      <c r="K469" s="6">
        <v>0</v>
      </c>
      <c r="L469" s="6">
        <v>-0.497</v>
      </c>
      <c r="M469" s="6">
        <v>-0.497</v>
      </c>
      <c r="N469" s="6">
        <v>-0.497</v>
      </c>
      <c r="O469" s="6">
        <v>-0.497</v>
      </c>
      <c r="P469" s="6">
        <v>0</v>
      </c>
      <c r="Q469" s="4" t="s">
        <v>26</v>
      </c>
      <c r="R469" s="4">
        <v>0</v>
      </c>
      <c r="S469" s="6">
        <v>0</v>
      </c>
      <c r="T469" s="6">
        <v>16</v>
      </c>
      <c r="U469" s="6">
        <v>54</v>
      </c>
      <c r="V469" s="6">
        <f>IF(ISERROR(VLOOKUP($S$469,'TAR FIN'!$A$1:$O$86,15,0)),0,VLOOKUP($S$469,'TAR FIN'!$A$1:$O$86,15,0))</f>
        <v>0</v>
      </c>
      <c r="W469" s="6">
        <f>IF(ISERROR(VLOOKUP($T$469,'TAR FIN'!$A$1:$O$86,15,0)),0,VLOOKUP($T$469,'TAR FIN'!$A$1:$O$86,15,0))</f>
        <v>297.89</v>
      </c>
      <c r="X469" s="6">
        <f>IF(ISERROR(VLOOKUP($U$469,'TAR FIN'!$A$1:$O$86,15,0)),0,VLOOKUP($U$469,'TAR FIN'!$A$1:$O$86,15,0))</f>
        <v>197.13</v>
      </c>
      <c r="Y469" s="6"/>
      <c r="Z469" s="6">
        <f ca="1">('TUSD BE'!$AM$33+'TUSD BF'!$AM$33+'TUSD CVA'!$AM$33)*(1-CUSTOS!$M$38)</f>
        <v>392.53302912886562</v>
      </c>
      <c r="AA469" s="6">
        <f>('TE BE'!$AB$24+'TE BF'!$AB$24+'TE CVA'!$AB$24)*(1-CUSTOS!$M$38)</f>
        <v>220.56513853363268</v>
      </c>
      <c r="AB469" s="6">
        <f>$K$469*$V$469</f>
        <v>0</v>
      </c>
      <c r="AC469" s="6">
        <f>$M$469*$W$469</f>
        <v>-148.05132999999998</v>
      </c>
      <c r="AD469" s="6">
        <f>$O$469*$X$469</f>
        <v>-97.973609999999994</v>
      </c>
      <c r="AE469" s="6">
        <f>$K$469*$Y$469</f>
        <v>0</v>
      </c>
      <c r="AF469" s="6">
        <f ca="1">$M$469*$Z$469</f>
        <v>-195.08891547704621</v>
      </c>
      <c r="AG469" s="6">
        <f>$O$469*$AA$469</f>
        <v>-109.62087385121544</v>
      </c>
    </row>
    <row r="470" spans="1:33" ht="11.25" customHeight="1" x14ac:dyDescent="0.25">
      <c r="A470" s="4" t="s">
        <v>28</v>
      </c>
      <c r="B470" s="4" t="s">
        <v>41</v>
      </c>
      <c r="C470" s="4" t="s">
        <v>23</v>
      </c>
      <c r="D470" s="4" t="s">
        <v>42</v>
      </c>
      <c r="E470" s="4" t="s">
        <v>25</v>
      </c>
      <c r="F470" s="4" t="s">
        <v>25</v>
      </c>
      <c r="G470" s="4" t="s">
        <v>25</v>
      </c>
      <c r="H470" s="4" t="s">
        <v>25</v>
      </c>
      <c r="I470" s="5">
        <v>44440</v>
      </c>
      <c r="J470" s="6">
        <v>0</v>
      </c>
      <c r="K470" s="6">
        <v>0</v>
      </c>
      <c r="L470" s="6">
        <v>8.3219999999999992</v>
      </c>
      <c r="M470" s="6">
        <v>8.3219999999999992</v>
      </c>
      <c r="N470" s="6">
        <v>8.3219999999999992</v>
      </c>
      <c r="O470" s="6">
        <v>8.3219999999999992</v>
      </c>
      <c r="P470" s="6">
        <v>11</v>
      </c>
      <c r="Q470" s="4" t="s">
        <v>26</v>
      </c>
      <c r="R470" s="4">
        <v>0</v>
      </c>
      <c r="S470" s="6">
        <v>0</v>
      </c>
      <c r="T470" s="6">
        <v>16</v>
      </c>
      <c r="U470" s="6">
        <v>54</v>
      </c>
      <c r="V470" s="6">
        <f>IF(ISERROR(VLOOKUP($S$470,'TAR FIN'!$A$1:$O$86,15,0)),0,VLOOKUP($S$470,'TAR FIN'!$A$1:$O$86,15,0))</f>
        <v>0</v>
      </c>
      <c r="W470" s="6">
        <f>IF(ISERROR(VLOOKUP($T$470,'TAR FIN'!$A$1:$O$86,15,0)),0,VLOOKUP($T$470,'TAR FIN'!$A$1:$O$86,15,0))</f>
        <v>297.89</v>
      </c>
      <c r="X470" s="6">
        <f>IF(ISERROR(VLOOKUP($U$470,'TAR FIN'!$A$1:$O$86,15,0)),0,VLOOKUP($U$470,'TAR FIN'!$A$1:$O$86,15,0))</f>
        <v>197.13</v>
      </c>
      <c r="Y470" s="6"/>
      <c r="Z470" s="6">
        <f ca="1">('TUSD BE'!$AM$33+'TUSD BF'!$AM$33+'TUSD CVA'!$AM$33)*(1-CUSTOS!$M$38)</f>
        <v>392.53302912886562</v>
      </c>
      <c r="AA470" s="6">
        <f>('TE BE'!$AB$24+'TE BF'!$AB$24+'TE CVA'!$AB$24)*(1-CUSTOS!$M$38)</f>
        <v>220.56513853363268</v>
      </c>
      <c r="AB470" s="6">
        <f>$K$470*$V$470</f>
        <v>0</v>
      </c>
      <c r="AC470" s="6">
        <f>$M$470*$W$470</f>
        <v>2479.0405799999999</v>
      </c>
      <c r="AD470" s="6">
        <f>$O$470*$X$470</f>
        <v>1640.5158599999997</v>
      </c>
      <c r="AE470" s="6">
        <f>$K$470*$Y$470</f>
        <v>0</v>
      </c>
      <c r="AF470" s="6">
        <f ca="1">$M$470*$Z$470</f>
        <v>3266.6598684104192</v>
      </c>
      <c r="AG470" s="6">
        <f>$O$470*$AA$470</f>
        <v>1835.543082876891</v>
      </c>
    </row>
    <row r="471" spans="1:33" ht="11.25" customHeight="1" x14ac:dyDescent="0.25">
      <c r="A471" s="4" t="s">
        <v>21</v>
      </c>
      <c r="B471" s="4" t="s">
        <v>41</v>
      </c>
      <c r="C471" s="4" t="s">
        <v>23</v>
      </c>
      <c r="D471" s="4" t="s">
        <v>42</v>
      </c>
      <c r="E471" s="4" t="s">
        <v>25</v>
      </c>
      <c r="F471" s="4" t="s">
        <v>25</v>
      </c>
      <c r="G471" s="4" t="s">
        <v>25</v>
      </c>
      <c r="H471" s="4" t="s">
        <v>25</v>
      </c>
      <c r="I471" s="5">
        <v>44470</v>
      </c>
      <c r="J471" s="6">
        <v>0</v>
      </c>
      <c r="K471" s="6">
        <v>0</v>
      </c>
      <c r="L471" s="6">
        <v>1154.396</v>
      </c>
      <c r="M471" s="6">
        <v>1154.396</v>
      </c>
      <c r="N471" s="6">
        <v>1154.396</v>
      </c>
      <c r="O471" s="6">
        <v>1154.396</v>
      </c>
      <c r="P471" s="6">
        <v>2488</v>
      </c>
      <c r="Q471" s="4" t="s">
        <v>26</v>
      </c>
      <c r="R471" s="4">
        <v>0</v>
      </c>
      <c r="S471" s="6">
        <v>0</v>
      </c>
      <c r="T471" s="6">
        <v>16</v>
      </c>
      <c r="U471" s="6">
        <v>54</v>
      </c>
      <c r="V471" s="6">
        <f>IF(ISERROR(VLOOKUP($S$471,'TAR FIN'!$A$1:$O$86,15,0)),0,VLOOKUP($S$471,'TAR FIN'!$A$1:$O$86,15,0))</f>
        <v>0</v>
      </c>
      <c r="W471" s="6">
        <f>IF(ISERROR(VLOOKUP($T$471,'TAR FIN'!$A$1:$O$86,15,0)),0,VLOOKUP($T$471,'TAR FIN'!$A$1:$O$86,15,0))</f>
        <v>297.89</v>
      </c>
      <c r="X471" s="6">
        <f>IF(ISERROR(VLOOKUP($U$471,'TAR FIN'!$A$1:$O$86,15,0)),0,VLOOKUP($U$471,'TAR FIN'!$A$1:$O$86,15,0))</f>
        <v>197.13</v>
      </c>
      <c r="Y471" s="6"/>
      <c r="Z471" s="6">
        <f ca="1">('TUSD BE'!$AM$33+'TUSD BF'!$AM$33+'TUSD CVA'!$AM$33)*(1-CUSTOS!$M$38)</f>
        <v>392.53302912886562</v>
      </c>
      <c r="AA471" s="6">
        <f>('TE BE'!$AB$24+'TE BF'!$AB$24+'TE CVA'!$AB$24)*(1-CUSTOS!$M$38)</f>
        <v>220.56513853363268</v>
      </c>
      <c r="AB471" s="6">
        <f>$K$471*$V$471</f>
        <v>0</v>
      </c>
      <c r="AC471" s="6">
        <f>$M$471*$W$471</f>
        <v>343883.02443999995</v>
      </c>
      <c r="AD471" s="6">
        <f>$O$471*$X$471</f>
        <v>227566.08347999997</v>
      </c>
      <c r="AE471" s="6">
        <f>$K$471*$Y$471</f>
        <v>0</v>
      </c>
      <c r="AF471" s="6">
        <f ca="1">$M$471*$Z$471</f>
        <v>453138.55869424593</v>
      </c>
      <c r="AG471" s="6">
        <f>$O$471*$AA$471</f>
        <v>254619.51366267141</v>
      </c>
    </row>
    <row r="472" spans="1:33" ht="11.25" customHeight="1" x14ac:dyDescent="0.25">
      <c r="A472" s="4" t="s">
        <v>28</v>
      </c>
      <c r="B472" s="4" t="s">
        <v>41</v>
      </c>
      <c r="C472" s="4" t="s">
        <v>23</v>
      </c>
      <c r="D472" s="4" t="s">
        <v>42</v>
      </c>
      <c r="E472" s="4" t="s">
        <v>25</v>
      </c>
      <c r="F472" s="4" t="s">
        <v>25</v>
      </c>
      <c r="G472" s="4" t="s">
        <v>25</v>
      </c>
      <c r="H472" s="4" t="s">
        <v>25</v>
      </c>
      <c r="I472" s="5">
        <v>44470</v>
      </c>
      <c r="J472" s="6">
        <v>0</v>
      </c>
      <c r="K472" s="6">
        <v>0</v>
      </c>
      <c r="L472" s="6">
        <v>11.291</v>
      </c>
      <c r="M472" s="6">
        <v>11.291</v>
      </c>
      <c r="N472" s="6">
        <v>11.291</v>
      </c>
      <c r="O472" s="6">
        <v>11.291</v>
      </c>
      <c r="P472" s="6">
        <v>12</v>
      </c>
      <c r="Q472" s="4" t="s">
        <v>26</v>
      </c>
      <c r="R472" s="4">
        <v>0</v>
      </c>
      <c r="S472" s="6">
        <v>0</v>
      </c>
      <c r="T472" s="6">
        <v>16</v>
      </c>
      <c r="U472" s="6">
        <v>54</v>
      </c>
      <c r="V472" s="6">
        <f>IF(ISERROR(VLOOKUP($S$472,'TAR FIN'!$A$1:$O$86,15,0)),0,VLOOKUP($S$472,'TAR FIN'!$A$1:$O$86,15,0))</f>
        <v>0</v>
      </c>
      <c r="W472" s="6">
        <f>IF(ISERROR(VLOOKUP($T$472,'TAR FIN'!$A$1:$O$86,15,0)),0,VLOOKUP($T$472,'TAR FIN'!$A$1:$O$86,15,0))</f>
        <v>297.89</v>
      </c>
      <c r="X472" s="6">
        <f>IF(ISERROR(VLOOKUP($U$472,'TAR FIN'!$A$1:$O$86,15,0)),0,VLOOKUP($U$472,'TAR FIN'!$A$1:$O$86,15,0))</f>
        <v>197.13</v>
      </c>
      <c r="Y472" s="6"/>
      <c r="Z472" s="6">
        <f ca="1">('TUSD BE'!$AM$33+'TUSD BF'!$AM$33+'TUSD CVA'!$AM$33)*(1-CUSTOS!$M$38)</f>
        <v>392.53302912886562</v>
      </c>
      <c r="AA472" s="6">
        <f>('TE BE'!$AB$24+'TE BF'!$AB$24+'TE CVA'!$AB$24)*(1-CUSTOS!$M$38)</f>
        <v>220.56513853363268</v>
      </c>
      <c r="AB472" s="6">
        <f>$K$472*$V$472</f>
        <v>0</v>
      </c>
      <c r="AC472" s="6">
        <f>$M$472*$W$472</f>
        <v>3363.4759899999999</v>
      </c>
      <c r="AD472" s="6">
        <f>$O$472*$X$472</f>
        <v>2225.7948299999998</v>
      </c>
      <c r="AE472" s="6">
        <f>$K$472*$Y$472</f>
        <v>0</v>
      </c>
      <c r="AF472" s="6">
        <f ca="1">$M$472*$Z$472</f>
        <v>4432.090431894022</v>
      </c>
      <c r="AG472" s="6">
        <f>$O$472*$AA$472</f>
        <v>2490.4009791832468</v>
      </c>
    </row>
    <row r="473" spans="1:33" ht="11.25" customHeight="1" x14ac:dyDescent="0.25">
      <c r="A473" s="4" t="s">
        <v>21</v>
      </c>
      <c r="B473" s="4" t="s">
        <v>41</v>
      </c>
      <c r="C473" s="4" t="s">
        <v>23</v>
      </c>
      <c r="D473" s="4" t="s">
        <v>42</v>
      </c>
      <c r="E473" s="4" t="s">
        <v>25</v>
      </c>
      <c r="F473" s="4" t="s">
        <v>25</v>
      </c>
      <c r="G473" s="4" t="s">
        <v>25</v>
      </c>
      <c r="H473" s="4" t="s">
        <v>25</v>
      </c>
      <c r="I473" s="5">
        <v>44501</v>
      </c>
      <c r="J473" s="6">
        <v>0</v>
      </c>
      <c r="K473" s="6">
        <v>0</v>
      </c>
      <c r="L473" s="6">
        <v>1512.5139999999999</v>
      </c>
      <c r="M473" s="6">
        <v>1512.5139999999999</v>
      </c>
      <c r="N473" s="6">
        <v>1512.5139999999999</v>
      </c>
      <c r="O473" s="6">
        <v>1512.5139999999999</v>
      </c>
      <c r="P473" s="6">
        <v>2485</v>
      </c>
      <c r="Q473" s="4" t="s">
        <v>26</v>
      </c>
      <c r="R473" s="4">
        <v>0</v>
      </c>
      <c r="S473" s="6">
        <v>0</v>
      </c>
      <c r="T473" s="6">
        <v>16</v>
      </c>
      <c r="U473" s="6">
        <v>54</v>
      </c>
      <c r="V473" s="6">
        <f>IF(ISERROR(VLOOKUP($S$473,'TAR FIN'!$A$1:$O$86,15,0)),0,VLOOKUP($S$473,'TAR FIN'!$A$1:$O$86,15,0))</f>
        <v>0</v>
      </c>
      <c r="W473" s="6">
        <f>IF(ISERROR(VLOOKUP($T$473,'TAR FIN'!$A$1:$O$86,15,0)),0,VLOOKUP($T$473,'TAR FIN'!$A$1:$O$86,15,0))</f>
        <v>297.89</v>
      </c>
      <c r="X473" s="6">
        <f>IF(ISERROR(VLOOKUP($U$473,'TAR FIN'!$A$1:$O$86,15,0)),0,VLOOKUP($U$473,'TAR FIN'!$A$1:$O$86,15,0))</f>
        <v>197.13</v>
      </c>
      <c r="Y473" s="6"/>
      <c r="Z473" s="6">
        <f ca="1">('TUSD BE'!$AM$33+'TUSD BF'!$AM$33+'TUSD CVA'!$AM$33)*(1-CUSTOS!$M$38)</f>
        <v>392.53302912886562</v>
      </c>
      <c r="AA473" s="6">
        <f>('TE BE'!$AB$24+'TE BF'!$AB$24+'TE CVA'!$AB$24)*(1-CUSTOS!$M$38)</f>
        <v>220.56513853363268</v>
      </c>
      <c r="AB473" s="6">
        <f>$K$473*$V$473</f>
        <v>0</v>
      </c>
      <c r="AC473" s="6">
        <f>$M$473*$W$473</f>
        <v>450562.79545999994</v>
      </c>
      <c r="AD473" s="6">
        <f>$O$473*$X$473</f>
        <v>298161.88481999998</v>
      </c>
      <c r="AE473" s="6">
        <f>$K$473*$Y$473</f>
        <v>0</v>
      </c>
      <c r="AF473" s="6">
        <f ca="1">$M$473*$Z$473</f>
        <v>593711.70201981696</v>
      </c>
      <c r="AG473" s="6">
        <f>$O$473*$AA$473</f>
        <v>333607.85994405887</v>
      </c>
    </row>
    <row r="474" spans="1:33" ht="11.25" customHeight="1" x14ac:dyDescent="0.25">
      <c r="A474" s="4" t="s">
        <v>27</v>
      </c>
      <c r="B474" s="4" t="s">
        <v>41</v>
      </c>
      <c r="C474" s="4" t="s">
        <v>23</v>
      </c>
      <c r="D474" s="4" t="s">
        <v>42</v>
      </c>
      <c r="E474" s="4" t="s">
        <v>25</v>
      </c>
      <c r="F474" s="4" t="s">
        <v>25</v>
      </c>
      <c r="G474" s="4" t="s">
        <v>25</v>
      </c>
      <c r="H474" s="4" t="s">
        <v>25</v>
      </c>
      <c r="I474" s="5">
        <v>44501</v>
      </c>
      <c r="J474" s="6">
        <v>0</v>
      </c>
      <c r="K474" s="6">
        <v>0</v>
      </c>
      <c r="L474" s="6">
        <v>-2.9809999999999999</v>
      </c>
      <c r="M474" s="6">
        <v>-2.9809999999999999</v>
      </c>
      <c r="N474" s="6">
        <v>-2.9809999999999999</v>
      </c>
      <c r="O474" s="6">
        <v>-2.9809999999999999</v>
      </c>
      <c r="P474" s="6">
        <v>0</v>
      </c>
      <c r="Q474" s="4" t="s">
        <v>26</v>
      </c>
      <c r="R474" s="4">
        <v>0</v>
      </c>
      <c r="S474" s="6">
        <v>0</v>
      </c>
      <c r="T474" s="6">
        <v>16</v>
      </c>
      <c r="U474" s="6">
        <v>54</v>
      </c>
      <c r="V474" s="6">
        <f>IF(ISERROR(VLOOKUP($S$474,'TAR FIN'!$A$1:$O$86,15,0)),0,VLOOKUP($S$474,'TAR FIN'!$A$1:$O$86,15,0))</f>
        <v>0</v>
      </c>
      <c r="W474" s="6">
        <f>IF(ISERROR(VLOOKUP($T$474,'TAR FIN'!$A$1:$O$86,15,0)),0,VLOOKUP($T$474,'TAR FIN'!$A$1:$O$86,15,0))</f>
        <v>297.89</v>
      </c>
      <c r="X474" s="6">
        <f>IF(ISERROR(VLOOKUP($U$474,'TAR FIN'!$A$1:$O$86,15,0)),0,VLOOKUP($U$474,'TAR FIN'!$A$1:$O$86,15,0))</f>
        <v>197.13</v>
      </c>
      <c r="Y474" s="6"/>
      <c r="Z474" s="6">
        <f ca="1">('TUSD BE'!$AM$33+'TUSD BF'!$AM$33+'TUSD CVA'!$AM$33)*(1-CUSTOS!$M$38)</f>
        <v>392.53302912886562</v>
      </c>
      <c r="AA474" s="6">
        <f>('TE BE'!$AB$24+'TE BF'!$AB$24+'TE CVA'!$AB$24)*(1-CUSTOS!$M$38)</f>
        <v>220.56513853363268</v>
      </c>
      <c r="AB474" s="6">
        <f>$K$474*$V$474</f>
        <v>0</v>
      </c>
      <c r="AC474" s="6">
        <f>$M$474*$W$474</f>
        <v>-888.01008999999988</v>
      </c>
      <c r="AD474" s="6">
        <f>$O$474*$X$474</f>
        <v>-587.64452999999992</v>
      </c>
      <c r="AE474" s="6">
        <f>$K$474*$Y$474</f>
        <v>0</v>
      </c>
      <c r="AF474" s="6">
        <f ca="1">$M$474*$Z$474</f>
        <v>-1170.1409598331484</v>
      </c>
      <c r="AG474" s="6">
        <f>$O$474*$AA$474</f>
        <v>-657.50467796875898</v>
      </c>
    </row>
    <row r="475" spans="1:33" ht="11.25" customHeight="1" x14ac:dyDescent="0.25">
      <c r="A475" s="4" t="s">
        <v>28</v>
      </c>
      <c r="B475" s="4" t="s">
        <v>41</v>
      </c>
      <c r="C475" s="4" t="s">
        <v>23</v>
      </c>
      <c r="D475" s="4" t="s">
        <v>42</v>
      </c>
      <c r="E475" s="4" t="s">
        <v>25</v>
      </c>
      <c r="F475" s="4" t="s">
        <v>25</v>
      </c>
      <c r="G475" s="4" t="s">
        <v>25</v>
      </c>
      <c r="H475" s="4" t="s">
        <v>25</v>
      </c>
      <c r="I475" s="5">
        <v>44501</v>
      </c>
      <c r="J475" s="6">
        <v>0</v>
      </c>
      <c r="K475" s="6">
        <v>0</v>
      </c>
      <c r="L475" s="6">
        <v>8.0329999999999995</v>
      </c>
      <c r="M475" s="6">
        <v>8.0329999999999995</v>
      </c>
      <c r="N475" s="6">
        <v>8.0329999999999995</v>
      </c>
      <c r="O475" s="6">
        <v>8.0329999999999995</v>
      </c>
      <c r="P475" s="6">
        <v>13</v>
      </c>
      <c r="Q475" s="4" t="s">
        <v>26</v>
      </c>
      <c r="R475" s="4">
        <v>0</v>
      </c>
      <c r="S475" s="6">
        <v>0</v>
      </c>
      <c r="T475" s="6">
        <v>16</v>
      </c>
      <c r="U475" s="6">
        <v>54</v>
      </c>
      <c r="V475" s="6">
        <f>IF(ISERROR(VLOOKUP($S$475,'TAR FIN'!$A$1:$O$86,15,0)),0,VLOOKUP($S$475,'TAR FIN'!$A$1:$O$86,15,0))</f>
        <v>0</v>
      </c>
      <c r="W475" s="6">
        <f>IF(ISERROR(VLOOKUP($T$475,'TAR FIN'!$A$1:$O$86,15,0)),0,VLOOKUP($T$475,'TAR FIN'!$A$1:$O$86,15,0))</f>
        <v>297.89</v>
      </c>
      <c r="X475" s="6">
        <f>IF(ISERROR(VLOOKUP($U$475,'TAR FIN'!$A$1:$O$86,15,0)),0,VLOOKUP($U$475,'TAR FIN'!$A$1:$O$86,15,0))</f>
        <v>197.13</v>
      </c>
      <c r="Y475" s="6"/>
      <c r="Z475" s="6">
        <f ca="1">('TUSD BE'!$AM$33+'TUSD BF'!$AM$33+'TUSD CVA'!$AM$33)*(1-CUSTOS!$M$38)</f>
        <v>392.53302912886562</v>
      </c>
      <c r="AA475" s="6">
        <f>('TE BE'!$AB$24+'TE BF'!$AB$24+'TE CVA'!$AB$24)*(1-CUSTOS!$M$38)</f>
        <v>220.56513853363268</v>
      </c>
      <c r="AB475" s="6">
        <f>$K$475*$V$475</f>
        <v>0</v>
      </c>
      <c r="AC475" s="6">
        <f>$M$475*$W$475</f>
        <v>2392.9503699999996</v>
      </c>
      <c r="AD475" s="6">
        <f>$O$475*$X$475</f>
        <v>1583.5452899999998</v>
      </c>
      <c r="AE475" s="6">
        <f>$K$475*$Y$475</f>
        <v>0</v>
      </c>
      <c r="AF475" s="6">
        <f ca="1">$M$475*$Z$475</f>
        <v>3153.2178229921774</v>
      </c>
      <c r="AG475" s="6">
        <f>$O$475*$AA$475</f>
        <v>1771.7997578406712</v>
      </c>
    </row>
    <row r="476" spans="1:33" ht="11.25" customHeight="1" x14ac:dyDescent="0.25">
      <c r="A476" s="4" t="s">
        <v>21</v>
      </c>
      <c r="B476" s="4" t="s">
        <v>41</v>
      </c>
      <c r="C476" s="4" t="s">
        <v>23</v>
      </c>
      <c r="D476" s="4" t="s">
        <v>42</v>
      </c>
      <c r="E476" s="4" t="s">
        <v>25</v>
      </c>
      <c r="F476" s="4" t="s">
        <v>25</v>
      </c>
      <c r="G476" s="4" t="s">
        <v>25</v>
      </c>
      <c r="H476" s="4" t="s">
        <v>25</v>
      </c>
      <c r="I476" s="5">
        <v>44531</v>
      </c>
      <c r="J476" s="6">
        <v>0</v>
      </c>
      <c r="K476" s="6">
        <v>0</v>
      </c>
      <c r="L476" s="6">
        <v>1420.2070000000001</v>
      </c>
      <c r="M476" s="6">
        <v>1420.2070000000001</v>
      </c>
      <c r="N476" s="6">
        <v>1420.2070000000001</v>
      </c>
      <c r="O476" s="6">
        <v>1420.2070000000001</v>
      </c>
      <c r="P476" s="6">
        <v>2491</v>
      </c>
      <c r="Q476" s="4" t="s">
        <v>26</v>
      </c>
      <c r="R476" s="4">
        <v>0</v>
      </c>
      <c r="S476" s="6">
        <v>0</v>
      </c>
      <c r="T476" s="6">
        <v>16</v>
      </c>
      <c r="U476" s="6">
        <v>54</v>
      </c>
      <c r="V476" s="6">
        <f>IF(ISERROR(VLOOKUP($S$476,'TAR FIN'!$A$1:$O$86,15,0)),0,VLOOKUP($S$476,'TAR FIN'!$A$1:$O$86,15,0))</f>
        <v>0</v>
      </c>
      <c r="W476" s="6">
        <f>IF(ISERROR(VLOOKUP($T$476,'TAR FIN'!$A$1:$O$86,15,0)),0,VLOOKUP($T$476,'TAR FIN'!$A$1:$O$86,15,0))</f>
        <v>297.89</v>
      </c>
      <c r="X476" s="6">
        <f>IF(ISERROR(VLOOKUP($U$476,'TAR FIN'!$A$1:$O$86,15,0)),0,VLOOKUP($U$476,'TAR FIN'!$A$1:$O$86,15,0))</f>
        <v>197.13</v>
      </c>
      <c r="Y476" s="6"/>
      <c r="Z476" s="6">
        <f ca="1">('TUSD BE'!$AM$33+'TUSD BF'!$AM$33+'TUSD CVA'!$AM$33)*(1-CUSTOS!$M$38)</f>
        <v>392.53302912886562</v>
      </c>
      <c r="AA476" s="6">
        <f>('TE BE'!$AB$24+'TE BF'!$AB$24+'TE CVA'!$AB$24)*(1-CUSTOS!$M$38)</f>
        <v>220.56513853363268</v>
      </c>
      <c r="AB476" s="6">
        <f>$K$476*$V$476</f>
        <v>0</v>
      </c>
      <c r="AC476" s="6">
        <f>$M$476*$W$476</f>
        <v>423065.46322999999</v>
      </c>
      <c r="AD476" s="6">
        <f>$O$476*$X$476</f>
        <v>279965.40591000003</v>
      </c>
      <c r="AE476" s="6">
        <f>$K$476*$Y$476</f>
        <v>0</v>
      </c>
      <c r="AF476" s="6">
        <f ca="1">$M$476*$Z$476</f>
        <v>557478.15570001886</v>
      </c>
      <c r="AG476" s="6">
        <f>$O$476*$AA$476</f>
        <v>313248.1537014349</v>
      </c>
    </row>
    <row r="477" spans="1:33" ht="11.25" customHeight="1" x14ac:dyDescent="0.25">
      <c r="A477" s="4" t="s">
        <v>27</v>
      </c>
      <c r="B477" s="4" t="s">
        <v>41</v>
      </c>
      <c r="C477" s="4" t="s">
        <v>23</v>
      </c>
      <c r="D477" s="4" t="s">
        <v>42</v>
      </c>
      <c r="E477" s="4" t="s">
        <v>25</v>
      </c>
      <c r="F477" s="4" t="s">
        <v>25</v>
      </c>
      <c r="G477" s="4" t="s">
        <v>25</v>
      </c>
      <c r="H477" s="4" t="s">
        <v>25</v>
      </c>
      <c r="I477" s="5">
        <v>44531</v>
      </c>
      <c r="J477" s="6">
        <v>0</v>
      </c>
      <c r="K477" s="6">
        <v>0</v>
      </c>
      <c r="L477" s="6">
        <v>-0.28699999999999998</v>
      </c>
      <c r="M477" s="6">
        <v>-0.28699999999999998</v>
      </c>
      <c r="N477" s="6">
        <v>-0.28699999999999998</v>
      </c>
      <c r="O477" s="6">
        <v>-0.28699999999999998</v>
      </c>
      <c r="P477" s="6">
        <v>0</v>
      </c>
      <c r="Q477" s="4" t="s">
        <v>26</v>
      </c>
      <c r="R477" s="4">
        <v>0</v>
      </c>
      <c r="S477" s="6">
        <v>0</v>
      </c>
      <c r="T477" s="6">
        <v>16</v>
      </c>
      <c r="U477" s="6">
        <v>54</v>
      </c>
      <c r="V477" s="6">
        <f>IF(ISERROR(VLOOKUP($S$477,'TAR FIN'!$A$1:$O$86,15,0)),0,VLOOKUP($S$477,'TAR FIN'!$A$1:$O$86,15,0))</f>
        <v>0</v>
      </c>
      <c r="W477" s="6">
        <f>IF(ISERROR(VLOOKUP($T$477,'TAR FIN'!$A$1:$O$86,15,0)),0,VLOOKUP($T$477,'TAR FIN'!$A$1:$O$86,15,0))</f>
        <v>297.89</v>
      </c>
      <c r="X477" s="6">
        <f>IF(ISERROR(VLOOKUP($U$477,'TAR FIN'!$A$1:$O$86,15,0)),0,VLOOKUP($U$477,'TAR FIN'!$A$1:$O$86,15,0))</f>
        <v>197.13</v>
      </c>
      <c r="Y477" s="6"/>
      <c r="Z477" s="6">
        <f ca="1">('TUSD BE'!$AM$33+'TUSD BF'!$AM$33+'TUSD CVA'!$AM$33)*(1-CUSTOS!$M$38)</f>
        <v>392.53302912886562</v>
      </c>
      <c r="AA477" s="6">
        <f>('TE BE'!$AB$24+'TE BF'!$AB$24+'TE CVA'!$AB$24)*(1-CUSTOS!$M$38)</f>
        <v>220.56513853363268</v>
      </c>
      <c r="AB477" s="6">
        <f>$K$477*$V$477</f>
        <v>0</v>
      </c>
      <c r="AC477" s="6">
        <f>$M$477*$W$477</f>
        <v>-85.494429999999994</v>
      </c>
      <c r="AD477" s="6">
        <f>$O$477*$X$477</f>
        <v>-56.576309999999992</v>
      </c>
      <c r="AE477" s="6">
        <f>$K$477*$Y$477</f>
        <v>0</v>
      </c>
      <c r="AF477" s="6">
        <f ca="1">$M$477*$Z$477</f>
        <v>-112.65697935998442</v>
      </c>
      <c r="AG477" s="6">
        <f>$O$477*$AA$477</f>
        <v>-63.30219475915257</v>
      </c>
    </row>
    <row r="478" spans="1:33" ht="11.25" customHeight="1" x14ac:dyDescent="0.25">
      <c r="A478" s="4" t="s">
        <v>28</v>
      </c>
      <c r="B478" s="4" t="s">
        <v>41</v>
      </c>
      <c r="C478" s="4" t="s">
        <v>23</v>
      </c>
      <c r="D478" s="4" t="s">
        <v>42</v>
      </c>
      <c r="E478" s="4" t="s">
        <v>25</v>
      </c>
      <c r="F478" s="4" t="s">
        <v>25</v>
      </c>
      <c r="G478" s="4" t="s">
        <v>25</v>
      </c>
      <c r="H478" s="4" t="s">
        <v>25</v>
      </c>
      <c r="I478" s="5">
        <v>44531</v>
      </c>
      <c r="J478" s="6">
        <v>0</v>
      </c>
      <c r="K478" s="6">
        <v>0</v>
      </c>
      <c r="L478" s="6">
        <v>11.968</v>
      </c>
      <c r="M478" s="6">
        <v>11.968</v>
      </c>
      <c r="N478" s="6">
        <v>11.968</v>
      </c>
      <c r="O478" s="6">
        <v>11.968</v>
      </c>
      <c r="P478" s="6">
        <v>13</v>
      </c>
      <c r="Q478" s="4" t="s">
        <v>26</v>
      </c>
      <c r="R478" s="4">
        <v>0</v>
      </c>
      <c r="S478" s="6">
        <v>0</v>
      </c>
      <c r="T478" s="6">
        <v>16</v>
      </c>
      <c r="U478" s="6">
        <v>54</v>
      </c>
      <c r="V478" s="6">
        <f>IF(ISERROR(VLOOKUP($S$478,'TAR FIN'!$A$1:$O$86,15,0)),0,VLOOKUP($S$478,'TAR FIN'!$A$1:$O$86,15,0))</f>
        <v>0</v>
      </c>
      <c r="W478" s="6">
        <f>IF(ISERROR(VLOOKUP($T$478,'TAR FIN'!$A$1:$O$86,15,0)),0,VLOOKUP($T$478,'TAR FIN'!$A$1:$O$86,15,0))</f>
        <v>297.89</v>
      </c>
      <c r="X478" s="6">
        <f>IF(ISERROR(VLOOKUP($U$478,'TAR FIN'!$A$1:$O$86,15,0)),0,VLOOKUP($U$478,'TAR FIN'!$A$1:$O$86,15,0))</f>
        <v>197.13</v>
      </c>
      <c r="Y478" s="6"/>
      <c r="Z478" s="6">
        <f ca="1">('TUSD BE'!$AM$33+'TUSD BF'!$AM$33+'TUSD CVA'!$AM$33)*(1-CUSTOS!$M$38)</f>
        <v>392.53302912886562</v>
      </c>
      <c r="AA478" s="6">
        <f>('TE BE'!$AB$24+'TE BF'!$AB$24+'TE CVA'!$AB$24)*(1-CUSTOS!$M$38)</f>
        <v>220.56513853363268</v>
      </c>
      <c r="AB478" s="6">
        <f>$K$478*$V$478</f>
        <v>0</v>
      </c>
      <c r="AC478" s="6">
        <f>$M$478*$W$478</f>
        <v>3565.14752</v>
      </c>
      <c r="AD478" s="6">
        <f>$O$478*$X$478</f>
        <v>2359.2518399999999</v>
      </c>
      <c r="AE478" s="6">
        <f>$K$478*$Y$478</f>
        <v>0</v>
      </c>
      <c r="AF478" s="6">
        <f ca="1">$M$478*$Z$478</f>
        <v>4697.8352926142634</v>
      </c>
      <c r="AG478" s="6">
        <f>$O$478*$AA$478</f>
        <v>2639.7235779705161</v>
      </c>
    </row>
    <row r="479" spans="1:33" ht="11.25" customHeight="1" x14ac:dyDescent="0.25">
      <c r="A479" s="4" t="s">
        <v>21</v>
      </c>
      <c r="B479" s="4" t="s">
        <v>41</v>
      </c>
      <c r="C479" s="4" t="s">
        <v>23</v>
      </c>
      <c r="D479" s="4" t="s">
        <v>42</v>
      </c>
      <c r="E479" s="4" t="s">
        <v>25</v>
      </c>
      <c r="F479" s="4" t="s">
        <v>25</v>
      </c>
      <c r="G479" s="4" t="s">
        <v>25</v>
      </c>
      <c r="H479" s="4" t="s">
        <v>25</v>
      </c>
      <c r="I479" s="5">
        <v>44562</v>
      </c>
      <c r="J479" s="6">
        <v>0</v>
      </c>
      <c r="K479" s="6">
        <v>0</v>
      </c>
      <c r="L479" s="6">
        <v>1030.336</v>
      </c>
      <c r="M479" s="6">
        <v>1030.336</v>
      </c>
      <c r="N479" s="6">
        <v>1030.336</v>
      </c>
      <c r="O479" s="6">
        <v>1030.336</v>
      </c>
      <c r="P479" s="6">
        <v>2487</v>
      </c>
      <c r="Q479" s="4" t="s">
        <v>26</v>
      </c>
      <c r="R479" s="4">
        <v>0</v>
      </c>
      <c r="S479" s="6">
        <v>0</v>
      </c>
      <c r="T479" s="6">
        <v>16</v>
      </c>
      <c r="U479" s="6">
        <v>54</v>
      </c>
      <c r="V479" s="6">
        <f>IF(ISERROR(VLOOKUP($S$479,'TAR FIN'!$A$1:$O$86,15,0)),0,VLOOKUP($S$479,'TAR FIN'!$A$1:$O$86,15,0))</f>
        <v>0</v>
      </c>
      <c r="W479" s="6">
        <f>IF(ISERROR(VLOOKUP($T$479,'TAR FIN'!$A$1:$O$86,15,0)),0,VLOOKUP($T$479,'TAR FIN'!$A$1:$O$86,15,0))</f>
        <v>297.89</v>
      </c>
      <c r="X479" s="6">
        <f>IF(ISERROR(VLOOKUP($U$479,'TAR FIN'!$A$1:$O$86,15,0)),0,VLOOKUP($U$479,'TAR FIN'!$A$1:$O$86,15,0))</f>
        <v>197.13</v>
      </c>
      <c r="Y479" s="6"/>
      <c r="Z479" s="6">
        <f ca="1">('TUSD BE'!$AM$33+'TUSD BF'!$AM$33+'TUSD CVA'!$AM$33)*(1-CUSTOS!$M$38)</f>
        <v>392.53302912886562</v>
      </c>
      <c r="AA479" s="6">
        <f>('TE BE'!$AB$24+'TE BF'!$AB$24+'TE CVA'!$AB$24)*(1-CUSTOS!$M$38)</f>
        <v>220.56513853363268</v>
      </c>
      <c r="AB479" s="6">
        <f>$K$479*$V$479</f>
        <v>0</v>
      </c>
      <c r="AC479" s="6">
        <f>$M$479*$W$479</f>
        <v>306926.79103999998</v>
      </c>
      <c r="AD479" s="6">
        <f>$O$479*$X$479</f>
        <v>203110.13568000001</v>
      </c>
      <c r="AE479" s="6">
        <f>$K$479*$Y$479</f>
        <v>0</v>
      </c>
      <c r="AF479" s="6">
        <f ca="1">$M$479*$Z$479</f>
        <v>404440.91110051889</v>
      </c>
      <c r="AG479" s="6">
        <f>$O$479*$AA$479</f>
        <v>227256.20257618895</v>
      </c>
    </row>
    <row r="480" spans="1:33" ht="11.25" customHeight="1" x14ac:dyDescent="0.25">
      <c r="A480" s="4" t="s">
        <v>28</v>
      </c>
      <c r="B480" s="4" t="s">
        <v>41</v>
      </c>
      <c r="C480" s="4" t="s">
        <v>23</v>
      </c>
      <c r="D480" s="4" t="s">
        <v>42</v>
      </c>
      <c r="E480" s="4" t="s">
        <v>25</v>
      </c>
      <c r="F480" s="4" t="s">
        <v>25</v>
      </c>
      <c r="G480" s="4" t="s">
        <v>25</v>
      </c>
      <c r="H480" s="4" t="s">
        <v>25</v>
      </c>
      <c r="I480" s="5">
        <v>44562</v>
      </c>
      <c r="J480" s="6">
        <v>0</v>
      </c>
      <c r="K480" s="6">
        <v>0</v>
      </c>
      <c r="L480" s="6">
        <v>6.9569999999999999</v>
      </c>
      <c r="M480" s="6">
        <v>6.9569999999999999</v>
      </c>
      <c r="N480" s="6">
        <v>6.9569999999999999</v>
      </c>
      <c r="O480" s="6">
        <v>6.9569999999999999</v>
      </c>
      <c r="P480" s="6">
        <v>17</v>
      </c>
      <c r="Q480" s="4" t="s">
        <v>26</v>
      </c>
      <c r="R480" s="4">
        <v>0</v>
      </c>
      <c r="S480" s="6">
        <v>0</v>
      </c>
      <c r="T480" s="6">
        <v>16</v>
      </c>
      <c r="U480" s="6">
        <v>54</v>
      </c>
      <c r="V480" s="6">
        <f>IF(ISERROR(VLOOKUP($S$480,'TAR FIN'!$A$1:$O$86,15,0)),0,VLOOKUP($S$480,'TAR FIN'!$A$1:$O$86,15,0))</f>
        <v>0</v>
      </c>
      <c r="W480" s="6">
        <f>IF(ISERROR(VLOOKUP($T$480,'TAR FIN'!$A$1:$O$86,15,0)),0,VLOOKUP($T$480,'TAR FIN'!$A$1:$O$86,15,0))</f>
        <v>297.89</v>
      </c>
      <c r="X480" s="6">
        <f>IF(ISERROR(VLOOKUP($U$480,'TAR FIN'!$A$1:$O$86,15,0)),0,VLOOKUP($U$480,'TAR FIN'!$A$1:$O$86,15,0))</f>
        <v>197.13</v>
      </c>
      <c r="Y480" s="6"/>
      <c r="Z480" s="6">
        <f ca="1">('TUSD BE'!$AM$33+'TUSD BF'!$AM$33+'TUSD CVA'!$AM$33)*(1-CUSTOS!$M$38)</f>
        <v>392.53302912886562</v>
      </c>
      <c r="AA480" s="6">
        <f>('TE BE'!$AB$24+'TE BF'!$AB$24+'TE CVA'!$AB$24)*(1-CUSTOS!$M$38)</f>
        <v>220.56513853363268</v>
      </c>
      <c r="AB480" s="6">
        <f>$K$480*$V$480</f>
        <v>0</v>
      </c>
      <c r="AC480" s="6">
        <f>$M$480*$W$480</f>
        <v>2072.4207299999998</v>
      </c>
      <c r="AD480" s="6">
        <f>$O$480*$X$480</f>
        <v>1371.4334099999999</v>
      </c>
      <c r="AE480" s="6">
        <f>$K$480*$Y$480</f>
        <v>0</v>
      </c>
      <c r="AF480" s="6">
        <f ca="1">$M$480*$Z$480</f>
        <v>2730.8522836495181</v>
      </c>
      <c r="AG480" s="6">
        <f>$O$480*$AA$480</f>
        <v>1534.4716687784826</v>
      </c>
    </row>
    <row r="481" spans="1:33" ht="11.25" customHeight="1" x14ac:dyDescent="0.25">
      <c r="A481" s="4" t="s">
        <v>21</v>
      </c>
      <c r="B481" s="4" t="s">
        <v>41</v>
      </c>
      <c r="C481" s="4" t="s">
        <v>23</v>
      </c>
      <c r="D481" s="4" t="s">
        <v>42</v>
      </c>
      <c r="E481" s="4" t="s">
        <v>25</v>
      </c>
      <c r="F481" s="4" t="s">
        <v>25</v>
      </c>
      <c r="G481" s="4" t="s">
        <v>25</v>
      </c>
      <c r="H481" s="4" t="s">
        <v>25</v>
      </c>
      <c r="I481" s="5">
        <v>44593</v>
      </c>
      <c r="J481" s="6">
        <v>0</v>
      </c>
      <c r="K481" s="6">
        <v>0</v>
      </c>
      <c r="L481" s="6">
        <v>1003.285</v>
      </c>
      <c r="M481" s="6">
        <v>1003.285</v>
      </c>
      <c r="N481" s="6">
        <v>1003.285</v>
      </c>
      <c r="O481" s="6">
        <v>1003.285</v>
      </c>
      <c r="P481" s="6">
        <v>2481</v>
      </c>
      <c r="Q481" s="4" t="s">
        <v>26</v>
      </c>
      <c r="R481" s="4">
        <v>0</v>
      </c>
      <c r="S481" s="6">
        <v>0</v>
      </c>
      <c r="T481" s="6">
        <v>16</v>
      </c>
      <c r="U481" s="6">
        <v>54</v>
      </c>
      <c r="V481" s="6">
        <f>IF(ISERROR(VLOOKUP($S$481,'TAR FIN'!$A$1:$O$86,15,0)),0,VLOOKUP($S$481,'TAR FIN'!$A$1:$O$86,15,0))</f>
        <v>0</v>
      </c>
      <c r="W481" s="6">
        <f>IF(ISERROR(VLOOKUP($T$481,'TAR FIN'!$A$1:$O$86,15,0)),0,VLOOKUP($T$481,'TAR FIN'!$A$1:$O$86,15,0))</f>
        <v>297.89</v>
      </c>
      <c r="X481" s="6">
        <f>IF(ISERROR(VLOOKUP($U$481,'TAR FIN'!$A$1:$O$86,15,0)),0,VLOOKUP($U$481,'TAR FIN'!$A$1:$O$86,15,0))</f>
        <v>197.13</v>
      </c>
      <c r="Y481" s="6"/>
      <c r="Z481" s="6">
        <f ca="1">('TUSD BE'!$AM$33+'TUSD BF'!$AM$33+'TUSD CVA'!$AM$33)*(1-CUSTOS!$M$38)</f>
        <v>392.53302912886562</v>
      </c>
      <c r="AA481" s="6">
        <f>('TE BE'!$AB$24+'TE BF'!$AB$24+'TE CVA'!$AB$24)*(1-CUSTOS!$M$38)</f>
        <v>220.56513853363268</v>
      </c>
      <c r="AB481" s="6">
        <f>$K$481*$V$481</f>
        <v>0</v>
      </c>
      <c r="AC481" s="6">
        <f>$M$481*$W$481</f>
        <v>298868.56864999997</v>
      </c>
      <c r="AD481" s="6">
        <f>$O$481*$X$481</f>
        <v>197777.57204999999</v>
      </c>
      <c r="AE481" s="6">
        <f>$K$481*$Y$481</f>
        <v>0</v>
      </c>
      <c r="AF481" s="6">
        <f ca="1">$M$481*$Z$481</f>
        <v>393822.50012955396</v>
      </c>
      <c r="AG481" s="6">
        <f>$O$481*$AA$481</f>
        <v>221289.69501371565</v>
      </c>
    </row>
    <row r="482" spans="1:33" ht="11.25" customHeight="1" x14ac:dyDescent="0.25">
      <c r="A482" s="4" t="s">
        <v>27</v>
      </c>
      <c r="B482" s="4" t="s">
        <v>41</v>
      </c>
      <c r="C482" s="4" t="s">
        <v>23</v>
      </c>
      <c r="D482" s="4" t="s">
        <v>42</v>
      </c>
      <c r="E482" s="4" t="s">
        <v>25</v>
      </c>
      <c r="F482" s="4" t="s">
        <v>25</v>
      </c>
      <c r="G482" s="4" t="s">
        <v>25</v>
      </c>
      <c r="H482" s="4" t="s">
        <v>25</v>
      </c>
      <c r="I482" s="5">
        <v>44593</v>
      </c>
      <c r="J482" s="6">
        <v>0</v>
      </c>
      <c r="K482" s="6">
        <v>0</v>
      </c>
      <c r="L482" s="6">
        <v>-2.1040000000000001</v>
      </c>
      <c r="M482" s="6">
        <v>-2.1040000000000001</v>
      </c>
      <c r="N482" s="6">
        <v>-2.1040000000000001</v>
      </c>
      <c r="O482" s="6">
        <v>-2.1040000000000001</v>
      </c>
      <c r="P482" s="6">
        <v>0</v>
      </c>
      <c r="Q482" s="4" t="s">
        <v>26</v>
      </c>
      <c r="R482" s="4">
        <v>0</v>
      </c>
      <c r="S482" s="6">
        <v>0</v>
      </c>
      <c r="T482" s="6">
        <v>16</v>
      </c>
      <c r="U482" s="6">
        <v>54</v>
      </c>
      <c r="V482" s="6">
        <f>IF(ISERROR(VLOOKUP($S$482,'TAR FIN'!$A$1:$O$86,15,0)),0,VLOOKUP($S$482,'TAR FIN'!$A$1:$O$86,15,0))</f>
        <v>0</v>
      </c>
      <c r="W482" s="6">
        <f>IF(ISERROR(VLOOKUP($T$482,'TAR FIN'!$A$1:$O$86,15,0)),0,VLOOKUP($T$482,'TAR FIN'!$A$1:$O$86,15,0))</f>
        <v>297.89</v>
      </c>
      <c r="X482" s="6">
        <f>IF(ISERROR(VLOOKUP($U$482,'TAR FIN'!$A$1:$O$86,15,0)),0,VLOOKUP($U$482,'TAR FIN'!$A$1:$O$86,15,0))</f>
        <v>197.13</v>
      </c>
      <c r="Y482" s="6"/>
      <c r="Z482" s="6">
        <f ca="1">('TUSD BE'!$AM$33+'TUSD BF'!$AM$33+'TUSD CVA'!$AM$33)*(1-CUSTOS!$M$38)</f>
        <v>392.53302912886562</v>
      </c>
      <c r="AA482" s="6">
        <f>('TE BE'!$AB$24+'TE BF'!$AB$24+'TE CVA'!$AB$24)*(1-CUSTOS!$M$38)</f>
        <v>220.56513853363268</v>
      </c>
      <c r="AB482" s="6">
        <f>$K$482*$V$482</f>
        <v>0</v>
      </c>
      <c r="AC482" s="6">
        <f>$M$482*$W$482</f>
        <v>-626.76056000000005</v>
      </c>
      <c r="AD482" s="6">
        <f>$O$482*$X$482</f>
        <v>-414.76152000000002</v>
      </c>
      <c r="AE482" s="6">
        <f>$K$482*$Y$482</f>
        <v>0</v>
      </c>
      <c r="AF482" s="6">
        <f ca="1">$M$482*$Z$482</f>
        <v>-825.88949328713329</v>
      </c>
      <c r="AG482" s="6">
        <f>$O$482*$AA$482</f>
        <v>-464.06905147476317</v>
      </c>
    </row>
    <row r="483" spans="1:33" ht="11.25" customHeight="1" x14ac:dyDescent="0.25">
      <c r="A483" s="4" t="s">
        <v>28</v>
      </c>
      <c r="B483" s="4" t="s">
        <v>41</v>
      </c>
      <c r="C483" s="4" t="s">
        <v>23</v>
      </c>
      <c r="D483" s="4" t="s">
        <v>42</v>
      </c>
      <c r="E483" s="4" t="s">
        <v>25</v>
      </c>
      <c r="F483" s="4" t="s">
        <v>25</v>
      </c>
      <c r="G483" s="4" t="s">
        <v>25</v>
      </c>
      <c r="H483" s="4" t="s">
        <v>25</v>
      </c>
      <c r="I483" s="5">
        <v>44593</v>
      </c>
      <c r="J483" s="6">
        <v>0</v>
      </c>
      <c r="K483" s="6">
        <v>0</v>
      </c>
      <c r="L483" s="6">
        <v>15.468</v>
      </c>
      <c r="M483" s="6">
        <v>15.468</v>
      </c>
      <c r="N483" s="6">
        <v>15.468</v>
      </c>
      <c r="O483" s="6">
        <v>15.468</v>
      </c>
      <c r="P483" s="6">
        <v>22</v>
      </c>
      <c r="Q483" s="4" t="s">
        <v>26</v>
      </c>
      <c r="R483" s="4">
        <v>0</v>
      </c>
      <c r="S483" s="6">
        <v>0</v>
      </c>
      <c r="T483" s="6">
        <v>16</v>
      </c>
      <c r="U483" s="6">
        <v>54</v>
      </c>
      <c r="V483" s="6">
        <f>IF(ISERROR(VLOOKUP($S$483,'TAR FIN'!$A$1:$O$86,15,0)),0,VLOOKUP($S$483,'TAR FIN'!$A$1:$O$86,15,0))</f>
        <v>0</v>
      </c>
      <c r="W483" s="6">
        <f>IF(ISERROR(VLOOKUP($T$483,'TAR FIN'!$A$1:$O$86,15,0)),0,VLOOKUP($T$483,'TAR FIN'!$A$1:$O$86,15,0))</f>
        <v>297.89</v>
      </c>
      <c r="X483" s="6">
        <f>IF(ISERROR(VLOOKUP($U$483,'TAR FIN'!$A$1:$O$86,15,0)),0,VLOOKUP($U$483,'TAR FIN'!$A$1:$O$86,15,0))</f>
        <v>197.13</v>
      </c>
      <c r="Y483" s="6"/>
      <c r="Z483" s="6">
        <f ca="1">('TUSD BE'!$AM$33+'TUSD BF'!$AM$33+'TUSD CVA'!$AM$33)*(1-CUSTOS!$M$38)</f>
        <v>392.53302912886562</v>
      </c>
      <c r="AA483" s="6">
        <f>('TE BE'!$AB$24+'TE BF'!$AB$24+'TE CVA'!$AB$24)*(1-CUSTOS!$M$38)</f>
        <v>220.56513853363268</v>
      </c>
      <c r="AB483" s="6">
        <f>$K$483*$V$483</f>
        <v>0</v>
      </c>
      <c r="AC483" s="6">
        <f>$M$483*$W$483</f>
        <v>4607.7625200000002</v>
      </c>
      <c r="AD483" s="6">
        <f>$O$483*$X$483</f>
        <v>3049.2068399999998</v>
      </c>
      <c r="AE483" s="6">
        <f>$K$483*$Y$483</f>
        <v>0</v>
      </c>
      <c r="AF483" s="6">
        <f ca="1">$M$483*$Z$483</f>
        <v>6071.7008945652933</v>
      </c>
      <c r="AG483" s="6">
        <f>$O$483*$AA$483</f>
        <v>3411.7015628382301</v>
      </c>
    </row>
    <row r="484" spans="1:33" ht="11.25" customHeight="1" x14ac:dyDescent="0.25">
      <c r="A484" s="4" t="s">
        <v>21</v>
      </c>
      <c r="B484" s="4" t="s">
        <v>41</v>
      </c>
      <c r="C484" s="4" t="s">
        <v>23</v>
      </c>
      <c r="D484" s="4" t="s">
        <v>42</v>
      </c>
      <c r="E484" s="4" t="s">
        <v>25</v>
      </c>
      <c r="F484" s="4" t="s">
        <v>25</v>
      </c>
      <c r="G484" s="4" t="s">
        <v>25</v>
      </c>
      <c r="H484" s="4" t="s">
        <v>25</v>
      </c>
      <c r="I484" s="5">
        <v>44621</v>
      </c>
      <c r="J484" s="6">
        <v>0</v>
      </c>
      <c r="K484" s="6">
        <v>0</v>
      </c>
      <c r="L484" s="6">
        <v>877.62300000000005</v>
      </c>
      <c r="M484" s="6">
        <v>877.62300000000005</v>
      </c>
      <c r="N484" s="6">
        <v>877.62300000000005</v>
      </c>
      <c r="O484" s="6">
        <v>877.62300000000005</v>
      </c>
      <c r="P484" s="6">
        <v>2476</v>
      </c>
      <c r="Q484" s="4" t="s">
        <v>26</v>
      </c>
      <c r="R484" s="4">
        <v>0</v>
      </c>
      <c r="S484" s="6">
        <v>0</v>
      </c>
      <c r="T484" s="6">
        <v>16</v>
      </c>
      <c r="U484" s="6">
        <v>54</v>
      </c>
      <c r="V484" s="6">
        <f>IF(ISERROR(VLOOKUP($S$484,'TAR FIN'!$A$1:$O$86,15,0)),0,VLOOKUP($S$484,'TAR FIN'!$A$1:$O$86,15,0))</f>
        <v>0</v>
      </c>
      <c r="W484" s="6">
        <f>IF(ISERROR(VLOOKUP($T$484,'TAR FIN'!$A$1:$O$86,15,0)),0,VLOOKUP($T$484,'TAR FIN'!$A$1:$O$86,15,0))</f>
        <v>297.89</v>
      </c>
      <c r="X484" s="6">
        <f>IF(ISERROR(VLOOKUP($U$484,'TAR FIN'!$A$1:$O$86,15,0)),0,VLOOKUP($U$484,'TAR FIN'!$A$1:$O$86,15,0))</f>
        <v>197.13</v>
      </c>
      <c r="Y484" s="6"/>
      <c r="Z484" s="6">
        <f ca="1">('TUSD BE'!$AM$33+'TUSD BF'!$AM$33+'TUSD CVA'!$AM$33)*(1-CUSTOS!$M$38)</f>
        <v>392.53302912886562</v>
      </c>
      <c r="AA484" s="6">
        <f>('TE BE'!$AB$24+'TE BF'!$AB$24+'TE CVA'!$AB$24)*(1-CUSTOS!$M$38)</f>
        <v>220.56513853363268</v>
      </c>
      <c r="AB484" s="6">
        <f>$K$484*$V$484</f>
        <v>0</v>
      </c>
      <c r="AC484" s="6">
        <f>$M$484*$W$484</f>
        <v>261435.11546999999</v>
      </c>
      <c r="AD484" s="6">
        <f>$O$484*$X$484</f>
        <v>173005.82199</v>
      </c>
      <c r="AE484" s="6">
        <f>$K$484*$Y$484</f>
        <v>0</v>
      </c>
      <c r="AF484" s="6">
        <f ca="1">$M$484*$Z$484</f>
        <v>344496.01462316245</v>
      </c>
      <c r="AG484" s="6">
        <f>$O$484*$AA$484</f>
        <v>193573.03857530231</v>
      </c>
    </row>
    <row r="485" spans="1:33" ht="11.25" customHeight="1" x14ac:dyDescent="0.25">
      <c r="A485" s="4" t="s">
        <v>27</v>
      </c>
      <c r="B485" s="4" t="s">
        <v>41</v>
      </c>
      <c r="C485" s="4" t="s">
        <v>23</v>
      </c>
      <c r="D485" s="4" t="s">
        <v>42</v>
      </c>
      <c r="E485" s="4" t="s">
        <v>25</v>
      </c>
      <c r="F485" s="4" t="s">
        <v>25</v>
      </c>
      <c r="G485" s="4" t="s">
        <v>25</v>
      </c>
      <c r="H485" s="4" t="s">
        <v>25</v>
      </c>
      <c r="I485" s="5">
        <v>44621</v>
      </c>
      <c r="J485" s="6">
        <v>0</v>
      </c>
      <c r="K485" s="6">
        <v>0</v>
      </c>
      <c r="L485" s="6">
        <v>-4.6929999999999996</v>
      </c>
      <c r="M485" s="6">
        <v>-4.6929999999999996</v>
      </c>
      <c r="N485" s="6">
        <v>-4.6929999999999996</v>
      </c>
      <c r="O485" s="6">
        <v>-4.6929999999999996</v>
      </c>
      <c r="P485" s="6">
        <v>0</v>
      </c>
      <c r="Q485" s="4" t="s">
        <v>26</v>
      </c>
      <c r="R485" s="4">
        <v>0</v>
      </c>
      <c r="S485" s="6">
        <v>0</v>
      </c>
      <c r="T485" s="6">
        <v>16</v>
      </c>
      <c r="U485" s="6">
        <v>54</v>
      </c>
      <c r="V485" s="6">
        <f>IF(ISERROR(VLOOKUP($S$485,'TAR FIN'!$A$1:$O$86,15,0)),0,VLOOKUP($S$485,'TAR FIN'!$A$1:$O$86,15,0))</f>
        <v>0</v>
      </c>
      <c r="W485" s="6">
        <f>IF(ISERROR(VLOOKUP($T$485,'TAR FIN'!$A$1:$O$86,15,0)),0,VLOOKUP($T$485,'TAR FIN'!$A$1:$O$86,15,0))</f>
        <v>297.89</v>
      </c>
      <c r="X485" s="6">
        <f>IF(ISERROR(VLOOKUP($U$485,'TAR FIN'!$A$1:$O$86,15,0)),0,VLOOKUP($U$485,'TAR FIN'!$A$1:$O$86,15,0))</f>
        <v>197.13</v>
      </c>
      <c r="Y485" s="6"/>
      <c r="Z485" s="6">
        <f ca="1">('TUSD BE'!$AM$33+'TUSD BF'!$AM$33+'TUSD CVA'!$AM$33)*(1-CUSTOS!$M$38)</f>
        <v>392.53302912886562</v>
      </c>
      <c r="AA485" s="6">
        <f>('TE BE'!$AB$24+'TE BF'!$AB$24+'TE CVA'!$AB$24)*(1-CUSTOS!$M$38)</f>
        <v>220.56513853363268</v>
      </c>
      <c r="AB485" s="6">
        <f>$K$485*$V$485</f>
        <v>0</v>
      </c>
      <c r="AC485" s="6">
        <f>$M$485*$W$485</f>
        <v>-1397.9977699999997</v>
      </c>
      <c r="AD485" s="6">
        <f>$O$485*$X$485</f>
        <v>-925.13108999999986</v>
      </c>
      <c r="AE485" s="6">
        <f>$K$485*$Y$485</f>
        <v>0</v>
      </c>
      <c r="AF485" s="6">
        <f ca="1">$M$485*$Z$485</f>
        <v>-1842.1575057017662</v>
      </c>
      <c r="AG485" s="6">
        <f>$O$485*$AA$485</f>
        <v>-1035.1121951383382</v>
      </c>
    </row>
    <row r="486" spans="1:33" ht="11.25" customHeight="1" x14ac:dyDescent="0.25">
      <c r="A486" s="4" t="s">
        <v>28</v>
      </c>
      <c r="B486" s="4" t="s">
        <v>41</v>
      </c>
      <c r="C486" s="4" t="s">
        <v>23</v>
      </c>
      <c r="D486" s="4" t="s">
        <v>42</v>
      </c>
      <c r="E486" s="4" t="s">
        <v>25</v>
      </c>
      <c r="F486" s="4" t="s">
        <v>25</v>
      </c>
      <c r="G486" s="4" t="s">
        <v>25</v>
      </c>
      <c r="H486" s="4" t="s">
        <v>25</v>
      </c>
      <c r="I486" s="5">
        <v>44621</v>
      </c>
      <c r="J486" s="6">
        <v>0</v>
      </c>
      <c r="K486" s="6">
        <v>0</v>
      </c>
      <c r="L486" s="6">
        <v>7.75</v>
      </c>
      <c r="M486" s="6">
        <v>7.75</v>
      </c>
      <c r="N486" s="6">
        <v>7.75</v>
      </c>
      <c r="O486" s="6">
        <v>7.75</v>
      </c>
      <c r="P486" s="6">
        <v>25</v>
      </c>
      <c r="Q486" s="4" t="s">
        <v>26</v>
      </c>
      <c r="R486" s="4">
        <v>0</v>
      </c>
      <c r="S486" s="6">
        <v>0</v>
      </c>
      <c r="T486" s="6">
        <v>16</v>
      </c>
      <c r="U486" s="6">
        <v>54</v>
      </c>
      <c r="V486" s="6">
        <f>IF(ISERROR(VLOOKUP($S$486,'TAR FIN'!$A$1:$O$86,15,0)),0,VLOOKUP($S$486,'TAR FIN'!$A$1:$O$86,15,0))</f>
        <v>0</v>
      </c>
      <c r="W486" s="6">
        <f>IF(ISERROR(VLOOKUP($T$486,'TAR FIN'!$A$1:$O$86,15,0)),0,VLOOKUP($T$486,'TAR FIN'!$A$1:$O$86,15,0))</f>
        <v>297.89</v>
      </c>
      <c r="X486" s="6">
        <f>IF(ISERROR(VLOOKUP($U$486,'TAR FIN'!$A$1:$O$86,15,0)),0,VLOOKUP($U$486,'TAR FIN'!$A$1:$O$86,15,0))</f>
        <v>197.13</v>
      </c>
      <c r="Y486" s="6"/>
      <c r="Z486" s="6">
        <f ca="1">('TUSD BE'!$AM$33+'TUSD BF'!$AM$33+'TUSD CVA'!$AM$33)*(1-CUSTOS!$M$38)</f>
        <v>392.53302912886562</v>
      </c>
      <c r="AA486" s="6">
        <f>('TE BE'!$AB$24+'TE BF'!$AB$24+'TE CVA'!$AB$24)*(1-CUSTOS!$M$38)</f>
        <v>220.56513853363268</v>
      </c>
      <c r="AB486" s="6">
        <f>$K$486*$V$486</f>
        <v>0</v>
      </c>
      <c r="AC486" s="6">
        <f>$M$486*$W$486</f>
        <v>2308.6475</v>
      </c>
      <c r="AD486" s="6">
        <f>$O$486*$X$486</f>
        <v>1527.7574999999999</v>
      </c>
      <c r="AE486" s="6">
        <f>$K$486*$Y$486</f>
        <v>0</v>
      </c>
      <c r="AF486" s="6">
        <f ca="1">$M$486*$Z$486</f>
        <v>3042.1309757487084</v>
      </c>
      <c r="AG486" s="6">
        <f>$O$486*$AA$486</f>
        <v>1709.3798236356533</v>
      </c>
    </row>
    <row r="487" spans="1:33" ht="11.25" customHeight="1" x14ac:dyDescent="0.25">
      <c r="A487" s="4" t="s">
        <v>21</v>
      </c>
      <c r="B487" s="4" t="s">
        <v>41</v>
      </c>
      <c r="C487" s="4" t="s">
        <v>23</v>
      </c>
      <c r="D487" s="4" t="s">
        <v>42</v>
      </c>
      <c r="E487" s="4" t="s">
        <v>25</v>
      </c>
      <c r="F487" s="4" t="s">
        <v>25</v>
      </c>
      <c r="G487" s="4" t="s">
        <v>25</v>
      </c>
      <c r="H487" s="4" t="s">
        <v>25</v>
      </c>
      <c r="I487" s="5">
        <v>44652</v>
      </c>
      <c r="J487" s="6">
        <v>0</v>
      </c>
      <c r="K487" s="6">
        <v>0</v>
      </c>
      <c r="L487" s="6">
        <v>767.22</v>
      </c>
      <c r="M487" s="6">
        <v>767.22</v>
      </c>
      <c r="N487" s="6">
        <v>767.22</v>
      </c>
      <c r="O487" s="6">
        <v>767.22</v>
      </c>
      <c r="P487" s="6">
        <v>2460</v>
      </c>
      <c r="Q487" s="4" t="s">
        <v>26</v>
      </c>
      <c r="R487" s="4">
        <v>0</v>
      </c>
      <c r="S487" s="6">
        <v>0</v>
      </c>
      <c r="T487" s="6">
        <v>16</v>
      </c>
      <c r="U487" s="6">
        <v>54</v>
      </c>
      <c r="V487" s="6">
        <f>IF(ISERROR(VLOOKUP($S$487,'TAR FIN'!$A$1:$O$86,15,0)),0,VLOOKUP($S$487,'TAR FIN'!$A$1:$O$86,15,0))</f>
        <v>0</v>
      </c>
      <c r="W487" s="6">
        <f>IF(ISERROR(VLOOKUP($T$487,'TAR FIN'!$A$1:$O$86,15,0)),0,VLOOKUP($T$487,'TAR FIN'!$A$1:$O$86,15,0))</f>
        <v>297.89</v>
      </c>
      <c r="X487" s="6">
        <f>IF(ISERROR(VLOOKUP($U$487,'TAR FIN'!$A$1:$O$86,15,0)),0,VLOOKUP($U$487,'TAR FIN'!$A$1:$O$86,15,0))</f>
        <v>197.13</v>
      </c>
      <c r="Y487" s="6"/>
      <c r="Z487" s="6">
        <f ca="1">('TUSD BE'!$AM$33+'TUSD BF'!$AM$33+'TUSD CVA'!$AM$33)*(1-CUSTOS!$M$38)</f>
        <v>392.53302912886562</v>
      </c>
      <c r="AA487" s="6">
        <f>('TE BE'!$AB$24+'TE BF'!$AB$24+'TE CVA'!$AB$24)*(1-CUSTOS!$M$38)</f>
        <v>220.56513853363268</v>
      </c>
      <c r="AB487" s="6">
        <f>$K$487*$V$487</f>
        <v>0</v>
      </c>
      <c r="AC487" s="6">
        <f>$M$487*$W$487</f>
        <v>228547.16579999999</v>
      </c>
      <c r="AD487" s="6">
        <f>$O$487*$X$487</f>
        <v>151242.07860000001</v>
      </c>
      <c r="AE487" s="6">
        <f>$K$487*$Y$487</f>
        <v>0</v>
      </c>
      <c r="AF487" s="6">
        <f ca="1">$M$487*$Z$487</f>
        <v>301159.19060824829</v>
      </c>
      <c r="AG487" s="6">
        <f>$O$487*$AA$487</f>
        <v>169221.98558577365</v>
      </c>
    </row>
    <row r="488" spans="1:33" ht="11.25" customHeight="1" x14ac:dyDescent="0.25">
      <c r="A488" s="4" t="s">
        <v>27</v>
      </c>
      <c r="B488" s="4" t="s">
        <v>41</v>
      </c>
      <c r="C488" s="4" t="s">
        <v>23</v>
      </c>
      <c r="D488" s="4" t="s">
        <v>42</v>
      </c>
      <c r="E488" s="4" t="s">
        <v>25</v>
      </c>
      <c r="F488" s="4" t="s">
        <v>25</v>
      </c>
      <c r="G488" s="4" t="s">
        <v>25</v>
      </c>
      <c r="H488" s="4" t="s">
        <v>25</v>
      </c>
      <c r="I488" s="5">
        <v>44652</v>
      </c>
      <c r="J488" s="6">
        <v>0</v>
      </c>
      <c r="K488" s="6">
        <v>0</v>
      </c>
      <c r="L488" s="6">
        <v>-0.36599999999999999</v>
      </c>
      <c r="M488" s="6">
        <v>-0.36599999999999999</v>
      </c>
      <c r="N488" s="6">
        <v>-0.36599999999999999</v>
      </c>
      <c r="O488" s="6">
        <v>-0.36599999999999999</v>
      </c>
      <c r="P488" s="6">
        <v>0</v>
      </c>
      <c r="Q488" s="4" t="s">
        <v>26</v>
      </c>
      <c r="R488" s="4">
        <v>0</v>
      </c>
      <c r="S488" s="6">
        <v>0</v>
      </c>
      <c r="T488" s="6">
        <v>16</v>
      </c>
      <c r="U488" s="6">
        <v>54</v>
      </c>
      <c r="V488" s="6">
        <f>IF(ISERROR(VLOOKUP($S$488,'TAR FIN'!$A$1:$O$86,15,0)),0,VLOOKUP($S$488,'TAR FIN'!$A$1:$O$86,15,0))</f>
        <v>0</v>
      </c>
      <c r="W488" s="6">
        <f>IF(ISERROR(VLOOKUP($T$488,'TAR FIN'!$A$1:$O$86,15,0)),0,VLOOKUP($T$488,'TAR FIN'!$A$1:$O$86,15,0))</f>
        <v>297.89</v>
      </c>
      <c r="X488" s="6">
        <f>IF(ISERROR(VLOOKUP($U$488,'TAR FIN'!$A$1:$O$86,15,0)),0,VLOOKUP($U$488,'TAR FIN'!$A$1:$O$86,15,0))</f>
        <v>197.13</v>
      </c>
      <c r="Y488" s="6"/>
      <c r="Z488" s="6">
        <f ca="1">('TUSD BE'!$AM$33+'TUSD BF'!$AM$33+'TUSD CVA'!$AM$33)*(1-CUSTOS!$M$38)</f>
        <v>392.53302912886562</v>
      </c>
      <c r="AA488" s="6">
        <f>('TE BE'!$AB$24+'TE BF'!$AB$24+'TE CVA'!$AB$24)*(1-CUSTOS!$M$38)</f>
        <v>220.56513853363268</v>
      </c>
      <c r="AB488" s="6">
        <f>$K$488*$V$488</f>
        <v>0</v>
      </c>
      <c r="AC488" s="6">
        <f>$M$488*$W$488</f>
        <v>-109.02773999999999</v>
      </c>
      <c r="AD488" s="6">
        <f>$O$488*$X$488</f>
        <v>-72.14958</v>
      </c>
      <c r="AE488" s="6">
        <f>$K$488*$Y$488</f>
        <v>0</v>
      </c>
      <c r="AF488" s="6">
        <f ca="1">$M$488*$Z$488</f>
        <v>-143.66708866116483</v>
      </c>
      <c r="AG488" s="6">
        <f>$O$488*$AA$488</f>
        <v>-80.726840703309563</v>
      </c>
    </row>
    <row r="489" spans="1:33" ht="11.25" customHeight="1" x14ac:dyDescent="0.25">
      <c r="A489" s="4" t="s">
        <v>28</v>
      </c>
      <c r="B489" s="4" t="s">
        <v>41</v>
      </c>
      <c r="C489" s="4" t="s">
        <v>23</v>
      </c>
      <c r="D489" s="4" t="s">
        <v>42</v>
      </c>
      <c r="E489" s="4" t="s">
        <v>25</v>
      </c>
      <c r="F489" s="4" t="s">
        <v>25</v>
      </c>
      <c r="G489" s="4" t="s">
        <v>25</v>
      </c>
      <c r="H489" s="4" t="s">
        <v>25</v>
      </c>
      <c r="I489" s="5">
        <v>44652</v>
      </c>
      <c r="J489" s="6">
        <v>0</v>
      </c>
      <c r="K489" s="6">
        <v>0</v>
      </c>
      <c r="L489" s="6">
        <v>9.6259999999999994</v>
      </c>
      <c r="M489" s="6">
        <v>9.6259999999999994</v>
      </c>
      <c r="N489" s="6">
        <v>9.6259999999999994</v>
      </c>
      <c r="O489" s="6">
        <v>9.6259999999999994</v>
      </c>
      <c r="P489" s="6">
        <v>29</v>
      </c>
      <c r="Q489" s="4" t="s">
        <v>26</v>
      </c>
      <c r="R489" s="4">
        <v>0</v>
      </c>
      <c r="S489" s="6">
        <v>0</v>
      </c>
      <c r="T489" s="6">
        <v>16</v>
      </c>
      <c r="U489" s="6">
        <v>54</v>
      </c>
      <c r="V489" s="6">
        <f>IF(ISERROR(VLOOKUP($S$489,'TAR FIN'!$A$1:$O$86,15,0)),0,VLOOKUP($S$489,'TAR FIN'!$A$1:$O$86,15,0))</f>
        <v>0</v>
      </c>
      <c r="W489" s="6">
        <f>IF(ISERROR(VLOOKUP($T$489,'TAR FIN'!$A$1:$O$86,15,0)),0,VLOOKUP($T$489,'TAR FIN'!$A$1:$O$86,15,0))</f>
        <v>297.89</v>
      </c>
      <c r="X489" s="6">
        <f>IF(ISERROR(VLOOKUP($U$489,'TAR FIN'!$A$1:$O$86,15,0)),0,VLOOKUP($U$489,'TAR FIN'!$A$1:$O$86,15,0))</f>
        <v>197.13</v>
      </c>
      <c r="Y489" s="6"/>
      <c r="Z489" s="6">
        <f ca="1">('TUSD BE'!$AM$33+'TUSD BF'!$AM$33+'TUSD CVA'!$AM$33)*(1-CUSTOS!$M$38)</f>
        <v>392.53302912886562</v>
      </c>
      <c r="AA489" s="6">
        <f>('TE BE'!$AB$24+'TE BF'!$AB$24+'TE CVA'!$AB$24)*(1-CUSTOS!$M$38)</f>
        <v>220.56513853363268</v>
      </c>
      <c r="AB489" s="6">
        <f>$K$489*$V$489</f>
        <v>0</v>
      </c>
      <c r="AC489" s="6">
        <f>$M$489*$W$489</f>
        <v>2867.4891399999997</v>
      </c>
      <c r="AD489" s="6">
        <f>$O$489*$X$489</f>
        <v>1897.5733799999998</v>
      </c>
      <c r="AE489" s="6">
        <f>$K$489*$Y$489</f>
        <v>0</v>
      </c>
      <c r="AF489" s="6">
        <f ca="1">$M$489*$Z$489</f>
        <v>3778.5229383944602</v>
      </c>
      <c r="AG489" s="6">
        <f>$O$489*$AA$489</f>
        <v>2123.1600235247479</v>
      </c>
    </row>
    <row r="490" spans="1:33" ht="11.25" customHeight="1" x14ac:dyDescent="0.25">
      <c r="A490" s="4" t="s">
        <v>21</v>
      </c>
      <c r="B490" s="4" t="s">
        <v>41</v>
      </c>
      <c r="C490" s="4" t="s">
        <v>23</v>
      </c>
      <c r="D490" s="4" t="s">
        <v>42</v>
      </c>
      <c r="E490" s="4" t="s">
        <v>25</v>
      </c>
      <c r="F490" s="4" t="s">
        <v>25</v>
      </c>
      <c r="G490" s="4" t="s">
        <v>25</v>
      </c>
      <c r="H490" s="4" t="s">
        <v>25</v>
      </c>
      <c r="I490" s="5">
        <v>44682</v>
      </c>
      <c r="J490" s="6">
        <v>0</v>
      </c>
      <c r="K490" s="6">
        <v>0</v>
      </c>
      <c r="L490" s="6">
        <v>757.27300000000002</v>
      </c>
      <c r="M490" s="6">
        <v>757.27300000000002</v>
      </c>
      <c r="N490" s="6">
        <v>757.27300000000002</v>
      </c>
      <c r="O490" s="6">
        <v>757.27300000000002</v>
      </c>
      <c r="P490" s="6">
        <v>2458</v>
      </c>
      <c r="Q490" s="4" t="s">
        <v>26</v>
      </c>
      <c r="R490" s="4">
        <v>0</v>
      </c>
      <c r="S490" s="6">
        <v>0</v>
      </c>
      <c r="T490" s="6">
        <v>16</v>
      </c>
      <c r="U490" s="6">
        <v>54</v>
      </c>
      <c r="V490" s="6">
        <f>IF(ISERROR(VLOOKUP($S$490,'TAR FIN'!$A$1:$O$86,15,0)),0,VLOOKUP($S$490,'TAR FIN'!$A$1:$O$86,15,0))</f>
        <v>0</v>
      </c>
      <c r="W490" s="6">
        <f>IF(ISERROR(VLOOKUP($T$490,'TAR FIN'!$A$1:$O$86,15,0)),0,VLOOKUP($T$490,'TAR FIN'!$A$1:$O$86,15,0))</f>
        <v>297.89</v>
      </c>
      <c r="X490" s="6">
        <f>IF(ISERROR(VLOOKUP($U$490,'TAR FIN'!$A$1:$O$86,15,0)),0,VLOOKUP($U$490,'TAR FIN'!$A$1:$O$86,15,0))</f>
        <v>197.13</v>
      </c>
      <c r="Y490" s="6"/>
      <c r="Z490" s="6">
        <f ca="1">('TUSD BE'!$AM$33+'TUSD BF'!$AM$33+'TUSD CVA'!$AM$33)*(1-CUSTOS!$M$38)</f>
        <v>392.53302912886562</v>
      </c>
      <c r="AA490" s="6">
        <f>('TE BE'!$AB$24+'TE BF'!$AB$24+'TE CVA'!$AB$24)*(1-CUSTOS!$M$38)</f>
        <v>220.56513853363268</v>
      </c>
      <c r="AB490" s="6">
        <f>$K$490*$V$490</f>
        <v>0</v>
      </c>
      <c r="AC490" s="6">
        <f>$M$490*$W$490</f>
        <v>225584.05397000001</v>
      </c>
      <c r="AD490" s="6">
        <f>$O$490*$X$490</f>
        <v>149281.22649</v>
      </c>
      <c r="AE490" s="6">
        <f>$K$490*$Y$490</f>
        <v>0</v>
      </c>
      <c r="AF490" s="6">
        <f ca="1">$M$490*$Z$490</f>
        <v>297254.66456750344</v>
      </c>
      <c r="AG490" s="6">
        <f>$O$490*$AA$490</f>
        <v>167028.02415277963</v>
      </c>
    </row>
    <row r="491" spans="1:33" ht="11.25" customHeight="1" x14ac:dyDescent="0.25">
      <c r="A491" s="4" t="s">
        <v>28</v>
      </c>
      <c r="B491" s="4" t="s">
        <v>41</v>
      </c>
      <c r="C491" s="4" t="s">
        <v>23</v>
      </c>
      <c r="D491" s="4" t="s">
        <v>42</v>
      </c>
      <c r="E491" s="4" t="s">
        <v>25</v>
      </c>
      <c r="F491" s="4" t="s">
        <v>25</v>
      </c>
      <c r="G491" s="4" t="s">
        <v>25</v>
      </c>
      <c r="H491" s="4" t="s">
        <v>25</v>
      </c>
      <c r="I491" s="5">
        <v>44682</v>
      </c>
      <c r="J491" s="6">
        <v>0</v>
      </c>
      <c r="K491" s="6">
        <v>0</v>
      </c>
      <c r="L491" s="6">
        <v>14.491</v>
      </c>
      <c r="M491" s="6">
        <v>14.491</v>
      </c>
      <c r="N491" s="6">
        <v>14.491</v>
      </c>
      <c r="O491" s="6">
        <v>14.491</v>
      </c>
      <c r="P491" s="6">
        <v>31</v>
      </c>
      <c r="Q491" s="4" t="s">
        <v>26</v>
      </c>
      <c r="R491" s="4">
        <v>0</v>
      </c>
      <c r="S491" s="6">
        <v>0</v>
      </c>
      <c r="T491" s="6">
        <v>16</v>
      </c>
      <c r="U491" s="6">
        <v>54</v>
      </c>
      <c r="V491" s="6">
        <f>IF(ISERROR(VLOOKUP($S$491,'TAR FIN'!$A$1:$O$86,15,0)),0,VLOOKUP($S$491,'TAR FIN'!$A$1:$O$86,15,0))</f>
        <v>0</v>
      </c>
      <c r="W491" s="6">
        <f>IF(ISERROR(VLOOKUP($T$491,'TAR FIN'!$A$1:$O$86,15,0)),0,VLOOKUP($T$491,'TAR FIN'!$A$1:$O$86,15,0))</f>
        <v>297.89</v>
      </c>
      <c r="X491" s="6">
        <f>IF(ISERROR(VLOOKUP($U$491,'TAR FIN'!$A$1:$O$86,15,0)),0,VLOOKUP($U$491,'TAR FIN'!$A$1:$O$86,15,0))</f>
        <v>197.13</v>
      </c>
      <c r="Y491" s="6"/>
      <c r="Z491" s="6">
        <f ca="1">('TUSD BE'!$AM$33+'TUSD BF'!$AM$33+'TUSD CVA'!$AM$33)*(1-CUSTOS!$M$38)</f>
        <v>392.53302912886562</v>
      </c>
      <c r="AA491" s="6">
        <f>('TE BE'!$AB$24+'TE BF'!$AB$24+'TE CVA'!$AB$24)*(1-CUSTOS!$M$38)</f>
        <v>220.56513853363268</v>
      </c>
      <c r="AB491" s="6">
        <f>$K$491*$V$491</f>
        <v>0</v>
      </c>
      <c r="AC491" s="6">
        <f>$M$491*$W$491</f>
        <v>4316.7239899999995</v>
      </c>
      <c r="AD491" s="6">
        <f>$O$491*$X$491</f>
        <v>2856.6108300000001</v>
      </c>
      <c r="AE491" s="6">
        <f>$K$491*$Y$491</f>
        <v>0</v>
      </c>
      <c r="AF491" s="6">
        <f ca="1">$M$491*$Z$491</f>
        <v>5688.1961251063913</v>
      </c>
      <c r="AG491" s="6">
        <f>$O$491*$AA$491</f>
        <v>3196.209422490871</v>
      </c>
    </row>
    <row r="492" spans="1:33" ht="11.25" customHeight="1" x14ac:dyDescent="0.25">
      <c r="A492" s="4" t="s">
        <v>21</v>
      </c>
      <c r="B492" s="4" t="s">
        <v>41</v>
      </c>
      <c r="C492" s="4" t="s">
        <v>23</v>
      </c>
      <c r="D492" s="4" t="s">
        <v>42</v>
      </c>
      <c r="E492" s="4" t="s">
        <v>25</v>
      </c>
      <c r="F492" s="4" t="s">
        <v>25</v>
      </c>
      <c r="G492" s="4" t="s">
        <v>25</v>
      </c>
      <c r="H492" s="4" t="s">
        <v>25</v>
      </c>
      <c r="I492" s="5">
        <v>44713</v>
      </c>
      <c r="J492" s="6">
        <v>0</v>
      </c>
      <c r="K492" s="6">
        <v>0</v>
      </c>
      <c r="L492" s="6">
        <v>687.50599999999997</v>
      </c>
      <c r="M492" s="6">
        <v>687.50599999999997</v>
      </c>
      <c r="N492" s="6">
        <v>687.50599999999997</v>
      </c>
      <c r="O492" s="6">
        <v>687.50599999999997</v>
      </c>
      <c r="P492" s="6">
        <v>2440</v>
      </c>
      <c r="Q492" s="4" t="s">
        <v>26</v>
      </c>
      <c r="R492" s="4">
        <v>0</v>
      </c>
      <c r="S492" s="6">
        <v>0</v>
      </c>
      <c r="T492" s="6">
        <v>16</v>
      </c>
      <c r="U492" s="6">
        <v>54</v>
      </c>
      <c r="V492" s="6">
        <f>IF(ISERROR(VLOOKUP($S$492,'TAR FIN'!$A$1:$O$86,15,0)),0,VLOOKUP($S$492,'TAR FIN'!$A$1:$O$86,15,0))</f>
        <v>0</v>
      </c>
      <c r="W492" s="6">
        <f>IF(ISERROR(VLOOKUP($T$492,'TAR FIN'!$A$1:$O$86,15,0)),0,VLOOKUP($T$492,'TAR FIN'!$A$1:$O$86,15,0))</f>
        <v>297.89</v>
      </c>
      <c r="X492" s="6">
        <f>IF(ISERROR(VLOOKUP($U$492,'TAR FIN'!$A$1:$O$86,15,0)),0,VLOOKUP($U$492,'TAR FIN'!$A$1:$O$86,15,0))</f>
        <v>197.13</v>
      </c>
      <c r="Y492" s="6"/>
      <c r="Z492" s="6">
        <f ca="1">('TUSD BE'!$AM$33+'TUSD BF'!$AM$33+'TUSD CVA'!$AM$33)*(1-CUSTOS!$M$38)</f>
        <v>392.53302912886562</v>
      </c>
      <c r="AA492" s="6">
        <f>('TE BE'!$AB$24+'TE BF'!$AB$24+'TE CVA'!$AB$24)*(1-CUSTOS!$M$38)</f>
        <v>220.56513853363268</v>
      </c>
      <c r="AB492" s="6">
        <f>$K$492*$V$492</f>
        <v>0</v>
      </c>
      <c r="AC492" s="6">
        <f>$M$492*$W$492</f>
        <v>204801.16233999998</v>
      </c>
      <c r="AD492" s="6">
        <f>$O$492*$X$492</f>
        <v>135528.05778</v>
      </c>
      <c r="AE492" s="6">
        <f>$K$492*$Y$492</f>
        <v>0</v>
      </c>
      <c r="AF492" s="6">
        <f ca="1">$M$492*$Z$492</f>
        <v>269868.81272426987</v>
      </c>
      <c r="AG492" s="6">
        <f>$O$492*$AA$492</f>
        <v>151639.85613270366</v>
      </c>
    </row>
    <row r="493" spans="1:33" ht="11.25" customHeight="1" x14ac:dyDescent="0.25">
      <c r="A493" s="4" t="s">
        <v>27</v>
      </c>
      <c r="B493" s="4" t="s">
        <v>41</v>
      </c>
      <c r="C493" s="4" t="s">
        <v>23</v>
      </c>
      <c r="D493" s="4" t="s">
        <v>42</v>
      </c>
      <c r="E493" s="4" t="s">
        <v>25</v>
      </c>
      <c r="F493" s="4" t="s">
        <v>25</v>
      </c>
      <c r="G493" s="4" t="s">
        <v>25</v>
      </c>
      <c r="H493" s="4" t="s">
        <v>25</v>
      </c>
      <c r="I493" s="5">
        <v>44713</v>
      </c>
      <c r="J493" s="6">
        <v>0</v>
      </c>
      <c r="K493" s="6">
        <v>0</v>
      </c>
      <c r="L493" s="6">
        <v>-2.6579999999999999</v>
      </c>
      <c r="M493" s="6">
        <v>-2.6579999999999999</v>
      </c>
      <c r="N493" s="6">
        <v>-2.6579999999999999</v>
      </c>
      <c r="O493" s="6">
        <v>-2.6579999999999999</v>
      </c>
      <c r="P493" s="6">
        <v>0</v>
      </c>
      <c r="Q493" s="4" t="s">
        <v>26</v>
      </c>
      <c r="R493" s="4">
        <v>0</v>
      </c>
      <c r="S493" s="6">
        <v>0</v>
      </c>
      <c r="T493" s="6">
        <v>16</v>
      </c>
      <c r="U493" s="6">
        <v>54</v>
      </c>
      <c r="V493" s="6">
        <f>IF(ISERROR(VLOOKUP($S$493,'TAR FIN'!$A$1:$O$86,15,0)),0,VLOOKUP($S$493,'TAR FIN'!$A$1:$O$86,15,0))</f>
        <v>0</v>
      </c>
      <c r="W493" s="6">
        <f>IF(ISERROR(VLOOKUP($T$493,'TAR FIN'!$A$1:$O$86,15,0)),0,VLOOKUP($T$493,'TAR FIN'!$A$1:$O$86,15,0))</f>
        <v>297.89</v>
      </c>
      <c r="X493" s="6">
        <f>IF(ISERROR(VLOOKUP($U$493,'TAR FIN'!$A$1:$O$86,15,0)),0,VLOOKUP($U$493,'TAR FIN'!$A$1:$O$86,15,0))</f>
        <v>197.13</v>
      </c>
      <c r="Y493" s="6"/>
      <c r="Z493" s="6">
        <f ca="1">('TUSD BE'!$AM$33+'TUSD BF'!$AM$33+'TUSD CVA'!$AM$33)*(1-CUSTOS!$M$38)</f>
        <v>392.53302912886562</v>
      </c>
      <c r="AA493" s="6">
        <f>('TE BE'!$AB$24+'TE BF'!$AB$24+'TE CVA'!$AB$24)*(1-CUSTOS!$M$38)</f>
        <v>220.56513853363268</v>
      </c>
      <c r="AB493" s="6">
        <f>$K$493*$V$493</f>
        <v>0</v>
      </c>
      <c r="AC493" s="6">
        <f>$M$493*$W$493</f>
        <v>-791.79161999999997</v>
      </c>
      <c r="AD493" s="6">
        <f>$O$493*$X$493</f>
        <v>-523.97154</v>
      </c>
      <c r="AE493" s="6">
        <f>$K$493*$Y$493</f>
        <v>0</v>
      </c>
      <c r="AF493" s="6">
        <f ca="1">$M$493*$Z$493</f>
        <v>-1043.3527914245249</v>
      </c>
      <c r="AG493" s="6">
        <f>$O$493*$AA$493</f>
        <v>-586.26213822239561</v>
      </c>
    </row>
    <row r="494" spans="1:33" ht="11.25" customHeight="1" x14ac:dyDescent="0.25">
      <c r="A494" s="4" t="s">
        <v>28</v>
      </c>
      <c r="B494" s="4" t="s">
        <v>41</v>
      </c>
      <c r="C494" s="4" t="s">
        <v>23</v>
      </c>
      <c r="D494" s="4" t="s">
        <v>42</v>
      </c>
      <c r="E494" s="4" t="s">
        <v>25</v>
      </c>
      <c r="F494" s="4" t="s">
        <v>25</v>
      </c>
      <c r="G494" s="4" t="s">
        <v>25</v>
      </c>
      <c r="H494" s="4" t="s">
        <v>25</v>
      </c>
      <c r="I494" s="5">
        <v>44713</v>
      </c>
      <c r="J494" s="6">
        <v>0</v>
      </c>
      <c r="K494" s="6">
        <v>0</v>
      </c>
      <c r="L494" s="6">
        <v>12.61</v>
      </c>
      <c r="M494" s="6">
        <v>12.61</v>
      </c>
      <c r="N494" s="6">
        <v>12.61</v>
      </c>
      <c r="O494" s="6">
        <v>12.61</v>
      </c>
      <c r="P494" s="6">
        <v>37</v>
      </c>
      <c r="Q494" s="4" t="s">
        <v>26</v>
      </c>
      <c r="R494" s="4">
        <v>0</v>
      </c>
      <c r="S494" s="6">
        <v>0</v>
      </c>
      <c r="T494" s="6">
        <v>16</v>
      </c>
      <c r="U494" s="6">
        <v>54</v>
      </c>
      <c r="V494" s="6">
        <f>IF(ISERROR(VLOOKUP($S$494,'TAR FIN'!$A$1:$O$86,15,0)),0,VLOOKUP($S$494,'TAR FIN'!$A$1:$O$86,15,0))</f>
        <v>0</v>
      </c>
      <c r="W494" s="6">
        <f>IF(ISERROR(VLOOKUP($T$494,'TAR FIN'!$A$1:$O$86,15,0)),0,VLOOKUP($T$494,'TAR FIN'!$A$1:$O$86,15,0))</f>
        <v>297.89</v>
      </c>
      <c r="X494" s="6">
        <f>IF(ISERROR(VLOOKUP($U$494,'TAR FIN'!$A$1:$O$86,15,0)),0,VLOOKUP($U$494,'TAR FIN'!$A$1:$O$86,15,0))</f>
        <v>197.13</v>
      </c>
      <c r="Y494" s="6"/>
      <c r="Z494" s="6">
        <f ca="1">('TUSD BE'!$AM$33+'TUSD BF'!$AM$33+'TUSD CVA'!$AM$33)*(1-CUSTOS!$M$38)</f>
        <v>392.53302912886562</v>
      </c>
      <c r="AA494" s="6">
        <f>('TE BE'!$AB$24+'TE BF'!$AB$24+'TE CVA'!$AB$24)*(1-CUSTOS!$M$38)</f>
        <v>220.56513853363268</v>
      </c>
      <c r="AB494" s="6">
        <f>$K$494*$V$494</f>
        <v>0</v>
      </c>
      <c r="AC494" s="6">
        <f>$M$494*$W$494</f>
        <v>3756.3928999999998</v>
      </c>
      <c r="AD494" s="6">
        <f>$O$494*$X$494</f>
        <v>2485.8092999999999</v>
      </c>
      <c r="AE494" s="6">
        <f>$K$494*$Y$494</f>
        <v>0</v>
      </c>
      <c r="AF494" s="6">
        <f ca="1">$M$494*$Z$494</f>
        <v>4949.8414973149956</v>
      </c>
      <c r="AG494" s="6">
        <f>$O$494*$AA$494</f>
        <v>2781.3263969091081</v>
      </c>
    </row>
    <row r="495" spans="1:33" ht="11.25" customHeight="1" x14ac:dyDescent="0.25">
      <c r="A495" s="4" t="s">
        <v>55</v>
      </c>
      <c r="B495" s="4" t="s">
        <v>41</v>
      </c>
      <c r="C495" s="4" t="s">
        <v>23</v>
      </c>
      <c r="D495" s="4" t="s">
        <v>42</v>
      </c>
      <c r="E495" s="4" t="s">
        <v>25</v>
      </c>
      <c r="F495" s="4" t="s">
        <v>25</v>
      </c>
      <c r="G495" s="4" t="s">
        <v>25</v>
      </c>
      <c r="H495" s="4" t="s">
        <v>25</v>
      </c>
      <c r="I495" s="5">
        <v>44743</v>
      </c>
      <c r="J495" s="6">
        <v>0</v>
      </c>
      <c r="K495" s="6">
        <v>0</v>
      </c>
      <c r="L495" s="6">
        <v>687.50599999999997</v>
      </c>
      <c r="M495" s="6">
        <v>687.50599999999997</v>
      </c>
      <c r="N495" s="6">
        <v>687.50599999999997</v>
      </c>
      <c r="O495" s="6">
        <v>687.50599999999997</v>
      </c>
      <c r="P495" s="6">
        <v>2440</v>
      </c>
      <c r="Q495" s="4" t="s">
        <v>26</v>
      </c>
      <c r="R495" s="4">
        <v>0</v>
      </c>
      <c r="S495" s="6">
        <v>0</v>
      </c>
      <c r="T495" s="6">
        <v>16</v>
      </c>
      <c r="U495" s="6">
        <v>54</v>
      </c>
      <c r="V495" s="6">
        <f>IF(ISERROR(VLOOKUP($S$495,'TAR FIN'!$A$1:$O$86,15,0)),0,VLOOKUP($S$495,'TAR FIN'!$A$1:$O$86,15,0))</f>
        <v>0</v>
      </c>
      <c r="W495" s="6">
        <f>IF(ISERROR(VLOOKUP($T$495,'TAR FIN'!$A$1:$O$86,15,0)),0,VLOOKUP($T$495,'TAR FIN'!$A$1:$O$86,15,0))</f>
        <v>297.89</v>
      </c>
      <c r="X495" s="6">
        <f>IF(ISERROR(VLOOKUP($U$495,'TAR FIN'!$A$1:$O$86,15,0)),0,VLOOKUP($U$495,'TAR FIN'!$A$1:$O$86,15,0))</f>
        <v>197.13</v>
      </c>
      <c r="Y495" s="6"/>
      <c r="Z495" s="6">
        <f ca="1">('TUSD BE'!$AM$33+'TUSD BF'!$AM$33+'TUSD CVA'!$AM$33)*(1-CUSTOS!$M$38)</f>
        <v>392.53302912886562</v>
      </c>
      <c r="AA495" s="6">
        <f>('TE BE'!$AB$24+'TE BF'!$AB$24+'TE CVA'!$AB$24)*(1-CUSTOS!$M$38)</f>
        <v>220.56513853363268</v>
      </c>
      <c r="AB495" s="6">
        <f>$K$495*$V$495</f>
        <v>0</v>
      </c>
      <c r="AC495" s="6">
        <f>$M$495*$W$495</f>
        <v>204801.16233999998</v>
      </c>
      <c r="AD495" s="6">
        <f>$O$495*$X$495</f>
        <v>135528.05778</v>
      </c>
      <c r="AE495" s="6">
        <f>$K$495*$Y$495</f>
        <v>0</v>
      </c>
      <c r="AF495" s="6">
        <f ca="1">$M$495*$Z$495</f>
        <v>269868.81272426987</v>
      </c>
      <c r="AG495" s="6">
        <f>$O$495*$AA$495</f>
        <v>151639.85613270366</v>
      </c>
    </row>
    <row r="496" spans="1:33" ht="11.25" customHeight="1" x14ac:dyDescent="0.25">
      <c r="A496" s="4" t="s">
        <v>55</v>
      </c>
      <c r="B496" s="4" t="s">
        <v>41</v>
      </c>
      <c r="C496" s="4" t="s">
        <v>23</v>
      </c>
      <c r="D496" s="4" t="s">
        <v>42</v>
      </c>
      <c r="E496" s="4" t="s">
        <v>25</v>
      </c>
      <c r="F496" s="4" t="s">
        <v>25</v>
      </c>
      <c r="G496" s="4" t="s">
        <v>25</v>
      </c>
      <c r="H496" s="4" t="s">
        <v>25</v>
      </c>
      <c r="I496" s="5">
        <v>44743</v>
      </c>
      <c r="J496" s="6">
        <v>0</v>
      </c>
      <c r="K496" s="6">
        <v>0</v>
      </c>
      <c r="L496" s="6">
        <v>-2.6579999999999999</v>
      </c>
      <c r="M496" s="6">
        <v>-2.6579999999999999</v>
      </c>
      <c r="N496" s="6">
        <v>-2.6579999999999999</v>
      </c>
      <c r="O496" s="6">
        <v>-2.6579999999999999</v>
      </c>
      <c r="P496" s="6">
        <v>0</v>
      </c>
      <c r="Q496" s="4" t="s">
        <v>26</v>
      </c>
      <c r="R496" s="4">
        <v>0</v>
      </c>
      <c r="S496" s="6">
        <v>0</v>
      </c>
      <c r="T496" s="6">
        <v>16</v>
      </c>
      <c r="U496" s="6">
        <v>54</v>
      </c>
      <c r="V496" s="6">
        <f>IF(ISERROR(VLOOKUP($S$496,'TAR FIN'!$A$1:$O$86,15,0)),0,VLOOKUP($S$496,'TAR FIN'!$A$1:$O$86,15,0))</f>
        <v>0</v>
      </c>
      <c r="W496" s="6">
        <f>IF(ISERROR(VLOOKUP($T$496,'TAR FIN'!$A$1:$O$86,15,0)),0,VLOOKUP($T$496,'TAR FIN'!$A$1:$O$86,15,0))</f>
        <v>297.89</v>
      </c>
      <c r="X496" s="6">
        <f>IF(ISERROR(VLOOKUP($U$496,'TAR FIN'!$A$1:$O$86,15,0)),0,VLOOKUP($U$496,'TAR FIN'!$A$1:$O$86,15,0))</f>
        <v>197.13</v>
      </c>
      <c r="Y496" s="6"/>
      <c r="Z496" s="6">
        <f ca="1">('TUSD BE'!$AM$33+'TUSD BF'!$AM$33+'TUSD CVA'!$AM$33)*(1-CUSTOS!$M$38)</f>
        <v>392.53302912886562</v>
      </c>
      <c r="AA496" s="6">
        <f>('TE BE'!$AB$24+'TE BF'!$AB$24+'TE CVA'!$AB$24)*(1-CUSTOS!$M$38)</f>
        <v>220.56513853363268</v>
      </c>
      <c r="AB496" s="6">
        <f>$K$496*$V$496</f>
        <v>0</v>
      </c>
      <c r="AC496" s="6">
        <f>$M$496*$W$496</f>
        <v>-791.79161999999997</v>
      </c>
      <c r="AD496" s="6">
        <f>$O$496*$X$496</f>
        <v>-523.97154</v>
      </c>
      <c r="AE496" s="6">
        <f>$K$496*$Y$496</f>
        <v>0</v>
      </c>
      <c r="AF496" s="6">
        <f ca="1">$M$496*$Z$496</f>
        <v>-1043.3527914245249</v>
      </c>
      <c r="AG496" s="6">
        <f>$O$496*$AA$496</f>
        <v>-586.26213822239561</v>
      </c>
    </row>
    <row r="497" spans="1:33" ht="11.25" customHeight="1" x14ac:dyDescent="0.25">
      <c r="A497" s="4" t="s">
        <v>55</v>
      </c>
      <c r="B497" s="4" t="s">
        <v>41</v>
      </c>
      <c r="C497" s="4" t="s">
        <v>23</v>
      </c>
      <c r="D497" s="4" t="s">
        <v>42</v>
      </c>
      <c r="E497" s="4" t="s">
        <v>25</v>
      </c>
      <c r="F497" s="4" t="s">
        <v>25</v>
      </c>
      <c r="G497" s="4" t="s">
        <v>25</v>
      </c>
      <c r="H497" s="4" t="s">
        <v>25</v>
      </c>
      <c r="I497" s="5">
        <v>44743</v>
      </c>
      <c r="J497" s="6">
        <v>0</v>
      </c>
      <c r="K497" s="6">
        <v>0</v>
      </c>
      <c r="L497" s="6">
        <v>12.61</v>
      </c>
      <c r="M497" s="6">
        <v>12.61</v>
      </c>
      <c r="N497" s="6">
        <v>12.61</v>
      </c>
      <c r="O497" s="6">
        <v>12.61</v>
      </c>
      <c r="P497" s="6">
        <v>37</v>
      </c>
      <c r="Q497" s="4" t="s">
        <v>26</v>
      </c>
      <c r="R497" s="4">
        <v>0</v>
      </c>
      <c r="S497" s="6">
        <v>0</v>
      </c>
      <c r="T497" s="6">
        <v>16</v>
      </c>
      <c r="U497" s="6">
        <v>54</v>
      </c>
      <c r="V497" s="6">
        <f>IF(ISERROR(VLOOKUP($S$497,'TAR FIN'!$A$1:$O$86,15,0)),0,VLOOKUP($S$497,'TAR FIN'!$A$1:$O$86,15,0))</f>
        <v>0</v>
      </c>
      <c r="W497" s="6">
        <f>IF(ISERROR(VLOOKUP($T$497,'TAR FIN'!$A$1:$O$86,15,0)),0,VLOOKUP($T$497,'TAR FIN'!$A$1:$O$86,15,0))</f>
        <v>297.89</v>
      </c>
      <c r="X497" s="6">
        <f>IF(ISERROR(VLOOKUP($U$497,'TAR FIN'!$A$1:$O$86,15,0)),0,VLOOKUP($U$497,'TAR FIN'!$A$1:$O$86,15,0))</f>
        <v>197.13</v>
      </c>
      <c r="Y497" s="6"/>
      <c r="Z497" s="6">
        <f ca="1">('TUSD BE'!$AM$33+'TUSD BF'!$AM$33+'TUSD CVA'!$AM$33)*(1-CUSTOS!$M$38)</f>
        <v>392.53302912886562</v>
      </c>
      <c r="AA497" s="6">
        <f>('TE BE'!$AB$24+'TE BF'!$AB$24+'TE CVA'!$AB$24)*(1-CUSTOS!$M$38)</f>
        <v>220.56513853363268</v>
      </c>
      <c r="AB497" s="6">
        <f>$K$497*$V$497</f>
        <v>0</v>
      </c>
      <c r="AC497" s="6">
        <f>$M$497*$W$497</f>
        <v>3756.3928999999998</v>
      </c>
      <c r="AD497" s="6">
        <f>$O$497*$X$497</f>
        <v>2485.8092999999999</v>
      </c>
      <c r="AE497" s="6">
        <f>$K$497*$Y$497</f>
        <v>0</v>
      </c>
      <c r="AF497" s="6">
        <f ca="1">$M$497*$Z$497</f>
        <v>4949.8414973149956</v>
      </c>
      <c r="AG497" s="6">
        <f>$O$497*$AA$497</f>
        <v>2781.3263969091081</v>
      </c>
    </row>
    <row r="498" spans="1:33" ht="11.25" customHeight="1" x14ac:dyDescent="0.25">
      <c r="A498" s="4" t="s">
        <v>21</v>
      </c>
      <c r="B498" s="4" t="s">
        <v>33</v>
      </c>
      <c r="C498" s="4" t="s">
        <v>50</v>
      </c>
      <c r="D498" s="4" t="s">
        <v>49</v>
      </c>
      <c r="E498" s="4" t="s">
        <v>25</v>
      </c>
      <c r="F498" s="4" t="s">
        <v>25</v>
      </c>
      <c r="G498" s="4" t="s">
        <v>25</v>
      </c>
      <c r="H498" s="4" t="s">
        <v>38</v>
      </c>
      <c r="I498" s="5">
        <v>44409</v>
      </c>
      <c r="J498" s="6">
        <v>0</v>
      </c>
      <c r="K498" s="6">
        <v>0</v>
      </c>
      <c r="L498" s="6">
        <v>1.34</v>
      </c>
      <c r="M498" s="6">
        <v>1.34</v>
      </c>
      <c r="N498" s="6">
        <v>1.34</v>
      </c>
      <c r="O498" s="6">
        <v>1.34</v>
      </c>
      <c r="P498" s="6">
        <v>0</v>
      </c>
      <c r="Q498" s="4" t="s">
        <v>26</v>
      </c>
      <c r="R498" s="4">
        <v>0</v>
      </c>
      <c r="S498" s="6">
        <v>0</v>
      </c>
      <c r="T498" s="6">
        <v>31</v>
      </c>
      <c r="U498" s="6">
        <v>83</v>
      </c>
      <c r="V498" s="6">
        <f>IF(ISERROR(VLOOKUP($S$498,'TAR FIN'!$A$1:$O$86,15,0)),0,VLOOKUP($S$498,'TAR FIN'!$A$1:$O$86,15,0))</f>
        <v>0</v>
      </c>
      <c r="W498" s="6">
        <f>IF(ISERROR(VLOOKUP($T$498,'TAR FIN'!$A$1:$O$86,15,0)),0,VLOOKUP($T$498,'TAR FIN'!$A$1:$O$86,15,0))</f>
        <v>275.05</v>
      </c>
      <c r="X498" s="6">
        <f>IF(ISERROR(VLOOKUP($U$498,'TAR FIN'!$A$1:$O$86,15,0)),0,VLOOKUP($U$498,'TAR FIN'!$A$1:$O$86,15,0))</f>
        <v>211.71</v>
      </c>
      <c r="Y498" s="6"/>
      <c r="Z498" s="6">
        <f ca="1">('TUSD BE'!$AM$47+'TUSD BF'!$AM$47+'TUSD CVA'!$AM$47)*1</f>
        <v>336.3279460510845</v>
      </c>
      <c r="AA498" s="6">
        <f>('TE BE'!$AB$38+'TE BF'!$AB$38+'TE CVA'!$AB$38)*1</f>
        <v>222.99901551132911</v>
      </c>
      <c r="AB498" s="6">
        <f>$K$498*$V$498</f>
        <v>0</v>
      </c>
      <c r="AC498" s="6">
        <f>$M$498*$W$498</f>
        <v>368.56700000000006</v>
      </c>
      <c r="AD498" s="6">
        <f>$O$498*$X$498</f>
        <v>283.69140000000004</v>
      </c>
      <c r="AE498" s="6">
        <f>$K$498*$Y$498</f>
        <v>0</v>
      </c>
      <c r="AF498" s="6">
        <f ca="1">$M$498*$Z$498</f>
        <v>450.67944770845327</v>
      </c>
      <c r="AG498" s="6">
        <f>$O$498*$AA$498</f>
        <v>298.81868078518102</v>
      </c>
    </row>
    <row r="499" spans="1:33" ht="11.25" customHeight="1" x14ac:dyDescent="0.25">
      <c r="A499" s="4" t="s">
        <v>21</v>
      </c>
      <c r="B499" s="4" t="s">
        <v>33</v>
      </c>
      <c r="C499" s="4" t="s">
        <v>50</v>
      </c>
      <c r="D499" s="4" t="s">
        <v>49</v>
      </c>
      <c r="E499" s="4" t="s">
        <v>25</v>
      </c>
      <c r="F499" s="4" t="s">
        <v>25</v>
      </c>
      <c r="G499" s="4" t="s">
        <v>25</v>
      </c>
      <c r="H499" s="4" t="s">
        <v>38</v>
      </c>
      <c r="I499" s="5">
        <v>44440</v>
      </c>
      <c r="J499" s="6">
        <v>0</v>
      </c>
      <c r="K499" s="6">
        <v>0</v>
      </c>
      <c r="L499" s="6">
        <v>1.484</v>
      </c>
      <c r="M499" s="6">
        <v>1.484</v>
      </c>
      <c r="N499" s="6">
        <v>1.484</v>
      </c>
      <c r="O499" s="6">
        <v>1.484</v>
      </c>
      <c r="P499" s="6">
        <v>0</v>
      </c>
      <c r="Q499" s="4" t="s">
        <v>26</v>
      </c>
      <c r="R499" s="4">
        <v>0</v>
      </c>
      <c r="S499" s="6">
        <v>0</v>
      </c>
      <c r="T499" s="6">
        <v>31</v>
      </c>
      <c r="U499" s="6">
        <v>83</v>
      </c>
      <c r="V499" s="6">
        <f>IF(ISERROR(VLOOKUP($S$499,'TAR FIN'!$A$1:$O$86,15,0)),0,VLOOKUP($S$499,'TAR FIN'!$A$1:$O$86,15,0))</f>
        <v>0</v>
      </c>
      <c r="W499" s="6">
        <f>IF(ISERROR(VLOOKUP($T$499,'TAR FIN'!$A$1:$O$86,15,0)),0,VLOOKUP($T$499,'TAR FIN'!$A$1:$O$86,15,0))</f>
        <v>275.05</v>
      </c>
      <c r="X499" s="6">
        <f>IF(ISERROR(VLOOKUP($U$499,'TAR FIN'!$A$1:$O$86,15,0)),0,VLOOKUP($U$499,'TAR FIN'!$A$1:$O$86,15,0))</f>
        <v>211.71</v>
      </c>
      <c r="Y499" s="6"/>
      <c r="Z499" s="6">
        <f ca="1">('TUSD BE'!$AM$47+'TUSD BF'!$AM$47+'TUSD CVA'!$AM$47)*1</f>
        <v>336.3279460510845</v>
      </c>
      <c r="AA499" s="6">
        <f>('TE BE'!$AB$38+'TE BF'!$AB$38+'TE CVA'!$AB$38)*1</f>
        <v>222.99901551132911</v>
      </c>
      <c r="AB499" s="6">
        <f>$K$499*$V$499</f>
        <v>0</v>
      </c>
      <c r="AC499" s="6">
        <f>$M$499*$W$499</f>
        <v>408.17419999999998</v>
      </c>
      <c r="AD499" s="6">
        <f>$O$499*$X$499</f>
        <v>314.17764</v>
      </c>
      <c r="AE499" s="6">
        <f>$K$499*$Y$499</f>
        <v>0</v>
      </c>
      <c r="AF499" s="6">
        <f ca="1">$M$499*$Z$499</f>
        <v>499.11067193980938</v>
      </c>
      <c r="AG499" s="6">
        <f>$O$499*$AA$499</f>
        <v>330.9305390188124</v>
      </c>
    </row>
    <row r="500" spans="1:33" ht="11.25" customHeight="1" x14ac:dyDescent="0.25">
      <c r="A500" s="4" t="s">
        <v>21</v>
      </c>
      <c r="B500" s="4" t="s">
        <v>33</v>
      </c>
      <c r="C500" s="4" t="s">
        <v>50</v>
      </c>
      <c r="D500" s="4" t="s">
        <v>49</v>
      </c>
      <c r="E500" s="4" t="s">
        <v>25</v>
      </c>
      <c r="F500" s="4" t="s">
        <v>25</v>
      </c>
      <c r="G500" s="4" t="s">
        <v>25</v>
      </c>
      <c r="H500" s="4" t="s">
        <v>38</v>
      </c>
      <c r="I500" s="5">
        <v>44470</v>
      </c>
      <c r="J500" s="6">
        <v>0</v>
      </c>
      <c r="K500" s="6">
        <v>0</v>
      </c>
      <c r="L500" s="6">
        <v>1.3839999999999999</v>
      </c>
      <c r="M500" s="6">
        <v>1.3839999999999999</v>
      </c>
      <c r="N500" s="6">
        <v>1.3839999999999999</v>
      </c>
      <c r="O500" s="6">
        <v>1.3839999999999999</v>
      </c>
      <c r="P500" s="6">
        <v>0</v>
      </c>
      <c r="Q500" s="4" t="s">
        <v>26</v>
      </c>
      <c r="R500" s="4">
        <v>0</v>
      </c>
      <c r="S500" s="6">
        <v>0</v>
      </c>
      <c r="T500" s="6">
        <v>31</v>
      </c>
      <c r="U500" s="6">
        <v>83</v>
      </c>
      <c r="V500" s="6">
        <f>IF(ISERROR(VLOOKUP($S$500,'TAR FIN'!$A$1:$O$86,15,0)),0,VLOOKUP($S$500,'TAR FIN'!$A$1:$O$86,15,0))</f>
        <v>0</v>
      </c>
      <c r="W500" s="6">
        <f>IF(ISERROR(VLOOKUP($T$500,'TAR FIN'!$A$1:$O$86,15,0)),0,VLOOKUP($T$500,'TAR FIN'!$A$1:$O$86,15,0))</f>
        <v>275.05</v>
      </c>
      <c r="X500" s="6">
        <f>IF(ISERROR(VLOOKUP($U$500,'TAR FIN'!$A$1:$O$86,15,0)),0,VLOOKUP($U$500,'TAR FIN'!$A$1:$O$86,15,0))</f>
        <v>211.71</v>
      </c>
      <c r="Y500" s="6"/>
      <c r="Z500" s="6">
        <f ca="1">('TUSD BE'!$AM$47+'TUSD BF'!$AM$47+'TUSD CVA'!$AM$47)*1</f>
        <v>336.3279460510845</v>
      </c>
      <c r="AA500" s="6">
        <f>('TE BE'!$AB$38+'TE BF'!$AB$38+'TE CVA'!$AB$38)*1</f>
        <v>222.99901551132911</v>
      </c>
      <c r="AB500" s="6">
        <f>$K$500*$V$500</f>
        <v>0</v>
      </c>
      <c r="AC500" s="6">
        <f>$M$500*$W$500</f>
        <v>380.66919999999999</v>
      </c>
      <c r="AD500" s="6">
        <f>$O$500*$X$500</f>
        <v>293.00664</v>
      </c>
      <c r="AE500" s="6">
        <f>$K$500*$Y$500</f>
        <v>0</v>
      </c>
      <c r="AF500" s="6">
        <f ca="1">$M$500*$Z$500</f>
        <v>465.47787733470091</v>
      </c>
      <c r="AG500" s="6">
        <f>$O$500*$AA$500</f>
        <v>308.63063746767943</v>
      </c>
    </row>
    <row r="501" spans="1:33" ht="11.25" customHeight="1" x14ac:dyDescent="0.25">
      <c r="A501" s="4" t="s">
        <v>21</v>
      </c>
      <c r="B501" s="4" t="s">
        <v>33</v>
      </c>
      <c r="C501" s="4" t="s">
        <v>50</v>
      </c>
      <c r="D501" s="4" t="s">
        <v>49</v>
      </c>
      <c r="E501" s="4" t="s">
        <v>25</v>
      </c>
      <c r="F501" s="4" t="s">
        <v>25</v>
      </c>
      <c r="G501" s="4" t="s">
        <v>25</v>
      </c>
      <c r="H501" s="4" t="s">
        <v>38</v>
      </c>
      <c r="I501" s="5">
        <v>44501</v>
      </c>
      <c r="J501" s="6">
        <v>0</v>
      </c>
      <c r="K501" s="6">
        <v>0</v>
      </c>
      <c r="L501" s="6">
        <v>1.597</v>
      </c>
      <c r="M501" s="6">
        <v>1.597</v>
      </c>
      <c r="N501" s="6">
        <v>1.597</v>
      </c>
      <c r="O501" s="6">
        <v>1.597</v>
      </c>
      <c r="P501" s="6">
        <v>0</v>
      </c>
      <c r="Q501" s="4" t="s">
        <v>26</v>
      </c>
      <c r="R501" s="4">
        <v>0</v>
      </c>
      <c r="S501" s="6">
        <v>0</v>
      </c>
      <c r="T501" s="6">
        <v>31</v>
      </c>
      <c r="U501" s="6">
        <v>83</v>
      </c>
      <c r="V501" s="6">
        <f>IF(ISERROR(VLOOKUP($S$501,'TAR FIN'!$A$1:$O$86,15,0)),0,VLOOKUP($S$501,'TAR FIN'!$A$1:$O$86,15,0))</f>
        <v>0</v>
      </c>
      <c r="W501" s="6">
        <f>IF(ISERROR(VLOOKUP($T$501,'TAR FIN'!$A$1:$O$86,15,0)),0,VLOOKUP($T$501,'TAR FIN'!$A$1:$O$86,15,0))</f>
        <v>275.05</v>
      </c>
      <c r="X501" s="6">
        <f>IF(ISERROR(VLOOKUP($U$501,'TAR FIN'!$A$1:$O$86,15,0)),0,VLOOKUP($U$501,'TAR FIN'!$A$1:$O$86,15,0))</f>
        <v>211.71</v>
      </c>
      <c r="Y501" s="6"/>
      <c r="Z501" s="6">
        <f ca="1">('TUSD BE'!$AM$47+'TUSD BF'!$AM$47+'TUSD CVA'!$AM$47)*1</f>
        <v>336.3279460510845</v>
      </c>
      <c r="AA501" s="6">
        <f>('TE BE'!$AB$38+'TE BF'!$AB$38+'TE CVA'!$AB$38)*1</f>
        <v>222.99901551132911</v>
      </c>
      <c r="AB501" s="6">
        <f>$K$501*$V$501</f>
        <v>0</v>
      </c>
      <c r="AC501" s="6">
        <f>$M$501*$W$501</f>
        <v>439.25485000000003</v>
      </c>
      <c r="AD501" s="6">
        <f>$O$501*$X$501</f>
        <v>338.10086999999999</v>
      </c>
      <c r="AE501" s="6">
        <f>$K$501*$Y$501</f>
        <v>0</v>
      </c>
      <c r="AF501" s="6">
        <f ca="1">$M$501*$Z$501</f>
        <v>537.1157298435819</v>
      </c>
      <c r="AG501" s="6">
        <f>$O$501*$AA$501</f>
        <v>356.12942777159259</v>
      </c>
    </row>
    <row r="502" spans="1:33" ht="11.25" customHeight="1" x14ac:dyDescent="0.25">
      <c r="A502" s="4" t="s">
        <v>21</v>
      </c>
      <c r="B502" s="4" t="s">
        <v>33</v>
      </c>
      <c r="C502" s="4" t="s">
        <v>50</v>
      </c>
      <c r="D502" s="4" t="s">
        <v>49</v>
      </c>
      <c r="E502" s="4" t="s">
        <v>25</v>
      </c>
      <c r="F502" s="4" t="s">
        <v>25</v>
      </c>
      <c r="G502" s="4" t="s">
        <v>25</v>
      </c>
      <c r="H502" s="4" t="s">
        <v>38</v>
      </c>
      <c r="I502" s="5">
        <v>44531</v>
      </c>
      <c r="J502" s="6">
        <v>0</v>
      </c>
      <c r="K502" s="6">
        <v>0</v>
      </c>
      <c r="L502" s="6">
        <v>2.2639999999999998</v>
      </c>
      <c r="M502" s="6">
        <v>2.2639999999999998</v>
      </c>
      <c r="N502" s="6">
        <v>2.2639999999999998</v>
      </c>
      <c r="O502" s="6">
        <v>2.2639999999999998</v>
      </c>
      <c r="P502" s="6">
        <v>0</v>
      </c>
      <c r="Q502" s="4" t="s">
        <v>26</v>
      </c>
      <c r="R502" s="4">
        <v>0</v>
      </c>
      <c r="S502" s="6">
        <v>0</v>
      </c>
      <c r="T502" s="6">
        <v>31</v>
      </c>
      <c r="U502" s="6">
        <v>83</v>
      </c>
      <c r="V502" s="6">
        <f>IF(ISERROR(VLOOKUP($S$502,'TAR FIN'!$A$1:$O$86,15,0)),0,VLOOKUP($S$502,'TAR FIN'!$A$1:$O$86,15,0))</f>
        <v>0</v>
      </c>
      <c r="W502" s="6">
        <f>IF(ISERROR(VLOOKUP($T$502,'TAR FIN'!$A$1:$O$86,15,0)),0,VLOOKUP($T$502,'TAR FIN'!$A$1:$O$86,15,0))</f>
        <v>275.05</v>
      </c>
      <c r="X502" s="6">
        <f>IF(ISERROR(VLOOKUP($U$502,'TAR FIN'!$A$1:$O$86,15,0)),0,VLOOKUP($U$502,'TAR FIN'!$A$1:$O$86,15,0))</f>
        <v>211.71</v>
      </c>
      <c r="Y502" s="6"/>
      <c r="Z502" s="6">
        <f ca="1">('TUSD BE'!$AM$47+'TUSD BF'!$AM$47+'TUSD CVA'!$AM$47)*1</f>
        <v>336.3279460510845</v>
      </c>
      <c r="AA502" s="6">
        <f>('TE BE'!$AB$38+'TE BF'!$AB$38+'TE CVA'!$AB$38)*1</f>
        <v>222.99901551132911</v>
      </c>
      <c r="AB502" s="6">
        <f>$K$502*$V$502</f>
        <v>0</v>
      </c>
      <c r="AC502" s="6">
        <f>$M$502*$W$502</f>
        <v>622.71319999999992</v>
      </c>
      <c r="AD502" s="6">
        <f>$O$502*$X$502</f>
        <v>479.31143999999995</v>
      </c>
      <c r="AE502" s="6">
        <f>$K$502*$Y$502</f>
        <v>0</v>
      </c>
      <c r="AF502" s="6">
        <f ca="1">$M$502*$Z$502</f>
        <v>761.44646985965528</v>
      </c>
      <c r="AG502" s="6">
        <f>$O$502*$AA$502</f>
        <v>504.86977111764907</v>
      </c>
    </row>
    <row r="503" spans="1:33" ht="11.25" customHeight="1" x14ac:dyDescent="0.25">
      <c r="A503" s="4" t="s">
        <v>21</v>
      </c>
      <c r="B503" s="4" t="s">
        <v>33</v>
      </c>
      <c r="C503" s="4" t="s">
        <v>50</v>
      </c>
      <c r="D503" s="4" t="s">
        <v>49</v>
      </c>
      <c r="E503" s="4" t="s">
        <v>25</v>
      </c>
      <c r="F503" s="4" t="s">
        <v>25</v>
      </c>
      <c r="G503" s="4" t="s">
        <v>25</v>
      </c>
      <c r="H503" s="4" t="s">
        <v>38</v>
      </c>
      <c r="I503" s="5">
        <v>44562</v>
      </c>
      <c r="J503" s="6">
        <v>0</v>
      </c>
      <c r="K503" s="6">
        <v>0</v>
      </c>
      <c r="L503" s="6">
        <v>3.24</v>
      </c>
      <c r="M503" s="6">
        <v>3.24</v>
      </c>
      <c r="N503" s="6">
        <v>3.24</v>
      </c>
      <c r="O503" s="6">
        <v>3.24</v>
      </c>
      <c r="P503" s="6">
        <v>0</v>
      </c>
      <c r="Q503" s="4" t="s">
        <v>26</v>
      </c>
      <c r="R503" s="4">
        <v>0</v>
      </c>
      <c r="S503" s="6">
        <v>0</v>
      </c>
      <c r="T503" s="6">
        <v>31</v>
      </c>
      <c r="U503" s="6">
        <v>83</v>
      </c>
      <c r="V503" s="6">
        <f>IF(ISERROR(VLOOKUP($S$503,'TAR FIN'!$A$1:$O$86,15,0)),0,VLOOKUP($S$503,'TAR FIN'!$A$1:$O$86,15,0))</f>
        <v>0</v>
      </c>
      <c r="W503" s="6">
        <f>IF(ISERROR(VLOOKUP($T$503,'TAR FIN'!$A$1:$O$86,15,0)),0,VLOOKUP($T$503,'TAR FIN'!$A$1:$O$86,15,0))</f>
        <v>275.05</v>
      </c>
      <c r="X503" s="6">
        <f>IF(ISERROR(VLOOKUP($U$503,'TAR FIN'!$A$1:$O$86,15,0)),0,VLOOKUP($U$503,'TAR FIN'!$A$1:$O$86,15,0))</f>
        <v>211.71</v>
      </c>
      <c r="Y503" s="6"/>
      <c r="Z503" s="6">
        <f ca="1">('TUSD BE'!$AM$47+'TUSD BF'!$AM$47+'TUSD CVA'!$AM$47)*1</f>
        <v>336.3279460510845</v>
      </c>
      <c r="AA503" s="6">
        <f>('TE BE'!$AB$38+'TE BF'!$AB$38+'TE CVA'!$AB$38)*1</f>
        <v>222.99901551132911</v>
      </c>
      <c r="AB503" s="6">
        <f>$K$503*$V$503</f>
        <v>0</v>
      </c>
      <c r="AC503" s="6">
        <f>$M$503*$W$503</f>
        <v>891.16200000000015</v>
      </c>
      <c r="AD503" s="6">
        <f>$O$503*$X$503</f>
        <v>685.94040000000007</v>
      </c>
      <c r="AE503" s="6">
        <f>$K$503*$Y$503</f>
        <v>0</v>
      </c>
      <c r="AF503" s="6">
        <f ca="1">$M$503*$Z$503</f>
        <v>1089.7025452055138</v>
      </c>
      <c r="AG503" s="6">
        <f>$O$503*$AA$503</f>
        <v>722.51681025670632</v>
      </c>
    </row>
    <row r="504" spans="1:33" ht="11.25" customHeight="1" x14ac:dyDescent="0.25">
      <c r="A504" s="4" t="s">
        <v>21</v>
      </c>
      <c r="B504" s="4" t="s">
        <v>33</v>
      </c>
      <c r="C504" s="4" t="s">
        <v>50</v>
      </c>
      <c r="D504" s="4" t="s">
        <v>49</v>
      </c>
      <c r="E504" s="4" t="s">
        <v>25</v>
      </c>
      <c r="F504" s="4" t="s">
        <v>25</v>
      </c>
      <c r="G504" s="4" t="s">
        <v>25</v>
      </c>
      <c r="H504" s="4" t="s">
        <v>38</v>
      </c>
      <c r="I504" s="5">
        <v>44593</v>
      </c>
      <c r="J504" s="6">
        <v>0</v>
      </c>
      <c r="K504" s="6">
        <v>0</v>
      </c>
      <c r="L504" s="6">
        <v>4.7839999999999998</v>
      </c>
      <c r="M504" s="6">
        <v>4.7839999999999998</v>
      </c>
      <c r="N504" s="6">
        <v>4.7839999999999998</v>
      </c>
      <c r="O504" s="6">
        <v>4.7839999999999998</v>
      </c>
      <c r="P504" s="6">
        <v>0</v>
      </c>
      <c r="Q504" s="4" t="s">
        <v>26</v>
      </c>
      <c r="R504" s="4">
        <v>0</v>
      </c>
      <c r="S504" s="6">
        <v>0</v>
      </c>
      <c r="T504" s="6">
        <v>31</v>
      </c>
      <c r="U504" s="6">
        <v>83</v>
      </c>
      <c r="V504" s="6">
        <f>IF(ISERROR(VLOOKUP($S$504,'TAR FIN'!$A$1:$O$86,15,0)),0,VLOOKUP($S$504,'TAR FIN'!$A$1:$O$86,15,0))</f>
        <v>0</v>
      </c>
      <c r="W504" s="6">
        <f>IF(ISERROR(VLOOKUP($T$504,'TAR FIN'!$A$1:$O$86,15,0)),0,VLOOKUP($T$504,'TAR FIN'!$A$1:$O$86,15,0))</f>
        <v>275.05</v>
      </c>
      <c r="X504" s="6">
        <f>IF(ISERROR(VLOOKUP($U$504,'TAR FIN'!$A$1:$O$86,15,0)),0,VLOOKUP($U$504,'TAR FIN'!$A$1:$O$86,15,0))</f>
        <v>211.71</v>
      </c>
      <c r="Y504" s="6"/>
      <c r="Z504" s="6">
        <f ca="1">('TUSD BE'!$AM$47+'TUSD BF'!$AM$47+'TUSD CVA'!$AM$47)*1</f>
        <v>336.3279460510845</v>
      </c>
      <c r="AA504" s="6">
        <f>('TE BE'!$AB$38+'TE BF'!$AB$38+'TE CVA'!$AB$38)*1</f>
        <v>222.99901551132911</v>
      </c>
      <c r="AB504" s="6">
        <f>$K$504*$V$504</f>
        <v>0</v>
      </c>
      <c r="AC504" s="6">
        <f>$M$504*$W$504</f>
        <v>1315.8391999999999</v>
      </c>
      <c r="AD504" s="6">
        <f>$O$504*$X$504</f>
        <v>1012.82064</v>
      </c>
      <c r="AE504" s="6">
        <f>$K$504*$Y$504</f>
        <v>0</v>
      </c>
      <c r="AF504" s="6">
        <f ca="1">$M$504*$Z$504</f>
        <v>1608.9928939083882</v>
      </c>
      <c r="AG504" s="6">
        <f>$O$504*$AA$504</f>
        <v>1066.8272902061983</v>
      </c>
    </row>
    <row r="505" spans="1:33" ht="11.25" customHeight="1" x14ac:dyDescent="0.25">
      <c r="A505" s="4" t="s">
        <v>21</v>
      </c>
      <c r="B505" s="4" t="s">
        <v>33</v>
      </c>
      <c r="C505" s="4" t="s">
        <v>50</v>
      </c>
      <c r="D505" s="4" t="s">
        <v>49</v>
      </c>
      <c r="E505" s="4" t="s">
        <v>25</v>
      </c>
      <c r="F505" s="4" t="s">
        <v>25</v>
      </c>
      <c r="G505" s="4" t="s">
        <v>25</v>
      </c>
      <c r="H505" s="4" t="s">
        <v>38</v>
      </c>
      <c r="I505" s="5">
        <v>44621</v>
      </c>
      <c r="J505" s="6">
        <v>0</v>
      </c>
      <c r="K505" s="6">
        <v>0</v>
      </c>
      <c r="L505" s="6">
        <v>3.4209999999999998</v>
      </c>
      <c r="M505" s="6">
        <v>3.4209999999999998</v>
      </c>
      <c r="N505" s="6">
        <v>3.4209999999999998</v>
      </c>
      <c r="O505" s="6">
        <v>3.4209999999999998</v>
      </c>
      <c r="P505" s="6">
        <v>0</v>
      </c>
      <c r="Q505" s="4" t="s">
        <v>26</v>
      </c>
      <c r="R505" s="4">
        <v>0</v>
      </c>
      <c r="S505" s="6">
        <v>0</v>
      </c>
      <c r="T505" s="6">
        <v>31</v>
      </c>
      <c r="U505" s="6">
        <v>83</v>
      </c>
      <c r="V505" s="6">
        <f>IF(ISERROR(VLOOKUP($S$505,'TAR FIN'!$A$1:$O$86,15,0)),0,VLOOKUP($S$505,'TAR FIN'!$A$1:$O$86,15,0))</f>
        <v>0</v>
      </c>
      <c r="W505" s="6">
        <f>IF(ISERROR(VLOOKUP($T$505,'TAR FIN'!$A$1:$O$86,15,0)),0,VLOOKUP($T$505,'TAR FIN'!$A$1:$O$86,15,0))</f>
        <v>275.05</v>
      </c>
      <c r="X505" s="6">
        <f>IF(ISERROR(VLOOKUP($U$505,'TAR FIN'!$A$1:$O$86,15,0)),0,VLOOKUP($U$505,'TAR FIN'!$A$1:$O$86,15,0))</f>
        <v>211.71</v>
      </c>
      <c r="Y505" s="6"/>
      <c r="Z505" s="6">
        <f ca="1">('TUSD BE'!$AM$47+'TUSD BF'!$AM$47+'TUSD CVA'!$AM$47)*1</f>
        <v>336.3279460510845</v>
      </c>
      <c r="AA505" s="6">
        <f>('TE BE'!$AB$38+'TE BF'!$AB$38+'TE CVA'!$AB$38)*1</f>
        <v>222.99901551132911</v>
      </c>
      <c r="AB505" s="6">
        <f>$K$505*$V$505</f>
        <v>0</v>
      </c>
      <c r="AC505" s="6">
        <f>$M$505*$W$505</f>
        <v>940.94605000000001</v>
      </c>
      <c r="AD505" s="6">
        <f>$O$505*$X$505</f>
        <v>724.25990999999999</v>
      </c>
      <c r="AE505" s="6">
        <f>$K$505*$Y$505</f>
        <v>0</v>
      </c>
      <c r="AF505" s="6">
        <f ca="1">$M$505*$Z$505</f>
        <v>1150.5779034407601</v>
      </c>
      <c r="AG505" s="6">
        <f>$O$505*$AA$505</f>
        <v>762.87963206425684</v>
      </c>
    </row>
    <row r="506" spans="1:33" ht="11.25" customHeight="1" x14ac:dyDescent="0.25">
      <c r="A506" s="4" t="s">
        <v>21</v>
      </c>
      <c r="B506" s="4" t="s">
        <v>33</v>
      </c>
      <c r="C506" s="4" t="s">
        <v>50</v>
      </c>
      <c r="D506" s="4" t="s">
        <v>49</v>
      </c>
      <c r="E506" s="4" t="s">
        <v>25</v>
      </c>
      <c r="F506" s="4" t="s">
        <v>25</v>
      </c>
      <c r="G506" s="4" t="s">
        <v>25</v>
      </c>
      <c r="H506" s="4" t="s">
        <v>38</v>
      </c>
      <c r="I506" s="5">
        <v>44652</v>
      </c>
      <c r="J506" s="6">
        <v>0</v>
      </c>
      <c r="K506" s="6">
        <v>0</v>
      </c>
      <c r="L506" s="6">
        <v>3.141</v>
      </c>
      <c r="M506" s="6">
        <v>3.141</v>
      </c>
      <c r="N506" s="6">
        <v>3.141</v>
      </c>
      <c r="O506" s="6">
        <v>3.141</v>
      </c>
      <c r="P506" s="6">
        <v>0</v>
      </c>
      <c r="Q506" s="4" t="s">
        <v>26</v>
      </c>
      <c r="R506" s="4">
        <v>0</v>
      </c>
      <c r="S506" s="6">
        <v>0</v>
      </c>
      <c r="T506" s="6">
        <v>31</v>
      </c>
      <c r="U506" s="6">
        <v>83</v>
      </c>
      <c r="V506" s="6">
        <f>IF(ISERROR(VLOOKUP($S$506,'TAR FIN'!$A$1:$O$86,15,0)),0,VLOOKUP($S$506,'TAR FIN'!$A$1:$O$86,15,0))</f>
        <v>0</v>
      </c>
      <c r="W506" s="6">
        <f>IF(ISERROR(VLOOKUP($T$506,'TAR FIN'!$A$1:$O$86,15,0)),0,VLOOKUP($T$506,'TAR FIN'!$A$1:$O$86,15,0))</f>
        <v>275.05</v>
      </c>
      <c r="X506" s="6">
        <f>IF(ISERROR(VLOOKUP($U$506,'TAR FIN'!$A$1:$O$86,15,0)),0,VLOOKUP($U$506,'TAR FIN'!$A$1:$O$86,15,0))</f>
        <v>211.71</v>
      </c>
      <c r="Y506" s="6"/>
      <c r="Z506" s="6">
        <f ca="1">('TUSD BE'!$AM$47+'TUSD BF'!$AM$47+'TUSD CVA'!$AM$47)*1</f>
        <v>336.3279460510845</v>
      </c>
      <c r="AA506" s="6">
        <f>('TE BE'!$AB$38+'TE BF'!$AB$38+'TE CVA'!$AB$38)*1</f>
        <v>222.99901551132911</v>
      </c>
      <c r="AB506" s="6">
        <f>$K$506*$V$506</f>
        <v>0</v>
      </c>
      <c r="AC506" s="6">
        <f>$M$506*$W$506</f>
        <v>863.93205</v>
      </c>
      <c r="AD506" s="6">
        <f>$O$506*$X$506</f>
        <v>664.98111000000006</v>
      </c>
      <c r="AE506" s="6">
        <f>$K$506*$Y$506</f>
        <v>0</v>
      </c>
      <c r="AF506" s="6">
        <f ca="1">$M$506*$Z$506</f>
        <v>1056.4060785464565</v>
      </c>
      <c r="AG506" s="6">
        <f>$O$506*$AA$506</f>
        <v>700.43990772108475</v>
      </c>
    </row>
    <row r="507" spans="1:33" ht="11.25" customHeight="1" x14ac:dyDescent="0.25">
      <c r="A507" s="4" t="s">
        <v>21</v>
      </c>
      <c r="B507" s="4" t="s">
        <v>33</v>
      </c>
      <c r="C507" s="4" t="s">
        <v>50</v>
      </c>
      <c r="D507" s="4" t="s">
        <v>49</v>
      </c>
      <c r="E507" s="4" t="s">
        <v>25</v>
      </c>
      <c r="F507" s="4" t="s">
        <v>25</v>
      </c>
      <c r="G507" s="4" t="s">
        <v>25</v>
      </c>
      <c r="H507" s="4" t="s">
        <v>38</v>
      </c>
      <c r="I507" s="5">
        <v>44682</v>
      </c>
      <c r="J507" s="6">
        <v>0</v>
      </c>
      <c r="K507" s="6">
        <v>0</v>
      </c>
      <c r="L507" s="6">
        <v>1.8620000000000001</v>
      </c>
      <c r="M507" s="6">
        <v>1.8620000000000001</v>
      </c>
      <c r="N507" s="6">
        <v>1.8620000000000001</v>
      </c>
      <c r="O507" s="6">
        <v>1.8620000000000001</v>
      </c>
      <c r="P507" s="6">
        <v>0</v>
      </c>
      <c r="Q507" s="4" t="s">
        <v>26</v>
      </c>
      <c r="R507" s="4">
        <v>0</v>
      </c>
      <c r="S507" s="6">
        <v>0</v>
      </c>
      <c r="T507" s="6">
        <v>31</v>
      </c>
      <c r="U507" s="6">
        <v>83</v>
      </c>
      <c r="V507" s="6">
        <f>IF(ISERROR(VLOOKUP($S$507,'TAR FIN'!$A$1:$O$86,15,0)),0,VLOOKUP($S$507,'TAR FIN'!$A$1:$O$86,15,0))</f>
        <v>0</v>
      </c>
      <c r="W507" s="6">
        <f>IF(ISERROR(VLOOKUP($T$507,'TAR FIN'!$A$1:$O$86,15,0)),0,VLOOKUP($T$507,'TAR FIN'!$A$1:$O$86,15,0))</f>
        <v>275.05</v>
      </c>
      <c r="X507" s="6">
        <f>IF(ISERROR(VLOOKUP($U$507,'TAR FIN'!$A$1:$O$86,15,0)),0,VLOOKUP($U$507,'TAR FIN'!$A$1:$O$86,15,0))</f>
        <v>211.71</v>
      </c>
      <c r="Y507" s="6"/>
      <c r="Z507" s="6">
        <f ca="1">('TUSD BE'!$AM$47+'TUSD BF'!$AM$47+'TUSD CVA'!$AM$47)*1</f>
        <v>336.3279460510845</v>
      </c>
      <c r="AA507" s="6">
        <f>('TE BE'!$AB$38+'TE BF'!$AB$38+'TE CVA'!$AB$38)*1</f>
        <v>222.99901551132911</v>
      </c>
      <c r="AB507" s="6">
        <f>$K$507*$V$507</f>
        <v>0</v>
      </c>
      <c r="AC507" s="6">
        <f>$M$507*$W$507</f>
        <v>512.1431</v>
      </c>
      <c r="AD507" s="6">
        <f>$O$507*$X$507</f>
        <v>394.20402000000001</v>
      </c>
      <c r="AE507" s="6">
        <f>$K$507*$Y$507</f>
        <v>0</v>
      </c>
      <c r="AF507" s="6">
        <f ca="1">$M$507*$Z$507</f>
        <v>626.24263554711933</v>
      </c>
      <c r="AG507" s="6">
        <f>$O$507*$AA$507</f>
        <v>415.22416688209483</v>
      </c>
    </row>
    <row r="508" spans="1:33" ht="11.25" customHeight="1" x14ac:dyDescent="0.25">
      <c r="A508" s="4" t="s">
        <v>21</v>
      </c>
      <c r="B508" s="4" t="s">
        <v>33</v>
      </c>
      <c r="C508" s="4" t="s">
        <v>50</v>
      </c>
      <c r="D508" s="4" t="s">
        <v>49</v>
      </c>
      <c r="E508" s="4" t="s">
        <v>25</v>
      </c>
      <c r="F508" s="4" t="s">
        <v>25</v>
      </c>
      <c r="G508" s="4" t="s">
        <v>25</v>
      </c>
      <c r="H508" s="4" t="s">
        <v>38</v>
      </c>
      <c r="I508" s="5">
        <v>44713</v>
      </c>
      <c r="J508" s="6">
        <v>0</v>
      </c>
      <c r="K508" s="6">
        <v>0</v>
      </c>
      <c r="L508" s="6">
        <v>1.3380000000000001</v>
      </c>
      <c r="M508" s="6">
        <v>1.3380000000000001</v>
      </c>
      <c r="N508" s="6">
        <v>1.3380000000000001</v>
      </c>
      <c r="O508" s="6">
        <v>1.3380000000000001</v>
      </c>
      <c r="P508" s="6">
        <v>0</v>
      </c>
      <c r="Q508" s="4" t="s">
        <v>26</v>
      </c>
      <c r="R508" s="4">
        <v>0</v>
      </c>
      <c r="S508" s="6">
        <v>0</v>
      </c>
      <c r="T508" s="6">
        <v>31</v>
      </c>
      <c r="U508" s="6">
        <v>83</v>
      </c>
      <c r="V508" s="6">
        <f>IF(ISERROR(VLOOKUP($S$508,'TAR FIN'!$A$1:$O$86,15,0)),0,VLOOKUP($S$508,'TAR FIN'!$A$1:$O$86,15,0))</f>
        <v>0</v>
      </c>
      <c r="W508" s="6">
        <f>IF(ISERROR(VLOOKUP($T$508,'TAR FIN'!$A$1:$O$86,15,0)),0,VLOOKUP($T$508,'TAR FIN'!$A$1:$O$86,15,0))</f>
        <v>275.05</v>
      </c>
      <c r="X508" s="6">
        <f>IF(ISERROR(VLOOKUP($U$508,'TAR FIN'!$A$1:$O$86,15,0)),0,VLOOKUP($U$508,'TAR FIN'!$A$1:$O$86,15,0))</f>
        <v>211.71</v>
      </c>
      <c r="Y508" s="6"/>
      <c r="Z508" s="6">
        <f ca="1">('TUSD BE'!$AM$47+'TUSD BF'!$AM$47+'TUSD CVA'!$AM$47)*1</f>
        <v>336.3279460510845</v>
      </c>
      <c r="AA508" s="6">
        <f>('TE BE'!$AB$38+'TE BF'!$AB$38+'TE CVA'!$AB$38)*1</f>
        <v>222.99901551132911</v>
      </c>
      <c r="AB508" s="6">
        <f>$K$508*$V$508</f>
        <v>0</v>
      </c>
      <c r="AC508" s="6">
        <f>$M$508*$W$508</f>
        <v>368.01690000000002</v>
      </c>
      <c r="AD508" s="6">
        <f>$O$508*$X$508</f>
        <v>283.26798000000002</v>
      </c>
      <c r="AE508" s="6">
        <f>$K$508*$Y$508</f>
        <v>0</v>
      </c>
      <c r="AF508" s="6">
        <f ca="1">$M$508*$Z$508</f>
        <v>450.0067918163511</v>
      </c>
      <c r="AG508" s="6">
        <f>$O$508*$AA$508</f>
        <v>298.37268275415835</v>
      </c>
    </row>
    <row r="509" spans="1:33" ht="11.25" customHeight="1" x14ac:dyDescent="0.25">
      <c r="A509" s="4" t="s">
        <v>55</v>
      </c>
      <c r="B509" s="4" t="s">
        <v>33</v>
      </c>
      <c r="C509" s="4" t="s">
        <v>50</v>
      </c>
      <c r="D509" s="4" t="s">
        <v>49</v>
      </c>
      <c r="E509" s="4" t="s">
        <v>25</v>
      </c>
      <c r="F509" s="4" t="s">
        <v>25</v>
      </c>
      <c r="G509" s="4" t="s">
        <v>25</v>
      </c>
      <c r="H509" s="4" t="s">
        <v>38</v>
      </c>
      <c r="I509" s="5">
        <v>44743</v>
      </c>
      <c r="J509" s="6">
        <v>0</v>
      </c>
      <c r="K509" s="6">
        <v>0</v>
      </c>
      <c r="L509" s="6">
        <v>1.3380000000000001</v>
      </c>
      <c r="M509" s="6">
        <v>1.3380000000000001</v>
      </c>
      <c r="N509" s="6">
        <v>1.3380000000000001</v>
      </c>
      <c r="O509" s="6">
        <v>1.3380000000000001</v>
      </c>
      <c r="P509" s="6">
        <v>0</v>
      </c>
      <c r="Q509" s="4" t="s">
        <v>26</v>
      </c>
      <c r="R509" s="4">
        <v>0</v>
      </c>
      <c r="S509" s="6">
        <v>0</v>
      </c>
      <c r="T509" s="6">
        <v>31</v>
      </c>
      <c r="U509" s="6">
        <v>83</v>
      </c>
      <c r="V509" s="6">
        <f>IF(ISERROR(VLOOKUP($S$509,'TAR FIN'!$A$1:$O$86,15,0)),0,VLOOKUP($S$509,'TAR FIN'!$A$1:$O$86,15,0))</f>
        <v>0</v>
      </c>
      <c r="W509" s="6">
        <f>IF(ISERROR(VLOOKUP($T$509,'TAR FIN'!$A$1:$O$86,15,0)),0,VLOOKUP($T$509,'TAR FIN'!$A$1:$O$86,15,0))</f>
        <v>275.05</v>
      </c>
      <c r="X509" s="6">
        <f>IF(ISERROR(VLOOKUP($U$509,'TAR FIN'!$A$1:$O$86,15,0)),0,VLOOKUP($U$509,'TAR FIN'!$A$1:$O$86,15,0))</f>
        <v>211.71</v>
      </c>
      <c r="Y509" s="6"/>
      <c r="Z509" s="6">
        <f ca="1">('TUSD BE'!$AM$47+'TUSD BF'!$AM$47+'TUSD CVA'!$AM$47)*1</f>
        <v>336.3279460510845</v>
      </c>
      <c r="AA509" s="6">
        <f>('TE BE'!$AB$38+'TE BF'!$AB$38+'TE CVA'!$AB$38)*1</f>
        <v>222.99901551132911</v>
      </c>
      <c r="AB509" s="6">
        <f>$K$509*$V$509</f>
        <v>0</v>
      </c>
      <c r="AC509" s="6">
        <f>$M$509*$W$509</f>
        <v>368.01690000000002</v>
      </c>
      <c r="AD509" s="6">
        <f>$O$509*$X$509</f>
        <v>283.26798000000002</v>
      </c>
      <c r="AE509" s="6">
        <f>$K$509*$Y$509</f>
        <v>0</v>
      </c>
      <c r="AF509" s="6">
        <f ca="1">$M$509*$Z$509</f>
        <v>450.0067918163511</v>
      </c>
      <c r="AG509" s="6">
        <f>$O$509*$AA$509</f>
        <v>298.37268275415835</v>
      </c>
    </row>
    <row r="510" spans="1:33" ht="11.25" customHeight="1" x14ac:dyDescent="0.25">
      <c r="A510" s="4" t="s">
        <v>21</v>
      </c>
      <c r="B510" s="4" t="s">
        <v>33</v>
      </c>
      <c r="C510" s="4" t="s">
        <v>50</v>
      </c>
      <c r="D510" s="4" t="s">
        <v>49</v>
      </c>
      <c r="E510" s="4" t="s">
        <v>25</v>
      </c>
      <c r="F510" s="4" t="s">
        <v>25</v>
      </c>
      <c r="G510" s="4" t="s">
        <v>25</v>
      </c>
      <c r="H510" s="4" t="s">
        <v>51</v>
      </c>
      <c r="I510" s="5">
        <v>44409</v>
      </c>
      <c r="J510" s="6">
        <v>0</v>
      </c>
      <c r="K510" s="6">
        <v>0</v>
      </c>
      <c r="L510" s="6">
        <v>8.7999999999999995E-2</v>
      </c>
      <c r="M510" s="6">
        <v>8.7999999999999995E-2</v>
      </c>
      <c r="N510" s="6">
        <v>8.7999999999999995E-2</v>
      </c>
      <c r="O510" s="6">
        <v>8.7999999999999995E-2</v>
      </c>
      <c r="P510" s="6">
        <v>0</v>
      </c>
      <c r="Q510" s="4" t="s">
        <v>26</v>
      </c>
      <c r="R510" s="4">
        <v>0</v>
      </c>
      <c r="S510" s="6">
        <v>0</v>
      </c>
      <c r="T510" s="6">
        <v>81</v>
      </c>
      <c r="U510" s="6">
        <v>55</v>
      </c>
      <c r="V510" s="6">
        <f>IF(ISERROR(VLOOKUP($S$510,'TAR FIN'!$A$1:$O$86,15,0)),0,VLOOKUP($S$510,'TAR FIN'!$A$1:$O$86,15,0))</f>
        <v>0</v>
      </c>
      <c r="W510" s="6">
        <f>IF(ISERROR(VLOOKUP($T$510,'TAR FIN'!$A$1:$O$86,15,0)),0,VLOOKUP($T$510,'TAR FIN'!$A$1:$O$86,15,0))</f>
        <v>636.30999999999995</v>
      </c>
      <c r="X510" s="6">
        <f>IF(ISERROR(VLOOKUP($U$510,'TAR FIN'!$A$1:$O$86,15,0)),0,VLOOKUP($U$510,'TAR FIN'!$A$1:$O$86,15,0))</f>
        <v>211.71</v>
      </c>
      <c r="Y510" s="6"/>
      <c r="Z510" s="6">
        <f ca="1">('TUSD BE'!$AM$46+'TUSD BF'!$AM$46+'TUSD CVA'!$AM$46)*1</f>
        <v>715.54335368474085</v>
      </c>
      <c r="AA510" s="6">
        <f>('TE BE'!$AB$37+'TE BF'!$AB$37+'TE CVA'!$AB$37)*1</f>
        <v>222.99901551132911</v>
      </c>
      <c r="AB510" s="6">
        <f>$K$510*$V$510</f>
        <v>0</v>
      </c>
      <c r="AC510" s="6">
        <f>$M$510*$W$510</f>
        <v>55.995279999999994</v>
      </c>
      <c r="AD510" s="6">
        <f>$O$510*$X$510</f>
        <v>18.630479999999999</v>
      </c>
      <c r="AE510" s="6">
        <f>$K$510*$Y$510</f>
        <v>0</v>
      </c>
      <c r="AF510" s="6">
        <f ca="1">$M$510*$Z$510</f>
        <v>62.967815124257193</v>
      </c>
      <c r="AG510" s="6">
        <f>$O$510*$AA$510</f>
        <v>19.623913364996959</v>
      </c>
    </row>
    <row r="511" spans="1:33" ht="11.25" customHeight="1" x14ac:dyDescent="0.25">
      <c r="A511" s="4" t="s">
        <v>21</v>
      </c>
      <c r="B511" s="4" t="s">
        <v>33</v>
      </c>
      <c r="C511" s="4" t="s">
        <v>50</v>
      </c>
      <c r="D511" s="4" t="s">
        <v>49</v>
      </c>
      <c r="E511" s="4" t="s">
        <v>25</v>
      </c>
      <c r="F511" s="4" t="s">
        <v>25</v>
      </c>
      <c r="G511" s="4" t="s">
        <v>25</v>
      </c>
      <c r="H511" s="4" t="s">
        <v>51</v>
      </c>
      <c r="I511" s="5">
        <v>44440</v>
      </c>
      <c r="J511" s="6">
        <v>0</v>
      </c>
      <c r="K511" s="6">
        <v>0</v>
      </c>
      <c r="L511" s="6">
        <v>0.10100000000000001</v>
      </c>
      <c r="M511" s="6">
        <v>0.10100000000000001</v>
      </c>
      <c r="N511" s="6">
        <v>0.10100000000000001</v>
      </c>
      <c r="O511" s="6">
        <v>0.10100000000000001</v>
      </c>
      <c r="P511" s="6">
        <v>0</v>
      </c>
      <c r="Q511" s="4" t="s">
        <v>26</v>
      </c>
      <c r="R511" s="4">
        <v>0</v>
      </c>
      <c r="S511" s="6">
        <v>0</v>
      </c>
      <c r="T511" s="6">
        <v>81</v>
      </c>
      <c r="U511" s="6">
        <v>55</v>
      </c>
      <c r="V511" s="6">
        <f>IF(ISERROR(VLOOKUP($S$511,'TAR FIN'!$A$1:$O$86,15,0)),0,VLOOKUP($S$511,'TAR FIN'!$A$1:$O$86,15,0))</f>
        <v>0</v>
      </c>
      <c r="W511" s="6">
        <f>IF(ISERROR(VLOOKUP($T$511,'TAR FIN'!$A$1:$O$86,15,0)),0,VLOOKUP($T$511,'TAR FIN'!$A$1:$O$86,15,0))</f>
        <v>636.30999999999995</v>
      </c>
      <c r="X511" s="6">
        <f>IF(ISERROR(VLOOKUP($U$511,'TAR FIN'!$A$1:$O$86,15,0)),0,VLOOKUP($U$511,'TAR FIN'!$A$1:$O$86,15,0))</f>
        <v>211.71</v>
      </c>
      <c r="Y511" s="6"/>
      <c r="Z511" s="6">
        <f ca="1">('TUSD BE'!$AM$46+'TUSD BF'!$AM$46+'TUSD CVA'!$AM$46)*1</f>
        <v>715.54335368474085</v>
      </c>
      <c r="AA511" s="6">
        <f>('TE BE'!$AB$37+'TE BF'!$AB$37+'TE CVA'!$AB$37)*1</f>
        <v>222.99901551132911</v>
      </c>
      <c r="AB511" s="6">
        <f>$K$511*$V$511</f>
        <v>0</v>
      </c>
      <c r="AC511" s="6">
        <f>$M$511*$W$511</f>
        <v>64.267309999999995</v>
      </c>
      <c r="AD511" s="6">
        <f>$O$511*$X$511</f>
        <v>21.382710000000003</v>
      </c>
      <c r="AE511" s="6">
        <f>$K$511*$Y$511</f>
        <v>0</v>
      </c>
      <c r="AF511" s="6">
        <f ca="1">$M$511*$Z$511</f>
        <v>72.269878722158836</v>
      </c>
      <c r="AG511" s="6">
        <f>$O$511*$AA$511</f>
        <v>22.522900566644243</v>
      </c>
    </row>
    <row r="512" spans="1:33" ht="11.25" customHeight="1" x14ac:dyDescent="0.25">
      <c r="A512" s="4" t="s">
        <v>21</v>
      </c>
      <c r="B512" s="4" t="s">
        <v>33</v>
      </c>
      <c r="C512" s="4" t="s">
        <v>50</v>
      </c>
      <c r="D512" s="4" t="s">
        <v>49</v>
      </c>
      <c r="E512" s="4" t="s">
        <v>25</v>
      </c>
      <c r="F512" s="4" t="s">
        <v>25</v>
      </c>
      <c r="G512" s="4" t="s">
        <v>25</v>
      </c>
      <c r="H512" s="4" t="s">
        <v>51</v>
      </c>
      <c r="I512" s="5">
        <v>44470</v>
      </c>
      <c r="J512" s="6">
        <v>0</v>
      </c>
      <c r="K512" s="6">
        <v>0</v>
      </c>
      <c r="L512" s="6">
        <v>9.0999999999999998E-2</v>
      </c>
      <c r="M512" s="6">
        <v>9.0999999999999998E-2</v>
      </c>
      <c r="N512" s="6">
        <v>9.0999999999999998E-2</v>
      </c>
      <c r="O512" s="6">
        <v>9.0999999999999998E-2</v>
      </c>
      <c r="P512" s="6">
        <v>0</v>
      </c>
      <c r="Q512" s="4" t="s">
        <v>26</v>
      </c>
      <c r="R512" s="4">
        <v>0</v>
      </c>
      <c r="S512" s="6">
        <v>0</v>
      </c>
      <c r="T512" s="6">
        <v>81</v>
      </c>
      <c r="U512" s="6">
        <v>55</v>
      </c>
      <c r="V512" s="6">
        <f>IF(ISERROR(VLOOKUP($S$512,'TAR FIN'!$A$1:$O$86,15,0)),0,VLOOKUP($S$512,'TAR FIN'!$A$1:$O$86,15,0))</f>
        <v>0</v>
      </c>
      <c r="W512" s="6">
        <f>IF(ISERROR(VLOOKUP($T$512,'TAR FIN'!$A$1:$O$86,15,0)),0,VLOOKUP($T$512,'TAR FIN'!$A$1:$O$86,15,0))</f>
        <v>636.30999999999995</v>
      </c>
      <c r="X512" s="6">
        <f>IF(ISERROR(VLOOKUP($U$512,'TAR FIN'!$A$1:$O$86,15,0)),0,VLOOKUP($U$512,'TAR FIN'!$A$1:$O$86,15,0))</f>
        <v>211.71</v>
      </c>
      <c r="Y512" s="6"/>
      <c r="Z512" s="6">
        <f ca="1">('TUSD BE'!$AM$46+'TUSD BF'!$AM$46+'TUSD CVA'!$AM$46)*1</f>
        <v>715.54335368474085</v>
      </c>
      <c r="AA512" s="6">
        <f>('TE BE'!$AB$37+'TE BF'!$AB$37+'TE CVA'!$AB$37)*1</f>
        <v>222.99901551132911</v>
      </c>
      <c r="AB512" s="6">
        <f>$K$512*$V$512</f>
        <v>0</v>
      </c>
      <c r="AC512" s="6">
        <f>$M$512*$W$512</f>
        <v>57.904209999999992</v>
      </c>
      <c r="AD512" s="6">
        <f>$O$512*$X$512</f>
        <v>19.265609999999999</v>
      </c>
      <c r="AE512" s="6">
        <f>$K$512*$Y$512</f>
        <v>0</v>
      </c>
      <c r="AF512" s="6">
        <f ca="1">$M$512*$Z$512</f>
        <v>65.114445185311411</v>
      </c>
      <c r="AG512" s="6">
        <f>$O$512*$AA$512</f>
        <v>20.292910411530947</v>
      </c>
    </row>
    <row r="513" spans="1:33" ht="11.25" customHeight="1" x14ac:dyDescent="0.25">
      <c r="A513" s="4" t="s">
        <v>21</v>
      </c>
      <c r="B513" s="4" t="s">
        <v>33</v>
      </c>
      <c r="C513" s="4" t="s">
        <v>50</v>
      </c>
      <c r="D513" s="4" t="s">
        <v>49</v>
      </c>
      <c r="E513" s="4" t="s">
        <v>25</v>
      </c>
      <c r="F513" s="4" t="s">
        <v>25</v>
      </c>
      <c r="G513" s="4" t="s">
        <v>25</v>
      </c>
      <c r="H513" s="4" t="s">
        <v>51</v>
      </c>
      <c r="I513" s="5">
        <v>44501</v>
      </c>
      <c r="J513" s="6">
        <v>0</v>
      </c>
      <c r="K513" s="6">
        <v>0</v>
      </c>
      <c r="L513" s="6">
        <v>9.8000000000000004E-2</v>
      </c>
      <c r="M513" s="6">
        <v>9.8000000000000004E-2</v>
      </c>
      <c r="N513" s="6">
        <v>9.8000000000000004E-2</v>
      </c>
      <c r="O513" s="6">
        <v>9.8000000000000004E-2</v>
      </c>
      <c r="P513" s="6">
        <v>0</v>
      </c>
      <c r="Q513" s="4" t="s">
        <v>26</v>
      </c>
      <c r="R513" s="4">
        <v>0</v>
      </c>
      <c r="S513" s="6">
        <v>0</v>
      </c>
      <c r="T513" s="6">
        <v>81</v>
      </c>
      <c r="U513" s="6">
        <v>55</v>
      </c>
      <c r="V513" s="6">
        <f>IF(ISERROR(VLOOKUP($S$513,'TAR FIN'!$A$1:$O$86,15,0)),0,VLOOKUP($S$513,'TAR FIN'!$A$1:$O$86,15,0))</f>
        <v>0</v>
      </c>
      <c r="W513" s="6">
        <f>IF(ISERROR(VLOOKUP($T$513,'TAR FIN'!$A$1:$O$86,15,0)),0,VLOOKUP($T$513,'TAR FIN'!$A$1:$O$86,15,0))</f>
        <v>636.30999999999995</v>
      </c>
      <c r="X513" s="6">
        <f>IF(ISERROR(VLOOKUP($U$513,'TAR FIN'!$A$1:$O$86,15,0)),0,VLOOKUP($U$513,'TAR FIN'!$A$1:$O$86,15,0))</f>
        <v>211.71</v>
      </c>
      <c r="Y513" s="6"/>
      <c r="Z513" s="6">
        <f ca="1">('TUSD BE'!$AM$46+'TUSD BF'!$AM$46+'TUSD CVA'!$AM$46)*1</f>
        <v>715.54335368474085</v>
      </c>
      <c r="AA513" s="6">
        <f>('TE BE'!$AB$37+'TE BF'!$AB$37+'TE CVA'!$AB$37)*1</f>
        <v>222.99901551132911</v>
      </c>
      <c r="AB513" s="6">
        <f>$K$513*$V$513</f>
        <v>0</v>
      </c>
      <c r="AC513" s="6">
        <f>$M$513*$W$513</f>
        <v>62.358379999999997</v>
      </c>
      <c r="AD513" s="6">
        <f>$O$513*$X$513</f>
        <v>20.747580000000003</v>
      </c>
      <c r="AE513" s="6">
        <f>$K$513*$Y$513</f>
        <v>0</v>
      </c>
      <c r="AF513" s="6">
        <f ca="1">$M$513*$Z$513</f>
        <v>70.123248661104611</v>
      </c>
      <c r="AG513" s="6">
        <f>$O$513*$AA$513</f>
        <v>21.853903520110254</v>
      </c>
    </row>
    <row r="514" spans="1:33" ht="11.25" customHeight="1" x14ac:dyDescent="0.25">
      <c r="A514" s="4" t="s">
        <v>21</v>
      </c>
      <c r="B514" s="4" t="s">
        <v>33</v>
      </c>
      <c r="C514" s="4" t="s">
        <v>50</v>
      </c>
      <c r="D514" s="4" t="s">
        <v>49</v>
      </c>
      <c r="E514" s="4" t="s">
        <v>25</v>
      </c>
      <c r="F514" s="4" t="s">
        <v>25</v>
      </c>
      <c r="G514" s="4" t="s">
        <v>25</v>
      </c>
      <c r="H514" s="4" t="s">
        <v>51</v>
      </c>
      <c r="I514" s="5">
        <v>44531</v>
      </c>
      <c r="J514" s="6">
        <v>0</v>
      </c>
      <c r="K514" s="6">
        <v>0</v>
      </c>
      <c r="L514" s="6">
        <v>0.107</v>
      </c>
      <c r="M514" s="6">
        <v>0.107</v>
      </c>
      <c r="N514" s="6">
        <v>0.107</v>
      </c>
      <c r="O514" s="6">
        <v>0.107</v>
      </c>
      <c r="P514" s="6">
        <v>0</v>
      </c>
      <c r="Q514" s="4" t="s">
        <v>26</v>
      </c>
      <c r="R514" s="4">
        <v>0</v>
      </c>
      <c r="S514" s="6">
        <v>0</v>
      </c>
      <c r="T514" s="6">
        <v>81</v>
      </c>
      <c r="U514" s="6">
        <v>55</v>
      </c>
      <c r="V514" s="6">
        <f>IF(ISERROR(VLOOKUP($S$514,'TAR FIN'!$A$1:$O$86,15,0)),0,VLOOKUP($S$514,'TAR FIN'!$A$1:$O$86,15,0))</f>
        <v>0</v>
      </c>
      <c r="W514" s="6">
        <f>IF(ISERROR(VLOOKUP($T$514,'TAR FIN'!$A$1:$O$86,15,0)),0,VLOOKUP($T$514,'TAR FIN'!$A$1:$O$86,15,0))</f>
        <v>636.30999999999995</v>
      </c>
      <c r="X514" s="6">
        <f>IF(ISERROR(VLOOKUP($U$514,'TAR FIN'!$A$1:$O$86,15,0)),0,VLOOKUP($U$514,'TAR FIN'!$A$1:$O$86,15,0))</f>
        <v>211.71</v>
      </c>
      <c r="Y514" s="6"/>
      <c r="Z514" s="6">
        <f ca="1">('TUSD BE'!$AM$46+'TUSD BF'!$AM$46+'TUSD CVA'!$AM$46)*1</f>
        <v>715.54335368474085</v>
      </c>
      <c r="AA514" s="6">
        <f>('TE BE'!$AB$37+'TE BF'!$AB$37+'TE CVA'!$AB$37)*1</f>
        <v>222.99901551132911</v>
      </c>
      <c r="AB514" s="6">
        <f>$K$514*$V$514</f>
        <v>0</v>
      </c>
      <c r="AC514" s="6">
        <f>$M$514*$W$514</f>
        <v>68.085169999999991</v>
      </c>
      <c r="AD514" s="6">
        <f>$O$514*$X$514</f>
        <v>22.65297</v>
      </c>
      <c r="AE514" s="6">
        <f>$K$514*$Y$514</f>
        <v>0</v>
      </c>
      <c r="AF514" s="6">
        <f ca="1">$M$514*$Z$514</f>
        <v>76.563138844267272</v>
      </c>
      <c r="AG514" s="6">
        <f>$O$514*$AA$514</f>
        <v>23.860894659712212</v>
      </c>
    </row>
    <row r="515" spans="1:33" ht="11.25" customHeight="1" x14ac:dyDescent="0.25">
      <c r="A515" s="4" t="s">
        <v>21</v>
      </c>
      <c r="B515" s="4" t="s">
        <v>33</v>
      </c>
      <c r="C515" s="4" t="s">
        <v>50</v>
      </c>
      <c r="D515" s="4" t="s">
        <v>49</v>
      </c>
      <c r="E515" s="4" t="s">
        <v>25</v>
      </c>
      <c r="F515" s="4" t="s">
        <v>25</v>
      </c>
      <c r="G515" s="4" t="s">
        <v>25</v>
      </c>
      <c r="H515" s="4" t="s">
        <v>51</v>
      </c>
      <c r="I515" s="5">
        <v>44562</v>
      </c>
      <c r="J515" s="6">
        <v>0</v>
      </c>
      <c r="K515" s="6">
        <v>0</v>
      </c>
      <c r="L515" s="6">
        <v>0.161</v>
      </c>
      <c r="M515" s="6">
        <v>0.161</v>
      </c>
      <c r="N515" s="6">
        <v>0.161</v>
      </c>
      <c r="O515" s="6">
        <v>0.161</v>
      </c>
      <c r="P515" s="6">
        <v>0</v>
      </c>
      <c r="Q515" s="4" t="s">
        <v>26</v>
      </c>
      <c r="R515" s="4">
        <v>0</v>
      </c>
      <c r="S515" s="6">
        <v>0</v>
      </c>
      <c r="T515" s="6">
        <v>81</v>
      </c>
      <c r="U515" s="6">
        <v>55</v>
      </c>
      <c r="V515" s="6">
        <f>IF(ISERROR(VLOOKUP($S$515,'TAR FIN'!$A$1:$O$86,15,0)),0,VLOOKUP($S$515,'TAR FIN'!$A$1:$O$86,15,0))</f>
        <v>0</v>
      </c>
      <c r="W515" s="6">
        <f>IF(ISERROR(VLOOKUP($T$515,'TAR FIN'!$A$1:$O$86,15,0)),0,VLOOKUP($T$515,'TAR FIN'!$A$1:$O$86,15,0))</f>
        <v>636.30999999999995</v>
      </c>
      <c r="X515" s="6">
        <f>IF(ISERROR(VLOOKUP($U$515,'TAR FIN'!$A$1:$O$86,15,0)),0,VLOOKUP($U$515,'TAR FIN'!$A$1:$O$86,15,0))</f>
        <v>211.71</v>
      </c>
      <c r="Y515" s="6"/>
      <c r="Z515" s="6">
        <f ca="1">('TUSD BE'!$AM$46+'TUSD BF'!$AM$46+'TUSD CVA'!$AM$46)*1</f>
        <v>715.54335368474085</v>
      </c>
      <c r="AA515" s="6">
        <f>('TE BE'!$AB$37+'TE BF'!$AB$37+'TE CVA'!$AB$37)*1</f>
        <v>222.99901551132911</v>
      </c>
      <c r="AB515" s="6">
        <f>$K$515*$V$515</f>
        <v>0</v>
      </c>
      <c r="AC515" s="6">
        <f>$M$515*$W$515</f>
        <v>102.44591</v>
      </c>
      <c r="AD515" s="6">
        <f>$O$515*$X$515</f>
        <v>34.08531</v>
      </c>
      <c r="AE515" s="6">
        <f>$K$515*$Y$515</f>
        <v>0</v>
      </c>
      <c r="AF515" s="6">
        <f ca="1">$M$515*$Z$515</f>
        <v>115.20247994324328</v>
      </c>
      <c r="AG515" s="6">
        <f>$O$515*$AA$515</f>
        <v>35.90284149732399</v>
      </c>
    </row>
    <row r="516" spans="1:33" ht="11.25" customHeight="1" x14ac:dyDescent="0.25">
      <c r="A516" s="4" t="s">
        <v>21</v>
      </c>
      <c r="B516" s="4" t="s">
        <v>33</v>
      </c>
      <c r="C516" s="4" t="s">
        <v>50</v>
      </c>
      <c r="D516" s="4" t="s">
        <v>49</v>
      </c>
      <c r="E516" s="4" t="s">
        <v>25</v>
      </c>
      <c r="F516" s="4" t="s">
        <v>25</v>
      </c>
      <c r="G516" s="4" t="s">
        <v>25</v>
      </c>
      <c r="H516" s="4" t="s">
        <v>51</v>
      </c>
      <c r="I516" s="5">
        <v>44593</v>
      </c>
      <c r="J516" s="6">
        <v>0</v>
      </c>
      <c r="K516" s="6">
        <v>0</v>
      </c>
      <c r="L516" s="6">
        <v>0.22700000000000001</v>
      </c>
      <c r="M516" s="6">
        <v>0.22700000000000001</v>
      </c>
      <c r="N516" s="6">
        <v>0.22700000000000001</v>
      </c>
      <c r="O516" s="6">
        <v>0.22700000000000001</v>
      </c>
      <c r="P516" s="6">
        <v>0</v>
      </c>
      <c r="Q516" s="4" t="s">
        <v>26</v>
      </c>
      <c r="R516" s="4">
        <v>0</v>
      </c>
      <c r="S516" s="6">
        <v>0</v>
      </c>
      <c r="T516" s="6">
        <v>81</v>
      </c>
      <c r="U516" s="6">
        <v>55</v>
      </c>
      <c r="V516" s="6">
        <f>IF(ISERROR(VLOOKUP($S$516,'TAR FIN'!$A$1:$O$86,15,0)),0,VLOOKUP($S$516,'TAR FIN'!$A$1:$O$86,15,0))</f>
        <v>0</v>
      </c>
      <c r="W516" s="6">
        <f>IF(ISERROR(VLOOKUP($T$516,'TAR FIN'!$A$1:$O$86,15,0)),0,VLOOKUP($T$516,'TAR FIN'!$A$1:$O$86,15,0))</f>
        <v>636.30999999999995</v>
      </c>
      <c r="X516" s="6">
        <f>IF(ISERROR(VLOOKUP($U$516,'TAR FIN'!$A$1:$O$86,15,0)),0,VLOOKUP($U$516,'TAR FIN'!$A$1:$O$86,15,0))</f>
        <v>211.71</v>
      </c>
      <c r="Y516" s="6"/>
      <c r="Z516" s="6">
        <f ca="1">('TUSD BE'!$AM$46+'TUSD BF'!$AM$46+'TUSD CVA'!$AM$46)*1</f>
        <v>715.54335368474085</v>
      </c>
      <c r="AA516" s="6">
        <f>('TE BE'!$AB$37+'TE BF'!$AB$37+'TE CVA'!$AB$37)*1</f>
        <v>222.99901551132911</v>
      </c>
      <c r="AB516" s="6">
        <f>$K$516*$V$516</f>
        <v>0</v>
      </c>
      <c r="AC516" s="6">
        <f>$M$516*$W$516</f>
        <v>144.44236999999998</v>
      </c>
      <c r="AD516" s="6">
        <f>$O$516*$X$516</f>
        <v>48.058170000000004</v>
      </c>
      <c r="AE516" s="6">
        <f>$K$516*$Y$516</f>
        <v>0</v>
      </c>
      <c r="AF516" s="6">
        <f ca="1">$M$516*$Z$516</f>
        <v>162.42834128643617</v>
      </c>
      <c r="AG516" s="6">
        <f>$O$516*$AA$516</f>
        <v>50.620776521071711</v>
      </c>
    </row>
    <row r="517" spans="1:33" ht="11.25" customHeight="1" x14ac:dyDescent="0.25">
      <c r="A517" s="4" t="s">
        <v>21</v>
      </c>
      <c r="B517" s="4" t="s">
        <v>33</v>
      </c>
      <c r="C517" s="4" t="s">
        <v>50</v>
      </c>
      <c r="D517" s="4" t="s">
        <v>49</v>
      </c>
      <c r="E517" s="4" t="s">
        <v>25</v>
      </c>
      <c r="F517" s="4" t="s">
        <v>25</v>
      </c>
      <c r="G517" s="4" t="s">
        <v>25</v>
      </c>
      <c r="H517" s="4" t="s">
        <v>51</v>
      </c>
      <c r="I517" s="5">
        <v>44621</v>
      </c>
      <c r="J517" s="6">
        <v>0</v>
      </c>
      <c r="K517" s="6">
        <v>0</v>
      </c>
      <c r="L517" s="6">
        <v>0.17899999999999999</v>
      </c>
      <c r="M517" s="6">
        <v>0.17899999999999999</v>
      </c>
      <c r="N517" s="6">
        <v>0.17899999999999999</v>
      </c>
      <c r="O517" s="6">
        <v>0.17899999999999999</v>
      </c>
      <c r="P517" s="6">
        <v>0</v>
      </c>
      <c r="Q517" s="4" t="s">
        <v>26</v>
      </c>
      <c r="R517" s="4">
        <v>0</v>
      </c>
      <c r="S517" s="6">
        <v>0</v>
      </c>
      <c r="T517" s="6">
        <v>81</v>
      </c>
      <c r="U517" s="6">
        <v>55</v>
      </c>
      <c r="V517" s="6">
        <f>IF(ISERROR(VLOOKUP($S$517,'TAR FIN'!$A$1:$O$86,15,0)),0,VLOOKUP($S$517,'TAR FIN'!$A$1:$O$86,15,0))</f>
        <v>0</v>
      </c>
      <c r="W517" s="6">
        <f>IF(ISERROR(VLOOKUP($T$517,'TAR FIN'!$A$1:$O$86,15,0)),0,VLOOKUP($T$517,'TAR FIN'!$A$1:$O$86,15,0))</f>
        <v>636.30999999999995</v>
      </c>
      <c r="X517" s="6">
        <f>IF(ISERROR(VLOOKUP($U$517,'TAR FIN'!$A$1:$O$86,15,0)),0,VLOOKUP($U$517,'TAR FIN'!$A$1:$O$86,15,0))</f>
        <v>211.71</v>
      </c>
      <c r="Y517" s="6"/>
      <c r="Z517" s="6">
        <f ca="1">('TUSD BE'!$AM$46+'TUSD BF'!$AM$46+'TUSD CVA'!$AM$46)*1</f>
        <v>715.54335368474085</v>
      </c>
      <c r="AA517" s="6">
        <f>('TE BE'!$AB$37+'TE BF'!$AB$37+'TE CVA'!$AB$37)*1</f>
        <v>222.99901551132911</v>
      </c>
      <c r="AB517" s="6">
        <f>$K$517*$V$517</f>
        <v>0</v>
      </c>
      <c r="AC517" s="6">
        <f>$M$517*$W$517</f>
        <v>113.89948999999999</v>
      </c>
      <c r="AD517" s="6">
        <f>$O$517*$X$517</f>
        <v>37.896090000000001</v>
      </c>
      <c r="AE517" s="6">
        <f>$K$517*$Y$517</f>
        <v>0</v>
      </c>
      <c r="AF517" s="6">
        <f ca="1">$M$517*$Z$517</f>
        <v>128.0822603095686</v>
      </c>
      <c r="AG517" s="6">
        <f>$O$517*$AA$517</f>
        <v>39.916823776527906</v>
      </c>
    </row>
    <row r="518" spans="1:33" ht="11.25" customHeight="1" x14ac:dyDescent="0.25">
      <c r="A518" s="4" t="s">
        <v>21</v>
      </c>
      <c r="B518" s="4" t="s">
        <v>33</v>
      </c>
      <c r="C518" s="4" t="s">
        <v>50</v>
      </c>
      <c r="D518" s="4" t="s">
        <v>49</v>
      </c>
      <c r="E518" s="4" t="s">
        <v>25</v>
      </c>
      <c r="F518" s="4" t="s">
        <v>25</v>
      </c>
      <c r="G518" s="4" t="s">
        <v>25</v>
      </c>
      <c r="H518" s="4" t="s">
        <v>51</v>
      </c>
      <c r="I518" s="5">
        <v>44652</v>
      </c>
      <c r="J518" s="6">
        <v>0</v>
      </c>
      <c r="K518" s="6">
        <v>0</v>
      </c>
      <c r="L518" s="6">
        <v>0.19</v>
      </c>
      <c r="M518" s="6">
        <v>0.19</v>
      </c>
      <c r="N518" s="6">
        <v>0.19</v>
      </c>
      <c r="O518" s="6">
        <v>0.19</v>
      </c>
      <c r="P518" s="6">
        <v>0</v>
      </c>
      <c r="Q518" s="4" t="s">
        <v>26</v>
      </c>
      <c r="R518" s="4">
        <v>0</v>
      </c>
      <c r="S518" s="6">
        <v>0</v>
      </c>
      <c r="T518" s="6">
        <v>81</v>
      </c>
      <c r="U518" s="6">
        <v>55</v>
      </c>
      <c r="V518" s="6">
        <f>IF(ISERROR(VLOOKUP($S$518,'TAR FIN'!$A$1:$O$86,15,0)),0,VLOOKUP($S$518,'TAR FIN'!$A$1:$O$86,15,0))</f>
        <v>0</v>
      </c>
      <c r="W518" s="6">
        <f>IF(ISERROR(VLOOKUP($T$518,'TAR FIN'!$A$1:$O$86,15,0)),0,VLOOKUP($T$518,'TAR FIN'!$A$1:$O$86,15,0))</f>
        <v>636.30999999999995</v>
      </c>
      <c r="X518" s="6">
        <f>IF(ISERROR(VLOOKUP($U$518,'TAR FIN'!$A$1:$O$86,15,0)),0,VLOOKUP($U$518,'TAR FIN'!$A$1:$O$86,15,0))</f>
        <v>211.71</v>
      </c>
      <c r="Y518" s="6"/>
      <c r="Z518" s="6">
        <f ca="1">('TUSD BE'!$AM$46+'TUSD BF'!$AM$46+'TUSD CVA'!$AM$46)*1</f>
        <v>715.54335368474085</v>
      </c>
      <c r="AA518" s="6">
        <f>('TE BE'!$AB$37+'TE BF'!$AB$37+'TE CVA'!$AB$37)*1</f>
        <v>222.99901551132911</v>
      </c>
      <c r="AB518" s="6">
        <f>$K$518*$V$518</f>
        <v>0</v>
      </c>
      <c r="AC518" s="6">
        <f>$M$518*$W$518</f>
        <v>120.8989</v>
      </c>
      <c r="AD518" s="6">
        <f>$O$518*$X$518</f>
        <v>40.224900000000005</v>
      </c>
      <c r="AE518" s="6">
        <f>$K$518*$Y$518</f>
        <v>0</v>
      </c>
      <c r="AF518" s="6">
        <f ca="1">$M$518*$Z$518</f>
        <v>135.95323720010077</v>
      </c>
      <c r="AG518" s="6">
        <f>$O$518*$AA$518</f>
        <v>42.369812947152532</v>
      </c>
    </row>
    <row r="519" spans="1:33" ht="11.25" customHeight="1" x14ac:dyDescent="0.25">
      <c r="A519" s="4" t="s">
        <v>21</v>
      </c>
      <c r="B519" s="4" t="s">
        <v>33</v>
      </c>
      <c r="C519" s="4" t="s">
        <v>50</v>
      </c>
      <c r="D519" s="4" t="s">
        <v>49</v>
      </c>
      <c r="E519" s="4" t="s">
        <v>25</v>
      </c>
      <c r="F519" s="4" t="s">
        <v>25</v>
      </c>
      <c r="G519" s="4" t="s">
        <v>25</v>
      </c>
      <c r="H519" s="4" t="s">
        <v>51</v>
      </c>
      <c r="I519" s="5">
        <v>44682</v>
      </c>
      <c r="J519" s="6">
        <v>0</v>
      </c>
      <c r="K519" s="6">
        <v>0</v>
      </c>
      <c r="L519" s="6">
        <v>0.11600000000000001</v>
      </c>
      <c r="M519" s="6">
        <v>0.11600000000000001</v>
      </c>
      <c r="N519" s="6">
        <v>0.11600000000000001</v>
      </c>
      <c r="O519" s="6">
        <v>0.11600000000000001</v>
      </c>
      <c r="P519" s="6">
        <v>0</v>
      </c>
      <c r="Q519" s="4" t="s">
        <v>26</v>
      </c>
      <c r="R519" s="4">
        <v>0</v>
      </c>
      <c r="S519" s="6">
        <v>0</v>
      </c>
      <c r="T519" s="6">
        <v>81</v>
      </c>
      <c r="U519" s="6">
        <v>55</v>
      </c>
      <c r="V519" s="6">
        <f>IF(ISERROR(VLOOKUP($S$519,'TAR FIN'!$A$1:$O$86,15,0)),0,VLOOKUP($S$519,'TAR FIN'!$A$1:$O$86,15,0))</f>
        <v>0</v>
      </c>
      <c r="W519" s="6">
        <f>IF(ISERROR(VLOOKUP($T$519,'TAR FIN'!$A$1:$O$86,15,0)),0,VLOOKUP($T$519,'TAR FIN'!$A$1:$O$86,15,0))</f>
        <v>636.30999999999995</v>
      </c>
      <c r="X519" s="6">
        <f>IF(ISERROR(VLOOKUP($U$519,'TAR FIN'!$A$1:$O$86,15,0)),0,VLOOKUP($U$519,'TAR FIN'!$A$1:$O$86,15,0))</f>
        <v>211.71</v>
      </c>
      <c r="Y519" s="6"/>
      <c r="Z519" s="6">
        <f ca="1">('TUSD BE'!$AM$46+'TUSD BF'!$AM$46+'TUSD CVA'!$AM$46)*1</f>
        <v>715.54335368474085</v>
      </c>
      <c r="AA519" s="6">
        <f>('TE BE'!$AB$37+'TE BF'!$AB$37+'TE CVA'!$AB$37)*1</f>
        <v>222.99901551132911</v>
      </c>
      <c r="AB519" s="6">
        <f>$K$519*$V$519</f>
        <v>0</v>
      </c>
      <c r="AC519" s="6">
        <f>$M$519*$W$519</f>
        <v>73.811959999999999</v>
      </c>
      <c r="AD519" s="6">
        <f>$O$519*$X$519</f>
        <v>24.55836</v>
      </c>
      <c r="AE519" s="6">
        <f>$K$519*$Y$519</f>
        <v>0</v>
      </c>
      <c r="AF519" s="6">
        <f ca="1">$M$519*$Z$519</f>
        <v>83.003029027429946</v>
      </c>
      <c r="AG519" s="6">
        <f>$O$519*$AA$519</f>
        <v>25.867885799314177</v>
      </c>
    </row>
    <row r="520" spans="1:33" ht="11.25" customHeight="1" x14ac:dyDescent="0.25">
      <c r="A520" s="4" t="s">
        <v>21</v>
      </c>
      <c r="B520" s="4" t="s">
        <v>33</v>
      </c>
      <c r="C520" s="4" t="s">
        <v>50</v>
      </c>
      <c r="D520" s="4" t="s">
        <v>49</v>
      </c>
      <c r="E520" s="4" t="s">
        <v>25</v>
      </c>
      <c r="F520" s="4" t="s">
        <v>25</v>
      </c>
      <c r="G520" s="4" t="s">
        <v>25</v>
      </c>
      <c r="H520" s="4" t="s">
        <v>51</v>
      </c>
      <c r="I520" s="5">
        <v>44713</v>
      </c>
      <c r="J520" s="6">
        <v>0</v>
      </c>
      <c r="K520" s="6">
        <v>0</v>
      </c>
      <c r="L520" s="6">
        <v>8.7999999999999995E-2</v>
      </c>
      <c r="M520" s="6">
        <v>8.7999999999999995E-2</v>
      </c>
      <c r="N520" s="6">
        <v>8.7999999999999995E-2</v>
      </c>
      <c r="O520" s="6">
        <v>8.7999999999999995E-2</v>
      </c>
      <c r="P520" s="6">
        <v>0</v>
      </c>
      <c r="Q520" s="4" t="s">
        <v>26</v>
      </c>
      <c r="R520" s="4">
        <v>0</v>
      </c>
      <c r="S520" s="6">
        <v>0</v>
      </c>
      <c r="T520" s="6">
        <v>81</v>
      </c>
      <c r="U520" s="6">
        <v>55</v>
      </c>
      <c r="V520" s="6">
        <f>IF(ISERROR(VLOOKUP($S$520,'TAR FIN'!$A$1:$O$86,15,0)),0,VLOOKUP($S$520,'TAR FIN'!$A$1:$O$86,15,0))</f>
        <v>0</v>
      </c>
      <c r="W520" s="6">
        <f>IF(ISERROR(VLOOKUP($T$520,'TAR FIN'!$A$1:$O$86,15,0)),0,VLOOKUP($T$520,'TAR FIN'!$A$1:$O$86,15,0))</f>
        <v>636.30999999999995</v>
      </c>
      <c r="X520" s="6">
        <f>IF(ISERROR(VLOOKUP($U$520,'TAR FIN'!$A$1:$O$86,15,0)),0,VLOOKUP($U$520,'TAR FIN'!$A$1:$O$86,15,0))</f>
        <v>211.71</v>
      </c>
      <c r="Y520" s="6"/>
      <c r="Z520" s="6">
        <f ca="1">('TUSD BE'!$AM$46+'TUSD BF'!$AM$46+'TUSD CVA'!$AM$46)*1</f>
        <v>715.54335368474085</v>
      </c>
      <c r="AA520" s="6">
        <f>('TE BE'!$AB$37+'TE BF'!$AB$37+'TE CVA'!$AB$37)*1</f>
        <v>222.99901551132911</v>
      </c>
      <c r="AB520" s="6">
        <f>$K$520*$V$520</f>
        <v>0</v>
      </c>
      <c r="AC520" s="6">
        <f>$M$520*$W$520</f>
        <v>55.995279999999994</v>
      </c>
      <c r="AD520" s="6">
        <f>$O$520*$X$520</f>
        <v>18.630479999999999</v>
      </c>
      <c r="AE520" s="6">
        <f>$K$520*$Y$520</f>
        <v>0</v>
      </c>
      <c r="AF520" s="6">
        <f ca="1">$M$520*$Z$520</f>
        <v>62.967815124257193</v>
      </c>
      <c r="AG520" s="6">
        <f>$O$520*$AA$520</f>
        <v>19.623913364996959</v>
      </c>
    </row>
    <row r="521" spans="1:33" ht="11.25" customHeight="1" x14ac:dyDescent="0.25">
      <c r="A521" s="4" t="s">
        <v>55</v>
      </c>
      <c r="B521" s="4" t="s">
        <v>33</v>
      </c>
      <c r="C521" s="4" t="s">
        <v>50</v>
      </c>
      <c r="D521" s="4" t="s">
        <v>49</v>
      </c>
      <c r="E521" s="4" t="s">
        <v>25</v>
      </c>
      <c r="F521" s="4" t="s">
        <v>25</v>
      </c>
      <c r="G521" s="4" t="s">
        <v>25</v>
      </c>
      <c r="H521" s="4" t="s">
        <v>51</v>
      </c>
      <c r="I521" s="5">
        <v>44743</v>
      </c>
      <c r="J521" s="6">
        <v>0</v>
      </c>
      <c r="K521" s="6">
        <v>0</v>
      </c>
      <c r="L521" s="6">
        <v>8.7999999999999995E-2</v>
      </c>
      <c r="M521" s="6">
        <v>8.7999999999999995E-2</v>
      </c>
      <c r="N521" s="6">
        <v>8.7999999999999995E-2</v>
      </c>
      <c r="O521" s="6">
        <v>8.7999999999999995E-2</v>
      </c>
      <c r="P521" s="6">
        <v>0</v>
      </c>
      <c r="Q521" s="4" t="s">
        <v>26</v>
      </c>
      <c r="R521" s="4">
        <v>0</v>
      </c>
      <c r="S521" s="6">
        <v>0</v>
      </c>
      <c r="T521" s="6">
        <v>81</v>
      </c>
      <c r="U521" s="6">
        <v>55</v>
      </c>
      <c r="V521" s="6">
        <f>IF(ISERROR(VLOOKUP($S$521,'TAR FIN'!$A$1:$O$86,15,0)),0,VLOOKUP($S$521,'TAR FIN'!$A$1:$O$86,15,0))</f>
        <v>0</v>
      </c>
      <c r="W521" s="6">
        <f>IF(ISERROR(VLOOKUP($T$521,'TAR FIN'!$A$1:$O$86,15,0)),0,VLOOKUP($T$521,'TAR FIN'!$A$1:$O$86,15,0))</f>
        <v>636.30999999999995</v>
      </c>
      <c r="X521" s="6">
        <f>IF(ISERROR(VLOOKUP($U$521,'TAR FIN'!$A$1:$O$86,15,0)),0,VLOOKUP($U$521,'TAR FIN'!$A$1:$O$86,15,0))</f>
        <v>211.71</v>
      </c>
      <c r="Y521" s="6"/>
      <c r="Z521" s="6">
        <f ca="1">('TUSD BE'!$AM$46+'TUSD BF'!$AM$46+'TUSD CVA'!$AM$46)*1</f>
        <v>715.54335368474085</v>
      </c>
      <c r="AA521" s="6">
        <f>('TE BE'!$AB$37+'TE BF'!$AB$37+'TE CVA'!$AB$37)*1</f>
        <v>222.99901551132911</v>
      </c>
      <c r="AB521" s="6">
        <f>$K$521*$V$521</f>
        <v>0</v>
      </c>
      <c r="AC521" s="6">
        <f>$M$521*$W$521</f>
        <v>55.995279999999994</v>
      </c>
      <c r="AD521" s="6">
        <f>$O$521*$X$521</f>
        <v>18.630479999999999</v>
      </c>
      <c r="AE521" s="6">
        <f>$K$521*$Y$521</f>
        <v>0</v>
      </c>
      <c r="AF521" s="6">
        <f ca="1">$M$521*$Z$521</f>
        <v>62.967815124257193</v>
      </c>
      <c r="AG521" s="6">
        <f>$O$521*$AA$521</f>
        <v>19.623913364996959</v>
      </c>
    </row>
    <row r="522" spans="1:33" ht="11.25" customHeight="1" x14ac:dyDescent="0.25">
      <c r="A522" s="4" t="s">
        <v>21</v>
      </c>
      <c r="B522" s="4" t="s">
        <v>33</v>
      </c>
      <c r="C522" s="4" t="s">
        <v>50</v>
      </c>
      <c r="D522" s="4" t="s">
        <v>49</v>
      </c>
      <c r="E522" s="4" t="s">
        <v>25</v>
      </c>
      <c r="F522" s="4" t="s">
        <v>25</v>
      </c>
      <c r="G522" s="4" t="s">
        <v>25</v>
      </c>
      <c r="H522" s="4" t="s">
        <v>37</v>
      </c>
      <c r="I522" s="5">
        <v>44409</v>
      </c>
      <c r="J522" s="6">
        <v>0</v>
      </c>
      <c r="K522" s="6">
        <v>0</v>
      </c>
      <c r="L522" s="6">
        <v>7.0999999999999994E-2</v>
      </c>
      <c r="M522" s="6">
        <v>7.0999999999999994E-2</v>
      </c>
      <c r="N522" s="6">
        <v>7.0999999999999994E-2</v>
      </c>
      <c r="O522" s="6">
        <v>7.0999999999999994E-2</v>
      </c>
      <c r="P522" s="6">
        <v>0</v>
      </c>
      <c r="Q522" s="4" t="s">
        <v>26</v>
      </c>
      <c r="R522" s="4">
        <v>0</v>
      </c>
      <c r="S522" s="6">
        <v>0</v>
      </c>
      <c r="T522" s="6">
        <v>42</v>
      </c>
      <c r="U522" s="6">
        <v>60</v>
      </c>
      <c r="V522" s="6">
        <f>IF(ISERROR(VLOOKUP($S$522,'TAR FIN'!$A$1:$O$86,15,0)),0,VLOOKUP($S$522,'TAR FIN'!$A$1:$O$86,15,0))</f>
        <v>0</v>
      </c>
      <c r="W522" s="6">
        <f>IF(ISERROR(VLOOKUP($T$522,'TAR FIN'!$A$1:$O$86,15,0)),0,VLOOKUP($T$522,'TAR FIN'!$A$1:$O$86,15,0))</f>
        <v>997.57</v>
      </c>
      <c r="X522" s="6">
        <f>IF(ISERROR(VLOOKUP($U$522,'TAR FIN'!$A$1:$O$86,15,0)),0,VLOOKUP($U$522,'TAR FIN'!$A$1:$O$86,15,0))</f>
        <v>359.33</v>
      </c>
      <c r="Y522" s="6"/>
      <c r="Z522" s="6">
        <f ca="1">('TUSD BE'!$AM$45+'TUSD BF'!$AM$45+'TUSD CVA'!$AM$45)*1</f>
        <v>1094.7588645432709</v>
      </c>
      <c r="AA522" s="6">
        <f>('TE BE'!$AB$36+'TE BF'!$AB$36+'TE CVA'!$AB$36)*1</f>
        <v>362.73600214515886</v>
      </c>
      <c r="AB522" s="6">
        <f>$K$522*$V$522</f>
        <v>0</v>
      </c>
      <c r="AC522" s="6">
        <f>$M$522*$W$522</f>
        <v>70.827469999999991</v>
      </c>
      <c r="AD522" s="6">
        <f>$O$522*$X$522</f>
        <v>25.512429999999995</v>
      </c>
      <c r="AE522" s="6">
        <f>$K$522*$Y$522</f>
        <v>0</v>
      </c>
      <c r="AF522" s="6">
        <f ca="1">$M$522*$Z$522</f>
        <v>77.727879382572226</v>
      </c>
      <c r="AG522" s="6">
        <f>$O$522*$AA$522</f>
        <v>25.754256152306276</v>
      </c>
    </row>
    <row r="523" spans="1:33" ht="11.25" customHeight="1" x14ac:dyDescent="0.25">
      <c r="A523" s="4" t="s">
        <v>21</v>
      </c>
      <c r="B523" s="4" t="s">
        <v>33</v>
      </c>
      <c r="C523" s="4" t="s">
        <v>50</v>
      </c>
      <c r="D523" s="4" t="s">
        <v>49</v>
      </c>
      <c r="E523" s="4" t="s">
        <v>25</v>
      </c>
      <c r="F523" s="4" t="s">
        <v>25</v>
      </c>
      <c r="G523" s="4" t="s">
        <v>25</v>
      </c>
      <c r="H523" s="4" t="s">
        <v>37</v>
      </c>
      <c r="I523" s="5">
        <v>44440</v>
      </c>
      <c r="J523" s="6">
        <v>0</v>
      </c>
      <c r="K523" s="6">
        <v>0</v>
      </c>
      <c r="L523" s="6">
        <v>8.5999999999999993E-2</v>
      </c>
      <c r="M523" s="6">
        <v>8.5999999999999993E-2</v>
      </c>
      <c r="N523" s="6">
        <v>8.5999999999999993E-2</v>
      </c>
      <c r="O523" s="6">
        <v>8.5999999999999993E-2</v>
      </c>
      <c r="P523" s="6">
        <v>0</v>
      </c>
      <c r="Q523" s="4" t="s">
        <v>26</v>
      </c>
      <c r="R523" s="4">
        <v>0</v>
      </c>
      <c r="S523" s="6">
        <v>0</v>
      </c>
      <c r="T523" s="6">
        <v>42</v>
      </c>
      <c r="U523" s="6">
        <v>60</v>
      </c>
      <c r="V523" s="6">
        <f>IF(ISERROR(VLOOKUP($S$523,'TAR FIN'!$A$1:$O$86,15,0)),0,VLOOKUP($S$523,'TAR FIN'!$A$1:$O$86,15,0))</f>
        <v>0</v>
      </c>
      <c r="W523" s="6">
        <f>IF(ISERROR(VLOOKUP($T$523,'TAR FIN'!$A$1:$O$86,15,0)),0,VLOOKUP($T$523,'TAR FIN'!$A$1:$O$86,15,0))</f>
        <v>997.57</v>
      </c>
      <c r="X523" s="6">
        <f>IF(ISERROR(VLOOKUP($U$523,'TAR FIN'!$A$1:$O$86,15,0)),0,VLOOKUP($U$523,'TAR FIN'!$A$1:$O$86,15,0))</f>
        <v>359.33</v>
      </c>
      <c r="Y523" s="6"/>
      <c r="Z523" s="6">
        <f ca="1">('TUSD BE'!$AM$45+'TUSD BF'!$AM$45+'TUSD CVA'!$AM$45)*1</f>
        <v>1094.7588645432709</v>
      </c>
      <c r="AA523" s="6">
        <f>('TE BE'!$AB$36+'TE BF'!$AB$36+'TE CVA'!$AB$36)*1</f>
        <v>362.73600214515886</v>
      </c>
      <c r="AB523" s="6">
        <f>$K$523*$V$523</f>
        <v>0</v>
      </c>
      <c r="AC523" s="6">
        <f>$M$523*$W$523</f>
        <v>85.791020000000003</v>
      </c>
      <c r="AD523" s="6">
        <f>$O$523*$X$523</f>
        <v>30.902379999999997</v>
      </c>
      <c r="AE523" s="6">
        <f>$K$523*$Y$523</f>
        <v>0</v>
      </c>
      <c r="AF523" s="6">
        <f ca="1">$M$523*$Z$523</f>
        <v>94.149262350721287</v>
      </c>
      <c r="AG523" s="6">
        <f>$O$523*$AA$523</f>
        <v>31.195296184483659</v>
      </c>
    </row>
    <row r="524" spans="1:33" ht="11.25" customHeight="1" x14ac:dyDescent="0.25">
      <c r="A524" s="4" t="s">
        <v>21</v>
      </c>
      <c r="B524" s="4" t="s">
        <v>33</v>
      </c>
      <c r="C524" s="4" t="s">
        <v>50</v>
      </c>
      <c r="D524" s="4" t="s">
        <v>49</v>
      </c>
      <c r="E524" s="4" t="s">
        <v>25</v>
      </c>
      <c r="F524" s="4" t="s">
        <v>25</v>
      </c>
      <c r="G524" s="4" t="s">
        <v>25</v>
      </c>
      <c r="H524" s="4" t="s">
        <v>37</v>
      </c>
      <c r="I524" s="5">
        <v>44470</v>
      </c>
      <c r="J524" s="6">
        <v>0</v>
      </c>
      <c r="K524" s="6">
        <v>0</v>
      </c>
      <c r="L524" s="6">
        <v>8.7999999999999995E-2</v>
      </c>
      <c r="M524" s="6">
        <v>8.7999999999999995E-2</v>
      </c>
      <c r="N524" s="6">
        <v>8.7999999999999995E-2</v>
      </c>
      <c r="O524" s="6">
        <v>8.7999999999999995E-2</v>
      </c>
      <c r="P524" s="6">
        <v>0</v>
      </c>
      <c r="Q524" s="4" t="s">
        <v>26</v>
      </c>
      <c r="R524" s="4">
        <v>0</v>
      </c>
      <c r="S524" s="6">
        <v>0</v>
      </c>
      <c r="T524" s="6">
        <v>42</v>
      </c>
      <c r="U524" s="6">
        <v>60</v>
      </c>
      <c r="V524" s="6">
        <f>IF(ISERROR(VLOOKUP($S$524,'TAR FIN'!$A$1:$O$86,15,0)),0,VLOOKUP($S$524,'TAR FIN'!$A$1:$O$86,15,0))</f>
        <v>0</v>
      </c>
      <c r="W524" s="6">
        <f>IF(ISERROR(VLOOKUP($T$524,'TAR FIN'!$A$1:$O$86,15,0)),0,VLOOKUP($T$524,'TAR FIN'!$A$1:$O$86,15,0))</f>
        <v>997.57</v>
      </c>
      <c r="X524" s="6">
        <f>IF(ISERROR(VLOOKUP($U$524,'TAR FIN'!$A$1:$O$86,15,0)),0,VLOOKUP($U$524,'TAR FIN'!$A$1:$O$86,15,0))</f>
        <v>359.33</v>
      </c>
      <c r="Y524" s="6"/>
      <c r="Z524" s="6">
        <f ca="1">('TUSD BE'!$AM$45+'TUSD BF'!$AM$45+'TUSD CVA'!$AM$45)*1</f>
        <v>1094.7588645432709</v>
      </c>
      <c r="AA524" s="6">
        <f>('TE BE'!$AB$36+'TE BF'!$AB$36+'TE CVA'!$AB$36)*1</f>
        <v>362.73600214515886</v>
      </c>
      <c r="AB524" s="6">
        <f>$K$524*$V$524</f>
        <v>0</v>
      </c>
      <c r="AC524" s="6">
        <f>$M$524*$W$524</f>
        <v>87.786159999999995</v>
      </c>
      <c r="AD524" s="6">
        <f>$O$524*$X$524</f>
        <v>31.621039999999997</v>
      </c>
      <c r="AE524" s="6">
        <f>$K$524*$Y$524</f>
        <v>0</v>
      </c>
      <c r="AF524" s="6">
        <f ca="1">$M$524*$Z$524</f>
        <v>96.338780079807833</v>
      </c>
      <c r="AG524" s="6">
        <f>$O$524*$AA$524</f>
        <v>31.920768188773977</v>
      </c>
    </row>
    <row r="525" spans="1:33" ht="11.25" customHeight="1" x14ac:dyDescent="0.25">
      <c r="A525" s="4" t="s">
        <v>21</v>
      </c>
      <c r="B525" s="4" t="s">
        <v>33</v>
      </c>
      <c r="C525" s="4" t="s">
        <v>50</v>
      </c>
      <c r="D525" s="4" t="s">
        <v>49</v>
      </c>
      <c r="E525" s="4" t="s">
        <v>25</v>
      </c>
      <c r="F525" s="4" t="s">
        <v>25</v>
      </c>
      <c r="G525" s="4" t="s">
        <v>25</v>
      </c>
      <c r="H525" s="4" t="s">
        <v>37</v>
      </c>
      <c r="I525" s="5">
        <v>44501</v>
      </c>
      <c r="J525" s="6">
        <v>0</v>
      </c>
      <c r="K525" s="6">
        <v>0</v>
      </c>
      <c r="L525" s="6">
        <v>6.4000000000000001E-2</v>
      </c>
      <c r="M525" s="6">
        <v>6.4000000000000001E-2</v>
      </c>
      <c r="N525" s="6">
        <v>6.4000000000000001E-2</v>
      </c>
      <c r="O525" s="6">
        <v>6.4000000000000001E-2</v>
      </c>
      <c r="P525" s="6">
        <v>0</v>
      </c>
      <c r="Q525" s="4" t="s">
        <v>26</v>
      </c>
      <c r="R525" s="4">
        <v>0</v>
      </c>
      <c r="S525" s="6">
        <v>0</v>
      </c>
      <c r="T525" s="6">
        <v>42</v>
      </c>
      <c r="U525" s="6">
        <v>60</v>
      </c>
      <c r="V525" s="6">
        <f>IF(ISERROR(VLOOKUP($S$525,'TAR FIN'!$A$1:$O$86,15,0)),0,VLOOKUP($S$525,'TAR FIN'!$A$1:$O$86,15,0))</f>
        <v>0</v>
      </c>
      <c r="W525" s="6">
        <f>IF(ISERROR(VLOOKUP($T$525,'TAR FIN'!$A$1:$O$86,15,0)),0,VLOOKUP($T$525,'TAR FIN'!$A$1:$O$86,15,0))</f>
        <v>997.57</v>
      </c>
      <c r="X525" s="6">
        <f>IF(ISERROR(VLOOKUP($U$525,'TAR FIN'!$A$1:$O$86,15,0)),0,VLOOKUP($U$525,'TAR FIN'!$A$1:$O$86,15,0))</f>
        <v>359.33</v>
      </c>
      <c r="Y525" s="6"/>
      <c r="Z525" s="6">
        <f ca="1">('TUSD BE'!$AM$45+'TUSD BF'!$AM$45+'TUSD CVA'!$AM$45)*1</f>
        <v>1094.7588645432709</v>
      </c>
      <c r="AA525" s="6">
        <f>('TE BE'!$AB$36+'TE BF'!$AB$36+'TE CVA'!$AB$36)*1</f>
        <v>362.73600214515886</v>
      </c>
      <c r="AB525" s="6">
        <f>$K$525*$V$525</f>
        <v>0</v>
      </c>
      <c r="AC525" s="6">
        <f>$M$525*$W$525</f>
        <v>63.844480000000004</v>
      </c>
      <c r="AD525" s="6">
        <f>$O$525*$X$525</f>
        <v>22.997119999999999</v>
      </c>
      <c r="AE525" s="6">
        <f>$K$525*$Y$525</f>
        <v>0</v>
      </c>
      <c r="AF525" s="6">
        <f ca="1">$M$525*$Z$525</f>
        <v>70.064567330769336</v>
      </c>
      <c r="AG525" s="6">
        <f>$O$525*$AA$525</f>
        <v>23.215104137290169</v>
      </c>
    </row>
    <row r="526" spans="1:33" ht="11.25" customHeight="1" x14ac:dyDescent="0.25">
      <c r="A526" s="4" t="s">
        <v>21</v>
      </c>
      <c r="B526" s="4" t="s">
        <v>33</v>
      </c>
      <c r="C526" s="4" t="s">
        <v>50</v>
      </c>
      <c r="D526" s="4" t="s">
        <v>49</v>
      </c>
      <c r="E526" s="4" t="s">
        <v>25</v>
      </c>
      <c r="F526" s="4" t="s">
        <v>25</v>
      </c>
      <c r="G526" s="4" t="s">
        <v>25</v>
      </c>
      <c r="H526" s="4" t="s">
        <v>37</v>
      </c>
      <c r="I526" s="5">
        <v>44531</v>
      </c>
      <c r="J526" s="6">
        <v>0</v>
      </c>
      <c r="K526" s="6">
        <v>0</v>
      </c>
      <c r="L526" s="6">
        <v>7.1999999999999995E-2</v>
      </c>
      <c r="M526" s="6">
        <v>7.1999999999999995E-2</v>
      </c>
      <c r="N526" s="6">
        <v>7.1999999999999995E-2</v>
      </c>
      <c r="O526" s="6">
        <v>7.1999999999999995E-2</v>
      </c>
      <c r="P526" s="6">
        <v>0</v>
      </c>
      <c r="Q526" s="4" t="s">
        <v>26</v>
      </c>
      <c r="R526" s="4">
        <v>0</v>
      </c>
      <c r="S526" s="6">
        <v>0</v>
      </c>
      <c r="T526" s="6">
        <v>42</v>
      </c>
      <c r="U526" s="6">
        <v>60</v>
      </c>
      <c r="V526" s="6">
        <f>IF(ISERROR(VLOOKUP($S$526,'TAR FIN'!$A$1:$O$86,15,0)),0,VLOOKUP($S$526,'TAR FIN'!$A$1:$O$86,15,0))</f>
        <v>0</v>
      </c>
      <c r="W526" s="6">
        <f>IF(ISERROR(VLOOKUP($T$526,'TAR FIN'!$A$1:$O$86,15,0)),0,VLOOKUP($T$526,'TAR FIN'!$A$1:$O$86,15,0))</f>
        <v>997.57</v>
      </c>
      <c r="X526" s="6">
        <f>IF(ISERROR(VLOOKUP($U$526,'TAR FIN'!$A$1:$O$86,15,0)),0,VLOOKUP($U$526,'TAR FIN'!$A$1:$O$86,15,0))</f>
        <v>359.33</v>
      </c>
      <c r="Y526" s="6"/>
      <c r="Z526" s="6">
        <f ca="1">('TUSD BE'!$AM$45+'TUSD BF'!$AM$45+'TUSD CVA'!$AM$45)*1</f>
        <v>1094.7588645432709</v>
      </c>
      <c r="AA526" s="6">
        <f>('TE BE'!$AB$36+'TE BF'!$AB$36+'TE CVA'!$AB$36)*1</f>
        <v>362.73600214515886</v>
      </c>
      <c r="AB526" s="6">
        <f>$K$526*$V$526</f>
        <v>0</v>
      </c>
      <c r="AC526" s="6">
        <f>$M$526*$W$526</f>
        <v>71.825040000000001</v>
      </c>
      <c r="AD526" s="6">
        <f>$O$526*$X$526</f>
        <v>25.871759999999998</v>
      </c>
      <c r="AE526" s="6">
        <f>$K$526*$Y$526</f>
        <v>0</v>
      </c>
      <c r="AF526" s="6">
        <f ca="1">$M$526*$Z$526</f>
        <v>78.822638247115492</v>
      </c>
      <c r="AG526" s="6">
        <f>$O$526*$AA$526</f>
        <v>26.116992154451435</v>
      </c>
    </row>
    <row r="527" spans="1:33" ht="11.25" customHeight="1" x14ac:dyDescent="0.25">
      <c r="A527" s="4" t="s">
        <v>21</v>
      </c>
      <c r="B527" s="4" t="s">
        <v>33</v>
      </c>
      <c r="C527" s="4" t="s">
        <v>50</v>
      </c>
      <c r="D527" s="4" t="s">
        <v>49</v>
      </c>
      <c r="E527" s="4" t="s">
        <v>25</v>
      </c>
      <c r="F527" s="4" t="s">
        <v>25</v>
      </c>
      <c r="G527" s="4" t="s">
        <v>25</v>
      </c>
      <c r="H527" s="4" t="s">
        <v>37</v>
      </c>
      <c r="I527" s="5">
        <v>44562</v>
      </c>
      <c r="J527" s="6">
        <v>0</v>
      </c>
      <c r="K527" s="6">
        <v>0</v>
      </c>
      <c r="L527" s="6">
        <v>0.13500000000000001</v>
      </c>
      <c r="M527" s="6">
        <v>0.13500000000000001</v>
      </c>
      <c r="N527" s="6">
        <v>0.13500000000000001</v>
      </c>
      <c r="O527" s="6">
        <v>0.13500000000000001</v>
      </c>
      <c r="P527" s="6">
        <v>0</v>
      </c>
      <c r="Q527" s="4" t="s">
        <v>26</v>
      </c>
      <c r="R527" s="4">
        <v>0</v>
      </c>
      <c r="S527" s="6">
        <v>0</v>
      </c>
      <c r="T527" s="6">
        <v>42</v>
      </c>
      <c r="U527" s="6">
        <v>60</v>
      </c>
      <c r="V527" s="6">
        <f>IF(ISERROR(VLOOKUP($S$527,'TAR FIN'!$A$1:$O$86,15,0)),0,VLOOKUP($S$527,'TAR FIN'!$A$1:$O$86,15,0))</f>
        <v>0</v>
      </c>
      <c r="W527" s="6">
        <f>IF(ISERROR(VLOOKUP($T$527,'TAR FIN'!$A$1:$O$86,15,0)),0,VLOOKUP($T$527,'TAR FIN'!$A$1:$O$86,15,0))</f>
        <v>997.57</v>
      </c>
      <c r="X527" s="6">
        <f>IF(ISERROR(VLOOKUP($U$527,'TAR FIN'!$A$1:$O$86,15,0)),0,VLOOKUP($U$527,'TAR FIN'!$A$1:$O$86,15,0))</f>
        <v>359.33</v>
      </c>
      <c r="Y527" s="6"/>
      <c r="Z527" s="6">
        <f ca="1">('TUSD BE'!$AM$45+'TUSD BF'!$AM$45+'TUSD CVA'!$AM$45)*1</f>
        <v>1094.7588645432709</v>
      </c>
      <c r="AA527" s="6">
        <f>('TE BE'!$AB$36+'TE BF'!$AB$36+'TE CVA'!$AB$36)*1</f>
        <v>362.73600214515886</v>
      </c>
      <c r="AB527" s="6">
        <f>$K$527*$V$527</f>
        <v>0</v>
      </c>
      <c r="AC527" s="6">
        <f>$M$527*$W$527</f>
        <v>134.67195000000001</v>
      </c>
      <c r="AD527" s="6">
        <f>$O$527*$X$527</f>
        <v>48.509550000000004</v>
      </c>
      <c r="AE527" s="6">
        <f>$K$527*$Y$527</f>
        <v>0</v>
      </c>
      <c r="AF527" s="6">
        <f ca="1">$M$527*$Z$527</f>
        <v>147.79244671334158</v>
      </c>
      <c r="AG527" s="6">
        <f>$O$527*$AA$527</f>
        <v>48.969360289596452</v>
      </c>
    </row>
    <row r="528" spans="1:33" ht="11.25" customHeight="1" x14ac:dyDescent="0.25">
      <c r="A528" s="4" t="s">
        <v>21</v>
      </c>
      <c r="B528" s="4" t="s">
        <v>33</v>
      </c>
      <c r="C528" s="4" t="s">
        <v>50</v>
      </c>
      <c r="D528" s="4" t="s">
        <v>49</v>
      </c>
      <c r="E528" s="4" t="s">
        <v>25</v>
      </c>
      <c r="F528" s="4" t="s">
        <v>25</v>
      </c>
      <c r="G528" s="4" t="s">
        <v>25</v>
      </c>
      <c r="H528" s="4" t="s">
        <v>37</v>
      </c>
      <c r="I528" s="5">
        <v>44593</v>
      </c>
      <c r="J528" s="6">
        <v>0</v>
      </c>
      <c r="K528" s="6">
        <v>0</v>
      </c>
      <c r="L528" s="6">
        <v>0.107</v>
      </c>
      <c r="M528" s="6">
        <v>0.107</v>
      </c>
      <c r="N528" s="6">
        <v>0.107</v>
      </c>
      <c r="O528" s="6">
        <v>0.107</v>
      </c>
      <c r="P528" s="6">
        <v>0</v>
      </c>
      <c r="Q528" s="4" t="s">
        <v>26</v>
      </c>
      <c r="R528" s="4">
        <v>0</v>
      </c>
      <c r="S528" s="6">
        <v>0</v>
      </c>
      <c r="T528" s="6">
        <v>42</v>
      </c>
      <c r="U528" s="6">
        <v>60</v>
      </c>
      <c r="V528" s="6">
        <f>IF(ISERROR(VLOOKUP($S$528,'TAR FIN'!$A$1:$O$86,15,0)),0,VLOOKUP($S$528,'TAR FIN'!$A$1:$O$86,15,0))</f>
        <v>0</v>
      </c>
      <c r="W528" s="6">
        <f>IF(ISERROR(VLOOKUP($T$528,'TAR FIN'!$A$1:$O$86,15,0)),0,VLOOKUP($T$528,'TAR FIN'!$A$1:$O$86,15,0))</f>
        <v>997.57</v>
      </c>
      <c r="X528" s="6">
        <f>IF(ISERROR(VLOOKUP($U$528,'TAR FIN'!$A$1:$O$86,15,0)),0,VLOOKUP($U$528,'TAR FIN'!$A$1:$O$86,15,0))</f>
        <v>359.33</v>
      </c>
      <c r="Y528" s="6"/>
      <c r="Z528" s="6">
        <f ca="1">('TUSD BE'!$AM$45+'TUSD BF'!$AM$45+'TUSD CVA'!$AM$45)*1</f>
        <v>1094.7588645432709</v>
      </c>
      <c r="AA528" s="6">
        <f>('TE BE'!$AB$36+'TE BF'!$AB$36+'TE CVA'!$AB$36)*1</f>
        <v>362.73600214515886</v>
      </c>
      <c r="AB528" s="6">
        <f>$K$528*$V$528</f>
        <v>0</v>
      </c>
      <c r="AC528" s="6">
        <f>$M$528*$W$528</f>
        <v>106.73999000000001</v>
      </c>
      <c r="AD528" s="6">
        <f>$O$528*$X$528</f>
        <v>38.448309999999999</v>
      </c>
      <c r="AE528" s="6">
        <f>$K$528*$Y$528</f>
        <v>0</v>
      </c>
      <c r="AF528" s="6">
        <f ca="1">$M$528*$Z$528</f>
        <v>117.13919850612999</v>
      </c>
      <c r="AG528" s="6">
        <f>$O$528*$AA$528</f>
        <v>38.812752229531995</v>
      </c>
    </row>
    <row r="529" spans="1:33" ht="11.25" customHeight="1" x14ac:dyDescent="0.25">
      <c r="A529" s="4" t="s">
        <v>21</v>
      </c>
      <c r="B529" s="4" t="s">
        <v>33</v>
      </c>
      <c r="C529" s="4" t="s">
        <v>50</v>
      </c>
      <c r="D529" s="4" t="s">
        <v>49</v>
      </c>
      <c r="E529" s="4" t="s">
        <v>25</v>
      </c>
      <c r="F529" s="4" t="s">
        <v>25</v>
      </c>
      <c r="G529" s="4" t="s">
        <v>25</v>
      </c>
      <c r="H529" s="4" t="s">
        <v>37</v>
      </c>
      <c r="I529" s="5">
        <v>44621</v>
      </c>
      <c r="J529" s="6">
        <v>0</v>
      </c>
      <c r="K529" s="6">
        <v>0</v>
      </c>
      <c r="L529" s="6">
        <v>0.122</v>
      </c>
      <c r="M529" s="6">
        <v>0.122</v>
      </c>
      <c r="N529" s="6">
        <v>0.122</v>
      </c>
      <c r="O529" s="6">
        <v>0.122</v>
      </c>
      <c r="P529" s="6">
        <v>0</v>
      </c>
      <c r="Q529" s="4" t="s">
        <v>26</v>
      </c>
      <c r="R529" s="4">
        <v>0</v>
      </c>
      <c r="S529" s="6">
        <v>0</v>
      </c>
      <c r="T529" s="6">
        <v>42</v>
      </c>
      <c r="U529" s="6">
        <v>60</v>
      </c>
      <c r="V529" s="6">
        <f>IF(ISERROR(VLOOKUP($S$529,'TAR FIN'!$A$1:$O$86,15,0)),0,VLOOKUP($S$529,'TAR FIN'!$A$1:$O$86,15,0))</f>
        <v>0</v>
      </c>
      <c r="W529" s="6">
        <f>IF(ISERROR(VLOOKUP($T$529,'TAR FIN'!$A$1:$O$86,15,0)),0,VLOOKUP($T$529,'TAR FIN'!$A$1:$O$86,15,0))</f>
        <v>997.57</v>
      </c>
      <c r="X529" s="6">
        <f>IF(ISERROR(VLOOKUP($U$529,'TAR FIN'!$A$1:$O$86,15,0)),0,VLOOKUP($U$529,'TAR FIN'!$A$1:$O$86,15,0))</f>
        <v>359.33</v>
      </c>
      <c r="Y529" s="6"/>
      <c r="Z529" s="6">
        <f ca="1">('TUSD BE'!$AM$45+'TUSD BF'!$AM$45+'TUSD CVA'!$AM$45)*1</f>
        <v>1094.7588645432709</v>
      </c>
      <c r="AA529" s="6">
        <f>('TE BE'!$AB$36+'TE BF'!$AB$36+'TE CVA'!$AB$36)*1</f>
        <v>362.73600214515886</v>
      </c>
      <c r="AB529" s="6">
        <f>$K$529*$V$529</f>
        <v>0</v>
      </c>
      <c r="AC529" s="6">
        <f>$M$529*$W$529</f>
        <v>121.70354</v>
      </c>
      <c r="AD529" s="6">
        <f>$O$529*$X$529</f>
        <v>43.838259999999998</v>
      </c>
      <c r="AE529" s="6">
        <f>$K$529*$Y$529</f>
        <v>0</v>
      </c>
      <c r="AF529" s="6">
        <f ca="1">$M$529*$Z$529</f>
        <v>133.56058147427905</v>
      </c>
      <c r="AG529" s="6">
        <f>$O$529*$AA$529</f>
        <v>44.253792261709378</v>
      </c>
    </row>
    <row r="530" spans="1:33" ht="11.25" customHeight="1" x14ac:dyDescent="0.25">
      <c r="A530" s="4" t="s">
        <v>21</v>
      </c>
      <c r="B530" s="4" t="s">
        <v>33</v>
      </c>
      <c r="C530" s="4" t="s">
        <v>50</v>
      </c>
      <c r="D530" s="4" t="s">
        <v>49</v>
      </c>
      <c r="E530" s="4" t="s">
        <v>25</v>
      </c>
      <c r="F530" s="4" t="s">
        <v>25</v>
      </c>
      <c r="G530" s="4" t="s">
        <v>25</v>
      </c>
      <c r="H530" s="4" t="s">
        <v>37</v>
      </c>
      <c r="I530" s="5">
        <v>44652</v>
      </c>
      <c r="J530" s="6">
        <v>0</v>
      </c>
      <c r="K530" s="6">
        <v>0</v>
      </c>
      <c r="L530" s="6">
        <v>0.14899999999999999</v>
      </c>
      <c r="M530" s="6">
        <v>0.14899999999999999</v>
      </c>
      <c r="N530" s="6">
        <v>0.14899999999999999</v>
      </c>
      <c r="O530" s="6">
        <v>0.14899999999999999</v>
      </c>
      <c r="P530" s="6">
        <v>0</v>
      </c>
      <c r="Q530" s="4" t="s">
        <v>26</v>
      </c>
      <c r="R530" s="4">
        <v>0</v>
      </c>
      <c r="S530" s="6">
        <v>0</v>
      </c>
      <c r="T530" s="6">
        <v>42</v>
      </c>
      <c r="U530" s="6">
        <v>60</v>
      </c>
      <c r="V530" s="6">
        <f>IF(ISERROR(VLOOKUP($S$530,'TAR FIN'!$A$1:$O$86,15,0)),0,VLOOKUP($S$530,'TAR FIN'!$A$1:$O$86,15,0))</f>
        <v>0</v>
      </c>
      <c r="W530" s="6">
        <f>IF(ISERROR(VLOOKUP($T$530,'TAR FIN'!$A$1:$O$86,15,0)),0,VLOOKUP($T$530,'TAR FIN'!$A$1:$O$86,15,0))</f>
        <v>997.57</v>
      </c>
      <c r="X530" s="6">
        <f>IF(ISERROR(VLOOKUP($U$530,'TAR FIN'!$A$1:$O$86,15,0)),0,VLOOKUP($U$530,'TAR FIN'!$A$1:$O$86,15,0))</f>
        <v>359.33</v>
      </c>
      <c r="Y530" s="6"/>
      <c r="Z530" s="6">
        <f ca="1">('TUSD BE'!$AM$45+'TUSD BF'!$AM$45+'TUSD CVA'!$AM$45)*1</f>
        <v>1094.7588645432709</v>
      </c>
      <c r="AA530" s="6">
        <f>('TE BE'!$AB$36+'TE BF'!$AB$36+'TE CVA'!$AB$36)*1</f>
        <v>362.73600214515886</v>
      </c>
      <c r="AB530" s="6">
        <f>$K$530*$V$530</f>
        <v>0</v>
      </c>
      <c r="AC530" s="6">
        <f>$M$530*$W$530</f>
        <v>148.63793000000001</v>
      </c>
      <c r="AD530" s="6">
        <f>$O$530*$X$530</f>
        <v>53.540169999999996</v>
      </c>
      <c r="AE530" s="6">
        <f>$K$530*$Y$530</f>
        <v>0</v>
      </c>
      <c r="AF530" s="6">
        <f ca="1">$M$530*$Z$530</f>
        <v>163.11907081694736</v>
      </c>
      <c r="AG530" s="6">
        <f>$O$530*$AA$530</f>
        <v>54.047664319628666</v>
      </c>
    </row>
    <row r="531" spans="1:33" ht="11.25" customHeight="1" x14ac:dyDescent="0.25">
      <c r="A531" s="4" t="s">
        <v>21</v>
      </c>
      <c r="B531" s="4" t="s">
        <v>33</v>
      </c>
      <c r="C531" s="4" t="s">
        <v>50</v>
      </c>
      <c r="D531" s="4" t="s">
        <v>49</v>
      </c>
      <c r="E531" s="4" t="s">
        <v>25</v>
      </c>
      <c r="F531" s="4" t="s">
        <v>25</v>
      </c>
      <c r="G531" s="4" t="s">
        <v>25</v>
      </c>
      <c r="H531" s="4" t="s">
        <v>37</v>
      </c>
      <c r="I531" s="5">
        <v>44682</v>
      </c>
      <c r="J531" s="6">
        <v>0</v>
      </c>
      <c r="K531" s="6">
        <v>0</v>
      </c>
      <c r="L531" s="6">
        <v>9.1999999999999998E-2</v>
      </c>
      <c r="M531" s="6">
        <v>9.1999999999999998E-2</v>
      </c>
      <c r="N531" s="6">
        <v>9.1999999999999998E-2</v>
      </c>
      <c r="O531" s="6">
        <v>9.1999999999999998E-2</v>
      </c>
      <c r="P531" s="6">
        <v>0</v>
      </c>
      <c r="Q531" s="4" t="s">
        <v>26</v>
      </c>
      <c r="R531" s="4">
        <v>0</v>
      </c>
      <c r="S531" s="6">
        <v>0</v>
      </c>
      <c r="T531" s="6">
        <v>42</v>
      </c>
      <c r="U531" s="6">
        <v>60</v>
      </c>
      <c r="V531" s="6">
        <f>IF(ISERROR(VLOOKUP($S$531,'TAR FIN'!$A$1:$O$86,15,0)),0,VLOOKUP($S$531,'TAR FIN'!$A$1:$O$86,15,0))</f>
        <v>0</v>
      </c>
      <c r="W531" s="6">
        <f>IF(ISERROR(VLOOKUP($T$531,'TAR FIN'!$A$1:$O$86,15,0)),0,VLOOKUP($T$531,'TAR FIN'!$A$1:$O$86,15,0))</f>
        <v>997.57</v>
      </c>
      <c r="X531" s="6">
        <f>IF(ISERROR(VLOOKUP($U$531,'TAR FIN'!$A$1:$O$86,15,0)),0,VLOOKUP($U$531,'TAR FIN'!$A$1:$O$86,15,0))</f>
        <v>359.33</v>
      </c>
      <c r="Y531" s="6"/>
      <c r="Z531" s="6">
        <f ca="1">('TUSD BE'!$AM$45+'TUSD BF'!$AM$45+'TUSD CVA'!$AM$45)*1</f>
        <v>1094.7588645432709</v>
      </c>
      <c r="AA531" s="6">
        <f>('TE BE'!$AB$36+'TE BF'!$AB$36+'TE CVA'!$AB$36)*1</f>
        <v>362.73600214515886</v>
      </c>
      <c r="AB531" s="6">
        <f>$K$531*$V$531</f>
        <v>0</v>
      </c>
      <c r="AC531" s="6">
        <f>$M$531*$W$531</f>
        <v>91.776440000000008</v>
      </c>
      <c r="AD531" s="6">
        <f>$O$531*$X$531</f>
        <v>33.05836</v>
      </c>
      <c r="AE531" s="6">
        <f>$K$531*$Y$531</f>
        <v>0</v>
      </c>
      <c r="AF531" s="6">
        <f ca="1">$M$531*$Z$531</f>
        <v>100.71781553798093</v>
      </c>
      <c r="AG531" s="6">
        <f>$O$531*$AA$531</f>
        <v>33.371712197354611</v>
      </c>
    </row>
    <row r="532" spans="1:33" ht="11.25" customHeight="1" x14ac:dyDescent="0.25">
      <c r="A532" s="4" t="s">
        <v>21</v>
      </c>
      <c r="B532" s="4" t="s">
        <v>33</v>
      </c>
      <c r="C532" s="4" t="s">
        <v>50</v>
      </c>
      <c r="D532" s="4" t="s">
        <v>49</v>
      </c>
      <c r="E532" s="4" t="s">
        <v>25</v>
      </c>
      <c r="F532" s="4" t="s">
        <v>25</v>
      </c>
      <c r="G532" s="4" t="s">
        <v>25</v>
      </c>
      <c r="H532" s="4" t="s">
        <v>37</v>
      </c>
      <c r="I532" s="5">
        <v>44713</v>
      </c>
      <c r="J532" s="6">
        <v>0</v>
      </c>
      <c r="K532" s="6">
        <v>0</v>
      </c>
      <c r="L532" s="6">
        <v>7.6999999999999999E-2</v>
      </c>
      <c r="M532" s="6">
        <v>7.6999999999999999E-2</v>
      </c>
      <c r="N532" s="6">
        <v>7.6999999999999999E-2</v>
      </c>
      <c r="O532" s="6">
        <v>7.6999999999999999E-2</v>
      </c>
      <c r="P532" s="6">
        <v>0</v>
      </c>
      <c r="Q532" s="4" t="s">
        <v>26</v>
      </c>
      <c r="R532" s="4">
        <v>0</v>
      </c>
      <c r="S532" s="6">
        <v>0</v>
      </c>
      <c r="T532" s="6">
        <v>42</v>
      </c>
      <c r="U532" s="6">
        <v>60</v>
      </c>
      <c r="V532" s="6">
        <f>IF(ISERROR(VLOOKUP($S$532,'TAR FIN'!$A$1:$O$86,15,0)),0,VLOOKUP($S$532,'TAR FIN'!$A$1:$O$86,15,0))</f>
        <v>0</v>
      </c>
      <c r="W532" s="6">
        <f>IF(ISERROR(VLOOKUP($T$532,'TAR FIN'!$A$1:$O$86,15,0)),0,VLOOKUP($T$532,'TAR FIN'!$A$1:$O$86,15,0))</f>
        <v>997.57</v>
      </c>
      <c r="X532" s="6">
        <f>IF(ISERROR(VLOOKUP($U$532,'TAR FIN'!$A$1:$O$86,15,0)),0,VLOOKUP($U$532,'TAR FIN'!$A$1:$O$86,15,0))</f>
        <v>359.33</v>
      </c>
      <c r="Y532" s="6"/>
      <c r="Z532" s="6">
        <f ca="1">('TUSD BE'!$AM$45+'TUSD BF'!$AM$45+'TUSD CVA'!$AM$45)*1</f>
        <v>1094.7588645432709</v>
      </c>
      <c r="AA532" s="6">
        <f>('TE BE'!$AB$36+'TE BF'!$AB$36+'TE CVA'!$AB$36)*1</f>
        <v>362.73600214515886</v>
      </c>
      <c r="AB532" s="6">
        <f>$K$532*$V$532</f>
        <v>0</v>
      </c>
      <c r="AC532" s="6">
        <f>$M$532*$W$532</f>
        <v>76.812889999999996</v>
      </c>
      <c r="AD532" s="6">
        <f>$O$532*$X$532</f>
        <v>27.668409999999998</v>
      </c>
      <c r="AE532" s="6">
        <f>$K$532*$Y$532</f>
        <v>0</v>
      </c>
      <c r="AF532" s="6">
        <f ca="1">$M$532*$Z$532</f>
        <v>84.29643256983185</v>
      </c>
      <c r="AG532" s="6">
        <f>$O$532*$AA$532</f>
        <v>27.930672165177231</v>
      </c>
    </row>
    <row r="533" spans="1:33" ht="11.25" customHeight="1" x14ac:dyDescent="0.25">
      <c r="A533" s="4" t="s">
        <v>55</v>
      </c>
      <c r="B533" s="4" t="s">
        <v>33</v>
      </c>
      <c r="C533" s="4" t="s">
        <v>50</v>
      </c>
      <c r="D533" s="4" t="s">
        <v>49</v>
      </c>
      <c r="E533" s="4" t="s">
        <v>25</v>
      </c>
      <c r="F533" s="4" t="s">
        <v>25</v>
      </c>
      <c r="G533" s="4" t="s">
        <v>25</v>
      </c>
      <c r="H533" s="4" t="s">
        <v>37</v>
      </c>
      <c r="I533" s="5">
        <v>44743</v>
      </c>
      <c r="J533" s="6">
        <v>0</v>
      </c>
      <c r="K533" s="6">
        <v>0</v>
      </c>
      <c r="L533" s="6">
        <v>7.6999999999999999E-2</v>
      </c>
      <c r="M533" s="6">
        <v>7.6999999999999999E-2</v>
      </c>
      <c r="N533" s="6">
        <v>7.6999999999999999E-2</v>
      </c>
      <c r="O533" s="6">
        <v>7.6999999999999999E-2</v>
      </c>
      <c r="P533" s="6">
        <v>0</v>
      </c>
      <c r="Q533" s="4" t="s">
        <v>26</v>
      </c>
      <c r="R533" s="4">
        <v>0</v>
      </c>
      <c r="S533" s="6">
        <v>0</v>
      </c>
      <c r="T533" s="6">
        <v>42</v>
      </c>
      <c r="U533" s="6">
        <v>60</v>
      </c>
      <c r="V533" s="6">
        <f>IF(ISERROR(VLOOKUP($S$533,'TAR FIN'!$A$1:$O$86,15,0)),0,VLOOKUP($S$533,'TAR FIN'!$A$1:$O$86,15,0))</f>
        <v>0</v>
      </c>
      <c r="W533" s="6">
        <f>IF(ISERROR(VLOOKUP($T$533,'TAR FIN'!$A$1:$O$86,15,0)),0,VLOOKUP($T$533,'TAR FIN'!$A$1:$O$86,15,0))</f>
        <v>997.57</v>
      </c>
      <c r="X533" s="6">
        <f>IF(ISERROR(VLOOKUP($U$533,'TAR FIN'!$A$1:$O$86,15,0)),0,VLOOKUP($U$533,'TAR FIN'!$A$1:$O$86,15,0))</f>
        <v>359.33</v>
      </c>
      <c r="Y533" s="6"/>
      <c r="Z533" s="6">
        <f ca="1">('TUSD BE'!$AM$45+'TUSD BF'!$AM$45+'TUSD CVA'!$AM$45)*1</f>
        <v>1094.7588645432709</v>
      </c>
      <c r="AA533" s="6">
        <f>('TE BE'!$AB$36+'TE BF'!$AB$36+'TE CVA'!$AB$36)*1</f>
        <v>362.73600214515886</v>
      </c>
      <c r="AB533" s="6">
        <f>$K$533*$V$533</f>
        <v>0</v>
      </c>
      <c r="AC533" s="6">
        <f>$M$533*$W$533</f>
        <v>76.812889999999996</v>
      </c>
      <c r="AD533" s="6">
        <f>$O$533*$X$533</f>
        <v>27.668409999999998</v>
      </c>
      <c r="AE533" s="6">
        <f>$K$533*$Y$533</f>
        <v>0</v>
      </c>
      <c r="AF533" s="6">
        <f ca="1">$M$533*$Z$533</f>
        <v>84.29643256983185</v>
      </c>
      <c r="AG533" s="6">
        <f>$O$533*$AA$533</f>
        <v>27.930672165177231</v>
      </c>
    </row>
    <row r="534" spans="1:33" ht="11.25" customHeight="1" x14ac:dyDescent="0.25">
      <c r="A534" s="4" t="s">
        <v>21</v>
      </c>
      <c r="B534" s="4" t="s">
        <v>33</v>
      </c>
      <c r="C534" s="4" t="s">
        <v>23</v>
      </c>
      <c r="D534" s="4" t="s">
        <v>40</v>
      </c>
      <c r="E534" s="4" t="s">
        <v>25</v>
      </c>
      <c r="F534" s="4" t="s">
        <v>25</v>
      </c>
      <c r="G534" s="4" t="s">
        <v>25</v>
      </c>
      <c r="H534" s="4" t="s">
        <v>25</v>
      </c>
      <c r="I534" s="5">
        <v>44409</v>
      </c>
      <c r="J534" s="6">
        <v>0</v>
      </c>
      <c r="K534" s="6">
        <v>0</v>
      </c>
      <c r="L534" s="6">
        <v>1481.481</v>
      </c>
      <c r="M534" s="6">
        <v>1481.481</v>
      </c>
      <c r="N534" s="6">
        <v>1481.481</v>
      </c>
      <c r="O534" s="6">
        <v>1481.481</v>
      </c>
      <c r="P534" s="6">
        <v>2811</v>
      </c>
      <c r="Q534" s="4" t="s">
        <v>26</v>
      </c>
      <c r="R534" s="4">
        <v>0</v>
      </c>
      <c r="S534" s="6">
        <v>0</v>
      </c>
      <c r="T534" s="6">
        <v>33</v>
      </c>
      <c r="U534" s="6">
        <v>85</v>
      </c>
      <c r="V534" s="6">
        <f>IF(ISERROR(VLOOKUP($S$534,'TAR FIN'!$A$1:$O$86,15,0)),0,VLOOKUP($S$534,'TAR FIN'!$A$1:$O$86,15,0))</f>
        <v>0</v>
      </c>
      <c r="W534" s="6">
        <f>IF(ISERROR(VLOOKUP($T$534,'TAR FIN'!$A$1:$O$86,15,0)),0,VLOOKUP($T$534,'TAR FIN'!$A$1:$O$86,15,0))</f>
        <v>338.51</v>
      </c>
      <c r="X534" s="6">
        <f>IF(ISERROR(VLOOKUP($U$534,'TAR FIN'!$A$1:$O$86,15,0)),0,VLOOKUP($U$534,'TAR FIN'!$A$1:$O$86,15,0))</f>
        <v>224.01</v>
      </c>
      <c r="Y534" s="6"/>
      <c r="Z534" s="6">
        <f ca="1">('TUSD BE'!$AM$48+'TUSD BF'!$AM$48+'TUSD CVA'!$AM$48)*1</f>
        <v>417.58832886049538</v>
      </c>
      <c r="AA534" s="6">
        <f>('TE BE'!$AB$39+'TE BF'!$AB$39+'TE CVA'!$AB$39)*1</f>
        <v>234.64376439748159</v>
      </c>
      <c r="AB534" s="6">
        <f>$K$534*$V$534</f>
        <v>0</v>
      </c>
      <c r="AC534" s="6">
        <f>$M$534*$W$534</f>
        <v>501496.13331</v>
      </c>
      <c r="AD534" s="6">
        <f>$O$534*$X$534</f>
        <v>331866.55880999996</v>
      </c>
      <c r="AE534" s="6">
        <f>$K$534*$Y$534</f>
        <v>0</v>
      </c>
      <c r="AF534" s="6">
        <f ca="1">$M$534*$Z$534</f>
        <v>618649.17502857558</v>
      </c>
      <c r="AG534" s="6">
        <f>$O$534*$AA$534</f>
        <v>347620.27872334543</v>
      </c>
    </row>
    <row r="535" spans="1:33" ht="11.25" customHeight="1" x14ac:dyDescent="0.25">
      <c r="A535" s="4" t="s">
        <v>27</v>
      </c>
      <c r="B535" s="4" t="s">
        <v>33</v>
      </c>
      <c r="C535" s="4" t="s">
        <v>23</v>
      </c>
      <c r="D535" s="4" t="s">
        <v>40</v>
      </c>
      <c r="E535" s="4" t="s">
        <v>25</v>
      </c>
      <c r="F535" s="4" t="s">
        <v>25</v>
      </c>
      <c r="G535" s="4" t="s">
        <v>25</v>
      </c>
      <c r="H535" s="4" t="s">
        <v>25</v>
      </c>
      <c r="I535" s="5">
        <v>44409</v>
      </c>
      <c r="J535" s="6">
        <v>0</v>
      </c>
      <c r="K535" s="6">
        <v>0</v>
      </c>
      <c r="L535" s="6">
        <v>-3.5790000000000002</v>
      </c>
      <c r="M535" s="6">
        <v>-3.5790000000000002</v>
      </c>
      <c r="N535" s="6">
        <v>-3.5790000000000002</v>
      </c>
      <c r="O535" s="6">
        <v>-3.5790000000000002</v>
      </c>
      <c r="P535" s="6">
        <v>0</v>
      </c>
      <c r="Q535" s="4" t="s">
        <v>26</v>
      </c>
      <c r="R535" s="4">
        <v>0</v>
      </c>
      <c r="S535" s="6">
        <v>0</v>
      </c>
      <c r="T535" s="6">
        <v>33</v>
      </c>
      <c r="U535" s="6">
        <v>85</v>
      </c>
      <c r="V535" s="6">
        <f>IF(ISERROR(VLOOKUP($S$535,'TAR FIN'!$A$1:$O$86,15,0)),0,VLOOKUP($S$535,'TAR FIN'!$A$1:$O$86,15,0))</f>
        <v>0</v>
      </c>
      <c r="W535" s="6">
        <f>IF(ISERROR(VLOOKUP($T$535,'TAR FIN'!$A$1:$O$86,15,0)),0,VLOOKUP($T$535,'TAR FIN'!$A$1:$O$86,15,0))</f>
        <v>338.51</v>
      </c>
      <c r="X535" s="6">
        <f>IF(ISERROR(VLOOKUP($U$535,'TAR FIN'!$A$1:$O$86,15,0)),0,VLOOKUP($U$535,'TAR FIN'!$A$1:$O$86,15,0))</f>
        <v>224.01</v>
      </c>
      <c r="Y535" s="6"/>
      <c r="Z535" s="6">
        <f ca="1">('TUSD BE'!$AM$48+'TUSD BF'!$AM$48+'TUSD CVA'!$AM$48)*1</f>
        <v>417.58832886049538</v>
      </c>
      <c r="AA535" s="6">
        <f>('TE BE'!$AB$39+'TE BF'!$AB$39+'TE CVA'!$AB$39)*1</f>
        <v>234.64376439748159</v>
      </c>
      <c r="AB535" s="6">
        <f>$K$535*$V$535</f>
        <v>0</v>
      </c>
      <c r="AC535" s="6">
        <f>$M$535*$W$535</f>
        <v>-1211.52729</v>
      </c>
      <c r="AD535" s="6">
        <f>$O$535*$X$535</f>
        <v>-801.73179000000005</v>
      </c>
      <c r="AE535" s="6">
        <f>$K$535*$Y$535</f>
        <v>0</v>
      </c>
      <c r="AF535" s="6">
        <f ca="1">$M$535*$Z$535</f>
        <v>-1494.548628991713</v>
      </c>
      <c r="AG535" s="6">
        <f>$O$535*$AA$535</f>
        <v>-839.79003277858669</v>
      </c>
    </row>
    <row r="536" spans="1:33" ht="11.25" customHeight="1" x14ac:dyDescent="0.25">
      <c r="A536" s="4" t="s">
        <v>28</v>
      </c>
      <c r="B536" s="4" t="s">
        <v>33</v>
      </c>
      <c r="C536" s="4" t="s">
        <v>23</v>
      </c>
      <c r="D536" s="4" t="s">
        <v>40</v>
      </c>
      <c r="E536" s="4" t="s">
        <v>25</v>
      </c>
      <c r="F536" s="4" t="s">
        <v>25</v>
      </c>
      <c r="G536" s="4" t="s">
        <v>25</v>
      </c>
      <c r="H536" s="4" t="s">
        <v>25</v>
      </c>
      <c r="I536" s="5">
        <v>44409</v>
      </c>
      <c r="J536" s="6">
        <v>0</v>
      </c>
      <c r="K536" s="6">
        <v>0</v>
      </c>
      <c r="L536" s="6">
        <v>33.616999999999997</v>
      </c>
      <c r="M536" s="6">
        <v>33.616999999999997</v>
      </c>
      <c r="N536" s="6">
        <v>33.616999999999997</v>
      </c>
      <c r="O536" s="6">
        <v>33.616999999999997</v>
      </c>
      <c r="P536" s="6">
        <v>31</v>
      </c>
      <c r="Q536" s="4" t="s">
        <v>26</v>
      </c>
      <c r="R536" s="4">
        <v>0</v>
      </c>
      <c r="S536" s="6">
        <v>0</v>
      </c>
      <c r="T536" s="6">
        <v>33</v>
      </c>
      <c r="U536" s="6">
        <v>85</v>
      </c>
      <c r="V536" s="6">
        <f>IF(ISERROR(VLOOKUP($S$536,'TAR FIN'!$A$1:$O$86,15,0)),0,VLOOKUP($S$536,'TAR FIN'!$A$1:$O$86,15,0))</f>
        <v>0</v>
      </c>
      <c r="W536" s="6">
        <f>IF(ISERROR(VLOOKUP($T$536,'TAR FIN'!$A$1:$O$86,15,0)),0,VLOOKUP($T$536,'TAR FIN'!$A$1:$O$86,15,0))</f>
        <v>338.51</v>
      </c>
      <c r="X536" s="6">
        <f>IF(ISERROR(VLOOKUP($U$536,'TAR FIN'!$A$1:$O$86,15,0)),0,VLOOKUP($U$536,'TAR FIN'!$A$1:$O$86,15,0))</f>
        <v>224.01</v>
      </c>
      <c r="Y536" s="6"/>
      <c r="Z536" s="6">
        <f ca="1">('TUSD BE'!$AM$48+'TUSD BF'!$AM$48+'TUSD CVA'!$AM$48)*1</f>
        <v>417.58832886049538</v>
      </c>
      <c r="AA536" s="6">
        <f>('TE BE'!$AB$39+'TE BF'!$AB$39+'TE CVA'!$AB$39)*1</f>
        <v>234.64376439748159</v>
      </c>
      <c r="AB536" s="6">
        <f>$K$536*$V$536</f>
        <v>0</v>
      </c>
      <c r="AC536" s="6">
        <f>$M$536*$W$536</f>
        <v>11379.690669999998</v>
      </c>
      <c r="AD536" s="6">
        <f>$O$536*$X$536</f>
        <v>7530.5441699999992</v>
      </c>
      <c r="AE536" s="6">
        <f>$K$536*$Y$536</f>
        <v>0</v>
      </c>
      <c r="AF536" s="6">
        <f ca="1">$M$536*$Z$536</f>
        <v>14038.066851303272</v>
      </c>
      <c r="AG536" s="6">
        <f>$O$536*$AA$536</f>
        <v>7888.0194277501378</v>
      </c>
    </row>
    <row r="537" spans="1:33" ht="11.25" customHeight="1" x14ac:dyDescent="0.25">
      <c r="A537" s="4" t="s">
        <v>21</v>
      </c>
      <c r="B537" s="4" t="s">
        <v>33</v>
      </c>
      <c r="C537" s="4" t="s">
        <v>23</v>
      </c>
      <c r="D537" s="4" t="s">
        <v>40</v>
      </c>
      <c r="E537" s="4" t="s">
        <v>25</v>
      </c>
      <c r="F537" s="4" t="s">
        <v>25</v>
      </c>
      <c r="G537" s="4" t="s">
        <v>25</v>
      </c>
      <c r="H537" s="4" t="s">
        <v>25</v>
      </c>
      <c r="I537" s="5">
        <v>44440</v>
      </c>
      <c r="J537" s="6">
        <v>0</v>
      </c>
      <c r="K537" s="6">
        <v>0</v>
      </c>
      <c r="L537" s="6">
        <v>1661.9949999999999</v>
      </c>
      <c r="M537" s="6">
        <v>1661.9949999999999</v>
      </c>
      <c r="N537" s="6">
        <v>1661.9949999999999</v>
      </c>
      <c r="O537" s="6">
        <v>1661.9949999999999</v>
      </c>
      <c r="P537" s="6">
        <v>2838</v>
      </c>
      <c r="Q537" s="4" t="s">
        <v>26</v>
      </c>
      <c r="R537" s="4">
        <v>0</v>
      </c>
      <c r="S537" s="6">
        <v>0</v>
      </c>
      <c r="T537" s="6">
        <v>33</v>
      </c>
      <c r="U537" s="6">
        <v>85</v>
      </c>
      <c r="V537" s="6">
        <f>IF(ISERROR(VLOOKUP($S$537,'TAR FIN'!$A$1:$O$86,15,0)),0,VLOOKUP($S$537,'TAR FIN'!$A$1:$O$86,15,0))</f>
        <v>0</v>
      </c>
      <c r="W537" s="6">
        <f>IF(ISERROR(VLOOKUP($T$537,'TAR FIN'!$A$1:$O$86,15,0)),0,VLOOKUP($T$537,'TAR FIN'!$A$1:$O$86,15,0))</f>
        <v>338.51</v>
      </c>
      <c r="X537" s="6">
        <f>IF(ISERROR(VLOOKUP($U$537,'TAR FIN'!$A$1:$O$86,15,0)),0,VLOOKUP($U$537,'TAR FIN'!$A$1:$O$86,15,0))</f>
        <v>224.01</v>
      </c>
      <c r="Y537" s="6"/>
      <c r="Z537" s="6">
        <f ca="1">('TUSD BE'!$AM$48+'TUSD BF'!$AM$48+'TUSD CVA'!$AM$48)*1</f>
        <v>417.58832886049538</v>
      </c>
      <c r="AA537" s="6">
        <f>('TE BE'!$AB$39+'TE BF'!$AB$39+'TE CVA'!$AB$39)*1</f>
        <v>234.64376439748159</v>
      </c>
      <c r="AB537" s="6">
        <f>$K$537*$V$537</f>
        <v>0</v>
      </c>
      <c r="AC537" s="6">
        <f>$M$537*$W$537</f>
        <v>562601.92744999996</v>
      </c>
      <c r="AD537" s="6">
        <f>$O$537*$X$537</f>
        <v>372303.49994999997</v>
      </c>
      <c r="AE537" s="6">
        <f>$K$537*$Y$537</f>
        <v>0</v>
      </c>
      <c r="AF537" s="6">
        <f ca="1">$M$537*$Z$537</f>
        <v>694029.71462449897</v>
      </c>
      <c r="AG537" s="6">
        <f>$O$537*$AA$537</f>
        <v>389976.76320979238</v>
      </c>
    </row>
    <row r="538" spans="1:33" ht="11.25" customHeight="1" x14ac:dyDescent="0.25">
      <c r="A538" s="4" t="s">
        <v>27</v>
      </c>
      <c r="B538" s="4" t="s">
        <v>33</v>
      </c>
      <c r="C538" s="4" t="s">
        <v>23</v>
      </c>
      <c r="D538" s="4" t="s">
        <v>40</v>
      </c>
      <c r="E538" s="4" t="s">
        <v>25</v>
      </c>
      <c r="F538" s="4" t="s">
        <v>25</v>
      </c>
      <c r="G538" s="4" t="s">
        <v>25</v>
      </c>
      <c r="H538" s="4" t="s">
        <v>25</v>
      </c>
      <c r="I538" s="5">
        <v>44440</v>
      </c>
      <c r="J538" s="6">
        <v>0</v>
      </c>
      <c r="K538" s="6">
        <v>0</v>
      </c>
      <c r="L538" s="6">
        <v>-0.36899999999999999</v>
      </c>
      <c r="M538" s="6">
        <v>-0.36899999999999999</v>
      </c>
      <c r="N538" s="6">
        <v>-0.36899999999999999</v>
      </c>
      <c r="O538" s="6">
        <v>-0.36899999999999999</v>
      </c>
      <c r="P538" s="6">
        <v>0</v>
      </c>
      <c r="Q538" s="4" t="s">
        <v>26</v>
      </c>
      <c r="R538" s="4">
        <v>0</v>
      </c>
      <c r="S538" s="6">
        <v>0</v>
      </c>
      <c r="T538" s="6">
        <v>33</v>
      </c>
      <c r="U538" s="6">
        <v>85</v>
      </c>
      <c r="V538" s="6">
        <f>IF(ISERROR(VLOOKUP($S$538,'TAR FIN'!$A$1:$O$86,15,0)),0,VLOOKUP($S$538,'TAR FIN'!$A$1:$O$86,15,0))</f>
        <v>0</v>
      </c>
      <c r="W538" s="6">
        <f>IF(ISERROR(VLOOKUP($T$538,'TAR FIN'!$A$1:$O$86,15,0)),0,VLOOKUP($T$538,'TAR FIN'!$A$1:$O$86,15,0))</f>
        <v>338.51</v>
      </c>
      <c r="X538" s="6">
        <f>IF(ISERROR(VLOOKUP($U$538,'TAR FIN'!$A$1:$O$86,15,0)),0,VLOOKUP($U$538,'TAR FIN'!$A$1:$O$86,15,0))</f>
        <v>224.01</v>
      </c>
      <c r="Y538" s="6"/>
      <c r="Z538" s="6">
        <f ca="1">('TUSD BE'!$AM$48+'TUSD BF'!$AM$48+'TUSD CVA'!$AM$48)*1</f>
        <v>417.58832886049538</v>
      </c>
      <c r="AA538" s="6">
        <f>('TE BE'!$AB$39+'TE BF'!$AB$39+'TE CVA'!$AB$39)*1</f>
        <v>234.64376439748159</v>
      </c>
      <c r="AB538" s="6">
        <f>$K$538*$V$538</f>
        <v>0</v>
      </c>
      <c r="AC538" s="6">
        <f>$M$538*$W$538</f>
        <v>-124.91019</v>
      </c>
      <c r="AD538" s="6">
        <f>$O$538*$X$538</f>
        <v>-82.659689999999998</v>
      </c>
      <c r="AE538" s="6">
        <f>$K$538*$Y$538</f>
        <v>0</v>
      </c>
      <c r="AF538" s="6">
        <f ca="1">$M$538*$Z$538</f>
        <v>-154.09009334952279</v>
      </c>
      <c r="AG538" s="6">
        <f>$O$538*$AA$538</f>
        <v>-86.583549062670699</v>
      </c>
    </row>
    <row r="539" spans="1:33" ht="11.25" customHeight="1" x14ac:dyDescent="0.25">
      <c r="A539" s="4" t="s">
        <v>28</v>
      </c>
      <c r="B539" s="4" t="s">
        <v>33</v>
      </c>
      <c r="C539" s="4" t="s">
        <v>23</v>
      </c>
      <c r="D539" s="4" t="s">
        <v>40</v>
      </c>
      <c r="E539" s="4" t="s">
        <v>25</v>
      </c>
      <c r="F539" s="4" t="s">
        <v>25</v>
      </c>
      <c r="G539" s="4" t="s">
        <v>25</v>
      </c>
      <c r="H539" s="4" t="s">
        <v>25</v>
      </c>
      <c r="I539" s="5">
        <v>44440</v>
      </c>
      <c r="J539" s="6">
        <v>0</v>
      </c>
      <c r="K539" s="6">
        <v>0</v>
      </c>
      <c r="L539" s="6">
        <v>36.232999999999997</v>
      </c>
      <c r="M539" s="6">
        <v>36.232999999999997</v>
      </c>
      <c r="N539" s="6">
        <v>36.232999999999997</v>
      </c>
      <c r="O539" s="6">
        <v>36.232999999999997</v>
      </c>
      <c r="P539" s="6">
        <v>33</v>
      </c>
      <c r="Q539" s="4" t="s">
        <v>26</v>
      </c>
      <c r="R539" s="4">
        <v>0</v>
      </c>
      <c r="S539" s="6">
        <v>0</v>
      </c>
      <c r="T539" s="6">
        <v>33</v>
      </c>
      <c r="U539" s="6">
        <v>85</v>
      </c>
      <c r="V539" s="6">
        <f>IF(ISERROR(VLOOKUP($S$539,'TAR FIN'!$A$1:$O$86,15,0)),0,VLOOKUP($S$539,'TAR FIN'!$A$1:$O$86,15,0))</f>
        <v>0</v>
      </c>
      <c r="W539" s="6">
        <f>IF(ISERROR(VLOOKUP($T$539,'TAR FIN'!$A$1:$O$86,15,0)),0,VLOOKUP($T$539,'TAR FIN'!$A$1:$O$86,15,0))</f>
        <v>338.51</v>
      </c>
      <c r="X539" s="6">
        <f>IF(ISERROR(VLOOKUP($U$539,'TAR FIN'!$A$1:$O$86,15,0)),0,VLOOKUP($U$539,'TAR FIN'!$A$1:$O$86,15,0))</f>
        <v>224.01</v>
      </c>
      <c r="Y539" s="6"/>
      <c r="Z539" s="6">
        <f ca="1">('TUSD BE'!$AM$48+'TUSD BF'!$AM$48+'TUSD CVA'!$AM$48)*1</f>
        <v>417.58832886049538</v>
      </c>
      <c r="AA539" s="6">
        <f>('TE BE'!$AB$39+'TE BF'!$AB$39+'TE CVA'!$AB$39)*1</f>
        <v>234.64376439748159</v>
      </c>
      <c r="AB539" s="6">
        <f>$K$539*$V$539</f>
        <v>0</v>
      </c>
      <c r="AC539" s="6">
        <f>$M$539*$W$539</f>
        <v>12265.232829999999</v>
      </c>
      <c r="AD539" s="6">
        <f>$O$539*$X$539</f>
        <v>8116.554329999999</v>
      </c>
      <c r="AE539" s="6">
        <f>$K$539*$Y$539</f>
        <v>0</v>
      </c>
      <c r="AF539" s="6">
        <f ca="1">$M$539*$Z$539</f>
        <v>15130.477919602328</v>
      </c>
      <c r="AG539" s="6">
        <f>$O$539*$AA$539</f>
        <v>8501.8475154139505</v>
      </c>
    </row>
    <row r="540" spans="1:33" ht="11.25" customHeight="1" x14ac:dyDescent="0.25">
      <c r="A540" s="4" t="s">
        <v>21</v>
      </c>
      <c r="B540" s="4" t="s">
        <v>33</v>
      </c>
      <c r="C540" s="4" t="s">
        <v>23</v>
      </c>
      <c r="D540" s="4" t="s">
        <v>40</v>
      </c>
      <c r="E540" s="4" t="s">
        <v>25</v>
      </c>
      <c r="F540" s="4" t="s">
        <v>25</v>
      </c>
      <c r="G540" s="4" t="s">
        <v>25</v>
      </c>
      <c r="H540" s="4" t="s">
        <v>25</v>
      </c>
      <c r="I540" s="5">
        <v>44470</v>
      </c>
      <c r="J540" s="6">
        <v>0</v>
      </c>
      <c r="K540" s="6">
        <v>0</v>
      </c>
      <c r="L540" s="6">
        <v>1580.373</v>
      </c>
      <c r="M540" s="6">
        <v>1580.373</v>
      </c>
      <c r="N540" s="6">
        <v>1580.373</v>
      </c>
      <c r="O540" s="6">
        <v>1580.373</v>
      </c>
      <c r="P540" s="6">
        <v>2861</v>
      </c>
      <c r="Q540" s="4" t="s">
        <v>26</v>
      </c>
      <c r="R540" s="4">
        <v>0</v>
      </c>
      <c r="S540" s="6">
        <v>0</v>
      </c>
      <c r="T540" s="6">
        <v>33</v>
      </c>
      <c r="U540" s="6">
        <v>85</v>
      </c>
      <c r="V540" s="6">
        <f>IF(ISERROR(VLOOKUP($S$540,'TAR FIN'!$A$1:$O$86,15,0)),0,VLOOKUP($S$540,'TAR FIN'!$A$1:$O$86,15,0))</f>
        <v>0</v>
      </c>
      <c r="W540" s="6">
        <f>IF(ISERROR(VLOOKUP($T$540,'TAR FIN'!$A$1:$O$86,15,0)),0,VLOOKUP($T$540,'TAR FIN'!$A$1:$O$86,15,0))</f>
        <v>338.51</v>
      </c>
      <c r="X540" s="6">
        <f>IF(ISERROR(VLOOKUP($U$540,'TAR FIN'!$A$1:$O$86,15,0)),0,VLOOKUP($U$540,'TAR FIN'!$A$1:$O$86,15,0))</f>
        <v>224.01</v>
      </c>
      <c r="Y540" s="6"/>
      <c r="Z540" s="6">
        <f ca="1">('TUSD BE'!$AM$48+'TUSD BF'!$AM$48+'TUSD CVA'!$AM$48)*1</f>
        <v>417.58832886049538</v>
      </c>
      <c r="AA540" s="6">
        <f>('TE BE'!$AB$39+'TE BF'!$AB$39+'TE CVA'!$AB$39)*1</f>
        <v>234.64376439748159</v>
      </c>
      <c r="AB540" s="6">
        <f>$K$540*$V$540</f>
        <v>0</v>
      </c>
      <c r="AC540" s="6">
        <f>$M$540*$W$540</f>
        <v>534972.06423000002</v>
      </c>
      <c r="AD540" s="6">
        <f>$O$540*$X$540</f>
        <v>354019.35573000001</v>
      </c>
      <c r="AE540" s="6">
        <f>$K$540*$Y$540</f>
        <v>0</v>
      </c>
      <c r="AF540" s="6">
        <f ca="1">$M$540*$Z$540</f>
        <v>659945.32004624768</v>
      </c>
      <c r="AG540" s="6">
        <f>$O$540*$AA$540</f>
        <v>370824.66987214121</v>
      </c>
    </row>
    <row r="541" spans="1:33" ht="11.25" customHeight="1" x14ac:dyDescent="0.25">
      <c r="A541" s="4" t="s">
        <v>27</v>
      </c>
      <c r="B541" s="4" t="s">
        <v>33</v>
      </c>
      <c r="C541" s="4" t="s">
        <v>23</v>
      </c>
      <c r="D541" s="4" t="s">
        <v>40</v>
      </c>
      <c r="E541" s="4" t="s">
        <v>25</v>
      </c>
      <c r="F541" s="4" t="s">
        <v>25</v>
      </c>
      <c r="G541" s="4" t="s">
        <v>25</v>
      </c>
      <c r="H541" s="4" t="s">
        <v>25</v>
      </c>
      <c r="I541" s="5">
        <v>44470</v>
      </c>
      <c r="J541" s="6">
        <v>0</v>
      </c>
      <c r="K541" s="6">
        <v>0</v>
      </c>
      <c r="L541" s="6">
        <v>-1.498</v>
      </c>
      <c r="M541" s="6">
        <v>-1.498</v>
      </c>
      <c r="N541" s="6">
        <v>-1.498</v>
      </c>
      <c r="O541" s="6">
        <v>-1.498</v>
      </c>
      <c r="P541" s="6">
        <v>0</v>
      </c>
      <c r="Q541" s="4" t="s">
        <v>26</v>
      </c>
      <c r="R541" s="4">
        <v>0</v>
      </c>
      <c r="S541" s="6">
        <v>0</v>
      </c>
      <c r="T541" s="6">
        <v>33</v>
      </c>
      <c r="U541" s="6">
        <v>85</v>
      </c>
      <c r="V541" s="6">
        <f>IF(ISERROR(VLOOKUP($S$541,'TAR FIN'!$A$1:$O$86,15,0)),0,VLOOKUP($S$541,'TAR FIN'!$A$1:$O$86,15,0))</f>
        <v>0</v>
      </c>
      <c r="W541" s="6">
        <f>IF(ISERROR(VLOOKUP($T$541,'TAR FIN'!$A$1:$O$86,15,0)),0,VLOOKUP($T$541,'TAR FIN'!$A$1:$O$86,15,0))</f>
        <v>338.51</v>
      </c>
      <c r="X541" s="6">
        <f>IF(ISERROR(VLOOKUP($U$541,'TAR FIN'!$A$1:$O$86,15,0)),0,VLOOKUP($U$541,'TAR FIN'!$A$1:$O$86,15,0))</f>
        <v>224.01</v>
      </c>
      <c r="Y541" s="6"/>
      <c r="Z541" s="6">
        <f ca="1">('TUSD BE'!$AM$48+'TUSD BF'!$AM$48+'TUSD CVA'!$AM$48)*1</f>
        <v>417.58832886049538</v>
      </c>
      <c r="AA541" s="6">
        <f>('TE BE'!$AB$39+'TE BF'!$AB$39+'TE CVA'!$AB$39)*1</f>
        <v>234.64376439748159</v>
      </c>
      <c r="AB541" s="6">
        <f>$K$541*$V$541</f>
        <v>0</v>
      </c>
      <c r="AC541" s="6">
        <f>$M$541*$W$541</f>
        <v>-507.08797999999996</v>
      </c>
      <c r="AD541" s="6">
        <f>$O$541*$X$541</f>
        <v>-335.56698</v>
      </c>
      <c r="AE541" s="6">
        <f>$K$541*$Y$541</f>
        <v>0</v>
      </c>
      <c r="AF541" s="6">
        <f ca="1">$M$541*$Z$541</f>
        <v>-625.54731663302209</v>
      </c>
      <c r="AG541" s="6">
        <f>$O$541*$AA$541</f>
        <v>-351.49635906742742</v>
      </c>
    </row>
    <row r="542" spans="1:33" ht="11.25" customHeight="1" x14ac:dyDescent="0.25">
      <c r="A542" s="4" t="s">
        <v>28</v>
      </c>
      <c r="B542" s="4" t="s">
        <v>33</v>
      </c>
      <c r="C542" s="4" t="s">
        <v>23</v>
      </c>
      <c r="D542" s="4" t="s">
        <v>40</v>
      </c>
      <c r="E542" s="4" t="s">
        <v>25</v>
      </c>
      <c r="F542" s="4" t="s">
        <v>25</v>
      </c>
      <c r="G542" s="4" t="s">
        <v>25</v>
      </c>
      <c r="H542" s="4" t="s">
        <v>25</v>
      </c>
      <c r="I542" s="5">
        <v>44470</v>
      </c>
      <c r="J542" s="6">
        <v>0</v>
      </c>
      <c r="K542" s="6">
        <v>0</v>
      </c>
      <c r="L542" s="6">
        <v>32.225000000000001</v>
      </c>
      <c r="M542" s="6">
        <v>32.225000000000001</v>
      </c>
      <c r="N542" s="6">
        <v>32.225000000000001</v>
      </c>
      <c r="O542" s="6">
        <v>32.225000000000001</v>
      </c>
      <c r="P542" s="6">
        <v>36</v>
      </c>
      <c r="Q542" s="4" t="s">
        <v>26</v>
      </c>
      <c r="R542" s="4">
        <v>0</v>
      </c>
      <c r="S542" s="6">
        <v>0</v>
      </c>
      <c r="T542" s="6">
        <v>33</v>
      </c>
      <c r="U542" s="6">
        <v>85</v>
      </c>
      <c r="V542" s="6">
        <f>IF(ISERROR(VLOOKUP($S$542,'TAR FIN'!$A$1:$O$86,15,0)),0,VLOOKUP($S$542,'TAR FIN'!$A$1:$O$86,15,0))</f>
        <v>0</v>
      </c>
      <c r="W542" s="6">
        <f>IF(ISERROR(VLOOKUP($T$542,'TAR FIN'!$A$1:$O$86,15,0)),0,VLOOKUP($T$542,'TAR FIN'!$A$1:$O$86,15,0))</f>
        <v>338.51</v>
      </c>
      <c r="X542" s="6">
        <f>IF(ISERROR(VLOOKUP($U$542,'TAR FIN'!$A$1:$O$86,15,0)),0,VLOOKUP($U$542,'TAR FIN'!$A$1:$O$86,15,0))</f>
        <v>224.01</v>
      </c>
      <c r="Y542" s="6"/>
      <c r="Z542" s="6">
        <f ca="1">('TUSD BE'!$AM$48+'TUSD BF'!$AM$48+'TUSD CVA'!$AM$48)*1</f>
        <v>417.58832886049538</v>
      </c>
      <c r="AA542" s="6">
        <f>('TE BE'!$AB$39+'TE BF'!$AB$39+'TE CVA'!$AB$39)*1</f>
        <v>234.64376439748159</v>
      </c>
      <c r="AB542" s="6">
        <f>$K$542*$V$542</f>
        <v>0</v>
      </c>
      <c r="AC542" s="6">
        <f>$M$542*$W$542</f>
        <v>10908.48475</v>
      </c>
      <c r="AD542" s="6">
        <f>$O$542*$X$542</f>
        <v>7218.7222499999998</v>
      </c>
      <c r="AE542" s="6">
        <f>$K$542*$Y$542</f>
        <v>0</v>
      </c>
      <c r="AF542" s="6">
        <f ca="1">$M$542*$Z$542</f>
        <v>13456.783897529464</v>
      </c>
      <c r="AG542" s="6">
        <f>$O$542*$AA$542</f>
        <v>7561.3953077088445</v>
      </c>
    </row>
    <row r="543" spans="1:33" ht="11.25" customHeight="1" x14ac:dyDescent="0.25">
      <c r="A543" s="4" t="s">
        <v>21</v>
      </c>
      <c r="B543" s="4" t="s">
        <v>33</v>
      </c>
      <c r="C543" s="4" t="s">
        <v>23</v>
      </c>
      <c r="D543" s="4" t="s">
        <v>40</v>
      </c>
      <c r="E543" s="4" t="s">
        <v>25</v>
      </c>
      <c r="F543" s="4" t="s">
        <v>25</v>
      </c>
      <c r="G543" s="4" t="s">
        <v>25</v>
      </c>
      <c r="H543" s="4" t="s">
        <v>25</v>
      </c>
      <c r="I543" s="5">
        <v>44501</v>
      </c>
      <c r="J543" s="6">
        <v>0</v>
      </c>
      <c r="K543" s="6">
        <v>0</v>
      </c>
      <c r="L543" s="6">
        <v>1949.5609999999999</v>
      </c>
      <c r="M543" s="6">
        <v>1949.5609999999999</v>
      </c>
      <c r="N543" s="6">
        <v>1949.5609999999999</v>
      </c>
      <c r="O543" s="6">
        <v>1949.5609999999999</v>
      </c>
      <c r="P543" s="6">
        <v>2897</v>
      </c>
      <c r="Q543" s="4" t="s">
        <v>26</v>
      </c>
      <c r="R543" s="4">
        <v>0</v>
      </c>
      <c r="S543" s="6">
        <v>0</v>
      </c>
      <c r="T543" s="6">
        <v>33</v>
      </c>
      <c r="U543" s="6">
        <v>85</v>
      </c>
      <c r="V543" s="6">
        <f>IF(ISERROR(VLOOKUP($S$543,'TAR FIN'!$A$1:$O$86,15,0)),0,VLOOKUP($S$543,'TAR FIN'!$A$1:$O$86,15,0))</f>
        <v>0</v>
      </c>
      <c r="W543" s="6">
        <f>IF(ISERROR(VLOOKUP($T$543,'TAR FIN'!$A$1:$O$86,15,0)),0,VLOOKUP($T$543,'TAR FIN'!$A$1:$O$86,15,0))</f>
        <v>338.51</v>
      </c>
      <c r="X543" s="6">
        <f>IF(ISERROR(VLOOKUP($U$543,'TAR FIN'!$A$1:$O$86,15,0)),0,VLOOKUP($U$543,'TAR FIN'!$A$1:$O$86,15,0))</f>
        <v>224.01</v>
      </c>
      <c r="Y543" s="6"/>
      <c r="Z543" s="6">
        <f ca="1">('TUSD BE'!$AM$48+'TUSD BF'!$AM$48+'TUSD CVA'!$AM$48)*1</f>
        <v>417.58832886049538</v>
      </c>
      <c r="AA543" s="6">
        <f>('TE BE'!$AB$39+'TE BF'!$AB$39+'TE CVA'!$AB$39)*1</f>
        <v>234.64376439748159</v>
      </c>
      <c r="AB543" s="6">
        <f>$K$543*$V$543</f>
        <v>0</v>
      </c>
      <c r="AC543" s="6">
        <f>$M$543*$W$543</f>
        <v>659945.89410999999</v>
      </c>
      <c r="AD543" s="6">
        <f>$O$543*$X$543</f>
        <v>436721.15960999997</v>
      </c>
      <c r="AE543" s="6">
        <f>$K$543*$Y$543</f>
        <v>0</v>
      </c>
      <c r="AF543" s="6">
        <f ca="1">$M$543*$Z$543</f>
        <v>814113.92000159621</v>
      </c>
      <c r="AG543" s="6">
        <f>$O$543*$AA$543</f>
        <v>457452.33196251857</v>
      </c>
    </row>
    <row r="544" spans="1:33" ht="11.25" customHeight="1" x14ac:dyDescent="0.25">
      <c r="A544" s="4" t="s">
        <v>27</v>
      </c>
      <c r="B544" s="4" t="s">
        <v>33</v>
      </c>
      <c r="C544" s="4" t="s">
        <v>23</v>
      </c>
      <c r="D544" s="4" t="s">
        <v>40</v>
      </c>
      <c r="E544" s="4" t="s">
        <v>25</v>
      </c>
      <c r="F544" s="4" t="s">
        <v>25</v>
      </c>
      <c r="G544" s="4" t="s">
        <v>25</v>
      </c>
      <c r="H544" s="4" t="s">
        <v>25</v>
      </c>
      <c r="I544" s="5">
        <v>44501</v>
      </c>
      <c r="J544" s="6">
        <v>0</v>
      </c>
      <c r="K544" s="6">
        <v>0</v>
      </c>
      <c r="L544" s="6">
        <v>-0.27500000000000002</v>
      </c>
      <c r="M544" s="6">
        <v>-0.27500000000000002</v>
      </c>
      <c r="N544" s="6">
        <v>-0.27500000000000002</v>
      </c>
      <c r="O544" s="6">
        <v>-0.27500000000000002</v>
      </c>
      <c r="P544" s="6">
        <v>0</v>
      </c>
      <c r="Q544" s="4" t="s">
        <v>26</v>
      </c>
      <c r="R544" s="4">
        <v>0</v>
      </c>
      <c r="S544" s="6">
        <v>0</v>
      </c>
      <c r="T544" s="6">
        <v>33</v>
      </c>
      <c r="U544" s="6">
        <v>85</v>
      </c>
      <c r="V544" s="6">
        <f>IF(ISERROR(VLOOKUP($S$544,'TAR FIN'!$A$1:$O$86,15,0)),0,VLOOKUP($S$544,'TAR FIN'!$A$1:$O$86,15,0))</f>
        <v>0</v>
      </c>
      <c r="W544" s="6">
        <f>IF(ISERROR(VLOOKUP($T$544,'TAR FIN'!$A$1:$O$86,15,0)),0,VLOOKUP($T$544,'TAR FIN'!$A$1:$O$86,15,0))</f>
        <v>338.51</v>
      </c>
      <c r="X544" s="6">
        <f>IF(ISERROR(VLOOKUP($U$544,'TAR FIN'!$A$1:$O$86,15,0)),0,VLOOKUP($U$544,'TAR FIN'!$A$1:$O$86,15,0))</f>
        <v>224.01</v>
      </c>
      <c r="Y544" s="6"/>
      <c r="Z544" s="6">
        <f ca="1">('TUSD BE'!$AM$48+'TUSD BF'!$AM$48+'TUSD CVA'!$AM$48)*1</f>
        <v>417.58832886049538</v>
      </c>
      <c r="AA544" s="6">
        <f>('TE BE'!$AB$39+'TE BF'!$AB$39+'TE CVA'!$AB$39)*1</f>
        <v>234.64376439748159</v>
      </c>
      <c r="AB544" s="6">
        <f>$K$544*$V$544</f>
        <v>0</v>
      </c>
      <c r="AC544" s="6">
        <f>$M$544*$W$544</f>
        <v>-93.090250000000012</v>
      </c>
      <c r="AD544" s="6">
        <f>$O$544*$X$544</f>
        <v>-61.60275</v>
      </c>
      <c r="AE544" s="6">
        <f>$K$544*$Y$544</f>
        <v>0</v>
      </c>
      <c r="AF544" s="6">
        <f ca="1">$M$544*$Z$544</f>
        <v>-114.83679043663624</v>
      </c>
      <c r="AG544" s="6">
        <f>$O$544*$AA$544</f>
        <v>-64.527035209307442</v>
      </c>
    </row>
    <row r="545" spans="1:33" ht="11.25" customHeight="1" x14ac:dyDescent="0.25">
      <c r="A545" s="4" t="s">
        <v>28</v>
      </c>
      <c r="B545" s="4" t="s">
        <v>33</v>
      </c>
      <c r="C545" s="4" t="s">
        <v>23</v>
      </c>
      <c r="D545" s="4" t="s">
        <v>40</v>
      </c>
      <c r="E545" s="4" t="s">
        <v>25</v>
      </c>
      <c r="F545" s="4" t="s">
        <v>25</v>
      </c>
      <c r="G545" s="4" t="s">
        <v>25</v>
      </c>
      <c r="H545" s="4" t="s">
        <v>25</v>
      </c>
      <c r="I545" s="5">
        <v>44501</v>
      </c>
      <c r="J545" s="6">
        <v>0</v>
      </c>
      <c r="K545" s="6">
        <v>0</v>
      </c>
      <c r="L545" s="6">
        <v>21.347999999999999</v>
      </c>
      <c r="M545" s="6">
        <v>21.347999999999999</v>
      </c>
      <c r="N545" s="6">
        <v>21.347999999999999</v>
      </c>
      <c r="O545" s="6">
        <v>21.347999999999999</v>
      </c>
      <c r="P545" s="6">
        <v>36</v>
      </c>
      <c r="Q545" s="4" t="s">
        <v>26</v>
      </c>
      <c r="R545" s="4">
        <v>0</v>
      </c>
      <c r="S545" s="6">
        <v>0</v>
      </c>
      <c r="T545" s="6">
        <v>33</v>
      </c>
      <c r="U545" s="6">
        <v>85</v>
      </c>
      <c r="V545" s="6">
        <f>IF(ISERROR(VLOOKUP($S$545,'TAR FIN'!$A$1:$O$86,15,0)),0,VLOOKUP($S$545,'TAR FIN'!$A$1:$O$86,15,0))</f>
        <v>0</v>
      </c>
      <c r="W545" s="6">
        <f>IF(ISERROR(VLOOKUP($T$545,'TAR FIN'!$A$1:$O$86,15,0)),0,VLOOKUP($T$545,'TAR FIN'!$A$1:$O$86,15,0))</f>
        <v>338.51</v>
      </c>
      <c r="X545" s="6">
        <f>IF(ISERROR(VLOOKUP($U$545,'TAR FIN'!$A$1:$O$86,15,0)),0,VLOOKUP($U$545,'TAR FIN'!$A$1:$O$86,15,0))</f>
        <v>224.01</v>
      </c>
      <c r="Y545" s="6"/>
      <c r="Z545" s="6">
        <f ca="1">('TUSD BE'!$AM$48+'TUSD BF'!$AM$48+'TUSD CVA'!$AM$48)*1</f>
        <v>417.58832886049538</v>
      </c>
      <c r="AA545" s="6">
        <f>('TE BE'!$AB$39+'TE BF'!$AB$39+'TE CVA'!$AB$39)*1</f>
        <v>234.64376439748159</v>
      </c>
      <c r="AB545" s="6">
        <f>$K$545*$V$545</f>
        <v>0</v>
      </c>
      <c r="AC545" s="6">
        <f>$M$545*$W$545</f>
        <v>7226.5114799999992</v>
      </c>
      <c r="AD545" s="6">
        <f>$O$545*$X$545</f>
        <v>4782.1654799999997</v>
      </c>
      <c r="AE545" s="6">
        <f>$K$545*$Y$545</f>
        <v>0</v>
      </c>
      <c r="AF545" s="6">
        <f ca="1">$M$545*$Z$545</f>
        <v>8914.6756445138544</v>
      </c>
      <c r="AG545" s="6">
        <f>$O$545*$AA$545</f>
        <v>5009.1750823574366</v>
      </c>
    </row>
    <row r="546" spans="1:33" ht="11.25" customHeight="1" x14ac:dyDescent="0.25">
      <c r="A546" s="4" t="s">
        <v>21</v>
      </c>
      <c r="B546" s="4" t="s">
        <v>33</v>
      </c>
      <c r="C546" s="4" t="s">
        <v>23</v>
      </c>
      <c r="D546" s="4" t="s">
        <v>40</v>
      </c>
      <c r="E546" s="4" t="s">
        <v>25</v>
      </c>
      <c r="F546" s="4" t="s">
        <v>25</v>
      </c>
      <c r="G546" s="4" t="s">
        <v>25</v>
      </c>
      <c r="H546" s="4" t="s">
        <v>25</v>
      </c>
      <c r="I546" s="5">
        <v>44531</v>
      </c>
      <c r="J546" s="6">
        <v>0</v>
      </c>
      <c r="K546" s="6">
        <v>0</v>
      </c>
      <c r="L546" s="6">
        <v>1955.549</v>
      </c>
      <c r="M546" s="6">
        <v>1955.549</v>
      </c>
      <c r="N546" s="6">
        <v>1955.549</v>
      </c>
      <c r="O546" s="6">
        <v>1955.549</v>
      </c>
      <c r="P546" s="6">
        <v>2918</v>
      </c>
      <c r="Q546" s="4" t="s">
        <v>26</v>
      </c>
      <c r="R546" s="4">
        <v>0</v>
      </c>
      <c r="S546" s="6">
        <v>0</v>
      </c>
      <c r="T546" s="6">
        <v>33</v>
      </c>
      <c r="U546" s="6">
        <v>85</v>
      </c>
      <c r="V546" s="6">
        <f>IF(ISERROR(VLOOKUP($S$546,'TAR FIN'!$A$1:$O$86,15,0)),0,VLOOKUP($S$546,'TAR FIN'!$A$1:$O$86,15,0))</f>
        <v>0</v>
      </c>
      <c r="W546" s="6">
        <f>IF(ISERROR(VLOOKUP($T$546,'TAR FIN'!$A$1:$O$86,15,0)),0,VLOOKUP($T$546,'TAR FIN'!$A$1:$O$86,15,0))</f>
        <v>338.51</v>
      </c>
      <c r="X546" s="6">
        <f>IF(ISERROR(VLOOKUP($U$546,'TAR FIN'!$A$1:$O$86,15,0)),0,VLOOKUP($U$546,'TAR FIN'!$A$1:$O$86,15,0))</f>
        <v>224.01</v>
      </c>
      <c r="Y546" s="6"/>
      <c r="Z546" s="6">
        <f ca="1">('TUSD BE'!$AM$48+'TUSD BF'!$AM$48+'TUSD CVA'!$AM$48)*1</f>
        <v>417.58832886049538</v>
      </c>
      <c r="AA546" s="6">
        <f>('TE BE'!$AB$39+'TE BF'!$AB$39+'TE CVA'!$AB$39)*1</f>
        <v>234.64376439748159</v>
      </c>
      <c r="AB546" s="6">
        <f>$K$546*$V$546</f>
        <v>0</v>
      </c>
      <c r="AC546" s="6">
        <f>$M$546*$W$546</f>
        <v>661972.89199000003</v>
      </c>
      <c r="AD546" s="6">
        <f>$O$546*$X$546</f>
        <v>438062.53148999996</v>
      </c>
      <c r="AE546" s="6">
        <f>$K$546*$Y$546</f>
        <v>0</v>
      </c>
      <c r="AF546" s="6">
        <f ca="1">$M$546*$Z$546</f>
        <v>816614.43891481287</v>
      </c>
      <c r="AG546" s="6">
        <f>$O$546*$AA$546</f>
        <v>458857.37882373075</v>
      </c>
    </row>
    <row r="547" spans="1:33" ht="11.25" customHeight="1" x14ac:dyDescent="0.25">
      <c r="A547" s="4" t="s">
        <v>27</v>
      </c>
      <c r="B547" s="4" t="s">
        <v>33</v>
      </c>
      <c r="C547" s="4" t="s">
        <v>23</v>
      </c>
      <c r="D547" s="4" t="s">
        <v>40</v>
      </c>
      <c r="E547" s="4" t="s">
        <v>25</v>
      </c>
      <c r="F547" s="4" t="s">
        <v>25</v>
      </c>
      <c r="G547" s="4" t="s">
        <v>25</v>
      </c>
      <c r="H547" s="4" t="s">
        <v>25</v>
      </c>
      <c r="I547" s="5">
        <v>44531</v>
      </c>
      <c r="J547" s="6">
        <v>0</v>
      </c>
      <c r="K547" s="6">
        <v>0</v>
      </c>
      <c r="L547" s="6">
        <v>-0.54100000000000004</v>
      </c>
      <c r="M547" s="6">
        <v>-0.54100000000000004</v>
      </c>
      <c r="N547" s="6">
        <v>-0.54100000000000004</v>
      </c>
      <c r="O547" s="6">
        <v>-0.54100000000000004</v>
      </c>
      <c r="P547" s="6">
        <v>0</v>
      </c>
      <c r="Q547" s="4" t="s">
        <v>26</v>
      </c>
      <c r="R547" s="4">
        <v>0</v>
      </c>
      <c r="S547" s="6">
        <v>0</v>
      </c>
      <c r="T547" s="6">
        <v>33</v>
      </c>
      <c r="U547" s="6">
        <v>85</v>
      </c>
      <c r="V547" s="6">
        <f>IF(ISERROR(VLOOKUP($S$547,'TAR FIN'!$A$1:$O$86,15,0)),0,VLOOKUP($S$547,'TAR FIN'!$A$1:$O$86,15,0))</f>
        <v>0</v>
      </c>
      <c r="W547" s="6">
        <f>IF(ISERROR(VLOOKUP($T$547,'TAR FIN'!$A$1:$O$86,15,0)),0,VLOOKUP($T$547,'TAR FIN'!$A$1:$O$86,15,0))</f>
        <v>338.51</v>
      </c>
      <c r="X547" s="6">
        <f>IF(ISERROR(VLOOKUP($U$547,'TAR FIN'!$A$1:$O$86,15,0)),0,VLOOKUP($U$547,'TAR FIN'!$A$1:$O$86,15,0))</f>
        <v>224.01</v>
      </c>
      <c r="Y547" s="6"/>
      <c r="Z547" s="6">
        <f ca="1">('TUSD BE'!$AM$48+'TUSD BF'!$AM$48+'TUSD CVA'!$AM$48)*1</f>
        <v>417.58832886049538</v>
      </c>
      <c r="AA547" s="6">
        <f>('TE BE'!$AB$39+'TE BF'!$AB$39+'TE CVA'!$AB$39)*1</f>
        <v>234.64376439748159</v>
      </c>
      <c r="AB547" s="6">
        <f>$K$547*$V$547</f>
        <v>0</v>
      </c>
      <c r="AC547" s="6">
        <f>$M$547*$W$547</f>
        <v>-183.13391000000001</v>
      </c>
      <c r="AD547" s="6">
        <f>$O$547*$X$547</f>
        <v>-121.18941000000001</v>
      </c>
      <c r="AE547" s="6">
        <f>$K$547*$Y$547</f>
        <v>0</v>
      </c>
      <c r="AF547" s="6">
        <f ca="1">$M$547*$Z$547</f>
        <v>-225.91528591352801</v>
      </c>
      <c r="AG547" s="6">
        <f>$O$547*$AA$547</f>
        <v>-126.94227653903755</v>
      </c>
    </row>
    <row r="548" spans="1:33" ht="11.25" customHeight="1" x14ac:dyDescent="0.25">
      <c r="A548" s="4" t="s">
        <v>28</v>
      </c>
      <c r="B548" s="4" t="s">
        <v>33</v>
      </c>
      <c r="C548" s="4" t="s">
        <v>23</v>
      </c>
      <c r="D548" s="4" t="s">
        <v>40</v>
      </c>
      <c r="E548" s="4" t="s">
        <v>25</v>
      </c>
      <c r="F548" s="4" t="s">
        <v>25</v>
      </c>
      <c r="G548" s="4" t="s">
        <v>25</v>
      </c>
      <c r="H548" s="4" t="s">
        <v>25</v>
      </c>
      <c r="I548" s="5">
        <v>44531</v>
      </c>
      <c r="J548" s="6">
        <v>0</v>
      </c>
      <c r="K548" s="6">
        <v>0</v>
      </c>
      <c r="L548" s="6">
        <v>22.797000000000001</v>
      </c>
      <c r="M548" s="6">
        <v>22.797000000000001</v>
      </c>
      <c r="N548" s="6">
        <v>22.797000000000001</v>
      </c>
      <c r="O548" s="6">
        <v>22.797000000000001</v>
      </c>
      <c r="P548" s="6">
        <v>35</v>
      </c>
      <c r="Q548" s="4" t="s">
        <v>26</v>
      </c>
      <c r="R548" s="4">
        <v>0</v>
      </c>
      <c r="S548" s="6">
        <v>0</v>
      </c>
      <c r="T548" s="6">
        <v>33</v>
      </c>
      <c r="U548" s="6">
        <v>85</v>
      </c>
      <c r="V548" s="6">
        <f>IF(ISERROR(VLOOKUP($S$548,'TAR FIN'!$A$1:$O$86,15,0)),0,VLOOKUP($S$548,'TAR FIN'!$A$1:$O$86,15,0))</f>
        <v>0</v>
      </c>
      <c r="W548" s="6">
        <f>IF(ISERROR(VLOOKUP($T$548,'TAR FIN'!$A$1:$O$86,15,0)),0,VLOOKUP($T$548,'TAR FIN'!$A$1:$O$86,15,0))</f>
        <v>338.51</v>
      </c>
      <c r="X548" s="6">
        <f>IF(ISERROR(VLOOKUP($U$548,'TAR FIN'!$A$1:$O$86,15,0)),0,VLOOKUP($U$548,'TAR FIN'!$A$1:$O$86,15,0))</f>
        <v>224.01</v>
      </c>
      <c r="Y548" s="6"/>
      <c r="Z548" s="6">
        <f ca="1">('TUSD BE'!$AM$48+'TUSD BF'!$AM$48+'TUSD CVA'!$AM$48)*1</f>
        <v>417.58832886049538</v>
      </c>
      <c r="AA548" s="6">
        <f>('TE BE'!$AB$39+'TE BF'!$AB$39+'TE CVA'!$AB$39)*1</f>
        <v>234.64376439748159</v>
      </c>
      <c r="AB548" s="6">
        <f>$K$548*$V$548</f>
        <v>0</v>
      </c>
      <c r="AC548" s="6">
        <f>$M$548*$W$548</f>
        <v>7717.0124699999997</v>
      </c>
      <c r="AD548" s="6">
        <f>$O$548*$X$548</f>
        <v>5106.7559700000002</v>
      </c>
      <c r="AE548" s="6">
        <f>$K$548*$Y$548</f>
        <v>0</v>
      </c>
      <c r="AF548" s="6">
        <f ca="1">$M$548*$Z$548</f>
        <v>9519.7611330327127</v>
      </c>
      <c r="AG548" s="6">
        <f>$O$548*$AA$548</f>
        <v>5349.1738969693879</v>
      </c>
    </row>
    <row r="549" spans="1:33" ht="11.25" customHeight="1" x14ac:dyDescent="0.25">
      <c r="A549" s="4" t="s">
        <v>21</v>
      </c>
      <c r="B549" s="4" t="s">
        <v>33</v>
      </c>
      <c r="C549" s="4" t="s">
        <v>23</v>
      </c>
      <c r="D549" s="4" t="s">
        <v>40</v>
      </c>
      <c r="E549" s="4" t="s">
        <v>25</v>
      </c>
      <c r="F549" s="4" t="s">
        <v>25</v>
      </c>
      <c r="G549" s="4" t="s">
        <v>25</v>
      </c>
      <c r="H549" s="4" t="s">
        <v>25</v>
      </c>
      <c r="I549" s="5">
        <v>44562</v>
      </c>
      <c r="J549" s="6">
        <v>0</v>
      </c>
      <c r="K549" s="6">
        <v>0</v>
      </c>
      <c r="L549" s="6">
        <v>2394.1460000000002</v>
      </c>
      <c r="M549" s="6">
        <v>2394.1460000000002</v>
      </c>
      <c r="N549" s="6">
        <v>2394.1460000000002</v>
      </c>
      <c r="O549" s="6">
        <v>2394.1460000000002</v>
      </c>
      <c r="P549" s="6">
        <v>2952</v>
      </c>
      <c r="Q549" s="4" t="s">
        <v>26</v>
      </c>
      <c r="R549" s="4">
        <v>0</v>
      </c>
      <c r="S549" s="6">
        <v>0</v>
      </c>
      <c r="T549" s="6">
        <v>33</v>
      </c>
      <c r="U549" s="6">
        <v>85</v>
      </c>
      <c r="V549" s="6">
        <f>IF(ISERROR(VLOOKUP($S$549,'TAR FIN'!$A$1:$O$86,15,0)),0,VLOOKUP($S$549,'TAR FIN'!$A$1:$O$86,15,0))</f>
        <v>0</v>
      </c>
      <c r="W549" s="6">
        <f>IF(ISERROR(VLOOKUP($T$549,'TAR FIN'!$A$1:$O$86,15,0)),0,VLOOKUP($T$549,'TAR FIN'!$A$1:$O$86,15,0))</f>
        <v>338.51</v>
      </c>
      <c r="X549" s="6">
        <f>IF(ISERROR(VLOOKUP($U$549,'TAR FIN'!$A$1:$O$86,15,0)),0,VLOOKUP($U$549,'TAR FIN'!$A$1:$O$86,15,0))</f>
        <v>224.01</v>
      </c>
      <c r="Y549" s="6"/>
      <c r="Z549" s="6">
        <f ca="1">('TUSD BE'!$AM$48+'TUSD BF'!$AM$48+'TUSD CVA'!$AM$48)*1</f>
        <v>417.58832886049538</v>
      </c>
      <c r="AA549" s="6">
        <f>('TE BE'!$AB$39+'TE BF'!$AB$39+'TE CVA'!$AB$39)*1</f>
        <v>234.64376439748159</v>
      </c>
      <c r="AB549" s="6">
        <f>$K$549*$V$549</f>
        <v>0</v>
      </c>
      <c r="AC549" s="6">
        <f>$M$549*$W$549</f>
        <v>810442.36246000009</v>
      </c>
      <c r="AD549" s="6">
        <f>$O$549*$X$549</f>
        <v>536312.64546000003</v>
      </c>
      <c r="AE549" s="6">
        <f>$K$549*$Y$549</f>
        <v>0</v>
      </c>
      <c r="AF549" s="6">
        <f ca="1">$M$549*$Z$549</f>
        <v>999767.42718803964</v>
      </c>
      <c r="AG549" s="6">
        <f>$O$549*$AA$549</f>
        <v>561771.42995717295</v>
      </c>
    </row>
    <row r="550" spans="1:33" ht="11.25" customHeight="1" x14ac:dyDescent="0.25">
      <c r="A550" s="4" t="s">
        <v>27</v>
      </c>
      <c r="B550" s="4" t="s">
        <v>33</v>
      </c>
      <c r="C550" s="4" t="s">
        <v>23</v>
      </c>
      <c r="D550" s="4" t="s">
        <v>40</v>
      </c>
      <c r="E550" s="4" t="s">
        <v>25</v>
      </c>
      <c r="F550" s="4" t="s">
        <v>25</v>
      </c>
      <c r="G550" s="4" t="s">
        <v>25</v>
      </c>
      <c r="H550" s="4" t="s">
        <v>25</v>
      </c>
      <c r="I550" s="5">
        <v>44562</v>
      </c>
      <c r="J550" s="6">
        <v>0</v>
      </c>
      <c r="K550" s="6">
        <v>0</v>
      </c>
      <c r="L550" s="6">
        <v>8.0440000000000005</v>
      </c>
      <c r="M550" s="6">
        <v>8.0440000000000005</v>
      </c>
      <c r="N550" s="6">
        <v>8.0440000000000005</v>
      </c>
      <c r="O550" s="6">
        <v>8.0440000000000005</v>
      </c>
      <c r="P550" s="6">
        <v>0</v>
      </c>
      <c r="Q550" s="4" t="s">
        <v>26</v>
      </c>
      <c r="R550" s="4">
        <v>0</v>
      </c>
      <c r="S550" s="6">
        <v>0</v>
      </c>
      <c r="T550" s="6">
        <v>33</v>
      </c>
      <c r="U550" s="6">
        <v>85</v>
      </c>
      <c r="V550" s="6">
        <f>IF(ISERROR(VLOOKUP($S$550,'TAR FIN'!$A$1:$O$86,15,0)),0,VLOOKUP($S$550,'TAR FIN'!$A$1:$O$86,15,0))</f>
        <v>0</v>
      </c>
      <c r="W550" s="6">
        <f>IF(ISERROR(VLOOKUP($T$550,'TAR FIN'!$A$1:$O$86,15,0)),0,VLOOKUP($T$550,'TAR FIN'!$A$1:$O$86,15,0))</f>
        <v>338.51</v>
      </c>
      <c r="X550" s="6">
        <f>IF(ISERROR(VLOOKUP($U$550,'TAR FIN'!$A$1:$O$86,15,0)),0,VLOOKUP($U$550,'TAR FIN'!$A$1:$O$86,15,0))</f>
        <v>224.01</v>
      </c>
      <c r="Y550" s="6"/>
      <c r="Z550" s="6">
        <f ca="1">('TUSD BE'!$AM$48+'TUSD BF'!$AM$48+'TUSD CVA'!$AM$48)*1</f>
        <v>417.58832886049538</v>
      </c>
      <c r="AA550" s="6">
        <f>('TE BE'!$AB$39+'TE BF'!$AB$39+'TE CVA'!$AB$39)*1</f>
        <v>234.64376439748159</v>
      </c>
      <c r="AB550" s="6">
        <f>$K$550*$V$550</f>
        <v>0</v>
      </c>
      <c r="AC550" s="6">
        <f>$M$550*$W$550</f>
        <v>2722.97444</v>
      </c>
      <c r="AD550" s="6">
        <f>$O$550*$X$550</f>
        <v>1801.9364399999999</v>
      </c>
      <c r="AE550" s="6">
        <f>$K$550*$Y$550</f>
        <v>0</v>
      </c>
      <c r="AF550" s="6">
        <f ca="1">$M$550*$Z$550</f>
        <v>3359.0805173538251</v>
      </c>
      <c r="AG550" s="6">
        <f>$O$550*$AA$550</f>
        <v>1887.474440813342</v>
      </c>
    </row>
    <row r="551" spans="1:33" ht="11.25" customHeight="1" x14ac:dyDescent="0.25">
      <c r="A551" s="4" t="s">
        <v>28</v>
      </c>
      <c r="B551" s="4" t="s">
        <v>33</v>
      </c>
      <c r="C551" s="4" t="s">
        <v>23</v>
      </c>
      <c r="D551" s="4" t="s">
        <v>40</v>
      </c>
      <c r="E551" s="4" t="s">
        <v>25</v>
      </c>
      <c r="F551" s="4" t="s">
        <v>25</v>
      </c>
      <c r="G551" s="4" t="s">
        <v>25</v>
      </c>
      <c r="H551" s="4" t="s">
        <v>25</v>
      </c>
      <c r="I551" s="5">
        <v>44562</v>
      </c>
      <c r="J551" s="6">
        <v>0</v>
      </c>
      <c r="K551" s="6">
        <v>0</v>
      </c>
      <c r="L551" s="6">
        <v>25.462</v>
      </c>
      <c r="M551" s="6">
        <v>25.462</v>
      </c>
      <c r="N551" s="6">
        <v>25.462</v>
      </c>
      <c r="O551" s="6">
        <v>25.462</v>
      </c>
      <c r="P551" s="6">
        <v>37</v>
      </c>
      <c r="Q551" s="4" t="s">
        <v>26</v>
      </c>
      <c r="R551" s="4">
        <v>0</v>
      </c>
      <c r="S551" s="6">
        <v>0</v>
      </c>
      <c r="T551" s="6">
        <v>33</v>
      </c>
      <c r="U551" s="6">
        <v>85</v>
      </c>
      <c r="V551" s="6">
        <f>IF(ISERROR(VLOOKUP($S$551,'TAR FIN'!$A$1:$O$86,15,0)),0,VLOOKUP($S$551,'TAR FIN'!$A$1:$O$86,15,0))</f>
        <v>0</v>
      </c>
      <c r="W551" s="6">
        <f>IF(ISERROR(VLOOKUP($T$551,'TAR FIN'!$A$1:$O$86,15,0)),0,VLOOKUP($T$551,'TAR FIN'!$A$1:$O$86,15,0))</f>
        <v>338.51</v>
      </c>
      <c r="X551" s="6">
        <f>IF(ISERROR(VLOOKUP($U$551,'TAR FIN'!$A$1:$O$86,15,0)),0,VLOOKUP($U$551,'TAR FIN'!$A$1:$O$86,15,0))</f>
        <v>224.01</v>
      </c>
      <c r="Y551" s="6"/>
      <c r="Z551" s="6">
        <f ca="1">('TUSD BE'!$AM$48+'TUSD BF'!$AM$48+'TUSD CVA'!$AM$48)*1</f>
        <v>417.58832886049538</v>
      </c>
      <c r="AA551" s="6">
        <f>('TE BE'!$AB$39+'TE BF'!$AB$39+'TE CVA'!$AB$39)*1</f>
        <v>234.64376439748159</v>
      </c>
      <c r="AB551" s="6">
        <f>$K$551*$V$551</f>
        <v>0</v>
      </c>
      <c r="AC551" s="6">
        <f>$M$551*$W$551</f>
        <v>8619.1416200000003</v>
      </c>
      <c r="AD551" s="6">
        <f>$O$551*$X$551</f>
        <v>5703.74262</v>
      </c>
      <c r="AE551" s="6">
        <f>$K$551*$Y$551</f>
        <v>0</v>
      </c>
      <c r="AF551" s="6">
        <f ca="1">$M$551*$Z$551</f>
        <v>10632.634029445933</v>
      </c>
      <c r="AG551" s="6">
        <f>$O$551*$AA$551</f>
        <v>5974.4995290886764</v>
      </c>
    </row>
    <row r="552" spans="1:33" ht="11.25" customHeight="1" x14ac:dyDescent="0.25">
      <c r="A552" s="4" t="s">
        <v>21</v>
      </c>
      <c r="B552" s="4" t="s">
        <v>33</v>
      </c>
      <c r="C552" s="4" t="s">
        <v>23</v>
      </c>
      <c r="D552" s="4" t="s">
        <v>40</v>
      </c>
      <c r="E552" s="4" t="s">
        <v>25</v>
      </c>
      <c r="F552" s="4" t="s">
        <v>25</v>
      </c>
      <c r="G552" s="4" t="s">
        <v>25</v>
      </c>
      <c r="H552" s="4" t="s">
        <v>25</v>
      </c>
      <c r="I552" s="5">
        <v>44593</v>
      </c>
      <c r="J552" s="6">
        <v>0</v>
      </c>
      <c r="K552" s="6">
        <v>0</v>
      </c>
      <c r="L552" s="6">
        <v>2488.9639999999999</v>
      </c>
      <c r="M552" s="6">
        <v>2488.9639999999999</v>
      </c>
      <c r="N552" s="6">
        <v>2488.9639999999999</v>
      </c>
      <c r="O552" s="6">
        <v>2488.9639999999999</v>
      </c>
      <c r="P552" s="6">
        <v>2959</v>
      </c>
      <c r="Q552" s="4" t="s">
        <v>26</v>
      </c>
      <c r="R552" s="4">
        <v>0</v>
      </c>
      <c r="S552" s="6">
        <v>0</v>
      </c>
      <c r="T552" s="6">
        <v>33</v>
      </c>
      <c r="U552" s="6">
        <v>85</v>
      </c>
      <c r="V552" s="6">
        <f>IF(ISERROR(VLOOKUP($S$552,'TAR FIN'!$A$1:$O$86,15,0)),0,VLOOKUP($S$552,'TAR FIN'!$A$1:$O$86,15,0))</f>
        <v>0</v>
      </c>
      <c r="W552" s="6">
        <f>IF(ISERROR(VLOOKUP($T$552,'TAR FIN'!$A$1:$O$86,15,0)),0,VLOOKUP($T$552,'TAR FIN'!$A$1:$O$86,15,0))</f>
        <v>338.51</v>
      </c>
      <c r="X552" s="6">
        <f>IF(ISERROR(VLOOKUP($U$552,'TAR FIN'!$A$1:$O$86,15,0)),0,VLOOKUP($U$552,'TAR FIN'!$A$1:$O$86,15,0))</f>
        <v>224.01</v>
      </c>
      <c r="Y552" s="6"/>
      <c r="Z552" s="6">
        <f ca="1">('TUSD BE'!$AM$48+'TUSD BF'!$AM$48+'TUSD CVA'!$AM$48)*1</f>
        <v>417.58832886049538</v>
      </c>
      <c r="AA552" s="6">
        <f>('TE BE'!$AB$39+'TE BF'!$AB$39+'TE CVA'!$AB$39)*1</f>
        <v>234.64376439748159</v>
      </c>
      <c r="AB552" s="6">
        <f>$K$552*$V$552</f>
        <v>0</v>
      </c>
      <c r="AC552" s="6">
        <f>$M$552*$W$552</f>
        <v>842539.20363999996</v>
      </c>
      <c r="AD552" s="6">
        <f>$O$552*$X$552</f>
        <v>557552.82563999994</v>
      </c>
      <c r="AE552" s="6">
        <f>$K$552*$Y$552</f>
        <v>0</v>
      </c>
      <c r="AF552" s="6">
        <f ca="1">$M$552*$Z$552</f>
        <v>1039362.317353934</v>
      </c>
      <c r="AG552" s="6">
        <f>$O$552*$AA$552</f>
        <v>584019.88240981335</v>
      </c>
    </row>
    <row r="553" spans="1:33" ht="11.25" customHeight="1" x14ac:dyDescent="0.25">
      <c r="A553" s="4" t="s">
        <v>27</v>
      </c>
      <c r="B553" s="4" t="s">
        <v>33</v>
      </c>
      <c r="C553" s="4" t="s">
        <v>23</v>
      </c>
      <c r="D553" s="4" t="s">
        <v>40</v>
      </c>
      <c r="E553" s="4" t="s">
        <v>25</v>
      </c>
      <c r="F553" s="4" t="s">
        <v>25</v>
      </c>
      <c r="G553" s="4" t="s">
        <v>25</v>
      </c>
      <c r="H553" s="4" t="s">
        <v>25</v>
      </c>
      <c r="I553" s="5">
        <v>44593</v>
      </c>
      <c r="J553" s="6">
        <v>0</v>
      </c>
      <c r="K553" s="6">
        <v>0</v>
      </c>
      <c r="L553" s="6">
        <v>1.1240000000000001</v>
      </c>
      <c r="M553" s="6">
        <v>1.1240000000000001</v>
      </c>
      <c r="N553" s="6">
        <v>1.1240000000000001</v>
      </c>
      <c r="O553" s="6">
        <v>1.1240000000000001</v>
      </c>
      <c r="P553" s="6">
        <v>0</v>
      </c>
      <c r="Q553" s="4" t="s">
        <v>26</v>
      </c>
      <c r="R553" s="4">
        <v>0</v>
      </c>
      <c r="S553" s="6">
        <v>0</v>
      </c>
      <c r="T553" s="6">
        <v>33</v>
      </c>
      <c r="U553" s="6">
        <v>85</v>
      </c>
      <c r="V553" s="6">
        <f>IF(ISERROR(VLOOKUP($S$553,'TAR FIN'!$A$1:$O$86,15,0)),0,VLOOKUP($S$553,'TAR FIN'!$A$1:$O$86,15,0))</f>
        <v>0</v>
      </c>
      <c r="W553" s="6">
        <f>IF(ISERROR(VLOOKUP($T$553,'TAR FIN'!$A$1:$O$86,15,0)),0,VLOOKUP($T$553,'TAR FIN'!$A$1:$O$86,15,0))</f>
        <v>338.51</v>
      </c>
      <c r="X553" s="6">
        <f>IF(ISERROR(VLOOKUP($U$553,'TAR FIN'!$A$1:$O$86,15,0)),0,VLOOKUP($U$553,'TAR FIN'!$A$1:$O$86,15,0))</f>
        <v>224.01</v>
      </c>
      <c r="Y553" s="6"/>
      <c r="Z553" s="6">
        <f ca="1">('TUSD BE'!$AM$48+'TUSD BF'!$AM$48+'TUSD CVA'!$AM$48)*1</f>
        <v>417.58832886049538</v>
      </c>
      <c r="AA553" s="6">
        <f>('TE BE'!$AB$39+'TE BF'!$AB$39+'TE CVA'!$AB$39)*1</f>
        <v>234.64376439748159</v>
      </c>
      <c r="AB553" s="6">
        <f>$K$553*$V$553</f>
        <v>0</v>
      </c>
      <c r="AC553" s="6">
        <f>$M$553*$W$553</f>
        <v>380.48524000000003</v>
      </c>
      <c r="AD553" s="6">
        <f>$O$553*$X$553</f>
        <v>251.78724000000003</v>
      </c>
      <c r="AE553" s="6">
        <f>$K$553*$Y$553</f>
        <v>0</v>
      </c>
      <c r="AF553" s="6">
        <f ca="1">$M$553*$Z$553</f>
        <v>469.36928163919686</v>
      </c>
      <c r="AG553" s="6">
        <f>$O$553*$AA$553</f>
        <v>263.73959118276935</v>
      </c>
    </row>
    <row r="554" spans="1:33" ht="11.25" customHeight="1" x14ac:dyDescent="0.25">
      <c r="A554" s="4" t="s">
        <v>28</v>
      </c>
      <c r="B554" s="4" t="s">
        <v>33</v>
      </c>
      <c r="C554" s="4" t="s">
        <v>23</v>
      </c>
      <c r="D554" s="4" t="s">
        <v>40</v>
      </c>
      <c r="E554" s="4" t="s">
        <v>25</v>
      </c>
      <c r="F554" s="4" t="s">
        <v>25</v>
      </c>
      <c r="G554" s="4" t="s">
        <v>25</v>
      </c>
      <c r="H554" s="4" t="s">
        <v>25</v>
      </c>
      <c r="I554" s="5">
        <v>44593</v>
      </c>
      <c r="J554" s="6">
        <v>0</v>
      </c>
      <c r="K554" s="6">
        <v>0</v>
      </c>
      <c r="L554" s="6">
        <v>33.875999999999998</v>
      </c>
      <c r="M554" s="6">
        <v>33.875999999999998</v>
      </c>
      <c r="N554" s="6">
        <v>33.875999999999998</v>
      </c>
      <c r="O554" s="6">
        <v>33.875999999999998</v>
      </c>
      <c r="P554" s="6">
        <v>40</v>
      </c>
      <c r="Q554" s="4" t="s">
        <v>26</v>
      </c>
      <c r="R554" s="4">
        <v>0</v>
      </c>
      <c r="S554" s="6">
        <v>0</v>
      </c>
      <c r="T554" s="6">
        <v>33</v>
      </c>
      <c r="U554" s="6">
        <v>85</v>
      </c>
      <c r="V554" s="6">
        <f>IF(ISERROR(VLOOKUP($S$554,'TAR FIN'!$A$1:$O$86,15,0)),0,VLOOKUP($S$554,'TAR FIN'!$A$1:$O$86,15,0))</f>
        <v>0</v>
      </c>
      <c r="W554" s="6">
        <f>IF(ISERROR(VLOOKUP($T$554,'TAR FIN'!$A$1:$O$86,15,0)),0,VLOOKUP($T$554,'TAR FIN'!$A$1:$O$86,15,0))</f>
        <v>338.51</v>
      </c>
      <c r="X554" s="6">
        <f>IF(ISERROR(VLOOKUP($U$554,'TAR FIN'!$A$1:$O$86,15,0)),0,VLOOKUP($U$554,'TAR FIN'!$A$1:$O$86,15,0))</f>
        <v>224.01</v>
      </c>
      <c r="Y554" s="6"/>
      <c r="Z554" s="6">
        <f ca="1">('TUSD BE'!$AM$48+'TUSD BF'!$AM$48+'TUSD CVA'!$AM$48)*1</f>
        <v>417.58832886049538</v>
      </c>
      <c r="AA554" s="6">
        <f>('TE BE'!$AB$39+'TE BF'!$AB$39+'TE CVA'!$AB$39)*1</f>
        <v>234.64376439748159</v>
      </c>
      <c r="AB554" s="6">
        <f>$K$554*$V$554</f>
        <v>0</v>
      </c>
      <c r="AC554" s="6">
        <f>$M$554*$W$554</f>
        <v>11467.364759999999</v>
      </c>
      <c r="AD554" s="6">
        <f>$O$554*$X$554</f>
        <v>7588.5627599999989</v>
      </c>
      <c r="AE554" s="6">
        <f>$K$554*$Y$554</f>
        <v>0</v>
      </c>
      <c r="AF554" s="6">
        <f ca="1">$M$554*$Z$554</f>
        <v>14146.22222847814</v>
      </c>
      <c r="AG554" s="6">
        <f>$O$554*$AA$554</f>
        <v>7948.7921627290862</v>
      </c>
    </row>
    <row r="555" spans="1:33" ht="11.25" customHeight="1" x14ac:dyDescent="0.25">
      <c r="A555" s="4" t="s">
        <v>21</v>
      </c>
      <c r="B555" s="4" t="s">
        <v>33</v>
      </c>
      <c r="C555" s="4" t="s">
        <v>23</v>
      </c>
      <c r="D555" s="4" t="s">
        <v>40</v>
      </c>
      <c r="E555" s="4" t="s">
        <v>25</v>
      </c>
      <c r="F555" s="4" t="s">
        <v>25</v>
      </c>
      <c r="G555" s="4" t="s">
        <v>25</v>
      </c>
      <c r="H555" s="4" t="s">
        <v>25</v>
      </c>
      <c r="I555" s="5">
        <v>44621</v>
      </c>
      <c r="J555" s="6">
        <v>0</v>
      </c>
      <c r="K555" s="6">
        <v>0</v>
      </c>
      <c r="L555" s="6">
        <v>2283.8829999999998</v>
      </c>
      <c r="M555" s="6">
        <v>2283.8829999999998</v>
      </c>
      <c r="N555" s="6">
        <v>2283.8829999999998</v>
      </c>
      <c r="O555" s="6">
        <v>2283.8829999999998</v>
      </c>
      <c r="P555" s="6">
        <v>2949</v>
      </c>
      <c r="Q555" s="4" t="s">
        <v>26</v>
      </c>
      <c r="R555" s="4">
        <v>0</v>
      </c>
      <c r="S555" s="6">
        <v>0</v>
      </c>
      <c r="T555" s="6">
        <v>33</v>
      </c>
      <c r="U555" s="6">
        <v>85</v>
      </c>
      <c r="V555" s="6">
        <f>IF(ISERROR(VLOOKUP($S$555,'TAR FIN'!$A$1:$O$86,15,0)),0,VLOOKUP($S$555,'TAR FIN'!$A$1:$O$86,15,0))</f>
        <v>0</v>
      </c>
      <c r="W555" s="6">
        <f>IF(ISERROR(VLOOKUP($T$555,'TAR FIN'!$A$1:$O$86,15,0)),0,VLOOKUP($T$555,'TAR FIN'!$A$1:$O$86,15,0))</f>
        <v>338.51</v>
      </c>
      <c r="X555" s="6">
        <f>IF(ISERROR(VLOOKUP($U$555,'TAR FIN'!$A$1:$O$86,15,0)),0,VLOOKUP($U$555,'TAR FIN'!$A$1:$O$86,15,0))</f>
        <v>224.01</v>
      </c>
      <c r="Y555" s="6"/>
      <c r="Z555" s="6">
        <f ca="1">('TUSD BE'!$AM$48+'TUSD BF'!$AM$48+'TUSD CVA'!$AM$48)*1</f>
        <v>417.58832886049538</v>
      </c>
      <c r="AA555" s="6">
        <f>('TE BE'!$AB$39+'TE BF'!$AB$39+'TE CVA'!$AB$39)*1</f>
        <v>234.64376439748159</v>
      </c>
      <c r="AB555" s="6">
        <f>$K$555*$V$555</f>
        <v>0</v>
      </c>
      <c r="AC555" s="6">
        <f>$M$555*$W$555</f>
        <v>773117.23432999989</v>
      </c>
      <c r="AD555" s="6">
        <f>$O$555*$X$555</f>
        <v>511612.63082999992</v>
      </c>
      <c r="AE555" s="6">
        <f>$K$555*$Y$555</f>
        <v>0</v>
      </c>
      <c r="AF555" s="6">
        <f ca="1">$M$555*$Z$555</f>
        <v>953722.88528289471</v>
      </c>
      <c r="AG555" s="6">
        <f>$O$555*$AA$555</f>
        <v>535898.90456341335</v>
      </c>
    </row>
    <row r="556" spans="1:33" ht="11.25" customHeight="1" x14ac:dyDescent="0.25">
      <c r="A556" s="4" t="s">
        <v>27</v>
      </c>
      <c r="B556" s="4" t="s">
        <v>33</v>
      </c>
      <c r="C556" s="4" t="s">
        <v>23</v>
      </c>
      <c r="D556" s="4" t="s">
        <v>40</v>
      </c>
      <c r="E556" s="4" t="s">
        <v>25</v>
      </c>
      <c r="F556" s="4" t="s">
        <v>25</v>
      </c>
      <c r="G556" s="4" t="s">
        <v>25</v>
      </c>
      <c r="H556" s="4" t="s">
        <v>25</v>
      </c>
      <c r="I556" s="5">
        <v>44621</v>
      </c>
      <c r="J556" s="6">
        <v>0</v>
      </c>
      <c r="K556" s="6">
        <v>0</v>
      </c>
      <c r="L556" s="6">
        <v>1.954</v>
      </c>
      <c r="M556" s="6">
        <v>1.954</v>
      </c>
      <c r="N556" s="6">
        <v>1.954</v>
      </c>
      <c r="O556" s="6">
        <v>1.954</v>
      </c>
      <c r="P556" s="6">
        <v>0</v>
      </c>
      <c r="Q556" s="4" t="s">
        <v>26</v>
      </c>
      <c r="R556" s="4">
        <v>0</v>
      </c>
      <c r="S556" s="6">
        <v>0</v>
      </c>
      <c r="T556" s="6">
        <v>33</v>
      </c>
      <c r="U556" s="6">
        <v>85</v>
      </c>
      <c r="V556" s="6">
        <f>IF(ISERROR(VLOOKUP($S$556,'TAR FIN'!$A$1:$O$86,15,0)),0,VLOOKUP($S$556,'TAR FIN'!$A$1:$O$86,15,0))</f>
        <v>0</v>
      </c>
      <c r="W556" s="6">
        <f>IF(ISERROR(VLOOKUP($T$556,'TAR FIN'!$A$1:$O$86,15,0)),0,VLOOKUP($T$556,'TAR FIN'!$A$1:$O$86,15,0))</f>
        <v>338.51</v>
      </c>
      <c r="X556" s="6">
        <f>IF(ISERROR(VLOOKUP($U$556,'TAR FIN'!$A$1:$O$86,15,0)),0,VLOOKUP($U$556,'TAR FIN'!$A$1:$O$86,15,0))</f>
        <v>224.01</v>
      </c>
      <c r="Y556" s="6"/>
      <c r="Z556" s="6">
        <f ca="1">('TUSD BE'!$AM$48+'TUSD BF'!$AM$48+'TUSD CVA'!$AM$48)*1</f>
        <v>417.58832886049538</v>
      </c>
      <c r="AA556" s="6">
        <f>('TE BE'!$AB$39+'TE BF'!$AB$39+'TE CVA'!$AB$39)*1</f>
        <v>234.64376439748159</v>
      </c>
      <c r="AB556" s="6">
        <f>$K$556*$V$556</f>
        <v>0</v>
      </c>
      <c r="AC556" s="6">
        <f>$M$556*$W$556</f>
        <v>661.44853999999998</v>
      </c>
      <c r="AD556" s="6">
        <f>$O$556*$X$556</f>
        <v>437.71553999999998</v>
      </c>
      <c r="AE556" s="6">
        <f>$K$556*$Y$556</f>
        <v>0</v>
      </c>
      <c r="AF556" s="6">
        <f ca="1">$M$556*$Z$556</f>
        <v>815.96759459340797</v>
      </c>
      <c r="AG556" s="6">
        <f>$O$556*$AA$556</f>
        <v>458.49391563267903</v>
      </c>
    </row>
    <row r="557" spans="1:33" ht="11.25" customHeight="1" x14ac:dyDescent="0.25">
      <c r="A557" s="4" t="s">
        <v>28</v>
      </c>
      <c r="B557" s="4" t="s">
        <v>33</v>
      </c>
      <c r="C557" s="4" t="s">
        <v>23</v>
      </c>
      <c r="D557" s="4" t="s">
        <v>40</v>
      </c>
      <c r="E557" s="4" t="s">
        <v>25</v>
      </c>
      <c r="F557" s="4" t="s">
        <v>25</v>
      </c>
      <c r="G557" s="4" t="s">
        <v>25</v>
      </c>
      <c r="H557" s="4" t="s">
        <v>25</v>
      </c>
      <c r="I557" s="5">
        <v>44621</v>
      </c>
      <c r="J557" s="6">
        <v>0</v>
      </c>
      <c r="K557" s="6">
        <v>0</v>
      </c>
      <c r="L557" s="6">
        <v>48.832000000000001</v>
      </c>
      <c r="M557" s="6">
        <v>48.832000000000001</v>
      </c>
      <c r="N557" s="6">
        <v>48.832000000000001</v>
      </c>
      <c r="O557" s="6">
        <v>48.832000000000001</v>
      </c>
      <c r="P557" s="6">
        <v>44</v>
      </c>
      <c r="Q557" s="4" t="s">
        <v>26</v>
      </c>
      <c r="R557" s="4">
        <v>0</v>
      </c>
      <c r="S557" s="6">
        <v>0</v>
      </c>
      <c r="T557" s="6">
        <v>33</v>
      </c>
      <c r="U557" s="6">
        <v>85</v>
      </c>
      <c r="V557" s="6">
        <f>IF(ISERROR(VLOOKUP($S$557,'TAR FIN'!$A$1:$O$86,15,0)),0,VLOOKUP($S$557,'TAR FIN'!$A$1:$O$86,15,0))</f>
        <v>0</v>
      </c>
      <c r="W557" s="6">
        <f>IF(ISERROR(VLOOKUP($T$557,'TAR FIN'!$A$1:$O$86,15,0)),0,VLOOKUP($T$557,'TAR FIN'!$A$1:$O$86,15,0))</f>
        <v>338.51</v>
      </c>
      <c r="X557" s="6">
        <f>IF(ISERROR(VLOOKUP($U$557,'TAR FIN'!$A$1:$O$86,15,0)),0,VLOOKUP($U$557,'TAR FIN'!$A$1:$O$86,15,0))</f>
        <v>224.01</v>
      </c>
      <c r="Y557" s="6"/>
      <c r="Z557" s="6">
        <f ca="1">('TUSD BE'!$AM$48+'TUSD BF'!$AM$48+'TUSD CVA'!$AM$48)*1</f>
        <v>417.58832886049538</v>
      </c>
      <c r="AA557" s="6">
        <f>('TE BE'!$AB$39+'TE BF'!$AB$39+'TE CVA'!$AB$39)*1</f>
        <v>234.64376439748159</v>
      </c>
      <c r="AB557" s="6">
        <f>$K$557*$V$557</f>
        <v>0</v>
      </c>
      <c r="AC557" s="6">
        <f>$M$557*$W$557</f>
        <v>16530.120319999998</v>
      </c>
      <c r="AD557" s="6">
        <f>$O$557*$X$557</f>
        <v>10938.856319999999</v>
      </c>
      <c r="AE557" s="6">
        <f>$K$557*$Y$557</f>
        <v>0</v>
      </c>
      <c r="AF557" s="6">
        <f ca="1">$M$557*$Z$557</f>
        <v>20391.673274915709</v>
      </c>
      <c r="AG557" s="6">
        <f>$O$557*$AA$557</f>
        <v>11458.124303057821</v>
      </c>
    </row>
    <row r="558" spans="1:33" ht="11.25" customHeight="1" x14ac:dyDescent="0.25">
      <c r="A558" s="4" t="s">
        <v>21</v>
      </c>
      <c r="B558" s="4" t="s">
        <v>33</v>
      </c>
      <c r="C558" s="4" t="s">
        <v>23</v>
      </c>
      <c r="D558" s="4" t="s">
        <v>40</v>
      </c>
      <c r="E558" s="4" t="s">
        <v>25</v>
      </c>
      <c r="F558" s="4" t="s">
        <v>25</v>
      </c>
      <c r="G558" s="4" t="s">
        <v>25</v>
      </c>
      <c r="H558" s="4" t="s">
        <v>25</v>
      </c>
      <c r="I558" s="5">
        <v>44652</v>
      </c>
      <c r="J558" s="6">
        <v>0</v>
      </c>
      <c r="K558" s="6">
        <v>0</v>
      </c>
      <c r="L558" s="6">
        <v>2069.9580000000001</v>
      </c>
      <c r="M558" s="6">
        <v>2069.9580000000001</v>
      </c>
      <c r="N558" s="6">
        <v>2069.9580000000001</v>
      </c>
      <c r="O558" s="6">
        <v>2069.9580000000001</v>
      </c>
      <c r="P558" s="6">
        <v>2966</v>
      </c>
      <c r="Q558" s="4" t="s">
        <v>26</v>
      </c>
      <c r="R558" s="4">
        <v>0</v>
      </c>
      <c r="S558" s="6">
        <v>0</v>
      </c>
      <c r="T558" s="6">
        <v>33</v>
      </c>
      <c r="U558" s="6">
        <v>85</v>
      </c>
      <c r="V558" s="6">
        <f>IF(ISERROR(VLOOKUP($S$558,'TAR FIN'!$A$1:$O$86,15,0)),0,VLOOKUP($S$558,'TAR FIN'!$A$1:$O$86,15,0))</f>
        <v>0</v>
      </c>
      <c r="W558" s="6">
        <f>IF(ISERROR(VLOOKUP($T$558,'TAR FIN'!$A$1:$O$86,15,0)),0,VLOOKUP($T$558,'TAR FIN'!$A$1:$O$86,15,0))</f>
        <v>338.51</v>
      </c>
      <c r="X558" s="6">
        <f>IF(ISERROR(VLOOKUP($U$558,'TAR FIN'!$A$1:$O$86,15,0)),0,VLOOKUP($U$558,'TAR FIN'!$A$1:$O$86,15,0))</f>
        <v>224.01</v>
      </c>
      <c r="Y558" s="6"/>
      <c r="Z558" s="6">
        <f ca="1">('TUSD BE'!$AM$48+'TUSD BF'!$AM$48+'TUSD CVA'!$AM$48)*1</f>
        <v>417.58832886049538</v>
      </c>
      <c r="AA558" s="6">
        <f>('TE BE'!$AB$39+'TE BF'!$AB$39+'TE CVA'!$AB$39)*1</f>
        <v>234.64376439748159</v>
      </c>
      <c r="AB558" s="6">
        <f>$K$558*$V$558</f>
        <v>0</v>
      </c>
      <c r="AC558" s="6">
        <f>$M$558*$W$558</f>
        <v>700701.48257999995</v>
      </c>
      <c r="AD558" s="6">
        <f>$O$558*$X$558</f>
        <v>463691.29158000002</v>
      </c>
      <c r="AE558" s="6">
        <f>$K$558*$Y$558</f>
        <v>0</v>
      </c>
      <c r="AF558" s="6">
        <f ca="1">$M$558*$Z$558</f>
        <v>864390.3020314133</v>
      </c>
      <c r="AG558" s="6">
        <f>$O$558*$AA$558</f>
        <v>485702.73726468219</v>
      </c>
    </row>
    <row r="559" spans="1:33" ht="11.25" customHeight="1" x14ac:dyDescent="0.25">
      <c r="A559" s="4" t="s">
        <v>27</v>
      </c>
      <c r="B559" s="4" t="s">
        <v>33</v>
      </c>
      <c r="C559" s="4" t="s">
        <v>23</v>
      </c>
      <c r="D559" s="4" t="s">
        <v>40</v>
      </c>
      <c r="E559" s="4" t="s">
        <v>25</v>
      </c>
      <c r="F559" s="4" t="s">
        <v>25</v>
      </c>
      <c r="G559" s="4" t="s">
        <v>25</v>
      </c>
      <c r="H559" s="4" t="s">
        <v>25</v>
      </c>
      <c r="I559" s="5">
        <v>44652</v>
      </c>
      <c r="J559" s="6">
        <v>0</v>
      </c>
      <c r="K559" s="6">
        <v>0</v>
      </c>
      <c r="L559" s="6">
        <v>0.53100000000000003</v>
      </c>
      <c r="M559" s="6">
        <v>0.53100000000000003</v>
      </c>
      <c r="N559" s="6">
        <v>0.53100000000000003</v>
      </c>
      <c r="O559" s="6">
        <v>0.53100000000000003</v>
      </c>
      <c r="P559" s="6">
        <v>0</v>
      </c>
      <c r="Q559" s="4" t="s">
        <v>26</v>
      </c>
      <c r="R559" s="4">
        <v>0</v>
      </c>
      <c r="S559" s="6">
        <v>0</v>
      </c>
      <c r="T559" s="6">
        <v>33</v>
      </c>
      <c r="U559" s="6">
        <v>85</v>
      </c>
      <c r="V559" s="6">
        <f>IF(ISERROR(VLOOKUP($S$559,'TAR FIN'!$A$1:$O$86,15,0)),0,VLOOKUP($S$559,'TAR FIN'!$A$1:$O$86,15,0))</f>
        <v>0</v>
      </c>
      <c r="W559" s="6">
        <f>IF(ISERROR(VLOOKUP($T$559,'TAR FIN'!$A$1:$O$86,15,0)),0,VLOOKUP($T$559,'TAR FIN'!$A$1:$O$86,15,0))</f>
        <v>338.51</v>
      </c>
      <c r="X559" s="6">
        <f>IF(ISERROR(VLOOKUP($U$559,'TAR FIN'!$A$1:$O$86,15,0)),0,VLOOKUP($U$559,'TAR FIN'!$A$1:$O$86,15,0))</f>
        <v>224.01</v>
      </c>
      <c r="Y559" s="6"/>
      <c r="Z559" s="6">
        <f ca="1">('TUSD BE'!$AM$48+'TUSD BF'!$AM$48+'TUSD CVA'!$AM$48)*1</f>
        <v>417.58832886049538</v>
      </c>
      <c r="AA559" s="6">
        <f>('TE BE'!$AB$39+'TE BF'!$AB$39+'TE CVA'!$AB$39)*1</f>
        <v>234.64376439748159</v>
      </c>
      <c r="AB559" s="6">
        <f>$K$559*$V$559</f>
        <v>0</v>
      </c>
      <c r="AC559" s="6">
        <f>$M$559*$W$559</f>
        <v>179.74880999999999</v>
      </c>
      <c r="AD559" s="6">
        <f>$O$559*$X$559</f>
        <v>118.94931</v>
      </c>
      <c r="AE559" s="6">
        <f>$K$559*$Y$559</f>
        <v>0</v>
      </c>
      <c r="AF559" s="6">
        <f ca="1">$M$559*$Z$559</f>
        <v>221.73940262492306</v>
      </c>
      <c r="AG559" s="6">
        <f>$O$559*$AA$559</f>
        <v>124.59583889506273</v>
      </c>
    </row>
    <row r="560" spans="1:33" ht="11.25" customHeight="1" x14ac:dyDescent="0.25">
      <c r="A560" s="4" t="s">
        <v>28</v>
      </c>
      <c r="B560" s="4" t="s">
        <v>33</v>
      </c>
      <c r="C560" s="4" t="s">
        <v>23</v>
      </c>
      <c r="D560" s="4" t="s">
        <v>40</v>
      </c>
      <c r="E560" s="4" t="s">
        <v>25</v>
      </c>
      <c r="F560" s="4" t="s">
        <v>25</v>
      </c>
      <c r="G560" s="4" t="s">
        <v>25</v>
      </c>
      <c r="H560" s="4" t="s">
        <v>25</v>
      </c>
      <c r="I560" s="5">
        <v>44652</v>
      </c>
      <c r="J560" s="6">
        <v>0</v>
      </c>
      <c r="K560" s="6">
        <v>0</v>
      </c>
      <c r="L560" s="6">
        <v>52.225000000000001</v>
      </c>
      <c r="M560" s="6">
        <v>52.225000000000001</v>
      </c>
      <c r="N560" s="6">
        <v>52.225000000000001</v>
      </c>
      <c r="O560" s="6">
        <v>52.225000000000001</v>
      </c>
      <c r="P560" s="6">
        <v>47</v>
      </c>
      <c r="Q560" s="4" t="s">
        <v>26</v>
      </c>
      <c r="R560" s="4">
        <v>0</v>
      </c>
      <c r="S560" s="6">
        <v>0</v>
      </c>
      <c r="T560" s="6">
        <v>33</v>
      </c>
      <c r="U560" s="6">
        <v>85</v>
      </c>
      <c r="V560" s="6">
        <f>IF(ISERROR(VLOOKUP($S$560,'TAR FIN'!$A$1:$O$86,15,0)),0,VLOOKUP($S$560,'TAR FIN'!$A$1:$O$86,15,0))</f>
        <v>0</v>
      </c>
      <c r="W560" s="6">
        <f>IF(ISERROR(VLOOKUP($T$560,'TAR FIN'!$A$1:$O$86,15,0)),0,VLOOKUP($T$560,'TAR FIN'!$A$1:$O$86,15,0))</f>
        <v>338.51</v>
      </c>
      <c r="X560" s="6">
        <f>IF(ISERROR(VLOOKUP($U$560,'TAR FIN'!$A$1:$O$86,15,0)),0,VLOOKUP($U$560,'TAR FIN'!$A$1:$O$86,15,0))</f>
        <v>224.01</v>
      </c>
      <c r="Y560" s="6"/>
      <c r="Z560" s="6">
        <f ca="1">('TUSD BE'!$AM$48+'TUSD BF'!$AM$48+'TUSD CVA'!$AM$48)*1</f>
        <v>417.58832886049538</v>
      </c>
      <c r="AA560" s="6">
        <f>('TE BE'!$AB$39+'TE BF'!$AB$39+'TE CVA'!$AB$39)*1</f>
        <v>234.64376439748159</v>
      </c>
      <c r="AB560" s="6">
        <f>$K$560*$V$560</f>
        <v>0</v>
      </c>
      <c r="AC560" s="6">
        <f>$M$560*$W$560</f>
        <v>17678.68475</v>
      </c>
      <c r="AD560" s="6">
        <f>$O$560*$X$560</f>
        <v>11698.92225</v>
      </c>
      <c r="AE560" s="6">
        <f>$K$560*$Y$560</f>
        <v>0</v>
      </c>
      <c r="AF560" s="6">
        <f ca="1">$M$560*$Z$560</f>
        <v>21808.550474739372</v>
      </c>
      <c r="AG560" s="6">
        <f>$O$560*$AA$560</f>
        <v>12254.270595658476</v>
      </c>
    </row>
    <row r="561" spans="1:33" ht="11.25" customHeight="1" x14ac:dyDescent="0.25">
      <c r="A561" s="4" t="s">
        <v>21</v>
      </c>
      <c r="B561" s="4" t="s">
        <v>33</v>
      </c>
      <c r="C561" s="4" t="s">
        <v>23</v>
      </c>
      <c r="D561" s="4" t="s">
        <v>40</v>
      </c>
      <c r="E561" s="4" t="s">
        <v>25</v>
      </c>
      <c r="F561" s="4" t="s">
        <v>25</v>
      </c>
      <c r="G561" s="4" t="s">
        <v>25</v>
      </c>
      <c r="H561" s="4" t="s">
        <v>25</v>
      </c>
      <c r="I561" s="5">
        <v>44682</v>
      </c>
      <c r="J561" s="6">
        <v>0</v>
      </c>
      <c r="K561" s="6">
        <v>0</v>
      </c>
      <c r="L561" s="6">
        <v>1746.81</v>
      </c>
      <c r="M561" s="6">
        <v>1746.81</v>
      </c>
      <c r="N561" s="6">
        <v>1746.81</v>
      </c>
      <c r="O561" s="6">
        <v>1746.81</v>
      </c>
      <c r="P561" s="6">
        <v>2962</v>
      </c>
      <c r="Q561" s="4" t="s">
        <v>26</v>
      </c>
      <c r="R561" s="4">
        <v>0</v>
      </c>
      <c r="S561" s="6">
        <v>0</v>
      </c>
      <c r="T561" s="6">
        <v>33</v>
      </c>
      <c r="U561" s="6">
        <v>85</v>
      </c>
      <c r="V561" s="6">
        <f>IF(ISERROR(VLOOKUP($S$561,'TAR FIN'!$A$1:$O$86,15,0)),0,VLOOKUP($S$561,'TAR FIN'!$A$1:$O$86,15,0))</f>
        <v>0</v>
      </c>
      <c r="W561" s="6">
        <f>IF(ISERROR(VLOOKUP($T$561,'TAR FIN'!$A$1:$O$86,15,0)),0,VLOOKUP($T$561,'TAR FIN'!$A$1:$O$86,15,0))</f>
        <v>338.51</v>
      </c>
      <c r="X561" s="6">
        <f>IF(ISERROR(VLOOKUP($U$561,'TAR FIN'!$A$1:$O$86,15,0)),0,VLOOKUP($U$561,'TAR FIN'!$A$1:$O$86,15,0))</f>
        <v>224.01</v>
      </c>
      <c r="Y561" s="6"/>
      <c r="Z561" s="6">
        <f ca="1">('TUSD BE'!$AM$48+'TUSD BF'!$AM$48+'TUSD CVA'!$AM$48)*1</f>
        <v>417.58832886049538</v>
      </c>
      <c r="AA561" s="6">
        <f>('TE BE'!$AB$39+'TE BF'!$AB$39+'TE CVA'!$AB$39)*1</f>
        <v>234.64376439748159</v>
      </c>
      <c r="AB561" s="6">
        <f>$K$561*$V$561</f>
        <v>0</v>
      </c>
      <c r="AC561" s="6">
        <f>$M$561*$W$561</f>
        <v>591312.6531</v>
      </c>
      <c r="AD561" s="6">
        <f>$O$561*$X$561</f>
        <v>391302.9081</v>
      </c>
      <c r="AE561" s="6">
        <f>$K$561*$Y$561</f>
        <v>0</v>
      </c>
      <c r="AF561" s="6">
        <f ca="1">$M$561*$Z$561</f>
        <v>729447.46873680188</v>
      </c>
      <c r="AG561" s="6">
        <f>$O$561*$AA$561</f>
        <v>409878.07408716483</v>
      </c>
    </row>
    <row r="562" spans="1:33" ht="11.25" customHeight="1" x14ac:dyDescent="0.25">
      <c r="A562" s="4" t="s">
        <v>27</v>
      </c>
      <c r="B562" s="4" t="s">
        <v>33</v>
      </c>
      <c r="C562" s="4" t="s">
        <v>23</v>
      </c>
      <c r="D562" s="4" t="s">
        <v>40</v>
      </c>
      <c r="E562" s="4" t="s">
        <v>25</v>
      </c>
      <c r="F562" s="4" t="s">
        <v>25</v>
      </c>
      <c r="G562" s="4" t="s">
        <v>25</v>
      </c>
      <c r="H562" s="4" t="s">
        <v>25</v>
      </c>
      <c r="I562" s="5">
        <v>44682</v>
      </c>
      <c r="J562" s="6">
        <v>0</v>
      </c>
      <c r="K562" s="6">
        <v>0</v>
      </c>
      <c r="L562" s="6">
        <v>-1.7529999999999999</v>
      </c>
      <c r="M562" s="6">
        <v>-1.7529999999999999</v>
      </c>
      <c r="N562" s="6">
        <v>-1.7529999999999999</v>
      </c>
      <c r="O562" s="6">
        <v>-1.7529999999999999</v>
      </c>
      <c r="P562" s="6">
        <v>0</v>
      </c>
      <c r="Q562" s="4" t="s">
        <v>26</v>
      </c>
      <c r="R562" s="4">
        <v>0</v>
      </c>
      <c r="S562" s="6">
        <v>0</v>
      </c>
      <c r="T562" s="6">
        <v>33</v>
      </c>
      <c r="U562" s="6">
        <v>85</v>
      </c>
      <c r="V562" s="6">
        <f>IF(ISERROR(VLOOKUP($S$562,'TAR FIN'!$A$1:$O$86,15,0)),0,VLOOKUP($S$562,'TAR FIN'!$A$1:$O$86,15,0))</f>
        <v>0</v>
      </c>
      <c r="W562" s="6">
        <f>IF(ISERROR(VLOOKUP($T$562,'TAR FIN'!$A$1:$O$86,15,0)),0,VLOOKUP($T$562,'TAR FIN'!$A$1:$O$86,15,0))</f>
        <v>338.51</v>
      </c>
      <c r="X562" s="6">
        <f>IF(ISERROR(VLOOKUP($U$562,'TAR FIN'!$A$1:$O$86,15,0)),0,VLOOKUP($U$562,'TAR FIN'!$A$1:$O$86,15,0))</f>
        <v>224.01</v>
      </c>
      <c r="Y562" s="6"/>
      <c r="Z562" s="6">
        <f ca="1">('TUSD BE'!$AM$48+'TUSD BF'!$AM$48+'TUSD CVA'!$AM$48)*1</f>
        <v>417.58832886049538</v>
      </c>
      <c r="AA562" s="6">
        <f>('TE BE'!$AB$39+'TE BF'!$AB$39+'TE CVA'!$AB$39)*1</f>
        <v>234.64376439748159</v>
      </c>
      <c r="AB562" s="6">
        <f>$K$562*$V$562</f>
        <v>0</v>
      </c>
      <c r="AC562" s="6">
        <f>$M$562*$W$562</f>
        <v>-593.40802999999994</v>
      </c>
      <c r="AD562" s="6">
        <f>$O$562*$X$562</f>
        <v>-392.68952999999993</v>
      </c>
      <c r="AE562" s="6">
        <f>$K$562*$Y$562</f>
        <v>0</v>
      </c>
      <c r="AF562" s="6">
        <f ca="1">$M$562*$Z$562</f>
        <v>-732.03234049244838</v>
      </c>
      <c r="AG562" s="6">
        <f>$O$562*$AA$562</f>
        <v>-411.33051898878523</v>
      </c>
    </row>
    <row r="563" spans="1:33" ht="11.25" customHeight="1" x14ac:dyDescent="0.25">
      <c r="A563" s="4" t="s">
        <v>28</v>
      </c>
      <c r="B563" s="4" t="s">
        <v>33</v>
      </c>
      <c r="C563" s="4" t="s">
        <v>23</v>
      </c>
      <c r="D563" s="4" t="s">
        <v>40</v>
      </c>
      <c r="E563" s="4" t="s">
        <v>25</v>
      </c>
      <c r="F563" s="4" t="s">
        <v>25</v>
      </c>
      <c r="G563" s="4" t="s">
        <v>25</v>
      </c>
      <c r="H563" s="4" t="s">
        <v>25</v>
      </c>
      <c r="I563" s="5">
        <v>44682</v>
      </c>
      <c r="J563" s="6">
        <v>0</v>
      </c>
      <c r="K563" s="6">
        <v>0</v>
      </c>
      <c r="L563" s="6">
        <v>62.741</v>
      </c>
      <c r="M563" s="6">
        <v>62.741</v>
      </c>
      <c r="N563" s="6">
        <v>62.741</v>
      </c>
      <c r="O563" s="6">
        <v>62.741</v>
      </c>
      <c r="P563" s="6">
        <v>52</v>
      </c>
      <c r="Q563" s="4" t="s">
        <v>26</v>
      </c>
      <c r="R563" s="4">
        <v>0</v>
      </c>
      <c r="S563" s="6">
        <v>0</v>
      </c>
      <c r="T563" s="6">
        <v>33</v>
      </c>
      <c r="U563" s="6">
        <v>85</v>
      </c>
      <c r="V563" s="6">
        <f>IF(ISERROR(VLOOKUP($S$563,'TAR FIN'!$A$1:$O$86,15,0)),0,VLOOKUP($S$563,'TAR FIN'!$A$1:$O$86,15,0))</f>
        <v>0</v>
      </c>
      <c r="W563" s="6">
        <f>IF(ISERROR(VLOOKUP($T$563,'TAR FIN'!$A$1:$O$86,15,0)),0,VLOOKUP($T$563,'TAR FIN'!$A$1:$O$86,15,0))</f>
        <v>338.51</v>
      </c>
      <c r="X563" s="6">
        <f>IF(ISERROR(VLOOKUP($U$563,'TAR FIN'!$A$1:$O$86,15,0)),0,VLOOKUP($U$563,'TAR FIN'!$A$1:$O$86,15,0))</f>
        <v>224.01</v>
      </c>
      <c r="Y563" s="6"/>
      <c r="Z563" s="6">
        <f ca="1">('TUSD BE'!$AM$48+'TUSD BF'!$AM$48+'TUSD CVA'!$AM$48)*1</f>
        <v>417.58832886049538</v>
      </c>
      <c r="AA563" s="6">
        <f>('TE BE'!$AB$39+'TE BF'!$AB$39+'TE CVA'!$AB$39)*1</f>
        <v>234.64376439748159</v>
      </c>
      <c r="AB563" s="6">
        <f>$K$563*$V$563</f>
        <v>0</v>
      </c>
      <c r="AC563" s="6">
        <f>$M$563*$W$563</f>
        <v>21238.455910000001</v>
      </c>
      <c r="AD563" s="6">
        <f>$O$563*$X$563</f>
        <v>14054.61141</v>
      </c>
      <c r="AE563" s="6">
        <f>$K$563*$Y$563</f>
        <v>0</v>
      </c>
      <c r="AF563" s="6">
        <f ca="1">$M$563*$Z$563</f>
        <v>26199.909341036342</v>
      </c>
      <c r="AG563" s="6">
        <f>$O$563*$AA$563</f>
        <v>14721.784422062392</v>
      </c>
    </row>
    <row r="564" spans="1:33" ht="11.25" customHeight="1" x14ac:dyDescent="0.25">
      <c r="A564" s="4" t="s">
        <v>21</v>
      </c>
      <c r="B564" s="4" t="s">
        <v>33</v>
      </c>
      <c r="C564" s="4" t="s">
        <v>23</v>
      </c>
      <c r="D564" s="4" t="s">
        <v>40</v>
      </c>
      <c r="E564" s="4" t="s">
        <v>25</v>
      </c>
      <c r="F564" s="4" t="s">
        <v>25</v>
      </c>
      <c r="G564" s="4" t="s">
        <v>25</v>
      </c>
      <c r="H564" s="4" t="s">
        <v>25</v>
      </c>
      <c r="I564" s="5">
        <v>44713</v>
      </c>
      <c r="J564" s="6">
        <v>0</v>
      </c>
      <c r="K564" s="6">
        <v>0</v>
      </c>
      <c r="L564" s="6">
        <v>1601.3679999999999</v>
      </c>
      <c r="M564" s="6">
        <v>1601.3679999999999</v>
      </c>
      <c r="N564" s="6">
        <v>1601.3679999999999</v>
      </c>
      <c r="O564" s="6">
        <v>1601.3679999999999</v>
      </c>
      <c r="P564" s="6">
        <v>2964</v>
      </c>
      <c r="Q564" s="4" t="s">
        <v>26</v>
      </c>
      <c r="R564" s="4">
        <v>0</v>
      </c>
      <c r="S564" s="6">
        <v>0</v>
      </c>
      <c r="T564" s="6">
        <v>33</v>
      </c>
      <c r="U564" s="6">
        <v>85</v>
      </c>
      <c r="V564" s="6">
        <f>IF(ISERROR(VLOOKUP($S$564,'TAR FIN'!$A$1:$O$86,15,0)),0,VLOOKUP($S$564,'TAR FIN'!$A$1:$O$86,15,0))</f>
        <v>0</v>
      </c>
      <c r="W564" s="6">
        <f>IF(ISERROR(VLOOKUP($T$564,'TAR FIN'!$A$1:$O$86,15,0)),0,VLOOKUP($T$564,'TAR FIN'!$A$1:$O$86,15,0))</f>
        <v>338.51</v>
      </c>
      <c r="X564" s="6">
        <f>IF(ISERROR(VLOOKUP($U$564,'TAR FIN'!$A$1:$O$86,15,0)),0,VLOOKUP($U$564,'TAR FIN'!$A$1:$O$86,15,0))</f>
        <v>224.01</v>
      </c>
      <c r="Y564" s="6"/>
      <c r="Z564" s="6">
        <f ca="1">('TUSD BE'!$AM$48+'TUSD BF'!$AM$48+'TUSD CVA'!$AM$48)*1</f>
        <v>417.58832886049538</v>
      </c>
      <c r="AA564" s="6">
        <f>('TE BE'!$AB$39+'TE BF'!$AB$39+'TE CVA'!$AB$39)*1</f>
        <v>234.64376439748159</v>
      </c>
      <c r="AB564" s="6">
        <f>$K$564*$V$564</f>
        <v>0</v>
      </c>
      <c r="AC564" s="6">
        <f>$M$564*$W$564</f>
        <v>542079.08167999994</v>
      </c>
      <c r="AD564" s="6">
        <f>$O$564*$X$564</f>
        <v>358722.44567999995</v>
      </c>
      <c r="AE564" s="6">
        <f>$K$564*$Y$564</f>
        <v>0</v>
      </c>
      <c r="AF564" s="6">
        <f ca="1">$M$564*$Z$564</f>
        <v>668712.58701067371</v>
      </c>
      <c r="AG564" s="6">
        <f>$O$564*$AA$564</f>
        <v>375751.01570566627</v>
      </c>
    </row>
    <row r="565" spans="1:33" ht="11.25" customHeight="1" x14ac:dyDescent="0.25">
      <c r="A565" s="4" t="s">
        <v>28</v>
      </c>
      <c r="B565" s="4" t="s">
        <v>33</v>
      </c>
      <c r="C565" s="4" t="s">
        <v>23</v>
      </c>
      <c r="D565" s="4" t="s">
        <v>40</v>
      </c>
      <c r="E565" s="4" t="s">
        <v>25</v>
      </c>
      <c r="F565" s="4" t="s">
        <v>25</v>
      </c>
      <c r="G565" s="4" t="s">
        <v>25</v>
      </c>
      <c r="H565" s="4" t="s">
        <v>25</v>
      </c>
      <c r="I565" s="5">
        <v>44713</v>
      </c>
      <c r="J565" s="6">
        <v>0</v>
      </c>
      <c r="K565" s="6">
        <v>0</v>
      </c>
      <c r="L565" s="6">
        <v>77.203999999999994</v>
      </c>
      <c r="M565" s="6">
        <v>77.203999999999994</v>
      </c>
      <c r="N565" s="6">
        <v>77.203999999999994</v>
      </c>
      <c r="O565" s="6">
        <v>77.203999999999994</v>
      </c>
      <c r="P565" s="6">
        <v>57</v>
      </c>
      <c r="Q565" s="4" t="s">
        <v>26</v>
      </c>
      <c r="R565" s="4">
        <v>0</v>
      </c>
      <c r="S565" s="6">
        <v>0</v>
      </c>
      <c r="T565" s="6">
        <v>33</v>
      </c>
      <c r="U565" s="6">
        <v>85</v>
      </c>
      <c r="V565" s="6">
        <f>IF(ISERROR(VLOOKUP($S$565,'TAR FIN'!$A$1:$O$86,15,0)),0,VLOOKUP($S$565,'TAR FIN'!$A$1:$O$86,15,0))</f>
        <v>0</v>
      </c>
      <c r="W565" s="6">
        <f>IF(ISERROR(VLOOKUP($T$565,'TAR FIN'!$A$1:$O$86,15,0)),0,VLOOKUP($T$565,'TAR FIN'!$A$1:$O$86,15,0))</f>
        <v>338.51</v>
      </c>
      <c r="X565" s="6">
        <f>IF(ISERROR(VLOOKUP($U$565,'TAR FIN'!$A$1:$O$86,15,0)),0,VLOOKUP($U$565,'TAR FIN'!$A$1:$O$86,15,0))</f>
        <v>224.01</v>
      </c>
      <c r="Y565" s="6"/>
      <c r="Z565" s="6">
        <f ca="1">('TUSD BE'!$AM$48+'TUSD BF'!$AM$48+'TUSD CVA'!$AM$48)*1</f>
        <v>417.58832886049538</v>
      </c>
      <c r="AA565" s="6">
        <f>('TE BE'!$AB$39+'TE BF'!$AB$39+'TE CVA'!$AB$39)*1</f>
        <v>234.64376439748159</v>
      </c>
      <c r="AB565" s="6">
        <f>$K$565*$V$565</f>
        <v>0</v>
      </c>
      <c r="AC565" s="6">
        <f>$M$565*$W$565</f>
        <v>26134.326039999996</v>
      </c>
      <c r="AD565" s="6">
        <f>$O$565*$X$565</f>
        <v>17294.468039999996</v>
      </c>
      <c r="AE565" s="6">
        <f>$K$565*$Y$565</f>
        <v>0</v>
      </c>
      <c r="AF565" s="6">
        <f ca="1">$M$565*$Z$565</f>
        <v>32239.489341345681</v>
      </c>
      <c r="AG565" s="6">
        <f>$O$565*$AA$565</f>
        <v>18115.437186543168</v>
      </c>
    </row>
    <row r="566" spans="1:33" ht="11.25" customHeight="1" x14ac:dyDescent="0.25">
      <c r="A566" s="4" t="s">
        <v>55</v>
      </c>
      <c r="B566" s="4" t="s">
        <v>33</v>
      </c>
      <c r="C566" s="4" t="s">
        <v>23</v>
      </c>
      <c r="D566" s="4" t="s">
        <v>40</v>
      </c>
      <c r="E566" s="4" t="s">
        <v>25</v>
      </c>
      <c r="F566" s="4" t="s">
        <v>25</v>
      </c>
      <c r="G566" s="4" t="s">
        <v>25</v>
      </c>
      <c r="H566" s="4" t="s">
        <v>25</v>
      </c>
      <c r="I566" s="5">
        <v>44743</v>
      </c>
      <c r="J566" s="6">
        <v>0</v>
      </c>
      <c r="K566" s="6">
        <v>0</v>
      </c>
      <c r="L566" s="6">
        <v>1601.3679999999999</v>
      </c>
      <c r="M566" s="6">
        <v>1601.3679999999999</v>
      </c>
      <c r="N566" s="6">
        <v>1601.3679999999999</v>
      </c>
      <c r="O566" s="6">
        <v>1601.3679999999999</v>
      </c>
      <c r="P566" s="6">
        <v>2964</v>
      </c>
      <c r="Q566" s="4" t="s">
        <v>26</v>
      </c>
      <c r="R566" s="4">
        <v>0</v>
      </c>
      <c r="S566" s="6">
        <v>0</v>
      </c>
      <c r="T566" s="6">
        <v>33</v>
      </c>
      <c r="U566" s="6">
        <v>85</v>
      </c>
      <c r="V566" s="6">
        <f>IF(ISERROR(VLOOKUP($S$566,'TAR FIN'!$A$1:$O$86,15,0)),0,VLOOKUP($S$566,'TAR FIN'!$A$1:$O$86,15,0))</f>
        <v>0</v>
      </c>
      <c r="W566" s="6">
        <f>IF(ISERROR(VLOOKUP($T$566,'TAR FIN'!$A$1:$O$86,15,0)),0,VLOOKUP($T$566,'TAR FIN'!$A$1:$O$86,15,0))</f>
        <v>338.51</v>
      </c>
      <c r="X566" s="6">
        <f>IF(ISERROR(VLOOKUP($U$566,'TAR FIN'!$A$1:$O$86,15,0)),0,VLOOKUP($U$566,'TAR FIN'!$A$1:$O$86,15,0))</f>
        <v>224.01</v>
      </c>
      <c r="Y566" s="6"/>
      <c r="Z566" s="6">
        <f ca="1">('TUSD BE'!$AM$48+'TUSD BF'!$AM$48+'TUSD CVA'!$AM$48)*1</f>
        <v>417.58832886049538</v>
      </c>
      <c r="AA566" s="6">
        <f>('TE BE'!$AB$39+'TE BF'!$AB$39+'TE CVA'!$AB$39)*1</f>
        <v>234.64376439748159</v>
      </c>
      <c r="AB566" s="6">
        <f>$K$566*$V$566</f>
        <v>0</v>
      </c>
      <c r="AC566" s="6">
        <f>$M$566*$W$566</f>
        <v>542079.08167999994</v>
      </c>
      <c r="AD566" s="6">
        <f>$O$566*$X$566</f>
        <v>358722.44567999995</v>
      </c>
      <c r="AE566" s="6">
        <f>$K$566*$Y$566</f>
        <v>0</v>
      </c>
      <c r="AF566" s="6">
        <f ca="1">$M$566*$Z$566</f>
        <v>668712.58701067371</v>
      </c>
      <c r="AG566" s="6">
        <f>$O$566*$AA$566</f>
        <v>375751.01570566627</v>
      </c>
    </row>
    <row r="567" spans="1:33" ht="11.25" customHeight="1" x14ac:dyDescent="0.25">
      <c r="A567" s="4" t="s">
        <v>55</v>
      </c>
      <c r="B567" s="4" t="s">
        <v>33</v>
      </c>
      <c r="C567" s="4" t="s">
        <v>23</v>
      </c>
      <c r="D567" s="4" t="s">
        <v>40</v>
      </c>
      <c r="E567" s="4" t="s">
        <v>25</v>
      </c>
      <c r="F567" s="4" t="s">
        <v>25</v>
      </c>
      <c r="G567" s="4" t="s">
        <v>25</v>
      </c>
      <c r="H567" s="4" t="s">
        <v>25</v>
      </c>
      <c r="I567" s="5">
        <v>44743</v>
      </c>
      <c r="J567" s="6">
        <v>0</v>
      </c>
      <c r="K567" s="6">
        <v>0</v>
      </c>
      <c r="L567" s="6">
        <v>77.203999999999994</v>
      </c>
      <c r="M567" s="6">
        <v>77.203999999999994</v>
      </c>
      <c r="N567" s="6">
        <v>77.203999999999994</v>
      </c>
      <c r="O567" s="6">
        <v>77.203999999999994</v>
      </c>
      <c r="P567" s="6">
        <v>57</v>
      </c>
      <c r="Q567" s="4" t="s">
        <v>26</v>
      </c>
      <c r="R567" s="4">
        <v>0</v>
      </c>
      <c r="S567" s="6">
        <v>0</v>
      </c>
      <c r="T567" s="6">
        <v>33</v>
      </c>
      <c r="U567" s="6">
        <v>85</v>
      </c>
      <c r="V567" s="6">
        <f>IF(ISERROR(VLOOKUP($S$567,'TAR FIN'!$A$1:$O$86,15,0)),0,VLOOKUP($S$567,'TAR FIN'!$A$1:$O$86,15,0))</f>
        <v>0</v>
      </c>
      <c r="W567" s="6">
        <f>IF(ISERROR(VLOOKUP($T$567,'TAR FIN'!$A$1:$O$86,15,0)),0,VLOOKUP($T$567,'TAR FIN'!$A$1:$O$86,15,0))</f>
        <v>338.51</v>
      </c>
      <c r="X567" s="6">
        <f>IF(ISERROR(VLOOKUP($U$567,'TAR FIN'!$A$1:$O$86,15,0)),0,VLOOKUP($U$567,'TAR FIN'!$A$1:$O$86,15,0))</f>
        <v>224.01</v>
      </c>
      <c r="Y567" s="6"/>
      <c r="Z567" s="6">
        <f ca="1">('TUSD BE'!$AM$48+'TUSD BF'!$AM$48+'TUSD CVA'!$AM$48)*1</f>
        <v>417.58832886049538</v>
      </c>
      <c r="AA567" s="6">
        <f>('TE BE'!$AB$39+'TE BF'!$AB$39+'TE CVA'!$AB$39)*1</f>
        <v>234.64376439748159</v>
      </c>
      <c r="AB567" s="6">
        <f>$K$567*$V$567</f>
        <v>0</v>
      </c>
      <c r="AC567" s="6">
        <f>$M$567*$W$567</f>
        <v>26134.326039999996</v>
      </c>
      <c r="AD567" s="6">
        <f>$O$567*$X$567</f>
        <v>17294.468039999996</v>
      </c>
      <c r="AE567" s="6">
        <f>$K$567*$Y$567</f>
        <v>0</v>
      </c>
      <c r="AF567" s="6">
        <f ca="1">$M$567*$Z$567</f>
        <v>32239.489341345681</v>
      </c>
      <c r="AG567" s="6">
        <f>$O$567*$AA$567</f>
        <v>18115.437186543168</v>
      </c>
    </row>
    <row r="568" spans="1:33" ht="11.25" customHeight="1" x14ac:dyDescent="0.25">
      <c r="A568" s="4" t="s">
        <v>21</v>
      </c>
      <c r="B568" s="4" t="s">
        <v>33</v>
      </c>
      <c r="C568" s="4" t="s">
        <v>23</v>
      </c>
      <c r="D568" s="4" t="s">
        <v>49</v>
      </c>
      <c r="E568" s="4" t="s">
        <v>25</v>
      </c>
      <c r="F568" s="4" t="s">
        <v>25</v>
      </c>
      <c r="G568" s="4" t="s">
        <v>25</v>
      </c>
      <c r="H568" s="4" t="s">
        <v>25</v>
      </c>
      <c r="I568" s="5">
        <v>44409</v>
      </c>
      <c r="J568" s="6">
        <v>0</v>
      </c>
      <c r="K568" s="6">
        <v>0</v>
      </c>
      <c r="L568" s="6">
        <v>5.5549999999999997</v>
      </c>
      <c r="M568" s="6">
        <v>5.5549999999999997</v>
      </c>
      <c r="N568" s="6">
        <v>5.5549999999999997</v>
      </c>
      <c r="O568" s="6">
        <v>5.5549999999999997</v>
      </c>
      <c r="P568" s="6">
        <v>4</v>
      </c>
      <c r="Q568" s="4" t="s">
        <v>26</v>
      </c>
      <c r="R568" s="4">
        <v>0</v>
      </c>
      <c r="S568" s="6">
        <v>0</v>
      </c>
      <c r="T568" s="6">
        <v>33</v>
      </c>
      <c r="U568" s="6">
        <v>85</v>
      </c>
      <c r="V568" s="6">
        <f>IF(ISERROR(VLOOKUP($S$568,'TAR FIN'!$A$1:$O$86,15,0)),0,VLOOKUP($S$568,'TAR FIN'!$A$1:$O$86,15,0))</f>
        <v>0</v>
      </c>
      <c r="W568" s="6">
        <f>IF(ISERROR(VLOOKUP($T$568,'TAR FIN'!$A$1:$O$86,15,0)),0,VLOOKUP($T$568,'TAR FIN'!$A$1:$O$86,15,0))</f>
        <v>338.51</v>
      </c>
      <c r="X568" s="6">
        <f>IF(ISERROR(VLOOKUP($U$568,'TAR FIN'!$A$1:$O$86,15,0)),0,VLOOKUP($U$568,'TAR FIN'!$A$1:$O$86,15,0))</f>
        <v>224.01</v>
      </c>
      <c r="Y568" s="6"/>
      <c r="Z568" s="6">
        <f ca="1">('TUSD BE'!$AM$48+'TUSD BF'!$AM$48+'TUSD CVA'!$AM$48)*1</f>
        <v>417.58832886049538</v>
      </c>
      <c r="AA568" s="6">
        <f>('TE BE'!$AB$39+'TE BF'!$AB$39+'TE CVA'!$AB$39)*1</f>
        <v>234.64376439748159</v>
      </c>
      <c r="AB568" s="6">
        <f>$K$568*$V$568</f>
        <v>0</v>
      </c>
      <c r="AC568" s="6">
        <f>$M$568*$W$568</f>
        <v>1880.4230499999999</v>
      </c>
      <c r="AD568" s="6">
        <f>$O$568*$X$568</f>
        <v>1244.37555</v>
      </c>
      <c r="AE568" s="6">
        <f>$K$568*$Y$568</f>
        <v>0</v>
      </c>
      <c r="AF568" s="6">
        <f ca="1">$M$568*$Z$568</f>
        <v>2319.7031668200516</v>
      </c>
      <c r="AG568" s="6">
        <f>$O$568*$AA$568</f>
        <v>1303.4461112280101</v>
      </c>
    </row>
    <row r="569" spans="1:33" ht="11.25" customHeight="1" x14ac:dyDescent="0.25">
      <c r="A569" s="4" t="s">
        <v>21</v>
      </c>
      <c r="B569" s="4" t="s">
        <v>33</v>
      </c>
      <c r="C569" s="4" t="s">
        <v>23</v>
      </c>
      <c r="D569" s="4" t="s">
        <v>49</v>
      </c>
      <c r="E569" s="4" t="s">
        <v>25</v>
      </c>
      <c r="F569" s="4" t="s">
        <v>25</v>
      </c>
      <c r="G569" s="4" t="s">
        <v>25</v>
      </c>
      <c r="H569" s="4" t="s">
        <v>25</v>
      </c>
      <c r="I569" s="5">
        <v>44440</v>
      </c>
      <c r="J569" s="6">
        <v>0</v>
      </c>
      <c r="K569" s="6">
        <v>0</v>
      </c>
      <c r="L569" s="6">
        <v>5.6970000000000001</v>
      </c>
      <c r="M569" s="6">
        <v>5.6970000000000001</v>
      </c>
      <c r="N569" s="6">
        <v>5.6970000000000001</v>
      </c>
      <c r="O569" s="6">
        <v>5.6970000000000001</v>
      </c>
      <c r="P569" s="6">
        <v>4</v>
      </c>
      <c r="Q569" s="4" t="s">
        <v>26</v>
      </c>
      <c r="R569" s="4">
        <v>0</v>
      </c>
      <c r="S569" s="6">
        <v>0</v>
      </c>
      <c r="T569" s="6">
        <v>33</v>
      </c>
      <c r="U569" s="6">
        <v>85</v>
      </c>
      <c r="V569" s="6">
        <f>IF(ISERROR(VLOOKUP($S$569,'TAR FIN'!$A$1:$O$86,15,0)),0,VLOOKUP($S$569,'TAR FIN'!$A$1:$O$86,15,0))</f>
        <v>0</v>
      </c>
      <c r="W569" s="6">
        <f>IF(ISERROR(VLOOKUP($T$569,'TAR FIN'!$A$1:$O$86,15,0)),0,VLOOKUP($T$569,'TAR FIN'!$A$1:$O$86,15,0))</f>
        <v>338.51</v>
      </c>
      <c r="X569" s="6">
        <f>IF(ISERROR(VLOOKUP($U$569,'TAR FIN'!$A$1:$O$86,15,0)),0,VLOOKUP($U$569,'TAR FIN'!$A$1:$O$86,15,0))</f>
        <v>224.01</v>
      </c>
      <c r="Y569" s="6"/>
      <c r="Z569" s="6">
        <f ca="1">('TUSD BE'!$AM$48+'TUSD BF'!$AM$48+'TUSD CVA'!$AM$48)*1</f>
        <v>417.58832886049538</v>
      </c>
      <c r="AA569" s="6">
        <f>('TE BE'!$AB$39+'TE BF'!$AB$39+'TE CVA'!$AB$39)*1</f>
        <v>234.64376439748159</v>
      </c>
      <c r="AB569" s="6">
        <f>$K$569*$V$569</f>
        <v>0</v>
      </c>
      <c r="AC569" s="6">
        <f>$M$569*$W$569</f>
        <v>1928.4914699999999</v>
      </c>
      <c r="AD569" s="6">
        <f>$O$569*$X$569</f>
        <v>1276.18497</v>
      </c>
      <c r="AE569" s="6">
        <f>$K$569*$Y$569</f>
        <v>0</v>
      </c>
      <c r="AF569" s="6">
        <f ca="1">$M$569*$Z$569</f>
        <v>2379.0007095182423</v>
      </c>
      <c r="AG569" s="6">
        <f>$O$569*$AA$569</f>
        <v>1336.7655257724525</v>
      </c>
    </row>
    <row r="570" spans="1:33" ht="11.25" customHeight="1" x14ac:dyDescent="0.25">
      <c r="A570" s="4" t="s">
        <v>21</v>
      </c>
      <c r="B570" s="4" t="s">
        <v>33</v>
      </c>
      <c r="C570" s="4" t="s">
        <v>23</v>
      </c>
      <c r="D570" s="4" t="s">
        <v>49</v>
      </c>
      <c r="E570" s="4" t="s">
        <v>25</v>
      </c>
      <c r="F570" s="4" t="s">
        <v>25</v>
      </c>
      <c r="G570" s="4" t="s">
        <v>25</v>
      </c>
      <c r="H570" s="4" t="s">
        <v>25</v>
      </c>
      <c r="I570" s="5">
        <v>44470</v>
      </c>
      <c r="J570" s="6">
        <v>0</v>
      </c>
      <c r="K570" s="6">
        <v>0</v>
      </c>
      <c r="L570" s="6">
        <v>5.7779999999999996</v>
      </c>
      <c r="M570" s="6">
        <v>5.7779999999999996</v>
      </c>
      <c r="N570" s="6">
        <v>5.7779999999999996</v>
      </c>
      <c r="O570" s="6">
        <v>5.7779999999999996</v>
      </c>
      <c r="P570" s="6">
        <v>4</v>
      </c>
      <c r="Q570" s="4" t="s">
        <v>26</v>
      </c>
      <c r="R570" s="4">
        <v>0</v>
      </c>
      <c r="S570" s="6">
        <v>0</v>
      </c>
      <c r="T570" s="6">
        <v>33</v>
      </c>
      <c r="U570" s="6">
        <v>85</v>
      </c>
      <c r="V570" s="6">
        <f>IF(ISERROR(VLOOKUP($S$570,'TAR FIN'!$A$1:$O$86,15,0)),0,VLOOKUP($S$570,'TAR FIN'!$A$1:$O$86,15,0))</f>
        <v>0</v>
      </c>
      <c r="W570" s="6">
        <f>IF(ISERROR(VLOOKUP($T$570,'TAR FIN'!$A$1:$O$86,15,0)),0,VLOOKUP($T$570,'TAR FIN'!$A$1:$O$86,15,0))</f>
        <v>338.51</v>
      </c>
      <c r="X570" s="6">
        <f>IF(ISERROR(VLOOKUP($U$570,'TAR FIN'!$A$1:$O$86,15,0)),0,VLOOKUP($U$570,'TAR FIN'!$A$1:$O$86,15,0))</f>
        <v>224.01</v>
      </c>
      <c r="Y570" s="6"/>
      <c r="Z570" s="6">
        <f ca="1">('TUSD BE'!$AM$48+'TUSD BF'!$AM$48+'TUSD CVA'!$AM$48)*1</f>
        <v>417.58832886049538</v>
      </c>
      <c r="AA570" s="6">
        <f>('TE BE'!$AB$39+'TE BF'!$AB$39+'TE CVA'!$AB$39)*1</f>
        <v>234.64376439748159</v>
      </c>
      <c r="AB570" s="6">
        <f>$K$570*$V$570</f>
        <v>0</v>
      </c>
      <c r="AC570" s="6">
        <f>$M$570*$W$570</f>
        <v>1955.9107799999997</v>
      </c>
      <c r="AD570" s="6">
        <f>$O$570*$X$570</f>
        <v>1294.3297799999998</v>
      </c>
      <c r="AE570" s="6">
        <f>$K$570*$Y$570</f>
        <v>0</v>
      </c>
      <c r="AF570" s="6">
        <f ca="1">$M$570*$Z$570</f>
        <v>2412.8253641559422</v>
      </c>
      <c r="AG570" s="6">
        <f>$O$570*$AA$570</f>
        <v>1355.7716706886486</v>
      </c>
    </row>
    <row r="571" spans="1:33" ht="11.25" customHeight="1" x14ac:dyDescent="0.25">
      <c r="A571" s="4" t="s">
        <v>21</v>
      </c>
      <c r="B571" s="4" t="s">
        <v>33</v>
      </c>
      <c r="C571" s="4" t="s">
        <v>23</v>
      </c>
      <c r="D571" s="4" t="s">
        <v>49</v>
      </c>
      <c r="E571" s="4" t="s">
        <v>25</v>
      </c>
      <c r="F571" s="4" t="s">
        <v>25</v>
      </c>
      <c r="G571" s="4" t="s">
        <v>25</v>
      </c>
      <c r="H571" s="4" t="s">
        <v>25</v>
      </c>
      <c r="I571" s="5">
        <v>44501</v>
      </c>
      <c r="J571" s="6">
        <v>0</v>
      </c>
      <c r="K571" s="6">
        <v>0</v>
      </c>
      <c r="L571" s="6">
        <v>6.2530000000000001</v>
      </c>
      <c r="M571" s="6">
        <v>6.2530000000000001</v>
      </c>
      <c r="N571" s="6">
        <v>6.2530000000000001</v>
      </c>
      <c r="O571" s="6">
        <v>6.2530000000000001</v>
      </c>
      <c r="P571" s="6">
        <v>4</v>
      </c>
      <c r="Q571" s="4" t="s">
        <v>26</v>
      </c>
      <c r="R571" s="4">
        <v>0</v>
      </c>
      <c r="S571" s="6">
        <v>0</v>
      </c>
      <c r="T571" s="6">
        <v>33</v>
      </c>
      <c r="U571" s="6">
        <v>85</v>
      </c>
      <c r="V571" s="6">
        <f>IF(ISERROR(VLOOKUP($S$571,'TAR FIN'!$A$1:$O$86,15,0)),0,VLOOKUP($S$571,'TAR FIN'!$A$1:$O$86,15,0))</f>
        <v>0</v>
      </c>
      <c r="W571" s="6">
        <f>IF(ISERROR(VLOOKUP($T$571,'TAR FIN'!$A$1:$O$86,15,0)),0,VLOOKUP($T$571,'TAR FIN'!$A$1:$O$86,15,0))</f>
        <v>338.51</v>
      </c>
      <c r="X571" s="6">
        <f>IF(ISERROR(VLOOKUP($U$571,'TAR FIN'!$A$1:$O$86,15,0)),0,VLOOKUP($U$571,'TAR FIN'!$A$1:$O$86,15,0))</f>
        <v>224.01</v>
      </c>
      <c r="Y571" s="6"/>
      <c r="Z571" s="6">
        <f ca="1">('TUSD BE'!$AM$48+'TUSD BF'!$AM$48+'TUSD CVA'!$AM$48)*1</f>
        <v>417.58832886049538</v>
      </c>
      <c r="AA571" s="6">
        <f>('TE BE'!$AB$39+'TE BF'!$AB$39+'TE CVA'!$AB$39)*1</f>
        <v>234.64376439748159</v>
      </c>
      <c r="AB571" s="6">
        <f>$K$571*$V$571</f>
        <v>0</v>
      </c>
      <c r="AC571" s="6">
        <f>$M$571*$W$571</f>
        <v>2116.7030300000001</v>
      </c>
      <c r="AD571" s="6">
        <f>$O$571*$X$571</f>
        <v>1400.7345299999999</v>
      </c>
      <c r="AE571" s="6">
        <f>$K$571*$Y$571</f>
        <v>0</v>
      </c>
      <c r="AF571" s="6">
        <f ca="1">$M$571*$Z$571</f>
        <v>2611.1798203646777</v>
      </c>
      <c r="AG571" s="6">
        <f>$O$571*$AA$571</f>
        <v>1467.2274587774525</v>
      </c>
    </row>
    <row r="572" spans="1:33" ht="11.25" customHeight="1" x14ac:dyDescent="0.25">
      <c r="A572" s="4" t="s">
        <v>21</v>
      </c>
      <c r="B572" s="4" t="s">
        <v>33</v>
      </c>
      <c r="C572" s="4" t="s">
        <v>23</v>
      </c>
      <c r="D572" s="4" t="s">
        <v>49</v>
      </c>
      <c r="E572" s="4" t="s">
        <v>25</v>
      </c>
      <c r="F572" s="4" t="s">
        <v>25</v>
      </c>
      <c r="G572" s="4" t="s">
        <v>25</v>
      </c>
      <c r="H572" s="4" t="s">
        <v>25</v>
      </c>
      <c r="I572" s="5">
        <v>44531</v>
      </c>
      <c r="J572" s="6">
        <v>0</v>
      </c>
      <c r="K572" s="6">
        <v>0</v>
      </c>
      <c r="L572" s="6">
        <v>7.17</v>
      </c>
      <c r="M572" s="6">
        <v>7.17</v>
      </c>
      <c r="N572" s="6">
        <v>7.17</v>
      </c>
      <c r="O572" s="6">
        <v>7.17</v>
      </c>
      <c r="P572" s="6">
        <v>4</v>
      </c>
      <c r="Q572" s="4" t="s">
        <v>26</v>
      </c>
      <c r="R572" s="4">
        <v>0</v>
      </c>
      <c r="S572" s="6">
        <v>0</v>
      </c>
      <c r="T572" s="6">
        <v>33</v>
      </c>
      <c r="U572" s="6">
        <v>85</v>
      </c>
      <c r="V572" s="6">
        <f>IF(ISERROR(VLOOKUP($S$572,'TAR FIN'!$A$1:$O$86,15,0)),0,VLOOKUP($S$572,'TAR FIN'!$A$1:$O$86,15,0))</f>
        <v>0</v>
      </c>
      <c r="W572" s="6">
        <f>IF(ISERROR(VLOOKUP($T$572,'TAR FIN'!$A$1:$O$86,15,0)),0,VLOOKUP($T$572,'TAR FIN'!$A$1:$O$86,15,0))</f>
        <v>338.51</v>
      </c>
      <c r="X572" s="6">
        <f>IF(ISERROR(VLOOKUP($U$572,'TAR FIN'!$A$1:$O$86,15,0)),0,VLOOKUP($U$572,'TAR FIN'!$A$1:$O$86,15,0))</f>
        <v>224.01</v>
      </c>
      <c r="Y572" s="6"/>
      <c r="Z572" s="6">
        <f ca="1">('TUSD BE'!$AM$48+'TUSD BF'!$AM$48+'TUSD CVA'!$AM$48)*1</f>
        <v>417.58832886049538</v>
      </c>
      <c r="AA572" s="6">
        <f>('TE BE'!$AB$39+'TE BF'!$AB$39+'TE CVA'!$AB$39)*1</f>
        <v>234.64376439748159</v>
      </c>
      <c r="AB572" s="6">
        <f>$K$572*$V$572</f>
        <v>0</v>
      </c>
      <c r="AC572" s="6">
        <f>$M$572*$W$572</f>
        <v>2427.1167</v>
      </c>
      <c r="AD572" s="6">
        <f>$O$572*$X$572</f>
        <v>1606.1516999999999</v>
      </c>
      <c r="AE572" s="6">
        <f>$K$572*$Y$572</f>
        <v>0</v>
      </c>
      <c r="AF572" s="6">
        <f ca="1">$M$572*$Z$572</f>
        <v>2994.108317929752</v>
      </c>
      <c r="AG572" s="6">
        <f>$O$572*$AA$572</f>
        <v>1682.395790729943</v>
      </c>
    </row>
    <row r="573" spans="1:33" ht="11.25" customHeight="1" x14ac:dyDescent="0.25">
      <c r="A573" s="4" t="s">
        <v>21</v>
      </c>
      <c r="B573" s="4" t="s">
        <v>33</v>
      </c>
      <c r="C573" s="4" t="s">
        <v>23</v>
      </c>
      <c r="D573" s="4" t="s">
        <v>49</v>
      </c>
      <c r="E573" s="4" t="s">
        <v>25</v>
      </c>
      <c r="F573" s="4" t="s">
        <v>25</v>
      </c>
      <c r="G573" s="4" t="s">
        <v>25</v>
      </c>
      <c r="H573" s="4" t="s">
        <v>25</v>
      </c>
      <c r="I573" s="5">
        <v>44562</v>
      </c>
      <c r="J573" s="6">
        <v>0</v>
      </c>
      <c r="K573" s="6">
        <v>0</v>
      </c>
      <c r="L573" s="6">
        <v>10.105</v>
      </c>
      <c r="M573" s="6">
        <v>10.105</v>
      </c>
      <c r="N573" s="6">
        <v>10.105</v>
      </c>
      <c r="O573" s="6">
        <v>10.105</v>
      </c>
      <c r="P573" s="6">
        <v>4</v>
      </c>
      <c r="Q573" s="4" t="s">
        <v>26</v>
      </c>
      <c r="R573" s="4">
        <v>0</v>
      </c>
      <c r="S573" s="6">
        <v>0</v>
      </c>
      <c r="T573" s="6">
        <v>33</v>
      </c>
      <c r="U573" s="6">
        <v>85</v>
      </c>
      <c r="V573" s="6">
        <f>IF(ISERROR(VLOOKUP($S$573,'TAR FIN'!$A$1:$O$86,15,0)),0,VLOOKUP($S$573,'TAR FIN'!$A$1:$O$86,15,0))</f>
        <v>0</v>
      </c>
      <c r="W573" s="6">
        <f>IF(ISERROR(VLOOKUP($T$573,'TAR FIN'!$A$1:$O$86,15,0)),0,VLOOKUP($T$573,'TAR FIN'!$A$1:$O$86,15,0))</f>
        <v>338.51</v>
      </c>
      <c r="X573" s="6">
        <f>IF(ISERROR(VLOOKUP($U$573,'TAR FIN'!$A$1:$O$86,15,0)),0,VLOOKUP($U$573,'TAR FIN'!$A$1:$O$86,15,0))</f>
        <v>224.01</v>
      </c>
      <c r="Y573" s="6"/>
      <c r="Z573" s="6">
        <f ca="1">('TUSD BE'!$AM$48+'TUSD BF'!$AM$48+'TUSD CVA'!$AM$48)*1</f>
        <v>417.58832886049538</v>
      </c>
      <c r="AA573" s="6">
        <f>('TE BE'!$AB$39+'TE BF'!$AB$39+'TE CVA'!$AB$39)*1</f>
        <v>234.64376439748159</v>
      </c>
      <c r="AB573" s="6">
        <f>$K$573*$V$573</f>
        <v>0</v>
      </c>
      <c r="AC573" s="6">
        <f>$M$573*$W$573</f>
        <v>3420.6435500000002</v>
      </c>
      <c r="AD573" s="6">
        <f>$O$573*$X$573</f>
        <v>2263.6210500000002</v>
      </c>
      <c r="AE573" s="6">
        <f>$K$573*$Y$573</f>
        <v>0</v>
      </c>
      <c r="AF573" s="6">
        <f ca="1">$M$573*$Z$573</f>
        <v>4219.7300631353064</v>
      </c>
      <c r="AG573" s="6">
        <f>$O$573*$AA$573</f>
        <v>2371.0752392365516</v>
      </c>
    </row>
    <row r="574" spans="1:33" ht="11.25" customHeight="1" x14ac:dyDescent="0.25">
      <c r="A574" s="4" t="s">
        <v>21</v>
      </c>
      <c r="B574" s="4" t="s">
        <v>33</v>
      </c>
      <c r="C574" s="4" t="s">
        <v>23</v>
      </c>
      <c r="D574" s="4" t="s">
        <v>49</v>
      </c>
      <c r="E574" s="4" t="s">
        <v>25</v>
      </c>
      <c r="F574" s="4" t="s">
        <v>25</v>
      </c>
      <c r="G574" s="4" t="s">
        <v>25</v>
      </c>
      <c r="H574" s="4" t="s">
        <v>25</v>
      </c>
      <c r="I574" s="5">
        <v>44593</v>
      </c>
      <c r="J574" s="6">
        <v>0</v>
      </c>
      <c r="K574" s="6">
        <v>0</v>
      </c>
      <c r="L574" s="6">
        <v>11.499000000000001</v>
      </c>
      <c r="M574" s="6">
        <v>11.499000000000001</v>
      </c>
      <c r="N574" s="6">
        <v>11.499000000000001</v>
      </c>
      <c r="O574" s="6">
        <v>11.499000000000001</v>
      </c>
      <c r="P574" s="6">
        <v>4</v>
      </c>
      <c r="Q574" s="4" t="s">
        <v>26</v>
      </c>
      <c r="R574" s="4">
        <v>0</v>
      </c>
      <c r="S574" s="6">
        <v>0</v>
      </c>
      <c r="T574" s="6">
        <v>33</v>
      </c>
      <c r="U574" s="6">
        <v>85</v>
      </c>
      <c r="V574" s="6">
        <f>IF(ISERROR(VLOOKUP($S$574,'TAR FIN'!$A$1:$O$86,15,0)),0,VLOOKUP($S$574,'TAR FIN'!$A$1:$O$86,15,0))</f>
        <v>0</v>
      </c>
      <c r="W574" s="6">
        <f>IF(ISERROR(VLOOKUP($T$574,'TAR FIN'!$A$1:$O$86,15,0)),0,VLOOKUP($T$574,'TAR FIN'!$A$1:$O$86,15,0))</f>
        <v>338.51</v>
      </c>
      <c r="X574" s="6">
        <f>IF(ISERROR(VLOOKUP($U$574,'TAR FIN'!$A$1:$O$86,15,0)),0,VLOOKUP($U$574,'TAR FIN'!$A$1:$O$86,15,0))</f>
        <v>224.01</v>
      </c>
      <c r="Y574" s="6"/>
      <c r="Z574" s="6">
        <f ca="1">('TUSD BE'!$AM$48+'TUSD BF'!$AM$48+'TUSD CVA'!$AM$48)*1</f>
        <v>417.58832886049538</v>
      </c>
      <c r="AA574" s="6">
        <f>('TE BE'!$AB$39+'TE BF'!$AB$39+'TE CVA'!$AB$39)*1</f>
        <v>234.64376439748159</v>
      </c>
      <c r="AB574" s="6">
        <f>$K$574*$V$574</f>
        <v>0</v>
      </c>
      <c r="AC574" s="6">
        <f>$M$574*$W$574</f>
        <v>3892.5264900000002</v>
      </c>
      <c r="AD574" s="6">
        <f>$O$574*$X$574</f>
        <v>2575.8909899999999</v>
      </c>
      <c r="AE574" s="6">
        <f>$K$574*$Y$574</f>
        <v>0</v>
      </c>
      <c r="AF574" s="6">
        <f ca="1">$M$574*$Z$574</f>
        <v>4801.8481935668369</v>
      </c>
      <c r="AG574" s="6">
        <f>$O$574*$AA$574</f>
        <v>2698.1686468066409</v>
      </c>
    </row>
    <row r="575" spans="1:33" ht="11.25" customHeight="1" x14ac:dyDescent="0.25">
      <c r="A575" s="4" t="s">
        <v>21</v>
      </c>
      <c r="B575" s="4" t="s">
        <v>33</v>
      </c>
      <c r="C575" s="4" t="s">
        <v>23</v>
      </c>
      <c r="D575" s="4" t="s">
        <v>49</v>
      </c>
      <c r="E575" s="4" t="s">
        <v>25</v>
      </c>
      <c r="F575" s="4" t="s">
        <v>25</v>
      </c>
      <c r="G575" s="4" t="s">
        <v>25</v>
      </c>
      <c r="H575" s="4" t="s">
        <v>25</v>
      </c>
      <c r="I575" s="5">
        <v>44621</v>
      </c>
      <c r="J575" s="6">
        <v>0</v>
      </c>
      <c r="K575" s="6">
        <v>0</v>
      </c>
      <c r="L575" s="6">
        <v>11.22</v>
      </c>
      <c r="M575" s="6">
        <v>11.22</v>
      </c>
      <c r="N575" s="6">
        <v>11.22</v>
      </c>
      <c r="O575" s="6">
        <v>11.22</v>
      </c>
      <c r="P575" s="6">
        <v>4</v>
      </c>
      <c r="Q575" s="4" t="s">
        <v>26</v>
      </c>
      <c r="R575" s="4">
        <v>0</v>
      </c>
      <c r="S575" s="6">
        <v>0</v>
      </c>
      <c r="T575" s="6">
        <v>33</v>
      </c>
      <c r="U575" s="6">
        <v>85</v>
      </c>
      <c r="V575" s="6">
        <f>IF(ISERROR(VLOOKUP($S$575,'TAR FIN'!$A$1:$O$86,15,0)),0,VLOOKUP($S$575,'TAR FIN'!$A$1:$O$86,15,0))</f>
        <v>0</v>
      </c>
      <c r="W575" s="6">
        <f>IF(ISERROR(VLOOKUP($T$575,'TAR FIN'!$A$1:$O$86,15,0)),0,VLOOKUP($T$575,'TAR FIN'!$A$1:$O$86,15,0))</f>
        <v>338.51</v>
      </c>
      <c r="X575" s="6">
        <f>IF(ISERROR(VLOOKUP($U$575,'TAR FIN'!$A$1:$O$86,15,0)),0,VLOOKUP($U$575,'TAR FIN'!$A$1:$O$86,15,0))</f>
        <v>224.01</v>
      </c>
      <c r="Y575" s="6"/>
      <c r="Z575" s="6">
        <f ca="1">('TUSD BE'!$AM$48+'TUSD BF'!$AM$48+'TUSD CVA'!$AM$48)*1</f>
        <v>417.58832886049538</v>
      </c>
      <c r="AA575" s="6">
        <f>('TE BE'!$AB$39+'TE BF'!$AB$39+'TE CVA'!$AB$39)*1</f>
        <v>234.64376439748159</v>
      </c>
      <c r="AB575" s="6">
        <f>$K$575*$V$575</f>
        <v>0</v>
      </c>
      <c r="AC575" s="6">
        <f>$M$575*$W$575</f>
        <v>3798.0822000000003</v>
      </c>
      <c r="AD575" s="6">
        <f>$O$575*$X$575</f>
        <v>2513.3922000000002</v>
      </c>
      <c r="AE575" s="6">
        <f>$K$575*$Y$575</f>
        <v>0</v>
      </c>
      <c r="AF575" s="6">
        <f ca="1">$M$575*$Z$575</f>
        <v>4685.3410498147587</v>
      </c>
      <c r="AG575" s="6">
        <f>$O$575*$AA$575</f>
        <v>2632.7030365397436</v>
      </c>
    </row>
    <row r="576" spans="1:33" ht="11.25" customHeight="1" x14ac:dyDescent="0.25">
      <c r="A576" s="4" t="s">
        <v>21</v>
      </c>
      <c r="B576" s="4" t="s">
        <v>33</v>
      </c>
      <c r="C576" s="4" t="s">
        <v>23</v>
      </c>
      <c r="D576" s="4" t="s">
        <v>49</v>
      </c>
      <c r="E576" s="4" t="s">
        <v>25</v>
      </c>
      <c r="F576" s="4" t="s">
        <v>25</v>
      </c>
      <c r="G576" s="4" t="s">
        <v>25</v>
      </c>
      <c r="H576" s="4" t="s">
        <v>25</v>
      </c>
      <c r="I576" s="5">
        <v>44652</v>
      </c>
      <c r="J576" s="6">
        <v>0</v>
      </c>
      <c r="K576" s="6">
        <v>0</v>
      </c>
      <c r="L576" s="6">
        <v>9.36</v>
      </c>
      <c r="M576" s="6">
        <v>9.36</v>
      </c>
      <c r="N576" s="6">
        <v>9.36</v>
      </c>
      <c r="O576" s="6">
        <v>9.36</v>
      </c>
      <c r="P576" s="6">
        <v>4</v>
      </c>
      <c r="Q576" s="4" t="s">
        <v>26</v>
      </c>
      <c r="R576" s="4">
        <v>0</v>
      </c>
      <c r="S576" s="6">
        <v>0</v>
      </c>
      <c r="T576" s="6">
        <v>33</v>
      </c>
      <c r="U576" s="6">
        <v>85</v>
      </c>
      <c r="V576" s="6">
        <f>IF(ISERROR(VLOOKUP($S$576,'TAR FIN'!$A$1:$O$86,15,0)),0,VLOOKUP($S$576,'TAR FIN'!$A$1:$O$86,15,0))</f>
        <v>0</v>
      </c>
      <c r="W576" s="6">
        <f>IF(ISERROR(VLOOKUP($T$576,'TAR FIN'!$A$1:$O$86,15,0)),0,VLOOKUP($T$576,'TAR FIN'!$A$1:$O$86,15,0))</f>
        <v>338.51</v>
      </c>
      <c r="X576" s="6">
        <f>IF(ISERROR(VLOOKUP($U$576,'TAR FIN'!$A$1:$O$86,15,0)),0,VLOOKUP($U$576,'TAR FIN'!$A$1:$O$86,15,0))</f>
        <v>224.01</v>
      </c>
      <c r="Y576" s="6"/>
      <c r="Z576" s="6">
        <f ca="1">('TUSD BE'!$AM$48+'TUSD BF'!$AM$48+'TUSD CVA'!$AM$48)*1</f>
        <v>417.58832886049538</v>
      </c>
      <c r="AA576" s="6">
        <f>('TE BE'!$AB$39+'TE BF'!$AB$39+'TE CVA'!$AB$39)*1</f>
        <v>234.64376439748159</v>
      </c>
      <c r="AB576" s="6">
        <f>$K$576*$V$576</f>
        <v>0</v>
      </c>
      <c r="AC576" s="6">
        <f>$M$576*$W$576</f>
        <v>3168.4535999999998</v>
      </c>
      <c r="AD576" s="6">
        <f>$O$576*$X$576</f>
        <v>2096.7335999999996</v>
      </c>
      <c r="AE576" s="6">
        <f>$K$576*$Y$576</f>
        <v>0</v>
      </c>
      <c r="AF576" s="6">
        <f ca="1">$M$576*$Z$576</f>
        <v>3908.6267581342363</v>
      </c>
      <c r="AG576" s="6">
        <f>$O$576*$AA$576</f>
        <v>2196.2656347604275</v>
      </c>
    </row>
    <row r="577" spans="1:33" ht="11.25" customHeight="1" x14ac:dyDescent="0.25">
      <c r="A577" s="4" t="s">
        <v>21</v>
      </c>
      <c r="B577" s="4" t="s">
        <v>33</v>
      </c>
      <c r="C577" s="4" t="s">
        <v>23</v>
      </c>
      <c r="D577" s="4" t="s">
        <v>49</v>
      </c>
      <c r="E577" s="4" t="s">
        <v>25</v>
      </c>
      <c r="F577" s="4" t="s">
        <v>25</v>
      </c>
      <c r="G577" s="4" t="s">
        <v>25</v>
      </c>
      <c r="H577" s="4" t="s">
        <v>25</v>
      </c>
      <c r="I577" s="5">
        <v>44682</v>
      </c>
      <c r="J577" s="6">
        <v>0</v>
      </c>
      <c r="K577" s="6">
        <v>0</v>
      </c>
      <c r="L577" s="6">
        <v>6.306</v>
      </c>
      <c r="M577" s="6">
        <v>6.306</v>
      </c>
      <c r="N577" s="6">
        <v>6.306</v>
      </c>
      <c r="O577" s="6">
        <v>6.306</v>
      </c>
      <c r="P577" s="6">
        <v>4</v>
      </c>
      <c r="Q577" s="4" t="s">
        <v>26</v>
      </c>
      <c r="R577" s="4">
        <v>0</v>
      </c>
      <c r="S577" s="6">
        <v>0</v>
      </c>
      <c r="T577" s="6">
        <v>33</v>
      </c>
      <c r="U577" s="6">
        <v>85</v>
      </c>
      <c r="V577" s="6">
        <f>IF(ISERROR(VLOOKUP($S$577,'TAR FIN'!$A$1:$O$86,15,0)),0,VLOOKUP($S$577,'TAR FIN'!$A$1:$O$86,15,0))</f>
        <v>0</v>
      </c>
      <c r="W577" s="6">
        <f>IF(ISERROR(VLOOKUP($T$577,'TAR FIN'!$A$1:$O$86,15,0)),0,VLOOKUP($T$577,'TAR FIN'!$A$1:$O$86,15,0))</f>
        <v>338.51</v>
      </c>
      <c r="X577" s="6">
        <f>IF(ISERROR(VLOOKUP($U$577,'TAR FIN'!$A$1:$O$86,15,0)),0,VLOOKUP($U$577,'TAR FIN'!$A$1:$O$86,15,0))</f>
        <v>224.01</v>
      </c>
      <c r="Y577" s="6"/>
      <c r="Z577" s="6">
        <f ca="1">('TUSD BE'!$AM$48+'TUSD BF'!$AM$48+'TUSD CVA'!$AM$48)*1</f>
        <v>417.58832886049538</v>
      </c>
      <c r="AA577" s="6">
        <f>('TE BE'!$AB$39+'TE BF'!$AB$39+'TE CVA'!$AB$39)*1</f>
        <v>234.64376439748159</v>
      </c>
      <c r="AB577" s="6">
        <f>$K$577*$V$577</f>
        <v>0</v>
      </c>
      <c r="AC577" s="6">
        <f>$M$577*$W$577</f>
        <v>2134.6440600000001</v>
      </c>
      <c r="AD577" s="6">
        <f>$O$577*$X$577</f>
        <v>1412.60706</v>
      </c>
      <c r="AE577" s="6">
        <f>$K$577*$Y$577</f>
        <v>0</v>
      </c>
      <c r="AF577" s="6">
        <f ca="1">$M$577*$Z$577</f>
        <v>2633.3120017942838</v>
      </c>
      <c r="AG577" s="6">
        <f>$O$577*$AA$577</f>
        <v>1479.6635782905189</v>
      </c>
    </row>
    <row r="578" spans="1:33" ht="11.25" customHeight="1" x14ac:dyDescent="0.25">
      <c r="A578" s="4" t="s">
        <v>21</v>
      </c>
      <c r="B578" s="4" t="s">
        <v>33</v>
      </c>
      <c r="C578" s="4" t="s">
        <v>23</v>
      </c>
      <c r="D578" s="4" t="s">
        <v>49</v>
      </c>
      <c r="E578" s="4" t="s">
        <v>25</v>
      </c>
      <c r="F578" s="4" t="s">
        <v>25</v>
      </c>
      <c r="G578" s="4" t="s">
        <v>25</v>
      </c>
      <c r="H578" s="4" t="s">
        <v>25</v>
      </c>
      <c r="I578" s="5">
        <v>44713</v>
      </c>
      <c r="J578" s="6">
        <v>0</v>
      </c>
      <c r="K578" s="6">
        <v>0</v>
      </c>
      <c r="L578" s="6">
        <v>5.3730000000000002</v>
      </c>
      <c r="M578" s="6">
        <v>5.3730000000000002</v>
      </c>
      <c r="N578" s="6">
        <v>5.3730000000000002</v>
      </c>
      <c r="O578" s="6">
        <v>5.3730000000000002</v>
      </c>
      <c r="P578" s="6">
        <v>4</v>
      </c>
      <c r="Q578" s="4" t="s">
        <v>26</v>
      </c>
      <c r="R578" s="4">
        <v>0</v>
      </c>
      <c r="S578" s="6">
        <v>0</v>
      </c>
      <c r="T578" s="6">
        <v>33</v>
      </c>
      <c r="U578" s="6">
        <v>85</v>
      </c>
      <c r="V578" s="6">
        <f>IF(ISERROR(VLOOKUP($S$578,'TAR FIN'!$A$1:$O$86,15,0)),0,VLOOKUP($S$578,'TAR FIN'!$A$1:$O$86,15,0))</f>
        <v>0</v>
      </c>
      <c r="W578" s="6">
        <f>IF(ISERROR(VLOOKUP($T$578,'TAR FIN'!$A$1:$O$86,15,0)),0,VLOOKUP($T$578,'TAR FIN'!$A$1:$O$86,15,0))</f>
        <v>338.51</v>
      </c>
      <c r="X578" s="6">
        <f>IF(ISERROR(VLOOKUP($U$578,'TAR FIN'!$A$1:$O$86,15,0)),0,VLOOKUP($U$578,'TAR FIN'!$A$1:$O$86,15,0))</f>
        <v>224.01</v>
      </c>
      <c r="Y578" s="6"/>
      <c r="Z578" s="6">
        <f ca="1">('TUSD BE'!$AM$48+'TUSD BF'!$AM$48+'TUSD CVA'!$AM$48)*1</f>
        <v>417.58832886049538</v>
      </c>
      <c r="AA578" s="6">
        <f>('TE BE'!$AB$39+'TE BF'!$AB$39+'TE CVA'!$AB$39)*1</f>
        <v>234.64376439748159</v>
      </c>
      <c r="AB578" s="6">
        <f>$K$578*$V$578</f>
        <v>0</v>
      </c>
      <c r="AC578" s="6">
        <f>$M$578*$W$578</f>
        <v>1818.81423</v>
      </c>
      <c r="AD578" s="6">
        <f>$O$578*$X$578</f>
        <v>1203.60573</v>
      </c>
      <c r="AE578" s="6">
        <f>$K$578*$Y$578</f>
        <v>0</v>
      </c>
      <c r="AF578" s="6">
        <f ca="1">$M$578*$Z$578</f>
        <v>2243.7020909674416</v>
      </c>
      <c r="AG578" s="6">
        <f>$O$578*$AA$578</f>
        <v>1260.7409461076686</v>
      </c>
    </row>
    <row r="579" spans="1:33" ht="11.25" customHeight="1" x14ac:dyDescent="0.25">
      <c r="A579" s="4" t="s">
        <v>55</v>
      </c>
      <c r="B579" s="4" t="s">
        <v>33</v>
      </c>
      <c r="C579" s="4" t="s">
        <v>23</v>
      </c>
      <c r="D579" s="4" t="s">
        <v>49</v>
      </c>
      <c r="E579" s="4" t="s">
        <v>25</v>
      </c>
      <c r="F579" s="4" t="s">
        <v>25</v>
      </c>
      <c r="G579" s="4" t="s">
        <v>25</v>
      </c>
      <c r="H579" s="4" t="s">
        <v>25</v>
      </c>
      <c r="I579" s="5">
        <v>44743</v>
      </c>
      <c r="J579" s="6">
        <v>0</v>
      </c>
      <c r="K579" s="6">
        <v>0</v>
      </c>
      <c r="L579" s="6">
        <v>5.3730000000000002</v>
      </c>
      <c r="M579" s="6">
        <v>5.3730000000000002</v>
      </c>
      <c r="N579" s="6">
        <v>5.3730000000000002</v>
      </c>
      <c r="O579" s="6">
        <v>5.3730000000000002</v>
      </c>
      <c r="P579" s="6">
        <v>4</v>
      </c>
      <c r="Q579" s="4" t="s">
        <v>26</v>
      </c>
      <c r="R579" s="4">
        <v>0</v>
      </c>
      <c r="S579" s="6">
        <v>0</v>
      </c>
      <c r="T579" s="6">
        <v>33</v>
      </c>
      <c r="U579" s="6">
        <v>85</v>
      </c>
      <c r="V579" s="6">
        <f>IF(ISERROR(VLOOKUP($S$579,'TAR FIN'!$A$1:$O$86,15,0)),0,VLOOKUP($S$579,'TAR FIN'!$A$1:$O$86,15,0))</f>
        <v>0</v>
      </c>
      <c r="W579" s="6">
        <f>IF(ISERROR(VLOOKUP($T$579,'TAR FIN'!$A$1:$O$86,15,0)),0,VLOOKUP($T$579,'TAR FIN'!$A$1:$O$86,15,0))</f>
        <v>338.51</v>
      </c>
      <c r="X579" s="6">
        <f>IF(ISERROR(VLOOKUP($U$579,'TAR FIN'!$A$1:$O$86,15,0)),0,VLOOKUP($U$579,'TAR FIN'!$A$1:$O$86,15,0))</f>
        <v>224.01</v>
      </c>
      <c r="Y579" s="6"/>
      <c r="Z579" s="6">
        <f ca="1">('TUSD BE'!$AM$48+'TUSD BF'!$AM$48+'TUSD CVA'!$AM$48)*1</f>
        <v>417.58832886049538</v>
      </c>
      <c r="AA579" s="6">
        <f>('TE BE'!$AB$39+'TE BF'!$AB$39+'TE CVA'!$AB$39)*1</f>
        <v>234.64376439748159</v>
      </c>
      <c r="AB579" s="6">
        <f>$K$579*$V$579</f>
        <v>0</v>
      </c>
      <c r="AC579" s="6">
        <f>$M$579*$W$579</f>
        <v>1818.81423</v>
      </c>
      <c r="AD579" s="6">
        <f>$O$579*$X$579</f>
        <v>1203.60573</v>
      </c>
      <c r="AE579" s="6">
        <f>$K$579*$Y$579</f>
        <v>0</v>
      </c>
      <c r="AF579" s="6">
        <f ca="1">$M$579*$Z$579</f>
        <v>2243.7020909674416</v>
      </c>
      <c r="AG579" s="6">
        <f>$O$579*$AA$579</f>
        <v>1260.7409461076686</v>
      </c>
    </row>
    <row r="580" spans="1:33" ht="11.25" customHeight="1" x14ac:dyDescent="0.25">
      <c r="A580" s="4" t="s">
        <v>21</v>
      </c>
      <c r="B580" s="4" t="s">
        <v>33</v>
      </c>
      <c r="C580" s="4" t="s">
        <v>23</v>
      </c>
      <c r="D580" s="4" t="s">
        <v>34</v>
      </c>
      <c r="E580" s="4" t="s">
        <v>25</v>
      </c>
      <c r="F580" s="4" t="s">
        <v>25</v>
      </c>
      <c r="G580" s="4" t="s">
        <v>25</v>
      </c>
      <c r="H580" s="4" t="s">
        <v>25</v>
      </c>
      <c r="I580" s="5">
        <v>44409</v>
      </c>
      <c r="J580" s="6">
        <v>0</v>
      </c>
      <c r="K580" s="6">
        <v>0</v>
      </c>
      <c r="L580" s="6">
        <v>302.32299999999998</v>
      </c>
      <c r="M580" s="6">
        <v>302.32299999999998</v>
      </c>
      <c r="N580" s="6">
        <v>302.32299999999998</v>
      </c>
      <c r="O580" s="6">
        <v>302.32299999999998</v>
      </c>
      <c r="P580" s="6">
        <v>125</v>
      </c>
      <c r="Q580" s="4" t="s">
        <v>26</v>
      </c>
      <c r="R580" s="4">
        <v>0</v>
      </c>
      <c r="S580" s="6">
        <v>0</v>
      </c>
      <c r="T580" s="6">
        <v>33</v>
      </c>
      <c r="U580" s="6">
        <v>85</v>
      </c>
      <c r="V580" s="6">
        <f>IF(ISERROR(VLOOKUP($S$580,'TAR FIN'!$A$1:$O$86,15,0)),0,VLOOKUP($S$580,'TAR FIN'!$A$1:$O$86,15,0))</f>
        <v>0</v>
      </c>
      <c r="W580" s="6">
        <f>IF(ISERROR(VLOOKUP($T$580,'TAR FIN'!$A$1:$O$86,15,0)),0,VLOOKUP($T$580,'TAR FIN'!$A$1:$O$86,15,0))</f>
        <v>338.51</v>
      </c>
      <c r="X580" s="6">
        <f>IF(ISERROR(VLOOKUP($U$580,'TAR FIN'!$A$1:$O$86,15,0)),0,VLOOKUP($U$580,'TAR FIN'!$A$1:$O$86,15,0))</f>
        <v>224.01</v>
      </c>
      <c r="Y580" s="6"/>
      <c r="Z580" s="6">
        <f ca="1">('TUSD BE'!$AM$48+'TUSD BF'!$AM$48+'TUSD CVA'!$AM$48)*1</f>
        <v>417.58832886049538</v>
      </c>
      <c r="AA580" s="6">
        <f>('TE BE'!$AB$39+'TE BF'!$AB$39+'TE CVA'!$AB$39)*1</f>
        <v>234.64376439748159</v>
      </c>
      <c r="AB580" s="6">
        <f>$K$580*$V$580</f>
        <v>0</v>
      </c>
      <c r="AC580" s="6">
        <f>$M$580*$W$580</f>
        <v>102339.35872999999</v>
      </c>
      <c r="AD580" s="6">
        <f>$O$580*$X$580</f>
        <v>67723.375229999991</v>
      </c>
      <c r="AE580" s="6">
        <f>$K$580*$Y$580</f>
        <v>0</v>
      </c>
      <c r="AF580" s="6">
        <f ca="1">$M$580*$Z$580</f>
        <v>126246.55634609153</v>
      </c>
      <c r="AG580" s="6">
        <f>$O$580*$AA$580</f>
        <v>70938.206783939822</v>
      </c>
    </row>
    <row r="581" spans="1:33" ht="11.25" customHeight="1" x14ac:dyDescent="0.25">
      <c r="A581" s="4" t="s">
        <v>28</v>
      </c>
      <c r="B581" s="4" t="s">
        <v>33</v>
      </c>
      <c r="C581" s="4" t="s">
        <v>23</v>
      </c>
      <c r="D581" s="4" t="s">
        <v>34</v>
      </c>
      <c r="E581" s="4" t="s">
        <v>25</v>
      </c>
      <c r="F581" s="4" t="s">
        <v>25</v>
      </c>
      <c r="G581" s="4" t="s">
        <v>25</v>
      </c>
      <c r="H581" s="4" t="s">
        <v>25</v>
      </c>
      <c r="I581" s="5">
        <v>44409</v>
      </c>
      <c r="J581" s="6">
        <v>0</v>
      </c>
      <c r="K581" s="6">
        <v>0</v>
      </c>
      <c r="L581" s="6">
        <v>4.3929999999999998</v>
      </c>
      <c r="M581" s="6">
        <v>4.3929999999999998</v>
      </c>
      <c r="N581" s="6">
        <v>4.3929999999999998</v>
      </c>
      <c r="O581" s="6">
        <v>4.3929999999999998</v>
      </c>
      <c r="P581" s="6">
        <v>3</v>
      </c>
      <c r="Q581" s="4" t="s">
        <v>26</v>
      </c>
      <c r="R581" s="4">
        <v>0</v>
      </c>
      <c r="S581" s="6">
        <v>0</v>
      </c>
      <c r="T581" s="6">
        <v>33</v>
      </c>
      <c r="U581" s="6">
        <v>85</v>
      </c>
      <c r="V581" s="6">
        <f>IF(ISERROR(VLOOKUP($S$581,'TAR FIN'!$A$1:$O$86,15,0)),0,VLOOKUP($S$581,'TAR FIN'!$A$1:$O$86,15,0))</f>
        <v>0</v>
      </c>
      <c r="W581" s="6">
        <f>IF(ISERROR(VLOOKUP($T$581,'TAR FIN'!$A$1:$O$86,15,0)),0,VLOOKUP($T$581,'TAR FIN'!$A$1:$O$86,15,0))</f>
        <v>338.51</v>
      </c>
      <c r="X581" s="6">
        <f>IF(ISERROR(VLOOKUP($U$581,'TAR FIN'!$A$1:$O$86,15,0)),0,VLOOKUP($U$581,'TAR FIN'!$A$1:$O$86,15,0))</f>
        <v>224.01</v>
      </c>
      <c r="Y581" s="6"/>
      <c r="Z581" s="6">
        <f ca="1">('TUSD BE'!$AM$48+'TUSD BF'!$AM$48+'TUSD CVA'!$AM$48)*1</f>
        <v>417.58832886049538</v>
      </c>
      <c r="AA581" s="6">
        <f>('TE BE'!$AB$39+'TE BF'!$AB$39+'TE CVA'!$AB$39)*1</f>
        <v>234.64376439748159</v>
      </c>
      <c r="AB581" s="6">
        <f>$K$581*$V$581</f>
        <v>0</v>
      </c>
      <c r="AC581" s="6">
        <f>$M$581*$W$581</f>
        <v>1487.0744299999999</v>
      </c>
      <c r="AD581" s="6">
        <f>$O$581*$X$581</f>
        <v>984.07592999999986</v>
      </c>
      <c r="AE581" s="6">
        <f>$K$581*$Y$581</f>
        <v>0</v>
      </c>
      <c r="AF581" s="6">
        <f ca="1">$M$581*$Z$581</f>
        <v>1834.4655286841562</v>
      </c>
      <c r="AG581" s="6">
        <f>$O$581*$AA$581</f>
        <v>1030.7900569981366</v>
      </c>
    </row>
    <row r="582" spans="1:33" ht="11.25" customHeight="1" x14ac:dyDescent="0.25">
      <c r="A582" s="4" t="s">
        <v>21</v>
      </c>
      <c r="B582" s="4" t="s">
        <v>33</v>
      </c>
      <c r="C582" s="4" t="s">
        <v>23</v>
      </c>
      <c r="D582" s="4" t="s">
        <v>34</v>
      </c>
      <c r="E582" s="4" t="s">
        <v>25</v>
      </c>
      <c r="F582" s="4" t="s">
        <v>25</v>
      </c>
      <c r="G582" s="4" t="s">
        <v>25</v>
      </c>
      <c r="H582" s="4" t="s">
        <v>25</v>
      </c>
      <c r="I582" s="5">
        <v>44440</v>
      </c>
      <c r="J582" s="6">
        <v>0</v>
      </c>
      <c r="K582" s="6">
        <v>0</v>
      </c>
      <c r="L582" s="6">
        <v>328.53199999999998</v>
      </c>
      <c r="M582" s="6">
        <v>328.53199999999998</v>
      </c>
      <c r="N582" s="6">
        <v>328.53199999999998</v>
      </c>
      <c r="O582" s="6">
        <v>328.53199999999998</v>
      </c>
      <c r="P582" s="6">
        <v>125</v>
      </c>
      <c r="Q582" s="4" t="s">
        <v>26</v>
      </c>
      <c r="R582" s="4">
        <v>0</v>
      </c>
      <c r="S582" s="6">
        <v>0</v>
      </c>
      <c r="T582" s="6">
        <v>33</v>
      </c>
      <c r="U582" s="6">
        <v>85</v>
      </c>
      <c r="V582" s="6">
        <f>IF(ISERROR(VLOOKUP($S$582,'TAR FIN'!$A$1:$O$86,15,0)),0,VLOOKUP($S$582,'TAR FIN'!$A$1:$O$86,15,0))</f>
        <v>0</v>
      </c>
      <c r="W582" s="6">
        <f>IF(ISERROR(VLOOKUP($T$582,'TAR FIN'!$A$1:$O$86,15,0)),0,VLOOKUP($T$582,'TAR FIN'!$A$1:$O$86,15,0))</f>
        <v>338.51</v>
      </c>
      <c r="X582" s="6">
        <f>IF(ISERROR(VLOOKUP($U$582,'TAR FIN'!$A$1:$O$86,15,0)),0,VLOOKUP($U$582,'TAR FIN'!$A$1:$O$86,15,0))</f>
        <v>224.01</v>
      </c>
      <c r="Y582" s="6"/>
      <c r="Z582" s="6">
        <f ca="1">('TUSD BE'!$AM$48+'TUSD BF'!$AM$48+'TUSD CVA'!$AM$48)*1</f>
        <v>417.58832886049538</v>
      </c>
      <c r="AA582" s="6">
        <f>('TE BE'!$AB$39+'TE BF'!$AB$39+'TE CVA'!$AB$39)*1</f>
        <v>234.64376439748159</v>
      </c>
      <c r="AB582" s="6">
        <f>$K$582*$V$582</f>
        <v>0</v>
      </c>
      <c r="AC582" s="6">
        <f>$M$582*$W$582</f>
        <v>111211.36731999999</v>
      </c>
      <c r="AD582" s="6">
        <f>$O$582*$X$582</f>
        <v>73594.453319999986</v>
      </c>
      <c r="AE582" s="6">
        <f>$K$582*$Y$582</f>
        <v>0</v>
      </c>
      <c r="AF582" s="6">
        <f ca="1">$M$582*$Z$582</f>
        <v>137191.12885719625</v>
      </c>
      <c r="AG582" s="6">
        <f>$O$582*$AA$582</f>
        <v>77087.985205033416</v>
      </c>
    </row>
    <row r="583" spans="1:33" ht="11.25" customHeight="1" x14ac:dyDescent="0.25">
      <c r="A583" s="4" t="s">
        <v>28</v>
      </c>
      <c r="B583" s="4" t="s">
        <v>33</v>
      </c>
      <c r="C583" s="4" t="s">
        <v>23</v>
      </c>
      <c r="D583" s="4" t="s">
        <v>34</v>
      </c>
      <c r="E583" s="4" t="s">
        <v>25</v>
      </c>
      <c r="F583" s="4" t="s">
        <v>25</v>
      </c>
      <c r="G583" s="4" t="s">
        <v>25</v>
      </c>
      <c r="H583" s="4" t="s">
        <v>25</v>
      </c>
      <c r="I583" s="5">
        <v>44440</v>
      </c>
      <c r="J583" s="6">
        <v>0</v>
      </c>
      <c r="K583" s="6">
        <v>0</v>
      </c>
      <c r="L583" s="6">
        <v>3.1440000000000001</v>
      </c>
      <c r="M583" s="6">
        <v>3.1440000000000001</v>
      </c>
      <c r="N583" s="6">
        <v>3.1440000000000001</v>
      </c>
      <c r="O583" s="6">
        <v>3.1440000000000001</v>
      </c>
      <c r="P583" s="6">
        <v>3</v>
      </c>
      <c r="Q583" s="4" t="s">
        <v>26</v>
      </c>
      <c r="R583" s="4">
        <v>0</v>
      </c>
      <c r="S583" s="6">
        <v>0</v>
      </c>
      <c r="T583" s="6">
        <v>33</v>
      </c>
      <c r="U583" s="6">
        <v>85</v>
      </c>
      <c r="V583" s="6">
        <f>IF(ISERROR(VLOOKUP($S$583,'TAR FIN'!$A$1:$O$86,15,0)),0,VLOOKUP($S$583,'TAR FIN'!$A$1:$O$86,15,0))</f>
        <v>0</v>
      </c>
      <c r="W583" s="6">
        <f>IF(ISERROR(VLOOKUP($T$583,'TAR FIN'!$A$1:$O$86,15,0)),0,VLOOKUP($T$583,'TAR FIN'!$A$1:$O$86,15,0))</f>
        <v>338.51</v>
      </c>
      <c r="X583" s="6">
        <f>IF(ISERROR(VLOOKUP($U$583,'TAR FIN'!$A$1:$O$86,15,0)),0,VLOOKUP($U$583,'TAR FIN'!$A$1:$O$86,15,0))</f>
        <v>224.01</v>
      </c>
      <c r="Y583" s="6"/>
      <c r="Z583" s="6">
        <f ca="1">('TUSD BE'!$AM$48+'TUSD BF'!$AM$48+'TUSD CVA'!$AM$48)*1</f>
        <v>417.58832886049538</v>
      </c>
      <c r="AA583" s="6">
        <f>('TE BE'!$AB$39+'TE BF'!$AB$39+'TE CVA'!$AB$39)*1</f>
        <v>234.64376439748159</v>
      </c>
      <c r="AB583" s="6">
        <f>$K$583*$V$583</f>
        <v>0</v>
      </c>
      <c r="AC583" s="6">
        <f>$M$583*$W$583</f>
        <v>1064.2754400000001</v>
      </c>
      <c r="AD583" s="6">
        <f>$O$583*$X$583</f>
        <v>704.28743999999995</v>
      </c>
      <c r="AE583" s="6">
        <f>$K$583*$Y$583</f>
        <v>0</v>
      </c>
      <c r="AF583" s="6">
        <f ca="1">$M$583*$Z$583</f>
        <v>1312.8977059373976</v>
      </c>
      <c r="AG583" s="6">
        <f>$O$583*$AA$583</f>
        <v>737.7199952656822</v>
      </c>
    </row>
    <row r="584" spans="1:33" ht="11.25" customHeight="1" x14ac:dyDescent="0.25">
      <c r="A584" s="4" t="s">
        <v>21</v>
      </c>
      <c r="B584" s="4" t="s">
        <v>33</v>
      </c>
      <c r="C584" s="4" t="s">
        <v>23</v>
      </c>
      <c r="D584" s="4" t="s">
        <v>34</v>
      </c>
      <c r="E584" s="4" t="s">
        <v>25</v>
      </c>
      <c r="F584" s="4" t="s">
        <v>25</v>
      </c>
      <c r="G584" s="4" t="s">
        <v>25</v>
      </c>
      <c r="H584" s="4" t="s">
        <v>25</v>
      </c>
      <c r="I584" s="5">
        <v>44470</v>
      </c>
      <c r="J584" s="6">
        <v>0</v>
      </c>
      <c r="K584" s="6">
        <v>0</v>
      </c>
      <c r="L584" s="6">
        <v>301.72000000000003</v>
      </c>
      <c r="M584" s="6">
        <v>301.72000000000003</v>
      </c>
      <c r="N584" s="6">
        <v>301.72000000000003</v>
      </c>
      <c r="O584" s="6">
        <v>301.72000000000003</v>
      </c>
      <c r="P584" s="6">
        <v>125</v>
      </c>
      <c r="Q584" s="4" t="s">
        <v>26</v>
      </c>
      <c r="R584" s="4">
        <v>0</v>
      </c>
      <c r="S584" s="6">
        <v>0</v>
      </c>
      <c r="T584" s="6">
        <v>33</v>
      </c>
      <c r="U584" s="6">
        <v>85</v>
      </c>
      <c r="V584" s="6">
        <f>IF(ISERROR(VLOOKUP($S$584,'TAR FIN'!$A$1:$O$86,15,0)),0,VLOOKUP($S$584,'TAR FIN'!$A$1:$O$86,15,0))</f>
        <v>0</v>
      </c>
      <c r="W584" s="6">
        <f>IF(ISERROR(VLOOKUP($T$584,'TAR FIN'!$A$1:$O$86,15,0)),0,VLOOKUP($T$584,'TAR FIN'!$A$1:$O$86,15,0))</f>
        <v>338.51</v>
      </c>
      <c r="X584" s="6">
        <f>IF(ISERROR(VLOOKUP($U$584,'TAR FIN'!$A$1:$O$86,15,0)),0,VLOOKUP($U$584,'TAR FIN'!$A$1:$O$86,15,0))</f>
        <v>224.01</v>
      </c>
      <c r="Y584" s="6"/>
      <c r="Z584" s="6">
        <f ca="1">('TUSD BE'!$AM$48+'TUSD BF'!$AM$48+'TUSD CVA'!$AM$48)*1</f>
        <v>417.58832886049538</v>
      </c>
      <c r="AA584" s="6">
        <f>('TE BE'!$AB$39+'TE BF'!$AB$39+'TE CVA'!$AB$39)*1</f>
        <v>234.64376439748159</v>
      </c>
      <c r="AB584" s="6">
        <f>$K$584*$V$584</f>
        <v>0</v>
      </c>
      <c r="AC584" s="6">
        <f>$M$584*$W$584</f>
        <v>102135.2372</v>
      </c>
      <c r="AD584" s="6">
        <f>$O$584*$X$584</f>
        <v>67588.297200000001</v>
      </c>
      <c r="AE584" s="6">
        <f>$K$584*$Y$584</f>
        <v>0</v>
      </c>
      <c r="AF584" s="6">
        <f ca="1">$M$584*$Z$584</f>
        <v>125994.75058378867</v>
      </c>
      <c r="AG584" s="6">
        <f>$O$584*$AA$584</f>
        <v>70796.716594008147</v>
      </c>
    </row>
    <row r="585" spans="1:33" ht="11.25" customHeight="1" x14ac:dyDescent="0.25">
      <c r="A585" s="4" t="s">
        <v>28</v>
      </c>
      <c r="B585" s="4" t="s">
        <v>33</v>
      </c>
      <c r="C585" s="4" t="s">
        <v>23</v>
      </c>
      <c r="D585" s="4" t="s">
        <v>34</v>
      </c>
      <c r="E585" s="4" t="s">
        <v>25</v>
      </c>
      <c r="F585" s="4" t="s">
        <v>25</v>
      </c>
      <c r="G585" s="4" t="s">
        <v>25</v>
      </c>
      <c r="H585" s="4" t="s">
        <v>25</v>
      </c>
      <c r="I585" s="5">
        <v>44470</v>
      </c>
      <c r="J585" s="6">
        <v>0</v>
      </c>
      <c r="K585" s="6">
        <v>0</v>
      </c>
      <c r="L585" s="6">
        <v>1.8009999999999999</v>
      </c>
      <c r="M585" s="6">
        <v>1.8009999999999999</v>
      </c>
      <c r="N585" s="6">
        <v>1.8009999999999999</v>
      </c>
      <c r="O585" s="6">
        <v>1.8009999999999999</v>
      </c>
      <c r="P585" s="6">
        <v>3</v>
      </c>
      <c r="Q585" s="4" t="s">
        <v>26</v>
      </c>
      <c r="R585" s="4">
        <v>0</v>
      </c>
      <c r="S585" s="6">
        <v>0</v>
      </c>
      <c r="T585" s="6">
        <v>33</v>
      </c>
      <c r="U585" s="6">
        <v>85</v>
      </c>
      <c r="V585" s="6">
        <f>IF(ISERROR(VLOOKUP($S$585,'TAR FIN'!$A$1:$O$86,15,0)),0,VLOOKUP($S$585,'TAR FIN'!$A$1:$O$86,15,0))</f>
        <v>0</v>
      </c>
      <c r="W585" s="6">
        <f>IF(ISERROR(VLOOKUP($T$585,'TAR FIN'!$A$1:$O$86,15,0)),0,VLOOKUP($T$585,'TAR FIN'!$A$1:$O$86,15,0))</f>
        <v>338.51</v>
      </c>
      <c r="X585" s="6">
        <f>IF(ISERROR(VLOOKUP($U$585,'TAR FIN'!$A$1:$O$86,15,0)),0,VLOOKUP($U$585,'TAR FIN'!$A$1:$O$86,15,0))</f>
        <v>224.01</v>
      </c>
      <c r="Y585" s="6"/>
      <c r="Z585" s="6">
        <f ca="1">('TUSD BE'!$AM$48+'TUSD BF'!$AM$48+'TUSD CVA'!$AM$48)*1</f>
        <v>417.58832886049538</v>
      </c>
      <c r="AA585" s="6">
        <f>('TE BE'!$AB$39+'TE BF'!$AB$39+'TE CVA'!$AB$39)*1</f>
        <v>234.64376439748159</v>
      </c>
      <c r="AB585" s="6">
        <f>$K$585*$V$585</f>
        <v>0</v>
      </c>
      <c r="AC585" s="6">
        <f>$M$585*$W$585</f>
        <v>609.65650999999991</v>
      </c>
      <c r="AD585" s="6">
        <f>$O$585*$X$585</f>
        <v>403.44200999999998</v>
      </c>
      <c r="AE585" s="6">
        <f>$K$585*$Y$585</f>
        <v>0</v>
      </c>
      <c r="AF585" s="6">
        <f ca="1">$M$585*$Z$585</f>
        <v>752.0765802777521</v>
      </c>
      <c r="AG585" s="6">
        <f>$O$585*$AA$585</f>
        <v>422.59341967986433</v>
      </c>
    </row>
    <row r="586" spans="1:33" ht="11.25" customHeight="1" x14ac:dyDescent="0.25">
      <c r="A586" s="4" t="s">
        <v>21</v>
      </c>
      <c r="B586" s="4" t="s">
        <v>33</v>
      </c>
      <c r="C586" s="4" t="s">
        <v>23</v>
      </c>
      <c r="D586" s="4" t="s">
        <v>34</v>
      </c>
      <c r="E586" s="4" t="s">
        <v>25</v>
      </c>
      <c r="F586" s="4" t="s">
        <v>25</v>
      </c>
      <c r="G586" s="4" t="s">
        <v>25</v>
      </c>
      <c r="H586" s="4" t="s">
        <v>25</v>
      </c>
      <c r="I586" s="5">
        <v>44501</v>
      </c>
      <c r="J586" s="6">
        <v>0</v>
      </c>
      <c r="K586" s="6">
        <v>0</v>
      </c>
      <c r="L586" s="6">
        <v>306.78500000000003</v>
      </c>
      <c r="M586" s="6">
        <v>306.78500000000003</v>
      </c>
      <c r="N586" s="6">
        <v>306.78500000000003</v>
      </c>
      <c r="O586" s="6">
        <v>306.78500000000003</v>
      </c>
      <c r="P586" s="6">
        <v>126</v>
      </c>
      <c r="Q586" s="4" t="s">
        <v>26</v>
      </c>
      <c r="R586" s="4">
        <v>0</v>
      </c>
      <c r="S586" s="6">
        <v>0</v>
      </c>
      <c r="T586" s="6">
        <v>33</v>
      </c>
      <c r="U586" s="6">
        <v>85</v>
      </c>
      <c r="V586" s="6">
        <f>IF(ISERROR(VLOOKUP($S$586,'TAR FIN'!$A$1:$O$86,15,0)),0,VLOOKUP($S$586,'TAR FIN'!$A$1:$O$86,15,0))</f>
        <v>0</v>
      </c>
      <c r="W586" s="6">
        <f>IF(ISERROR(VLOOKUP($T$586,'TAR FIN'!$A$1:$O$86,15,0)),0,VLOOKUP($T$586,'TAR FIN'!$A$1:$O$86,15,0))</f>
        <v>338.51</v>
      </c>
      <c r="X586" s="6">
        <f>IF(ISERROR(VLOOKUP($U$586,'TAR FIN'!$A$1:$O$86,15,0)),0,VLOOKUP($U$586,'TAR FIN'!$A$1:$O$86,15,0))</f>
        <v>224.01</v>
      </c>
      <c r="Y586" s="6"/>
      <c r="Z586" s="6">
        <f ca="1">('TUSD BE'!$AM$48+'TUSD BF'!$AM$48+'TUSD CVA'!$AM$48)*1</f>
        <v>417.58832886049538</v>
      </c>
      <c r="AA586" s="6">
        <f>('TE BE'!$AB$39+'TE BF'!$AB$39+'TE CVA'!$AB$39)*1</f>
        <v>234.64376439748159</v>
      </c>
      <c r="AB586" s="6">
        <f>$K$586*$V$586</f>
        <v>0</v>
      </c>
      <c r="AC586" s="6">
        <f>$M$586*$W$586</f>
        <v>103849.79035000001</v>
      </c>
      <c r="AD586" s="6">
        <f>$O$586*$X$586</f>
        <v>68722.907850000003</v>
      </c>
      <c r="AE586" s="6">
        <f>$K$586*$Y$586</f>
        <v>0</v>
      </c>
      <c r="AF586" s="6">
        <f ca="1">$M$586*$Z$586</f>
        <v>128109.83546946709</v>
      </c>
      <c r="AG586" s="6">
        <f>$O$586*$AA$586</f>
        <v>71985.187260681399</v>
      </c>
    </row>
    <row r="587" spans="1:33" ht="11.25" customHeight="1" x14ac:dyDescent="0.25">
      <c r="A587" s="4" t="s">
        <v>28</v>
      </c>
      <c r="B587" s="4" t="s">
        <v>33</v>
      </c>
      <c r="C587" s="4" t="s">
        <v>23</v>
      </c>
      <c r="D587" s="4" t="s">
        <v>34</v>
      </c>
      <c r="E587" s="4" t="s">
        <v>25</v>
      </c>
      <c r="F587" s="4" t="s">
        <v>25</v>
      </c>
      <c r="G587" s="4" t="s">
        <v>25</v>
      </c>
      <c r="H587" s="4" t="s">
        <v>25</v>
      </c>
      <c r="I587" s="5">
        <v>44501</v>
      </c>
      <c r="J587" s="6">
        <v>0</v>
      </c>
      <c r="K587" s="6">
        <v>0</v>
      </c>
      <c r="L587" s="6">
        <v>0.3</v>
      </c>
      <c r="M587" s="6">
        <v>0.3</v>
      </c>
      <c r="N587" s="6">
        <v>0.3</v>
      </c>
      <c r="O587" s="6">
        <v>0.3</v>
      </c>
      <c r="P587" s="6">
        <v>3</v>
      </c>
      <c r="Q587" s="4" t="s">
        <v>26</v>
      </c>
      <c r="R587" s="4">
        <v>0</v>
      </c>
      <c r="S587" s="6">
        <v>0</v>
      </c>
      <c r="T587" s="6">
        <v>33</v>
      </c>
      <c r="U587" s="6">
        <v>85</v>
      </c>
      <c r="V587" s="6">
        <f>IF(ISERROR(VLOOKUP($S$587,'TAR FIN'!$A$1:$O$86,15,0)),0,VLOOKUP($S$587,'TAR FIN'!$A$1:$O$86,15,0))</f>
        <v>0</v>
      </c>
      <c r="W587" s="6">
        <f>IF(ISERROR(VLOOKUP($T$587,'TAR FIN'!$A$1:$O$86,15,0)),0,VLOOKUP($T$587,'TAR FIN'!$A$1:$O$86,15,0))</f>
        <v>338.51</v>
      </c>
      <c r="X587" s="6">
        <f>IF(ISERROR(VLOOKUP($U$587,'TAR FIN'!$A$1:$O$86,15,0)),0,VLOOKUP($U$587,'TAR FIN'!$A$1:$O$86,15,0))</f>
        <v>224.01</v>
      </c>
      <c r="Y587" s="6"/>
      <c r="Z587" s="6">
        <f ca="1">('TUSD BE'!$AM$48+'TUSD BF'!$AM$48+'TUSD CVA'!$AM$48)*1</f>
        <v>417.58832886049538</v>
      </c>
      <c r="AA587" s="6">
        <f>('TE BE'!$AB$39+'TE BF'!$AB$39+'TE CVA'!$AB$39)*1</f>
        <v>234.64376439748159</v>
      </c>
      <c r="AB587" s="6">
        <f>$K$587*$V$587</f>
        <v>0</v>
      </c>
      <c r="AC587" s="6">
        <f>$M$587*$W$587</f>
        <v>101.553</v>
      </c>
      <c r="AD587" s="6">
        <f>$O$587*$X$587</f>
        <v>67.202999999999989</v>
      </c>
      <c r="AE587" s="6">
        <f>$K$587*$Y$587</f>
        <v>0</v>
      </c>
      <c r="AF587" s="6">
        <f ca="1">$M$587*$Z$587</f>
        <v>125.27649865814861</v>
      </c>
      <c r="AG587" s="6">
        <f>$O$587*$AA$587</f>
        <v>70.39312931924448</v>
      </c>
    </row>
    <row r="588" spans="1:33" ht="11.25" customHeight="1" x14ac:dyDescent="0.25">
      <c r="A588" s="4" t="s">
        <v>21</v>
      </c>
      <c r="B588" s="4" t="s">
        <v>33</v>
      </c>
      <c r="C588" s="4" t="s">
        <v>23</v>
      </c>
      <c r="D588" s="4" t="s">
        <v>34</v>
      </c>
      <c r="E588" s="4" t="s">
        <v>25</v>
      </c>
      <c r="F588" s="4" t="s">
        <v>25</v>
      </c>
      <c r="G588" s="4" t="s">
        <v>25</v>
      </c>
      <c r="H588" s="4" t="s">
        <v>25</v>
      </c>
      <c r="I588" s="5">
        <v>44531</v>
      </c>
      <c r="J588" s="6">
        <v>0</v>
      </c>
      <c r="K588" s="6">
        <v>0</v>
      </c>
      <c r="L588" s="6">
        <v>287.49400000000003</v>
      </c>
      <c r="M588" s="6">
        <v>287.49400000000003</v>
      </c>
      <c r="N588" s="6">
        <v>287.49400000000003</v>
      </c>
      <c r="O588" s="6">
        <v>287.49400000000003</v>
      </c>
      <c r="P588" s="6">
        <v>126</v>
      </c>
      <c r="Q588" s="4" t="s">
        <v>26</v>
      </c>
      <c r="R588" s="4">
        <v>0</v>
      </c>
      <c r="S588" s="6">
        <v>0</v>
      </c>
      <c r="T588" s="6">
        <v>33</v>
      </c>
      <c r="U588" s="6">
        <v>85</v>
      </c>
      <c r="V588" s="6">
        <f>IF(ISERROR(VLOOKUP($S$588,'TAR FIN'!$A$1:$O$86,15,0)),0,VLOOKUP($S$588,'TAR FIN'!$A$1:$O$86,15,0))</f>
        <v>0</v>
      </c>
      <c r="W588" s="6">
        <f>IF(ISERROR(VLOOKUP($T$588,'TAR FIN'!$A$1:$O$86,15,0)),0,VLOOKUP($T$588,'TAR FIN'!$A$1:$O$86,15,0))</f>
        <v>338.51</v>
      </c>
      <c r="X588" s="6">
        <f>IF(ISERROR(VLOOKUP($U$588,'TAR FIN'!$A$1:$O$86,15,0)),0,VLOOKUP($U$588,'TAR FIN'!$A$1:$O$86,15,0))</f>
        <v>224.01</v>
      </c>
      <c r="Y588" s="6"/>
      <c r="Z588" s="6">
        <f ca="1">('TUSD BE'!$AM$48+'TUSD BF'!$AM$48+'TUSD CVA'!$AM$48)*1</f>
        <v>417.58832886049538</v>
      </c>
      <c r="AA588" s="6">
        <f>('TE BE'!$AB$39+'TE BF'!$AB$39+'TE CVA'!$AB$39)*1</f>
        <v>234.64376439748159</v>
      </c>
      <c r="AB588" s="6">
        <f>$K$588*$V$588</f>
        <v>0</v>
      </c>
      <c r="AC588" s="6">
        <f>$M$588*$W$588</f>
        <v>97319.593940000006</v>
      </c>
      <c r="AD588" s="6">
        <f>$O$588*$X$588</f>
        <v>64401.530940000004</v>
      </c>
      <c r="AE588" s="6">
        <f>$K$588*$Y$588</f>
        <v>0</v>
      </c>
      <c r="AF588" s="6">
        <f ca="1">$M$588*$Z$588</f>
        <v>120054.13901741926</v>
      </c>
      <c r="AG588" s="6">
        <f>$O$588*$AA$588</f>
        <v>67458.674401689583</v>
      </c>
    </row>
    <row r="589" spans="1:33" ht="11.25" customHeight="1" x14ac:dyDescent="0.25">
      <c r="A589" s="4" t="s">
        <v>28</v>
      </c>
      <c r="B589" s="4" t="s">
        <v>33</v>
      </c>
      <c r="C589" s="4" t="s">
        <v>23</v>
      </c>
      <c r="D589" s="4" t="s">
        <v>34</v>
      </c>
      <c r="E589" s="4" t="s">
        <v>25</v>
      </c>
      <c r="F589" s="4" t="s">
        <v>25</v>
      </c>
      <c r="G589" s="4" t="s">
        <v>25</v>
      </c>
      <c r="H589" s="4" t="s">
        <v>25</v>
      </c>
      <c r="I589" s="5">
        <v>44531</v>
      </c>
      <c r="J589" s="6">
        <v>0</v>
      </c>
      <c r="K589" s="6">
        <v>0</v>
      </c>
      <c r="L589" s="6">
        <v>3.3220000000000001</v>
      </c>
      <c r="M589" s="6">
        <v>3.3220000000000001</v>
      </c>
      <c r="N589" s="6">
        <v>3.3220000000000001</v>
      </c>
      <c r="O589" s="6">
        <v>3.3220000000000001</v>
      </c>
      <c r="P589" s="6">
        <v>3</v>
      </c>
      <c r="Q589" s="4" t="s">
        <v>26</v>
      </c>
      <c r="R589" s="4">
        <v>0</v>
      </c>
      <c r="S589" s="6">
        <v>0</v>
      </c>
      <c r="T589" s="6">
        <v>33</v>
      </c>
      <c r="U589" s="6">
        <v>85</v>
      </c>
      <c r="V589" s="6">
        <f>IF(ISERROR(VLOOKUP($S$589,'TAR FIN'!$A$1:$O$86,15,0)),0,VLOOKUP($S$589,'TAR FIN'!$A$1:$O$86,15,0))</f>
        <v>0</v>
      </c>
      <c r="W589" s="6">
        <f>IF(ISERROR(VLOOKUP($T$589,'TAR FIN'!$A$1:$O$86,15,0)),0,VLOOKUP($T$589,'TAR FIN'!$A$1:$O$86,15,0))</f>
        <v>338.51</v>
      </c>
      <c r="X589" s="6">
        <f>IF(ISERROR(VLOOKUP($U$589,'TAR FIN'!$A$1:$O$86,15,0)),0,VLOOKUP($U$589,'TAR FIN'!$A$1:$O$86,15,0))</f>
        <v>224.01</v>
      </c>
      <c r="Y589" s="6"/>
      <c r="Z589" s="6">
        <f ca="1">('TUSD BE'!$AM$48+'TUSD BF'!$AM$48+'TUSD CVA'!$AM$48)*1</f>
        <v>417.58832886049538</v>
      </c>
      <c r="AA589" s="6">
        <f>('TE BE'!$AB$39+'TE BF'!$AB$39+'TE CVA'!$AB$39)*1</f>
        <v>234.64376439748159</v>
      </c>
      <c r="AB589" s="6">
        <f>$K$589*$V$589</f>
        <v>0</v>
      </c>
      <c r="AC589" s="6">
        <f>$M$589*$W$589</f>
        <v>1124.5302200000001</v>
      </c>
      <c r="AD589" s="6">
        <f>$O$589*$X$589</f>
        <v>744.16121999999996</v>
      </c>
      <c r="AE589" s="6">
        <f>$K$589*$Y$589</f>
        <v>0</v>
      </c>
      <c r="AF589" s="6">
        <f ca="1">$M$589*$Z$589</f>
        <v>1387.2284284745656</v>
      </c>
      <c r="AG589" s="6">
        <f>$O$589*$AA$589</f>
        <v>779.48658532843388</v>
      </c>
    </row>
    <row r="590" spans="1:33" ht="11.25" customHeight="1" x14ac:dyDescent="0.25">
      <c r="A590" s="4" t="s">
        <v>21</v>
      </c>
      <c r="B590" s="4" t="s">
        <v>33</v>
      </c>
      <c r="C590" s="4" t="s">
        <v>23</v>
      </c>
      <c r="D590" s="4" t="s">
        <v>34</v>
      </c>
      <c r="E590" s="4" t="s">
        <v>25</v>
      </c>
      <c r="F590" s="4" t="s">
        <v>25</v>
      </c>
      <c r="G590" s="4" t="s">
        <v>25</v>
      </c>
      <c r="H590" s="4" t="s">
        <v>25</v>
      </c>
      <c r="I590" s="5">
        <v>44562</v>
      </c>
      <c r="J590" s="6">
        <v>0</v>
      </c>
      <c r="K590" s="6">
        <v>0</v>
      </c>
      <c r="L590" s="6">
        <v>255.00800000000001</v>
      </c>
      <c r="M590" s="6">
        <v>255.00800000000001</v>
      </c>
      <c r="N590" s="6">
        <v>255.00800000000001</v>
      </c>
      <c r="O590" s="6">
        <v>255.00800000000001</v>
      </c>
      <c r="P590" s="6">
        <v>125</v>
      </c>
      <c r="Q590" s="4" t="s">
        <v>26</v>
      </c>
      <c r="R590" s="4">
        <v>0</v>
      </c>
      <c r="S590" s="6">
        <v>0</v>
      </c>
      <c r="T590" s="6">
        <v>33</v>
      </c>
      <c r="U590" s="6">
        <v>85</v>
      </c>
      <c r="V590" s="6">
        <f>IF(ISERROR(VLOOKUP($S$590,'TAR FIN'!$A$1:$O$86,15,0)),0,VLOOKUP($S$590,'TAR FIN'!$A$1:$O$86,15,0))</f>
        <v>0</v>
      </c>
      <c r="W590" s="6">
        <f>IF(ISERROR(VLOOKUP($T$590,'TAR FIN'!$A$1:$O$86,15,0)),0,VLOOKUP($T$590,'TAR FIN'!$A$1:$O$86,15,0))</f>
        <v>338.51</v>
      </c>
      <c r="X590" s="6">
        <f>IF(ISERROR(VLOOKUP($U$590,'TAR FIN'!$A$1:$O$86,15,0)),0,VLOOKUP($U$590,'TAR FIN'!$A$1:$O$86,15,0))</f>
        <v>224.01</v>
      </c>
      <c r="Y590" s="6"/>
      <c r="Z590" s="6">
        <f ca="1">('TUSD BE'!$AM$48+'TUSD BF'!$AM$48+'TUSD CVA'!$AM$48)*1</f>
        <v>417.58832886049538</v>
      </c>
      <c r="AA590" s="6">
        <f>('TE BE'!$AB$39+'TE BF'!$AB$39+'TE CVA'!$AB$39)*1</f>
        <v>234.64376439748159</v>
      </c>
      <c r="AB590" s="6">
        <f>$K$590*$V$590</f>
        <v>0</v>
      </c>
      <c r="AC590" s="6">
        <f>$M$590*$W$590</f>
        <v>86322.75808</v>
      </c>
      <c r="AD590" s="6">
        <f>$O$590*$X$590</f>
        <v>57124.342080000002</v>
      </c>
      <c r="AE590" s="6">
        <f>$K$590*$Y$590</f>
        <v>0</v>
      </c>
      <c r="AF590" s="6">
        <f ca="1">$M$590*$Z$590</f>
        <v>106488.36456605721</v>
      </c>
      <c r="AG590" s="6">
        <f>$O$590*$AA$590</f>
        <v>59836.037071472987</v>
      </c>
    </row>
    <row r="591" spans="1:33" ht="11.25" customHeight="1" x14ac:dyDescent="0.25">
      <c r="A591" s="4" t="s">
        <v>28</v>
      </c>
      <c r="B591" s="4" t="s">
        <v>33</v>
      </c>
      <c r="C591" s="4" t="s">
        <v>23</v>
      </c>
      <c r="D591" s="4" t="s">
        <v>34</v>
      </c>
      <c r="E591" s="4" t="s">
        <v>25</v>
      </c>
      <c r="F591" s="4" t="s">
        <v>25</v>
      </c>
      <c r="G591" s="4" t="s">
        <v>25</v>
      </c>
      <c r="H591" s="4" t="s">
        <v>25</v>
      </c>
      <c r="I591" s="5">
        <v>44562</v>
      </c>
      <c r="J591" s="6">
        <v>0</v>
      </c>
      <c r="K591" s="6">
        <v>0</v>
      </c>
      <c r="L591" s="6">
        <v>10.545</v>
      </c>
      <c r="M591" s="6">
        <v>10.545</v>
      </c>
      <c r="N591" s="6">
        <v>10.545</v>
      </c>
      <c r="O591" s="6">
        <v>10.545</v>
      </c>
      <c r="P591" s="6">
        <v>5</v>
      </c>
      <c r="Q591" s="4" t="s">
        <v>26</v>
      </c>
      <c r="R591" s="4">
        <v>0</v>
      </c>
      <c r="S591" s="6">
        <v>0</v>
      </c>
      <c r="T591" s="6">
        <v>33</v>
      </c>
      <c r="U591" s="6">
        <v>85</v>
      </c>
      <c r="V591" s="6">
        <f>IF(ISERROR(VLOOKUP($S$591,'TAR FIN'!$A$1:$O$86,15,0)),0,VLOOKUP($S$591,'TAR FIN'!$A$1:$O$86,15,0))</f>
        <v>0</v>
      </c>
      <c r="W591" s="6">
        <f>IF(ISERROR(VLOOKUP($T$591,'TAR FIN'!$A$1:$O$86,15,0)),0,VLOOKUP($T$591,'TAR FIN'!$A$1:$O$86,15,0))</f>
        <v>338.51</v>
      </c>
      <c r="X591" s="6">
        <f>IF(ISERROR(VLOOKUP($U$591,'TAR FIN'!$A$1:$O$86,15,0)),0,VLOOKUP($U$591,'TAR FIN'!$A$1:$O$86,15,0))</f>
        <v>224.01</v>
      </c>
      <c r="Y591" s="6"/>
      <c r="Z591" s="6">
        <f ca="1">('TUSD BE'!$AM$48+'TUSD BF'!$AM$48+'TUSD CVA'!$AM$48)*1</f>
        <v>417.58832886049538</v>
      </c>
      <c r="AA591" s="6">
        <f>('TE BE'!$AB$39+'TE BF'!$AB$39+'TE CVA'!$AB$39)*1</f>
        <v>234.64376439748159</v>
      </c>
      <c r="AB591" s="6">
        <f>$K$591*$V$591</f>
        <v>0</v>
      </c>
      <c r="AC591" s="6">
        <f>$M$591*$W$591</f>
        <v>3569.5879500000001</v>
      </c>
      <c r="AD591" s="6">
        <f>$O$591*$X$591</f>
        <v>2362.1854499999999</v>
      </c>
      <c r="AE591" s="6">
        <f>$K$591*$Y$591</f>
        <v>0</v>
      </c>
      <c r="AF591" s="6">
        <f ca="1">$M$591*$Z$591</f>
        <v>4403.4689278339238</v>
      </c>
      <c r="AG591" s="6">
        <f>$O$591*$AA$591</f>
        <v>2474.3184955714432</v>
      </c>
    </row>
    <row r="592" spans="1:33" ht="11.25" customHeight="1" x14ac:dyDescent="0.25">
      <c r="A592" s="4" t="s">
        <v>21</v>
      </c>
      <c r="B592" s="4" t="s">
        <v>33</v>
      </c>
      <c r="C592" s="4" t="s">
        <v>23</v>
      </c>
      <c r="D592" s="4" t="s">
        <v>34</v>
      </c>
      <c r="E592" s="4" t="s">
        <v>25</v>
      </c>
      <c r="F592" s="4" t="s">
        <v>25</v>
      </c>
      <c r="G592" s="4" t="s">
        <v>25</v>
      </c>
      <c r="H592" s="4" t="s">
        <v>25</v>
      </c>
      <c r="I592" s="5">
        <v>44593</v>
      </c>
      <c r="J592" s="6">
        <v>0</v>
      </c>
      <c r="K592" s="6">
        <v>0</v>
      </c>
      <c r="L592" s="6">
        <v>307.94400000000002</v>
      </c>
      <c r="M592" s="6">
        <v>307.94400000000002</v>
      </c>
      <c r="N592" s="6">
        <v>307.94400000000002</v>
      </c>
      <c r="O592" s="6">
        <v>307.94400000000002</v>
      </c>
      <c r="P592" s="6">
        <v>127</v>
      </c>
      <c r="Q592" s="4" t="s">
        <v>26</v>
      </c>
      <c r="R592" s="4">
        <v>0</v>
      </c>
      <c r="S592" s="6">
        <v>0</v>
      </c>
      <c r="T592" s="6">
        <v>33</v>
      </c>
      <c r="U592" s="6">
        <v>85</v>
      </c>
      <c r="V592" s="6">
        <f>IF(ISERROR(VLOOKUP($S$592,'TAR FIN'!$A$1:$O$86,15,0)),0,VLOOKUP($S$592,'TAR FIN'!$A$1:$O$86,15,0))</f>
        <v>0</v>
      </c>
      <c r="W592" s="6">
        <f>IF(ISERROR(VLOOKUP($T$592,'TAR FIN'!$A$1:$O$86,15,0)),0,VLOOKUP($T$592,'TAR FIN'!$A$1:$O$86,15,0))</f>
        <v>338.51</v>
      </c>
      <c r="X592" s="6">
        <f>IF(ISERROR(VLOOKUP($U$592,'TAR FIN'!$A$1:$O$86,15,0)),0,VLOOKUP($U$592,'TAR FIN'!$A$1:$O$86,15,0))</f>
        <v>224.01</v>
      </c>
      <c r="Y592" s="6"/>
      <c r="Z592" s="6">
        <f ca="1">('TUSD BE'!$AM$48+'TUSD BF'!$AM$48+'TUSD CVA'!$AM$48)*1</f>
        <v>417.58832886049538</v>
      </c>
      <c r="AA592" s="6">
        <f>('TE BE'!$AB$39+'TE BF'!$AB$39+'TE CVA'!$AB$39)*1</f>
        <v>234.64376439748159</v>
      </c>
      <c r="AB592" s="6">
        <f>$K$592*$V$592</f>
        <v>0</v>
      </c>
      <c r="AC592" s="6">
        <f>$M$592*$W$592</f>
        <v>104242.12344</v>
      </c>
      <c r="AD592" s="6">
        <f>$O$592*$X$592</f>
        <v>68982.535440000007</v>
      </c>
      <c r="AE592" s="6">
        <f>$K$592*$Y$592</f>
        <v>0</v>
      </c>
      <c r="AF592" s="6">
        <f ca="1">$M$592*$Z$592</f>
        <v>128593.8203426164</v>
      </c>
      <c r="AG592" s="6">
        <f>$O$592*$AA$592</f>
        <v>72257.13938361808</v>
      </c>
    </row>
    <row r="593" spans="1:33" ht="11.25" customHeight="1" x14ac:dyDescent="0.25">
      <c r="A593" s="4" t="s">
        <v>28</v>
      </c>
      <c r="B593" s="4" t="s">
        <v>33</v>
      </c>
      <c r="C593" s="4" t="s">
        <v>23</v>
      </c>
      <c r="D593" s="4" t="s">
        <v>34</v>
      </c>
      <c r="E593" s="4" t="s">
        <v>25</v>
      </c>
      <c r="F593" s="4" t="s">
        <v>25</v>
      </c>
      <c r="G593" s="4" t="s">
        <v>25</v>
      </c>
      <c r="H593" s="4" t="s">
        <v>25</v>
      </c>
      <c r="I593" s="5">
        <v>44593</v>
      </c>
      <c r="J593" s="6">
        <v>0</v>
      </c>
      <c r="K593" s="6">
        <v>0</v>
      </c>
      <c r="L593" s="6">
        <v>7.2309999999999999</v>
      </c>
      <c r="M593" s="6">
        <v>7.2309999999999999</v>
      </c>
      <c r="N593" s="6">
        <v>7.2309999999999999</v>
      </c>
      <c r="O593" s="6">
        <v>7.2309999999999999</v>
      </c>
      <c r="P593" s="6">
        <v>5</v>
      </c>
      <c r="Q593" s="4" t="s">
        <v>26</v>
      </c>
      <c r="R593" s="4">
        <v>0</v>
      </c>
      <c r="S593" s="6">
        <v>0</v>
      </c>
      <c r="T593" s="6">
        <v>33</v>
      </c>
      <c r="U593" s="6">
        <v>85</v>
      </c>
      <c r="V593" s="6">
        <f>IF(ISERROR(VLOOKUP($S$593,'TAR FIN'!$A$1:$O$86,15,0)),0,VLOOKUP($S$593,'TAR FIN'!$A$1:$O$86,15,0))</f>
        <v>0</v>
      </c>
      <c r="W593" s="6">
        <f>IF(ISERROR(VLOOKUP($T$593,'TAR FIN'!$A$1:$O$86,15,0)),0,VLOOKUP($T$593,'TAR FIN'!$A$1:$O$86,15,0))</f>
        <v>338.51</v>
      </c>
      <c r="X593" s="6">
        <f>IF(ISERROR(VLOOKUP($U$593,'TAR FIN'!$A$1:$O$86,15,0)),0,VLOOKUP($U$593,'TAR FIN'!$A$1:$O$86,15,0))</f>
        <v>224.01</v>
      </c>
      <c r="Y593" s="6"/>
      <c r="Z593" s="6">
        <f ca="1">('TUSD BE'!$AM$48+'TUSD BF'!$AM$48+'TUSD CVA'!$AM$48)*1</f>
        <v>417.58832886049538</v>
      </c>
      <c r="AA593" s="6">
        <f>('TE BE'!$AB$39+'TE BF'!$AB$39+'TE CVA'!$AB$39)*1</f>
        <v>234.64376439748159</v>
      </c>
      <c r="AB593" s="6">
        <f>$K$593*$V$593</f>
        <v>0</v>
      </c>
      <c r="AC593" s="6">
        <f>$M$593*$W$593</f>
        <v>2447.7658099999999</v>
      </c>
      <c r="AD593" s="6">
        <f>$O$593*$X$593</f>
        <v>1619.8163099999999</v>
      </c>
      <c r="AE593" s="6">
        <f>$K$593*$Y$593</f>
        <v>0</v>
      </c>
      <c r="AF593" s="6">
        <f ca="1">$M$593*$Z$593</f>
        <v>3019.5812059902419</v>
      </c>
      <c r="AG593" s="6">
        <f>$O$593*$AA$593</f>
        <v>1696.7090603581894</v>
      </c>
    </row>
    <row r="594" spans="1:33" ht="11.25" customHeight="1" x14ac:dyDescent="0.25">
      <c r="A594" s="4" t="s">
        <v>21</v>
      </c>
      <c r="B594" s="4" t="s">
        <v>33</v>
      </c>
      <c r="C594" s="4" t="s">
        <v>23</v>
      </c>
      <c r="D594" s="4" t="s">
        <v>34</v>
      </c>
      <c r="E594" s="4" t="s">
        <v>25</v>
      </c>
      <c r="F594" s="4" t="s">
        <v>25</v>
      </c>
      <c r="G594" s="4" t="s">
        <v>25</v>
      </c>
      <c r="H594" s="4" t="s">
        <v>25</v>
      </c>
      <c r="I594" s="5">
        <v>44621</v>
      </c>
      <c r="J594" s="6">
        <v>0</v>
      </c>
      <c r="K594" s="6">
        <v>0</v>
      </c>
      <c r="L594" s="6">
        <v>295.77800000000002</v>
      </c>
      <c r="M594" s="6">
        <v>295.77800000000002</v>
      </c>
      <c r="N594" s="6">
        <v>295.77800000000002</v>
      </c>
      <c r="O594" s="6">
        <v>295.77800000000002</v>
      </c>
      <c r="P594" s="6">
        <v>127</v>
      </c>
      <c r="Q594" s="4" t="s">
        <v>26</v>
      </c>
      <c r="R594" s="4">
        <v>0</v>
      </c>
      <c r="S594" s="6">
        <v>0</v>
      </c>
      <c r="T594" s="6">
        <v>33</v>
      </c>
      <c r="U594" s="6">
        <v>85</v>
      </c>
      <c r="V594" s="6">
        <f>IF(ISERROR(VLOOKUP($S$594,'TAR FIN'!$A$1:$O$86,15,0)),0,VLOOKUP($S$594,'TAR FIN'!$A$1:$O$86,15,0))</f>
        <v>0</v>
      </c>
      <c r="W594" s="6">
        <f>IF(ISERROR(VLOOKUP($T$594,'TAR FIN'!$A$1:$O$86,15,0)),0,VLOOKUP($T$594,'TAR FIN'!$A$1:$O$86,15,0))</f>
        <v>338.51</v>
      </c>
      <c r="X594" s="6">
        <f>IF(ISERROR(VLOOKUP($U$594,'TAR FIN'!$A$1:$O$86,15,0)),0,VLOOKUP($U$594,'TAR FIN'!$A$1:$O$86,15,0))</f>
        <v>224.01</v>
      </c>
      <c r="Y594" s="6"/>
      <c r="Z594" s="6">
        <f ca="1">('TUSD BE'!$AM$48+'TUSD BF'!$AM$48+'TUSD CVA'!$AM$48)*1</f>
        <v>417.58832886049538</v>
      </c>
      <c r="AA594" s="6">
        <f>('TE BE'!$AB$39+'TE BF'!$AB$39+'TE CVA'!$AB$39)*1</f>
        <v>234.64376439748159</v>
      </c>
      <c r="AB594" s="6">
        <f>$K$594*$V$594</f>
        <v>0</v>
      </c>
      <c r="AC594" s="6">
        <f>$M$594*$W$594</f>
        <v>100123.81078</v>
      </c>
      <c r="AD594" s="6">
        <f>$O$594*$X$594</f>
        <v>66257.229780000009</v>
      </c>
      <c r="AE594" s="6">
        <f>$K$594*$Y$594</f>
        <v>0</v>
      </c>
      <c r="AF594" s="6">
        <f ca="1">$M$594*$Z$594</f>
        <v>123513.44073369961</v>
      </c>
      <c r="AG594" s="6">
        <f>$O$594*$AA$594</f>
        <v>69402.463345958313</v>
      </c>
    </row>
    <row r="595" spans="1:33" ht="11.25" customHeight="1" x14ac:dyDescent="0.25">
      <c r="A595" s="4" t="s">
        <v>28</v>
      </c>
      <c r="B595" s="4" t="s">
        <v>33</v>
      </c>
      <c r="C595" s="4" t="s">
        <v>23</v>
      </c>
      <c r="D595" s="4" t="s">
        <v>34</v>
      </c>
      <c r="E595" s="4" t="s">
        <v>25</v>
      </c>
      <c r="F595" s="4" t="s">
        <v>25</v>
      </c>
      <c r="G595" s="4" t="s">
        <v>25</v>
      </c>
      <c r="H595" s="4" t="s">
        <v>25</v>
      </c>
      <c r="I595" s="5">
        <v>44621</v>
      </c>
      <c r="J595" s="6">
        <v>0</v>
      </c>
      <c r="K595" s="6">
        <v>0</v>
      </c>
      <c r="L595" s="6">
        <v>9.0220000000000002</v>
      </c>
      <c r="M595" s="6">
        <v>9.0220000000000002</v>
      </c>
      <c r="N595" s="6">
        <v>9.0220000000000002</v>
      </c>
      <c r="O595" s="6">
        <v>9.0220000000000002</v>
      </c>
      <c r="P595" s="6">
        <v>5</v>
      </c>
      <c r="Q595" s="4" t="s">
        <v>26</v>
      </c>
      <c r="R595" s="4">
        <v>0</v>
      </c>
      <c r="S595" s="6">
        <v>0</v>
      </c>
      <c r="T595" s="6">
        <v>33</v>
      </c>
      <c r="U595" s="6">
        <v>85</v>
      </c>
      <c r="V595" s="6">
        <f>IF(ISERROR(VLOOKUP($S$595,'TAR FIN'!$A$1:$O$86,15,0)),0,VLOOKUP($S$595,'TAR FIN'!$A$1:$O$86,15,0))</f>
        <v>0</v>
      </c>
      <c r="W595" s="6">
        <f>IF(ISERROR(VLOOKUP($T$595,'TAR FIN'!$A$1:$O$86,15,0)),0,VLOOKUP($T$595,'TAR FIN'!$A$1:$O$86,15,0))</f>
        <v>338.51</v>
      </c>
      <c r="X595" s="6">
        <f>IF(ISERROR(VLOOKUP($U$595,'TAR FIN'!$A$1:$O$86,15,0)),0,VLOOKUP($U$595,'TAR FIN'!$A$1:$O$86,15,0))</f>
        <v>224.01</v>
      </c>
      <c r="Y595" s="6"/>
      <c r="Z595" s="6">
        <f ca="1">('TUSD BE'!$AM$48+'TUSD BF'!$AM$48+'TUSD CVA'!$AM$48)*1</f>
        <v>417.58832886049538</v>
      </c>
      <c r="AA595" s="6">
        <f>('TE BE'!$AB$39+'TE BF'!$AB$39+'TE CVA'!$AB$39)*1</f>
        <v>234.64376439748159</v>
      </c>
      <c r="AB595" s="6">
        <f>$K$595*$V$595</f>
        <v>0</v>
      </c>
      <c r="AC595" s="6">
        <f>$M$595*$W$595</f>
        <v>3054.0372200000002</v>
      </c>
      <c r="AD595" s="6">
        <f>$O$595*$X$595</f>
        <v>2021.0182199999999</v>
      </c>
      <c r="AE595" s="6">
        <f>$K$595*$Y$595</f>
        <v>0</v>
      </c>
      <c r="AF595" s="6">
        <f ca="1">$M$595*$Z$595</f>
        <v>3767.4819029793894</v>
      </c>
      <c r="AG595" s="6">
        <f>$O$595*$AA$595</f>
        <v>2116.9560423940788</v>
      </c>
    </row>
    <row r="596" spans="1:33" ht="11.25" customHeight="1" x14ac:dyDescent="0.25">
      <c r="A596" s="4" t="s">
        <v>21</v>
      </c>
      <c r="B596" s="4" t="s">
        <v>33</v>
      </c>
      <c r="C596" s="4" t="s">
        <v>23</v>
      </c>
      <c r="D596" s="4" t="s">
        <v>34</v>
      </c>
      <c r="E596" s="4" t="s">
        <v>25</v>
      </c>
      <c r="F596" s="4" t="s">
        <v>25</v>
      </c>
      <c r="G596" s="4" t="s">
        <v>25</v>
      </c>
      <c r="H596" s="4" t="s">
        <v>25</v>
      </c>
      <c r="I596" s="5">
        <v>44652</v>
      </c>
      <c r="J596" s="6">
        <v>0</v>
      </c>
      <c r="K596" s="6">
        <v>0</v>
      </c>
      <c r="L596" s="6">
        <v>281.45699999999999</v>
      </c>
      <c r="M596" s="6">
        <v>281.45699999999999</v>
      </c>
      <c r="N596" s="6">
        <v>281.45699999999999</v>
      </c>
      <c r="O596" s="6">
        <v>281.45699999999999</v>
      </c>
      <c r="P596" s="6">
        <v>126</v>
      </c>
      <c r="Q596" s="4" t="s">
        <v>26</v>
      </c>
      <c r="R596" s="4">
        <v>0</v>
      </c>
      <c r="S596" s="6">
        <v>0</v>
      </c>
      <c r="T596" s="6">
        <v>33</v>
      </c>
      <c r="U596" s="6">
        <v>85</v>
      </c>
      <c r="V596" s="6">
        <f>IF(ISERROR(VLOOKUP($S$596,'TAR FIN'!$A$1:$O$86,15,0)),0,VLOOKUP($S$596,'TAR FIN'!$A$1:$O$86,15,0))</f>
        <v>0</v>
      </c>
      <c r="W596" s="6">
        <f>IF(ISERROR(VLOOKUP($T$596,'TAR FIN'!$A$1:$O$86,15,0)),0,VLOOKUP($T$596,'TAR FIN'!$A$1:$O$86,15,0))</f>
        <v>338.51</v>
      </c>
      <c r="X596" s="6">
        <f>IF(ISERROR(VLOOKUP($U$596,'TAR FIN'!$A$1:$O$86,15,0)),0,VLOOKUP($U$596,'TAR FIN'!$A$1:$O$86,15,0))</f>
        <v>224.01</v>
      </c>
      <c r="Y596" s="6"/>
      <c r="Z596" s="6">
        <f ca="1">('TUSD BE'!$AM$48+'TUSD BF'!$AM$48+'TUSD CVA'!$AM$48)*1</f>
        <v>417.58832886049538</v>
      </c>
      <c r="AA596" s="6">
        <f>('TE BE'!$AB$39+'TE BF'!$AB$39+'TE CVA'!$AB$39)*1</f>
        <v>234.64376439748159</v>
      </c>
      <c r="AB596" s="6">
        <f>$K$596*$V$596</f>
        <v>0</v>
      </c>
      <c r="AC596" s="6">
        <f>$M$596*$W$596</f>
        <v>95276.00907</v>
      </c>
      <c r="AD596" s="6">
        <f>$O$596*$X$596</f>
        <v>63049.182569999997</v>
      </c>
      <c r="AE596" s="6">
        <f>$K$596*$Y$596</f>
        <v>0</v>
      </c>
      <c r="AF596" s="6">
        <f ca="1">$M$596*$Z$596</f>
        <v>117533.15827608845</v>
      </c>
      <c r="AG596" s="6">
        <f>$O$596*$AA$596</f>
        <v>66042.129996021977</v>
      </c>
    </row>
    <row r="597" spans="1:33" ht="11.25" customHeight="1" x14ac:dyDescent="0.25">
      <c r="A597" s="4" t="s">
        <v>28</v>
      </c>
      <c r="B597" s="4" t="s">
        <v>33</v>
      </c>
      <c r="C597" s="4" t="s">
        <v>23</v>
      </c>
      <c r="D597" s="4" t="s">
        <v>34</v>
      </c>
      <c r="E597" s="4" t="s">
        <v>25</v>
      </c>
      <c r="F597" s="4" t="s">
        <v>25</v>
      </c>
      <c r="G597" s="4" t="s">
        <v>25</v>
      </c>
      <c r="H597" s="4" t="s">
        <v>25</v>
      </c>
      <c r="I597" s="5">
        <v>44652</v>
      </c>
      <c r="J597" s="6">
        <v>0</v>
      </c>
      <c r="K597" s="6">
        <v>0</v>
      </c>
      <c r="L597" s="6">
        <v>12.887</v>
      </c>
      <c r="M597" s="6">
        <v>12.887</v>
      </c>
      <c r="N597" s="6">
        <v>12.887</v>
      </c>
      <c r="O597" s="6">
        <v>12.887</v>
      </c>
      <c r="P597" s="6">
        <v>7</v>
      </c>
      <c r="Q597" s="4" t="s">
        <v>26</v>
      </c>
      <c r="R597" s="4">
        <v>0</v>
      </c>
      <c r="S597" s="6">
        <v>0</v>
      </c>
      <c r="T597" s="6">
        <v>33</v>
      </c>
      <c r="U597" s="6">
        <v>85</v>
      </c>
      <c r="V597" s="6">
        <f>IF(ISERROR(VLOOKUP($S$597,'TAR FIN'!$A$1:$O$86,15,0)),0,VLOOKUP($S$597,'TAR FIN'!$A$1:$O$86,15,0))</f>
        <v>0</v>
      </c>
      <c r="W597" s="6">
        <f>IF(ISERROR(VLOOKUP($T$597,'TAR FIN'!$A$1:$O$86,15,0)),0,VLOOKUP($T$597,'TAR FIN'!$A$1:$O$86,15,0))</f>
        <v>338.51</v>
      </c>
      <c r="X597" s="6">
        <f>IF(ISERROR(VLOOKUP($U$597,'TAR FIN'!$A$1:$O$86,15,0)),0,VLOOKUP($U$597,'TAR FIN'!$A$1:$O$86,15,0))</f>
        <v>224.01</v>
      </c>
      <c r="Y597" s="6"/>
      <c r="Z597" s="6">
        <f ca="1">('TUSD BE'!$AM$48+'TUSD BF'!$AM$48+'TUSD CVA'!$AM$48)*1</f>
        <v>417.58832886049538</v>
      </c>
      <c r="AA597" s="6">
        <f>('TE BE'!$AB$39+'TE BF'!$AB$39+'TE CVA'!$AB$39)*1</f>
        <v>234.64376439748159</v>
      </c>
      <c r="AB597" s="6">
        <f>$K$597*$V$597</f>
        <v>0</v>
      </c>
      <c r="AC597" s="6">
        <f>$M$597*$W$597</f>
        <v>4362.3783700000004</v>
      </c>
      <c r="AD597" s="6">
        <f>$O$597*$X$597</f>
        <v>2886.8168700000001</v>
      </c>
      <c r="AE597" s="6">
        <f>$K$597*$Y$597</f>
        <v>0</v>
      </c>
      <c r="AF597" s="6">
        <f ca="1">$M$597*$Z$597</f>
        <v>5381.4607940252045</v>
      </c>
      <c r="AG597" s="6">
        <f>$O$597*$AA$597</f>
        <v>3023.8541917903453</v>
      </c>
    </row>
    <row r="598" spans="1:33" ht="11.25" customHeight="1" x14ac:dyDescent="0.25">
      <c r="A598" s="4" t="s">
        <v>21</v>
      </c>
      <c r="B598" s="4" t="s">
        <v>33</v>
      </c>
      <c r="C598" s="4" t="s">
        <v>23</v>
      </c>
      <c r="D598" s="4" t="s">
        <v>34</v>
      </c>
      <c r="E598" s="4" t="s">
        <v>25</v>
      </c>
      <c r="F598" s="4" t="s">
        <v>25</v>
      </c>
      <c r="G598" s="4" t="s">
        <v>25</v>
      </c>
      <c r="H598" s="4" t="s">
        <v>25</v>
      </c>
      <c r="I598" s="5">
        <v>44682</v>
      </c>
      <c r="J598" s="6">
        <v>0</v>
      </c>
      <c r="K598" s="6">
        <v>0</v>
      </c>
      <c r="L598" s="6">
        <v>273.47300000000001</v>
      </c>
      <c r="M598" s="6">
        <v>273.47300000000001</v>
      </c>
      <c r="N598" s="6">
        <v>273.47300000000001</v>
      </c>
      <c r="O598" s="6">
        <v>273.47300000000001</v>
      </c>
      <c r="P598" s="6">
        <v>125</v>
      </c>
      <c r="Q598" s="4" t="s">
        <v>26</v>
      </c>
      <c r="R598" s="4">
        <v>0</v>
      </c>
      <c r="S598" s="6">
        <v>0</v>
      </c>
      <c r="T598" s="6">
        <v>33</v>
      </c>
      <c r="U598" s="6">
        <v>85</v>
      </c>
      <c r="V598" s="6">
        <f>IF(ISERROR(VLOOKUP($S$598,'TAR FIN'!$A$1:$O$86,15,0)),0,VLOOKUP($S$598,'TAR FIN'!$A$1:$O$86,15,0))</f>
        <v>0</v>
      </c>
      <c r="W598" s="6">
        <f>IF(ISERROR(VLOOKUP($T$598,'TAR FIN'!$A$1:$O$86,15,0)),0,VLOOKUP($T$598,'TAR FIN'!$A$1:$O$86,15,0))</f>
        <v>338.51</v>
      </c>
      <c r="X598" s="6">
        <f>IF(ISERROR(VLOOKUP($U$598,'TAR FIN'!$A$1:$O$86,15,0)),0,VLOOKUP($U$598,'TAR FIN'!$A$1:$O$86,15,0))</f>
        <v>224.01</v>
      </c>
      <c r="Y598" s="6"/>
      <c r="Z598" s="6">
        <f ca="1">('TUSD BE'!$AM$48+'TUSD BF'!$AM$48+'TUSD CVA'!$AM$48)*1</f>
        <v>417.58832886049538</v>
      </c>
      <c r="AA598" s="6">
        <f>('TE BE'!$AB$39+'TE BF'!$AB$39+'TE CVA'!$AB$39)*1</f>
        <v>234.64376439748159</v>
      </c>
      <c r="AB598" s="6">
        <f>$K$598*$V$598</f>
        <v>0</v>
      </c>
      <c r="AC598" s="6">
        <f>$M$598*$W$598</f>
        <v>92573.345230000006</v>
      </c>
      <c r="AD598" s="6">
        <f>$O$598*$X$598</f>
        <v>61260.686730000001</v>
      </c>
      <c r="AE598" s="6">
        <f>$K$598*$Y$598</f>
        <v>0</v>
      </c>
      <c r="AF598" s="6">
        <f ca="1">$M$598*$Z$598</f>
        <v>114199.13305846626</v>
      </c>
      <c r="AG598" s="6">
        <f>$O$598*$AA$598</f>
        <v>64168.734181072483</v>
      </c>
    </row>
    <row r="599" spans="1:33" ht="11.25" customHeight="1" x14ac:dyDescent="0.25">
      <c r="A599" s="4" t="s">
        <v>28</v>
      </c>
      <c r="B599" s="4" t="s">
        <v>33</v>
      </c>
      <c r="C599" s="4" t="s">
        <v>23</v>
      </c>
      <c r="D599" s="4" t="s">
        <v>34</v>
      </c>
      <c r="E599" s="4" t="s">
        <v>25</v>
      </c>
      <c r="F599" s="4" t="s">
        <v>25</v>
      </c>
      <c r="G599" s="4" t="s">
        <v>25</v>
      </c>
      <c r="H599" s="4" t="s">
        <v>25</v>
      </c>
      <c r="I599" s="5">
        <v>44682</v>
      </c>
      <c r="J599" s="6">
        <v>0</v>
      </c>
      <c r="K599" s="6">
        <v>0</v>
      </c>
      <c r="L599" s="6">
        <v>11.215999999999999</v>
      </c>
      <c r="M599" s="6">
        <v>11.215999999999999</v>
      </c>
      <c r="N599" s="6">
        <v>11.215999999999999</v>
      </c>
      <c r="O599" s="6">
        <v>11.215999999999999</v>
      </c>
      <c r="P599" s="6">
        <v>7</v>
      </c>
      <c r="Q599" s="4" t="s">
        <v>26</v>
      </c>
      <c r="R599" s="4">
        <v>0</v>
      </c>
      <c r="S599" s="6">
        <v>0</v>
      </c>
      <c r="T599" s="6">
        <v>33</v>
      </c>
      <c r="U599" s="6">
        <v>85</v>
      </c>
      <c r="V599" s="6">
        <f>IF(ISERROR(VLOOKUP($S$599,'TAR FIN'!$A$1:$O$86,15,0)),0,VLOOKUP($S$599,'TAR FIN'!$A$1:$O$86,15,0))</f>
        <v>0</v>
      </c>
      <c r="W599" s="6">
        <f>IF(ISERROR(VLOOKUP($T$599,'TAR FIN'!$A$1:$O$86,15,0)),0,VLOOKUP($T$599,'TAR FIN'!$A$1:$O$86,15,0))</f>
        <v>338.51</v>
      </c>
      <c r="X599" s="6">
        <f>IF(ISERROR(VLOOKUP($U$599,'TAR FIN'!$A$1:$O$86,15,0)),0,VLOOKUP($U$599,'TAR FIN'!$A$1:$O$86,15,0))</f>
        <v>224.01</v>
      </c>
      <c r="Y599" s="6"/>
      <c r="Z599" s="6">
        <f ca="1">('TUSD BE'!$AM$48+'TUSD BF'!$AM$48+'TUSD CVA'!$AM$48)*1</f>
        <v>417.58832886049538</v>
      </c>
      <c r="AA599" s="6">
        <f>('TE BE'!$AB$39+'TE BF'!$AB$39+'TE CVA'!$AB$39)*1</f>
        <v>234.64376439748159</v>
      </c>
      <c r="AB599" s="6">
        <f>$K$599*$V$599</f>
        <v>0</v>
      </c>
      <c r="AC599" s="6">
        <f>$M$599*$W$599</f>
        <v>3796.7281599999997</v>
      </c>
      <c r="AD599" s="6">
        <f>$O$599*$X$599</f>
        <v>2512.4961599999997</v>
      </c>
      <c r="AE599" s="6">
        <f>$K$599*$Y$599</f>
        <v>0</v>
      </c>
      <c r="AF599" s="6">
        <f ca="1">$M$599*$Z$599</f>
        <v>4683.6706964993155</v>
      </c>
      <c r="AG599" s="6">
        <f>$O$599*$AA$599</f>
        <v>2631.7644614821534</v>
      </c>
    </row>
    <row r="600" spans="1:33" ht="11.25" customHeight="1" x14ac:dyDescent="0.25">
      <c r="A600" s="4" t="s">
        <v>21</v>
      </c>
      <c r="B600" s="4" t="s">
        <v>33</v>
      </c>
      <c r="C600" s="4" t="s">
        <v>23</v>
      </c>
      <c r="D600" s="4" t="s">
        <v>34</v>
      </c>
      <c r="E600" s="4" t="s">
        <v>25</v>
      </c>
      <c r="F600" s="4" t="s">
        <v>25</v>
      </c>
      <c r="G600" s="4" t="s">
        <v>25</v>
      </c>
      <c r="H600" s="4" t="s">
        <v>25</v>
      </c>
      <c r="I600" s="5">
        <v>44713</v>
      </c>
      <c r="J600" s="6">
        <v>0</v>
      </c>
      <c r="K600" s="6">
        <v>0</v>
      </c>
      <c r="L600" s="6">
        <v>248.10400000000001</v>
      </c>
      <c r="M600" s="6">
        <v>248.10400000000001</v>
      </c>
      <c r="N600" s="6">
        <v>248.10400000000001</v>
      </c>
      <c r="O600" s="6">
        <v>248.10400000000001</v>
      </c>
      <c r="P600" s="6">
        <v>126</v>
      </c>
      <c r="Q600" s="4" t="s">
        <v>26</v>
      </c>
      <c r="R600" s="4">
        <v>0</v>
      </c>
      <c r="S600" s="6">
        <v>0</v>
      </c>
      <c r="T600" s="6">
        <v>33</v>
      </c>
      <c r="U600" s="6">
        <v>85</v>
      </c>
      <c r="V600" s="6">
        <f>IF(ISERROR(VLOOKUP($S$600,'TAR FIN'!$A$1:$O$86,15,0)),0,VLOOKUP($S$600,'TAR FIN'!$A$1:$O$86,15,0))</f>
        <v>0</v>
      </c>
      <c r="W600" s="6">
        <f>IF(ISERROR(VLOOKUP($T$600,'TAR FIN'!$A$1:$O$86,15,0)),0,VLOOKUP($T$600,'TAR FIN'!$A$1:$O$86,15,0))</f>
        <v>338.51</v>
      </c>
      <c r="X600" s="6">
        <f>IF(ISERROR(VLOOKUP($U$600,'TAR FIN'!$A$1:$O$86,15,0)),0,VLOOKUP($U$600,'TAR FIN'!$A$1:$O$86,15,0))</f>
        <v>224.01</v>
      </c>
      <c r="Y600" s="6"/>
      <c r="Z600" s="6">
        <f ca="1">('TUSD BE'!$AM$48+'TUSD BF'!$AM$48+'TUSD CVA'!$AM$48)*1</f>
        <v>417.58832886049538</v>
      </c>
      <c r="AA600" s="6">
        <f>('TE BE'!$AB$39+'TE BF'!$AB$39+'TE CVA'!$AB$39)*1</f>
        <v>234.64376439748159</v>
      </c>
      <c r="AB600" s="6">
        <f>$K$600*$V$600</f>
        <v>0</v>
      </c>
      <c r="AC600" s="6">
        <f>$M$600*$W$600</f>
        <v>83985.685039999997</v>
      </c>
      <c r="AD600" s="6">
        <f>$O$600*$X$600</f>
        <v>55577.777040000001</v>
      </c>
      <c r="AE600" s="6">
        <f>$K$600*$Y$600</f>
        <v>0</v>
      </c>
      <c r="AF600" s="6">
        <f ca="1">$M$600*$Z$600</f>
        <v>103605.33474360436</v>
      </c>
      <c r="AG600" s="6">
        <f>$O$600*$AA$600</f>
        <v>58216.056522072773</v>
      </c>
    </row>
    <row r="601" spans="1:33" ht="11.25" customHeight="1" x14ac:dyDescent="0.25">
      <c r="A601" s="4" t="s">
        <v>28</v>
      </c>
      <c r="B601" s="4" t="s">
        <v>33</v>
      </c>
      <c r="C601" s="4" t="s">
        <v>23</v>
      </c>
      <c r="D601" s="4" t="s">
        <v>34</v>
      </c>
      <c r="E601" s="4" t="s">
        <v>25</v>
      </c>
      <c r="F601" s="4" t="s">
        <v>25</v>
      </c>
      <c r="G601" s="4" t="s">
        <v>25</v>
      </c>
      <c r="H601" s="4" t="s">
        <v>25</v>
      </c>
      <c r="I601" s="5">
        <v>44713</v>
      </c>
      <c r="J601" s="6">
        <v>0</v>
      </c>
      <c r="K601" s="6">
        <v>0</v>
      </c>
      <c r="L601" s="6">
        <v>12.808999999999999</v>
      </c>
      <c r="M601" s="6">
        <v>12.808999999999999</v>
      </c>
      <c r="N601" s="6">
        <v>12.808999999999999</v>
      </c>
      <c r="O601" s="6">
        <v>12.808999999999999</v>
      </c>
      <c r="P601" s="6">
        <v>7</v>
      </c>
      <c r="Q601" s="4" t="s">
        <v>26</v>
      </c>
      <c r="R601" s="4">
        <v>0</v>
      </c>
      <c r="S601" s="6">
        <v>0</v>
      </c>
      <c r="T601" s="6">
        <v>33</v>
      </c>
      <c r="U601" s="6">
        <v>85</v>
      </c>
      <c r="V601" s="6">
        <f>IF(ISERROR(VLOOKUP($S$601,'TAR FIN'!$A$1:$O$86,15,0)),0,VLOOKUP($S$601,'TAR FIN'!$A$1:$O$86,15,0))</f>
        <v>0</v>
      </c>
      <c r="W601" s="6">
        <f>IF(ISERROR(VLOOKUP($T$601,'TAR FIN'!$A$1:$O$86,15,0)),0,VLOOKUP($T$601,'TAR FIN'!$A$1:$O$86,15,0))</f>
        <v>338.51</v>
      </c>
      <c r="X601" s="6">
        <f>IF(ISERROR(VLOOKUP($U$601,'TAR FIN'!$A$1:$O$86,15,0)),0,VLOOKUP($U$601,'TAR FIN'!$A$1:$O$86,15,0))</f>
        <v>224.01</v>
      </c>
      <c r="Y601" s="6"/>
      <c r="Z601" s="6">
        <f ca="1">('TUSD BE'!$AM$48+'TUSD BF'!$AM$48+'TUSD CVA'!$AM$48)*1</f>
        <v>417.58832886049538</v>
      </c>
      <c r="AA601" s="6">
        <f>('TE BE'!$AB$39+'TE BF'!$AB$39+'TE CVA'!$AB$39)*1</f>
        <v>234.64376439748159</v>
      </c>
      <c r="AB601" s="6">
        <f>$K$601*$V$601</f>
        <v>0</v>
      </c>
      <c r="AC601" s="6">
        <f>$M$601*$W$601</f>
        <v>4335.9745899999998</v>
      </c>
      <c r="AD601" s="6">
        <f>$O$601*$X$601</f>
        <v>2869.3440899999996</v>
      </c>
      <c r="AE601" s="6">
        <f>$K$601*$Y$601</f>
        <v>0</v>
      </c>
      <c r="AF601" s="6">
        <f ca="1">$M$601*$Z$601</f>
        <v>5348.8889043740846</v>
      </c>
      <c r="AG601" s="6">
        <f>$O$601*$AA$601</f>
        <v>3005.5519781673415</v>
      </c>
    </row>
    <row r="602" spans="1:33" ht="11.25" customHeight="1" x14ac:dyDescent="0.25">
      <c r="A602" s="4" t="s">
        <v>55</v>
      </c>
      <c r="B602" s="4" t="s">
        <v>33</v>
      </c>
      <c r="C602" s="4" t="s">
        <v>23</v>
      </c>
      <c r="D602" s="4" t="s">
        <v>34</v>
      </c>
      <c r="E602" s="4" t="s">
        <v>25</v>
      </c>
      <c r="F602" s="4" t="s">
        <v>25</v>
      </c>
      <c r="G602" s="4" t="s">
        <v>25</v>
      </c>
      <c r="H602" s="4" t="s">
        <v>25</v>
      </c>
      <c r="I602" s="5">
        <v>44743</v>
      </c>
      <c r="J602" s="6">
        <v>0</v>
      </c>
      <c r="K602" s="6">
        <v>0</v>
      </c>
      <c r="L602" s="6">
        <v>248.10400000000001</v>
      </c>
      <c r="M602" s="6">
        <v>248.10400000000001</v>
      </c>
      <c r="N602" s="6">
        <v>248.10400000000001</v>
      </c>
      <c r="O602" s="6">
        <v>248.10400000000001</v>
      </c>
      <c r="P602" s="6">
        <v>126</v>
      </c>
      <c r="Q602" s="4" t="s">
        <v>26</v>
      </c>
      <c r="R602" s="4">
        <v>0</v>
      </c>
      <c r="S602" s="6">
        <v>0</v>
      </c>
      <c r="T602" s="6">
        <v>33</v>
      </c>
      <c r="U602" s="6">
        <v>85</v>
      </c>
      <c r="V602" s="6">
        <f>IF(ISERROR(VLOOKUP($S$602,'TAR FIN'!$A$1:$O$86,15,0)),0,VLOOKUP($S$602,'TAR FIN'!$A$1:$O$86,15,0))</f>
        <v>0</v>
      </c>
      <c r="W602" s="6">
        <f>IF(ISERROR(VLOOKUP($T$602,'TAR FIN'!$A$1:$O$86,15,0)),0,VLOOKUP($T$602,'TAR FIN'!$A$1:$O$86,15,0))</f>
        <v>338.51</v>
      </c>
      <c r="X602" s="6">
        <f>IF(ISERROR(VLOOKUP($U$602,'TAR FIN'!$A$1:$O$86,15,0)),0,VLOOKUP($U$602,'TAR FIN'!$A$1:$O$86,15,0))</f>
        <v>224.01</v>
      </c>
      <c r="Y602" s="6"/>
      <c r="Z602" s="6">
        <f ca="1">('TUSD BE'!$AM$48+'TUSD BF'!$AM$48+'TUSD CVA'!$AM$48)*1</f>
        <v>417.58832886049538</v>
      </c>
      <c r="AA602" s="6">
        <f>('TE BE'!$AB$39+'TE BF'!$AB$39+'TE CVA'!$AB$39)*1</f>
        <v>234.64376439748159</v>
      </c>
      <c r="AB602" s="6">
        <f>$K$602*$V$602</f>
        <v>0</v>
      </c>
      <c r="AC602" s="6">
        <f>$M$602*$W$602</f>
        <v>83985.685039999997</v>
      </c>
      <c r="AD602" s="6">
        <f>$O$602*$X$602</f>
        <v>55577.777040000001</v>
      </c>
      <c r="AE602" s="6">
        <f>$K$602*$Y$602</f>
        <v>0</v>
      </c>
      <c r="AF602" s="6">
        <f ca="1">$M$602*$Z$602</f>
        <v>103605.33474360436</v>
      </c>
      <c r="AG602" s="6">
        <f>$O$602*$AA$602</f>
        <v>58216.056522072773</v>
      </c>
    </row>
    <row r="603" spans="1:33" ht="11.25" customHeight="1" x14ac:dyDescent="0.25">
      <c r="A603" s="4" t="s">
        <v>55</v>
      </c>
      <c r="B603" s="4" t="s">
        <v>33</v>
      </c>
      <c r="C603" s="4" t="s">
        <v>23</v>
      </c>
      <c r="D603" s="4" t="s">
        <v>34</v>
      </c>
      <c r="E603" s="4" t="s">
        <v>25</v>
      </c>
      <c r="F603" s="4" t="s">
        <v>25</v>
      </c>
      <c r="G603" s="4" t="s">
        <v>25</v>
      </c>
      <c r="H603" s="4" t="s">
        <v>25</v>
      </c>
      <c r="I603" s="5">
        <v>44743</v>
      </c>
      <c r="J603" s="6">
        <v>0</v>
      </c>
      <c r="K603" s="6">
        <v>0</v>
      </c>
      <c r="L603" s="6">
        <v>12.808999999999999</v>
      </c>
      <c r="M603" s="6">
        <v>12.808999999999999</v>
      </c>
      <c r="N603" s="6">
        <v>12.808999999999999</v>
      </c>
      <c r="O603" s="6">
        <v>12.808999999999999</v>
      </c>
      <c r="P603" s="6">
        <v>7</v>
      </c>
      <c r="Q603" s="4" t="s">
        <v>26</v>
      </c>
      <c r="R603" s="4">
        <v>0</v>
      </c>
      <c r="S603" s="6">
        <v>0</v>
      </c>
      <c r="T603" s="6">
        <v>33</v>
      </c>
      <c r="U603" s="6">
        <v>85</v>
      </c>
      <c r="V603" s="6">
        <f>IF(ISERROR(VLOOKUP($S$603,'TAR FIN'!$A$1:$O$86,15,0)),0,VLOOKUP($S$603,'TAR FIN'!$A$1:$O$86,15,0))</f>
        <v>0</v>
      </c>
      <c r="W603" s="6">
        <f>IF(ISERROR(VLOOKUP($T$603,'TAR FIN'!$A$1:$O$86,15,0)),0,VLOOKUP($T$603,'TAR FIN'!$A$1:$O$86,15,0))</f>
        <v>338.51</v>
      </c>
      <c r="X603" s="6">
        <f>IF(ISERROR(VLOOKUP($U$603,'TAR FIN'!$A$1:$O$86,15,0)),0,VLOOKUP($U$603,'TAR FIN'!$A$1:$O$86,15,0))</f>
        <v>224.01</v>
      </c>
      <c r="Y603" s="6"/>
      <c r="Z603" s="6">
        <f ca="1">('TUSD BE'!$AM$48+'TUSD BF'!$AM$48+'TUSD CVA'!$AM$48)*1</f>
        <v>417.58832886049538</v>
      </c>
      <c r="AA603" s="6">
        <f>('TE BE'!$AB$39+'TE BF'!$AB$39+'TE CVA'!$AB$39)*1</f>
        <v>234.64376439748159</v>
      </c>
      <c r="AB603" s="6">
        <f>$K$603*$V$603</f>
        <v>0</v>
      </c>
      <c r="AC603" s="6">
        <f>$M$603*$W$603</f>
        <v>4335.9745899999998</v>
      </c>
      <c r="AD603" s="6">
        <f>$O$603*$X$603</f>
        <v>2869.3440899999996</v>
      </c>
      <c r="AE603" s="6">
        <f>$K$603*$Y$603</f>
        <v>0</v>
      </c>
      <c r="AF603" s="6">
        <f ca="1">$M$603*$Z$603</f>
        <v>5348.8889043740846</v>
      </c>
      <c r="AG603" s="6">
        <f>$O$603*$AA$603</f>
        <v>3005.5519781673415</v>
      </c>
    </row>
    <row r="604" spans="1:33" ht="11.25" customHeight="1" x14ac:dyDescent="0.25">
      <c r="A604" s="4" t="s">
        <v>21</v>
      </c>
      <c r="B604" s="4" t="s">
        <v>33</v>
      </c>
      <c r="C604" s="4" t="s">
        <v>23</v>
      </c>
      <c r="D604" s="4" t="s">
        <v>43</v>
      </c>
      <c r="E604" s="4" t="s">
        <v>25</v>
      </c>
      <c r="F604" s="4" t="s">
        <v>25</v>
      </c>
      <c r="G604" s="4" t="s">
        <v>25</v>
      </c>
      <c r="H604" s="4" t="s">
        <v>25</v>
      </c>
      <c r="I604" s="5">
        <v>44409</v>
      </c>
      <c r="J604" s="6">
        <v>0</v>
      </c>
      <c r="K604" s="6">
        <v>0</v>
      </c>
      <c r="L604" s="6">
        <v>93.507999999999996</v>
      </c>
      <c r="M604" s="6">
        <v>93.507999999999996</v>
      </c>
      <c r="N604" s="6">
        <v>93.507999999999996</v>
      </c>
      <c r="O604" s="6">
        <v>93.507999999999996</v>
      </c>
      <c r="P604" s="6">
        <v>208</v>
      </c>
      <c r="Q604" s="4" t="s">
        <v>26</v>
      </c>
      <c r="R604" s="4">
        <v>0</v>
      </c>
      <c r="S604" s="6">
        <v>0</v>
      </c>
      <c r="T604" s="6">
        <v>33</v>
      </c>
      <c r="U604" s="6">
        <v>85</v>
      </c>
      <c r="V604" s="6">
        <f>IF(ISERROR(VLOOKUP($S$604,'TAR FIN'!$A$1:$O$86,15,0)),0,VLOOKUP($S$604,'TAR FIN'!$A$1:$O$86,15,0))</f>
        <v>0</v>
      </c>
      <c r="W604" s="6">
        <f>IF(ISERROR(VLOOKUP($T$604,'TAR FIN'!$A$1:$O$86,15,0)),0,VLOOKUP($T$604,'TAR FIN'!$A$1:$O$86,15,0))</f>
        <v>338.51</v>
      </c>
      <c r="X604" s="6">
        <f>IF(ISERROR(VLOOKUP($U$604,'TAR FIN'!$A$1:$O$86,15,0)),0,VLOOKUP($U$604,'TAR FIN'!$A$1:$O$86,15,0))</f>
        <v>224.01</v>
      </c>
      <c r="Y604" s="6"/>
      <c r="Z604" s="6">
        <f ca="1">('TUSD BE'!$AM$48+'TUSD BF'!$AM$48+'TUSD CVA'!$AM$48)*1</f>
        <v>417.58832886049538</v>
      </c>
      <c r="AA604" s="6">
        <f>('TE BE'!$AB$39+'TE BF'!$AB$39+'TE CVA'!$AB$39)*1</f>
        <v>234.64376439748159</v>
      </c>
      <c r="AB604" s="6">
        <f>$K$604*$V$604</f>
        <v>0</v>
      </c>
      <c r="AC604" s="6">
        <f>$M$604*$W$604</f>
        <v>31653.393079999998</v>
      </c>
      <c r="AD604" s="6">
        <f>$O$604*$X$604</f>
        <v>20946.727079999997</v>
      </c>
      <c r="AE604" s="6">
        <f>$K$604*$Y$604</f>
        <v>0</v>
      </c>
      <c r="AF604" s="6">
        <f ca="1">$M$604*$Z$604</f>
        <v>39047.849455087198</v>
      </c>
      <c r="AG604" s="6">
        <f>$O$604*$AA$604</f>
        <v>21941.069121279706</v>
      </c>
    </row>
    <row r="605" spans="1:33" ht="11.25" customHeight="1" x14ac:dyDescent="0.25">
      <c r="A605" s="4" t="s">
        <v>27</v>
      </c>
      <c r="B605" s="4" t="s">
        <v>33</v>
      </c>
      <c r="C605" s="4" t="s">
        <v>23</v>
      </c>
      <c r="D605" s="4" t="s">
        <v>43</v>
      </c>
      <c r="E605" s="4" t="s">
        <v>25</v>
      </c>
      <c r="F605" s="4" t="s">
        <v>25</v>
      </c>
      <c r="G605" s="4" t="s">
        <v>25</v>
      </c>
      <c r="H605" s="4" t="s">
        <v>25</v>
      </c>
      <c r="I605" s="5">
        <v>44409</v>
      </c>
      <c r="J605" s="6">
        <v>0</v>
      </c>
      <c r="K605" s="6">
        <v>0</v>
      </c>
      <c r="L605" s="6">
        <v>-2.6</v>
      </c>
      <c r="M605" s="6">
        <v>-2.6</v>
      </c>
      <c r="N605" s="6">
        <v>-2.6</v>
      </c>
      <c r="O605" s="6">
        <v>-2.6</v>
      </c>
      <c r="P605" s="6">
        <v>0</v>
      </c>
      <c r="Q605" s="4" t="s">
        <v>26</v>
      </c>
      <c r="R605" s="4">
        <v>0</v>
      </c>
      <c r="S605" s="6">
        <v>0</v>
      </c>
      <c r="T605" s="6">
        <v>33</v>
      </c>
      <c r="U605" s="6">
        <v>85</v>
      </c>
      <c r="V605" s="6">
        <f>IF(ISERROR(VLOOKUP($S$605,'TAR FIN'!$A$1:$O$86,15,0)),0,VLOOKUP($S$605,'TAR FIN'!$A$1:$O$86,15,0))</f>
        <v>0</v>
      </c>
      <c r="W605" s="6">
        <f>IF(ISERROR(VLOOKUP($T$605,'TAR FIN'!$A$1:$O$86,15,0)),0,VLOOKUP($T$605,'TAR FIN'!$A$1:$O$86,15,0))</f>
        <v>338.51</v>
      </c>
      <c r="X605" s="6">
        <f>IF(ISERROR(VLOOKUP($U$605,'TAR FIN'!$A$1:$O$86,15,0)),0,VLOOKUP($U$605,'TAR FIN'!$A$1:$O$86,15,0))</f>
        <v>224.01</v>
      </c>
      <c r="Y605" s="6"/>
      <c r="Z605" s="6">
        <f ca="1">('TUSD BE'!$AM$48+'TUSD BF'!$AM$48+'TUSD CVA'!$AM$48)*1</f>
        <v>417.58832886049538</v>
      </c>
      <c r="AA605" s="6">
        <f>('TE BE'!$AB$39+'TE BF'!$AB$39+'TE CVA'!$AB$39)*1</f>
        <v>234.64376439748159</v>
      </c>
      <c r="AB605" s="6">
        <f>$K$605*$V$605</f>
        <v>0</v>
      </c>
      <c r="AC605" s="6">
        <f>$M$605*$W$605</f>
        <v>-880.12599999999998</v>
      </c>
      <c r="AD605" s="6">
        <f>$O$605*$X$605</f>
        <v>-582.42600000000004</v>
      </c>
      <c r="AE605" s="6">
        <f>$K$605*$Y$605</f>
        <v>0</v>
      </c>
      <c r="AF605" s="6">
        <f ca="1">$M$605*$Z$605</f>
        <v>-1085.729655037288</v>
      </c>
      <c r="AG605" s="6">
        <f>$O$605*$AA$605</f>
        <v>-610.07378743345214</v>
      </c>
    </row>
    <row r="606" spans="1:33" ht="11.25" customHeight="1" x14ac:dyDescent="0.25">
      <c r="A606" s="4" t="s">
        <v>21</v>
      </c>
      <c r="B606" s="4" t="s">
        <v>33</v>
      </c>
      <c r="C606" s="4" t="s">
        <v>23</v>
      </c>
      <c r="D606" s="4" t="s">
        <v>43</v>
      </c>
      <c r="E606" s="4" t="s">
        <v>25</v>
      </c>
      <c r="F606" s="4" t="s">
        <v>25</v>
      </c>
      <c r="G606" s="4" t="s">
        <v>25</v>
      </c>
      <c r="H606" s="4" t="s">
        <v>25</v>
      </c>
      <c r="I606" s="5">
        <v>44440</v>
      </c>
      <c r="J606" s="6">
        <v>0</v>
      </c>
      <c r="K606" s="6">
        <v>0</v>
      </c>
      <c r="L606" s="6">
        <v>108.642</v>
      </c>
      <c r="M606" s="6">
        <v>108.642</v>
      </c>
      <c r="N606" s="6">
        <v>108.642</v>
      </c>
      <c r="O606" s="6">
        <v>108.642</v>
      </c>
      <c r="P606" s="6">
        <v>203</v>
      </c>
      <c r="Q606" s="4" t="s">
        <v>26</v>
      </c>
      <c r="R606" s="4">
        <v>0</v>
      </c>
      <c r="S606" s="6">
        <v>0</v>
      </c>
      <c r="T606" s="6">
        <v>33</v>
      </c>
      <c r="U606" s="6">
        <v>85</v>
      </c>
      <c r="V606" s="6">
        <f>IF(ISERROR(VLOOKUP($S$606,'TAR FIN'!$A$1:$O$86,15,0)),0,VLOOKUP($S$606,'TAR FIN'!$A$1:$O$86,15,0))</f>
        <v>0</v>
      </c>
      <c r="W606" s="6">
        <f>IF(ISERROR(VLOOKUP($T$606,'TAR FIN'!$A$1:$O$86,15,0)),0,VLOOKUP($T$606,'TAR FIN'!$A$1:$O$86,15,0))</f>
        <v>338.51</v>
      </c>
      <c r="X606" s="6">
        <f>IF(ISERROR(VLOOKUP($U$606,'TAR FIN'!$A$1:$O$86,15,0)),0,VLOOKUP($U$606,'TAR FIN'!$A$1:$O$86,15,0))</f>
        <v>224.01</v>
      </c>
      <c r="Y606" s="6"/>
      <c r="Z606" s="6">
        <f ca="1">('TUSD BE'!$AM$48+'TUSD BF'!$AM$48+'TUSD CVA'!$AM$48)*1</f>
        <v>417.58832886049538</v>
      </c>
      <c r="AA606" s="6">
        <f>('TE BE'!$AB$39+'TE BF'!$AB$39+'TE CVA'!$AB$39)*1</f>
        <v>234.64376439748159</v>
      </c>
      <c r="AB606" s="6">
        <f>$K$606*$V$606</f>
        <v>0</v>
      </c>
      <c r="AC606" s="6">
        <f>$M$606*$W$606</f>
        <v>36776.403419999995</v>
      </c>
      <c r="AD606" s="6">
        <f>$O$606*$X$606</f>
        <v>24336.894419999997</v>
      </c>
      <c r="AE606" s="6">
        <f>$K$606*$Y$606</f>
        <v>0</v>
      </c>
      <c r="AF606" s="6">
        <f ca="1">$M$606*$Z$606</f>
        <v>45367.631224061937</v>
      </c>
      <c r="AG606" s="6">
        <f>$O$606*$AA$606</f>
        <v>25492.167851671195</v>
      </c>
    </row>
    <row r="607" spans="1:33" ht="11.25" customHeight="1" x14ac:dyDescent="0.25">
      <c r="A607" s="4" t="s">
        <v>21</v>
      </c>
      <c r="B607" s="4" t="s">
        <v>33</v>
      </c>
      <c r="C607" s="4" t="s">
        <v>23</v>
      </c>
      <c r="D607" s="4" t="s">
        <v>43</v>
      </c>
      <c r="E607" s="4" t="s">
        <v>25</v>
      </c>
      <c r="F607" s="4" t="s">
        <v>25</v>
      </c>
      <c r="G607" s="4" t="s">
        <v>25</v>
      </c>
      <c r="H607" s="4" t="s">
        <v>25</v>
      </c>
      <c r="I607" s="5">
        <v>44470</v>
      </c>
      <c r="J607" s="6">
        <v>0</v>
      </c>
      <c r="K607" s="6">
        <v>0</v>
      </c>
      <c r="L607" s="6">
        <v>101.212</v>
      </c>
      <c r="M607" s="6">
        <v>101.212</v>
      </c>
      <c r="N607" s="6">
        <v>101.212</v>
      </c>
      <c r="O607" s="6">
        <v>101.212</v>
      </c>
      <c r="P607" s="6">
        <v>201</v>
      </c>
      <c r="Q607" s="4" t="s">
        <v>26</v>
      </c>
      <c r="R607" s="4">
        <v>0</v>
      </c>
      <c r="S607" s="6">
        <v>0</v>
      </c>
      <c r="T607" s="6">
        <v>33</v>
      </c>
      <c r="U607" s="6">
        <v>85</v>
      </c>
      <c r="V607" s="6">
        <f>IF(ISERROR(VLOOKUP($S$607,'TAR FIN'!$A$1:$O$86,15,0)),0,VLOOKUP($S$607,'TAR FIN'!$A$1:$O$86,15,0))</f>
        <v>0</v>
      </c>
      <c r="W607" s="6">
        <f>IF(ISERROR(VLOOKUP($T$607,'TAR FIN'!$A$1:$O$86,15,0)),0,VLOOKUP($T$607,'TAR FIN'!$A$1:$O$86,15,0))</f>
        <v>338.51</v>
      </c>
      <c r="X607" s="6">
        <f>IF(ISERROR(VLOOKUP($U$607,'TAR FIN'!$A$1:$O$86,15,0)),0,VLOOKUP($U$607,'TAR FIN'!$A$1:$O$86,15,0))</f>
        <v>224.01</v>
      </c>
      <c r="Y607" s="6"/>
      <c r="Z607" s="6">
        <f ca="1">('TUSD BE'!$AM$48+'TUSD BF'!$AM$48+'TUSD CVA'!$AM$48)*1</f>
        <v>417.58832886049538</v>
      </c>
      <c r="AA607" s="6">
        <f>('TE BE'!$AB$39+'TE BF'!$AB$39+'TE CVA'!$AB$39)*1</f>
        <v>234.64376439748159</v>
      </c>
      <c r="AB607" s="6">
        <f>$K$607*$V$607</f>
        <v>0</v>
      </c>
      <c r="AC607" s="6">
        <f>$M$607*$W$607</f>
        <v>34261.274120000002</v>
      </c>
      <c r="AD607" s="6">
        <f>$O$607*$X$607</f>
        <v>22672.500120000001</v>
      </c>
      <c r="AE607" s="6">
        <f>$K$607*$Y$607</f>
        <v>0</v>
      </c>
      <c r="AF607" s="6">
        <f ca="1">$M$607*$Z$607</f>
        <v>42264.949940628459</v>
      </c>
      <c r="AG607" s="6">
        <f>$O$607*$AA$607</f>
        <v>23748.764682197907</v>
      </c>
    </row>
    <row r="608" spans="1:33" ht="11.25" customHeight="1" x14ac:dyDescent="0.25">
      <c r="A608" s="4" t="s">
        <v>21</v>
      </c>
      <c r="B608" s="4" t="s">
        <v>33</v>
      </c>
      <c r="C608" s="4" t="s">
        <v>23</v>
      </c>
      <c r="D608" s="4" t="s">
        <v>43</v>
      </c>
      <c r="E608" s="4" t="s">
        <v>25</v>
      </c>
      <c r="F608" s="4" t="s">
        <v>25</v>
      </c>
      <c r="G608" s="4" t="s">
        <v>25</v>
      </c>
      <c r="H608" s="4" t="s">
        <v>25</v>
      </c>
      <c r="I608" s="5">
        <v>44501</v>
      </c>
      <c r="J608" s="6">
        <v>0</v>
      </c>
      <c r="K608" s="6">
        <v>0</v>
      </c>
      <c r="L608" s="6">
        <v>121.371</v>
      </c>
      <c r="M608" s="6">
        <v>121.371</v>
      </c>
      <c r="N608" s="6">
        <v>121.371</v>
      </c>
      <c r="O608" s="6">
        <v>121.371</v>
      </c>
      <c r="P608" s="6">
        <v>197</v>
      </c>
      <c r="Q608" s="4" t="s">
        <v>26</v>
      </c>
      <c r="R608" s="4">
        <v>0</v>
      </c>
      <c r="S608" s="6">
        <v>0</v>
      </c>
      <c r="T608" s="6">
        <v>33</v>
      </c>
      <c r="U608" s="6">
        <v>85</v>
      </c>
      <c r="V608" s="6">
        <f>IF(ISERROR(VLOOKUP($S$608,'TAR FIN'!$A$1:$O$86,15,0)),0,VLOOKUP($S$608,'TAR FIN'!$A$1:$O$86,15,0))</f>
        <v>0</v>
      </c>
      <c r="W608" s="6">
        <f>IF(ISERROR(VLOOKUP($T$608,'TAR FIN'!$A$1:$O$86,15,0)),0,VLOOKUP($T$608,'TAR FIN'!$A$1:$O$86,15,0))</f>
        <v>338.51</v>
      </c>
      <c r="X608" s="6">
        <f>IF(ISERROR(VLOOKUP($U$608,'TAR FIN'!$A$1:$O$86,15,0)),0,VLOOKUP($U$608,'TAR FIN'!$A$1:$O$86,15,0))</f>
        <v>224.01</v>
      </c>
      <c r="Y608" s="6"/>
      <c r="Z608" s="6">
        <f ca="1">('TUSD BE'!$AM$48+'TUSD BF'!$AM$48+'TUSD CVA'!$AM$48)*1</f>
        <v>417.58832886049538</v>
      </c>
      <c r="AA608" s="6">
        <f>('TE BE'!$AB$39+'TE BF'!$AB$39+'TE CVA'!$AB$39)*1</f>
        <v>234.64376439748159</v>
      </c>
      <c r="AB608" s="6">
        <f>$K$608*$V$608</f>
        <v>0</v>
      </c>
      <c r="AC608" s="6">
        <f>$M$608*$W$608</f>
        <v>41085.297209999997</v>
      </c>
      <c r="AD608" s="6">
        <f>$O$608*$X$608</f>
        <v>27188.317709999999</v>
      </c>
      <c r="AE608" s="6">
        <f>$K$608*$Y$608</f>
        <v>0</v>
      </c>
      <c r="AF608" s="6">
        <f ca="1">$M$608*$Z$608</f>
        <v>50683.11306212718</v>
      </c>
      <c r="AG608" s="6">
        <f>$O$608*$AA$608</f>
        <v>28478.948328686736</v>
      </c>
    </row>
    <row r="609" spans="1:33" ht="11.25" customHeight="1" x14ac:dyDescent="0.25">
      <c r="A609" s="4" t="s">
        <v>21</v>
      </c>
      <c r="B609" s="4" t="s">
        <v>33</v>
      </c>
      <c r="C609" s="4" t="s">
        <v>23</v>
      </c>
      <c r="D609" s="4" t="s">
        <v>43</v>
      </c>
      <c r="E609" s="4" t="s">
        <v>25</v>
      </c>
      <c r="F609" s="4" t="s">
        <v>25</v>
      </c>
      <c r="G609" s="4" t="s">
        <v>25</v>
      </c>
      <c r="H609" s="4" t="s">
        <v>25</v>
      </c>
      <c r="I609" s="5">
        <v>44531</v>
      </c>
      <c r="J609" s="6">
        <v>0</v>
      </c>
      <c r="K609" s="6">
        <v>0</v>
      </c>
      <c r="L609" s="6">
        <v>142.059</v>
      </c>
      <c r="M609" s="6">
        <v>142.059</v>
      </c>
      <c r="N609" s="6">
        <v>142.059</v>
      </c>
      <c r="O609" s="6">
        <v>142.059</v>
      </c>
      <c r="P609" s="6">
        <v>195</v>
      </c>
      <c r="Q609" s="4" t="s">
        <v>26</v>
      </c>
      <c r="R609" s="4">
        <v>0</v>
      </c>
      <c r="S609" s="6">
        <v>0</v>
      </c>
      <c r="T609" s="6">
        <v>33</v>
      </c>
      <c r="U609" s="6">
        <v>85</v>
      </c>
      <c r="V609" s="6">
        <f>IF(ISERROR(VLOOKUP($S$609,'TAR FIN'!$A$1:$O$86,15,0)),0,VLOOKUP($S$609,'TAR FIN'!$A$1:$O$86,15,0))</f>
        <v>0</v>
      </c>
      <c r="W609" s="6">
        <f>IF(ISERROR(VLOOKUP($T$609,'TAR FIN'!$A$1:$O$86,15,0)),0,VLOOKUP($T$609,'TAR FIN'!$A$1:$O$86,15,0))</f>
        <v>338.51</v>
      </c>
      <c r="X609" s="6">
        <f>IF(ISERROR(VLOOKUP($U$609,'TAR FIN'!$A$1:$O$86,15,0)),0,VLOOKUP($U$609,'TAR FIN'!$A$1:$O$86,15,0))</f>
        <v>224.01</v>
      </c>
      <c r="Y609" s="6"/>
      <c r="Z609" s="6">
        <f ca="1">('TUSD BE'!$AM$48+'TUSD BF'!$AM$48+'TUSD CVA'!$AM$48)*1</f>
        <v>417.58832886049538</v>
      </c>
      <c r="AA609" s="6">
        <f>('TE BE'!$AB$39+'TE BF'!$AB$39+'TE CVA'!$AB$39)*1</f>
        <v>234.64376439748159</v>
      </c>
      <c r="AB609" s="6">
        <f>$K$609*$V$609</f>
        <v>0</v>
      </c>
      <c r="AC609" s="6">
        <f>$M$609*$W$609</f>
        <v>48088.392090000001</v>
      </c>
      <c r="AD609" s="6">
        <f>$O$609*$X$609</f>
        <v>31822.636589999998</v>
      </c>
      <c r="AE609" s="6">
        <f>$K$609*$Y$609</f>
        <v>0</v>
      </c>
      <c r="AF609" s="6">
        <f ca="1">$M$609*$Z$609</f>
        <v>59322.180409593115</v>
      </c>
      <c r="AG609" s="6">
        <f>$O$609*$AA$609</f>
        <v>33333.258526541838</v>
      </c>
    </row>
    <row r="610" spans="1:33" ht="11.25" customHeight="1" x14ac:dyDescent="0.25">
      <c r="A610" s="4" t="s">
        <v>21</v>
      </c>
      <c r="B610" s="4" t="s">
        <v>33</v>
      </c>
      <c r="C610" s="4" t="s">
        <v>23</v>
      </c>
      <c r="D610" s="4" t="s">
        <v>43</v>
      </c>
      <c r="E610" s="4" t="s">
        <v>25</v>
      </c>
      <c r="F610" s="4" t="s">
        <v>25</v>
      </c>
      <c r="G610" s="4" t="s">
        <v>25</v>
      </c>
      <c r="H610" s="4" t="s">
        <v>25</v>
      </c>
      <c r="I610" s="5">
        <v>44562</v>
      </c>
      <c r="J610" s="6">
        <v>0</v>
      </c>
      <c r="K610" s="6">
        <v>0</v>
      </c>
      <c r="L610" s="6">
        <v>133.93899999999999</v>
      </c>
      <c r="M610" s="6">
        <v>133.93899999999999</v>
      </c>
      <c r="N610" s="6">
        <v>133.93899999999999</v>
      </c>
      <c r="O610" s="6">
        <v>133.93899999999999</v>
      </c>
      <c r="P610" s="6">
        <v>205</v>
      </c>
      <c r="Q610" s="4" t="s">
        <v>26</v>
      </c>
      <c r="R610" s="4">
        <v>0</v>
      </c>
      <c r="S610" s="6">
        <v>0</v>
      </c>
      <c r="T610" s="6">
        <v>33</v>
      </c>
      <c r="U610" s="6">
        <v>85</v>
      </c>
      <c r="V610" s="6">
        <f>IF(ISERROR(VLOOKUP($S$610,'TAR FIN'!$A$1:$O$86,15,0)),0,VLOOKUP($S$610,'TAR FIN'!$A$1:$O$86,15,0))</f>
        <v>0</v>
      </c>
      <c r="W610" s="6">
        <f>IF(ISERROR(VLOOKUP($T$610,'TAR FIN'!$A$1:$O$86,15,0)),0,VLOOKUP($T$610,'TAR FIN'!$A$1:$O$86,15,0))</f>
        <v>338.51</v>
      </c>
      <c r="X610" s="6">
        <f>IF(ISERROR(VLOOKUP($U$610,'TAR FIN'!$A$1:$O$86,15,0)),0,VLOOKUP($U$610,'TAR FIN'!$A$1:$O$86,15,0))</f>
        <v>224.01</v>
      </c>
      <c r="Y610" s="6"/>
      <c r="Z610" s="6">
        <f ca="1">('TUSD BE'!$AM$48+'TUSD BF'!$AM$48+'TUSD CVA'!$AM$48)*1</f>
        <v>417.58832886049538</v>
      </c>
      <c r="AA610" s="6">
        <f>('TE BE'!$AB$39+'TE BF'!$AB$39+'TE CVA'!$AB$39)*1</f>
        <v>234.64376439748159</v>
      </c>
      <c r="AB610" s="6">
        <f>$K$610*$V$610</f>
        <v>0</v>
      </c>
      <c r="AC610" s="6">
        <f>$M$610*$W$610</f>
        <v>45339.690889999998</v>
      </c>
      <c r="AD610" s="6">
        <f>$O$610*$X$610</f>
        <v>30003.675389999997</v>
      </c>
      <c r="AE610" s="6">
        <f>$K$610*$Y$610</f>
        <v>0</v>
      </c>
      <c r="AF610" s="6">
        <f ca="1">$M$610*$Z$610</f>
        <v>55931.363179245891</v>
      </c>
      <c r="AG610" s="6">
        <f>$O$610*$AA$610</f>
        <v>31427.951159634285</v>
      </c>
    </row>
    <row r="611" spans="1:33" ht="11.25" customHeight="1" x14ac:dyDescent="0.25">
      <c r="A611" s="4" t="s">
        <v>21</v>
      </c>
      <c r="B611" s="4" t="s">
        <v>33</v>
      </c>
      <c r="C611" s="4" t="s">
        <v>23</v>
      </c>
      <c r="D611" s="4" t="s">
        <v>43</v>
      </c>
      <c r="E611" s="4" t="s">
        <v>25</v>
      </c>
      <c r="F611" s="4" t="s">
        <v>25</v>
      </c>
      <c r="G611" s="4" t="s">
        <v>25</v>
      </c>
      <c r="H611" s="4" t="s">
        <v>25</v>
      </c>
      <c r="I611" s="5">
        <v>44593</v>
      </c>
      <c r="J611" s="6">
        <v>0</v>
      </c>
      <c r="K611" s="6">
        <v>0</v>
      </c>
      <c r="L611" s="6">
        <v>158.751</v>
      </c>
      <c r="M611" s="6">
        <v>158.751</v>
      </c>
      <c r="N611" s="6">
        <v>158.751</v>
      </c>
      <c r="O611" s="6">
        <v>158.751</v>
      </c>
      <c r="P611" s="6">
        <v>207</v>
      </c>
      <c r="Q611" s="4" t="s">
        <v>26</v>
      </c>
      <c r="R611" s="4">
        <v>0</v>
      </c>
      <c r="S611" s="6">
        <v>0</v>
      </c>
      <c r="T611" s="6">
        <v>33</v>
      </c>
      <c r="U611" s="6">
        <v>85</v>
      </c>
      <c r="V611" s="6">
        <f>IF(ISERROR(VLOOKUP($S$611,'TAR FIN'!$A$1:$O$86,15,0)),0,VLOOKUP($S$611,'TAR FIN'!$A$1:$O$86,15,0))</f>
        <v>0</v>
      </c>
      <c r="W611" s="6">
        <f>IF(ISERROR(VLOOKUP($T$611,'TAR FIN'!$A$1:$O$86,15,0)),0,VLOOKUP($T$611,'TAR FIN'!$A$1:$O$86,15,0))</f>
        <v>338.51</v>
      </c>
      <c r="X611" s="6">
        <f>IF(ISERROR(VLOOKUP($U$611,'TAR FIN'!$A$1:$O$86,15,0)),0,VLOOKUP($U$611,'TAR FIN'!$A$1:$O$86,15,0))</f>
        <v>224.01</v>
      </c>
      <c r="Y611" s="6"/>
      <c r="Z611" s="6">
        <f ca="1">('TUSD BE'!$AM$48+'TUSD BF'!$AM$48+'TUSD CVA'!$AM$48)*1</f>
        <v>417.58832886049538</v>
      </c>
      <c r="AA611" s="6">
        <f>('TE BE'!$AB$39+'TE BF'!$AB$39+'TE CVA'!$AB$39)*1</f>
        <v>234.64376439748159</v>
      </c>
      <c r="AB611" s="6">
        <f>$K$611*$V$611</f>
        <v>0</v>
      </c>
      <c r="AC611" s="6">
        <f>$M$611*$W$611</f>
        <v>53738.801010000003</v>
      </c>
      <c r="AD611" s="6">
        <f>$O$611*$X$611</f>
        <v>35561.81151</v>
      </c>
      <c r="AE611" s="6">
        <f>$K$611*$Y$611</f>
        <v>0</v>
      </c>
      <c r="AF611" s="6">
        <f ca="1">$M$611*$Z$611</f>
        <v>66292.564794932507</v>
      </c>
      <c r="AG611" s="6">
        <f>$O$611*$AA$611</f>
        <v>37249.932241864604</v>
      </c>
    </row>
    <row r="612" spans="1:33" ht="11.25" customHeight="1" x14ac:dyDescent="0.25">
      <c r="A612" s="4" t="s">
        <v>21</v>
      </c>
      <c r="B612" s="4" t="s">
        <v>33</v>
      </c>
      <c r="C612" s="4" t="s">
        <v>23</v>
      </c>
      <c r="D612" s="4" t="s">
        <v>43</v>
      </c>
      <c r="E612" s="4" t="s">
        <v>25</v>
      </c>
      <c r="F612" s="4" t="s">
        <v>25</v>
      </c>
      <c r="G612" s="4" t="s">
        <v>25</v>
      </c>
      <c r="H612" s="4" t="s">
        <v>25</v>
      </c>
      <c r="I612" s="5">
        <v>44621</v>
      </c>
      <c r="J612" s="6">
        <v>0</v>
      </c>
      <c r="K612" s="6">
        <v>0</v>
      </c>
      <c r="L612" s="6">
        <v>227.23599999999999</v>
      </c>
      <c r="M612" s="6">
        <v>227.23599999999999</v>
      </c>
      <c r="N612" s="6">
        <v>227.23599999999999</v>
      </c>
      <c r="O612" s="6">
        <v>227.23599999999999</v>
      </c>
      <c r="P612" s="6">
        <v>209</v>
      </c>
      <c r="Q612" s="4" t="s">
        <v>26</v>
      </c>
      <c r="R612" s="4">
        <v>0</v>
      </c>
      <c r="S612" s="6">
        <v>0</v>
      </c>
      <c r="T612" s="6">
        <v>33</v>
      </c>
      <c r="U612" s="6">
        <v>85</v>
      </c>
      <c r="V612" s="6">
        <f>IF(ISERROR(VLOOKUP($S$612,'TAR FIN'!$A$1:$O$86,15,0)),0,VLOOKUP($S$612,'TAR FIN'!$A$1:$O$86,15,0))</f>
        <v>0</v>
      </c>
      <c r="W612" s="6">
        <f>IF(ISERROR(VLOOKUP($T$612,'TAR FIN'!$A$1:$O$86,15,0)),0,VLOOKUP($T$612,'TAR FIN'!$A$1:$O$86,15,0))</f>
        <v>338.51</v>
      </c>
      <c r="X612" s="6">
        <f>IF(ISERROR(VLOOKUP($U$612,'TAR FIN'!$A$1:$O$86,15,0)),0,VLOOKUP($U$612,'TAR FIN'!$A$1:$O$86,15,0))</f>
        <v>224.01</v>
      </c>
      <c r="Y612" s="6"/>
      <c r="Z612" s="6">
        <f ca="1">('TUSD BE'!$AM$48+'TUSD BF'!$AM$48+'TUSD CVA'!$AM$48)*1</f>
        <v>417.58832886049538</v>
      </c>
      <c r="AA612" s="6">
        <f>('TE BE'!$AB$39+'TE BF'!$AB$39+'TE CVA'!$AB$39)*1</f>
        <v>234.64376439748159</v>
      </c>
      <c r="AB612" s="6">
        <f>$K$612*$V$612</f>
        <v>0</v>
      </c>
      <c r="AC612" s="6">
        <f>$M$612*$W$612</f>
        <v>76921.658360000001</v>
      </c>
      <c r="AD612" s="6">
        <f>$O$612*$X$612</f>
        <v>50903.136359999997</v>
      </c>
      <c r="AE612" s="6">
        <f>$K$612*$Y$612</f>
        <v>0</v>
      </c>
      <c r="AF612" s="6">
        <f ca="1">$M$612*$Z$612</f>
        <v>94891.10149694352</v>
      </c>
      <c r="AG612" s="6">
        <f>$O$612*$AA$612</f>
        <v>53319.510446626125</v>
      </c>
    </row>
    <row r="613" spans="1:33" ht="11.25" customHeight="1" x14ac:dyDescent="0.25">
      <c r="A613" s="4" t="s">
        <v>21</v>
      </c>
      <c r="B613" s="4" t="s">
        <v>33</v>
      </c>
      <c r="C613" s="4" t="s">
        <v>23</v>
      </c>
      <c r="D613" s="4" t="s">
        <v>43</v>
      </c>
      <c r="E613" s="4" t="s">
        <v>25</v>
      </c>
      <c r="F613" s="4" t="s">
        <v>25</v>
      </c>
      <c r="G613" s="4" t="s">
        <v>25</v>
      </c>
      <c r="H613" s="4" t="s">
        <v>25</v>
      </c>
      <c r="I613" s="5">
        <v>44652</v>
      </c>
      <c r="J613" s="6">
        <v>0</v>
      </c>
      <c r="K613" s="6">
        <v>0</v>
      </c>
      <c r="L613" s="6">
        <v>181.58</v>
      </c>
      <c r="M613" s="6">
        <v>181.58</v>
      </c>
      <c r="N613" s="6">
        <v>181.58</v>
      </c>
      <c r="O613" s="6">
        <v>181.58</v>
      </c>
      <c r="P613" s="6">
        <v>207</v>
      </c>
      <c r="Q613" s="4" t="s">
        <v>26</v>
      </c>
      <c r="R613" s="4">
        <v>0</v>
      </c>
      <c r="S613" s="6">
        <v>0</v>
      </c>
      <c r="T613" s="6">
        <v>33</v>
      </c>
      <c r="U613" s="6">
        <v>85</v>
      </c>
      <c r="V613" s="6">
        <f>IF(ISERROR(VLOOKUP($S$613,'TAR FIN'!$A$1:$O$86,15,0)),0,VLOOKUP($S$613,'TAR FIN'!$A$1:$O$86,15,0))</f>
        <v>0</v>
      </c>
      <c r="W613" s="6">
        <f>IF(ISERROR(VLOOKUP($T$613,'TAR FIN'!$A$1:$O$86,15,0)),0,VLOOKUP($T$613,'TAR FIN'!$A$1:$O$86,15,0))</f>
        <v>338.51</v>
      </c>
      <c r="X613" s="6">
        <f>IF(ISERROR(VLOOKUP($U$613,'TAR FIN'!$A$1:$O$86,15,0)),0,VLOOKUP($U$613,'TAR FIN'!$A$1:$O$86,15,0))</f>
        <v>224.01</v>
      </c>
      <c r="Y613" s="6"/>
      <c r="Z613" s="6">
        <f ca="1">('TUSD BE'!$AM$48+'TUSD BF'!$AM$48+'TUSD CVA'!$AM$48)*1</f>
        <v>417.58832886049538</v>
      </c>
      <c r="AA613" s="6">
        <f>('TE BE'!$AB$39+'TE BF'!$AB$39+'TE CVA'!$AB$39)*1</f>
        <v>234.64376439748159</v>
      </c>
      <c r="AB613" s="6">
        <f>$K$613*$V$613</f>
        <v>0</v>
      </c>
      <c r="AC613" s="6">
        <f>$M$613*$W$613</f>
        <v>61466.645800000006</v>
      </c>
      <c r="AD613" s="6">
        <f>$O$613*$X$613</f>
        <v>40675.735800000002</v>
      </c>
      <c r="AE613" s="6">
        <f>$K$613*$Y$613</f>
        <v>0</v>
      </c>
      <c r="AF613" s="6">
        <f ca="1">$M$613*$Z$613</f>
        <v>75825.688754488758</v>
      </c>
      <c r="AG613" s="6">
        <f>$O$613*$AA$613</f>
        <v>42606.61473929471</v>
      </c>
    </row>
    <row r="614" spans="1:33" ht="11.25" customHeight="1" x14ac:dyDescent="0.25">
      <c r="A614" s="4" t="s">
        <v>21</v>
      </c>
      <c r="B614" s="4" t="s">
        <v>33</v>
      </c>
      <c r="C614" s="4" t="s">
        <v>23</v>
      </c>
      <c r="D614" s="4" t="s">
        <v>43</v>
      </c>
      <c r="E614" s="4" t="s">
        <v>25</v>
      </c>
      <c r="F614" s="4" t="s">
        <v>25</v>
      </c>
      <c r="G614" s="4" t="s">
        <v>25</v>
      </c>
      <c r="H614" s="4" t="s">
        <v>25</v>
      </c>
      <c r="I614" s="5">
        <v>44682</v>
      </c>
      <c r="J614" s="6">
        <v>0</v>
      </c>
      <c r="K614" s="6">
        <v>0</v>
      </c>
      <c r="L614" s="6">
        <v>130.04900000000001</v>
      </c>
      <c r="M614" s="6">
        <v>130.04900000000001</v>
      </c>
      <c r="N614" s="6">
        <v>130.04900000000001</v>
      </c>
      <c r="O614" s="6">
        <v>130.04900000000001</v>
      </c>
      <c r="P614" s="6">
        <v>201</v>
      </c>
      <c r="Q614" s="4" t="s">
        <v>26</v>
      </c>
      <c r="R614" s="4">
        <v>0</v>
      </c>
      <c r="S614" s="6">
        <v>0</v>
      </c>
      <c r="T614" s="6">
        <v>33</v>
      </c>
      <c r="U614" s="6">
        <v>85</v>
      </c>
      <c r="V614" s="6">
        <f>IF(ISERROR(VLOOKUP($S$614,'TAR FIN'!$A$1:$O$86,15,0)),0,VLOOKUP($S$614,'TAR FIN'!$A$1:$O$86,15,0))</f>
        <v>0</v>
      </c>
      <c r="W614" s="6">
        <f>IF(ISERROR(VLOOKUP($T$614,'TAR FIN'!$A$1:$O$86,15,0)),0,VLOOKUP($T$614,'TAR FIN'!$A$1:$O$86,15,0))</f>
        <v>338.51</v>
      </c>
      <c r="X614" s="6">
        <f>IF(ISERROR(VLOOKUP($U$614,'TAR FIN'!$A$1:$O$86,15,0)),0,VLOOKUP($U$614,'TAR FIN'!$A$1:$O$86,15,0))</f>
        <v>224.01</v>
      </c>
      <c r="Y614" s="6"/>
      <c r="Z614" s="6">
        <f ca="1">('TUSD BE'!$AM$48+'TUSD BF'!$AM$48+'TUSD CVA'!$AM$48)*1</f>
        <v>417.58832886049538</v>
      </c>
      <c r="AA614" s="6">
        <f>('TE BE'!$AB$39+'TE BF'!$AB$39+'TE CVA'!$AB$39)*1</f>
        <v>234.64376439748159</v>
      </c>
      <c r="AB614" s="6">
        <f>$K$614*$V$614</f>
        <v>0</v>
      </c>
      <c r="AC614" s="6">
        <f>$M$614*$W$614</f>
        <v>44022.886989999999</v>
      </c>
      <c r="AD614" s="6">
        <f>$O$614*$X$614</f>
        <v>29132.27649</v>
      </c>
      <c r="AE614" s="6">
        <f>$K$614*$Y$614</f>
        <v>0</v>
      </c>
      <c r="AF614" s="6">
        <f ca="1">$M$614*$Z$614</f>
        <v>54306.944579978568</v>
      </c>
      <c r="AG614" s="6">
        <f>$O$614*$AA$614</f>
        <v>30515.186916128085</v>
      </c>
    </row>
    <row r="615" spans="1:33" ht="11.25" customHeight="1" x14ac:dyDescent="0.25">
      <c r="A615" s="4" t="s">
        <v>21</v>
      </c>
      <c r="B615" s="4" t="s">
        <v>33</v>
      </c>
      <c r="C615" s="4" t="s">
        <v>23</v>
      </c>
      <c r="D615" s="4" t="s">
        <v>43</v>
      </c>
      <c r="E615" s="4" t="s">
        <v>25</v>
      </c>
      <c r="F615" s="4" t="s">
        <v>25</v>
      </c>
      <c r="G615" s="4" t="s">
        <v>25</v>
      </c>
      <c r="H615" s="4" t="s">
        <v>25</v>
      </c>
      <c r="I615" s="5">
        <v>44713</v>
      </c>
      <c r="J615" s="6">
        <v>0</v>
      </c>
      <c r="K615" s="6">
        <v>0</v>
      </c>
      <c r="L615" s="6">
        <v>114.00700000000001</v>
      </c>
      <c r="M615" s="6">
        <v>114.00700000000001</v>
      </c>
      <c r="N615" s="6">
        <v>114.00700000000001</v>
      </c>
      <c r="O615" s="6">
        <v>114.00700000000001</v>
      </c>
      <c r="P615" s="6">
        <v>200</v>
      </c>
      <c r="Q615" s="4" t="s">
        <v>26</v>
      </c>
      <c r="R615" s="4">
        <v>0</v>
      </c>
      <c r="S615" s="6">
        <v>0</v>
      </c>
      <c r="T615" s="6">
        <v>33</v>
      </c>
      <c r="U615" s="6">
        <v>85</v>
      </c>
      <c r="V615" s="6">
        <f>IF(ISERROR(VLOOKUP($S$615,'TAR FIN'!$A$1:$O$86,15,0)),0,VLOOKUP($S$615,'TAR FIN'!$A$1:$O$86,15,0))</f>
        <v>0</v>
      </c>
      <c r="W615" s="6">
        <f>IF(ISERROR(VLOOKUP($T$615,'TAR FIN'!$A$1:$O$86,15,0)),0,VLOOKUP($T$615,'TAR FIN'!$A$1:$O$86,15,0))</f>
        <v>338.51</v>
      </c>
      <c r="X615" s="6">
        <f>IF(ISERROR(VLOOKUP($U$615,'TAR FIN'!$A$1:$O$86,15,0)),0,VLOOKUP($U$615,'TAR FIN'!$A$1:$O$86,15,0))</f>
        <v>224.01</v>
      </c>
      <c r="Y615" s="6"/>
      <c r="Z615" s="6">
        <f ca="1">('TUSD BE'!$AM$48+'TUSD BF'!$AM$48+'TUSD CVA'!$AM$48)*1</f>
        <v>417.58832886049538</v>
      </c>
      <c r="AA615" s="6">
        <f>('TE BE'!$AB$39+'TE BF'!$AB$39+'TE CVA'!$AB$39)*1</f>
        <v>234.64376439748159</v>
      </c>
      <c r="AB615" s="6">
        <f>$K$615*$V$615</f>
        <v>0</v>
      </c>
      <c r="AC615" s="6">
        <f>$M$615*$W$615</f>
        <v>38592.509570000002</v>
      </c>
      <c r="AD615" s="6">
        <f>$O$615*$X$615</f>
        <v>25538.708070000001</v>
      </c>
      <c r="AE615" s="6">
        <f>$K$615*$Y$615</f>
        <v>0</v>
      </c>
      <c r="AF615" s="6">
        <f ca="1">$M$615*$Z$615</f>
        <v>47607.992608398497</v>
      </c>
      <c r="AG615" s="6">
        <f>$O$615*$AA$615</f>
        <v>26751.031647663684</v>
      </c>
    </row>
    <row r="616" spans="1:33" ht="11.25" customHeight="1" x14ac:dyDescent="0.25">
      <c r="A616" s="4" t="s">
        <v>55</v>
      </c>
      <c r="B616" s="4" t="s">
        <v>33</v>
      </c>
      <c r="C616" s="4" t="s">
        <v>23</v>
      </c>
      <c r="D616" s="4" t="s">
        <v>43</v>
      </c>
      <c r="E616" s="4" t="s">
        <v>25</v>
      </c>
      <c r="F616" s="4" t="s">
        <v>25</v>
      </c>
      <c r="G616" s="4" t="s">
        <v>25</v>
      </c>
      <c r="H616" s="4" t="s">
        <v>25</v>
      </c>
      <c r="I616" s="5">
        <v>44743</v>
      </c>
      <c r="J616" s="6">
        <v>0</v>
      </c>
      <c r="K616" s="6">
        <v>0</v>
      </c>
      <c r="L616" s="6">
        <v>114.00700000000001</v>
      </c>
      <c r="M616" s="6">
        <v>114.00700000000001</v>
      </c>
      <c r="N616" s="6">
        <v>114.00700000000001</v>
      </c>
      <c r="O616" s="6">
        <v>114.00700000000001</v>
      </c>
      <c r="P616" s="6">
        <v>200</v>
      </c>
      <c r="Q616" s="4" t="s">
        <v>26</v>
      </c>
      <c r="R616" s="4">
        <v>0</v>
      </c>
      <c r="S616" s="6">
        <v>0</v>
      </c>
      <c r="T616" s="6">
        <v>33</v>
      </c>
      <c r="U616" s="6">
        <v>85</v>
      </c>
      <c r="V616" s="6">
        <f>IF(ISERROR(VLOOKUP($S$616,'TAR FIN'!$A$1:$O$86,15,0)),0,VLOOKUP($S$616,'TAR FIN'!$A$1:$O$86,15,0))</f>
        <v>0</v>
      </c>
      <c r="W616" s="6">
        <f>IF(ISERROR(VLOOKUP($T$616,'TAR FIN'!$A$1:$O$86,15,0)),0,VLOOKUP($T$616,'TAR FIN'!$A$1:$O$86,15,0))</f>
        <v>338.51</v>
      </c>
      <c r="X616" s="6">
        <f>IF(ISERROR(VLOOKUP($U$616,'TAR FIN'!$A$1:$O$86,15,0)),0,VLOOKUP($U$616,'TAR FIN'!$A$1:$O$86,15,0))</f>
        <v>224.01</v>
      </c>
      <c r="Y616" s="6"/>
      <c r="Z616" s="6">
        <f ca="1">('TUSD BE'!$AM$48+'TUSD BF'!$AM$48+'TUSD CVA'!$AM$48)*1</f>
        <v>417.58832886049538</v>
      </c>
      <c r="AA616" s="6">
        <f>('TE BE'!$AB$39+'TE BF'!$AB$39+'TE CVA'!$AB$39)*1</f>
        <v>234.64376439748159</v>
      </c>
      <c r="AB616" s="6">
        <f>$K$616*$V$616</f>
        <v>0</v>
      </c>
      <c r="AC616" s="6">
        <f>$M$616*$W$616</f>
        <v>38592.509570000002</v>
      </c>
      <c r="AD616" s="6">
        <f>$O$616*$X$616</f>
        <v>25538.708070000001</v>
      </c>
      <c r="AE616" s="6">
        <f>$K$616*$Y$616</f>
        <v>0</v>
      </c>
      <c r="AF616" s="6">
        <f ca="1">$M$616*$Z$616</f>
        <v>47607.992608398497</v>
      </c>
      <c r="AG616" s="6">
        <f>$O$616*$AA$616</f>
        <v>26751.031647663684</v>
      </c>
    </row>
    <row r="617" spans="1:33" ht="11.25" customHeight="1" x14ac:dyDescent="0.25">
      <c r="A617" s="4" t="s">
        <v>21</v>
      </c>
      <c r="B617" s="4" t="s">
        <v>33</v>
      </c>
      <c r="C617" s="4" t="s">
        <v>23</v>
      </c>
      <c r="D617" s="4" t="s">
        <v>47</v>
      </c>
      <c r="E617" s="4" t="s">
        <v>48</v>
      </c>
      <c r="F617" s="4" t="s">
        <v>25</v>
      </c>
      <c r="G617" s="4" t="s">
        <v>25</v>
      </c>
      <c r="H617" s="4" t="s">
        <v>25</v>
      </c>
      <c r="I617" s="5">
        <v>44409</v>
      </c>
      <c r="J617" s="6">
        <v>0</v>
      </c>
      <c r="K617" s="128">
        <v>0</v>
      </c>
      <c r="L617" s="6">
        <v>46.851999999999997</v>
      </c>
      <c r="M617" s="128">
        <v>46.851999999999997</v>
      </c>
      <c r="N617" s="6">
        <v>46.851999999999997</v>
      </c>
      <c r="O617" s="128">
        <v>46.851999999999997</v>
      </c>
      <c r="P617" s="6">
        <v>32</v>
      </c>
      <c r="Q617" s="4" t="s">
        <v>26</v>
      </c>
      <c r="R617" s="4">
        <v>0</v>
      </c>
      <c r="S617" s="6">
        <v>0</v>
      </c>
      <c r="T617" s="6">
        <v>33</v>
      </c>
      <c r="U617" s="6">
        <v>85</v>
      </c>
      <c r="V617" s="128">
        <f>IF(ISERROR(VLOOKUP($S$617,'TAR FIN'!$A$1:$O$86,15,0)),0,VLOOKUP($S$617,'TAR FIN'!$A$1:$O$86,15,0))</f>
        <v>0</v>
      </c>
      <c r="W617" s="128">
        <f>IF(ISERROR(VLOOKUP($T$617,'TAR FIN'!$A$1:$O$86,15,0)),0,VLOOKUP($T$617,'TAR FIN'!$A$1:$O$86,15,0))*(1-0.06)</f>
        <v>318.19939999999997</v>
      </c>
      <c r="X617" s="128">
        <f>IF(ISERROR(VLOOKUP($U$617,'TAR FIN'!$A$1:$O$86,15,0)),0,VLOOKUP($U$617,'TAR FIN'!$A$1:$O$86,15,0))*(1-0.06)</f>
        <v>210.56939999999997</v>
      </c>
      <c r="Y617" s="128"/>
      <c r="Z617" s="128">
        <f ca="1">('TUSD BE'!$AM$48+'TUSD BF'!$AM$48+'TUSD CVA'!$AM$48)*1*(1-0.03)</f>
        <v>405.06067899468053</v>
      </c>
      <c r="AA617" s="128">
        <f>('TE BE'!$AB$39+'TE BF'!$AB$39+'TE CVA'!$AB$39)*1*(1-0.03)</f>
        <v>227.60445146555713</v>
      </c>
      <c r="AB617" s="6">
        <f>$K$617*$V$617</f>
        <v>0</v>
      </c>
      <c r="AC617" s="6">
        <f>$M$617*$W$617</f>
        <v>14908.278288799998</v>
      </c>
      <c r="AD617" s="6">
        <f>$O$617*$X$617</f>
        <v>9865.5975287999972</v>
      </c>
      <c r="AE617" s="6">
        <f>$K$617*$Y$617</f>
        <v>0</v>
      </c>
      <c r="AF617" s="6">
        <f ca="1">$M$617*$Z$617</f>
        <v>18977.90293225877</v>
      </c>
      <c r="AG617" s="6">
        <f>$O$617*$AA$617</f>
        <v>10663.723760064282</v>
      </c>
    </row>
    <row r="618" spans="1:33" ht="11.25" customHeight="1" x14ac:dyDescent="0.25">
      <c r="A618" s="4" t="s">
        <v>21</v>
      </c>
      <c r="B618" s="4" t="s">
        <v>33</v>
      </c>
      <c r="C618" s="4" t="s">
        <v>23</v>
      </c>
      <c r="D618" s="4" t="s">
        <v>47</v>
      </c>
      <c r="E618" s="4" t="s">
        <v>48</v>
      </c>
      <c r="F618" s="4" t="s">
        <v>25</v>
      </c>
      <c r="G618" s="4" t="s">
        <v>25</v>
      </c>
      <c r="H618" s="4" t="s">
        <v>25</v>
      </c>
      <c r="I618" s="5">
        <v>44440</v>
      </c>
      <c r="J618" s="6">
        <v>0</v>
      </c>
      <c r="K618" s="128">
        <v>0</v>
      </c>
      <c r="L618" s="6">
        <v>49.296999999999997</v>
      </c>
      <c r="M618" s="128">
        <v>49.296999999999997</v>
      </c>
      <c r="N618" s="6">
        <v>49.296999999999997</v>
      </c>
      <c r="O618" s="128">
        <v>49.296999999999997</v>
      </c>
      <c r="P618" s="6">
        <v>32</v>
      </c>
      <c r="Q618" s="4" t="s">
        <v>26</v>
      </c>
      <c r="R618" s="4">
        <v>0</v>
      </c>
      <c r="S618" s="6">
        <v>0</v>
      </c>
      <c r="T618" s="6">
        <v>33</v>
      </c>
      <c r="U618" s="6">
        <v>85</v>
      </c>
      <c r="V618" s="128">
        <f>IF(ISERROR(VLOOKUP($S$618,'TAR FIN'!$A$1:$O$86,15,0)),0,VLOOKUP($S$618,'TAR FIN'!$A$1:$O$86,15,0))</f>
        <v>0</v>
      </c>
      <c r="W618" s="128">
        <f>IF(ISERROR(VLOOKUP($T$618,'TAR FIN'!$A$1:$O$86,15,0)),0,VLOOKUP($T$618,'TAR FIN'!$A$1:$O$86,15,0))*(1-0.06)</f>
        <v>318.19939999999997</v>
      </c>
      <c r="X618" s="128">
        <f>IF(ISERROR(VLOOKUP($U$618,'TAR FIN'!$A$1:$O$86,15,0)),0,VLOOKUP($U$618,'TAR FIN'!$A$1:$O$86,15,0))*(1-0.06)</f>
        <v>210.56939999999997</v>
      </c>
      <c r="Y618" s="128"/>
      <c r="Z618" s="128">
        <f ca="1">('TUSD BE'!$AM$48+'TUSD BF'!$AM$48+'TUSD CVA'!$AM$48)*1*(1-0.03)</f>
        <v>405.06067899468053</v>
      </c>
      <c r="AA618" s="128">
        <f>('TE BE'!$AB$39+'TE BF'!$AB$39+'TE CVA'!$AB$39)*1*(1-0.03)</f>
        <v>227.60445146555713</v>
      </c>
      <c r="AB618" s="6">
        <f>$K$618*$V$618</f>
        <v>0</v>
      </c>
      <c r="AC618" s="6">
        <f>$M$618*$W$618</f>
        <v>15686.275821799998</v>
      </c>
      <c r="AD618" s="6">
        <f>$O$618*$X$618</f>
        <v>10380.439711799998</v>
      </c>
      <c r="AE618" s="6">
        <f>$K$618*$Y$618</f>
        <v>0</v>
      </c>
      <c r="AF618" s="6">
        <f ca="1">$M$618*$Z$618</f>
        <v>19968.276292400766</v>
      </c>
      <c r="AG618" s="6">
        <f>$O$618*$AA$618</f>
        <v>11220.216643897569</v>
      </c>
    </row>
    <row r="619" spans="1:33" ht="11.25" customHeight="1" x14ac:dyDescent="0.25">
      <c r="A619" s="4" t="s">
        <v>21</v>
      </c>
      <c r="B619" s="4" t="s">
        <v>33</v>
      </c>
      <c r="C619" s="4" t="s">
        <v>23</v>
      </c>
      <c r="D619" s="4" t="s">
        <v>47</v>
      </c>
      <c r="E619" s="4" t="s">
        <v>48</v>
      </c>
      <c r="F619" s="4" t="s">
        <v>25</v>
      </c>
      <c r="G619" s="4" t="s">
        <v>25</v>
      </c>
      <c r="H619" s="4" t="s">
        <v>25</v>
      </c>
      <c r="I619" s="5">
        <v>44470</v>
      </c>
      <c r="J619" s="6">
        <v>0</v>
      </c>
      <c r="K619" s="128">
        <v>0</v>
      </c>
      <c r="L619" s="6">
        <v>45.563000000000002</v>
      </c>
      <c r="M619" s="128">
        <v>45.563000000000002</v>
      </c>
      <c r="N619" s="6">
        <v>45.563000000000002</v>
      </c>
      <c r="O619" s="128">
        <v>45.563000000000002</v>
      </c>
      <c r="P619" s="6">
        <v>32</v>
      </c>
      <c r="Q619" s="4" t="s">
        <v>26</v>
      </c>
      <c r="R619" s="4">
        <v>0</v>
      </c>
      <c r="S619" s="6">
        <v>0</v>
      </c>
      <c r="T619" s="6">
        <v>33</v>
      </c>
      <c r="U619" s="6">
        <v>85</v>
      </c>
      <c r="V619" s="128">
        <f>IF(ISERROR(VLOOKUP($S$619,'TAR FIN'!$A$1:$O$86,15,0)),0,VLOOKUP($S$619,'TAR FIN'!$A$1:$O$86,15,0))</f>
        <v>0</v>
      </c>
      <c r="W619" s="128">
        <f>IF(ISERROR(VLOOKUP($T$619,'TAR FIN'!$A$1:$O$86,15,0)),0,VLOOKUP($T$619,'TAR FIN'!$A$1:$O$86,15,0))*(1-0.06)</f>
        <v>318.19939999999997</v>
      </c>
      <c r="X619" s="128">
        <f>IF(ISERROR(VLOOKUP($U$619,'TAR FIN'!$A$1:$O$86,15,0)),0,VLOOKUP($U$619,'TAR FIN'!$A$1:$O$86,15,0))*(1-0.06)</f>
        <v>210.56939999999997</v>
      </c>
      <c r="Y619" s="128"/>
      <c r="Z619" s="128">
        <f ca="1">('TUSD BE'!$AM$48+'TUSD BF'!$AM$48+'TUSD CVA'!$AM$48)*1*(1-0.03)</f>
        <v>405.06067899468053</v>
      </c>
      <c r="AA619" s="128">
        <f>('TE BE'!$AB$39+'TE BF'!$AB$39+'TE CVA'!$AB$39)*1*(1-0.03)</f>
        <v>227.60445146555713</v>
      </c>
      <c r="AB619" s="6">
        <f>$K$619*$V$619</f>
        <v>0</v>
      </c>
      <c r="AC619" s="6">
        <f>$M$619*$W$619</f>
        <v>14498.1192622</v>
      </c>
      <c r="AD619" s="6">
        <f>$O$619*$X$619</f>
        <v>9594.1735721999994</v>
      </c>
      <c r="AE619" s="6">
        <f>$K$619*$Y$619</f>
        <v>0</v>
      </c>
      <c r="AF619" s="6">
        <f ca="1">$M$619*$Z$619</f>
        <v>18455.779717034631</v>
      </c>
      <c r="AG619" s="6">
        <f>$O$619*$AA$619</f>
        <v>10370.341622125181</v>
      </c>
    </row>
    <row r="620" spans="1:33" ht="11.25" customHeight="1" x14ac:dyDescent="0.25">
      <c r="A620" s="4" t="s">
        <v>21</v>
      </c>
      <c r="B620" s="4" t="s">
        <v>33</v>
      </c>
      <c r="C620" s="4" t="s">
        <v>23</v>
      </c>
      <c r="D620" s="4" t="s">
        <v>47</v>
      </c>
      <c r="E620" s="4" t="s">
        <v>48</v>
      </c>
      <c r="F620" s="4" t="s">
        <v>25</v>
      </c>
      <c r="G620" s="4" t="s">
        <v>25</v>
      </c>
      <c r="H620" s="4" t="s">
        <v>25</v>
      </c>
      <c r="I620" s="5">
        <v>44501</v>
      </c>
      <c r="J620" s="6">
        <v>0</v>
      </c>
      <c r="K620" s="128">
        <v>0</v>
      </c>
      <c r="L620" s="6">
        <v>47.423999999999999</v>
      </c>
      <c r="M620" s="128">
        <v>47.423999999999999</v>
      </c>
      <c r="N620" s="6">
        <v>47.423999999999999</v>
      </c>
      <c r="O620" s="128">
        <v>47.423999999999999</v>
      </c>
      <c r="P620" s="6">
        <v>34</v>
      </c>
      <c r="Q620" s="4" t="s">
        <v>26</v>
      </c>
      <c r="R620" s="4">
        <v>0</v>
      </c>
      <c r="S620" s="6">
        <v>0</v>
      </c>
      <c r="T620" s="6">
        <v>33</v>
      </c>
      <c r="U620" s="6">
        <v>85</v>
      </c>
      <c r="V620" s="128">
        <f>IF(ISERROR(VLOOKUP($S$620,'TAR FIN'!$A$1:$O$86,15,0)),0,VLOOKUP($S$620,'TAR FIN'!$A$1:$O$86,15,0))</f>
        <v>0</v>
      </c>
      <c r="W620" s="128">
        <f>IF(ISERROR(VLOOKUP($T$620,'TAR FIN'!$A$1:$O$86,15,0)),0,VLOOKUP($T$620,'TAR FIN'!$A$1:$O$86,15,0))*(1-0.06)</f>
        <v>318.19939999999997</v>
      </c>
      <c r="X620" s="128">
        <f>IF(ISERROR(VLOOKUP($U$620,'TAR FIN'!$A$1:$O$86,15,0)),0,VLOOKUP($U$620,'TAR FIN'!$A$1:$O$86,15,0))*(1-0.06)</f>
        <v>210.56939999999997</v>
      </c>
      <c r="Y620" s="128"/>
      <c r="Z620" s="128">
        <f ca="1">('TUSD BE'!$AM$48+'TUSD BF'!$AM$48+'TUSD CVA'!$AM$48)*1*(1-0.03)</f>
        <v>405.06067899468053</v>
      </c>
      <c r="AA620" s="128">
        <f>('TE BE'!$AB$39+'TE BF'!$AB$39+'TE CVA'!$AB$39)*1*(1-0.03)</f>
        <v>227.60445146555713</v>
      </c>
      <c r="AB620" s="6">
        <f>$K$620*$V$620</f>
        <v>0</v>
      </c>
      <c r="AC620" s="6">
        <f>$M$620*$W$620</f>
        <v>15090.288345599998</v>
      </c>
      <c r="AD620" s="6">
        <f>$O$620*$X$620</f>
        <v>9986.0432255999986</v>
      </c>
      <c r="AE620" s="6">
        <f>$K$620*$Y$620</f>
        <v>0</v>
      </c>
      <c r="AF620" s="6">
        <f ca="1">$M$620*$Z$620</f>
        <v>19209.597640643729</v>
      </c>
      <c r="AG620" s="6">
        <f>$O$620*$AA$620</f>
        <v>10793.913506302581</v>
      </c>
    </row>
    <row r="621" spans="1:33" ht="11.25" customHeight="1" x14ac:dyDescent="0.25">
      <c r="A621" s="4" t="s">
        <v>21</v>
      </c>
      <c r="B621" s="4" t="s">
        <v>33</v>
      </c>
      <c r="C621" s="4" t="s">
        <v>23</v>
      </c>
      <c r="D621" s="4" t="s">
        <v>47</v>
      </c>
      <c r="E621" s="4" t="s">
        <v>48</v>
      </c>
      <c r="F621" s="4" t="s">
        <v>25</v>
      </c>
      <c r="G621" s="4" t="s">
        <v>25</v>
      </c>
      <c r="H621" s="4" t="s">
        <v>25</v>
      </c>
      <c r="I621" s="5">
        <v>44531</v>
      </c>
      <c r="J621" s="6">
        <v>0</v>
      </c>
      <c r="K621" s="128">
        <v>0</v>
      </c>
      <c r="L621" s="6">
        <v>44.262999999999998</v>
      </c>
      <c r="M621" s="128">
        <v>44.262999999999998</v>
      </c>
      <c r="N621" s="6">
        <v>44.262999999999998</v>
      </c>
      <c r="O621" s="128">
        <v>44.262999999999998</v>
      </c>
      <c r="P621" s="6">
        <v>33</v>
      </c>
      <c r="Q621" s="4" t="s">
        <v>26</v>
      </c>
      <c r="R621" s="4">
        <v>0</v>
      </c>
      <c r="S621" s="6">
        <v>0</v>
      </c>
      <c r="T621" s="6">
        <v>33</v>
      </c>
      <c r="U621" s="6">
        <v>85</v>
      </c>
      <c r="V621" s="128">
        <f>IF(ISERROR(VLOOKUP($S$621,'TAR FIN'!$A$1:$O$86,15,0)),0,VLOOKUP($S$621,'TAR FIN'!$A$1:$O$86,15,0))</f>
        <v>0</v>
      </c>
      <c r="W621" s="128">
        <f>IF(ISERROR(VLOOKUP($T$621,'TAR FIN'!$A$1:$O$86,15,0)),0,VLOOKUP($T$621,'TAR FIN'!$A$1:$O$86,15,0))*(1-0.06)</f>
        <v>318.19939999999997</v>
      </c>
      <c r="X621" s="128">
        <f>IF(ISERROR(VLOOKUP($U$621,'TAR FIN'!$A$1:$O$86,15,0)),0,VLOOKUP($U$621,'TAR FIN'!$A$1:$O$86,15,0))*(1-0.06)</f>
        <v>210.56939999999997</v>
      </c>
      <c r="Y621" s="128"/>
      <c r="Z621" s="128">
        <f ca="1">('TUSD BE'!$AM$48+'TUSD BF'!$AM$48+'TUSD CVA'!$AM$48)*1*(1-0.03)</f>
        <v>405.06067899468053</v>
      </c>
      <c r="AA621" s="128">
        <f>('TE BE'!$AB$39+'TE BF'!$AB$39+'TE CVA'!$AB$39)*1*(1-0.03)</f>
        <v>227.60445146555713</v>
      </c>
      <c r="AB621" s="6">
        <f>$K$621*$V$621</f>
        <v>0</v>
      </c>
      <c r="AC621" s="6">
        <f>$M$621*$W$621</f>
        <v>14084.460042199998</v>
      </c>
      <c r="AD621" s="6">
        <f>$O$621*$X$621</f>
        <v>9320.4333521999979</v>
      </c>
      <c r="AE621" s="6">
        <f>$K$621*$Y$621</f>
        <v>0</v>
      </c>
      <c r="AF621" s="6">
        <f ca="1">$M$621*$Z$621</f>
        <v>17929.200834341544</v>
      </c>
      <c r="AG621" s="6">
        <f>$O$621*$AA$621</f>
        <v>10074.455835219955</v>
      </c>
    </row>
    <row r="622" spans="1:33" ht="11.25" customHeight="1" x14ac:dyDescent="0.25">
      <c r="A622" s="4" t="s">
        <v>27</v>
      </c>
      <c r="B622" s="4" t="s">
        <v>33</v>
      </c>
      <c r="C622" s="4" t="s">
        <v>23</v>
      </c>
      <c r="D622" s="4" t="s">
        <v>47</v>
      </c>
      <c r="E622" s="4" t="s">
        <v>48</v>
      </c>
      <c r="F622" s="4" t="s">
        <v>25</v>
      </c>
      <c r="G622" s="4" t="s">
        <v>25</v>
      </c>
      <c r="H622" s="4" t="s">
        <v>25</v>
      </c>
      <c r="I622" s="5">
        <v>44531</v>
      </c>
      <c r="J622" s="6">
        <v>0</v>
      </c>
      <c r="K622" s="128">
        <v>0</v>
      </c>
      <c r="L622" s="6">
        <v>-0.307</v>
      </c>
      <c r="M622" s="128">
        <v>-0.307</v>
      </c>
      <c r="N622" s="6">
        <v>-0.307</v>
      </c>
      <c r="O622" s="128">
        <v>-0.307</v>
      </c>
      <c r="P622" s="6">
        <v>0</v>
      </c>
      <c r="Q622" s="4" t="s">
        <v>26</v>
      </c>
      <c r="R622" s="4">
        <v>0</v>
      </c>
      <c r="S622" s="6">
        <v>0</v>
      </c>
      <c r="T622" s="6">
        <v>33</v>
      </c>
      <c r="U622" s="6">
        <v>85</v>
      </c>
      <c r="V622" s="128">
        <f>IF(ISERROR(VLOOKUP($S$622,'TAR FIN'!$A$1:$O$86,15,0)),0,VLOOKUP($S$622,'TAR FIN'!$A$1:$O$86,15,0))</f>
        <v>0</v>
      </c>
      <c r="W622" s="128">
        <f>IF(ISERROR(VLOOKUP($T$622,'TAR FIN'!$A$1:$O$86,15,0)),0,VLOOKUP($T$622,'TAR FIN'!$A$1:$O$86,15,0))*(1-0.06)</f>
        <v>318.19939999999997</v>
      </c>
      <c r="X622" s="128">
        <f>IF(ISERROR(VLOOKUP($U$622,'TAR FIN'!$A$1:$O$86,15,0)),0,VLOOKUP($U$622,'TAR FIN'!$A$1:$O$86,15,0))*(1-0.06)</f>
        <v>210.56939999999997</v>
      </c>
      <c r="Y622" s="128"/>
      <c r="Z622" s="128">
        <f ca="1">('TUSD BE'!$AM$48+'TUSD BF'!$AM$48+'TUSD CVA'!$AM$48)*1*(1-0.03)</f>
        <v>405.06067899468053</v>
      </c>
      <c r="AA622" s="128">
        <f>('TE BE'!$AB$39+'TE BF'!$AB$39+'TE CVA'!$AB$39)*1*(1-0.03)</f>
        <v>227.60445146555713</v>
      </c>
      <c r="AB622" s="6">
        <f>$K$622*$V$622</f>
        <v>0</v>
      </c>
      <c r="AC622" s="6">
        <f>$M$622*$W$622</f>
        <v>-97.68721579999999</v>
      </c>
      <c r="AD622" s="6">
        <f>$O$622*$X$622</f>
        <v>-64.644805799999986</v>
      </c>
      <c r="AE622" s="6">
        <f>$K$622*$Y$622</f>
        <v>0</v>
      </c>
      <c r="AF622" s="6">
        <f ca="1">$M$622*$Z$622</f>
        <v>-124.35362845136692</v>
      </c>
      <c r="AG622" s="6">
        <f>$O$622*$AA$622</f>
        <v>-69.874566599926041</v>
      </c>
    </row>
    <row r="623" spans="1:33" ht="11.25" customHeight="1" x14ac:dyDescent="0.25">
      <c r="A623" s="4" t="s">
        <v>21</v>
      </c>
      <c r="B623" s="4" t="s">
        <v>33</v>
      </c>
      <c r="C623" s="4" t="s">
        <v>23</v>
      </c>
      <c r="D623" s="4" t="s">
        <v>47</v>
      </c>
      <c r="E623" s="4" t="s">
        <v>48</v>
      </c>
      <c r="F623" s="4" t="s">
        <v>25</v>
      </c>
      <c r="G623" s="4" t="s">
        <v>25</v>
      </c>
      <c r="H623" s="4" t="s">
        <v>25</v>
      </c>
      <c r="I623" s="5">
        <v>44562</v>
      </c>
      <c r="J623" s="6">
        <v>0</v>
      </c>
      <c r="K623" s="128">
        <v>0</v>
      </c>
      <c r="L623" s="6">
        <v>60.606000000000002</v>
      </c>
      <c r="M623" s="128">
        <v>60.606000000000002</v>
      </c>
      <c r="N623" s="6">
        <v>60.606000000000002</v>
      </c>
      <c r="O623" s="128">
        <v>60.606000000000002</v>
      </c>
      <c r="P623" s="6">
        <v>33</v>
      </c>
      <c r="Q623" s="4" t="s">
        <v>26</v>
      </c>
      <c r="R623" s="4">
        <v>0</v>
      </c>
      <c r="S623" s="6">
        <v>0</v>
      </c>
      <c r="T623" s="6">
        <v>33</v>
      </c>
      <c r="U623" s="6">
        <v>85</v>
      </c>
      <c r="V623" s="128">
        <f>IF(ISERROR(VLOOKUP($S$623,'TAR FIN'!$A$1:$O$86,15,0)),0,VLOOKUP($S$623,'TAR FIN'!$A$1:$O$86,15,0))</f>
        <v>0</v>
      </c>
      <c r="W623" s="128">
        <f>IF(ISERROR(VLOOKUP($T$623,'TAR FIN'!$A$1:$O$86,15,0)),0,VLOOKUP($T$623,'TAR FIN'!$A$1:$O$86,15,0))*(1-0.06)</f>
        <v>318.19939999999997</v>
      </c>
      <c r="X623" s="128">
        <f>IF(ISERROR(VLOOKUP($U$623,'TAR FIN'!$A$1:$O$86,15,0)),0,VLOOKUP($U$623,'TAR FIN'!$A$1:$O$86,15,0))*(1-0.06)</f>
        <v>210.56939999999997</v>
      </c>
      <c r="Y623" s="128"/>
      <c r="Z623" s="128">
        <f ca="1">('TUSD BE'!$AM$48+'TUSD BF'!$AM$48+'TUSD CVA'!$AM$48)*1*(1-0.03)</f>
        <v>405.06067899468053</v>
      </c>
      <c r="AA623" s="128">
        <f>('TE BE'!$AB$39+'TE BF'!$AB$39+'TE CVA'!$AB$39)*1*(1-0.03)</f>
        <v>227.60445146555713</v>
      </c>
      <c r="AB623" s="6">
        <f>$K$623*$V$623</f>
        <v>0</v>
      </c>
      <c r="AC623" s="6">
        <f>$M$623*$W$623</f>
        <v>19284.7928364</v>
      </c>
      <c r="AD623" s="6">
        <f>$O$623*$X$623</f>
        <v>12761.769056399999</v>
      </c>
      <c r="AE623" s="6">
        <f>$K$623*$Y$623</f>
        <v>0</v>
      </c>
      <c r="AF623" s="6">
        <f ca="1">$M$623*$Z$623</f>
        <v>24549.107511151607</v>
      </c>
      <c r="AG623" s="6">
        <f>$O$623*$AA$623</f>
        <v>13794.195385521556</v>
      </c>
    </row>
    <row r="624" spans="1:33" ht="11.25" customHeight="1" x14ac:dyDescent="0.25">
      <c r="A624" s="4" t="s">
        <v>21</v>
      </c>
      <c r="B624" s="4" t="s">
        <v>33</v>
      </c>
      <c r="C624" s="4" t="s">
        <v>23</v>
      </c>
      <c r="D624" s="4" t="s">
        <v>47</v>
      </c>
      <c r="E624" s="4" t="s">
        <v>48</v>
      </c>
      <c r="F624" s="4" t="s">
        <v>25</v>
      </c>
      <c r="G624" s="4" t="s">
        <v>25</v>
      </c>
      <c r="H624" s="4" t="s">
        <v>25</v>
      </c>
      <c r="I624" s="5">
        <v>44593</v>
      </c>
      <c r="J624" s="6">
        <v>0</v>
      </c>
      <c r="K624" s="128">
        <v>0</v>
      </c>
      <c r="L624" s="6">
        <v>47.884999999999998</v>
      </c>
      <c r="M624" s="128">
        <v>47.884999999999998</v>
      </c>
      <c r="N624" s="6">
        <v>47.884999999999998</v>
      </c>
      <c r="O624" s="128">
        <v>47.884999999999998</v>
      </c>
      <c r="P624" s="6">
        <v>33</v>
      </c>
      <c r="Q624" s="4" t="s">
        <v>26</v>
      </c>
      <c r="R624" s="4">
        <v>0</v>
      </c>
      <c r="S624" s="6">
        <v>0</v>
      </c>
      <c r="T624" s="6">
        <v>33</v>
      </c>
      <c r="U624" s="6">
        <v>85</v>
      </c>
      <c r="V624" s="128">
        <f>IF(ISERROR(VLOOKUP($S$624,'TAR FIN'!$A$1:$O$86,15,0)),0,VLOOKUP($S$624,'TAR FIN'!$A$1:$O$86,15,0))</f>
        <v>0</v>
      </c>
      <c r="W624" s="128">
        <f>IF(ISERROR(VLOOKUP($T$624,'TAR FIN'!$A$1:$O$86,15,0)),0,VLOOKUP($T$624,'TAR FIN'!$A$1:$O$86,15,0))*(1-0.06)</f>
        <v>318.19939999999997</v>
      </c>
      <c r="X624" s="128">
        <f>IF(ISERROR(VLOOKUP($U$624,'TAR FIN'!$A$1:$O$86,15,0)),0,VLOOKUP($U$624,'TAR FIN'!$A$1:$O$86,15,0))*(1-0.06)</f>
        <v>210.56939999999997</v>
      </c>
      <c r="Y624" s="128"/>
      <c r="Z624" s="128">
        <f ca="1">('TUSD BE'!$AM$48+'TUSD BF'!$AM$48+'TUSD CVA'!$AM$48)*1*(1-0.03)</f>
        <v>405.06067899468053</v>
      </c>
      <c r="AA624" s="128">
        <f>('TE BE'!$AB$39+'TE BF'!$AB$39+'TE CVA'!$AB$39)*1*(1-0.03)</f>
        <v>227.60445146555713</v>
      </c>
      <c r="AB624" s="6">
        <f>$K$624*$V$624</f>
        <v>0</v>
      </c>
      <c r="AC624" s="6">
        <f>$M$624*$W$624</f>
        <v>15236.978268999997</v>
      </c>
      <c r="AD624" s="6">
        <f>$O$624*$X$624</f>
        <v>10083.115718999998</v>
      </c>
      <c r="AE624" s="6">
        <f>$K$624*$Y$624</f>
        <v>0</v>
      </c>
      <c r="AF624" s="6">
        <f ca="1">$M$624*$Z$624</f>
        <v>19396.330613660277</v>
      </c>
      <c r="AG624" s="6">
        <f>$O$624*$AA$624</f>
        <v>10898.839158428204</v>
      </c>
    </row>
    <row r="625" spans="1:33" ht="11.25" customHeight="1" x14ac:dyDescent="0.25">
      <c r="A625" s="4" t="s">
        <v>21</v>
      </c>
      <c r="B625" s="4" t="s">
        <v>33</v>
      </c>
      <c r="C625" s="4" t="s">
        <v>23</v>
      </c>
      <c r="D625" s="4" t="s">
        <v>47</v>
      </c>
      <c r="E625" s="4" t="s">
        <v>48</v>
      </c>
      <c r="F625" s="4" t="s">
        <v>25</v>
      </c>
      <c r="G625" s="4" t="s">
        <v>25</v>
      </c>
      <c r="H625" s="4" t="s">
        <v>25</v>
      </c>
      <c r="I625" s="5">
        <v>44621</v>
      </c>
      <c r="J625" s="6">
        <v>0</v>
      </c>
      <c r="K625" s="128">
        <v>0</v>
      </c>
      <c r="L625" s="6">
        <v>66.007000000000005</v>
      </c>
      <c r="M625" s="128">
        <v>66.007000000000005</v>
      </c>
      <c r="N625" s="6">
        <v>66.007000000000005</v>
      </c>
      <c r="O625" s="128">
        <v>66.007000000000005</v>
      </c>
      <c r="P625" s="6">
        <v>33</v>
      </c>
      <c r="Q625" s="4" t="s">
        <v>26</v>
      </c>
      <c r="R625" s="4">
        <v>0</v>
      </c>
      <c r="S625" s="6">
        <v>0</v>
      </c>
      <c r="T625" s="6">
        <v>33</v>
      </c>
      <c r="U625" s="6">
        <v>85</v>
      </c>
      <c r="V625" s="128">
        <f>IF(ISERROR(VLOOKUP($S$625,'TAR FIN'!$A$1:$O$86,15,0)),0,VLOOKUP($S$625,'TAR FIN'!$A$1:$O$86,15,0))</f>
        <v>0</v>
      </c>
      <c r="W625" s="128">
        <f>IF(ISERROR(VLOOKUP($T$625,'TAR FIN'!$A$1:$O$86,15,0)),0,VLOOKUP($T$625,'TAR FIN'!$A$1:$O$86,15,0))*(1-0.06)</f>
        <v>318.19939999999997</v>
      </c>
      <c r="X625" s="128">
        <f>IF(ISERROR(VLOOKUP($U$625,'TAR FIN'!$A$1:$O$86,15,0)),0,VLOOKUP($U$625,'TAR FIN'!$A$1:$O$86,15,0))*(1-0.06)</f>
        <v>210.56939999999997</v>
      </c>
      <c r="Y625" s="128"/>
      <c r="Z625" s="128">
        <f ca="1">('TUSD BE'!$AM$48+'TUSD BF'!$AM$48+'TUSD CVA'!$AM$48)*1*(1-0.03)</f>
        <v>405.06067899468053</v>
      </c>
      <c r="AA625" s="128">
        <f>('TE BE'!$AB$39+'TE BF'!$AB$39+'TE CVA'!$AB$39)*1*(1-0.03)</f>
        <v>227.60445146555713</v>
      </c>
      <c r="AB625" s="6">
        <f>$K$625*$V$625</f>
        <v>0</v>
      </c>
      <c r="AC625" s="6">
        <f>$M$625*$W$625</f>
        <v>21003.387795800001</v>
      </c>
      <c r="AD625" s="6">
        <f>$O$625*$X$625</f>
        <v>13899.0543858</v>
      </c>
      <c r="AE625" s="6">
        <f>$K$625*$Y$625</f>
        <v>0</v>
      </c>
      <c r="AF625" s="6">
        <f ca="1">$M$625*$Z$625</f>
        <v>26736.840238401881</v>
      </c>
      <c r="AG625" s="6">
        <f>$O$625*$AA$625</f>
        <v>15023.487027887031</v>
      </c>
    </row>
    <row r="626" spans="1:33" ht="11.25" customHeight="1" x14ac:dyDescent="0.25">
      <c r="A626" s="4" t="s">
        <v>21</v>
      </c>
      <c r="B626" s="4" t="s">
        <v>33</v>
      </c>
      <c r="C626" s="4" t="s">
        <v>23</v>
      </c>
      <c r="D626" s="4" t="s">
        <v>47</v>
      </c>
      <c r="E626" s="4" t="s">
        <v>48</v>
      </c>
      <c r="F626" s="4" t="s">
        <v>25</v>
      </c>
      <c r="G626" s="4" t="s">
        <v>25</v>
      </c>
      <c r="H626" s="4" t="s">
        <v>25</v>
      </c>
      <c r="I626" s="5">
        <v>44652</v>
      </c>
      <c r="J626" s="6">
        <v>0</v>
      </c>
      <c r="K626" s="128">
        <v>0</v>
      </c>
      <c r="L626" s="6">
        <v>49.927</v>
      </c>
      <c r="M626" s="128">
        <v>49.927</v>
      </c>
      <c r="N626" s="6">
        <v>49.927</v>
      </c>
      <c r="O626" s="128">
        <v>49.927</v>
      </c>
      <c r="P626" s="6">
        <v>37</v>
      </c>
      <c r="Q626" s="4" t="s">
        <v>26</v>
      </c>
      <c r="R626" s="4">
        <v>0</v>
      </c>
      <c r="S626" s="6">
        <v>0</v>
      </c>
      <c r="T626" s="6">
        <v>33</v>
      </c>
      <c r="U626" s="6">
        <v>85</v>
      </c>
      <c r="V626" s="128">
        <f>IF(ISERROR(VLOOKUP($S$626,'TAR FIN'!$A$1:$O$86,15,0)),0,VLOOKUP($S$626,'TAR FIN'!$A$1:$O$86,15,0))</f>
        <v>0</v>
      </c>
      <c r="W626" s="128">
        <f>IF(ISERROR(VLOOKUP($T$626,'TAR FIN'!$A$1:$O$86,15,0)),0,VLOOKUP($T$626,'TAR FIN'!$A$1:$O$86,15,0))*(1-0.06)</f>
        <v>318.19939999999997</v>
      </c>
      <c r="X626" s="128">
        <f>IF(ISERROR(VLOOKUP($U$626,'TAR FIN'!$A$1:$O$86,15,0)),0,VLOOKUP($U$626,'TAR FIN'!$A$1:$O$86,15,0))*(1-0.06)</f>
        <v>210.56939999999997</v>
      </c>
      <c r="Y626" s="128"/>
      <c r="Z626" s="128">
        <f ca="1">('TUSD BE'!$AM$48+'TUSD BF'!$AM$48+'TUSD CVA'!$AM$48)*1*(1-0.03)</f>
        <v>405.06067899468053</v>
      </c>
      <c r="AA626" s="128">
        <f>('TE BE'!$AB$39+'TE BF'!$AB$39+'TE CVA'!$AB$39)*1*(1-0.03)</f>
        <v>227.60445146555713</v>
      </c>
      <c r="AB626" s="6">
        <f>$K$626*$V$626</f>
        <v>0</v>
      </c>
      <c r="AC626" s="6">
        <f>$M$626*$W$626</f>
        <v>15886.741443799998</v>
      </c>
      <c r="AD626" s="6">
        <f>$O$626*$X$626</f>
        <v>10513.098433799998</v>
      </c>
      <c r="AE626" s="6">
        <f>$K$626*$Y$626</f>
        <v>0</v>
      </c>
      <c r="AF626" s="6">
        <f ca="1">$M$626*$Z$626</f>
        <v>20223.464520167414</v>
      </c>
      <c r="AG626" s="6">
        <f>$O$626*$AA$626</f>
        <v>11363.60744832087</v>
      </c>
    </row>
    <row r="627" spans="1:33" ht="11.25" customHeight="1" x14ac:dyDescent="0.25">
      <c r="A627" s="4" t="s">
        <v>21</v>
      </c>
      <c r="B627" s="4" t="s">
        <v>33</v>
      </c>
      <c r="C627" s="4" t="s">
        <v>23</v>
      </c>
      <c r="D627" s="4" t="s">
        <v>47</v>
      </c>
      <c r="E627" s="4" t="s">
        <v>48</v>
      </c>
      <c r="F627" s="4" t="s">
        <v>25</v>
      </c>
      <c r="G627" s="4" t="s">
        <v>25</v>
      </c>
      <c r="H627" s="4" t="s">
        <v>25</v>
      </c>
      <c r="I627" s="5">
        <v>44682</v>
      </c>
      <c r="J627" s="6">
        <v>0</v>
      </c>
      <c r="K627" s="128">
        <v>0</v>
      </c>
      <c r="L627" s="6">
        <v>50.348999999999997</v>
      </c>
      <c r="M627" s="128">
        <v>50.348999999999997</v>
      </c>
      <c r="N627" s="6">
        <v>50.348999999999997</v>
      </c>
      <c r="O627" s="128">
        <v>50.348999999999997</v>
      </c>
      <c r="P627" s="6">
        <v>37</v>
      </c>
      <c r="Q627" s="4" t="s">
        <v>26</v>
      </c>
      <c r="R627" s="4">
        <v>0</v>
      </c>
      <c r="S627" s="6">
        <v>0</v>
      </c>
      <c r="T627" s="6">
        <v>33</v>
      </c>
      <c r="U627" s="6">
        <v>85</v>
      </c>
      <c r="V627" s="128">
        <f>IF(ISERROR(VLOOKUP($S$627,'TAR FIN'!$A$1:$O$86,15,0)),0,VLOOKUP($S$627,'TAR FIN'!$A$1:$O$86,15,0))</f>
        <v>0</v>
      </c>
      <c r="W627" s="128">
        <f>IF(ISERROR(VLOOKUP($T$627,'TAR FIN'!$A$1:$O$86,15,0)),0,VLOOKUP($T$627,'TAR FIN'!$A$1:$O$86,15,0))*(1-0.06)</f>
        <v>318.19939999999997</v>
      </c>
      <c r="X627" s="128">
        <f>IF(ISERROR(VLOOKUP($U$627,'TAR FIN'!$A$1:$O$86,15,0)),0,VLOOKUP($U$627,'TAR FIN'!$A$1:$O$86,15,0))*(1-0.06)</f>
        <v>210.56939999999997</v>
      </c>
      <c r="Y627" s="128"/>
      <c r="Z627" s="128">
        <f ca="1">('TUSD BE'!$AM$48+'TUSD BF'!$AM$48+'TUSD CVA'!$AM$48)*1*(1-0.03)</f>
        <v>405.06067899468053</v>
      </c>
      <c r="AA627" s="128">
        <f>('TE BE'!$AB$39+'TE BF'!$AB$39+'TE CVA'!$AB$39)*1*(1-0.03)</f>
        <v>227.60445146555713</v>
      </c>
      <c r="AB627" s="6">
        <f>$K$627*$V$627</f>
        <v>0</v>
      </c>
      <c r="AC627" s="6">
        <f>$M$627*$W$627</f>
        <v>16021.021590599998</v>
      </c>
      <c r="AD627" s="6">
        <f>$O$627*$X$627</f>
        <v>10601.958720599998</v>
      </c>
      <c r="AE627" s="6">
        <f>$K$627*$Y$627</f>
        <v>0</v>
      </c>
      <c r="AF627" s="6">
        <f ca="1">$M$627*$Z$627</f>
        <v>20394.400126703167</v>
      </c>
      <c r="AG627" s="6">
        <f>$O$627*$AA$627</f>
        <v>11459.656526839335</v>
      </c>
    </row>
    <row r="628" spans="1:33" ht="11.25" customHeight="1" x14ac:dyDescent="0.25">
      <c r="A628" s="4" t="s">
        <v>21</v>
      </c>
      <c r="B628" s="4" t="s">
        <v>33</v>
      </c>
      <c r="C628" s="4" t="s">
        <v>23</v>
      </c>
      <c r="D628" s="4" t="s">
        <v>47</v>
      </c>
      <c r="E628" s="4" t="s">
        <v>48</v>
      </c>
      <c r="F628" s="4" t="s">
        <v>25</v>
      </c>
      <c r="G628" s="4" t="s">
        <v>25</v>
      </c>
      <c r="H628" s="4" t="s">
        <v>25</v>
      </c>
      <c r="I628" s="5">
        <v>44713</v>
      </c>
      <c r="J628" s="6">
        <v>0</v>
      </c>
      <c r="K628" s="128">
        <v>0</v>
      </c>
      <c r="L628" s="6">
        <v>45.19</v>
      </c>
      <c r="M628" s="128">
        <v>45.19</v>
      </c>
      <c r="N628" s="6">
        <v>45.19</v>
      </c>
      <c r="O628" s="128">
        <v>45.19</v>
      </c>
      <c r="P628" s="6">
        <v>37</v>
      </c>
      <c r="Q628" s="4" t="s">
        <v>26</v>
      </c>
      <c r="R628" s="4">
        <v>0</v>
      </c>
      <c r="S628" s="6">
        <v>0</v>
      </c>
      <c r="T628" s="6">
        <v>33</v>
      </c>
      <c r="U628" s="6">
        <v>85</v>
      </c>
      <c r="V628" s="128">
        <f>IF(ISERROR(VLOOKUP($S$628,'TAR FIN'!$A$1:$O$86,15,0)),0,VLOOKUP($S$628,'TAR FIN'!$A$1:$O$86,15,0))</f>
        <v>0</v>
      </c>
      <c r="W628" s="128">
        <f>IF(ISERROR(VLOOKUP($T$628,'TAR FIN'!$A$1:$O$86,15,0)),0,VLOOKUP($T$628,'TAR FIN'!$A$1:$O$86,15,0))*(1-0.06)</f>
        <v>318.19939999999997</v>
      </c>
      <c r="X628" s="128">
        <f>IF(ISERROR(VLOOKUP($U$628,'TAR FIN'!$A$1:$O$86,15,0)),0,VLOOKUP($U$628,'TAR FIN'!$A$1:$O$86,15,0))*(1-0.06)</f>
        <v>210.56939999999997</v>
      </c>
      <c r="Y628" s="128"/>
      <c r="Z628" s="128">
        <f ca="1">('TUSD BE'!$AM$48+'TUSD BF'!$AM$48+'TUSD CVA'!$AM$48)*1*(1-0.03)</f>
        <v>405.06067899468053</v>
      </c>
      <c r="AA628" s="128">
        <f>('TE BE'!$AB$39+'TE BF'!$AB$39+'TE CVA'!$AB$39)*1*(1-0.03)</f>
        <v>227.60445146555713</v>
      </c>
      <c r="AB628" s="6">
        <f>$K$628*$V$628</f>
        <v>0</v>
      </c>
      <c r="AC628" s="6">
        <f>$M$628*$W$628</f>
        <v>14379.430885999998</v>
      </c>
      <c r="AD628" s="6">
        <f>$O$628*$X$628</f>
        <v>9515.6311859999987</v>
      </c>
      <c r="AE628" s="6">
        <f>$K$628*$Y$628</f>
        <v>0</v>
      </c>
      <c r="AF628" s="6">
        <f ca="1">$M$628*$Z$628</f>
        <v>18304.692083769613</v>
      </c>
      <c r="AG628" s="6">
        <f>$O$628*$AA$628</f>
        <v>10285.445161728527</v>
      </c>
    </row>
    <row r="629" spans="1:33" ht="11.25" customHeight="1" x14ac:dyDescent="0.25">
      <c r="A629" s="4" t="s">
        <v>55</v>
      </c>
      <c r="B629" s="4" t="s">
        <v>33</v>
      </c>
      <c r="C629" s="4" t="s">
        <v>23</v>
      </c>
      <c r="D629" s="4" t="s">
        <v>47</v>
      </c>
      <c r="E629" s="4" t="s">
        <v>48</v>
      </c>
      <c r="F629" s="4" t="s">
        <v>25</v>
      </c>
      <c r="G629" s="4" t="s">
        <v>25</v>
      </c>
      <c r="H629" s="4" t="s">
        <v>25</v>
      </c>
      <c r="I629" s="5">
        <v>44743</v>
      </c>
      <c r="J629" s="6">
        <v>0</v>
      </c>
      <c r="K629" s="128">
        <v>0</v>
      </c>
      <c r="L629" s="6">
        <v>45.19</v>
      </c>
      <c r="M629" s="128">
        <v>45.19</v>
      </c>
      <c r="N629" s="6">
        <v>45.19</v>
      </c>
      <c r="O629" s="128">
        <v>45.19</v>
      </c>
      <c r="P629" s="6">
        <v>37</v>
      </c>
      <c r="Q629" s="4" t="s">
        <v>26</v>
      </c>
      <c r="R629" s="4">
        <v>0</v>
      </c>
      <c r="S629" s="6">
        <v>0</v>
      </c>
      <c r="T629" s="6">
        <v>33</v>
      </c>
      <c r="U629" s="6">
        <v>85</v>
      </c>
      <c r="V629" s="128">
        <f>IF(ISERROR(VLOOKUP($S$629,'TAR FIN'!$A$1:$O$86,15,0)),0,VLOOKUP($S$629,'TAR FIN'!$A$1:$O$86,15,0))</f>
        <v>0</v>
      </c>
      <c r="W629" s="128">
        <f>IF(ISERROR(VLOOKUP($T$629,'TAR FIN'!$A$1:$O$86,15,0)),0,VLOOKUP($T$629,'TAR FIN'!$A$1:$O$86,15,0))*(1-0.06)</f>
        <v>318.19939999999997</v>
      </c>
      <c r="X629" s="128">
        <f>IF(ISERROR(VLOOKUP($U$629,'TAR FIN'!$A$1:$O$86,15,0)),0,VLOOKUP($U$629,'TAR FIN'!$A$1:$O$86,15,0))*(1-0.06)</f>
        <v>210.56939999999997</v>
      </c>
      <c r="Y629" s="128"/>
      <c r="Z629" s="128">
        <f ca="1">('TUSD BE'!$AM$48+'TUSD BF'!$AM$48+'TUSD CVA'!$AM$48)*1*(1-0.03)</f>
        <v>405.06067899468053</v>
      </c>
      <c r="AA629" s="128">
        <f>('TE BE'!$AB$39+'TE BF'!$AB$39+'TE CVA'!$AB$39)*1*(1-0.03)</f>
        <v>227.60445146555713</v>
      </c>
      <c r="AB629" s="6">
        <f>$K$629*$V$629</f>
        <v>0</v>
      </c>
      <c r="AC629" s="6">
        <f>$M$629*$W$629</f>
        <v>14379.430885999998</v>
      </c>
      <c r="AD629" s="6">
        <f>$O$629*$X$629</f>
        <v>9515.6311859999987</v>
      </c>
      <c r="AE629" s="6">
        <f>$K$629*$Y$629</f>
        <v>0</v>
      </c>
      <c r="AF629" s="6">
        <f ca="1">$M$629*$Z$629</f>
        <v>18304.692083769613</v>
      </c>
      <c r="AG629" s="6">
        <f>$O$629*$AA$629</f>
        <v>10285.445161728527</v>
      </c>
    </row>
    <row r="630" spans="1:33" ht="11.25" customHeight="1" x14ac:dyDescent="0.25">
      <c r="A630" s="4" t="s">
        <v>21</v>
      </c>
      <c r="B630" s="4" t="s">
        <v>44</v>
      </c>
      <c r="C630" s="4" t="s">
        <v>23</v>
      </c>
      <c r="D630" s="4" t="s">
        <v>45</v>
      </c>
      <c r="E630" s="4" t="s">
        <v>46</v>
      </c>
      <c r="F630" s="4" t="s">
        <v>25</v>
      </c>
      <c r="G630" s="4" t="s">
        <v>25</v>
      </c>
      <c r="H630" s="4" t="s">
        <v>25</v>
      </c>
      <c r="I630" s="5">
        <v>44409</v>
      </c>
      <c r="J630" s="6">
        <v>0</v>
      </c>
      <c r="K630" s="6">
        <v>0</v>
      </c>
      <c r="L630" s="6">
        <v>1112.021</v>
      </c>
      <c r="M630" s="6">
        <v>1112.021</v>
      </c>
      <c r="N630" s="6">
        <v>1112.021</v>
      </c>
      <c r="O630" s="6">
        <v>1112.021</v>
      </c>
      <c r="P630" s="6">
        <v>4</v>
      </c>
      <c r="Q630" s="4" t="s">
        <v>26</v>
      </c>
      <c r="R630" s="4">
        <v>0</v>
      </c>
      <c r="S630" s="6">
        <v>0</v>
      </c>
      <c r="T630" s="6">
        <v>68</v>
      </c>
      <c r="U630" s="6">
        <v>48</v>
      </c>
      <c r="V630" s="6">
        <f>IF(ISERROR(VLOOKUP($S$630,'TAR FIN'!$A$1:$O$86,15,0)),0,VLOOKUP($S$630,'TAR FIN'!$A$1:$O$86,15,0))</f>
        <v>0</v>
      </c>
      <c r="W630" s="6">
        <f>IF(ISERROR(VLOOKUP($T$630,'TAR FIN'!$A$1:$O$86,15,0)),0,VLOOKUP($T$630,'TAR FIN'!$A$1:$O$86,15,0))</f>
        <v>186.18</v>
      </c>
      <c r="X630" s="6">
        <f>IF(ISERROR(VLOOKUP($U$630,'TAR FIN'!$A$1:$O$86,15,0)),0,VLOOKUP($U$630,'TAR FIN'!$A$1:$O$86,15,0))</f>
        <v>123.2</v>
      </c>
      <c r="Y630" s="6"/>
      <c r="Z630" s="6">
        <f ca="1">('TUSD BE'!$AM$50+'TUSD BF'!$AM$50+'TUSD CVA'!$AM$50)*1</f>
        <v>229.6735808732725</v>
      </c>
      <c r="AA630" s="6">
        <f>('TE BE'!$AB$41+'TE BF'!$AB$41+'TE CVA'!$AB$41)*1</f>
        <v>129.05407041861488</v>
      </c>
      <c r="AB630" s="6">
        <f>$K$630*$V$630</f>
        <v>0</v>
      </c>
      <c r="AC630" s="6">
        <f>$M$630*$W$630</f>
        <v>207036.06977999999</v>
      </c>
      <c r="AD630" s="6">
        <f>$O$630*$X$630</f>
        <v>137000.9872</v>
      </c>
      <c r="AE630" s="6">
        <f>$K$630*$Y$630</f>
        <v>0</v>
      </c>
      <c r="AF630" s="6">
        <f ca="1">$M$630*$Z$630</f>
        <v>255401.84507627736</v>
      </c>
      <c r="AG630" s="6">
        <f>$O$630*$AA$630</f>
        <v>143510.83644097854</v>
      </c>
    </row>
    <row r="631" spans="1:33" ht="11.25" customHeight="1" x14ac:dyDescent="0.25">
      <c r="A631" s="4" t="s">
        <v>21</v>
      </c>
      <c r="B631" s="4" t="s">
        <v>44</v>
      </c>
      <c r="C631" s="4" t="s">
        <v>23</v>
      </c>
      <c r="D631" s="4" t="s">
        <v>45</v>
      </c>
      <c r="E631" s="4" t="s">
        <v>46</v>
      </c>
      <c r="F631" s="4" t="s">
        <v>25</v>
      </c>
      <c r="G631" s="4" t="s">
        <v>25</v>
      </c>
      <c r="H631" s="4" t="s">
        <v>25</v>
      </c>
      <c r="I631" s="5">
        <v>44440</v>
      </c>
      <c r="J631" s="6">
        <v>0</v>
      </c>
      <c r="K631" s="6">
        <v>0</v>
      </c>
      <c r="L631" s="6">
        <v>1013.975</v>
      </c>
      <c r="M631" s="6">
        <v>1013.975</v>
      </c>
      <c r="N631" s="6">
        <v>1013.975</v>
      </c>
      <c r="O631" s="6">
        <v>1013.975</v>
      </c>
      <c r="P631" s="6">
        <v>4</v>
      </c>
      <c r="Q631" s="4" t="s">
        <v>26</v>
      </c>
      <c r="R631" s="4">
        <v>0</v>
      </c>
      <c r="S631" s="6">
        <v>0</v>
      </c>
      <c r="T631" s="6">
        <v>68</v>
      </c>
      <c r="U631" s="6">
        <v>48</v>
      </c>
      <c r="V631" s="6">
        <f>IF(ISERROR(VLOOKUP($S$631,'TAR FIN'!$A$1:$O$86,15,0)),0,VLOOKUP($S$631,'TAR FIN'!$A$1:$O$86,15,0))</f>
        <v>0</v>
      </c>
      <c r="W631" s="6">
        <f>IF(ISERROR(VLOOKUP($T$631,'TAR FIN'!$A$1:$O$86,15,0)),0,VLOOKUP($T$631,'TAR FIN'!$A$1:$O$86,15,0))</f>
        <v>186.18</v>
      </c>
      <c r="X631" s="6">
        <f>IF(ISERROR(VLOOKUP($U$631,'TAR FIN'!$A$1:$O$86,15,0)),0,VLOOKUP($U$631,'TAR FIN'!$A$1:$O$86,15,0))</f>
        <v>123.2</v>
      </c>
      <c r="Y631" s="6"/>
      <c r="Z631" s="6">
        <f ca="1">('TUSD BE'!$AM$50+'TUSD BF'!$AM$50+'TUSD CVA'!$AM$50)*1</f>
        <v>229.6735808732725</v>
      </c>
      <c r="AA631" s="6">
        <f>('TE BE'!$AB$41+'TE BF'!$AB$41+'TE CVA'!$AB$41)*1</f>
        <v>129.05407041861488</v>
      </c>
      <c r="AB631" s="6">
        <f>$K$631*$V$631</f>
        <v>0</v>
      </c>
      <c r="AC631" s="6">
        <f>$M$631*$W$631</f>
        <v>188781.86550000001</v>
      </c>
      <c r="AD631" s="6">
        <f>$O$631*$X$631</f>
        <v>124921.72</v>
      </c>
      <c r="AE631" s="6">
        <f>$K$631*$Y$631</f>
        <v>0</v>
      </c>
      <c r="AF631" s="6">
        <f ca="1">$M$631*$Z$631</f>
        <v>232883.2691659765</v>
      </c>
      <c r="AG631" s="6">
        <f>$O$631*$AA$631</f>
        <v>130857.60105271504</v>
      </c>
    </row>
    <row r="632" spans="1:33" ht="11.25" customHeight="1" x14ac:dyDescent="0.25">
      <c r="A632" s="4" t="s">
        <v>21</v>
      </c>
      <c r="B632" s="4" t="s">
        <v>44</v>
      </c>
      <c r="C632" s="4" t="s">
        <v>23</v>
      </c>
      <c r="D632" s="4" t="s">
        <v>45</v>
      </c>
      <c r="E632" s="4" t="s">
        <v>46</v>
      </c>
      <c r="F632" s="4" t="s">
        <v>25</v>
      </c>
      <c r="G632" s="4" t="s">
        <v>25</v>
      </c>
      <c r="H632" s="4" t="s">
        <v>25</v>
      </c>
      <c r="I632" s="5">
        <v>44470</v>
      </c>
      <c r="J632" s="6">
        <v>0</v>
      </c>
      <c r="K632" s="6">
        <v>0</v>
      </c>
      <c r="L632" s="6">
        <v>964.84100000000001</v>
      </c>
      <c r="M632" s="6">
        <v>964.84100000000001</v>
      </c>
      <c r="N632" s="6">
        <v>964.84100000000001</v>
      </c>
      <c r="O632" s="6">
        <v>964.84100000000001</v>
      </c>
      <c r="P632" s="6">
        <v>4</v>
      </c>
      <c r="Q632" s="4" t="s">
        <v>26</v>
      </c>
      <c r="R632" s="4">
        <v>0</v>
      </c>
      <c r="S632" s="6">
        <v>0</v>
      </c>
      <c r="T632" s="6">
        <v>68</v>
      </c>
      <c r="U632" s="6">
        <v>48</v>
      </c>
      <c r="V632" s="6">
        <f>IF(ISERROR(VLOOKUP($S$632,'TAR FIN'!$A$1:$O$86,15,0)),0,VLOOKUP($S$632,'TAR FIN'!$A$1:$O$86,15,0))</f>
        <v>0</v>
      </c>
      <c r="W632" s="6">
        <f>IF(ISERROR(VLOOKUP($T$632,'TAR FIN'!$A$1:$O$86,15,0)),0,VLOOKUP($T$632,'TAR FIN'!$A$1:$O$86,15,0))</f>
        <v>186.18</v>
      </c>
      <c r="X632" s="6">
        <f>IF(ISERROR(VLOOKUP($U$632,'TAR FIN'!$A$1:$O$86,15,0)),0,VLOOKUP($U$632,'TAR FIN'!$A$1:$O$86,15,0))</f>
        <v>123.2</v>
      </c>
      <c r="Y632" s="6"/>
      <c r="Z632" s="6">
        <f ca="1">('TUSD BE'!$AM$50+'TUSD BF'!$AM$50+'TUSD CVA'!$AM$50)*1</f>
        <v>229.6735808732725</v>
      </c>
      <c r="AA632" s="6">
        <f>('TE BE'!$AB$41+'TE BF'!$AB$41+'TE CVA'!$AB$41)*1</f>
        <v>129.05407041861488</v>
      </c>
      <c r="AB632" s="6">
        <f>$K$632*$V$632</f>
        <v>0</v>
      </c>
      <c r="AC632" s="6">
        <f>$M$632*$W$632</f>
        <v>179634.09738000002</v>
      </c>
      <c r="AD632" s="6">
        <f>$O$632*$X$632</f>
        <v>118868.4112</v>
      </c>
      <c r="AE632" s="6">
        <f>$K$632*$Y$632</f>
        <v>0</v>
      </c>
      <c r="AF632" s="6">
        <f ca="1">$M$632*$Z$632</f>
        <v>221598.48744334912</v>
      </c>
      <c r="AG632" s="6">
        <f>$O$632*$AA$632</f>
        <v>124516.6583567668</v>
      </c>
    </row>
    <row r="633" spans="1:33" ht="11.25" customHeight="1" x14ac:dyDescent="0.25">
      <c r="A633" s="4" t="s">
        <v>21</v>
      </c>
      <c r="B633" s="4" t="s">
        <v>44</v>
      </c>
      <c r="C633" s="4" t="s">
        <v>23</v>
      </c>
      <c r="D633" s="4" t="s">
        <v>45</v>
      </c>
      <c r="E633" s="4" t="s">
        <v>46</v>
      </c>
      <c r="F633" s="4" t="s">
        <v>25</v>
      </c>
      <c r="G633" s="4" t="s">
        <v>25</v>
      </c>
      <c r="H633" s="4" t="s">
        <v>25</v>
      </c>
      <c r="I633" s="5">
        <v>44501</v>
      </c>
      <c r="J633" s="6">
        <v>0</v>
      </c>
      <c r="K633" s="6">
        <v>0</v>
      </c>
      <c r="L633" s="6">
        <v>890.44100000000003</v>
      </c>
      <c r="M633" s="6">
        <v>890.44100000000003</v>
      </c>
      <c r="N633" s="6">
        <v>890.44100000000003</v>
      </c>
      <c r="O633" s="6">
        <v>890.44100000000003</v>
      </c>
      <c r="P633" s="6">
        <v>4</v>
      </c>
      <c r="Q633" s="4" t="s">
        <v>26</v>
      </c>
      <c r="R633" s="4">
        <v>0</v>
      </c>
      <c r="S633" s="6">
        <v>0</v>
      </c>
      <c r="T633" s="6">
        <v>68</v>
      </c>
      <c r="U633" s="6">
        <v>48</v>
      </c>
      <c r="V633" s="6">
        <f>IF(ISERROR(VLOOKUP($S$633,'TAR FIN'!$A$1:$O$86,15,0)),0,VLOOKUP($S$633,'TAR FIN'!$A$1:$O$86,15,0))</f>
        <v>0</v>
      </c>
      <c r="W633" s="6">
        <f>IF(ISERROR(VLOOKUP($T$633,'TAR FIN'!$A$1:$O$86,15,0)),0,VLOOKUP($T$633,'TAR FIN'!$A$1:$O$86,15,0))</f>
        <v>186.18</v>
      </c>
      <c r="X633" s="6">
        <f>IF(ISERROR(VLOOKUP($U$633,'TAR FIN'!$A$1:$O$86,15,0)),0,VLOOKUP($U$633,'TAR FIN'!$A$1:$O$86,15,0))</f>
        <v>123.2</v>
      </c>
      <c r="Y633" s="6"/>
      <c r="Z633" s="6">
        <f ca="1">('TUSD BE'!$AM$50+'TUSD BF'!$AM$50+'TUSD CVA'!$AM$50)*1</f>
        <v>229.6735808732725</v>
      </c>
      <c r="AA633" s="6">
        <f>('TE BE'!$AB$41+'TE BF'!$AB$41+'TE CVA'!$AB$41)*1</f>
        <v>129.05407041861488</v>
      </c>
      <c r="AB633" s="6">
        <f>$K$633*$V$633</f>
        <v>0</v>
      </c>
      <c r="AC633" s="6">
        <f>$M$633*$W$633</f>
        <v>165782.30538000001</v>
      </c>
      <c r="AD633" s="6">
        <f>$O$633*$X$633</f>
        <v>109702.3312</v>
      </c>
      <c r="AE633" s="6">
        <f>$K$633*$Y$633</f>
        <v>0</v>
      </c>
      <c r="AF633" s="6">
        <f ca="1">$M$633*$Z$633</f>
        <v>204510.77302637763</v>
      </c>
      <c r="AG633" s="6">
        <f>$O$633*$AA$633</f>
        <v>114915.03551762186</v>
      </c>
    </row>
    <row r="634" spans="1:33" ht="11.25" customHeight="1" x14ac:dyDescent="0.25">
      <c r="A634" s="4" t="s">
        <v>21</v>
      </c>
      <c r="B634" s="4" t="s">
        <v>44</v>
      </c>
      <c r="C634" s="4" t="s">
        <v>23</v>
      </c>
      <c r="D634" s="4" t="s">
        <v>45</v>
      </c>
      <c r="E634" s="4" t="s">
        <v>46</v>
      </c>
      <c r="F634" s="4" t="s">
        <v>25</v>
      </c>
      <c r="G634" s="4" t="s">
        <v>25</v>
      </c>
      <c r="H634" s="4" t="s">
        <v>25</v>
      </c>
      <c r="I634" s="5">
        <v>44531</v>
      </c>
      <c r="J634" s="6">
        <v>0</v>
      </c>
      <c r="K634" s="6">
        <v>0</v>
      </c>
      <c r="L634" s="6">
        <v>910.04499999999996</v>
      </c>
      <c r="M634" s="6">
        <v>910.04499999999996</v>
      </c>
      <c r="N634" s="6">
        <v>910.04499999999996</v>
      </c>
      <c r="O634" s="6">
        <v>910.04499999999996</v>
      </c>
      <c r="P634" s="6">
        <v>4</v>
      </c>
      <c r="Q634" s="4" t="s">
        <v>26</v>
      </c>
      <c r="R634" s="4">
        <v>0</v>
      </c>
      <c r="S634" s="6">
        <v>0</v>
      </c>
      <c r="T634" s="6">
        <v>68</v>
      </c>
      <c r="U634" s="6">
        <v>48</v>
      </c>
      <c r="V634" s="6">
        <f>IF(ISERROR(VLOOKUP($S$634,'TAR FIN'!$A$1:$O$86,15,0)),0,VLOOKUP($S$634,'TAR FIN'!$A$1:$O$86,15,0))</f>
        <v>0</v>
      </c>
      <c r="W634" s="6">
        <f>IF(ISERROR(VLOOKUP($T$634,'TAR FIN'!$A$1:$O$86,15,0)),0,VLOOKUP($T$634,'TAR FIN'!$A$1:$O$86,15,0))</f>
        <v>186.18</v>
      </c>
      <c r="X634" s="6">
        <f>IF(ISERROR(VLOOKUP($U$634,'TAR FIN'!$A$1:$O$86,15,0)),0,VLOOKUP($U$634,'TAR FIN'!$A$1:$O$86,15,0))</f>
        <v>123.2</v>
      </c>
      <c r="Y634" s="6"/>
      <c r="Z634" s="6">
        <f ca="1">('TUSD BE'!$AM$50+'TUSD BF'!$AM$50+'TUSD CVA'!$AM$50)*1</f>
        <v>229.6735808732725</v>
      </c>
      <c r="AA634" s="6">
        <f>('TE BE'!$AB$41+'TE BF'!$AB$41+'TE CVA'!$AB$41)*1</f>
        <v>129.05407041861488</v>
      </c>
      <c r="AB634" s="6">
        <f>$K$634*$V$634</f>
        <v>0</v>
      </c>
      <c r="AC634" s="6">
        <f>$M$634*$W$634</f>
        <v>169432.17809999999</v>
      </c>
      <c r="AD634" s="6">
        <f>$O$634*$X$634</f>
        <v>112117.54399999999</v>
      </c>
      <c r="AE634" s="6">
        <f>$K$634*$Y$634</f>
        <v>0</v>
      </c>
      <c r="AF634" s="6">
        <f ca="1">$M$634*$Z$634</f>
        <v>209013.29390581726</v>
      </c>
      <c r="AG634" s="6">
        <f>$O$634*$AA$634</f>
        <v>117445.01151410838</v>
      </c>
    </row>
    <row r="635" spans="1:33" ht="11.25" customHeight="1" x14ac:dyDescent="0.25">
      <c r="A635" s="4" t="s">
        <v>21</v>
      </c>
      <c r="B635" s="4" t="s">
        <v>44</v>
      </c>
      <c r="C635" s="4" t="s">
        <v>23</v>
      </c>
      <c r="D635" s="4" t="s">
        <v>45</v>
      </c>
      <c r="E635" s="4" t="s">
        <v>46</v>
      </c>
      <c r="F635" s="4" t="s">
        <v>25</v>
      </c>
      <c r="G635" s="4" t="s">
        <v>25</v>
      </c>
      <c r="H635" s="4" t="s">
        <v>25</v>
      </c>
      <c r="I635" s="5">
        <v>44562</v>
      </c>
      <c r="J635" s="6">
        <v>0</v>
      </c>
      <c r="K635" s="6">
        <v>0</v>
      </c>
      <c r="L635" s="6">
        <v>908.553</v>
      </c>
      <c r="M635" s="6">
        <v>908.553</v>
      </c>
      <c r="N635" s="6">
        <v>908.553</v>
      </c>
      <c r="O635" s="6">
        <v>908.553</v>
      </c>
      <c r="P635" s="6">
        <v>4</v>
      </c>
      <c r="Q635" s="4" t="s">
        <v>26</v>
      </c>
      <c r="R635" s="4">
        <v>0</v>
      </c>
      <c r="S635" s="6">
        <v>0</v>
      </c>
      <c r="T635" s="6">
        <v>68</v>
      </c>
      <c r="U635" s="6">
        <v>48</v>
      </c>
      <c r="V635" s="6">
        <f>IF(ISERROR(VLOOKUP($S$635,'TAR FIN'!$A$1:$O$86,15,0)),0,VLOOKUP($S$635,'TAR FIN'!$A$1:$O$86,15,0))</f>
        <v>0</v>
      </c>
      <c r="W635" s="6">
        <f>IF(ISERROR(VLOOKUP($T$635,'TAR FIN'!$A$1:$O$86,15,0)),0,VLOOKUP($T$635,'TAR FIN'!$A$1:$O$86,15,0))</f>
        <v>186.18</v>
      </c>
      <c r="X635" s="6">
        <f>IF(ISERROR(VLOOKUP($U$635,'TAR FIN'!$A$1:$O$86,15,0)),0,VLOOKUP($U$635,'TAR FIN'!$A$1:$O$86,15,0))</f>
        <v>123.2</v>
      </c>
      <c r="Y635" s="6"/>
      <c r="Z635" s="6">
        <f ca="1">('TUSD BE'!$AM$50+'TUSD BF'!$AM$50+'TUSD CVA'!$AM$50)*1</f>
        <v>229.6735808732725</v>
      </c>
      <c r="AA635" s="6">
        <f>('TE BE'!$AB$41+'TE BF'!$AB$41+'TE CVA'!$AB$41)*1</f>
        <v>129.05407041861488</v>
      </c>
      <c r="AB635" s="6">
        <f>$K$635*$V$635</f>
        <v>0</v>
      </c>
      <c r="AC635" s="6">
        <f>$M$635*$W$635</f>
        <v>169154.39754000001</v>
      </c>
      <c r="AD635" s="6">
        <f>$O$635*$X$635</f>
        <v>111933.72960000001</v>
      </c>
      <c r="AE635" s="6">
        <f>$K$635*$Y$635</f>
        <v>0</v>
      </c>
      <c r="AF635" s="6">
        <f ca="1">$M$635*$Z$635</f>
        <v>208670.62092315435</v>
      </c>
      <c r="AG635" s="6">
        <f>$O$635*$AA$635</f>
        <v>117252.4628410438</v>
      </c>
    </row>
    <row r="636" spans="1:33" ht="11.25" customHeight="1" x14ac:dyDescent="0.25">
      <c r="A636" s="4" t="s">
        <v>21</v>
      </c>
      <c r="B636" s="4" t="s">
        <v>44</v>
      </c>
      <c r="C636" s="4" t="s">
        <v>23</v>
      </c>
      <c r="D636" s="4" t="s">
        <v>45</v>
      </c>
      <c r="E636" s="4" t="s">
        <v>46</v>
      </c>
      <c r="F636" s="4" t="s">
        <v>25</v>
      </c>
      <c r="G636" s="4" t="s">
        <v>25</v>
      </c>
      <c r="H636" s="4" t="s">
        <v>25</v>
      </c>
      <c r="I636" s="5">
        <v>44593</v>
      </c>
      <c r="J636" s="6">
        <v>0</v>
      </c>
      <c r="K636" s="6">
        <v>0</v>
      </c>
      <c r="L636" s="6">
        <v>863.87</v>
      </c>
      <c r="M636" s="6">
        <v>863.87</v>
      </c>
      <c r="N636" s="6">
        <v>863.87</v>
      </c>
      <c r="O636" s="6">
        <v>863.87</v>
      </c>
      <c r="P636" s="6">
        <v>4</v>
      </c>
      <c r="Q636" s="4" t="s">
        <v>26</v>
      </c>
      <c r="R636" s="4">
        <v>0</v>
      </c>
      <c r="S636" s="6">
        <v>0</v>
      </c>
      <c r="T636" s="6">
        <v>68</v>
      </c>
      <c r="U636" s="6">
        <v>48</v>
      </c>
      <c r="V636" s="6">
        <f>IF(ISERROR(VLOOKUP($S$636,'TAR FIN'!$A$1:$O$86,15,0)),0,VLOOKUP($S$636,'TAR FIN'!$A$1:$O$86,15,0))</f>
        <v>0</v>
      </c>
      <c r="W636" s="6">
        <f>IF(ISERROR(VLOOKUP($T$636,'TAR FIN'!$A$1:$O$86,15,0)),0,VLOOKUP($T$636,'TAR FIN'!$A$1:$O$86,15,0))</f>
        <v>186.18</v>
      </c>
      <c r="X636" s="6">
        <f>IF(ISERROR(VLOOKUP($U$636,'TAR FIN'!$A$1:$O$86,15,0)),0,VLOOKUP($U$636,'TAR FIN'!$A$1:$O$86,15,0))</f>
        <v>123.2</v>
      </c>
      <c r="Y636" s="6"/>
      <c r="Z636" s="6">
        <f ca="1">('TUSD BE'!$AM$50+'TUSD BF'!$AM$50+'TUSD CVA'!$AM$50)*1</f>
        <v>229.6735808732725</v>
      </c>
      <c r="AA636" s="6">
        <f>('TE BE'!$AB$41+'TE BF'!$AB$41+'TE CVA'!$AB$41)*1</f>
        <v>129.05407041861488</v>
      </c>
      <c r="AB636" s="6">
        <f>$K$636*$V$636</f>
        <v>0</v>
      </c>
      <c r="AC636" s="6">
        <f>$M$636*$W$636</f>
        <v>160835.31660000002</v>
      </c>
      <c r="AD636" s="6">
        <f>$O$636*$X$636</f>
        <v>106428.784</v>
      </c>
      <c r="AE636" s="6">
        <f>$K$636*$Y$636</f>
        <v>0</v>
      </c>
      <c r="AF636" s="6">
        <f ca="1">$M$636*$Z$636</f>
        <v>198408.11630899392</v>
      </c>
      <c r="AG636" s="6">
        <f>$O$636*$AA$636</f>
        <v>111485.93981252884</v>
      </c>
    </row>
    <row r="637" spans="1:33" ht="11.25" customHeight="1" x14ac:dyDescent="0.25">
      <c r="A637" s="4" t="s">
        <v>21</v>
      </c>
      <c r="B637" s="4" t="s">
        <v>44</v>
      </c>
      <c r="C637" s="4" t="s">
        <v>23</v>
      </c>
      <c r="D637" s="4" t="s">
        <v>45</v>
      </c>
      <c r="E637" s="4" t="s">
        <v>46</v>
      </c>
      <c r="F637" s="4" t="s">
        <v>25</v>
      </c>
      <c r="G637" s="4" t="s">
        <v>25</v>
      </c>
      <c r="H637" s="4" t="s">
        <v>25</v>
      </c>
      <c r="I637" s="5">
        <v>44621</v>
      </c>
      <c r="J637" s="6">
        <v>0</v>
      </c>
      <c r="K637" s="6">
        <v>0</v>
      </c>
      <c r="L637" s="6">
        <v>943.53700000000003</v>
      </c>
      <c r="M637" s="6">
        <v>943.53700000000003</v>
      </c>
      <c r="N637" s="6">
        <v>943.53700000000003</v>
      </c>
      <c r="O637" s="6">
        <v>943.53700000000003</v>
      </c>
      <c r="P637" s="6">
        <v>4</v>
      </c>
      <c r="Q637" s="4" t="s">
        <v>26</v>
      </c>
      <c r="R637" s="4">
        <v>0</v>
      </c>
      <c r="S637" s="6">
        <v>0</v>
      </c>
      <c r="T637" s="6">
        <v>68</v>
      </c>
      <c r="U637" s="6">
        <v>48</v>
      </c>
      <c r="V637" s="6">
        <f>IF(ISERROR(VLOOKUP($S$637,'TAR FIN'!$A$1:$O$86,15,0)),0,VLOOKUP($S$637,'TAR FIN'!$A$1:$O$86,15,0))</f>
        <v>0</v>
      </c>
      <c r="W637" s="6">
        <f>IF(ISERROR(VLOOKUP($T$637,'TAR FIN'!$A$1:$O$86,15,0)),0,VLOOKUP($T$637,'TAR FIN'!$A$1:$O$86,15,0))</f>
        <v>186.18</v>
      </c>
      <c r="X637" s="6">
        <f>IF(ISERROR(VLOOKUP($U$637,'TAR FIN'!$A$1:$O$86,15,0)),0,VLOOKUP($U$637,'TAR FIN'!$A$1:$O$86,15,0))</f>
        <v>123.2</v>
      </c>
      <c r="Y637" s="6"/>
      <c r="Z637" s="6">
        <f ca="1">('TUSD BE'!$AM$50+'TUSD BF'!$AM$50+'TUSD CVA'!$AM$50)*1</f>
        <v>229.6735808732725</v>
      </c>
      <c r="AA637" s="6">
        <f>('TE BE'!$AB$41+'TE BF'!$AB$41+'TE CVA'!$AB$41)*1</f>
        <v>129.05407041861488</v>
      </c>
      <c r="AB637" s="6">
        <f>$K$637*$V$637</f>
        <v>0</v>
      </c>
      <c r="AC637" s="6">
        <f>$M$637*$W$637</f>
        <v>175667.71866000001</v>
      </c>
      <c r="AD637" s="6">
        <f>$O$637*$X$637</f>
        <v>116243.75840000001</v>
      </c>
      <c r="AE637" s="6">
        <f>$K$637*$Y$637</f>
        <v>0</v>
      </c>
      <c r="AF637" s="6">
        <f ca="1">$M$637*$Z$637</f>
        <v>216705.52147642491</v>
      </c>
      <c r="AG637" s="6">
        <f>$O$637*$AA$637</f>
        <v>121767.29044056864</v>
      </c>
    </row>
    <row r="638" spans="1:33" ht="11.25" customHeight="1" x14ac:dyDescent="0.25">
      <c r="A638" s="4" t="s">
        <v>21</v>
      </c>
      <c r="B638" s="4" t="s">
        <v>44</v>
      </c>
      <c r="C638" s="4" t="s">
        <v>23</v>
      </c>
      <c r="D638" s="4" t="s">
        <v>45</v>
      </c>
      <c r="E638" s="4" t="s">
        <v>46</v>
      </c>
      <c r="F638" s="4" t="s">
        <v>25</v>
      </c>
      <c r="G638" s="4" t="s">
        <v>25</v>
      </c>
      <c r="H638" s="4" t="s">
        <v>25</v>
      </c>
      <c r="I638" s="5">
        <v>44652</v>
      </c>
      <c r="J638" s="6">
        <v>0</v>
      </c>
      <c r="K638" s="6">
        <v>0</v>
      </c>
      <c r="L638" s="6">
        <v>984.68299999999999</v>
      </c>
      <c r="M638" s="6">
        <v>984.68299999999999</v>
      </c>
      <c r="N638" s="6">
        <v>984.68299999999999</v>
      </c>
      <c r="O638" s="6">
        <v>984.68299999999999</v>
      </c>
      <c r="P638" s="6">
        <v>4</v>
      </c>
      <c r="Q638" s="4" t="s">
        <v>26</v>
      </c>
      <c r="R638" s="4">
        <v>0</v>
      </c>
      <c r="S638" s="6">
        <v>0</v>
      </c>
      <c r="T638" s="6">
        <v>68</v>
      </c>
      <c r="U638" s="6">
        <v>48</v>
      </c>
      <c r="V638" s="6">
        <f>IF(ISERROR(VLOOKUP($S$638,'TAR FIN'!$A$1:$O$86,15,0)),0,VLOOKUP($S$638,'TAR FIN'!$A$1:$O$86,15,0))</f>
        <v>0</v>
      </c>
      <c r="W638" s="6">
        <f>IF(ISERROR(VLOOKUP($T$638,'TAR FIN'!$A$1:$O$86,15,0)),0,VLOOKUP($T$638,'TAR FIN'!$A$1:$O$86,15,0))</f>
        <v>186.18</v>
      </c>
      <c r="X638" s="6">
        <f>IF(ISERROR(VLOOKUP($U$638,'TAR FIN'!$A$1:$O$86,15,0)),0,VLOOKUP($U$638,'TAR FIN'!$A$1:$O$86,15,0))</f>
        <v>123.2</v>
      </c>
      <c r="Y638" s="6"/>
      <c r="Z638" s="6">
        <f ca="1">('TUSD BE'!$AM$50+'TUSD BF'!$AM$50+'TUSD CVA'!$AM$50)*1</f>
        <v>229.6735808732725</v>
      </c>
      <c r="AA638" s="6">
        <f>('TE BE'!$AB$41+'TE BF'!$AB$41+'TE CVA'!$AB$41)*1</f>
        <v>129.05407041861488</v>
      </c>
      <c r="AB638" s="6">
        <f>$K$638*$V$638</f>
        <v>0</v>
      </c>
      <c r="AC638" s="6">
        <f>$M$638*$W$638</f>
        <v>183328.28094</v>
      </c>
      <c r="AD638" s="6">
        <f>$O$638*$X$638</f>
        <v>121312.94560000001</v>
      </c>
      <c r="AE638" s="6">
        <f>$K$638*$Y$638</f>
        <v>0</v>
      </c>
      <c r="AF638" s="6">
        <f ca="1">$M$638*$Z$638</f>
        <v>226155.67063503657</v>
      </c>
      <c r="AG638" s="6">
        <f>$O$638*$AA$638</f>
        <v>127077.34922201296</v>
      </c>
    </row>
    <row r="639" spans="1:33" ht="11.25" customHeight="1" x14ac:dyDescent="0.25">
      <c r="A639" s="4" t="s">
        <v>21</v>
      </c>
      <c r="B639" s="4" t="s">
        <v>44</v>
      </c>
      <c r="C639" s="4" t="s">
        <v>23</v>
      </c>
      <c r="D639" s="4" t="s">
        <v>45</v>
      </c>
      <c r="E639" s="4" t="s">
        <v>46</v>
      </c>
      <c r="F639" s="4" t="s">
        <v>25</v>
      </c>
      <c r="G639" s="4" t="s">
        <v>25</v>
      </c>
      <c r="H639" s="4" t="s">
        <v>25</v>
      </c>
      <c r="I639" s="5">
        <v>44682</v>
      </c>
      <c r="J639" s="6">
        <v>0</v>
      </c>
      <c r="K639" s="6">
        <v>0</v>
      </c>
      <c r="L639" s="6">
        <v>1076.22</v>
      </c>
      <c r="M639" s="6">
        <v>1076.22</v>
      </c>
      <c r="N639" s="6">
        <v>1076.22</v>
      </c>
      <c r="O639" s="6">
        <v>1076.22</v>
      </c>
      <c r="P639" s="6">
        <v>4</v>
      </c>
      <c r="Q639" s="4" t="s">
        <v>26</v>
      </c>
      <c r="R639" s="4">
        <v>0</v>
      </c>
      <c r="S639" s="6">
        <v>0</v>
      </c>
      <c r="T639" s="6">
        <v>68</v>
      </c>
      <c r="U639" s="6">
        <v>48</v>
      </c>
      <c r="V639" s="6">
        <f>IF(ISERROR(VLOOKUP($S$639,'TAR FIN'!$A$1:$O$86,15,0)),0,VLOOKUP($S$639,'TAR FIN'!$A$1:$O$86,15,0))</f>
        <v>0</v>
      </c>
      <c r="W639" s="6">
        <f>IF(ISERROR(VLOOKUP($T$639,'TAR FIN'!$A$1:$O$86,15,0)),0,VLOOKUP($T$639,'TAR FIN'!$A$1:$O$86,15,0))</f>
        <v>186.18</v>
      </c>
      <c r="X639" s="6">
        <f>IF(ISERROR(VLOOKUP($U$639,'TAR FIN'!$A$1:$O$86,15,0)),0,VLOOKUP($U$639,'TAR FIN'!$A$1:$O$86,15,0))</f>
        <v>123.2</v>
      </c>
      <c r="Y639" s="6"/>
      <c r="Z639" s="6">
        <f ca="1">('TUSD BE'!$AM$50+'TUSD BF'!$AM$50+'TUSD CVA'!$AM$50)*1</f>
        <v>229.6735808732725</v>
      </c>
      <c r="AA639" s="6">
        <f>('TE BE'!$AB$41+'TE BF'!$AB$41+'TE CVA'!$AB$41)*1</f>
        <v>129.05407041861488</v>
      </c>
      <c r="AB639" s="6">
        <f>$K$639*$V$639</f>
        <v>0</v>
      </c>
      <c r="AC639" s="6">
        <f>$M$639*$W$639</f>
        <v>200370.63960000002</v>
      </c>
      <c r="AD639" s="6">
        <f>$O$639*$X$639</f>
        <v>132590.304</v>
      </c>
      <c r="AE639" s="6">
        <f>$K$639*$Y$639</f>
        <v>0</v>
      </c>
      <c r="AF639" s="6">
        <f ca="1">$M$639*$Z$639</f>
        <v>247179.30120743334</v>
      </c>
      <c r="AG639" s="6">
        <f>$O$639*$AA$639</f>
        <v>138890.57166592171</v>
      </c>
    </row>
    <row r="640" spans="1:33" ht="11.25" customHeight="1" x14ac:dyDescent="0.25">
      <c r="A640" s="4" t="s">
        <v>21</v>
      </c>
      <c r="B640" s="4" t="s">
        <v>44</v>
      </c>
      <c r="C640" s="4" t="s">
        <v>23</v>
      </c>
      <c r="D640" s="4" t="s">
        <v>45</v>
      </c>
      <c r="E640" s="4" t="s">
        <v>46</v>
      </c>
      <c r="F640" s="4" t="s">
        <v>25</v>
      </c>
      <c r="G640" s="4" t="s">
        <v>25</v>
      </c>
      <c r="H640" s="4" t="s">
        <v>25</v>
      </c>
      <c r="I640" s="5">
        <v>44713</v>
      </c>
      <c r="J640" s="6">
        <v>0</v>
      </c>
      <c r="K640" s="6">
        <v>0</v>
      </c>
      <c r="L640" s="6">
        <v>1068.528</v>
      </c>
      <c r="M640" s="6">
        <v>1068.528</v>
      </c>
      <c r="N640" s="6">
        <v>1068.528</v>
      </c>
      <c r="O640" s="6">
        <v>1068.528</v>
      </c>
      <c r="P640" s="6">
        <v>4</v>
      </c>
      <c r="Q640" s="4" t="s">
        <v>26</v>
      </c>
      <c r="R640" s="4">
        <v>0</v>
      </c>
      <c r="S640" s="6">
        <v>0</v>
      </c>
      <c r="T640" s="6">
        <v>68</v>
      </c>
      <c r="U640" s="6">
        <v>48</v>
      </c>
      <c r="V640" s="6">
        <f>IF(ISERROR(VLOOKUP($S$640,'TAR FIN'!$A$1:$O$86,15,0)),0,VLOOKUP($S$640,'TAR FIN'!$A$1:$O$86,15,0))</f>
        <v>0</v>
      </c>
      <c r="W640" s="6">
        <f>IF(ISERROR(VLOOKUP($T$640,'TAR FIN'!$A$1:$O$86,15,0)),0,VLOOKUP($T$640,'TAR FIN'!$A$1:$O$86,15,0))</f>
        <v>186.18</v>
      </c>
      <c r="X640" s="6">
        <f>IF(ISERROR(VLOOKUP($U$640,'TAR FIN'!$A$1:$O$86,15,0)),0,VLOOKUP($U$640,'TAR FIN'!$A$1:$O$86,15,0))</f>
        <v>123.2</v>
      </c>
      <c r="Y640" s="6"/>
      <c r="Z640" s="6">
        <f ca="1">('TUSD BE'!$AM$50+'TUSD BF'!$AM$50+'TUSD CVA'!$AM$50)*1</f>
        <v>229.6735808732725</v>
      </c>
      <c r="AA640" s="6">
        <f>('TE BE'!$AB$41+'TE BF'!$AB$41+'TE CVA'!$AB$41)*1</f>
        <v>129.05407041861488</v>
      </c>
      <c r="AB640" s="6">
        <f>$K$640*$V$640</f>
        <v>0</v>
      </c>
      <c r="AC640" s="6">
        <f>$M$640*$W$640</f>
        <v>198938.54304000002</v>
      </c>
      <c r="AD640" s="6">
        <f>$O$640*$X$640</f>
        <v>131642.6496</v>
      </c>
      <c r="AE640" s="6">
        <f>$K$640*$Y$640</f>
        <v>0</v>
      </c>
      <c r="AF640" s="6">
        <f ca="1">$M$640*$Z$640</f>
        <v>245412.65202335612</v>
      </c>
      <c r="AG640" s="6">
        <f>$O$640*$AA$640</f>
        <v>137897.88775626174</v>
      </c>
    </row>
    <row r="641" spans="1:33" ht="11.25" customHeight="1" x14ac:dyDescent="0.25">
      <c r="A641" s="4" t="s">
        <v>55</v>
      </c>
      <c r="B641" s="4" t="s">
        <v>44</v>
      </c>
      <c r="C641" s="4" t="s">
        <v>23</v>
      </c>
      <c r="D641" s="4" t="s">
        <v>45</v>
      </c>
      <c r="E641" s="4" t="s">
        <v>46</v>
      </c>
      <c r="F641" s="4" t="s">
        <v>25</v>
      </c>
      <c r="G641" s="4" t="s">
        <v>25</v>
      </c>
      <c r="H641" s="4" t="s">
        <v>25</v>
      </c>
      <c r="I641" s="5">
        <v>44743</v>
      </c>
      <c r="J641" s="6">
        <v>0</v>
      </c>
      <c r="K641" s="6">
        <v>0</v>
      </c>
      <c r="L641" s="6">
        <v>1068.528</v>
      </c>
      <c r="M641" s="6">
        <v>1068.528</v>
      </c>
      <c r="N641" s="6">
        <v>1068.528</v>
      </c>
      <c r="O641" s="6">
        <v>1068.528</v>
      </c>
      <c r="P641" s="6">
        <v>4</v>
      </c>
      <c r="Q641" s="4" t="s">
        <v>26</v>
      </c>
      <c r="R641" s="4">
        <v>0</v>
      </c>
      <c r="S641" s="6">
        <v>0</v>
      </c>
      <c r="T641" s="6">
        <v>68</v>
      </c>
      <c r="U641" s="6">
        <v>48</v>
      </c>
      <c r="V641" s="6">
        <f>IF(ISERROR(VLOOKUP($S$641,'TAR FIN'!$A$1:$O$86,15,0)),0,VLOOKUP($S$641,'TAR FIN'!$A$1:$O$86,15,0))</f>
        <v>0</v>
      </c>
      <c r="W641" s="6">
        <f>IF(ISERROR(VLOOKUP($T$641,'TAR FIN'!$A$1:$O$86,15,0)),0,VLOOKUP($T$641,'TAR FIN'!$A$1:$O$86,15,0))</f>
        <v>186.18</v>
      </c>
      <c r="X641" s="6">
        <f>IF(ISERROR(VLOOKUP($U$641,'TAR FIN'!$A$1:$O$86,15,0)),0,VLOOKUP($U$641,'TAR FIN'!$A$1:$O$86,15,0))</f>
        <v>123.2</v>
      </c>
      <c r="Y641" s="6"/>
      <c r="Z641" s="6">
        <f ca="1">('TUSD BE'!$AM$50+'TUSD BF'!$AM$50+'TUSD CVA'!$AM$50)*1</f>
        <v>229.6735808732725</v>
      </c>
      <c r="AA641" s="6">
        <f>('TE BE'!$AB$41+'TE BF'!$AB$41+'TE CVA'!$AB$41)*1</f>
        <v>129.05407041861488</v>
      </c>
      <c r="AB641" s="6">
        <f>$K$641*$V$641</f>
        <v>0</v>
      </c>
      <c r="AC641" s="6">
        <f>$M$641*$W$641</f>
        <v>198938.54304000002</v>
      </c>
      <c r="AD641" s="6">
        <f>$O$641*$X$641</f>
        <v>131642.6496</v>
      </c>
      <c r="AE641" s="6">
        <f>$K$641*$Y$641</f>
        <v>0</v>
      </c>
      <c r="AF641" s="6">
        <f ca="1">$M$641*$Z$641</f>
        <v>245412.65202335612</v>
      </c>
      <c r="AG641" s="6">
        <f>$O$641*$AA$641</f>
        <v>137897.88775626174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BE008-055B-452E-B130-FAECDD8167EF}">
  <dimension ref="A1:AJ642"/>
  <sheetViews>
    <sheetView showGridLines="0" workbookViewId="0">
      <selection sqref="A1:AF257"/>
    </sheetView>
  </sheetViews>
  <sheetFormatPr defaultColWidth="9.140625" defaultRowHeight="11.25" customHeight="1" x14ac:dyDescent="0.25"/>
  <cols>
    <col min="1" max="1" width="19.140625" style="4" bestFit="1" customWidth="1"/>
    <col min="2" max="2" width="13.28515625" style="4" bestFit="1" customWidth="1"/>
    <col min="3" max="3" width="14.5703125" style="4" bestFit="1" customWidth="1"/>
    <col min="4" max="4" width="11.5703125" style="4" bestFit="1" customWidth="1"/>
    <col min="5" max="5" width="25.140625" style="4" bestFit="1" customWidth="1"/>
    <col min="6" max="6" width="13.28515625" style="4" bestFit="1" customWidth="1"/>
    <col min="7" max="7" width="11.28515625" style="4" bestFit="1" customWidth="1"/>
    <col min="8" max="8" width="10.28515625" style="4" bestFit="1" customWidth="1"/>
    <col min="9" max="9" width="12.140625" style="5" bestFit="1" customWidth="1"/>
    <col min="10" max="11" width="7.85546875" style="6" bestFit="1" customWidth="1"/>
    <col min="12" max="12" width="11.28515625" style="6" bestFit="1" customWidth="1"/>
    <col min="13" max="13" width="12.5703125" style="6" bestFit="1" customWidth="1"/>
    <col min="14" max="14" width="9.140625" style="6" bestFit="1" customWidth="1"/>
    <col min="15" max="15" width="10.42578125" style="6" bestFit="1" customWidth="1"/>
    <col min="16" max="16" width="7.85546875" style="6" bestFit="1" customWidth="1"/>
    <col min="17" max="17" width="11.140625" style="4" bestFit="1" customWidth="1"/>
    <col min="18" max="18" width="13.140625" style="4" bestFit="1" customWidth="1"/>
    <col min="19" max="19" width="23" style="4" bestFit="1" customWidth="1"/>
    <col min="20" max="20" width="24.42578125" style="4" bestFit="1" customWidth="1"/>
    <col min="21" max="21" width="22.28515625" style="4" bestFit="1" customWidth="1"/>
    <col min="22" max="22" width="15.85546875" style="4" bestFit="1" customWidth="1"/>
    <col min="23" max="23" width="17.28515625" style="4" bestFit="1" customWidth="1"/>
    <col min="24" max="24" width="15.140625" style="4" bestFit="1" customWidth="1"/>
    <col min="25" max="25" width="20.85546875" style="4" bestFit="1" customWidth="1"/>
    <col min="26" max="26" width="22.42578125" style="4" bestFit="1" customWidth="1"/>
    <col min="27" max="27" width="20.140625" style="4" bestFit="1" customWidth="1"/>
    <col min="28" max="28" width="19.140625" style="4" bestFit="1" customWidth="1"/>
    <col min="29" max="29" width="20.5703125" style="4" bestFit="1" customWidth="1"/>
    <col min="30" max="30" width="19" style="4" bestFit="1" customWidth="1"/>
    <col min="31" max="31" width="20.42578125" style="4" bestFit="1" customWidth="1"/>
    <col min="32" max="32" width="32.140625" style="4" bestFit="1" customWidth="1"/>
    <col min="33" max="33" width="9.140625" style="4"/>
    <col min="34" max="34" width="32.140625" style="4" bestFit="1" customWidth="1"/>
    <col min="35" max="36" width="10" style="4" bestFit="1" customWidth="1"/>
    <col min="37" max="16384" width="9.140625" style="4"/>
  </cols>
  <sheetData>
    <row r="1" spans="1:36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603</v>
      </c>
      <c r="W1" s="1" t="s">
        <v>604</v>
      </c>
      <c r="X1" s="1" t="s">
        <v>605</v>
      </c>
      <c r="Y1" s="1" t="s">
        <v>606</v>
      </c>
      <c r="Z1" s="1" t="s">
        <v>607</v>
      </c>
      <c r="AA1" s="1" t="s">
        <v>608</v>
      </c>
      <c r="AB1" s="1" t="s">
        <v>646</v>
      </c>
      <c r="AC1" s="1" t="s">
        <v>647</v>
      </c>
      <c r="AD1" s="1" t="s">
        <v>648</v>
      </c>
      <c r="AE1" s="1" t="s">
        <v>649</v>
      </c>
      <c r="AF1" s="1" t="s">
        <v>650</v>
      </c>
      <c r="AH1" s="73" t="s">
        <v>650</v>
      </c>
      <c r="AI1" s="73" t="s">
        <v>656</v>
      </c>
      <c r="AJ1" s="73" t="s">
        <v>657</v>
      </c>
    </row>
    <row r="2" spans="1:36" ht="11.25" customHeight="1" x14ac:dyDescent="0.25">
      <c r="A2" s="4" t="s">
        <v>21</v>
      </c>
      <c r="B2" s="4" t="s">
        <v>35</v>
      </c>
      <c r="C2" s="4" t="s">
        <v>36</v>
      </c>
      <c r="D2" s="4" t="s">
        <v>34</v>
      </c>
      <c r="E2" s="4" t="s">
        <v>25</v>
      </c>
      <c r="F2" s="4" t="s">
        <v>56</v>
      </c>
      <c r="G2" s="4" t="s">
        <v>25</v>
      </c>
      <c r="H2" s="4" t="s">
        <v>38</v>
      </c>
      <c r="I2" s="5">
        <v>44409</v>
      </c>
      <c r="J2" s="6">
        <v>2514</v>
      </c>
      <c r="K2" s="6">
        <v>1257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4" t="s">
        <v>57</v>
      </c>
      <c r="R2" s="4">
        <v>0</v>
      </c>
      <c r="S2" s="4">
        <v>1</v>
      </c>
      <c r="T2" s="4">
        <v>0</v>
      </c>
      <c r="U2" s="4">
        <v>0</v>
      </c>
      <c r="V2" s="6">
        <f>IF(ISERROR(VLOOKUP($S$2,'TAR FIN'!$A$1:$O$86,15,0)),0,VLOOKUP($S$2,'TAR FIN'!$A$1:$O$86,15,0))</f>
        <v>22.9</v>
      </c>
      <c r="W2" s="6">
        <f>IF(ISERROR(VLOOKUP($T$2,'TAR FIN'!$A$1:$O$86,15,0)),0,VLOOKUP($T$2,'TAR FIN'!$A$1:$O$86,15,0))</f>
        <v>0</v>
      </c>
      <c r="X2" s="6">
        <f>IF(ISERROR(VLOOKUP($U$2,'TAR FIN'!$A$1:$O$86,15,0)),0,VLOOKUP($U$2,'TAR FIN'!$A$1:$O$86,15,0))</f>
        <v>0</v>
      </c>
      <c r="Y2" s="6">
        <f ca="1">('TUSD BE'!$AM$6+'TUSD BF'!$AM$6+'TUSD CVA'!$AM$6)*1</f>
        <v>21.733731888847863</v>
      </c>
      <c r="Z2" s="6">
        <f ca="1">('TUSD BE'!$AM$7+'TUSD BF'!$AM$7+'TUSD CVA'!$AM$7)*1</f>
        <v>117.83242038312405</v>
      </c>
      <c r="AA2" s="6"/>
      <c r="AB2" s="6">
        <f t="shared" ref="AB2:AB65" si="0">(J2-K2)*V2</f>
        <v>28785.3</v>
      </c>
      <c r="AC2" s="6">
        <f t="shared" ref="AC2:AC33" si="1">(L2-M2)*W2+(N2-O2)*X2</f>
        <v>0</v>
      </c>
      <c r="AD2" s="6">
        <f t="shared" ref="AD2:AD65" ca="1" si="2">(J2-K2)*Y2</f>
        <v>27319.300984281763</v>
      </c>
      <c r="AE2" s="6">
        <f t="shared" ref="AE2:AE33" ca="1" si="3">(L2-M2)*Z2+(N2-O2)*AA2</f>
        <v>0</v>
      </c>
      <c r="AF2" s="4" t="s">
        <v>651</v>
      </c>
      <c r="AH2" s="74" t="s">
        <v>651</v>
      </c>
      <c r="AI2" s="75">
        <f t="shared" ref="AI2:AI9" si="4">SUMIF($AF$2:$AF$642,AH2,$AB$2:$AB$642)+SUMIF($AF$2:$AF$642,AH2,$AC$2:$AC$642)</f>
        <v>3958529.497425762</v>
      </c>
      <c r="AJ2" s="75">
        <f t="shared" ref="AJ2:AJ8" ca="1" si="5">SUMIF($AF$2:$AF$642,AH2,$AD$2:$AD$642)+SUMIF($AF$2:$AF$642,AH2,$AE$2:$AE$642)</f>
        <v>3825939.8062169999</v>
      </c>
    </row>
    <row r="3" spans="1:36" ht="11.25" customHeight="1" x14ac:dyDescent="0.25">
      <c r="A3" s="4" t="s">
        <v>21</v>
      </c>
      <c r="B3" s="4" t="s">
        <v>35</v>
      </c>
      <c r="C3" s="4" t="s">
        <v>36</v>
      </c>
      <c r="D3" s="4" t="s">
        <v>34</v>
      </c>
      <c r="E3" s="4" t="s">
        <v>25</v>
      </c>
      <c r="F3" s="4" t="s">
        <v>56</v>
      </c>
      <c r="G3" s="4" t="s">
        <v>25</v>
      </c>
      <c r="H3" s="4" t="s">
        <v>38</v>
      </c>
      <c r="I3" s="5">
        <v>44440</v>
      </c>
      <c r="J3" s="6">
        <v>2432</v>
      </c>
      <c r="K3" s="6">
        <v>1216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4" t="s">
        <v>57</v>
      </c>
      <c r="R3" s="4">
        <v>0</v>
      </c>
      <c r="S3" s="4">
        <v>1</v>
      </c>
      <c r="T3" s="4">
        <v>0</v>
      </c>
      <c r="U3" s="4">
        <v>0</v>
      </c>
      <c r="V3" s="6">
        <f>IF(ISERROR(VLOOKUP($S$3,'TAR FIN'!$A$1:$O$86,15,0)),0,VLOOKUP($S$3,'TAR FIN'!$A$1:$O$86,15,0))</f>
        <v>22.9</v>
      </c>
      <c r="W3" s="6">
        <f>IF(ISERROR(VLOOKUP($T$3,'TAR FIN'!$A$1:$O$86,15,0)),0,VLOOKUP($T$3,'TAR FIN'!$A$1:$O$86,15,0))</f>
        <v>0</v>
      </c>
      <c r="X3" s="6">
        <f>IF(ISERROR(VLOOKUP($U$3,'TAR FIN'!$A$1:$O$86,15,0)),0,VLOOKUP($U$3,'TAR FIN'!$A$1:$O$86,15,0))</f>
        <v>0</v>
      </c>
      <c r="Y3" s="6">
        <f ca="1">('TUSD BE'!$AM$6+'TUSD BF'!$AM$6+'TUSD CVA'!$AM$6)*1</f>
        <v>21.733731888847863</v>
      </c>
      <c r="Z3" s="6">
        <f ca="1">('TUSD BE'!$AM$7+'TUSD BF'!$AM$7+'TUSD CVA'!$AM$7)*1</f>
        <v>117.83242038312405</v>
      </c>
      <c r="AA3" s="6"/>
      <c r="AB3" s="6">
        <f t="shared" si="0"/>
        <v>27846.399999999998</v>
      </c>
      <c r="AC3" s="6">
        <f t="shared" si="1"/>
        <v>0</v>
      </c>
      <c r="AD3" s="6">
        <f t="shared" ca="1" si="2"/>
        <v>26428.217976839001</v>
      </c>
      <c r="AE3" s="6">
        <f t="shared" ca="1" si="3"/>
        <v>0</v>
      </c>
      <c r="AF3" s="4" t="s">
        <v>651</v>
      </c>
      <c r="AH3" s="74" t="s">
        <v>658</v>
      </c>
      <c r="AI3" s="75">
        <f t="shared" si="4"/>
        <v>0</v>
      </c>
      <c r="AJ3" s="75">
        <f t="shared" si="5"/>
        <v>0</v>
      </c>
    </row>
    <row r="4" spans="1:36" ht="11.25" customHeight="1" x14ac:dyDescent="0.25">
      <c r="A4" s="4" t="s">
        <v>21</v>
      </c>
      <c r="B4" s="4" t="s">
        <v>35</v>
      </c>
      <c r="C4" s="4" t="s">
        <v>36</v>
      </c>
      <c r="D4" s="4" t="s">
        <v>34</v>
      </c>
      <c r="E4" s="4" t="s">
        <v>25</v>
      </c>
      <c r="F4" s="4" t="s">
        <v>56</v>
      </c>
      <c r="G4" s="4" t="s">
        <v>25</v>
      </c>
      <c r="H4" s="4" t="s">
        <v>38</v>
      </c>
      <c r="I4" s="5">
        <v>44470</v>
      </c>
      <c r="J4" s="6">
        <v>2500</v>
      </c>
      <c r="K4" s="6">
        <v>1250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4" t="s">
        <v>57</v>
      </c>
      <c r="R4" s="4">
        <v>0</v>
      </c>
      <c r="S4" s="4">
        <v>1</v>
      </c>
      <c r="T4" s="4">
        <v>0</v>
      </c>
      <c r="U4" s="4">
        <v>0</v>
      </c>
      <c r="V4" s="6">
        <f>IF(ISERROR(VLOOKUP($S$4,'TAR FIN'!$A$1:$O$86,15,0)),0,VLOOKUP($S$4,'TAR FIN'!$A$1:$O$86,15,0))</f>
        <v>22.9</v>
      </c>
      <c r="W4" s="6">
        <f>IF(ISERROR(VLOOKUP($T$4,'TAR FIN'!$A$1:$O$86,15,0)),0,VLOOKUP($T$4,'TAR FIN'!$A$1:$O$86,15,0))</f>
        <v>0</v>
      </c>
      <c r="X4" s="6">
        <f>IF(ISERROR(VLOOKUP($U$4,'TAR FIN'!$A$1:$O$86,15,0)),0,VLOOKUP($U$4,'TAR FIN'!$A$1:$O$86,15,0))</f>
        <v>0</v>
      </c>
      <c r="Y4" s="6">
        <f ca="1">('TUSD BE'!$AM$6+'TUSD BF'!$AM$6+'TUSD CVA'!$AM$6)*1</f>
        <v>21.733731888847863</v>
      </c>
      <c r="Z4" s="6">
        <f ca="1">('TUSD BE'!$AM$7+'TUSD BF'!$AM$7+'TUSD CVA'!$AM$7)*1</f>
        <v>117.83242038312405</v>
      </c>
      <c r="AA4" s="6"/>
      <c r="AB4" s="6">
        <f t="shared" si="0"/>
        <v>28625</v>
      </c>
      <c r="AC4" s="6">
        <f t="shared" si="1"/>
        <v>0</v>
      </c>
      <c r="AD4" s="6">
        <f t="shared" ca="1" si="2"/>
        <v>27167.164861059828</v>
      </c>
      <c r="AE4" s="6">
        <f t="shared" ca="1" si="3"/>
        <v>0</v>
      </c>
      <c r="AF4" s="4" t="s">
        <v>651</v>
      </c>
      <c r="AH4" s="74" t="s">
        <v>659</v>
      </c>
      <c r="AI4" s="75">
        <f t="shared" si="4"/>
        <v>0</v>
      </c>
      <c r="AJ4" s="75">
        <f t="shared" si="5"/>
        <v>0</v>
      </c>
    </row>
    <row r="5" spans="1:36" ht="11.25" customHeight="1" x14ac:dyDescent="0.25">
      <c r="A5" s="4" t="s">
        <v>21</v>
      </c>
      <c r="B5" s="4" t="s">
        <v>35</v>
      </c>
      <c r="C5" s="4" t="s">
        <v>36</v>
      </c>
      <c r="D5" s="4" t="s">
        <v>34</v>
      </c>
      <c r="E5" s="4" t="s">
        <v>25</v>
      </c>
      <c r="F5" s="4" t="s">
        <v>56</v>
      </c>
      <c r="G5" s="4" t="s">
        <v>25</v>
      </c>
      <c r="H5" s="4" t="s">
        <v>38</v>
      </c>
      <c r="I5" s="5">
        <v>44501</v>
      </c>
      <c r="J5" s="6">
        <v>2623</v>
      </c>
      <c r="K5" s="6">
        <v>1311.5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4" t="s">
        <v>57</v>
      </c>
      <c r="R5" s="4">
        <v>0</v>
      </c>
      <c r="S5" s="4">
        <v>1</v>
      </c>
      <c r="T5" s="4">
        <v>0</v>
      </c>
      <c r="U5" s="4">
        <v>0</v>
      </c>
      <c r="V5" s="6">
        <f>IF(ISERROR(VLOOKUP($S$5,'TAR FIN'!$A$1:$O$86,15,0)),0,VLOOKUP($S$5,'TAR FIN'!$A$1:$O$86,15,0))</f>
        <v>22.9</v>
      </c>
      <c r="W5" s="6">
        <f>IF(ISERROR(VLOOKUP($T$5,'TAR FIN'!$A$1:$O$86,15,0)),0,VLOOKUP($T$5,'TAR FIN'!$A$1:$O$86,15,0))</f>
        <v>0</v>
      </c>
      <c r="X5" s="6">
        <f>IF(ISERROR(VLOOKUP($U$5,'TAR FIN'!$A$1:$O$86,15,0)),0,VLOOKUP($U$5,'TAR FIN'!$A$1:$O$86,15,0))</f>
        <v>0</v>
      </c>
      <c r="Y5" s="6">
        <f ca="1">('TUSD BE'!$AM$6+'TUSD BF'!$AM$6+'TUSD CVA'!$AM$6)*1</f>
        <v>21.733731888847863</v>
      </c>
      <c r="Z5" s="6">
        <f ca="1">('TUSD BE'!$AM$7+'TUSD BF'!$AM$7+'TUSD CVA'!$AM$7)*1</f>
        <v>117.83242038312405</v>
      </c>
      <c r="AA5" s="6"/>
      <c r="AB5" s="6">
        <f t="shared" si="0"/>
        <v>30033.35</v>
      </c>
      <c r="AC5" s="6">
        <f t="shared" si="1"/>
        <v>0</v>
      </c>
      <c r="AD5" s="6">
        <f t="shared" ca="1" si="2"/>
        <v>28503.789372223971</v>
      </c>
      <c r="AE5" s="6">
        <f t="shared" ca="1" si="3"/>
        <v>0</v>
      </c>
      <c r="AF5" s="4" t="s">
        <v>651</v>
      </c>
      <c r="AH5" s="74" t="s">
        <v>652</v>
      </c>
      <c r="AI5" s="75">
        <f t="shared" si="4"/>
        <v>84218.930335199999</v>
      </c>
      <c r="AJ5" s="75">
        <f t="shared" ca="1" si="5"/>
        <v>46712.393481855732</v>
      </c>
    </row>
    <row r="6" spans="1:36" ht="11.25" customHeight="1" x14ac:dyDescent="0.25">
      <c r="A6" s="4" t="s">
        <v>21</v>
      </c>
      <c r="B6" s="4" t="s">
        <v>35</v>
      </c>
      <c r="C6" s="4" t="s">
        <v>36</v>
      </c>
      <c r="D6" s="4" t="s">
        <v>34</v>
      </c>
      <c r="E6" s="4" t="s">
        <v>25</v>
      </c>
      <c r="F6" s="4" t="s">
        <v>56</v>
      </c>
      <c r="G6" s="4" t="s">
        <v>25</v>
      </c>
      <c r="H6" s="4" t="s">
        <v>38</v>
      </c>
      <c r="I6" s="5">
        <v>44531</v>
      </c>
      <c r="J6" s="6">
        <v>2533</v>
      </c>
      <c r="K6" s="6">
        <v>1266.5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4" t="s">
        <v>57</v>
      </c>
      <c r="R6" s="4">
        <v>0</v>
      </c>
      <c r="S6" s="4">
        <v>1</v>
      </c>
      <c r="T6" s="4">
        <v>0</v>
      </c>
      <c r="U6" s="4">
        <v>0</v>
      </c>
      <c r="V6" s="6">
        <f>IF(ISERROR(VLOOKUP($S$6,'TAR FIN'!$A$1:$O$86,15,0)),0,VLOOKUP($S$6,'TAR FIN'!$A$1:$O$86,15,0))</f>
        <v>22.9</v>
      </c>
      <c r="W6" s="6">
        <f>IF(ISERROR(VLOOKUP($T$6,'TAR FIN'!$A$1:$O$86,15,0)),0,VLOOKUP($T$6,'TAR FIN'!$A$1:$O$86,15,0))</f>
        <v>0</v>
      </c>
      <c r="X6" s="6">
        <f>IF(ISERROR(VLOOKUP($U$6,'TAR FIN'!$A$1:$O$86,15,0)),0,VLOOKUP($U$6,'TAR FIN'!$A$1:$O$86,15,0))</f>
        <v>0</v>
      </c>
      <c r="Y6" s="6">
        <f ca="1">('TUSD BE'!$AM$6+'TUSD BF'!$AM$6+'TUSD CVA'!$AM$6)*1</f>
        <v>21.733731888847863</v>
      </c>
      <c r="Z6" s="6">
        <f ca="1">('TUSD BE'!$AM$7+'TUSD BF'!$AM$7+'TUSD CVA'!$AM$7)*1</f>
        <v>117.83242038312405</v>
      </c>
      <c r="AA6" s="6"/>
      <c r="AB6" s="6">
        <f t="shared" si="0"/>
        <v>29002.85</v>
      </c>
      <c r="AC6" s="6">
        <f t="shared" si="1"/>
        <v>0</v>
      </c>
      <c r="AD6" s="6">
        <f t="shared" ca="1" si="2"/>
        <v>27525.77143722582</v>
      </c>
      <c r="AE6" s="6">
        <f t="shared" ca="1" si="3"/>
        <v>0</v>
      </c>
      <c r="AF6" s="4" t="s">
        <v>651</v>
      </c>
      <c r="AH6" s="74" t="s">
        <v>654</v>
      </c>
      <c r="AI6" s="75">
        <f t="shared" si="4"/>
        <v>790206.84</v>
      </c>
      <c r="AJ6" s="75">
        <f t="shared" ca="1" si="5"/>
        <v>458131.78787553095</v>
      </c>
    </row>
    <row r="7" spans="1:36" ht="11.25" customHeight="1" x14ac:dyDescent="0.25">
      <c r="A7" s="4" t="s">
        <v>21</v>
      </c>
      <c r="B7" s="4" t="s">
        <v>35</v>
      </c>
      <c r="C7" s="4" t="s">
        <v>36</v>
      </c>
      <c r="D7" s="4" t="s">
        <v>34</v>
      </c>
      <c r="E7" s="4" t="s">
        <v>25</v>
      </c>
      <c r="F7" s="4" t="s">
        <v>56</v>
      </c>
      <c r="G7" s="4" t="s">
        <v>25</v>
      </c>
      <c r="H7" s="4" t="s">
        <v>38</v>
      </c>
      <c r="I7" s="5">
        <v>44562</v>
      </c>
      <c r="J7" s="6">
        <v>2500</v>
      </c>
      <c r="K7" s="6">
        <v>1250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4" t="s">
        <v>57</v>
      </c>
      <c r="R7" s="4">
        <v>0</v>
      </c>
      <c r="S7" s="4">
        <v>1</v>
      </c>
      <c r="T7" s="4">
        <v>0</v>
      </c>
      <c r="U7" s="4">
        <v>0</v>
      </c>
      <c r="V7" s="6">
        <f>IF(ISERROR(VLOOKUP($S$7,'TAR FIN'!$A$1:$O$86,15,0)),0,VLOOKUP($S$7,'TAR FIN'!$A$1:$O$86,15,0))</f>
        <v>22.9</v>
      </c>
      <c r="W7" s="6">
        <f>IF(ISERROR(VLOOKUP($T$7,'TAR FIN'!$A$1:$O$86,15,0)),0,VLOOKUP($T$7,'TAR FIN'!$A$1:$O$86,15,0))</f>
        <v>0</v>
      </c>
      <c r="X7" s="6">
        <f>IF(ISERROR(VLOOKUP($U$7,'TAR FIN'!$A$1:$O$86,15,0)),0,VLOOKUP($U$7,'TAR FIN'!$A$1:$O$86,15,0))</f>
        <v>0</v>
      </c>
      <c r="Y7" s="6">
        <f ca="1">('TUSD BE'!$AM$6+'TUSD BF'!$AM$6+'TUSD CVA'!$AM$6)*1</f>
        <v>21.733731888847863</v>
      </c>
      <c r="Z7" s="6">
        <f ca="1">('TUSD BE'!$AM$7+'TUSD BF'!$AM$7+'TUSD CVA'!$AM$7)*1</f>
        <v>117.83242038312405</v>
      </c>
      <c r="AA7" s="6"/>
      <c r="AB7" s="6">
        <f t="shared" si="0"/>
        <v>28625</v>
      </c>
      <c r="AC7" s="6">
        <f t="shared" si="1"/>
        <v>0</v>
      </c>
      <c r="AD7" s="6">
        <f t="shared" ca="1" si="2"/>
        <v>27167.164861059828</v>
      </c>
      <c r="AE7" s="6">
        <f t="shared" ca="1" si="3"/>
        <v>0</v>
      </c>
      <c r="AF7" s="4" t="s">
        <v>651</v>
      </c>
      <c r="AH7" s="74" t="s">
        <v>655</v>
      </c>
      <c r="AI7" s="75">
        <f t="shared" si="4"/>
        <v>5430.8642879999998</v>
      </c>
      <c r="AJ7" s="75">
        <f t="shared" ca="1" si="5"/>
        <v>6063.7861174491754</v>
      </c>
    </row>
    <row r="8" spans="1:36" ht="11.25" customHeight="1" x14ac:dyDescent="0.25">
      <c r="A8" s="4" t="s">
        <v>21</v>
      </c>
      <c r="B8" s="4" t="s">
        <v>35</v>
      </c>
      <c r="C8" s="4" t="s">
        <v>36</v>
      </c>
      <c r="D8" s="4" t="s">
        <v>34</v>
      </c>
      <c r="E8" s="4" t="s">
        <v>25</v>
      </c>
      <c r="F8" s="4" t="s">
        <v>56</v>
      </c>
      <c r="G8" s="4" t="s">
        <v>25</v>
      </c>
      <c r="H8" s="4" t="s">
        <v>38</v>
      </c>
      <c r="I8" s="5">
        <v>44593</v>
      </c>
      <c r="J8" s="6">
        <v>2500</v>
      </c>
      <c r="K8" s="6">
        <v>1250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4" t="s">
        <v>57</v>
      </c>
      <c r="R8" s="4">
        <v>0</v>
      </c>
      <c r="S8" s="4">
        <v>1</v>
      </c>
      <c r="T8" s="4">
        <v>0</v>
      </c>
      <c r="U8" s="4">
        <v>0</v>
      </c>
      <c r="V8" s="6">
        <f>IF(ISERROR(VLOOKUP($S$8,'TAR FIN'!$A$1:$O$86,15,0)),0,VLOOKUP($S$8,'TAR FIN'!$A$1:$O$86,15,0))</f>
        <v>22.9</v>
      </c>
      <c r="W8" s="6">
        <f>IF(ISERROR(VLOOKUP($T$8,'TAR FIN'!$A$1:$O$86,15,0)),0,VLOOKUP($T$8,'TAR FIN'!$A$1:$O$86,15,0))</f>
        <v>0</v>
      </c>
      <c r="X8" s="6">
        <f>IF(ISERROR(VLOOKUP($U$8,'TAR FIN'!$A$1:$O$86,15,0)),0,VLOOKUP($U$8,'TAR FIN'!$A$1:$O$86,15,0))</f>
        <v>0</v>
      </c>
      <c r="Y8" s="6">
        <f ca="1">('TUSD BE'!$AM$6+'TUSD BF'!$AM$6+'TUSD CVA'!$AM$6)*1</f>
        <v>21.733731888847863</v>
      </c>
      <c r="Z8" s="6">
        <f ca="1">('TUSD BE'!$AM$7+'TUSD BF'!$AM$7+'TUSD CVA'!$AM$7)*1</f>
        <v>117.83242038312405</v>
      </c>
      <c r="AA8" s="6"/>
      <c r="AB8" s="6">
        <f t="shared" si="0"/>
        <v>28625</v>
      </c>
      <c r="AC8" s="6">
        <f t="shared" si="1"/>
        <v>0</v>
      </c>
      <c r="AD8" s="6">
        <f t="shared" ca="1" si="2"/>
        <v>27167.164861059828</v>
      </c>
      <c r="AE8" s="6">
        <f t="shared" ca="1" si="3"/>
        <v>0</v>
      </c>
      <c r="AF8" s="4" t="s">
        <v>651</v>
      </c>
      <c r="AH8" s="74" t="s">
        <v>653</v>
      </c>
      <c r="AI8" s="75">
        <f t="shared" si="4"/>
        <v>433675.58410199988</v>
      </c>
      <c r="AJ8" s="75">
        <f t="shared" ca="1" si="5"/>
        <v>463092.59416925116</v>
      </c>
    </row>
    <row r="9" spans="1:36" ht="11.25" customHeight="1" x14ac:dyDescent="0.25">
      <c r="A9" s="4" t="s">
        <v>21</v>
      </c>
      <c r="B9" s="4" t="s">
        <v>35</v>
      </c>
      <c r="C9" s="4" t="s">
        <v>36</v>
      </c>
      <c r="D9" s="4" t="s">
        <v>34</v>
      </c>
      <c r="E9" s="4" t="s">
        <v>25</v>
      </c>
      <c r="F9" s="4" t="s">
        <v>56</v>
      </c>
      <c r="G9" s="4" t="s">
        <v>25</v>
      </c>
      <c r="H9" s="4" t="s">
        <v>38</v>
      </c>
      <c r="I9" s="5">
        <v>44621</v>
      </c>
      <c r="J9" s="6">
        <v>2061</v>
      </c>
      <c r="K9" s="6">
        <v>1030.5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4" t="s">
        <v>57</v>
      </c>
      <c r="R9" s="4">
        <v>0</v>
      </c>
      <c r="S9" s="4">
        <v>1</v>
      </c>
      <c r="T9" s="4">
        <v>0</v>
      </c>
      <c r="U9" s="4">
        <v>0</v>
      </c>
      <c r="V9" s="6">
        <f>IF(ISERROR(VLOOKUP($S$9,'TAR FIN'!$A$1:$O$86,15,0)),0,VLOOKUP($S$9,'TAR FIN'!$A$1:$O$86,15,0))</f>
        <v>22.9</v>
      </c>
      <c r="W9" s="6">
        <f>IF(ISERROR(VLOOKUP($T$9,'TAR FIN'!$A$1:$O$86,15,0)),0,VLOOKUP($T$9,'TAR FIN'!$A$1:$O$86,15,0))</f>
        <v>0</v>
      </c>
      <c r="X9" s="6">
        <f>IF(ISERROR(VLOOKUP($U$9,'TAR FIN'!$A$1:$O$86,15,0)),0,VLOOKUP($U$9,'TAR FIN'!$A$1:$O$86,15,0))</f>
        <v>0</v>
      </c>
      <c r="Y9" s="6">
        <f ca="1">('TUSD BE'!$AM$6+'TUSD BF'!$AM$6+'TUSD CVA'!$AM$6)*1</f>
        <v>21.733731888847863</v>
      </c>
      <c r="Z9" s="6">
        <f ca="1">('TUSD BE'!$AM$7+'TUSD BF'!$AM$7+'TUSD CVA'!$AM$7)*1</f>
        <v>117.83242038312405</v>
      </c>
      <c r="AA9" s="6"/>
      <c r="AB9" s="6">
        <f t="shared" si="0"/>
        <v>23598.449999999997</v>
      </c>
      <c r="AC9" s="6">
        <f t="shared" si="1"/>
        <v>0</v>
      </c>
      <c r="AD9" s="6">
        <f t="shared" ca="1" si="2"/>
        <v>22396.610711457724</v>
      </c>
      <c r="AE9" s="6">
        <f t="shared" ca="1" si="3"/>
        <v>0</v>
      </c>
      <c r="AF9" s="4" t="s">
        <v>651</v>
      </c>
      <c r="AH9" s="74" t="s">
        <v>1287</v>
      </c>
      <c r="AI9" s="75">
        <f t="shared" si="4"/>
        <v>0</v>
      </c>
      <c r="AJ9" s="75">
        <f ca="1">EFEITO!$AU$9 - EFEITO_350!$AU$9</f>
        <v>13489537.680566221</v>
      </c>
    </row>
    <row r="10" spans="1:36" ht="11.25" customHeight="1" x14ac:dyDescent="0.25">
      <c r="A10" s="4" t="s">
        <v>21</v>
      </c>
      <c r="B10" s="4" t="s">
        <v>35</v>
      </c>
      <c r="C10" s="4" t="s">
        <v>36</v>
      </c>
      <c r="D10" s="4" t="s">
        <v>34</v>
      </c>
      <c r="E10" s="4" t="s">
        <v>25</v>
      </c>
      <c r="F10" s="4" t="s">
        <v>56</v>
      </c>
      <c r="G10" s="4" t="s">
        <v>25</v>
      </c>
      <c r="H10" s="4" t="s">
        <v>38</v>
      </c>
      <c r="I10" s="5">
        <v>44652</v>
      </c>
      <c r="J10" s="6">
        <v>2421</v>
      </c>
      <c r="K10" s="6">
        <v>1210.5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4" t="s">
        <v>57</v>
      </c>
      <c r="R10" s="4">
        <v>0</v>
      </c>
      <c r="S10" s="4">
        <v>1</v>
      </c>
      <c r="T10" s="4">
        <v>0</v>
      </c>
      <c r="U10" s="4">
        <v>0</v>
      </c>
      <c r="V10" s="6">
        <f>IF(ISERROR(VLOOKUP($S$10,'TAR FIN'!$A$1:$O$86,15,0)),0,VLOOKUP($S$10,'TAR FIN'!$A$1:$O$86,15,0))</f>
        <v>22.9</v>
      </c>
      <c r="W10" s="6">
        <f>IF(ISERROR(VLOOKUP($T$10,'TAR FIN'!$A$1:$O$86,15,0)),0,VLOOKUP($T$10,'TAR FIN'!$A$1:$O$86,15,0))</f>
        <v>0</v>
      </c>
      <c r="X10" s="6">
        <f>IF(ISERROR(VLOOKUP($U$10,'TAR FIN'!$A$1:$O$86,15,0)),0,VLOOKUP($U$10,'TAR FIN'!$A$1:$O$86,15,0))</f>
        <v>0</v>
      </c>
      <c r="Y10" s="6">
        <f ca="1">('TUSD BE'!$AM$6+'TUSD BF'!$AM$6+'TUSD CVA'!$AM$6)*1</f>
        <v>21.733731888847863</v>
      </c>
      <c r="Z10" s="6">
        <f ca="1">('TUSD BE'!$AM$7+'TUSD BF'!$AM$7+'TUSD CVA'!$AM$7)*1</f>
        <v>117.83242038312405</v>
      </c>
      <c r="AA10" s="6"/>
      <c r="AB10" s="6">
        <f t="shared" si="0"/>
        <v>27720.449999999997</v>
      </c>
      <c r="AC10" s="6">
        <f t="shared" si="1"/>
        <v>0</v>
      </c>
      <c r="AD10" s="6">
        <f t="shared" ca="1" si="2"/>
        <v>26308.682451450339</v>
      </c>
      <c r="AE10" s="6">
        <f t="shared" ca="1" si="3"/>
        <v>0</v>
      </c>
      <c r="AF10" s="4" t="s">
        <v>651</v>
      </c>
    </row>
    <row r="11" spans="1:36" ht="11.25" customHeight="1" x14ac:dyDescent="0.25">
      <c r="A11" s="4" t="s">
        <v>21</v>
      </c>
      <c r="B11" s="4" t="s">
        <v>35</v>
      </c>
      <c r="C11" s="4" t="s">
        <v>36</v>
      </c>
      <c r="D11" s="4" t="s">
        <v>34</v>
      </c>
      <c r="E11" s="4" t="s">
        <v>25</v>
      </c>
      <c r="F11" s="4" t="s">
        <v>56</v>
      </c>
      <c r="G11" s="4" t="s">
        <v>25</v>
      </c>
      <c r="H11" s="4" t="s">
        <v>38</v>
      </c>
      <c r="I11" s="5">
        <v>44682</v>
      </c>
      <c r="J11" s="6">
        <v>2500</v>
      </c>
      <c r="K11" s="6">
        <v>1250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4" t="s">
        <v>57</v>
      </c>
      <c r="R11" s="4">
        <v>0</v>
      </c>
      <c r="S11" s="4">
        <v>1</v>
      </c>
      <c r="T11" s="4">
        <v>0</v>
      </c>
      <c r="U11" s="4">
        <v>0</v>
      </c>
      <c r="V11" s="6">
        <f>IF(ISERROR(VLOOKUP($S$11,'TAR FIN'!$A$1:$O$86,15,0)),0,VLOOKUP($S$11,'TAR FIN'!$A$1:$O$86,15,0))</f>
        <v>22.9</v>
      </c>
      <c r="W11" s="6">
        <f>IF(ISERROR(VLOOKUP($T$11,'TAR FIN'!$A$1:$O$86,15,0)),0,VLOOKUP($T$11,'TAR FIN'!$A$1:$O$86,15,0))</f>
        <v>0</v>
      </c>
      <c r="X11" s="6">
        <f>IF(ISERROR(VLOOKUP($U$11,'TAR FIN'!$A$1:$O$86,15,0)),0,VLOOKUP($U$11,'TAR FIN'!$A$1:$O$86,15,0))</f>
        <v>0</v>
      </c>
      <c r="Y11" s="6">
        <f ca="1">('TUSD BE'!$AM$6+'TUSD BF'!$AM$6+'TUSD CVA'!$AM$6)*1</f>
        <v>21.733731888847863</v>
      </c>
      <c r="Z11" s="6">
        <f ca="1">('TUSD BE'!$AM$7+'TUSD BF'!$AM$7+'TUSD CVA'!$AM$7)*1</f>
        <v>117.83242038312405</v>
      </c>
      <c r="AA11" s="6"/>
      <c r="AB11" s="6">
        <f t="shared" si="0"/>
        <v>28625</v>
      </c>
      <c r="AC11" s="6">
        <f t="shared" si="1"/>
        <v>0</v>
      </c>
      <c r="AD11" s="6">
        <f t="shared" ca="1" si="2"/>
        <v>27167.164861059828</v>
      </c>
      <c r="AE11" s="6">
        <f t="shared" ca="1" si="3"/>
        <v>0</v>
      </c>
      <c r="AF11" s="4" t="s">
        <v>651</v>
      </c>
    </row>
    <row r="12" spans="1:36" ht="11.25" customHeight="1" x14ac:dyDescent="0.25">
      <c r="A12" s="4" t="s">
        <v>21</v>
      </c>
      <c r="B12" s="4" t="s">
        <v>35</v>
      </c>
      <c r="C12" s="4" t="s">
        <v>36</v>
      </c>
      <c r="D12" s="4" t="s">
        <v>34</v>
      </c>
      <c r="E12" s="4" t="s">
        <v>25</v>
      </c>
      <c r="F12" s="4" t="s">
        <v>56</v>
      </c>
      <c r="G12" s="4" t="s">
        <v>25</v>
      </c>
      <c r="H12" s="4" t="s">
        <v>38</v>
      </c>
      <c r="I12" s="5">
        <v>44713</v>
      </c>
      <c r="J12" s="6">
        <v>2500</v>
      </c>
      <c r="K12" s="6">
        <v>1250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4" t="s">
        <v>57</v>
      </c>
      <c r="R12" s="4">
        <v>0</v>
      </c>
      <c r="S12" s="4">
        <v>1</v>
      </c>
      <c r="T12" s="4">
        <v>0</v>
      </c>
      <c r="U12" s="4">
        <v>0</v>
      </c>
      <c r="V12" s="6">
        <f>IF(ISERROR(VLOOKUP($S$12,'TAR FIN'!$A$1:$O$86,15,0)),0,VLOOKUP($S$12,'TAR FIN'!$A$1:$O$86,15,0))</f>
        <v>22.9</v>
      </c>
      <c r="W12" s="6">
        <f>IF(ISERROR(VLOOKUP($T$12,'TAR FIN'!$A$1:$O$86,15,0)),0,VLOOKUP($T$12,'TAR FIN'!$A$1:$O$86,15,0))</f>
        <v>0</v>
      </c>
      <c r="X12" s="6">
        <f>IF(ISERROR(VLOOKUP($U$12,'TAR FIN'!$A$1:$O$86,15,0)),0,VLOOKUP($U$12,'TAR FIN'!$A$1:$O$86,15,0))</f>
        <v>0</v>
      </c>
      <c r="Y12" s="6">
        <f ca="1">('TUSD BE'!$AM$6+'TUSD BF'!$AM$6+'TUSD CVA'!$AM$6)*1</f>
        <v>21.733731888847863</v>
      </c>
      <c r="Z12" s="6">
        <f ca="1">('TUSD BE'!$AM$7+'TUSD BF'!$AM$7+'TUSD CVA'!$AM$7)*1</f>
        <v>117.83242038312405</v>
      </c>
      <c r="AA12" s="6"/>
      <c r="AB12" s="6">
        <f t="shared" si="0"/>
        <v>28625</v>
      </c>
      <c r="AC12" s="6">
        <f t="shared" si="1"/>
        <v>0</v>
      </c>
      <c r="AD12" s="6">
        <f t="shared" ca="1" si="2"/>
        <v>27167.164861059828</v>
      </c>
      <c r="AE12" s="6">
        <f t="shared" ca="1" si="3"/>
        <v>0</v>
      </c>
      <c r="AF12" s="4" t="s">
        <v>651</v>
      </c>
    </row>
    <row r="13" spans="1:36" ht="11.25" customHeight="1" x14ac:dyDescent="0.25">
      <c r="A13" s="4" t="s">
        <v>55</v>
      </c>
      <c r="B13" s="4" t="s">
        <v>35</v>
      </c>
      <c r="C13" s="4" t="s">
        <v>36</v>
      </c>
      <c r="D13" s="4" t="s">
        <v>34</v>
      </c>
      <c r="E13" s="4" t="s">
        <v>25</v>
      </c>
      <c r="F13" s="4" t="s">
        <v>56</v>
      </c>
      <c r="G13" s="4" t="s">
        <v>25</v>
      </c>
      <c r="H13" s="4" t="s">
        <v>38</v>
      </c>
      <c r="I13" s="5">
        <v>44743</v>
      </c>
      <c r="J13" s="6">
        <v>2500</v>
      </c>
      <c r="K13" s="6">
        <v>1250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4" t="s">
        <v>57</v>
      </c>
      <c r="R13" s="4">
        <v>0</v>
      </c>
      <c r="S13" s="4">
        <v>1</v>
      </c>
      <c r="T13" s="4">
        <v>0</v>
      </c>
      <c r="U13" s="4">
        <v>0</v>
      </c>
      <c r="V13" s="6">
        <f>IF(ISERROR(VLOOKUP($S$13,'TAR FIN'!$A$1:$O$86,15,0)),0,VLOOKUP($S$13,'TAR FIN'!$A$1:$O$86,15,0))</f>
        <v>22.9</v>
      </c>
      <c r="W13" s="6">
        <f>IF(ISERROR(VLOOKUP($T$13,'TAR FIN'!$A$1:$O$86,15,0)),0,VLOOKUP($T$13,'TAR FIN'!$A$1:$O$86,15,0))</f>
        <v>0</v>
      </c>
      <c r="X13" s="6">
        <f>IF(ISERROR(VLOOKUP($U$13,'TAR FIN'!$A$1:$O$86,15,0)),0,VLOOKUP($U$13,'TAR FIN'!$A$1:$O$86,15,0))</f>
        <v>0</v>
      </c>
      <c r="Y13" s="6">
        <f ca="1">('TUSD BE'!$AM$6+'TUSD BF'!$AM$6+'TUSD CVA'!$AM$6)*1</f>
        <v>21.733731888847863</v>
      </c>
      <c r="Z13" s="6">
        <f ca="1">('TUSD BE'!$AM$7+'TUSD BF'!$AM$7+'TUSD CVA'!$AM$7)*1</f>
        <v>117.83242038312405</v>
      </c>
      <c r="AA13" s="6"/>
      <c r="AB13" s="6">
        <f t="shared" si="0"/>
        <v>28625</v>
      </c>
      <c r="AC13" s="6">
        <f t="shared" si="1"/>
        <v>0</v>
      </c>
      <c r="AD13" s="6">
        <f t="shared" ca="1" si="2"/>
        <v>27167.164861059828</v>
      </c>
      <c r="AE13" s="6">
        <f t="shared" ca="1" si="3"/>
        <v>0</v>
      </c>
      <c r="AF13" s="4" t="s">
        <v>651</v>
      </c>
    </row>
    <row r="14" spans="1:36" ht="11.25" customHeight="1" x14ac:dyDescent="0.25">
      <c r="A14" s="4" t="s">
        <v>21</v>
      </c>
      <c r="B14" s="4" t="s">
        <v>35</v>
      </c>
      <c r="C14" s="4" t="s">
        <v>36</v>
      </c>
      <c r="D14" s="4" t="s">
        <v>34</v>
      </c>
      <c r="E14" s="4" t="s">
        <v>25</v>
      </c>
      <c r="F14" s="4" t="s">
        <v>56</v>
      </c>
      <c r="G14" s="4" t="s">
        <v>25</v>
      </c>
      <c r="H14" s="4" t="s">
        <v>25</v>
      </c>
      <c r="I14" s="5">
        <v>44409</v>
      </c>
      <c r="J14" s="6">
        <v>0</v>
      </c>
      <c r="K14" s="6">
        <v>0</v>
      </c>
      <c r="L14" s="6">
        <v>1047.816</v>
      </c>
      <c r="M14" s="6">
        <v>1047.816</v>
      </c>
      <c r="N14" s="6">
        <v>0</v>
      </c>
      <c r="O14" s="6">
        <v>0</v>
      </c>
      <c r="P14" s="6">
        <v>1</v>
      </c>
      <c r="Q14" s="4" t="s">
        <v>57</v>
      </c>
      <c r="R14" s="4">
        <v>0</v>
      </c>
      <c r="S14" s="4">
        <v>0</v>
      </c>
      <c r="T14" s="4">
        <v>27</v>
      </c>
      <c r="U14" s="4">
        <v>0</v>
      </c>
      <c r="V14" s="6">
        <f>IF(ISERROR(VLOOKUP($S$14,'TAR FIN'!$A$1:$O$86,15,0)),0,VLOOKUP($S$14,'TAR FIN'!$A$1:$O$86,15,0))</f>
        <v>0</v>
      </c>
      <c r="W14" s="6">
        <f>IF(ISERROR(VLOOKUP($T$14,'TAR FIN'!$A$1:$O$86,15,0)),0,VLOOKUP($T$14,'TAR FIN'!$A$1:$O$86,15,0))</f>
        <v>73.19</v>
      </c>
      <c r="X14" s="6">
        <f>IF(ISERROR(VLOOKUP($U$14,'TAR FIN'!$A$1:$O$86,15,0)),0,VLOOKUP($U$14,'TAR FIN'!$A$1:$O$86,15,0))</f>
        <v>0</v>
      </c>
      <c r="Y14" s="6"/>
      <c r="Z14" s="6">
        <f ca="1">('TUSD BE'!$AM$7+'TUSD BF'!$AM$7+'TUSD CVA'!$AM$7)*1</f>
        <v>117.83242038312405</v>
      </c>
      <c r="AA14" s="6"/>
      <c r="AB14" s="6">
        <f t="shared" si="0"/>
        <v>0</v>
      </c>
      <c r="AC14" s="6">
        <f t="shared" si="1"/>
        <v>0</v>
      </c>
      <c r="AD14" s="6">
        <f t="shared" si="2"/>
        <v>0</v>
      </c>
      <c r="AE14" s="6">
        <f t="shared" ca="1" si="3"/>
        <v>0</v>
      </c>
      <c r="AF14" s="4" t="s">
        <v>651</v>
      </c>
    </row>
    <row r="15" spans="1:36" ht="11.25" customHeight="1" x14ac:dyDescent="0.25">
      <c r="A15" s="4" t="s">
        <v>21</v>
      </c>
      <c r="B15" s="4" t="s">
        <v>35</v>
      </c>
      <c r="C15" s="4" t="s">
        <v>36</v>
      </c>
      <c r="D15" s="4" t="s">
        <v>34</v>
      </c>
      <c r="E15" s="4" t="s">
        <v>25</v>
      </c>
      <c r="F15" s="4" t="s">
        <v>56</v>
      </c>
      <c r="G15" s="4" t="s">
        <v>25</v>
      </c>
      <c r="H15" s="4" t="s">
        <v>25</v>
      </c>
      <c r="I15" s="5">
        <v>44440</v>
      </c>
      <c r="J15" s="6">
        <v>0</v>
      </c>
      <c r="K15" s="6">
        <v>0</v>
      </c>
      <c r="L15" s="6">
        <v>1103.0350000000001</v>
      </c>
      <c r="M15" s="6">
        <v>1103.0350000000001</v>
      </c>
      <c r="N15" s="6">
        <v>0</v>
      </c>
      <c r="O15" s="6">
        <v>0</v>
      </c>
      <c r="P15" s="6">
        <v>1</v>
      </c>
      <c r="Q15" s="4" t="s">
        <v>57</v>
      </c>
      <c r="R15" s="4">
        <v>0</v>
      </c>
      <c r="S15" s="4">
        <v>0</v>
      </c>
      <c r="T15" s="4">
        <v>27</v>
      </c>
      <c r="U15" s="4">
        <v>0</v>
      </c>
      <c r="V15" s="6">
        <f>IF(ISERROR(VLOOKUP($S$15,'TAR FIN'!$A$1:$O$86,15,0)),0,VLOOKUP($S$15,'TAR FIN'!$A$1:$O$86,15,0))</f>
        <v>0</v>
      </c>
      <c r="W15" s="6">
        <f>IF(ISERROR(VLOOKUP($T$15,'TAR FIN'!$A$1:$O$86,15,0)),0,VLOOKUP($T$15,'TAR FIN'!$A$1:$O$86,15,0))</f>
        <v>73.19</v>
      </c>
      <c r="X15" s="6">
        <f>IF(ISERROR(VLOOKUP($U$15,'TAR FIN'!$A$1:$O$86,15,0)),0,VLOOKUP($U$15,'TAR FIN'!$A$1:$O$86,15,0))</f>
        <v>0</v>
      </c>
      <c r="Y15" s="6"/>
      <c r="Z15" s="6">
        <f ca="1">('TUSD BE'!$AM$7+'TUSD BF'!$AM$7+'TUSD CVA'!$AM$7)*1</f>
        <v>117.83242038312405</v>
      </c>
      <c r="AA15" s="6"/>
      <c r="AB15" s="6">
        <f t="shared" si="0"/>
        <v>0</v>
      </c>
      <c r="AC15" s="6">
        <f t="shared" si="1"/>
        <v>0</v>
      </c>
      <c r="AD15" s="6">
        <f t="shared" si="2"/>
        <v>0</v>
      </c>
      <c r="AE15" s="6">
        <f t="shared" ca="1" si="3"/>
        <v>0</v>
      </c>
      <c r="AF15" s="4" t="s">
        <v>651</v>
      </c>
    </row>
    <row r="16" spans="1:36" ht="11.25" customHeight="1" x14ac:dyDescent="0.25">
      <c r="A16" s="4" t="s">
        <v>21</v>
      </c>
      <c r="B16" s="4" t="s">
        <v>35</v>
      </c>
      <c r="C16" s="4" t="s">
        <v>36</v>
      </c>
      <c r="D16" s="4" t="s">
        <v>34</v>
      </c>
      <c r="E16" s="4" t="s">
        <v>25</v>
      </c>
      <c r="F16" s="4" t="s">
        <v>56</v>
      </c>
      <c r="G16" s="4" t="s">
        <v>25</v>
      </c>
      <c r="H16" s="4" t="s">
        <v>25</v>
      </c>
      <c r="I16" s="5">
        <v>44470</v>
      </c>
      <c r="J16" s="6">
        <v>0</v>
      </c>
      <c r="K16" s="6">
        <v>0</v>
      </c>
      <c r="L16" s="6">
        <v>833.274</v>
      </c>
      <c r="M16" s="6">
        <v>833.274</v>
      </c>
      <c r="N16" s="6">
        <v>0</v>
      </c>
      <c r="O16" s="6">
        <v>0</v>
      </c>
      <c r="P16" s="6">
        <v>1</v>
      </c>
      <c r="Q16" s="4" t="s">
        <v>57</v>
      </c>
      <c r="R16" s="4">
        <v>0</v>
      </c>
      <c r="S16" s="4">
        <v>0</v>
      </c>
      <c r="T16" s="4">
        <v>27</v>
      </c>
      <c r="U16" s="4">
        <v>0</v>
      </c>
      <c r="V16" s="6">
        <f>IF(ISERROR(VLOOKUP($S$16,'TAR FIN'!$A$1:$O$86,15,0)),0,VLOOKUP($S$16,'TAR FIN'!$A$1:$O$86,15,0))</f>
        <v>0</v>
      </c>
      <c r="W16" s="6">
        <f>IF(ISERROR(VLOOKUP($T$16,'TAR FIN'!$A$1:$O$86,15,0)),0,VLOOKUP($T$16,'TAR FIN'!$A$1:$O$86,15,0))</f>
        <v>73.19</v>
      </c>
      <c r="X16" s="6">
        <f>IF(ISERROR(VLOOKUP($U$16,'TAR FIN'!$A$1:$O$86,15,0)),0,VLOOKUP($U$16,'TAR FIN'!$A$1:$O$86,15,0))</f>
        <v>0</v>
      </c>
      <c r="Y16" s="6"/>
      <c r="Z16" s="6">
        <f ca="1">('TUSD BE'!$AM$7+'TUSD BF'!$AM$7+'TUSD CVA'!$AM$7)*1</f>
        <v>117.83242038312405</v>
      </c>
      <c r="AA16" s="6"/>
      <c r="AB16" s="6">
        <f t="shared" si="0"/>
        <v>0</v>
      </c>
      <c r="AC16" s="6">
        <f t="shared" si="1"/>
        <v>0</v>
      </c>
      <c r="AD16" s="6">
        <f t="shared" si="2"/>
        <v>0</v>
      </c>
      <c r="AE16" s="6">
        <f t="shared" ca="1" si="3"/>
        <v>0</v>
      </c>
      <c r="AF16" s="4" t="s">
        <v>651</v>
      </c>
    </row>
    <row r="17" spans="1:32" ht="11.25" customHeight="1" x14ac:dyDescent="0.25">
      <c r="A17" s="4" t="s">
        <v>21</v>
      </c>
      <c r="B17" s="4" t="s">
        <v>35</v>
      </c>
      <c r="C17" s="4" t="s">
        <v>36</v>
      </c>
      <c r="D17" s="4" t="s">
        <v>34</v>
      </c>
      <c r="E17" s="4" t="s">
        <v>25</v>
      </c>
      <c r="F17" s="4" t="s">
        <v>56</v>
      </c>
      <c r="G17" s="4" t="s">
        <v>25</v>
      </c>
      <c r="H17" s="4" t="s">
        <v>25</v>
      </c>
      <c r="I17" s="5">
        <v>44501</v>
      </c>
      <c r="J17" s="6">
        <v>0</v>
      </c>
      <c r="K17" s="6">
        <v>0</v>
      </c>
      <c r="L17" s="6">
        <v>1142.8879999999999</v>
      </c>
      <c r="M17" s="6">
        <v>1142.8879999999999</v>
      </c>
      <c r="N17" s="6">
        <v>0</v>
      </c>
      <c r="O17" s="6">
        <v>0</v>
      </c>
      <c r="P17" s="6">
        <v>1</v>
      </c>
      <c r="Q17" s="4" t="s">
        <v>57</v>
      </c>
      <c r="R17" s="4">
        <v>0</v>
      </c>
      <c r="S17" s="4">
        <v>0</v>
      </c>
      <c r="T17" s="4">
        <v>27</v>
      </c>
      <c r="U17" s="4">
        <v>0</v>
      </c>
      <c r="V17" s="6">
        <f>IF(ISERROR(VLOOKUP($S$17,'TAR FIN'!$A$1:$O$86,15,0)),0,VLOOKUP($S$17,'TAR FIN'!$A$1:$O$86,15,0))</f>
        <v>0</v>
      </c>
      <c r="W17" s="6">
        <f>IF(ISERROR(VLOOKUP($T$17,'TAR FIN'!$A$1:$O$86,15,0)),0,VLOOKUP($T$17,'TAR FIN'!$A$1:$O$86,15,0))</f>
        <v>73.19</v>
      </c>
      <c r="X17" s="6">
        <f>IF(ISERROR(VLOOKUP($U$17,'TAR FIN'!$A$1:$O$86,15,0)),0,VLOOKUP($U$17,'TAR FIN'!$A$1:$O$86,15,0))</f>
        <v>0</v>
      </c>
      <c r="Y17" s="6"/>
      <c r="Z17" s="6">
        <f ca="1">('TUSD BE'!$AM$7+'TUSD BF'!$AM$7+'TUSD CVA'!$AM$7)*1</f>
        <v>117.83242038312405</v>
      </c>
      <c r="AA17" s="6"/>
      <c r="AB17" s="6">
        <f t="shared" si="0"/>
        <v>0</v>
      </c>
      <c r="AC17" s="6">
        <f t="shared" si="1"/>
        <v>0</v>
      </c>
      <c r="AD17" s="6">
        <f t="shared" si="2"/>
        <v>0</v>
      </c>
      <c r="AE17" s="6">
        <f t="shared" ca="1" si="3"/>
        <v>0</v>
      </c>
      <c r="AF17" s="4" t="s">
        <v>651</v>
      </c>
    </row>
    <row r="18" spans="1:32" ht="11.25" customHeight="1" x14ac:dyDescent="0.25">
      <c r="A18" s="4" t="s">
        <v>21</v>
      </c>
      <c r="B18" s="4" t="s">
        <v>35</v>
      </c>
      <c r="C18" s="4" t="s">
        <v>36</v>
      </c>
      <c r="D18" s="4" t="s">
        <v>34</v>
      </c>
      <c r="E18" s="4" t="s">
        <v>25</v>
      </c>
      <c r="F18" s="4" t="s">
        <v>56</v>
      </c>
      <c r="G18" s="4" t="s">
        <v>25</v>
      </c>
      <c r="H18" s="4" t="s">
        <v>25</v>
      </c>
      <c r="I18" s="5">
        <v>44531</v>
      </c>
      <c r="J18" s="6">
        <v>0</v>
      </c>
      <c r="K18" s="6">
        <v>0</v>
      </c>
      <c r="L18" s="6">
        <v>967.81600000000003</v>
      </c>
      <c r="M18" s="6">
        <v>967.81600000000003</v>
      </c>
      <c r="N18" s="6">
        <v>0</v>
      </c>
      <c r="O18" s="6">
        <v>0</v>
      </c>
      <c r="P18" s="6">
        <v>1</v>
      </c>
      <c r="Q18" s="4" t="s">
        <v>57</v>
      </c>
      <c r="R18" s="4">
        <v>0</v>
      </c>
      <c r="S18" s="4">
        <v>0</v>
      </c>
      <c r="T18" s="4">
        <v>27</v>
      </c>
      <c r="U18" s="4">
        <v>0</v>
      </c>
      <c r="V18" s="6">
        <f>IF(ISERROR(VLOOKUP($S$18,'TAR FIN'!$A$1:$O$86,15,0)),0,VLOOKUP($S$18,'TAR FIN'!$A$1:$O$86,15,0))</f>
        <v>0</v>
      </c>
      <c r="W18" s="6">
        <f>IF(ISERROR(VLOOKUP($T$18,'TAR FIN'!$A$1:$O$86,15,0)),0,VLOOKUP($T$18,'TAR FIN'!$A$1:$O$86,15,0))</f>
        <v>73.19</v>
      </c>
      <c r="X18" s="6">
        <f>IF(ISERROR(VLOOKUP($U$18,'TAR FIN'!$A$1:$O$86,15,0)),0,VLOOKUP($U$18,'TAR FIN'!$A$1:$O$86,15,0))</f>
        <v>0</v>
      </c>
      <c r="Y18" s="6"/>
      <c r="Z18" s="6">
        <f ca="1">('TUSD BE'!$AM$7+'TUSD BF'!$AM$7+'TUSD CVA'!$AM$7)*1</f>
        <v>117.83242038312405</v>
      </c>
      <c r="AA18" s="6"/>
      <c r="AB18" s="6">
        <f t="shared" si="0"/>
        <v>0</v>
      </c>
      <c r="AC18" s="6">
        <f t="shared" si="1"/>
        <v>0</v>
      </c>
      <c r="AD18" s="6">
        <f t="shared" si="2"/>
        <v>0</v>
      </c>
      <c r="AE18" s="6">
        <f t="shared" ca="1" si="3"/>
        <v>0</v>
      </c>
      <c r="AF18" s="4" t="s">
        <v>651</v>
      </c>
    </row>
    <row r="19" spans="1:32" ht="11.25" customHeight="1" x14ac:dyDescent="0.25">
      <c r="A19" s="4" t="s">
        <v>21</v>
      </c>
      <c r="B19" s="4" t="s">
        <v>35</v>
      </c>
      <c r="C19" s="4" t="s">
        <v>36</v>
      </c>
      <c r="D19" s="4" t="s">
        <v>34</v>
      </c>
      <c r="E19" s="4" t="s">
        <v>25</v>
      </c>
      <c r="F19" s="4" t="s">
        <v>56</v>
      </c>
      <c r="G19" s="4" t="s">
        <v>25</v>
      </c>
      <c r="H19" s="4" t="s">
        <v>25</v>
      </c>
      <c r="I19" s="5">
        <v>44562</v>
      </c>
      <c r="J19" s="6">
        <v>0</v>
      </c>
      <c r="K19" s="6">
        <v>0</v>
      </c>
      <c r="L19" s="6">
        <v>829.04499999999996</v>
      </c>
      <c r="M19" s="6">
        <v>829.04499999999996</v>
      </c>
      <c r="N19" s="6">
        <v>0</v>
      </c>
      <c r="O19" s="6">
        <v>0</v>
      </c>
      <c r="P19" s="6">
        <v>1</v>
      </c>
      <c r="Q19" s="4" t="s">
        <v>57</v>
      </c>
      <c r="R19" s="4">
        <v>0</v>
      </c>
      <c r="S19" s="4">
        <v>0</v>
      </c>
      <c r="T19" s="4">
        <v>27</v>
      </c>
      <c r="U19" s="4">
        <v>0</v>
      </c>
      <c r="V19" s="6">
        <f>IF(ISERROR(VLOOKUP($S$19,'TAR FIN'!$A$1:$O$86,15,0)),0,VLOOKUP($S$19,'TAR FIN'!$A$1:$O$86,15,0))</f>
        <v>0</v>
      </c>
      <c r="W19" s="6">
        <f>IF(ISERROR(VLOOKUP($T$19,'TAR FIN'!$A$1:$O$86,15,0)),0,VLOOKUP($T$19,'TAR FIN'!$A$1:$O$86,15,0))</f>
        <v>73.19</v>
      </c>
      <c r="X19" s="6">
        <f>IF(ISERROR(VLOOKUP($U$19,'TAR FIN'!$A$1:$O$86,15,0)),0,VLOOKUP($U$19,'TAR FIN'!$A$1:$O$86,15,0))</f>
        <v>0</v>
      </c>
      <c r="Y19" s="6"/>
      <c r="Z19" s="6">
        <f ca="1">('TUSD BE'!$AM$7+'TUSD BF'!$AM$7+'TUSD CVA'!$AM$7)*1</f>
        <v>117.83242038312405</v>
      </c>
      <c r="AA19" s="6"/>
      <c r="AB19" s="6">
        <f t="shared" si="0"/>
        <v>0</v>
      </c>
      <c r="AC19" s="6">
        <f t="shared" si="1"/>
        <v>0</v>
      </c>
      <c r="AD19" s="6">
        <f t="shared" si="2"/>
        <v>0</v>
      </c>
      <c r="AE19" s="6">
        <f t="shared" ca="1" si="3"/>
        <v>0</v>
      </c>
      <c r="AF19" s="4" t="s">
        <v>651</v>
      </c>
    </row>
    <row r="20" spans="1:32" ht="11.25" customHeight="1" x14ac:dyDescent="0.25">
      <c r="A20" s="4" t="s">
        <v>21</v>
      </c>
      <c r="B20" s="4" t="s">
        <v>35</v>
      </c>
      <c r="C20" s="4" t="s">
        <v>36</v>
      </c>
      <c r="D20" s="4" t="s">
        <v>34</v>
      </c>
      <c r="E20" s="4" t="s">
        <v>25</v>
      </c>
      <c r="F20" s="4" t="s">
        <v>56</v>
      </c>
      <c r="G20" s="4" t="s">
        <v>25</v>
      </c>
      <c r="H20" s="4" t="s">
        <v>25</v>
      </c>
      <c r="I20" s="5">
        <v>44593</v>
      </c>
      <c r="J20" s="6">
        <v>0</v>
      </c>
      <c r="K20" s="6">
        <v>0</v>
      </c>
      <c r="L20" s="6">
        <v>770.24199999999996</v>
      </c>
      <c r="M20" s="6">
        <v>770.24199999999996</v>
      </c>
      <c r="N20" s="6">
        <v>0</v>
      </c>
      <c r="O20" s="6">
        <v>0</v>
      </c>
      <c r="P20" s="6">
        <v>1</v>
      </c>
      <c r="Q20" s="4" t="s">
        <v>57</v>
      </c>
      <c r="R20" s="4">
        <v>0</v>
      </c>
      <c r="S20" s="4">
        <v>0</v>
      </c>
      <c r="T20" s="4">
        <v>27</v>
      </c>
      <c r="U20" s="4">
        <v>0</v>
      </c>
      <c r="V20" s="6">
        <f>IF(ISERROR(VLOOKUP($S$20,'TAR FIN'!$A$1:$O$86,15,0)),0,VLOOKUP($S$20,'TAR FIN'!$A$1:$O$86,15,0))</f>
        <v>0</v>
      </c>
      <c r="W20" s="6">
        <f>IF(ISERROR(VLOOKUP($T$20,'TAR FIN'!$A$1:$O$86,15,0)),0,VLOOKUP($T$20,'TAR FIN'!$A$1:$O$86,15,0))</f>
        <v>73.19</v>
      </c>
      <c r="X20" s="6">
        <f>IF(ISERROR(VLOOKUP($U$20,'TAR FIN'!$A$1:$O$86,15,0)),0,VLOOKUP($U$20,'TAR FIN'!$A$1:$O$86,15,0))</f>
        <v>0</v>
      </c>
      <c r="Y20" s="6"/>
      <c r="Z20" s="6">
        <f ca="1">('TUSD BE'!$AM$7+'TUSD BF'!$AM$7+'TUSD CVA'!$AM$7)*1</f>
        <v>117.83242038312405</v>
      </c>
      <c r="AA20" s="6"/>
      <c r="AB20" s="6">
        <f t="shared" si="0"/>
        <v>0</v>
      </c>
      <c r="AC20" s="6">
        <f t="shared" si="1"/>
        <v>0</v>
      </c>
      <c r="AD20" s="6">
        <f t="shared" si="2"/>
        <v>0</v>
      </c>
      <c r="AE20" s="6">
        <f t="shared" ca="1" si="3"/>
        <v>0</v>
      </c>
      <c r="AF20" s="4" t="s">
        <v>651</v>
      </c>
    </row>
    <row r="21" spans="1:32" ht="11.25" customHeight="1" x14ac:dyDescent="0.25">
      <c r="A21" s="4" t="s">
        <v>21</v>
      </c>
      <c r="B21" s="4" t="s">
        <v>35</v>
      </c>
      <c r="C21" s="4" t="s">
        <v>36</v>
      </c>
      <c r="D21" s="4" t="s">
        <v>34</v>
      </c>
      <c r="E21" s="4" t="s">
        <v>25</v>
      </c>
      <c r="F21" s="4" t="s">
        <v>56</v>
      </c>
      <c r="G21" s="4" t="s">
        <v>25</v>
      </c>
      <c r="H21" s="4" t="s">
        <v>25</v>
      </c>
      <c r="I21" s="5">
        <v>44621</v>
      </c>
      <c r="J21" s="6">
        <v>0</v>
      </c>
      <c r="K21" s="6">
        <v>0</v>
      </c>
      <c r="L21" s="6">
        <v>790.34799999999996</v>
      </c>
      <c r="M21" s="6">
        <v>790.34799999999996</v>
      </c>
      <c r="N21" s="6">
        <v>0</v>
      </c>
      <c r="O21" s="6">
        <v>0</v>
      </c>
      <c r="P21" s="6">
        <v>1</v>
      </c>
      <c r="Q21" s="4" t="s">
        <v>57</v>
      </c>
      <c r="R21" s="4">
        <v>0</v>
      </c>
      <c r="S21" s="4">
        <v>0</v>
      </c>
      <c r="T21" s="4">
        <v>27</v>
      </c>
      <c r="U21" s="4">
        <v>0</v>
      </c>
      <c r="V21" s="6">
        <f>IF(ISERROR(VLOOKUP($S$21,'TAR FIN'!$A$1:$O$86,15,0)),0,VLOOKUP($S$21,'TAR FIN'!$A$1:$O$86,15,0))</f>
        <v>0</v>
      </c>
      <c r="W21" s="6">
        <f>IF(ISERROR(VLOOKUP($T$21,'TAR FIN'!$A$1:$O$86,15,0)),0,VLOOKUP($T$21,'TAR FIN'!$A$1:$O$86,15,0))</f>
        <v>73.19</v>
      </c>
      <c r="X21" s="6">
        <f>IF(ISERROR(VLOOKUP($U$21,'TAR FIN'!$A$1:$O$86,15,0)),0,VLOOKUP($U$21,'TAR FIN'!$A$1:$O$86,15,0))</f>
        <v>0</v>
      </c>
      <c r="Y21" s="6"/>
      <c r="Z21" s="6">
        <f ca="1">('TUSD BE'!$AM$7+'TUSD BF'!$AM$7+'TUSD CVA'!$AM$7)*1</f>
        <v>117.83242038312405</v>
      </c>
      <c r="AA21" s="6"/>
      <c r="AB21" s="6">
        <f t="shared" si="0"/>
        <v>0</v>
      </c>
      <c r="AC21" s="6">
        <f t="shared" si="1"/>
        <v>0</v>
      </c>
      <c r="AD21" s="6">
        <f t="shared" si="2"/>
        <v>0</v>
      </c>
      <c r="AE21" s="6">
        <f t="shared" ca="1" si="3"/>
        <v>0</v>
      </c>
      <c r="AF21" s="4" t="s">
        <v>651</v>
      </c>
    </row>
    <row r="22" spans="1:32" ht="11.25" customHeight="1" x14ac:dyDescent="0.25">
      <c r="A22" s="4" t="s">
        <v>21</v>
      </c>
      <c r="B22" s="4" t="s">
        <v>35</v>
      </c>
      <c r="C22" s="4" t="s">
        <v>36</v>
      </c>
      <c r="D22" s="4" t="s">
        <v>34</v>
      </c>
      <c r="E22" s="4" t="s">
        <v>25</v>
      </c>
      <c r="F22" s="4" t="s">
        <v>56</v>
      </c>
      <c r="G22" s="4" t="s">
        <v>25</v>
      </c>
      <c r="H22" s="4" t="s">
        <v>25</v>
      </c>
      <c r="I22" s="5">
        <v>44652</v>
      </c>
      <c r="J22" s="6">
        <v>0</v>
      </c>
      <c r="K22" s="6">
        <v>0</v>
      </c>
      <c r="L22" s="6">
        <v>945.61</v>
      </c>
      <c r="M22" s="6">
        <v>945.61</v>
      </c>
      <c r="N22" s="6">
        <v>0</v>
      </c>
      <c r="O22" s="6">
        <v>0</v>
      </c>
      <c r="P22" s="6">
        <v>1</v>
      </c>
      <c r="Q22" s="4" t="s">
        <v>57</v>
      </c>
      <c r="R22" s="4">
        <v>0</v>
      </c>
      <c r="S22" s="4">
        <v>0</v>
      </c>
      <c r="T22" s="4">
        <v>27</v>
      </c>
      <c r="U22" s="4">
        <v>0</v>
      </c>
      <c r="V22" s="6">
        <f>IF(ISERROR(VLOOKUP($S$22,'TAR FIN'!$A$1:$O$86,15,0)),0,VLOOKUP($S$22,'TAR FIN'!$A$1:$O$86,15,0))</f>
        <v>0</v>
      </c>
      <c r="W22" s="6">
        <f>IF(ISERROR(VLOOKUP($T$22,'TAR FIN'!$A$1:$O$86,15,0)),0,VLOOKUP($T$22,'TAR FIN'!$A$1:$O$86,15,0))</f>
        <v>73.19</v>
      </c>
      <c r="X22" s="6">
        <f>IF(ISERROR(VLOOKUP($U$22,'TAR FIN'!$A$1:$O$86,15,0)),0,VLOOKUP($U$22,'TAR FIN'!$A$1:$O$86,15,0))</f>
        <v>0</v>
      </c>
      <c r="Y22" s="6"/>
      <c r="Z22" s="6">
        <f ca="1">('TUSD BE'!$AM$7+'TUSD BF'!$AM$7+'TUSD CVA'!$AM$7)*1</f>
        <v>117.83242038312405</v>
      </c>
      <c r="AA22" s="6"/>
      <c r="AB22" s="6">
        <f t="shared" si="0"/>
        <v>0</v>
      </c>
      <c r="AC22" s="6">
        <f t="shared" si="1"/>
        <v>0</v>
      </c>
      <c r="AD22" s="6">
        <f t="shared" si="2"/>
        <v>0</v>
      </c>
      <c r="AE22" s="6">
        <f t="shared" ca="1" si="3"/>
        <v>0</v>
      </c>
      <c r="AF22" s="4" t="s">
        <v>651</v>
      </c>
    </row>
    <row r="23" spans="1:32" ht="11.25" customHeight="1" x14ac:dyDescent="0.25">
      <c r="A23" s="4" t="s">
        <v>21</v>
      </c>
      <c r="B23" s="4" t="s">
        <v>35</v>
      </c>
      <c r="C23" s="4" t="s">
        <v>36</v>
      </c>
      <c r="D23" s="4" t="s">
        <v>34</v>
      </c>
      <c r="E23" s="4" t="s">
        <v>25</v>
      </c>
      <c r="F23" s="4" t="s">
        <v>56</v>
      </c>
      <c r="G23" s="4" t="s">
        <v>25</v>
      </c>
      <c r="H23" s="4" t="s">
        <v>25</v>
      </c>
      <c r="I23" s="5">
        <v>44682</v>
      </c>
      <c r="J23" s="6">
        <v>0</v>
      </c>
      <c r="K23" s="6">
        <v>0</v>
      </c>
      <c r="L23" s="6">
        <v>1069.9860000000001</v>
      </c>
      <c r="M23" s="6">
        <v>1069.9860000000001</v>
      </c>
      <c r="N23" s="6">
        <v>0</v>
      </c>
      <c r="O23" s="6">
        <v>0</v>
      </c>
      <c r="P23" s="6">
        <v>1</v>
      </c>
      <c r="Q23" s="4" t="s">
        <v>57</v>
      </c>
      <c r="R23" s="4">
        <v>0</v>
      </c>
      <c r="S23" s="4">
        <v>0</v>
      </c>
      <c r="T23" s="4">
        <v>27</v>
      </c>
      <c r="U23" s="4">
        <v>0</v>
      </c>
      <c r="V23" s="6">
        <f>IF(ISERROR(VLOOKUP($S$23,'TAR FIN'!$A$1:$O$86,15,0)),0,VLOOKUP($S$23,'TAR FIN'!$A$1:$O$86,15,0))</f>
        <v>0</v>
      </c>
      <c r="W23" s="6">
        <f>IF(ISERROR(VLOOKUP($T$23,'TAR FIN'!$A$1:$O$86,15,0)),0,VLOOKUP($T$23,'TAR FIN'!$A$1:$O$86,15,0))</f>
        <v>73.19</v>
      </c>
      <c r="X23" s="6">
        <f>IF(ISERROR(VLOOKUP($U$23,'TAR FIN'!$A$1:$O$86,15,0)),0,VLOOKUP($U$23,'TAR FIN'!$A$1:$O$86,15,0))</f>
        <v>0</v>
      </c>
      <c r="Y23" s="6"/>
      <c r="Z23" s="6">
        <f ca="1">('TUSD BE'!$AM$7+'TUSD BF'!$AM$7+'TUSD CVA'!$AM$7)*1</f>
        <v>117.83242038312405</v>
      </c>
      <c r="AA23" s="6"/>
      <c r="AB23" s="6">
        <f t="shared" si="0"/>
        <v>0</v>
      </c>
      <c r="AC23" s="6">
        <f t="shared" si="1"/>
        <v>0</v>
      </c>
      <c r="AD23" s="6">
        <f t="shared" si="2"/>
        <v>0</v>
      </c>
      <c r="AE23" s="6">
        <f t="shared" ca="1" si="3"/>
        <v>0</v>
      </c>
      <c r="AF23" s="4" t="s">
        <v>651</v>
      </c>
    </row>
    <row r="24" spans="1:32" ht="11.25" customHeight="1" x14ac:dyDescent="0.25">
      <c r="A24" s="4" t="s">
        <v>21</v>
      </c>
      <c r="B24" s="4" t="s">
        <v>35</v>
      </c>
      <c r="C24" s="4" t="s">
        <v>36</v>
      </c>
      <c r="D24" s="4" t="s">
        <v>34</v>
      </c>
      <c r="E24" s="4" t="s">
        <v>25</v>
      </c>
      <c r="F24" s="4" t="s">
        <v>56</v>
      </c>
      <c r="G24" s="4" t="s">
        <v>25</v>
      </c>
      <c r="H24" s="4" t="s">
        <v>25</v>
      </c>
      <c r="I24" s="5">
        <v>44713</v>
      </c>
      <c r="J24" s="6">
        <v>0</v>
      </c>
      <c r="K24" s="6">
        <v>0</v>
      </c>
      <c r="L24" s="6">
        <v>838.41700000000003</v>
      </c>
      <c r="M24" s="6">
        <v>838.41700000000003</v>
      </c>
      <c r="N24" s="6">
        <v>0</v>
      </c>
      <c r="O24" s="6">
        <v>0</v>
      </c>
      <c r="P24" s="6">
        <v>1</v>
      </c>
      <c r="Q24" s="4" t="s">
        <v>57</v>
      </c>
      <c r="R24" s="4">
        <v>0</v>
      </c>
      <c r="S24" s="4">
        <v>0</v>
      </c>
      <c r="T24" s="4">
        <v>27</v>
      </c>
      <c r="U24" s="4">
        <v>0</v>
      </c>
      <c r="V24" s="6">
        <f>IF(ISERROR(VLOOKUP($S$24,'TAR FIN'!$A$1:$O$86,15,0)),0,VLOOKUP($S$24,'TAR FIN'!$A$1:$O$86,15,0))</f>
        <v>0</v>
      </c>
      <c r="W24" s="6">
        <f>IF(ISERROR(VLOOKUP($T$24,'TAR FIN'!$A$1:$O$86,15,0)),0,VLOOKUP($T$24,'TAR FIN'!$A$1:$O$86,15,0))</f>
        <v>73.19</v>
      </c>
      <c r="X24" s="6">
        <f>IF(ISERROR(VLOOKUP($U$24,'TAR FIN'!$A$1:$O$86,15,0)),0,VLOOKUP($U$24,'TAR FIN'!$A$1:$O$86,15,0))</f>
        <v>0</v>
      </c>
      <c r="Y24" s="6"/>
      <c r="Z24" s="6">
        <f ca="1">('TUSD BE'!$AM$7+'TUSD BF'!$AM$7+'TUSD CVA'!$AM$7)*1</f>
        <v>117.83242038312405</v>
      </c>
      <c r="AA24" s="6"/>
      <c r="AB24" s="6">
        <f t="shared" si="0"/>
        <v>0</v>
      </c>
      <c r="AC24" s="6">
        <f t="shared" si="1"/>
        <v>0</v>
      </c>
      <c r="AD24" s="6">
        <f t="shared" si="2"/>
        <v>0</v>
      </c>
      <c r="AE24" s="6">
        <f t="shared" ca="1" si="3"/>
        <v>0</v>
      </c>
      <c r="AF24" s="4" t="s">
        <v>651</v>
      </c>
    </row>
    <row r="25" spans="1:32" ht="11.25" customHeight="1" x14ac:dyDescent="0.25">
      <c r="A25" s="4" t="s">
        <v>55</v>
      </c>
      <c r="B25" s="4" t="s">
        <v>35</v>
      </c>
      <c r="C25" s="4" t="s">
        <v>36</v>
      </c>
      <c r="D25" s="4" t="s">
        <v>34</v>
      </c>
      <c r="E25" s="4" t="s">
        <v>25</v>
      </c>
      <c r="F25" s="4" t="s">
        <v>56</v>
      </c>
      <c r="G25" s="4" t="s">
        <v>25</v>
      </c>
      <c r="H25" s="4" t="s">
        <v>25</v>
      </c>
      <c r="I25" s="5">
        <v>44743</v>
      </c>
      <c r="J25" s="6">
        <v>0</v>
      </c>
      <c r="K25" s="6">
        <v>0</v>
      </c>
      <c r="L25" s="6">
        <v>838.41700000000003</v>
      </c>
      <c r="M25" s="6">
        <v>838.41700000000003</v>
      </c>
      <c r="N25" s="6">
        <v>0</v>
      </c>
      <c r="O25" s="6">
        <v>0</v>
      </c>
      <c r="P25" s="6">
        <v>1</v>
      </c>
      <c r="Q25" s="4" t="s">
        <v>57</v>
      </c>
      <c r="R25" s="4">
        <v>0</v>
      </c>
      <c r="S25" s="4">
        <v>0</v>
      </c>
      <c r="T25" s="4">
        <v>27</v>
      </c>
      <c r="U25" s="4">
        <v>0</v>
      </c>
      <c r="V25" s="6">
        <f>IF(ISERROR(VLOOKUP($S$25,'TAR FIN'!$A$1:$O$86,15,0)),0,VLOOKUP($S$25,'TAR FIN'!$A$1:$O$86,15,0))</f>
        <v>0</v>
      </c>
      <c r="W25" s="6">
        <f>IF(ISERROR(VLOOKUP($T$25,'TAR FIN'!$A$1:$O$86,15,0)),0,VLOOKUP($T$25,'TAR FIN'!$A$1:$O$86,15,0))</f>
        <v>73.19</v>
      </c>
      <c r="X25" s="6">
        <f>IF(ISERROR(VLOOKUP($U$25,'TAR FIN'!$A$1:$O$86,15,0)),0,VLOOKUP($U$25,'TAR FIN'!$A$1:$O$86,15,0))</f>
        <v>0</v>
      </c>
      <c r="Y25" s="6"/>
      <c r="Z25" s="6">
        <f ca="1">('TUSD BE'!$AM$7+'TUSD BF'!$AM$7+'TUSD CVA'!$AM$7)*1</f>
        <v>117.83242038312405</v>
      </c>
      <c r="AA25" s="6"/>
      <c r="AB25" s="6">
        <f t="shared" si="0"/>
        <v>0</v>
      </c>
      <c r="AC25" s="6">
        <f t="shared" si="1"/>
        <v>0</v>
      </c>
      <c r="AD25" s="6">
        <f t="shared" si="2"/>
        <v>0</v>
      </c>
      <c r="AE25" s="6">
        <f t="shared" ca="1" si="3"/>
        <v>0</v>
      </c>
      <c r="AF25" s="4" t="s">
        <v>651</v>
      </c>
    </row>
    <row r="26" spans="1:32" ht="11.25" customHeight="1" x14ac:dyDescent="0.25">
      <c r="A26" s="4" t="s">
        <v>21</v>
      </c>
      <c r="B26" s="4" t="s">
        <v>35</v>
      </c>
      <c r="C26" s="4" t="s">
        <v>36</v>
      </c>
      <c r="D26" s="4" t="s">
        <v>34</v>
      </c>
      <c r="E26" s="4" t="s">
        <v>25</v>
      </c>
      <c r="F26" s="4" t="s">
        <v>56</v>
      </c>
      <c r="G26" s="4" t="s">
        <v>25</v>
      </c>
      <c r="H26" s="4" t="s">
        <v>37</v>
      </c>
      <c r="I26" s="5">
        <v>44409</v>
      </c>
      <c r="J26" s="6">
        <v>121</v>
      </c>
      <c r="K26" s="6">
        <v>60.5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4" t="s">
        <v>57</v>
      </c>
      <c r="R26" s="4">
        <v>0</v>
      </c>
      <c r="S26" s="4">
        <v>7</v>
      </c>
      <c r="T26" s="4">
        <v>0</v>
      </c>
      <c r="U26" s="4">
        <v>0</v>
      </c>
      <c r="V26" s="6">
        <f>IF(ISERROR(VLOOKUP($S$26,'TAR FIN'!$A$1:$O$86,15,0)),0,VLOOKUP($S$26,'TAR FIN'!$A$1:$O$86,15,0))</f>
        <v>59.47</v>
      </c>
      <c r="W26" s="6">
        <f>IF(ISERROR(VLOOKUP($T$26,'TAR FIN'!$A$1:$O$86,15,0)),0,VLOOKUP($T$26,'TAR FIN'!$A$1:$O$86,15,0))</f>
        <v>0</v>
      </c>
      <c r="X26" s="6">
        <f>IF(ISERROR(VLOOKUP($U$26,'TAR FIN'!$A$1:$O$86,15,0)),0,VLOOKUP($U$26,'TAR FIN'!$A$1:$O$86,15,0))</f>
        <v>0</v>
      </c>
      <c r="Y26" s="6">
        <f ca="1">('TUSD BE'!$AM$5+'TUSD BF'!$AM$5+'TUSD CVA'!$AM$5)*1</f>
        <v>56.480448697803254</v>
      </c>
      <c r="Z26" s="6">
        <f ca="1">('TUSD BE'!$AM$7+'TUSD BF'!$AM$7+'TUSD CVA'!$AM$7)*1</f>
        <v>117.83242038312405</v>
      </c>
      <c r="AA26" s="6"/>
      <c r="AB26" s="6">
        <f t="shared" si="0"/>
        <v>3597.9349999999999</v>
      </c>
      <c r="AC26" s="6">
        <f t="shared" si="1"/>
        <v>0</v>
      </c>
      <c r="AD26" s="6">
        <f t="shared" ca="1" si="2"/>
        <v>3417.0671462170967</v>
      </c>
      <c r="AE26" s="6">
        <f t="shared" ca="1" si="3"/>
        <v>0</v>
      </c>
      <c r="AF26" s="4" t="s">
        <v>651</v>
      </c>
    </row>
    <row r="27" spans="1:32" ht="11.25" customHeight="1" x14ac:dyDescent="0.25">
      <c r="A27" s="4" t="s">
        <v>21</v>
      </c>
      <c r="B27" s="4" t="s">
        <v>35</v>
      </c>
      <c r="C27" s="4" t="s">
        <v>36</v>
      </c>
      <c r="D27" s="4" t="s">
        <v>34</v>
      </c>
      <c r="E27" s="4" t="s">
        <v>25</v>
      </c>
      <c r="F27" s="4" t="s">
        <v>56</v>
      </c>
      <c r="G27" s="4" t="s">
        <v>25</v>
      </c>
      <c r="H27" s="4" t="s">
        <v>37</v>
      </c>
      <c r="I27" s="5">
        <v>44440</v>
      </c>
      <c r="J27" s="6">
        <v>123</v>
      </c>
      <c r="K27" s="6">
        <v>61.5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4" t="s">
        <v>57</v>
      </c>
      <c r="R27" s="4">
        <v>0</v>
      </c>
      <c r="S27" s="4">
        <v>7</v>
      </c>
      <c r="T27" s="4">
        <v>0</v>
      </c>
      <c r="U27" s="4">
        <v>0</v>
      </c>
      <c r="V27" s="6">
        <f>IF(ISERROR(VLOOKUP($S$27,'TAR FIN'!$A$1:$O$86,15,0)),0,VLOOKUP($S$27,'TAR FIN'!$A$1:$O$86,15,0))</f>
        <v>59.47</v>
      </c>
      <c r="W27" s="6">
        <f>IF(ISERROR(VLOOKUP($T$27,'TAR FIN'!$A$1:$O$86,15,0)),0,VLOOKUP($T$27,'TAR FIN'!$A$1:$O$86,15,0))</f>
        <v>0</v>
      </c>
      <c r="X27" s="6">
        <f>IF(ISERROR(VLOOKUP($U$27,'TAR FIN'!$A$1:$O$86,15,0)),0,VLOOKUP($U$27,'TAR FIN'!$A$1:$O$86,15,0))</f>
        <v>0</v>
      </c>
      <c r="Y27" s="6">
        <f ca="1">('TUSD BE'!$AM$5+'TUSD BF'!$AM$5+'TUSD CVA'!$AM$5)*1</f>
        <v>56.480448697803254</v>
      </c>
      <c r="Z27" s="6">
        <f ca="1">('TUSD BE'!$AM$7+'TUSD BF'!$AM$7+'TUSD CVA'!$AM$7)*1</f>
        <v>117.83242038312405</v>
      </c>
      <c r="AA27" s="6"/>
      <c r="AB27" s="6">
        <f t="shared" si="0"/>
        <v>3657.4049999999997</v>
      </c>
      <c r="AC27" s="6">
        <f t="shared" si="1"/>
        <v>0</v>
      </c>
      <c r="AD27" s="6">
        <f t="shared" ca="1" si="2"/>
        <v>3473.5475949148999</v>
      </c>
      <c r="AE27" s="6">
        <f t="shared" ca="1" si="3"/>
        <v>0</v>
      </c>
      <c r="AF27" s="4" t="s">
        <v>651</v>
      </c>
    </row>
    <row r="28" spans="1:32" ht="11.25" customHeight="1" x14ac:dyDescent="0.25">
      <c r="A28" s="4" t="s">
        <v>21</v>
      </c>
      <c r="B28" s="4" t="s">
        <v>35</v>
      </c>
      <c r="C28" s="4" t="s">
        <v>36</v>
      </c>
      <c r="D28" s="4" t="s">
        <v>34</v>
      </c>
      <c r="E28" s="4" t="s">
        <v>25</v>
      </c>
      <c r="F28" s="4" t="s">
        <v>56</v>
      </c>
      <c r="G28" s="4" t="s">
        <v>25</v>
      </c>
      <c r="H28" s="4" t="s">
        <v>37</v>
      </c>
      <c r="I28" s="5">
        <v>44470</v>
      </c>
      <c r="J28" s="6">
        <v>110</v>
      </c>
      <c r="K28" s="6">
        <v>55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4" t="s">
        <v>57</v>
      </c>
      <c r="R28" s="4">
        <v>0</v>
      </c>
      <c r="S28" s="4">
        <v>7</v>
      </c>
      <c r="T28" s="4">
        <v>0</v>
      </c>
      <c r="U28" s="4">
        <v>0</v>
      </c>
      <c r="V28" s="6">
        <f>IF(ISERROR(VLOOKUP($S$28,'TAR FIN'!$A$1:$O$86,15,0)),0,VLOOKUP($S$28,'TAR FIN'!$A$1:$O$86,15,0))</f>
        <v>59.47</v>
      </c>
      <c r="W28" s="6">
        <f>IF(ISERROR(VLOOKUP($T$28,'TAR FIN'!$A$1:$O$86,15,0)),0,VLOOKUP($T$28,'TAR FIN'!$A$1:$O$86,15,0))</f>
        <v>0</v>
      </c>
      <c r="X28" s="6">
        <f>IF(ISERROR(VLOOKUP($U$28,'TAR FIN'!$A$1:$O$86,15,0)),0,VLOOKUP($U$28,'TAR FIN'!$A$1:$O$86,15,0))</f>
        <v>0</v>
      </c>
      <c r="Y28" s="6">
        <f ca="1">('TUSD BE'!$AM$5+'TUSD BF'!$AM$5+'TUSD CVA'!$AM$5)*1</f>
        <v>56.480448697803254</v>
      </c>
      <c r="Z28" s="6">
        <f ca="1">('TUSD BE'!$AM$7+'TUSD BF'!$AM$7+'TUSD CVA'!$AM$7)*1</f>
        <v>117.83242038312405</v>
      </c>
      <c r="AA28" s="6"/>
      <c r="AB28" s="6">
        <f t="shared" si="0"/>
        <v>3270.85</v>
      </c>
      <c r="AC28" s="6">
        <f t="shared" si="1"/>
        <v>0</v>
      </c>
      <c r="AD28" s="6">
        <f t="shared" ca="1" si="2"/>
        <v>3106.4246783791791</v>
      </c>
      <c r="AE28" s="6">
        <f t="shared" ca="1" si="3"/>
        <v>0</v>
      </c>
      <c r="AF28" s="4" t="s">
        <v>651</v>
      </c>
    </row>
    <row r="29" spans="1:32" ht="11.25" customHeight="1" x14ac:dyDescent="0.25">
      <c r="A29" s="4" t="s">
        <v>21</v>
      </c>
      <c r="B29" s="4" t="s">
        <v>35</v>
      </c>
      <c r="C29" s="4" t="s">
        <v>36</v>
      </c>
      <c r="D29" s="4" t="s">
        <v>34</v>
      </c>
      <c r="E29" s="4" t="s">
        <v>25</v>
      </c>
      <c r="F29" s="4" t="s">
        <v>56</v>
      </c>
      <c r="G29" s="4" t="s">
        <v>25</v>
      </c>
      <c r="H29" s="4" t="s">
        <v>37</v>
      </c>
      <c r="I29" s="5">
        <v>44501</v>
      </c>
      <c r="J29" s="6">
        <v>110</v>
      </c>
      <c r="K29" s="6">
        <v>55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4" t="s">
        <v>57</v>
      </c>
      <c r="R29" s="4">
        <v>0</v>
      </c>
      <c r="S29" s="4">
        <v>7</v>
      </c>
      <c r="T29" s="4">
        <v>0</v>
      </c>
      <c r="U29" s="4">
        <v>0</v>
      </c>
      <c r="V29" s="6">
        <f>IF(ISERROR(VLOOKUP($S$29,'TAR FIN'!$A$1:$O$86,15,0)),0,VLOOKUP($S$29,'TAR FIN'!$A$1:$O$86,15,0))</f>
        <v>59.47</v>
      </c>
      <c r="W29" s="6">
        <f>IF(ISERROR(VLOOKUP($T$29,'TAR FIN'!$A$1:$O$86,15,0)),0,VLOOKUP($T$29,'TAR FIN'!$A$1:$O$86,15,0))</f>
        <v>0</v>
      </c>
      <c r="X29" s="6">
        <f>IF(ISERROR(VLOOKUP($U$29,'TAR FIN'!$A$1:$O$86,15,0)),0,VLOOKUP($U$29,'TAR FIN'!$A$1:$O$86,15,0))</f>
        <v>0</v>
      </c>
      <c r="Y29" s="6">
        <f ca="1">('TUSD BE'!$AM$5+'TUSD BF'!$AM$5+'TUSD CVA'!$AM$5)*1</f>
        <v>56.480448697803254</v>
      </c>
      <c r="Z29" s="6">
        <f ca="1">('TUSD BE'!$AM$7+'TUSD BF'!$AM$7+'TUSD CVA'!$AM$7)*1</f>
        <v>117.83242038312405</v>
      </c>
      <c r="AA29" s="6"/>
      <c r="AB29" s="6">
        <f t="shared" si="0"/>
        <v>3270.85</v>
      </c>
      <c r="AC29" s="6">
        <f t="shared" si="1"/>
        <v>0</v>
      </c>
      <c r="AD29" s="6">
        <f t="shared" ca="1" si="2"/>
        <v>3106.4246783791791</v>
      </c>
      <c r="AE29" s="6">
        <f t="shared" ca="1" si="3"/>
        <v>0</v>
      </c>
      <c r="AF29" s="4" t="s">
        <v>651</v>
      </c>
    </row>
    <row r="30" spans="1:32" ht="11.25" customHeight="1" x14ac:dyDescent="0.25">
      <c r="A30" s="4" t="s">
        <v>21</v>
      </c>
      <c r="B30" s="4" t="s">
        <v>35</v>
      </c>
      <c r="C30" s="4" t="s">
        <v>36</v>
      </c>
      <c r="D30" s="4" t="s">
        <v>34</v>
      </c>
      <c r="E30" s="4" t="s">
        <v>25</v>
      </c>
      <c r="F30" s="4" t="s">
        <v>56</v>
      </c>
      <c r="G30" s="4" t="s">
        <v>25</v>
      </c>
      <c r="H30" s="4" t="s">
        <v>37</v>
      </c>
      <c r="I30" s="5">
        <v>44531</v>
      </c>
      <c r="J30" s="6">
        <v>110</v>
      </c>
      <c r="K30" s="6">
        <v>55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4" t="s">
        <v>57</v>
      </c>
      <c r="R30" s="4">
        <v>0</v>
      </c>
      <c r="S30" s="4">
        <v>7</v>
      </c>
      <c r="T30" s="4">
        <v>0</v>
      </c>
      <c r="U30" s="4">
        <v>0</v>
      </c>
      <c r="V30" s="6">
        <f>IF(ISERROR(VLOOKUP($S$30,'TAR FIN'!$A$1:$O$86,15,0)),0,VLOOKUP($S$30,'TAR FIN'!$A$1:$O$86,15,0))</f>
        <v>59.47</v>
      </c>
      <c r="W30" s="6">
        <f>IF(ISERROR(VLOOKUP($T$30,'TAR FIN'!$A$1:$O$86,15,0)),0,VLOOKUP($T$30,'TAR FIN'!$A$1:$O$86,15,0))</f>
        <v>0</v>
      </c>
      <c r="X30" s="6">
        <f>IF(ISERROR(VLOOKUP($U$30,'TAR FIN'!$A$1:$O$86,15,0)),0,VLOOKUP($U$30,'TAR FIN'!$A$1:$O$86,15,0))</f>
        <v>0</v>
      </c>
      <c r="Y30" s="6">
        <f ca="1">('TUSD BE'!$AM$5+'TUSD BF'!$AM$5+'TUSD CVA'!$AM$5)*1</f>
        <v>56.480448697803254</v>
      </c>
      <c r="Z30" s="6">
        <f ca="1">('TUSD BE'!$AM$7+'TUSD BF'!$AM$7+'TUSD CVA'!$AM$7)*1</f>
        <v>117.83242038312405</v>
      </c>
      <c r="AA30" s="6"/>
      <c r="AB30" s="6">
        <f t="shared" si="0"/>
        <v>3270.85</v>
      </c>
      <c r="AC30" s="6">
        <f t="shared" si="1"/>
        <v>0</v>
      </c>
      <c r="AD30" s="6">
        <f t="shared" ca="1" si="2"/>
        <v>3106.4246783791791</v>
      </c>
      <c r="AE30" s="6">
        <f t="shared" ca="1" si="3"/>
        <v>0</v>
      </c>
      <c r="AF30" s="4" t="s">
        <v>651</v>
      </c>
    </row>
    <row r="31" spans="1:32" ht="11.25" customHeight="1" x14ac:dyDescent="0.25">
      <c r="A31" s="4" t="s">
        <v>21</v>
      </c>
      <c r="B31" s="4" t="s">
        <v>35</v>
      </c>
      <c r="C31" s="4" t="s">
        <v>36</v>
      </c>
      <c r="D31" s="4" t="s">
        <v>34</v>
      </c>
      <c r="E31" s="4" t="s">
        <v>25</v>
      </c>
      <c r="F31" s="4" t="s">
        <v>56</v>
      </c>
      <c r="G31" s="4" t="s">
        <v>25</v>
      </c>
      <c r="H31" s="4" t="s">
        <v>37</v>
      </c>
      <c r="I31" s="5">
        <v>44562</v>
      </c>
      <c r="J31" s="6">
        <v>110</v>
      </c>
      <c r="K31" s="6">
        <v>55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4" t="s">
        <v>57</v>
      </c>
      <c r="R31" s="4">
        <v>0</v>
      </c>
      <c r="S31" s="4">
        <v>7</v>
      </c>
      <c r="T31" s="4">
        <v>0</v>
      </c>
      <c r="U31" s="4">
        <v>0</v>
      </c>
      <c r="V31" s="6">
        <f>IF(ISERROR(VLOOKUP($S$31,'TAR FIN'!$A$1:$O$86,15,0)),0,VLOOKUP($S$31,'TAR FIN'!$A$1:$O$86,15,0))</f>
        <v>59.47</v>
      </c>
      <c r="W31" s="6">
        <f>IF(ISERROR(VLOOKUP($T$31,'TAR FIN'!$A$1:$O$86,15,0)),0,VLOOKUP($T$31,'TAR FIN'!$A$1:$O$86,15,0))</f>
        <v>0</v>
      </c>
      <c r="X31" s="6">
        <f>IF(ISERROR(VLOOKUP($U$31,'TAR FIN'!$A$1:$O$86,15,0)),0,VLOOKUP($U$31,'TAR FIN'!$A$1:$O$86,15,0))</f>
        <v>0</v>
      </c>
      <c r="Y31" s="6">
        <f ca="1">('TUSD BE'!$AM$5+'TUSD BF'!$AM$5+'TUSD CVA'!$AM$5)*1</f>
        <v>56.480448697803254</v>
      </c>
      <c r="Z31" s="6">
        <f ca="1">('TUSD BE'!$AM$7+'TUSD BF'!$AM$7+'TUSD CVA'!$AM$7)*1</f>
        <v>117.83242038312405</v>
      </c>
      <c r="AA31" s="6"/>
      <c r="AB31" s="6">
        <f t="shared" si="0"/>
        <v>3270.85</v>
      </c>
      <c r="AC31" s="6">
        <f t="shared" si="1"/>
        <v>0</v>
      </c>
      <c r="AD31" s="6">
        <f t="shared" ca="1" si="2"/>
        <v>3106.4246783791791</v>
      </c>
      <c r="AE31" s="6">
        <f t="shared" ca="1" si="3"/>
        <v>0</v>
      </c>
      <c r="AF31" s="4" t="s">
        <v>651</v>
      </c>
    </row>
    <row r="32" spans="1:32" ht="11.25" customHeight="1" x14ac:dyDescent="0.25">
      <c r="A32" s="4" t="s">
        <v>21</v>
      </c>
      <c r="B32" s="4" t="s">
        <v>35</v>
      </c>
      <c r="C32" s="4" t="s">
        <v>36</v>
      </c>
      <c r="D32" s="4" t="s">
        <v>34</v>
      </c>
      <c r="E32" s="4" t="s">
        <v>25</v>
      </c>
      <c r="F32" s="4" t="s">
        <v>56</v>
      </c>
      <c r="G32" s="4" t="s">
        <v>25</v>
      </c>
      <c r="H32" s="4" t="s">
        <v>37</v>
      </c>
      <c r="I32" s="5">
        <v>44593</v>
      </c>
      <c r="J32" s="6">
        <v>110</v>
      </c>
      <c r="K32" s="6">
        <v>55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4" t="s">
        <v>57</v>
      </c>
      <c r="R32" s="4">
        <v>0</v>
      </c>
      <c r="S32" s="4">
        <v>7</v>
      </c>
      <c r="T32" s="4">
        <v>0</v>
      </c>
      <c r="U32" s="4">
        <v>0</v>
      </c>
      <c r="V32" s="6">
        <f>IF(ISERROR(VLOOKUP($S$32,'TAR FIN'!$A$1:$O$86,15,0)),0,VLOOKUP($S$32,'TAR FIN'!$A$1:$O$86,15,0))</f>
        <v>59.47</v>
      </c>
      <c r="W32" s="6">
        <f>IF(ISERROR(VLOOKUP($T$32,'TAR FIN'!$A$1:$O$86,15,0)),0,VLOOKUP($T$32,'TAR FIN'!$A$1:$O$86,15,0))</f>
        <v>0</v>
      </c>
      <c r="X32" s="6">
        <f>IF(ISERROR(VLOOKUP($U$32,'TAR FIN'!$A$1:$O$86,15,0)),0,VLOOKUP($U$32,'TAR FIN'!$A$1:$O$86,15,0))</f>
        <v>0</v>
      </c>
      <c r="Y32" s="6">
        <f ca="1">('TUSD BE'!$AM$5+'TUSD BF'!$AM$5+'TUSD CVA'!$AM$5)*1</f>
        <v>56.480448697803254</v>
      </c>
      <c r="Z32" s="6">
        <f ca="1">('TUSD BE'!$AM$7+'TUSD BF'!$AM$7+'TUSD CVA'!$AM$7)*1</f>
        <v>117.83242038312405</v>
      </c>
      <c r="AA32" s="6"/>
      <c r="AB32" s="6">
        <f t="shared" si="0"/>
        <v>3270.85</v>
      </c>
      <c r="AC32" s="6">
        <f t="shared" si="1"/>
        <v>0</v>
      </c>
      <c r="AD32" s="6">
        <f t="shared" ca="1" si="2"/>
        <v>3106.4246783791791</v>
      </c>
      <c r="AE32" s="6">
        <f t="shared" ca="1" si="3"/>
        <v>0</v>
      </c>
      <c r="AF32" s="4" t="s">
        <v>651</v>
      </c>
    </row>
    <row r="33" spans="1:32" ht="11.25" customHeight="1" x14ac:dyDescent="0.25">
      <c r="A33" s="4" t="s">
        <v>21</v>
      </c>
      <c r="B33" s="4" t="s">
        <v>35</v>
      </c>
      <c r="C33" s="4" t="s">
        <v>36</v>
      </c>
      <c r="D33" s="4" t="s">
        <v>34</v>
      </c>
      <c r="E33" s="4" t="s">
        <v>25</v>
      </c>
      <c r="F33" s="4" t="s">
        <v>56</v>
      </c>
      <c r="G33" s="4" t="s">
        <v>25</v>
      </c>
      <c r="H33" s="4" t="s">
        <v>37</v>
      </c>
      <c r="I33" s="5">
        <v>44621</v>
      </c>
      <c r="J33" s="6">
        <v>110</v>
      </c>
      <c r="K33" s="6">
        <v>55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4" t="s">
        <v>57</v>
      </c>
      <c r="R33" s="4">
        <v>0</v>
      </c>
      <c r="S33" s="4">
        <v>7</v>
      </c>
      <c r="T33" s="4">
        <v>0</v>
      </c>
      <c r="U33" s="4">
        <v>0</v>
      </c>
      <c r="V33" s="6">
        <f>IF(ISERROR(VLOOKUP($S$33,'TAR FIN'!$A$1:$O$86,15,0)),0,VLOOKUP($S$33,'TAR FIN'!$A$1:$O$86,15,0))</f>
        <v>59.47</v>
      </c>
      <c r="W33" s="6">
        <f>IF(ISERROR(VLOOKUP($T$33,'TAR FIN'!$A$1:$O$86,15,0)),0,VLOOKUP($T$33,'TAR FIN'!$A$1:$O$86,15,0))</f>
        <v>0</v>
      </c>
      <c r="X33" s="6">
        <f>IF(ISERROR(VLOOKUP($U$33,'TAR FIN'!$A$1:$O$86,15,0)),0,VLOOKUP($U$33,'TAR FIN'!$A$1:$O$86,15,0))</f>
        <v>0</v>
      </c>
      <c r="Y33" s="6">
        <f ca="1">('TUSD BE'!$AM$5+'TUSD BF'!$AM$5+'TUSD CVA'!$AM$5)*1</f>
        <v>56.480448697803254</v>
      </c>
      <c r="Z33" s="6">
        <f ca="1">('TUSD BE'!$AM$7+'TUSD BF'!$AM$7+'TUSD CVA'!$AM$7)*1</f>
        <v>117.83242038312405</v>
      </c>
      <c r="AA33" s="6"/>
      <c r="AB33" s="6">
        <f t="shared" si="0"/>
        <v>3270.85</v>
      </c>
      <c r="AC33" s="6">
        <f t="shared" si="1"/>
        <v>0</v>
      </c>
      <c r="AD33" s="6">
        <f t="shared" ca="1" si="2"/>
        <v>3106.4246783791791</v>
      </c>
      <c r="AE33" s="6">
        <f t="shared" ca="1" si="3"/>
        <v>0</v>
      </c>
      <c r="AF33" s="4" t="s">
        <v>651</v>
      </c>
    </row>
    <row r="34" spans="1:32" ht="11.25" customHeight="1" x14ac:dyDescent="0.25">
      <c r="A34" s="4" t="s">
        <v>21</v>
      </c>
      <c r="B34" s="4" t="s">
        <v>35</v>
      </c>
      <c r="C34" s="4" t="s">
        <v>36</v>
      </c>
      <c r="D34" s="4" t="s">
        <v>34</v>
      </c>
      <c r="E34" s="4" t="s">
        <v>25</v>
      </c>
      <c r="F34" s="4" t="s">
        <v>56</v>
      </c>
      <c r="G34" s="4" t="s">
        <v>25</v>
      </c>
      <c r="H34" s="4" t="s">
        <v>37</v>
      </c>
      <c r="I34" s="5">
        <v>44652</v>
      </c>
      <c r="J34" s="6">
        <v>110</v>
      </c>
      <c r="K34" s="6">
        <v>55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4" t="s">
        <v>57</v>
      </c>
      <c r="R34" s="4">
        <v>0</v>
      </c>
      <c r="S34" s="4">
        <v>7</v>
      </c>
      <c r="T34" s="4">
        <v>0</v>
      </c>
      <c r="U34" s="4">
        <v>0</v>
      </c>
      <c r="V34" s="6">
        <f>IF(ISERROR(VLOOKUP($S$34,'TAR FIN'!$A$1:$O$86,15,0)),0,VLOOKUP($S$34,'TAR FIN'!$A$1:$O$86,15,0))</f>
        <v>59.47</v>
      </c>
      <c r="W34" s="6">
        <f>IF(ISERROR(VLOOKUP($T$34,'TAR FIN'!$A$1:$O$86,15,0)),0,VLOOKUP($T$34,'TAR FIN'!$A$1:$O$86,15,0))</f>
        <v>0</v>
      </c>
      <c r="X34" s="6">
        <f>IF(ISERROR(VLOOKUP($U$34,'TAR FIN'!$A$1:$O$86,15,0)),0,VLOOKUP($U$34,'TAR FIN'!$A$1:$O$86,15,0))</f>
        <v>0</v>
      </c>
      <c r="Y34" s="6">
        <f ca="1">('TUSD BE'!$AM$5+'TUSD BF'!$AM$5+'TUSD CVA'!$AM$5)*1</f>
        <v>56.480448697803254</v>
      </c>
      <c r="Z34" s="6">
        <f ca="1">('TUSD BE'!$AM$7+'TUSD BF'!$AM$7+'TUSD CVA'!$AM$7)*1</f>
        <v>117.83242038312405</v>
      </c>
      <c r="AA34" s="6"/>
      <c r="AB34" s="6">
        <f t="shared" si="0"/>
        <v>3270.85</v>
      </c>
      <c r="AC34" s="6">
        <f t="shared" ref="AC34:AC65" si="6">(L34-M34)*W34+(N34-O34)*X34</f>
        <v>0</v>
      </c>
      <c r="AD34" s="6">
        <f t="shared" ca="1" si="2"/>
        <v>3106.4246783791791</v>
      </c>
      <c r="AE34" s="6">
        <f t="shared" ref="AE34:AE65" ca="1" si="7">(L34-M34)*Z34+(N34-O34)*AA34</f>
        <v>0</v>
      </c>
      <c r="AF34" s="4" t="s">
        <v>651</v>
      </c>
    </row>
    <row r="35" spans="1:32" ht="11.25" customHeight="1" x14ac:dyDescent="0.25">
      <c r="A35" s="4" t="s">
        <v>21</v>
      </c>
      <c r="B35" s="4" t="s">
        <v>35</v>
      </c>
      <c r="C35" s="4" t="s">
        <v>36</v>
      </c>
      <c r="D35" s="4" t="s">
        <v>34</v>
      </c>
      <c r="E35" s="4" t="s">
        <v>25</v>
      </c>
      <c r="F35" s="4" t="s">
        <v>56</v>
      </c>
      <c r="G35" s="4" t="s">
        <v>25</v>
      </c>
      <c r="H35" s="4" t="s">
        <v>37</v>
      </c>
      <c r="I35" s="5">
        <v>44682</v>
      </c>
      <c r="J35" s="6">
        <v>110</v>
      </c>
      <c r="K35" s="6">
        <v>55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4" t="s">
        <v>57</v>
      </c>
      <c r="R35" s="4">
        <v>0</v>
      </c>
      <c r="S35" s="4">
        <v>7</v>
      </c>
      <c r="T35" s="4">
        <v>0</v>
      </c>
      <c r="U35" s="4">
        <v>0</v>
      </c>
      <c r="V35" s="6">
        <f>IF(ISERROR(VLOOKUP($S$35,'TAR FIN'!$A$1:$O$86,15,0)),0,VLOOKUP($S$35,'TAR FIN'!$A$1:$O$86,15,0))</f>
        <v>59.47</v>
      </c>
      <c r="W35" s="6">
        <f>IF(ISERROR(VLOOKUP($T$35,'TAR FIN'!$A$1:$O$86,15,0)),0,VLOOKUP($T$35,'TAR FIN'!$A$1:$O$86,15,0))</f>
        <v>0</v>
      </c>
      <c r="X35" s="6">
        <f>IF(ISERROR(VLOOKUP($U$35,'TAR FIN'!$A$1:$O$86,15,0)),0,VLOOKUP($U$35,'TAR FIN'!$A$1:$O$86,15,0))</f>
        <v>0</v>
      </c>
      <c r="Y35" s="6">
        <f ca="1">('TUSD BE'!$AM$5+'TUSD BF'!$AM$5+'TUSD CVA'!$AM$5)*1</f>
        <v>56.480448697803254</v>
      </c>
      <c r="Z35" s="6">
        <f ca="1">('TUSD BE'!$AM$7+'TUSD BF'!$AM$7+'TUSD CVA'!$AM$7)*1</f>
        <v>117.83242038312405</v>
      </c>
      <c r="AA35" s="6"/>
      <c r="AB35" s="6">
        <f t="shared" si="0"/>
        <v>3270.85</v>
      </c>
      <c r="AC35" s="6">
        <f t="shared" si="6"/>
        <v>0</v>
      </c>
      <c r="AD35" s="6">
        <f t="shared" ca="1" si="2"/>
        <v>3106.4246783791791</v>
      </c>
      <c r="AE35" s="6">
        <f t="shared" ca="1" si="7"/>
        <v>0</v>
      </c>
      <c r="AF35" s="4" t="s">
        <v>651</v>
      </c>
    </row>
    <row r="36" spans="1:32" ht="11.25" customHeight="1" x14ac:dyDescent="0.25">
      <c r="A36" s="4" t="s">
        <v>21</v>
      </c>
      <c r="B36" s="4" t="s">
        <v>35</v>
      </c>
      <c r="C36" s="4" t="s">
        <v>36</v>
      </c>
      <c r="D36" s="4" t="s">
        <v>34</v>
      </c>
      <c r="E36" s="4" t="s">
        <v>25</v>
      </c>
      <c r="F36" s="4" t="s">
        <v>56</v>
      </c>
      <c r="G36" s="4" t="s">
        <v>25</v>
      </c>
      <c r="H36" s="4" t="s">
        <v>37</v>
      </c>
      <c r="I36" s="5">
        <v>44713</v>
      </c>
      <c r="J36" s="6">
        <v>110</v>
      </c>
      <c r="K36" s="6">
        <v>55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4" t="s">
        <v>57</v>
      </c>
      <c r="R36" s="4">
        <v>0</v>
      </c>
      <c r="S36" s="4">
        <v>7</v>
      </c>
      <c r="T36" s="4">
        <v>0</v>
      </c>
      <c r="U36" s="4">
        <v>0</v>
      </c>
      <c r="V36" s="6">
        <f>IF(ISERROR(VLOOKUP($S$36,'TAR FIN'!$A$1:$O$86,15,0)),0,VLOOKUP($S$36,'TAR FIN'!$A$1:$O$86,15,0))</f>
        <v>59.47</v>
      </c>
      <c r="W36" s="6">
        <f>IF(ISERROR(VLOOKUP($T$36,'TAR FIN'!$A$1:$O$86,15,0)),0,VLOOKUP($T$36,'TAR FIN'!$A$1:$O$86,15,0))</f>
        <v>0</v>
      </c>
      <c r="X36" s="6">
        <f>IF(ISERROR(VLOOKUP($U$36,'TAR FIN'!$A$1:$O$86,15,0)),0,VLOOKUP($U$36,'TAR FIN'!$A$1:$O$86,15,0))</f>
        <v>0</v>
      </c>
      <c r="Y36" s="6">
        <f ca="1">('TUSD BE'!$AM$5+'TUSD BF'!$AM$5+'TUSD CVA'!$AM$5)*1</f>
        <v>56.480448697803254</v>
      </c>
      <c r="Z36" s="6">
        <f ca="1">('TUSD BE'!$AM$7+'TUSD BF'!$AM$7+'TUSD CVA'!$AM$7)*1</f>
        <v>117.83242038312405</v>
      </c>
      <c r="AA36" s="6"/>
      <c r="AB36" s="6">
        <f t="shared" si="0"/>
        <v>3270.85</v>
      </c>
      <c r="AC36" s="6">
        <f t="shared" si="6"/>
        <v>0</v>
      </c>
      <c r="AD36" s="6">
        <f t="shared" ca="1" si="2"/>
        <v>3106.4246783791791</v>
      </c>
      <c r="AE36" s="6">
        <f t="shared" ca="1" si="7"/>
        <v>0</v>
      </c>
      <c r="AF36" s="4" t="s">
        <v>651</v>
      </c>
    </row>
    <row r="37" spans="1:32" ht="11.25" customHeight="1" x14ac:dyDescent="0.25">
      <c r="A37" s="4" t="s">
        <v>55</v>
      </c>
      <c r="B37" s="4" t="s">
        <v>35</v>
      </c>
      <c r="C37" s="4" t="s">
        <v>36</v>
      </c>
      <c r="D37" s="4" t="s">
        <v>34</v>
      </c>
      <c r="E37" s="4" t="s">
        <v>25</v>
      </c>
      <c r="F37" s="4" t="s">
        <v>56</v>
      </c>
      <c r="G37" s="4" t="s">
        <v>25</v>
      </c>
      <c r="H37" s="4" t="s">
        <v>37</v>
      </c>
      <c r="I37" s="5">
        <v>44743</v>
      </c>
      <c r="J37" s="6">
        <v>110</v>
      </c>
      <c r="K37" s="6">
        <v>55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4" t="s">
        <v>57</v>
      </c>
      <c r="R37" s="4">
        <v>0</v>
      </c>
      <c r="S37" s="4">
        <v>7</v>
      </c>
      <c r="T37" s="4">
        <v>0</v>
      </c>
      <c r="U37" s="4">
        <v>0</v>
      </c>
      <c r="V37" s="6">
        <f>IF(ISERROR(VLOOKUP($S$37,'TAR FIN'!$A$1:$O$86,15,0)),0,VLOOKUP($S$37,'TAR FIN'!$A$1:$O$86,15,0))</f>
        <v>59.47</v>
      </c>
      <c r="W37" s="6">
        <f>IF(ISERROR(VLOOKUP($T$37,'TAR FIN'!$A$1:$O$86,15,0)),0,VLOOKUP($T$37,'TAR FIN'!$A$1:$O$86,15,0))</f>
        <v>0</v>
      </c>
      <c r="X37" s="6">
        <f>IF(ISERROR(VLOOKUP($U$37,'TAR FIN'!$A$1:$O$86,15,0)),0,VLOOKUP($U$37,'TAR FIN'!$A$1:$O$86,15,0))</f>
        <v>0</v>
      </c>
      <c r="Y37" s="6">
        <f ca="1">('TUSD BE'!$AM$5+'TUSD BF'!$AM$5+'TUSD CVA'!$AM$5)*1</f>
        <v>56.480448697803254</v>
      </c>
      <c r="Z37" s="6">
        <f ca="1">('TUSD BE'!$AM$7+'TUSD BF'!$AM$7+'TUSD CVA'!$AM$7)*1</f>
        <v>117.83242038312405</v>
      </c>
      <c r="AA37" s="6"/>
      <c r="AB37" s="6">
        <f t="shared" si="0"/>
        <v>3270.85</v>
      </c>
      <c r="AC37" s="6">
        <f t="shared" si="6"/>
        <v>0</v>
      </c>
      <c r="AD37" s="6">
        <f t="shared" ca="1" si="2"/>
        <v>3106.4246783791791</v>
      </c>
      <c r="AE37" s="6">
        <f t="shared" ca="1" si="7"/>
        <v>0</v>
      </c>
      <c r="AF37" s="4" t="s">
        <v>651</v>
      </c>
    </row>
    <row r="38" spans="1:32" ht="11.25" customHeight="1" x14ac:dyDescent="0.25">
      <c r="A38" s="4" t="s">
        <v>21</v>
      </c>
      <c r="B38" s="4" t="s">
        <v>35</v>
      </c>
      <c r="C38" s="4" t="s">
        <v>39</v>
      </c>
      <c r="D38" s="4" t="s">
        <v>34</v>
      </c>
      <c r="E38" s="4" t="s">
        <v>25</v>
      </c>
      <c r="F38" s="4" t="s">
        <v>56</v>
      </c>
      <c r="G38" s="4" t="s">
        <v>25</v>
      </c>
      <c r="H38" s="4" t="s">
        <v>38</v>
      </c>
      <c r="I38" s="5">
        <v>44409</v>
      </c>
      <c r="J38" s="6">
        <v>0</v>
      </c>
      <c r="K38" s="6">
        <v>0</v>
      </c>
      <c r="L38" s="6">
        <v>2685.5039999999999</v>
      </c>
      <c r="M38" s="6">
        <v>2685.5039999999999</v>
      </c>
      <c r="N38" s="6">
        <v>0</v>
      </c>
      <c r="O38" s="6">
        <v>0</v>
      </c>
      <c r="P38" s="6">
        <v>0</v>
      </c>
      <c r="Q38" s="4" t="s">
        <v>57</v>
      </c>
      <c r="R38" s="4">
        <v>0</v>
      </c>
      <c r="S38" s="4">
        <v>0</v>
      </c>
      <c r="T38" s="4">
        <v>18</v>
      </c>
      <c r="U38" s="4">
        <v>0</v>
      </c>
      <c r="V38" s="6">
        <f>IF(ISERROR(VLOOKUP($S$38,'TAR FIN'!$A$1:$O$86,15,0)),0,VLOOKUP($S$38,'TAR FIN'!$A$1:$O$86,15,0))</f>
        <v>0</v>
      </c>
      <c r="W38" s="6">
        <f>IF(ISERROR(VLOOKUP($T$38,'TAR FIN'!$A$1:$O$86,15,0)),0,VLOOKUP($T$38,'TAR FIN'!$A$1:$O$86,15,0))</f>
        <v>73.19</v>
      </c>
      <c r="X38" s="6">
        <f>IF(ISERROR(VLOOKUP($U$38,'TAR FIN'!$A$1:$O$86,15,0)),0,VLOOKUP($U$38,'TAR FIN'!$A$1:$O$86,15,0))</f>
        <v>0</v>
      </c>
      <c r="Y38" s="6"/>
      <c r="Z38" s="6">
        <f ca="1">('TUSD BE'!$AM$12+'TUSD BF'!$AM$12+'TUSD CVA'!$AM$12)*1</f>
        <v>117.83242038312405</v>
      </c>
      <c r="AA38" s="6"/>
      <c r="AB38" s="6">
        <f t="shared" si="0"/>
        <v>0</v>
      </c>
      <c r="AC38" s="6">
        <f t="shared" si="6"/>
        <v>0</v>
      </c>
      <c r="AD38" s="6">
        <f t="shared" si="2"/>
        <v>0</v>
      </c>
      <c r="AE38" s="6">
        <f t="shared" ca="1" si="7"/>
        <v>0</v>
      </c>
      <c r="AF38" s="4" t="s">
        <v>651</v>
      </c>
    </row>
    <row r="39" spans="1:32" ht="11.25" customHeight="1" x14ac:dyDescent="0.25">
      <c r="A39" s="4" t="s">
        <v>21</v>
      </c>
      <c r="B39" s="4" t="s">
        <v>35</v>
      </c>
      <c r="C39" s="4" t="s">
        <v>39</v>
      </c>
      <c r="D39" s="4" t="s">
        <v>34</v>
      </c>
      <c r="E39" s="4" t="s">
        <v>25</v>
      </c>
      <c r="F39" s="4" t="s">
        <v>56</v>
      </c>
      <c r="G39" s="4" t="s">
        <v>25</v>
      </c>
      <c r="H39" s="4" t="s">
        <v>38</v>
      </c>
      <c r="I39" s="5">
        <v>44440</v>
      </c>
      <c r="J39" s="6">
        <v>0</v>
      </c>
      <c r="K39" s="6">
        <v>0</v>
      </c>
      <c r="L39" s="6">
        <v>2733.4639999999999</v>
      </c>
      <c r="M39" s="6">
        <v>2733.4639999999999</v>
      </c>
      <c r="N39" s="6">
        <v>0</v>
      </c>
      <c r="O39" s="6">
        <v>0</v>
      </c>
      <c r="P39" s="6">
        <v>0</v>
      </c>
      <c r="Q39" s="4" t="s">
        <v>57</v>
      </c>
      <c r="R39" s="4">
        <v>0</v>
      </c>
      <c r="S39" s="4">
        <v>0</v>
      </c>
      <c r="T39" s="4">
        <v>18</v>
      </c>
      <c r="U39" s="4">
        <v>0</v>
      </c>
      <c r="V39" s="6">
        <f>IF(ISERROR(VLOOKUP($S$39,'TAR FIN'!$A$1:$O$86,15,0)),0,VLOOKUP($S$39,'TAR FIN'!$A$1:$O$86,15,0))</f>
        <v>0</v>
      </c>
      <c r="W39" s="6">
        <f>IF(ISERROR(VLOOKUP($T$39,'TAR FIN'!$A$1:$O$86,15,0)),0,VLOOKUP($T$39,'TAR FIN'!$A$1:$O$86,15,0))</f>
        <v>73.19</v>
      </c>
      <c r="X39" s="6">
        <f>IF(ISERROR(VLOOKUP($U$39,'TAR FIN'!$A$1:$O$86,15,0)),0,VLOOKUP($U$39,'TAR FIN'!$A$1:$O$86,15,0))</f>
        <v>0</v>
      </c>
      <c r="Y39" s="6"/>
      <c r="Z39" s="6">
        <f ca="1">('TUSD BE'!$AM$12+'TUSD BF'!$AM$12+'TUSD CVA'!$AM$12)*1</f>
        <v>117.83242038312405</v>
      </c>
      <c r="AA39" s="6"/>
      <c r="AB39" s="6">
        <f t="shared" si="0"/>
        <v>0</v>
      </c>
      <c r="AC39" s="6">
        <f t="shared" si="6"/>
        <v>0</v>
      </c>
      <c r="AD39" s="6">
        <f t="shared" si="2"/>
        <v>0</v>
      </c>
      <c r="AE39" s="6">
        <f t="shared" ca="1" si="7"/>
        <v>0</v>
      </c>
      <c r="AF39" s="4" t="s">
        <v>651</v>
      </c>
    </row>
    <row r="40" spans="1:32" ht="11.25" customHeight="1" x14ac:dyDescent="0.25">
      <c r="A40" s="4" t="s">
        <v>21</v>
      </c>
      <c r="B40" s="4" t="s">
        <v>35</v>
      </c>
      <c r="C40" s="4" t="s">
        <v>39</v>
      </c>
      <c r="D40" s="4" t="s">
        <v>34</v>
      </c>
      <c r="E40" s="4" t="s">
        <v>25</v>
      </c>
      <c r="F40" s="4" t="s">
        <v>56</v>
      </c>
      <c r="G40" s="4" t="s">
        <v>25</v>
      </c>
      <c r="H40" s="4" t="s">
        <v>38</v>
      </c>
      <c r="I40" s="5">
        <v>44470</v>
      </c>
      <c r="J40" s="6">
        <v>0</v>
      </c>
      <c r="K40" s="6">
        <v>0</v>
      </c>
      <c r="L40" s="6">
        <v>2712.8209999999999</v>
      </c>
      <c r="M40" s="6">
        <v>2712.8209999999999</v>
      </c>
      <c r="N40" s="6">
        <v>0</v>
      </c>
      <c r="O40" s="6">
        <v>0</v>
      </c>
      <c r="P40" s="6">
        <v>0</v>
      </c>
      <c r="Q40" s="4" t="s">
        <v>57</v>
      </c>
      <c r="R40" s="4">
        <v>0</v>
      </c>
      <c r="S40" s="4">
        <v>0</v>
      </c>
      <c r="T40" s="4">
        <v>18</v>
      </c>
      <c r="U40" s="4">
        <v>0</v>
      </c>
      <c r="V40" s="6">
        <f>IF(ISERROR(VLOOKUP($S$40,'TAR FIN'!$A$1:$O$86,15,0)),0,VLOOKUP($S$40,'TAR FIN'!$A$1:$O$86,15,0))</f>
        <v>0</v>
      </c>
      <c r="W40" s="6">
        <f>IF(ISERROR(VLOOKUP($T$40,'TAR FIN'!$A$1:$O$86,15,0)),0,VLOOKUP($T$40,'TAR FIN'!$A$1:$O$86,15,0))</f>
        <v>73.19</v>
      </c>
      <c r="X40" s="6">
        <f>IF(ISERROR(VLOOKUP($U$40,'TAR FIN'!$A$1:$O$86,15,0)),0,VLOOKUP($U$40,'TAR FIN'!$A$1:$O$86,15,0))</f>
        <v>0</v>
      </c>
      <c r="Y40" s="6"/>
      <c r="Z40" s="6">
        <f ca="1">('TUSD BE'!$AM$12+'TUSD BF'!$AM$12+'TUSD CVA'!$AM$12)*1</f>
        <v>117.83242038312405</v>
      </c>
      <c r="AA40" s="6"/>
      <c r="AB40" s="6">
        <f t="shared" si="0"/>
        <v>0</v>
      </c>
      <c r="AC40" s="6">
        <f t="shared" si="6"/>
        <v>0</v>
      </c>
      <c r="AD40" s="6">
        <f t="shared" si="2"/>
        <v>0</v>
      </c>
      <c r="AE40" s="6">
        <f t="shared" ca="1" si="7"/>
        <v>0</v>
      </c>
      <c r="AF40" s="4" t="s">
        <v>651</v>
      </c>
    </row>
    <row r="41" spans="1:32" ht="11.25" customHeight="1" x14ac:dyDescent="0.25">
      <c r="A41" s="4" t="s">
        <v>21</v>
      </c>
      <c r="B41" s="4" t="s">
        <v>35</v>
      </c>
      <c r="C41" s="4" t="s">
        <v>39</v>
      </c>
      <c r="D41" s="4" t="s">
        <v>34</v>
      </c>
      <c r="E41" s="4" t="s">
        <v>25</v>
      </c>
      <c r="F41" s="4" t="s">
        <v>56</v>
      </c>
      <c r="G41" s="4" t="s">
        <v>25</v>
      </c>
      <c r="H41" s="4" t="s">
        <v>38</v>
      </c>
      <c r="I41" s="5">
        <v>44501</v>
      </c>
      <c r="J41" s="6">
        <v>0</v>
      </c>
      <c r="K41" s="6">
        <v>0</v>
      </c>
      <c r="L41" s="6">
        <v>2704.5920000000001</v>
      </c>
      <c r="M41" s="6">
        <v>2704.5920000000001</v>
      </c>
      <c r="N41" s="6">
        <v>0</v>
      </c>
      <c r="O41" s="6">
        <v>0</v>
      </c>
      <c r="P41" s="6">
        <v>0</v>
      </c>
      <c r="Q41" s="4" t="s">
        <v>57</v>
      </c>
      <c r="R41" s="4">
        <v>0</v>
      </c>
      <c r="S41" s="4">
        <v>0</v>
      </c>
      <c r="T41" s="4">
        <v>18</v>
      </c>
      <c r="U41" s="4">
        <v>0</v>
      </c>
      <c r="V41" s="6">
        <f>IF(ISERROR(VLOOKUP($S$41,'TAR FIN'!$A$1:$O$86,15,0)),0,VLOOKUP($S$41,'TAR FIN'!$A$1:$O$86,15,0))</f>
        <v>0</v>
      </c>
      <c r="W41" s="6">
        <f>IF(ISERROR(VLOOKUP($T$41,'TAR FIN'!$A$1:$O$86,15,0)),0,VLOOKUP($T$41,'TAR FIN'!$A$1:$O$86,15,0))</f>
        <v>73.19</v>
      </c>
      <c r="X41" s="6">
        <f>IF(ISERROR(VLOOKUP($U$41,'TAR FIN'!$A$1:$O$86,15,0)),0,VLOOKUP($U$41,'TAR FIN'!$A$1:$O$86,15,0))</f>
        <v>0</v>
      </c>
      <c r="Y41" s="6"/>
      <c r="Z41" s="6">
        <f ca="1">('TUSD BE'!$AM$12+'TUSD BF'!$AM$12+'TUSD CVA'!$AM$12)*1</f>
        <v>117.83242038312405</v>
      </c>
      <c r="AA41" s="6"/>
      <c r="AB41" s="6">
        <f t="shared" si="0"/>
        <v>0</v>
      </c>
      <c r="AC41" s="6">
        <f t="shared" si="6"/>
        <v>0</v>
      </c>
      <c r="AD41" s="6">
        <f t="shared" si="2"/>
        <v>0</v>
      </c>
      <c r="AE41" s="6">
        <f t="shared" ca="1" si="7"/>
        <v>0</v>
      </c>
      <c r="AF41" s="4" t="s">
        <v>651</v>
      </c>
    </row>
    <row r="42" spans="1:32" ht="11.25" customHeight="1" x14ac:dyDescent="0.25">
      <c r="A42" s="4" t="s">
        <v>21</v>
      </c>
      <c r="B42" s="4" t="s">
        <v>35</v>
      </c>
      <c r="C42" s="4" t="s">
        <v>39</v>
      </c>
      <c r="D42" s="4" t="s">
        <v>34</v>
      </c>
      <c r="E42" s="4" t="s">
        <v>25</v>
      </c>
      <c r="F42" s="4" t="s">
        <v>56</v>
      </c>
      <c r="G42" s="4" t="s">
        <v>25</v>
      </c>
      <c r="H42" s="4" t="s">
        <v>38</v>
      </c>
      <c r="I42" s="5">
        <v>44531</v>
      </c>
      <c r="J42" s="6">
        <v>0</v>
      </c>
      <c r="K42" s="6">
        <v>0</v>
      </c>
      <c r="L42" s="6">
        <v>2656.8690000000001</v>
      </c>
      <c r="M42" s="6">
        <v>2656.8690000000001</v>
      </c>
      <c r="N42" s="6">
        <v>0</v>
      </c>
      <c r="O42" s="6">
        <v>0</v>
      </c>
      <c r="P42" s="6">
        <v>0</v>
      </c>
      <c r="Q42" s="4" t="s">
        <v>57</v>
      </c>
      <c r="R42" s="4">
        <v>0</v>
      </c>
      <c r="S42" s="4">
        <v>0</v>
      </c>
      <c r="T42" s="4">
        <v>18</v>
      </c>
      <c r="U42" s="4">
        <v>0</v>
      </c>
      <c r="V42" s="6">
        <f>IF(ISERROR(VLOOKUP($S$42,'TAR FIN'!$A$1:$O$86,15,0)),0,VLOOKUP($S$42,'TAR FIN'!$A$1:$O$86,15,0))</f>
        <v>0</v>
      </c>
      <c r="W42" s="6">
        <f>IF(ISERROR(VLOOKUP($T$42,'TAR FIN'!$A$1:$O$86,15,0)),0,VLOOKUP($T$42,'TAR FIN'!$A$1:$O$86,15,0))</f>
        <v>73.19</v>
      </c>
      <c r="X42" s="6">
        <f>IF(ISERROR(VLOOKUP($U$42,'TAR FIN'!$A$1:$O$86,15,0)),0,VLOOKUP($U$42,'TAR FIN'!$A$1:$O$86,15,0))</f>
        <v>0</v>
      </c>
      <c r="Y42" s="6"/>
      <c r="Z42" s="6">
        <f ca="1">('TUSD BE'!$AM$12+'TUSD BF'!$AM$12+'TUSD CVA'!$AM$12)*1</f>
        <v>117.83242038312405</v>
      </c>
      <c r="AA42" s="6"/>
      <c r="AB42" s="6">
        <f t="shared" si="0"/>
        <v>0</v>
      </c>
      <c r="AC42" s="6">
        <f t="shared" si="6"/>
        <v>0</v>
      </c>
      <c r="AD42" s="6">
        <f t="shared" si="2"/>
        <v>0</v>
      </c>
      <c r="AE42" s="6">
        <f t="shared" ca="1" si="7"/>
        <v>0</v>
      </c>
      <c r="AF42" s="4" t="s">
        <v>651</v>
      </c>
    </row>
    <row r="43" spans="1:32" ht="11.25" customHeight="1" x14ac:dyDescent="0.25">
      <c r="A43" s="4" t="s">
        <v>21</v>
      </c>
      <c r="B43" s="4" t="s">
        <v>35</v>
      </c>
      <c r="C43" s="4" t="s">
        <v>39</v>
      </c>
      <c r="D43" s="4" t="s">
        <v>34</v>
      </c>
      <c r="E43" s="4" t="s">
        <v>25</v>
      </c>
      <c r="F43" s="4" t="s">
        <v>56</v>
      </c>
      <c r="G43" s="4" t="s">
        <v>25</v>
      </c>
      <c r="H43" s="4" t="s">
        <v>38</v>
      </c>
      <c r="I43" s="5">
        <v>44562</v>
      </c>
      <c r="J43" s="6">
        <v>0</v>
      </c>
      <c r="K43" s="6">
        <v>0</v>
      </c>
      <c r="L43" s="6">
        <v>2634.998</v>
      </c>
      <c r="M43" s="6">
        <v>2634.998</v>
      </c>
      <c r="N43" s="6">
        <v>0</v>
      </c>
      <c r="O43" s="6">
        <v>0</v>
      </c>
      <c r="P43" s="6">
        <v>0</v>
      </c>
      <c r="Q43" s="4" t="s">
        <v>57</v>
      </c>
      <c r="R43" s="4">
        <v>0</v>
      </c>
      <c r="S43" s="4">
        <v>0</v>
      </c>
      <c r="T43" s="4">
        <v>18</v>
      </c>
      <c r="U43" s="4">
        <v>0</v>
      </c>
      <c r="V43" s="6">
        <f>IF(ISERROR(VLOOKUP($S$43,'TAR FIN'!$A$1:$O$86,15,0)),0,VLOOKUP($S$43,'TAR FIN'!$A$1:$O$86,15,0))</f>
        <v>0</v>
      </c>
      <c r="W43" s="6">
        <f>IF(ISERROR(VLOOKUP($T$43,'TAR FIN'!$A$1:$O$86,15,0)),0,VLOOKUP($T$43,'TAR FIN'!$A$1:$O$86,15,0))</f>
        <v>73.19</v>
      </c>
      <c r="X43" s="6">
        <f>IF(ISERROR(VLOOKUP($U$43,'TAR FIN'!$A$1:$O$86,15,0)),0,VLOOKUP($U$43,'TAR FIN'!$A$1:$O$86,15,0))</f>
        <v>0</v>
      </c>
      <c r="Y43" s="6"/>
      <c r="Z43" s="6">
        <f ca="1">('TUSD BE'!$AM$12+'TUSD BF'!$AM$12+'TUSD CVA'!$AM$12)*1</f>
        <v>117.83242038312405</v>
      </c>
      <c r="AA43" s="6"/>
      <c r="AB43" s="6">
        <f t="shared" si="0"/>
        <v>0</v>
      </c>
      <c r="AC43" s="6">
        <f t="shared" si="6"/>
        <v>0</v>
      </c>
      <c r="AD43" s="6">
        <f t="shared" si="2"/>
        <v>0</v>
      </c>
      <c r="AE43" s="6">
        <f t="shared" ca="1" si="7"/>
        <v>0</v>
      </c>
      <c r="AF43" s="4" t="s">
        <v>651</v>
      </c>
    </row>
    <row r="44" spans="1:32" ht="11.25" customHeight="1" x14ac:dyDescent="0.25">
      <c r="A44" s="4" t="s">
        <v>21</v>
      </c>
      <c r="B44" s="4" t="s">
        <v>35</v>
      </c>
      <c r="C44" s="4" t="s">
        <v>39</v>
      </c>
      <c r="D44" s="4" t="s">
        <v>34</v>
      </c>
      <c r="E44" s="4" t="s">
        <v>25</v>
      </c>
      <c r="F44" s="4" t="s">
        <v>56</v>
      </c>
      <c r="G44" s="4" t="s">
        <v>25</v>
      </c>
      <c r="H44" s="4" t="s">
        <v>38</v>
      </c>
      <c r="I44" s="5">
        <v>44593</v>
      </c>
      <c r="J44" s="6">
        <v>0</v>
      </c>
      <c r="K44" s="6">
        <v>0</v>
      </c>
      <c r="L44" s="6">
        <v>2436.9760000000001</v>
      </c>
      <c r="M44" s="6">
        <v>2436.9760000000001</v>
      </c>
      <c r="N44" s="6">
        <v>0</v>
      </c>
      <c r="O44" s="6">
        <v>0</v>
      </c>
      <c r="P44" s="6">
        <v>0</v>
      </c>
      <c r="Q44" s="4" t="s">
        <v>57</v>
      </c>
      <c r="R44" s="4">
        <v>0</v>
      </c>
      <c r="S44" s="4">
        <v>0</v>
      </c>
      <c r="T44" s="4">
        <v>18</v>
      </c>
      <c r="U44" s="4">
        <v>0</v>
      </c>
      <c r="V44" s="6">
        <f>IF(ISERROR(VLOOKUP($S$44,'TAR FIN'!$A$1:$O$86,15,0)),0,VLOOKUP($S$44,'TAR FIN'!$A$1:$O$86,15,0))</f>
        <v>0</v>
      </c>
      <c r="W44" s="6">
        <f>IF(ISERROR(VLOOKUP($T$44,'TAR FIN'!$A$1:$O$86,15,0)),0,VLOOKUP($T$44,'TAR FIN'!$A$1:$O$86,15,0))</f>
        <v>73.19</v>
      </c>
      <c r="X44" s="6">
        <f>IF(ISERROR(VLOOKUP($U$44,'TAR FIN'!$A$1:$O$86,15,0)),0,VLOOKUP($U$44,'TAR FIN'!$A$1:$O$86,15,0))</f>
        <v>0</v>
      </c>
      <c r="Y44" s="6"/>
      <c r="Z44" s="6">
        <f ca="1">('TUSD BE'!$AM$12+'TUSD BF'!$AM$12+'TUSD CVA'!$AM$12)*1</f>
        <v>117.83242038312405</v>
      </c>
      <c r="AA44" s="6"/>
      <c r="AB44" s="6">
        <f t="shared" si="0"/>
        <v>0</v>
      </c>
      <c r="AC44" s="6">
        <f t="shared" si="6"/>
        <v>0</v>
      </c>
      <c r="AD44" s="6">
        <f t="shared" si="2"/>
        <v>0</v>
      </c>
      <c r="AE44" s="6">
        <f t="shared" ca="1" si="7"/>
        <v>0</v>
      </c>
      <c r="AF44" s="4" t="s">
        <v>651</v>
      </c>
    </row>
    <row r="45" spans="1:32" ht="11.25" customHeight="1" x14ac:dyDescent="0.25">
      <c r="A45" s="4" t="s">
        <v>21</v>
      </c>
      <c r="B45" s="4" t="s">
        <v>35</v>
      </c>
      <c r="C45" s="4" t="s">
        <v>39</v>
      </c>
      <c r="D45" s="4" t="s">
        <v>34</v>
      </c>
      <c r="E45" s="4" t="s">
        <v>25</v>
      </c>
      <c r="F45" s="4" t="s">
        <v>56</v>
      </c>
      <c r="G45" s="4" t="s">
        <v>25</v>
      </c>
      <c r="H45" s="4" t="s">
        <v>38</v>
      </c>
      <c r="I45" s="5">
        <v>44621</v>
      </c>
      <c r="J45" s="6">
        <v>0</v>
      </c>
      <c r="K45" s="6">
        <v>0</v>
      </c>
      <c r="L45" s="6">
        <v>2841.8339999999998</v>
      </c>
      <c r="M45" s="6">
        <v>2841.8339999999998</v>
      </c>
      <c r="N45" s="6">
        <v>0</v>
      </c>
      <c r="O45" s="6">
        <v>0</v>
      </c>
      <c r="P45" s="6">
        <v>0</v>
      </c>
      <c r="Q45" s="4" t="s">
        <v>57</v>
      </c>
      <c r="R45" s="4">
        <v>0</v>
      </c>
      <c r="S45" s="4">
        <v>0</v>
      </c>
      <c r="T45" s="4">
        <v>18</v>
      </c>
      <c r="U45" s="4">
        <v>0</v>
      </c>
      <c r="V45" s="6">
        <f>IF(ISERROR(VLOOKUP($S$45,'TAR FIN'!$A$1:$O$86,15,0)),0,VLOOKUP($S$45,'TAR FIN'!$A$1:$O$86,15,0))</f>
        <v>0</v>
      </c>
      <c r="W45" s="6">
        <f>IF(ISERROR(VLOOKUP($T$45,'TAR FIN'!$A$1:$O$86,15,0)),0,VLOOKUP($T$45,'TAR FIN'!$A$1:$O$86,15,0))</f>
        <v>73.19</v>
      </c>
      <c r="X45" s="6">
        <f>IF(ISERROR(VLOOKUP($U$45,'TAR FIN'!$A$1:$O$86,15,0)),0,VLOOKUP($U$45,'TAR FIN'!$A$1:$O$86,15,0))</f>
        <v>0</v>
      </c>
      <c r="Y45" s="6"/>
      <c r="Z45" s="6">
        <f ca="1">('TUSD BE'!$AM$12+'TUSD BF'!$AM$12+'TUSD CVA'!$AM$12)*1</f>
        <v>117.83242038312405</v>
      </c>
      <c r="AA45" s="6"/>
      <c r="AB45" s="6">
        <f t="shared" si="0"/>
        <v>0</v>
      </c>
      <c r="AC45" s="6">
        <f t="shared" si="6"/>
        <v>0</v>
      </c>
      <c r="AD45" s="6">
        <f t="shared" si="2"/>
        <v>0</v>
      </c>
      <c r="AE45" s="6">
        <f t="shared" ca="1" si="7"/>
        <v>0</v>
      </c>
      <c r="AF45" s="4" t="s">
        <v>651</v>
      </c>
    </row>
    <row r="46" spans="1:32" ht="11.25" customHeight="1" x14ac:dyDescent="0.25">
      <c r="A46" s="4" t="s">
        <v>21</v>
      </c>
      <c r="B46" s="4" t="s">
        <v>35</v>
      </c>
      <c r="C46" s="4" t="s">
        <v>39</v>
      </c>
      <c r="D46" s="4" t="s">
        <v>34</v>
      </c>
      <c r="E46" s="4" t="s">
        <v>25</v>
      </c>
      <c r="F46" s="4" t="s">
        <v>56</v>
      </c>
      <c r="G46" s="4" t="s">
        <v>25</v>
      </c>
      <c r="H46" s="4" t="s">
        <v>38</v>
      </c>
      <c r="I46" s="5">
        <v>44652</v>
      </c>
      <c r="J46" s="6">
        <v>0</v>
      </c>
      <c r="K46" s="6">
        <v>0</v>
      </c>
      <c r="L46" s="6">
        <v>2543.5279999999998</v>
      </c>
      <c r="M46" s="6">
        <v>2543.5279999999998</v>
      </c>
      <c r="N46" s="6">
        <v>0</v>
      </c>
      <c r="O46" s="6">
        <v>0</v>
      </c>
      <c r="P46" s="6">
        <v>0</v>
      </c>
      <c r="Q46" s="4" t="s">
        <v>57</v>
      </c>
      <c r="R46" s="4">
        <v>0</v>
      </c>
      <c r="S46" s="4">
        <v>0</v>
      </c>
      <c r="T46" s="4">
        <v>18</v>
      </c>
      <c r="U46" s="4">
        <v>0</v>
      </c>
      <c r="V46" s="6">
        <f>IF(ISERROR(VLOOKUP($S$46,'TAR FIN'!$A$1:$O$86,15,0)),0,VLOOKUP($S$46,'TAR FIN'!$A$1:$O$86,15,0))</f>
        <v>0</v>
      </c>
      <c r="W46" s="6">
        <f>IF(ISERROR(VLOOKUP($T$46,'TAR FIN'!$A$1:$O$86,15,0)),0,VLOOKUP($T$46,'TAR FIN'!$A$1:$O$86,15,0))</f>
        <v>73.19</v>
      </c>
      <c r="X46" s="6">
        <f>IF(ISERROR(VLOOKUP($U$46,'TAR FIN'!$A$1:$O$86,15,0)),0,VLOOKUP($U$46,'TAR FIN'!$A$1:$O$86,15,0))</f>
        <v>0</v>
      </c>
      <c r="Y46" s="6"/>
      <c r="Z46" s="6">
        <f ca="1">('TUSD BE'!$AM$12+'TUSD BF'!$AM$12+'TUSD CVA'!$AM$12)*1</f>
        <v>117.83242038312405</v>
      </c>
      <c r="AA46" s="6"/>
      <c r="AB46" s="6">
        <f t="shared" si="0"/>
        <v>0</v>
      </c>
      <c r="AC46" s="6">
        <f t="shared" si="6"/>
        <v>0</v>
      </c>
      <c r="AD46" s="6">
        <f t="shared" si="2"/>
        <v>0</v>
      </c>
      <c r="AE46" s="6">
        <f t="shared" ca="1" si="7"/>
        <v>0</v>
      </c>
      <c r="AF46" s="4" t="s">
        <v>651</v>
      </c>
    </row>
    <row r="47" spans="1:32" ht="11.25" customHeight="1" x14ac:dyDescent="0.25">
      <c r="A47" s="4" t="s">
        <v>21</v>
      </c>
      <c r="B47" s="4" t="s">
        <v>35</v>
      </c>
      <c r="C47" s="4" t="s">
        <v>39</v>
      </c>
      <c r="D47" s="4" t="s">
        <v>34</v>
      </c>
      <c r="E47" s="4" t="s">
        <v>25</v>
      </c>
      <c r="F47" s="4" t="s">
        <v>56</v>
      </c>
      <c r="G47" s="4" t="s">
        <v>25</v>
      </c>
      <c r="H47" s="4" t="s">
        <v>38</v>
      </c>
      <c r="I47" s="5">
        <v>44682</v>
      </c>
      <c r="J47" s="6">
        <v>0</v>
      </c>
      <c r="K47" s="6">
        <v>0</v>
      </c>
      <c r="L47" s="6">
        <v>2743.3420000000001</v>
      </c>
      <c r="M47" s="6">
        <v>2743.3420000000001</v>
      </c>
      <c r="N47" s="6">
        <v>0</v>
      </c>
      <c r="O47" s="6">
        <v>0</v>
      </c>
      <c r="P47" s="6">
        <v>0</v>
      </c>
      <c r="Q47" s="4" t="s">
        <v>57</v>
      </c>
      <c r="R47" s="4">
        <v>0</v>
      </c>
      <c r="S47" s="4">
        <v>0</v>
      </c>
      <c r="T47" s="4">
        <v>18</v>
      </c>
      <c r="U47" s="4">
        <v>0</v>
      </c>
      <c r="V47" s="6">
        <f>IF(ISERROR(VLOOKUP($S$47,'TAR FIN'!$A$1:$O$86,15,0)),0,VLOOKUP($S$47,'TAR FIN'!$A$1:$O$86,15,0))</f>
        <v>0</v>
      </c>
      <c r="W47" s="6">
        <f>IF(ISERROR(VLOOKUP($T$47,'TAR FIN'!$A$1:$O$86,15,0)),0,VLOOKUP($T$47,'TAR FIN'!$A$1:$O$86,15,0))</f>
        <v>73.19</v>
      </c>
      <c r="X47" s="6">
        <f>IF(ISERROR(VLOOKUP($U$47,'TAR FIN'!$A$1:$O$86,15,0)),0,VLOOKUP($U$47,'TAR FIN'!$A$1:$O$86,15,0))</f>
        <v>0</v>
      </c>
      <c r="Y47" s="6"/>
      <c r="Z47" s="6">
        <f ca="1">('TUSD BE'!$AM$12+'TUSD BF'!$AM$12+'TUSD CVA'!$AM$12)*1</f>
        <v>117.83242038312405</v>
      </c>
      <c r="AA47" s="6"/>
      <c r="AB47" s="6">
        <f t="shared" si="0"/>
        <v>0</v>
      </c>
      <c r="AC47" s="6">
        <f t="shared" si="6"/>
        <v>0</v>
      </c>
      <c r="AD47" s="6">
        <f t="shared" si="2"/>
        <v>0</v>
      </c>
      <c r="AE47" s="6">
        <f t="shared" ca="1" si="7"/>
        <v>0</v>
      </c>
      <c r="AF47" s="4" t="s">
        <v>651</v>
      </c>
    </row>
    <row r="48" spans="1:32" ht="11.25" customHeight="1" x14ac:dyDescent="0.25">
      <c r="A48" s="4" t="s">
        <v>21</v>
      </c>
      <c r="B48" s="4" t="s">
        <v>35</v>
      </c>
      <c r="C48" s="4" t="s">
        <v>39</v>
      </c>
      <c r="D48" s="4" t="s">
        <v>34</v>
      </c>
      <c r="E48" s="4" t="s">
        <v>25</v>
      </c>
      <c r="F48" s="4" t="s">
        <v>56</v>
      </c>
      <c r="G48" s="4" t="s">
        <v>25</v>
      </c>
      <c r="H48" s="4" t="s">
        <v>38</v>
      </c>
      <c r="I48" s="5">
        <v>44713</v>
      </c>
      <c r="J48" s="6">
        <v>0</v>
      </c>
      <c r="K48" s="6">
        <v>0</v>
      </c>
      <c r="L48" s="6">
        <v>2720.0070000000001</v>
      </c>
      <c r="M48" s="6">
        <v>2720.0070000000001</v>
      </c>
      <c r="N48" s="6">
        <v>0</v>
      </c>
      <c r="O48" s="6">
        <v>0</v>
      </c>
      <c r="P48" s="6">
        <v>0</v>
      </c>
      <c r="Q48" s="4" t="s">
        <v>57</v>
      </c>
      <c r="R48" s="4">
        <v>0</v>
      </c>
      <c r="S48" s="4">
        <v>0</v>
      </c>
      <c r="T48" s="4">
        <v>18</v>
      </c>
      <c r="U48" s="4">
        <v>0</v>
      </c>
      <c r="V48" s="6">
        <f>IF(ISERROR(VLOOKUP($S$48,'TAR FIN'!$A$1:$O$86,15,0)),0,VLOOKUP($S$48,'TAR FIN'!$A$1:$O$86,15,0))</f>
        <v>0</v>
      </c>
      <c r="W48" s="6">
        <f>IF(ISERROR(VLOOKUP($T$48,'TAR FIN'!$A$1:$O$86,15,0)),0,VLOOKUP($T$48,'TAR FIN'!$A$1:$O$86,15,0))</f>
        <v>73.19</v>
      </c>
      <c r="X48" s="6">
        <f>IF(ISERROR(VLOOKUP($U$48,'TAR FIN'!$A$1:$O$86,15,0)),0,VLOOKUP($U$48,'TAR FIN'!$A$1:$O$86,15,0))</f>
        <v>0</v>
      </c>
      <c r="Y48" s="6"/>
      <c r="Z48" s="6">
        <f ca="1">('TUSD BE'!$AM$12+'TUSD BF'!$AM$12+'TUSD CVA'!$AM$12)*1</f>
        <v>117.83242038312405</v>
      </c>
      <c r="AA48" s="6"/>
      <c r="AB48" s="6">
        <f t="shared" si="0"/>
        <v>0</v>
      </c>
      <c r="AC48" s="6">
        <f t="shared" si="6"/>
        <v>0</v>
      </c>
      <c r="AD48" s="6">
        <f t="shared" si="2"/>
        <v>0</v>
      </c>
      <c r="AE48" s="6">
        <f t="shared" ca="1" si="7"/>
        <v>0</v>
      </c>
      <c r="AF48" s="4" t="s">
        <v>651</v>
      </c>
    </row>
    <row r="49" spans="1:32" ht="11.25" customHeight="1" x14ac:dyDescent="0.25">
      <c r="A49" s="4" t="s">
        <v>55</v>
      </c>
      <c r="B49" s="4" t="s">
        <v>35</v>
      </c>
      <c r="C49" s="4" t="s">
        <v>39</v>
      </c>
      <c r="D49" s="4" t="s">
        <v>34</v>
      </c>
      <c r="E49" s="4" t="s">
        <v>25</v>
      </c>
      <c r="F49" s="4" t="s">
        <v>56</v>
      </c>
      <c r="G49" s="4" t="s">
        <v>25</v>
      </c>
      <c r="H49" s="4" t="s">
        <v>38</v>
      </c>
      <c r="I49" s="5">
        <v>44743</v>
      </c>
      <c r="J49" s="6">
        <v>0</v>
      </c>
      <c r="K49" s="6">
        <v>0</v>
      </c>
      <c r="L49" s="6">
        <v>2720.0070000000001</v>
      </c>
      <c r="M49" s="6">
        <v>2720.0070000000001</v>
      </c>
      <c r="N49" s="6">
        <v>0</v>
      </c>
      <c r="O49" s="6">
        <v>0</v>
      </c>
      <c r="P49" s="6">
        <v>0</v>
      </c>
      <c r="Q49" s="4" t="s">
        <v>57</v>
      </c>
      <c r="R49" s="4">
        <v>0</v>
      </c>
      <c r="S49" s="4">
        <v>0</v>
      </c>
      <c r="T49" s="4">
        <v>18</v>
      </c>
      <c r="U49" s="4">
        <v>0</v>
      </c>
      <c r="V49" s="6">
        <f>IF(ISERROR(VLOOKUP($S$49,'TAR FIN'!$A$1:$O$86,15,0)),0,VLOOKUP($S$49,'TAR FIN'!$A$1:$O$86,15,0))</f>
        <v>0</v>
      </c>
      <c r="W49" s="6">
        <f>IF(ISERROR(VLOOKUP($T$49,'TAR FIN'!$A$1:$O$86,15,0)),0,VLOOKUP($T$49,'TAR FIN'!$A$1:$O$86,15,0))</f>
        <v>73.19</v>
      </c>
      <c r="X49" s="6">
        <f>IF(ISERROR(VLOOKUP($U$49,'TAR FIN'!$A$1:$O$86,15,0)),0,VLOOKUP($U$49,'TAR FIN'!$A$1:$O$86,15,0))</f>
        <v>0</v>
      </c>
      <c r="Y49" s="6"/>
      <c r="Z49" s="6">
        <f ca="1">('TUSD BE'!$AM$12+'TUSD BF'!$AM$12+'TUSD CVA'!$AM$12)*1</f>
        <v>117.83242038312405</v>
      </c>
      <c r="AA49" s="6"/>
      <c r="AB49" s="6">
        <f t="shared" si="0"/>
        <v>0</v>
      </c>
      <c r="AC49" s="6">
        <f t="shared" si="6"/>
        <v>0</v>
      </c>
      <c r="AD49" s="6">
        <f t="shared" si="2"/>
        <v>0</v>
      </c>
      <c r="AE49" s="6">
        <f t="shared" ca="1" si="7"/>
        <v>0</v>
      </c>
      <c r="AF49" s="4" t="s">
        <v>651</v>
      </c>
    </row>
    <row r="50" spans="1:32" ht="11.25" customHeight="1" x14ac:dyDescent="0.25">
      <c r="A50" s="4" t="s">
        <v>21</v>
      </c>
      <c r="B50" s="4" t="s">
        <v>35</v>
      </c>
      <c r="C50" s="4" t="s">
        <v>39</v>
      </c>
      <c r="D50" s="4" t="s">
        <v>34</v>
      </c>
      <c r="E50" s="4" t="s">
        <v>25</v>
      </c>
      <c r="F50" s="4" t="s">
        <v>56</v>
      </c>
      <c r="G50" s="4" t="s">
        <v>25</v>
      </c>
      <c r="H50" s="4" t="s">
        <v>25</v>
      </c>
      <c r="I50" s="5">
        <v>44409</v>
      </c>
      <c r="J50" s="6">
        <v>10322</v>
      </c>
      <c r="K50" s="6">
        <v>4424.0092000000004</v>
      </c>
      <c r="L50" s="6">
        <v>0</v>
      </c>
      <c r="M50" s="6">
        <v>0</v>
      </c>
      <c r="N50" s="6">
        <v>0</v>
      </c>
      <c r="O50" s="6">
        <v>0</v>
      </c>
      <c r="P50" s="6">
        <v>7</v>
      </c>
      <c r="Q50" s="4" t="s">
        <v>57</v>
      </c>
      <c r="R50" s="4">
        <v>0</v>
      </c>
      <c r="S50" s="4">
        <v>24</v>
      </c>
      <c r="T50" s="4">
        <v>0</v>
      </c>
      <c r="U50" s="4">
        <v>0</v>
      </c>
      <c r="V50" s="6">
        <f>IF(ISERROR(VLOOKUP($S$50,'TAR FIN'!$A$1:$O$86,15,0)),0,VLOOKUP($S$50,'TAR FIN'!$A$1:$O$86,15,0))</f>
        <v>22.9</v>
      </c>
      <c r="W50" s="6">
        <f>IF(ISERROR(VLOOKUP($T$50,'TAR FIN'!$A$1:$O$86,15,0)),0,VLOOKUP($T$50,'TAR FIN'!$A$1:$O$86,15,0))</f>
        <v>0</v>
      </c>
      <c r="X50" s="6">
        <f>IF(ISERROR(VLOOKUP($U$50,'TAR FIN'!$A$1:$O$86,15,0)),0,VLOOKUP($U$50,'TAR FIN'!$A$1:$O$86,15,0))</f>
        <v>0</v>
      </c>
      <c r="Y50" s="6">
        <f ca="1">('TUSD BE'!$AM$10+'TUSD BF'!$AM$10+'TUSD CVA'!$AM$10)*1</f>
        <v>21.733731888847863</v>
      </c>
      <c r="Z50" s="6"/>
      <c r="AA50" s="6"/>
      <c r="AB50" s="6">
        <f t="shared" si="0"/>
        <v>135063.98931999999</v>
      </c>
      <c r="AC50" s="6">
        <f t="shared" si="6"/>
        <v>0</v>
      </c>
      <c r="AD50" s="6">
        <f t="shared" ca="1" si="2"/>
        <v>128185.35073009132</v>
      </c>
      <c r="AE50" s="6">
        <f t="shared" si="7"/>
        <v>0</v>
      </c>
      <c r="AF50" s="4" t="s">
        <v>651</v>
      </c>
    </row>
    <row r="51" spans="1:32" ht="11.25" customHeight="1" x14ac:dyDescent="0.25">
      <c r="A51" s="4" t="s">
        <v>21</v>
      </c>
      <c r="B51" s="4" t="s">
        <v>35</v>
      </c>
      <c r="C51" s="4" t="s">
        <v>39</v>
      </c>
      <c r="D51" s="4" t="s">
        <v>34</v>
      </c>
      <c r="E51" s="4" t="s">
        <v>25</v>
      </c>
      <c r="F51" s="4" t="s">
        <v>56</v>
      </c>
      <c r="G51" s="4" t="s">
        <v>25</v>
      </c>
      <c r="H51" s="4" t="s">
        <v>25</v>
      </c>
      <c r="I51" s="5">
        <v>44440</v>
      </c>
      <c r="J51" s="6">
        <v>10306</v>
      </c>
      <c r="K51" s="6">
        <v>4902.5641999999998</v>
      </c>
      <c r="L51" s="6">
        <v>0</v>
      </c>
      <c r="M51" s="6">
        <v>0</v>
      </c>
      <c r="N51" s="6">
        <v>0</v>
      </c>
      <c r="O51" s="6">
        <v>0</v>
      </c>
      <c r="P51" s="6">
        <v>7</v>
      </c>
      <c r="Q51" s="4" t="s">
        <v>57</v>
      </c>
      <c r="R51" s="4">
        <v>0</v>
      </c>
      <c r="S51" s="4">
        <v>24</v>
      </c>
      <c r="T51" s="4">
        <v>0</v>
      </c>
      <c r="U51" s="4">
        <v>0</v>
      </c>
      <c r="V51" s="6">
        <f>IF(ISERROR(VLOOKUP($S$51,'TAR FIN'!$A$1:$O$86,15,0)),0,VLOOKUP($S$51,'TAR FIN'!$A$1:$O$86,15,0))</f>
        <v>22.9</v>
      </c>
      <c r="W51" s="6">
        <f>IF(ISERROR(VLOOKUP($T$51,'TAR FIN'!$A$1:$O$86,15,0)),0,VLOOKUP($T$51,'TAR FIN'!$A$1:$O$86,15,0))</f>
        <v>0</v>
      </c>
      <c r="X51" s="6">
        <f>IF(ISERROR(VLOOKUP($U$51,'TAR FIN'!$A$1:$O$86,15,0)),0,VLOOKUP($U$51,'TAR FIN'!$A$1:$O$86,15,0))</f>
        <v>0</v>
      </c>
      <c r="Y51" s="6">
        <f ca="1">('TUSD BE'!$AM$10+'TUSD BF'!$AM$10+'TUSD CVA'!$AM$10)*1</f>
        <v>21.733731888847863</v>
      </c>
      <c r="Z51" s="6"/>
      <c r="AA51" s="6"/>
      <c r="AB51" s="6">
        <f t="shared" si="0"/>
        <v>123738.67981999999</v>
      </c>
      <c r="AC51" s="6">
        <f t="shared" si="6"/>
        <v>0</v>
      </c>
      <c r="AD51" s="6">
        <f t="shared" ca="1" si="2"/>
        <v>117436.82495580216</v>
      </c>
      <c r="AE51" s="6">
        <f t="shared" si="7"/>
        <v>0</v>
      </c>
      <c r="AF51" s="4" t="s">
        <v>651</v>
      </c>
    </row>
    <row r="52" spans="1:32" ht="11.25" customHeight="1" x14ac:dyDescent="0.25">
      <c r="A52" s="4" t="s">
        <v>21</v>
      </c>
      <c r="B52" s="4" t="s">
        <v>35</v>
      </c>
      <c r="C52" s="4" t="s">
        <v>39</v>
      </c>
      <c r="D52" s="4" t="s">
        <v>34</v>
      </c>
      <c r="E52" s="4" t="s">
        <v>25</v>
      </c>
      <c r="F52" s="4" t="s">
        <v>56</v>
      </c>
      <c r="G52" s="4" t="s">
        <v>25</v>
      </c>
      <c r="H52" s="4" t="s">
        <v>25</v>
      </c>
      <c r="I52" s="5">
        <v>44470</v>
      </c>
      <c r="J52" s="6">
        <v>10319</v>
      </c>
      <c r="K52" s="6">
        <v>4909.7802000000001</v>
      </c>
      <c r="L52" s="6">
        <v>0</v>
      </c>
      <c r="M52" s="6">
        <v>0</v>
      </c>
      <c r="N52" s="6">
        <v>0</v>
      </c>
      <c r="O52" s="6">
        <v>0</v>
      </c>
      <c r="P52" s="6">
        <v>7</v>
      </c>
      <c r="Q52" s="4" t="s">
        <v>57</v>
      </c>
      <c r="R52" s="4">
        <v>0</v>
      </c>
      <c r="S52" s="4">
        <v>24</v>
      </c>
      <c r="T52" s="4">
        <v>0</v>
      </c>
      <c r="U52" s="4">
        <v>0</v>
      </c>
      <c r="V52" s="6">
        <f>IF(ISERROR(VLOOKUP($S$52,'TAR FIN'!$A$1:$O$86,15,0)),0,VLOOKUP($S$52,'TAR FIN'!$A$1:$O$86,15,0))</f>
        <v>22.9</v>
      </c>
      <c r="W52" s="6">
        <f>IF(ISERROR(VLOOKUP($T$52,'TAR FIN'!$A$1:$O$86,15,0)),0,VLOOKUP($T$52,'TAR FIN'!$A$1:$O$86,15,0))</f>
        <v>0</v>
      </c>
      <c r="X52" s="6">
        <f>IF(ISERROR(VLOOKUP($U$52,'TAR FIN'!$A$1:$O$86,15,0)),0,VLOOKUP($U$52,'TAR FIN'!$A$1:$O$86,15,0))</f>
        <v>0</v>
      </c>
      <c r="Y52" s="6">
        <f ca="1">('TUSD BE'!$AM$10+'TUSD BF'!$AM$10+'TUSD CVA'!$AM$10)*1</f>
        <v>21.733731888847863</v>
      </c>
      <c r="Z52" s="6"/>
      <c r="AA52" s="6"/>
      <c r="AB52" s="6">
        <f t="shared" si="0"/>
        <v>123871.13341999998</v>
      </c>
      <c r="AC52" s="6">
        <f t="shared" si="6"/>
        <v>0</v>
      </c>
      <c r="AD52" s="6">
        <f t="shared" ca="1" si="2"/>
        <v>117562.53286104726</v>
      </c>
      <c r="AE52" s="6">
        <f t="shared" si="7"/>
        <v>0</v>
      </c>
      <c r="AF52" s="4" t="s">
        <v>651</v>
      </c>
    </row>
    <row r="53" spans="1:32" ht="11.25" customHeight="1" x14ac:dyDescent="0.25">
      <c r="A53" s="4" t="s">
        <v>21</v>
      </c>
      <c r="B53" s="4" t="s">
        <v>35</v>
      </c>
      <c r="C53" s="4" t="s">
        <v>39</v>
      </c>
      <c r="D53" s="4" t="s">
        <v>34</v>
      </c>
      <c r="E53" s="4" t="s">
        <v>25</v>
      </c>
      <c r="F53" s="4" t="s">
        <v>56</v>
      </c>
      <c r="G53" s="4" t="s">
        <v>25</v>
      </c>
      <c r="H53" s="4" t="s">
        <v>25</v>
      </c>
      <c r="I53" s="5">
        <v>44501</v>
      </c>
      <c r="J53" s="6">
        <v>10344</v>
      </c>
      <c r="K53" s="6">
        <v>4921.6751999999997</v>
      </c>
      <c r="L53" s="6">
        <v>0</v>
      </c>
      <c r="M53" s="6">
        <v>0</v>
      </c>
      <c r="N53" s="6">
        <v>0</v>
      </c>
      <c r="O53" s="6">
        <v>0</v>
      </c>
      <c r="P53" s="6">
        <v>7</v>
      </c>
      <c r="Q53" s="4" t="s">
        <v>57</v>
      </c>
      <c r="R53" s="4">
        <v>0</v>
      </c>
      <c r="S53" s="4">
        <v>24</v>
      </c>
      <c r="T53" s="4">
        <v>0</v>
      </c>
      <c r="U53" s="4">
        <v>0</v>
      </c>
      <c r="V53" s="6">
        <f>IF(ISERROR(VLOOKUP($S$53,'TAR FIN'!$A$1:$O$86,15,0)),0,VLOOKUP($S$53,'TAR FIN'!$A$1:$O$86,15,0))</f>
        <v>22.9</v>
      </c>
      <c r="W53" s="6">
        <f>IF(ISERROR(VLOOKUP($T$53,'TAR FIN'!$A$1:$O$86,15,0)),0,VLOOKUP($T$53,'TAR FIN'!$A$1:$O$86,15,0))</f>
        <v>0</v>
      </c>
      <c r="X53" s="6">
        <f>IF(ISERROR(VLOOKUP($U$53,'TAR FIN'!$A$1:$O$86,15,0)),0,VLOOKUP($U$53,'TAR FIN'!$A$1:$O$86,15,0))</f>
        <v>0</v>
      </c>
      <c r="Y53" s="6">
        <f ca="1">('TUSD BE'!$AM$10+'TUSD BF'!$AM$10+'TUSD CVA'!$AM$10)*1</f>
        <v>21.733731888847863</v>
      </c>
      <c r="Z53" s="6"/>
      <c r="AA53" s="6"/>
      <c r="AB53" s="6">
        <f t="shared" si="0"/>
        <v>124171.23792</v>
      </c>
      <c r="AC53" s="6">
        <f t="shared" si="6"/>
        <v>0</v>
      </c>
      <c r="AD53" s="6">
        <f t="shared" ca="1" si="2"/>
        <v>117847.35341745062</v>
      </c>
      <c r="AE53" s="6">
        <f t="shared" si="7"/>
        <v>0</v>
      </c>
      <c r="AF53" s="4" t="s">
        <v>651</v>
      </c>
    </row>
    <row r="54" spans="1:32" ht="11.25" customHeight="1" x14ac:dyDescent="0.25">
      <c r="A54" s="4" t="s">
        <v>21</v>
      </c>
      <c r="B54" s="4" t="s">
        <v>35</v>
      </c>
      <c r="C54" s="4" t="s">
        <v>39</v>
      </c>
      <c r="D54" s="4" t="s">
        <v>34</v>
      </c>
      <c r="E54" s="4" t="s">
        <v>25</v>
      </c>
      <c r="F54" s="4" t="s">
        <v>56</v>
      </c>
      <c r="G54" s="4" t="s">
        <v>25</v>
      </c>
      <c r="H54" s="4" t="s">
        <v>25</v>
      </c>
      <c r="I54" s="5">
        <v>44531</v>
      </c>
      <c r="J54" s="6">
        <v>10347</v>
      </c>
      <c r="K54" s="6">
        <v>4923.1026000000002</v>
      </c>
      <c r="L54" s="6">
        <v>0</v>
      </c>
      <c r="M54" s="6">
        <v>0</v>
      </c>
      <c r="N54" s="6">
        <v>0</v>
      </c>
      <c r="O54" s="6">
        <v>0</v>
      </c>
      <c r="P54" s="6">
        <v>7</v>
      </c>
      <c r="Q54" s="4" t="s">
        <v>57</v>
      </c>
      <c r="R54" s="4">
        <v>0</v>
      </c>
      <c r="S54" s="4">
        <v>24</v>
      </c>
      <c r="T54" s="4">
        <v>0</v>
      </c>
      <c r="U54" s="4">
        <v>0</v>
      </c>
      <c r="V54" s="6">
        <f>IF(ISERROR(VLOOKUP($S$54,'TAR FIN'!$A$1:$O$86,15,0)),0,VLOOKUP($S$54,'TAR FIN'!$A$1:$O$86,15,0))</f>
        <v>22.9</v>
      </c>
      <c r="W54" s="6">
        <f>IF(ISERROR(VLOOKUP($T$54,'TAR FIN'!$A$1:$O$86,15,0)),0,VLOOKUP($T$54,'TAR FIN'!$A$1:$O$86,15,0))</f>
        <v>0</v>
      </c>
      <c r="X54" s="6">
        <f>IF(ISERROR(VLOOKUP($U$54,'TAR FIN'!$A$1:$O$86,15,0)),0,VLOOKUP($U$54,'TAR FIN'!$A$1:$O$86,15,0))</f>
        <v>0</v>
      </c>
      <c r="Y54" s="6">
        <f ca="1">('TUSD BE'!$AM$10+'TUSD BF'!$AM$10+'TUSD CVA'!$AM$10)*1</f>
        <v>21.733731888847863</v>
      </c>
      <c r="Z54" s="6"/>
      <c r="AA54" s="6"/>
      <c r="AB54" s="6">
        <f t="shared" si="0"/>
        <v>124207.25046</v>
      </c>
      <c r="AC54" s="6">
        <f t="shared" si="6"/>
        <v>0</v>
      </c>
      <c r="AD54" s="6">
        <f t="shared" ca="1" si="2"/>
        <v>117881.53188421902</v>
      </c>
      <c r="AE54" s="6">
        <f t="shared" si="7"/>
        <v>0</v>
      </c>
      <c r="AF54" s="4" t="s">
        <v>651</v>
      </c>
    </row>
    <row r="55" spans="1:32" ht="11.25" customHeight="1" x14ac:dyDescent="0.25">
      <c r="A55" s="4" t="s">
        <v>21</v>
      </c>
      <c r="B55" s="4" t="s">
        <v>35</v>
      </c>
      <c r="C55" s="4" t="s">
        <v>39</v>
      </c>
      <c r="D55" s="4" t="s">
        <v>34</v>
      </c>
      <c r="E55" s="4" t="s">
        <v>25</v>
      </c>
      <c r="F55" s="4" t="s">
        <v>56</v>
      </c>
      <c r="G55" s="4" t="s">
        <v>25</v>
      </c>
      <c r="H55" s="4" t="s">
        <v>25</v>
      </c>
      <c r="I55" s="5">
        <v>44562</v>
      </c>
      <c r="J55" s="6">
        <v>10342</v>
      </c>
      <c r="K55" s="6">
        <v>4920.7236000000003</v>
      </c>
      <c r="L55" s="6">
        <v>0</v>
      </c>
      <c r="M55" s="6">
        <v>0</v>
      </c>
      <c r="N55" s="6">
        <v>0</v>
      </c>
      <c r="O55" s="6">
        <v>0</v>
      </c>
      <c r="P55" s="6">
        <v>7</v>
      </c>
      <c r="Q55" s="4" t="s">
        <v>57</v>
      </c>
      <c r="R55" s="4">
        <v>0</v>
      </c>
      <c r="S55" s="4">
        <v>24</v>
      </c>
      <c r="T55" s="4">
        <v>0</v>
      </c>
      <c r="U55" s="4">
        <v>0</v>
      </c>
      <c r="V55" s="6">
        <f>IF(ISERROR(VLOOKUP($S$55,'TAR FIN'!$A$1:$O$86,15,0)),0,VLOOKUP($S$55,'TAR FIN'!$A$1:$O$86,15,0))</f>
        <v>22.9</v>
      </c>
      <c r="W55" s="6">
        <f>IF(ISERROR(VLOOKUP($T$55,'TAR FIN'!$A$1:$O$86,15,0)),0,VLOOKUP($T$55,'TAR FIN'!$A$1:$O$86,15,0))</f>
        <v>0</v>
      </c>
      <c r="X55" s="6">
        <f>IF(ISERROR(VLOOKUP($U$55,'TAR FIN'!$A$1:$O$86,15,0)),0,VLOOKUP($U$55,'TAR FIN'!$A$1:$O$86,15,0))</f>
        <v>0</v>
      </c>
      <c r="Y55" s="6">
        <f ca="1">('TUSD BE'!$AM$10+'TUSD BF'!$AM$10+'TUSD CVA'!$AM$10)*1</f>
        <v>21.733731888847863</v>
      </c>
      <c r="Z55" s="6"/>
      <c r="AA55" s="6"/>
      <c r="AB55" s="6">
        <f t="shared" si="0"/>
        <v>124147.22955999999</v>
      </c>
      <c r="AC55" s="6">
        <f t="shared" si="6"/>
        <v>0</v>
      </c>
      <c r="AD55" s="6">
        <f t="shared" ca="1" si="2"/>
        <v>117824.56777293835</v>
      </c>
      <c r="AE55" s="6">
        <f t="shared" si="7"/>
        <v>0</v>
      </c>
      <c r="AF55" s="4" t="s">
        <v>651</v>
      </c>
    </row>
    <row r="56" spans="1:32" ht="11.25" customHeight="1" x14ac:dyDescent="0.25">
      <c r="A56" s="4" t="s">
        <v>21</v>
      </c>
      <c r="B56" s="4" t="s">
        <v>35</v>
      </c>
      <c r="C56" s="4" t="s">
        <v>39</v>
      </c>
      <c r="D56" s="4" t="s">
        <v>34</v>
      </c>
      <c r="E56" s="4" t="s">
        <v>25</v>
      </c>
      <c r="F56" s="4" t="s">
        <v>56</v>
      </c>
      <c r="G56" s="4" t="s">
        <v>25</v>
      </c>
      <c r="H56" s="4" t="s">
        <v>25</v>
      </c>
      <c r="I56" s="5">
        <v>44593</v>
      </c>
      <c r="J56" s="6">
        <v>10695</v>
      </c>
      <c r="K56" s="6">
        <v>5097.2370000000001</v>
      </c>
      <c r="L56" s="6">
        <v>0</v>
      </c>
      <c r="M56" s="6">
        <v>0</v>
      </c>
      <c r="N56" s="6">
        <v>0</v>
      </c>
      <c r="O56" s="6">
        <v>0</v>
      </c>
      <c r="P56" s="6">
        <v>7</v>
      </c>
      <c r="Q56" s="4" t="s">
        <v>57</v>
      </c>
      <c r="R56" s="4">
        <v>0</v>
      </c>
      <c r="S56" s="4">
        <v>24</v>
      </c>
      <c r="T56" s="4">
        <v>0</v>
      </c>
      <c r="U56" s="4">
        <v>0</v>
      </c>
      <c r="V56" s="6">
        <f>IF(ISERROR(VLOOKUP($S$56,'TAR FIN'!$A$1:$O$86,15,0)),0,VLOOKUP($S$56,'TAR FIN'!$A$1:$O$86,15,0))</f>
        <v>22.9</v>
      </c>
      <c r="W56" s="6">
        <f>IF(ISERROR(VLOOKUP($T$56,'TAR FIN'!$A$1:$O$86,15,0)),0,VLOOKUP($T$56,'TAR FIN'!$A$1:$O$86,15,0))</f>
        <v>0</v>
      </c>
      <c r="X56" s="6">
        <f>IF(ISERROR(VLOOKUP($U$56,'TAR FIN'!$A$1:$O$86,15,0)),0,VLOOKUP($U$56,'TAR FIN'!$A$1:$O$86,15,0))</f>
        <v>0</v>
      </c>
      <c r="Y56" s="6">
        <f ca="1">('TUSD BE'!$AM$10+'TUSD BF'!$AM$10+'TUSD CVA'!$AM$10)*1</f>
        <v>21.733731888847863</v>
      </c>
      <c r="Z56" s="6"/>
      <c r="AA56" s="6"/>
      <c r="AB56" s="6">
        <f t="shared" si="0"/>
        <v>128188.77269999999</v>
      </c>
      <c r="AC56" s="6">
        <f t="shared" si="6"/>
        <v>0</v>
      </c>
      <c r="AD56" s="6">
        <f t="shared" ca="1" si="2"/>
        <v>121660.28021931268</v>
      </c>
      <c r="AE56" s="6">
        <f t="shared" si="7"/>
        <v>0</v>
      </c>
      <c r="AF56" s="4" t="s">
        <v>651</v>
      </c>
    </row>
    <row r="57" spans="1:32" ht="11.25" customHeight="1" x14ac:dyDescent="0.25">
      <c r="A57" s="4" t="s">
        <v>21</v>
      </c>
      <c r="B57" s="4" t="s">
        <v>35</v>
      </c>
      <c r="C57" s="4" t="s">
        <v>39</v>
      </c>
      <c r="D57" s="4" t="s">
        <v>34</v>
      </c>
      <c r="E57" s="4" t="s">
        <v>25</v>
      </c>
      <c r="F57" s="4" t="s">
        <v>56</v>
      </c>
      <c r="G57" s="4" t="s">
        <v>25</v>
      </c>
      <c r="H57" s="4" t="s">
        <v>25</v>
      </c>
      <c r="I57" s="5">
        <v>44621</v>
      </c>
      <c r="J57" s="6">
        <v>10912</v>
      </c>
      <c r="K57" s="6">
        <v>5206.1152000000002</v>
      </c>
      <c r="L57" s="6">
        <v>0</v>
      </c>
      <c r="M57" s="6">
        <v>0</v>
      </c>
      <c r="N57" s="6">
        <v>0</v>
      </c>
      <c r="O57" s="6">
        <v>0</v>
      </c>
      <c r="P57" s="6">
        <v>7</v>
      </c>
      <c r="Q57" s="4" t="s">
        <v>57</v>
      </c>
      <c r="R57" s="4">
        <v>0</v>
      </c>
      <c r="S57" s="4">
        <v>24</v>
      </c>
      <c r="T57" s="4">
        <v>0</v>
      </c>
      <c r="U57" s="4">
        <v>0</v>
      </c>
      <c r="V57" s="6">
        <f>IF(ISERROR(VLOOKUP($S$57,'TAR FIN'!$A$1:$O$86,15,0)),0,VLOOKUP($S$57,'TAR FIN'!$A$1:$O$86,15,0))</f>
        <v>22.9</v>
      </c>
      <c r="W57" s="6">
        <f>IF(ISERROR(VLOOKUP($T$57,'TAR FIN'!$A$1:$O$86,15,0)),0,VLOOKUP($T$57,'TAR FIN'!$A$1:$O$86,15,0))</f>
        <v>0</v>
      </c>
      <c r="X57" s="6">
        <f>IF(ISERROR(VLOOKUP($U$57,'TAR FIN'!$A$1:$O$86,15,0)),0,VLOOKUP($U$57,'TAR FIN'!$A$1:$O$86,15,0))</f>
        <v>0</v>
      </c>
      <c r="Y57" s="6">
        <f ca="1">('TUSD BE'!$AM$10+'TUSD BF'!$AM$10+'TUSD CVA'!$AM$10)*1</f>
        <v>21.733731888847863</v>
      </c>
      <c r="Z57" s="6"/>
      <c r="AA57" s="6"/>
      <c r="AB57" s="6">
        <f t="shared" si="0"/>
        <v>130664.76191999999</v>
      </c>
      <c r="AC57" s="6">
        <f t="shared" si="6"/>
        <v>0</v>
      </c>
      <c r="AD57" s="6">
        <f t="shared" ca="1" si="2"/>
        <v>124010.17043185231</v>
      </c>
      <c r="AE57" s="6">
        <f t="shared" si="7"/>
        <v>0</v>
      </c>
      <c r="AF57" s="4" t="s">
        <v>651</v>
      </c>
    </row>
    <row r="58" spans="1:32" ht="11.25" customHeight="1" x14ac:dyDescent="0.25">
      <c r="A58" s="4" t="s">
        <v>21</v>
      </c>
      <c r="B58" s="4" t="s">
        <v>35</v>
      </c>
      <c r="C58" s="4" t="s">
        <v>39</v>
      </c>
      <c r="D58" s="4" t="s">
        <v>34</v>
      </c>
      <c r="E58" s="4" t="s">
        <v>25</v>
      </c>
      <c r="F58" s="4" t="s">
        <v>56</v>
      </c>
      <c r="G58" s="4" t="s">
        <v>25</v>
      </c>
      <c r="H58" s="4" t="s">
        <v>25</v>
      </c>
      <c r="I58" s="5">
        <v>44652</v>
      </c>
      <c r="J58" s="6">
        <v>11030</v>
      </c>
      <c r="K58" s="6">
        <v>5264.6189999999997</v>
      </c>
      <c r="L58" s="6">
        <v>0</v>
      </c>
      <c r="M58" s="6">
        <v>0</v>
      </c>
      <c r="N58" s="6">
        <v>0</v>
      </c>
      <c r="O58" s="6">
        <v>0</v>
      </c>
      <c r="P58" s="6">
        <v>7</v>
      </c>
      <c r="Q58" s="4" t="s">
        <v>57</v>
      </c>
      <c r="R58" s="4">
        <v>0</v>
      </c>
      <c r="S58" s="4">
        <v>24</v>
      </c>
      <c r="T58" s="4">
        <v>0</v>
      </c>
      <c r="U58" s="4">
        <v>0</v>
      </c>
      <c r="V58" s="6">
        <f>IF(ISERROR(VLOOKUP($S$58,'TAR FIN'!$A$1:$O$86,15,0)),0,VLOOKUP($S$58,'TAR FIN'!$A$1:$O$86,15,0))</f>
        <v>22.9</v>
      </c>
      <c r="W58" s="6">
        <f>IF(ISERROR(VLOOKUP($T$58,'TAR FIN'!$A$1:$O$86,15,0)),0,VLOOKUP($T$58,'TAR FIN'!$A$1:$O$86,15,0))</f>
        <v>0</v>
      </c>
      <c r="X58" s="6">
        <f>IF(ISERROR(VLOOKUP($U$58,'TAR FIN'!$A$1:$O$86,15,0)),0,VLOOKUP($U$58,'TAR FIN'!$A$1:$O$86,15,0))</f>
        <v>0</v>
      </c>
      <c r="Y58" s="6">
        <f ca="1">('TUSD BE'!$AM$10+'TUSD BF'!$AM$10+'TUSD CVA'!$AM$10)*1</f>
        <v>21.733731888847863</v>
      </c>
      <c r="Z58" s="6"/>
      <c r="AA58" s="6"/>
      <c r="AB58" s="6">
        <f t="shared" si="0"/>
        <v>132027.2249</v>
      </c>
      <c r="AC58" s="6">
        <f t="shared" si="6"/>
        <v>0</v>
      </c>
      <c r="AD58" s="6">
        <f t="shared" ca="1" si="2"/>
        <v>125303.24489105759</v>
      </c>
      <c r="AE58" s="6">
        <f t="shared" si="7"/>
        <v>0</v>
      </c>
      <c r="AF58" s="4" t="s">
        <v>651</v>
      </c>
    </row>
    <row r="59" spans="1:32" ht="11.25" customHeight="1" x14ac:dyDescent="0.25">
      <c r="A59" s="4" t="s">
        <v>21</v>
      </c>
      <c r="B59" s="4" t="s">
        <v>35</v>
      </c>
      <c r="C59" s="4" t="s">
        <v>39</v>
      </c>
      <c r="D59" s="4" t="s">
        <v>34</v>
      </c>
      <c r="E59" s="4" t="s">
        <v>25</v>
      </c>
      <c r="F59" s="4" t="s">
        <v>56</v>
      </c>
      <c r="G59" s="4" t="s">
        <v>25</v>
      </c>
      <c r="H59" s="4" t="s">
        <v>25</v>
      </c>
      <c r="I59" s="5">
        <v>44682</v>
      </c>
      <c r="J59" s="6">
        <v>10935</v>
      </c>
      <c r="K59" s="6">
        <v>5217.0884999999998</v>
      </c>
      <c r="L59" s="6">
        <v>0</v>
      </c>
      <c r="M59" s="6">
        <v>0</v>
      </c>
      <c r="N59" s="6">
        <v>0</v>
      </c>
      <c r="O59" s="6">
        <v>0</v>
      </c>
      <c r="P59" s="6">
        <v>7</v>
      </c>
      <c r="Q59" s="4" t="s">
        <v>57</v>
      </c>
      <c r="R59" s="4">
        <v>0</v>
      </c>
      <c r="S59" s="4">
        <v>24</v>
      </c>
      <c r="T59" s="4">
        <v>0</v>
      </c>
      <c r="U59" s="4">
        <v>0</v>
      </c>
      <c r="V59" s="6">
        <f>IF(ISERROR(VLOOKUP($S$59,'TAR FIN'!$A$1:$O$86,15,0)),0,VLOOKUP($S$59,'TAR FIN'!$A$1:$O$86,15,0))</f>
        <v>22.9</v>
      </c>
      <c r="W59" s="6">
        <f>IF(ISERROR(VLOOKUP($T$59,'TAR FIN'!$A$1:$O$86,15,0)),0,VLOOKUP($T$59,'TAR FIN'!$A$1:$O$86,15,0))</f>
        <v>0</v>
      </c>
      <c r="X59" s="6">
        <f>IF(ISERROR(VLOOKUP($U$59,'TAR FIN'!$A$1:$O$86,15,0)),0,VLOOKUP($U$59,'TAR FIN'!$A$1:$O$86,15,0))</f>
        <v>0</v>
      </c>
      <c r="Y59" s="6">
        <f ca="1">('TUSD BE'!$AM$10+'TUSD BF'!$AM$10+'TUSD CVA'!$AM$10)*1</f>
        <v>21.733731888847863</v>
      </c>
      <c r="Z59" s="6"/>
      <c r="AA59" s="6"/>
      <c r="AB59" s="6">
        <f t="shared" si="0"/>
        <v>130940.17335</v>
      </c>
      <c r="AC59" s="6">
        <f t="shared" si="6"/>
        <v>0</v>
      </c>
      <c r="AD59" s="6">
        <f t="shared" ca="1" si="2"/>
        <v>124271.55550515992</v>
      </c>
      <c r="AE59" s="6">
        <f t="shared" si="7"/>
        <v>0</v>
      </c>
      <c r="AF59" s="4" t="s">
        <v>651</v>
      </c>
    </row>
    <row r="60" spans="1:32" ht="11.25" customHeight="1" x14ac:dyDescent="0.25">
      <c r="A60" s="4" t="s">
        <v>21</v>
      </c>
      <c r="B60" s="4" t="s">
        <v>35</v>
      </c>
      <c r="C60" s="4" t="s">
        <v>39</v>
      </c>
      <c r="D60" s="4" t="s">
        <v>34</v>
      </c>
      <c r="E60" s="4" t="s">
        <v>25</v>
      </c>
      <c r="F60" s="4" t="s">
        <v>56</v>
      </c>
      <c r="G60" s="4" t="s">
        <v>25</v>
      </c>
      <c r="H60" s="4" t="s">
        <v>25</v>
      </c>
      <c r="I60" s="5">
        <v>44713</v>
      </c>
      <c r="J60" s="6">
        <v>10989</v>
      </c>
      <c r="K60" s="6">
        <v>5243.9507999999996</v>
      </c>
      <c r="L60" s="6">
        <v>0</v>
      </c>
      <c r="M60" s="6">
        <v>0</v>
      </c>
      <c r="N60" s="6">
        <v>0</v>
      </c>
      <c r="O60" s="6">
        <v>0</v>
      </c>
      <c r="P60" s="6">
        <v>7</v>
      </c>
      <c r="Q60" s="4" t="s">
        <v>57</v>
      </c>
      <c r="R60" s="4">
        <v>0</v>
      </c>
      <c r="S60" s="4">
        <v>24</v>
      </c>
      <c r="T60" s="4">
        <v>0</v>
      </c>
      <c r="U60" s="4">
        <v>0</v>
      </c>
      <c r="V60" s="6">
        <f>IF(ISERROR(VLOOKUP($S$60,'TAR FIN'!$A$1:$O$86,15,0)),0,VLOOKUP($S$60,'TAR FIN'!$A$1:$O$86,15,0))</f>
        <v>22.9</v>
      </c>
      <c r="W60" s="6">
        <f>IF(ISERROR(VLOOKUP($T$60,'TAR FIN'!$A$1:$O$86,15,0)),0,VLOOKUP($T$60,'TAR FIN'!$A$1:$O$86,15,0))</f>
        <v>0</v>
      </c>
      <c r="X60" s="6">
        <f>IF(ISERROR(VLOOKUP($U$60,'TAR FIN'!$A$1:$O$86,15,0)),0,VLOOKUP($U$60,'TAR FIN'!$A$1:$O$86,15,0))</f>
        <v>0</v>
      </c>
      <c r="Y60" s="6">
        <f ca="1">('TUSD BE'!$AM$10+'TUSD BF'!$AM$10+'TUSD CVA'!$AM$10)*1</f>
        <v>21.733731888847863</v>
      </c>
      <c r="Z60" s="6"/>
      <c r="AA60" s="6"/>
      <c r="AB60" s="6">
        <f t="shared" si="0"/>
        <v>131561.62667999999</v>
      </c>
      <c r="AC60" s="6">
        <f t="shared" si="6"/>
        <v>0</v>
      </c>
      <c r="AD60" s="6">
        <f t="shared" ca="1" si="2"/>
        <v>124861.35900103992</v>
      </c>
      <c r="AE60" s="6">
        <f t="shared" si="7"/>
        <v>0</v>
      </c>
      <c r="AF60" s="4" t="s">
        <v>651</v>
      </c>
    </row>
    <row r="61" spans="1:32" ht="11.25" customHeight="1" x14ac:dyDescent="0.25">
      <c r="A61" s="4" t="s">
        <v>55</v>
      </c>
      <c r="B61" s="4" t="s">
        <v>35</v>
      </c>
      <c r="C61" s="4" t="s">
        <v>39</v>
      </c>
      <c r="D61" s="4" t="s">
        <v>34</v>
      </c>
      <c r="E61" s="4" t="s">
        <v>25</v>
      </c>
      <c r="F61" s="4" t="s">
        <v>56</v>
      </c>
      <c r="G61" s="4" t="s">
        <v>25</v>
      </c>
      <c r="H61" s="4" t="s">
        <v>25</v>
      </c>
      <c r="I61" s="5">
        <v>44743</v>
      </c>
      <c r="J61" s="6">
        <v>10989</v>
      </c>
      <c r="K61" s="6">
        <v>5243.9507999999996</v>
      </c>
      <c r="L61" s="6">
        <v>0</v>
      </c>
      <c r="M61" s="6">
        <v>0</v>
      </c>
      <c r="N61" s="6">
        <v>0</v>
      </c>
      <c r="O61" s="6">
        <v>0</v>
      </c>
      <c r="P61" s="6">
        <v>7</v>
      </c>
      <c r="Q61" s="4" t="s">
        <v>57</v>
      </c>
      <c r="R61" s="4">
        <v>0</v>
      </c>
      <c r="S61" s="4">
        <v>24</v>
      </c>
      <c r="T61" s="4">
        <v>0</v>
      </c>
      <c r="U61" s="4">
        <v>0</v>
      </c>
      <c r="V61" s="6">
        <f>IF(ISERROR(VLOOKUP($S$61,'TAR FIN'!$A$1:$O$86,15,0)),0,VLOOKUP($S$61,'TAR FIN'!$A$1:$O$86,15,0))</f>
        <v>22.9</v>
      </c>
      <c r="W61" s="6">
        <f>IF(ISERROR(VLOOKUP($T$61,'TAR FIN'!$A$1:$O$86,15,0)),0,VLOOKUP($T$61,'TAR FIN'!$A$1:$O$86,15,0))</f>
        <v>0</v>
      </c>
      <c r="X61" s="6">
        <f>IF(ISERROR(VLOOKUP($U$61,'TAR FIN'!$A$1:$O$86,15,0)),0,VLOOKUP($U$61,'TAR FIN'!$A$1:$O$86,15,0))</f>
        <v>0</v>
      </c>
      <c r="Y61" s="6">
        <f ca="1">('TUSD BE'!$AM$10+'TUSD BF'!$AM$10+'TUSD CVA'!$AM$10)*1</f>
        <v>21.733731888847863</v>
      </c>
      <c r="Z61" s="6"/>
      <c r="AA61" s="6"/>
      <c r="AB61" s="6">
        <f t="shared" si="0"/>
        <v>131561.62667999999</v>
      </c>
      <c r="AC61" s="6">
        <f t="shared" si="6"/>
        <v>0</v>
      </c>
      <c r="AD61" s="6">
        <f t="shared" ca="1" si="2"/>
        <v>124861.35900103992</v>
      </c>
      <c r="AE61" s="6">
        <f t="shared" si="7"/>
        <v>0</v>
      </c>
      <c r="AF61" s="4" t="s">
        <v>651</v>
      </c>
    </row>
    <row r="62" spans="1:32" ht="11.25" customHeight="1" x14ac:dyDescent="0.25">
      <c r="A62" s="4" t="s">
        <v>21</v>
      </c>
      <c r="B62" s="4" t="s">
        <v>35</v>
      </c>
      <c r="C62" s="4" t="s">
        <v>39</v>
      </c>
      <c r="D62" s="4" t="s">
        <v>34</v>
      </c>
      <c r="E62" s="4" t="s">
        <v>25</v>
      </c>
      <c r="F62" s="4" t="s">
        <v>56</v>
      </c>
      <c r="G62" s="4" t="s">
        <v>25</v>
      </c>
      <c r="H62" s="4" t="s">
        <v>37</v>
      </c>
      <c r="I62" s="5">
        <v>44409</v>
      </c>
      <c r="J62" s="6">
        <v>0</v>
      </c>
      <c r="K62" s="6">
        <v>0</v>
      </c>
      <c r="L62" s="6">
        <v>221.56700000000001</v>
      </c>
      <c r="M62" s="6">
        <v>94.963616200000004</v>
      </c>
      <c r="N62" s="6">
        <v>0</v>
      </c>
      <c r="O62" s="6">
        <v>0</v>
      </c>
      <c r="P62" s="6">
        <v>0</v>
      </c>
      <c r="Q62" s="4" t="s">
        <v>57</v>
      </c>
      <c r="R62" s="4">
        <v>0</v>
      </c>
      <c r="S62" s="4">
        <v>0</v>
      </c>
      <c r="T62" s="4">
        <v>5</v>
      </c>
      <c r="U62" s="4">
        <v>0</v>
      </c>
      <c r="V62" s="6">
        <f>IF(ISERROR(VLOOKUP($S$62,'TAR FIN'!$A$1:$O$86,15,0)),0,VLOOKUP($S$62,'TAR FIN'!$A$1:$O$86,15,0))</f>
        <v>0</v>
      </c>
      <c r="W62" s="6">
        <f>IF(ISERROR(VLOOKUP($T$62,'TAR FIN'!$A$1:$O$86,15,0)),0,VLOOKUP($T$62,'TAR FIN'!$A$1:$O$86,15,0))</f>
        <v>1518.97</v>
      </c>
      <c r="X62" s="6">
        <f>IF(ISERROR(VLOOKUP($U$62,'TAR FIN'!$A$1:$O$86,15,0)),0,VLOOKUP($U$62,'TAR FIN'!$A$1:$O$86,15,0))</f>
        <v>0</v>
      </c>
      <c r="Y62" s="6"/>
      <c r="Z62" s="6">
        <f ca="1">('TUSD BE'!$AM$11+'TUSD BF'!$AM$11+'TUSD CVA'!$AM$11)*1</f>
        <v>1492.9858702094405</v>
      </c>
      <c r="AA62" s="6"/>
      <c r="AB62" s="6">
        <f t="shared" si="0"/>
        <v>0</v>
      </c>
      <c r="AC62" s="6">
        <f t="shared" si="6"/>
        <v>192306.74189068601</v>
      </c>
      <c r="AD62" s="6">
        <f t="shared" si="2"/>
        <v>0</v>
      </c>
      <c r="AE62" s="6">
        <f t="shared" ca="1" si="7"/>
        <v>189017.06313410279</v>
      </c>
      <c r="AF62" s="4" t="s">
        <v>651</v>
      </c>
    </row>
    <row r="63" spans="1:32" ht="11.25" customHeight="1" x14ac:dyDescent="0.25">
      <c r="A63" s="4" t="s">
        <v>21</v>
      </c>
      <c r="B63" s="4" t="s">
        <v>35</v>
      </c>
      <c r="C63" s="4" t="s">
        <v>39</v>
      </c>
      <c r="D63" s="4" t="s">
        <v>34</v>
      </c>
      <c r="E63" s="4" t="s">
        <v>25</v>
      </c>
      <c r="F63" s="4" t="s">
        <v>56</v>
      </c>
      <c r="G63" s="4" t="s">
        <v>25</v>
      </c>
      <c r="H63" s="4" t="s">
        <v>37</v>
      </c>
      <c r="I63" s="5">
        <v>44440</v>
      </c>
      <c r="J63" s="6">
        <v>0</v>
      </c>
      <c r="K63" s="6">
        <v>0</v>
      </c>
      <c r="L63" s="6">
        <v>233.02</v>
      </c>
      <c r="M63" s="6">
        <v>116.183772</v>
      </c>
      <c r="N63" s="6">
        <v>0</v>
      </c>
      <c r="O63" s="6">
        <v>0</v>
      </c>
      <c r="P63" s="6">
        <v>0</v>
      </c>
      <c r="Q63" s="4" t="s">
        <v>57</v>
      </c>
      <c r="R63" s="4">
        <v>0</v>
      </c>
      <c r="S63" s="4">
        <v>0</v>
      </c>
      <c r="T63" s="4">
        <v>5</v>
      </c>
      <c r="U63" s="4">
        <v>0</v>
      </c>
      <c r="V63" s="6">
        <f>IF(ISERROR(VLOOKUP($S$63,'TAR FIN'!$A$1:$O$86,15,0)),0,VLOOKUP($S$63,'TAR FIN'!$A$1:$O$86,15,0))</f>
        <v>0</v>
      </c>
      <c r="W63" s="6">
        <f>IF(ISERROR(VLOOKUP($T$63,'TAR FIN'!$A$1:$O$86,15,0)),0,VLOOKUP($T$63,'TAR FIN'!$A$1:$O$86,15,0))</f>
        <v>1518.97</v>
      </c>
      <c r="X63" s="6">
        <f>IF(ISERROR(VLOOKUP($U$63,'TAR FIN'!$A$1:$O$86,15,0)),0,VLOOKUP($U$63,'TAR FIN'!$A$1:$O$86,15,0))</f>
        <v>0</v>
      </c>
      <c r="Y63" s="6"/>
      <c r="Z63" s="6">
        <f ca="1">('TUSD BE'!$AM$11+'TUSD BF'!$AM$11+'TUSD CVA'!$AM$11)*1</f>
        <v>1492.9858702094405</v>
      </c>
      <c r="AA63" s="6"/>
      <c r="AB63" s="6">
        <f t="shared" si="0"/>
        <v>0</v>
      </c>
      <c r="AC63" s="6">
        <f t="shared" si="6"/>
        <v>177470.72524516002</v>
      </c>
      <c r="AD63" s="6">
        <f t="shared" si="2"/>
        <v>0</v>
      </c>
      <c r="AE63" s="6">
        <f t="shared" ca="1" si="7"/>
        <v>174434.83753256861</v>
      </c>
      <c r="AF63" s="4" t="s">
        <v>651</v>
      </c>
    </row>
    <row r="64" spans="1:32" ht="11.25" customHeight="1" x14ac:dyDescent="0.25">
      <c r="A64" s="4" t="s">
        <v>21</v>
      </c>
      <c r="B64" s="4" t="s">
        <v>35</v>
      </c>
      <c r="C64" s="4" t="s">
        <v>39</v>
      </c>
      <c r="D64" s="4" t="s">
        <v>34</v>
      </c>
      <c r="E64" s="4" t="s">
        <v>25</v>
      </c>
      <c r="F64" s="4" t="s">
        <v>56</v>
      </c>
      <c r="G64" s="4" t="s">
        <v>25</v>
      </c>
      <c r="H64" s="4" t="s">
        <v>37</v>
      </c>
      <c r="I64" s="5">
        <v>44470</v>
      </c>
      <c r="J64" s="6">
        <v>0</v>
      </c>
      <c r="K64" s="6">
        <v>0</v>
      </c>
      <c r="L64" s="6">
        <v>224.77099999999999</v>
      </c>
      <c r="M64" s="6">
        <v>112.1157748</v>
      </c>
      <c r="N64" s="6">
        <v>0</v>
      </c>
      <c r="O64" s="6">
        <v>0</v>
      </c>
      <c r="P64" s="6">
        <v>0</v>
      </c>
      <c r="Q64" s="4" t="s">
        <v>57</v>
      </c>
      <c r="R64" s="4">
        <v>0</v>
      </c>
      <c r="S64" s="4">
        <v>0</v>
      </c>
      <c r="T64" s="4">
        <v>5</v>
      </c>
      <c r="U64" s="4">
        <v>0</v>
      </c>
      <c r="V64" s="6">
        <f>IF(ISERROR(VLOOKUP($S$64,'TAR FIN'!$A$1:$O$86,15,0)),0,VLOOKUP($S$64,'TAR FIN'!$A$1:$O$86,15,0))</f>
        <v>0</v>
      </c>
      <c r="W64" s="6">
        <f>IF(ISERROR(VLOOKUP($T$64,'TAR FIN'!$A$1:$O$86,15,0)),0,VLOOKUP($T$64,'TAR FIN'!$A$1:$O$86,15,0))</f>
        <v>1518.97</v>
      </c>
      <c r="X64" s="6">
        <f>IF(ISERROR(VLOOKUP($U$64,'TAR FIN'!$A$1:$O$86,15,0)),0,VLOOKUP($U$64,'TAR FIN'!$A$1:$O$86,15,0))</f>
        <v>0</v>
      </c>
      <c r="Y64" s="6"/>
      <c r="Z64" s="6">
        <f ca="1">('TUSD BE'!$AM$11+'TUSD BF'!$AM$11+'TUSD CVA'!$AM$11)*1</f>
        <v>1492.9858702094405</v>
      </c>
      <c r="AA64" s="6"/>
      <c r="AB64" s="6">
        <f t="shared" si="0"/>
        <v>0</v>
      </c>
      <c r="AC64" s="6">
        <f t="shared" si="6"/>
        <v>171119.90742204399</v>
      </c>
      <c r="AD64" s="6">
        <f t="shared" si="2"/>
        <v>0</v>
      </c>
      <c r="AE64" s="6">
        <f t="shared" ca="1" si="7"/>
        <v>168192.65942886248</v>
      </c>
      <c r="AF64" s="4" t="s">
        <v>651</v>
      </c>
    </row>
    <row r="65" spans="1:32" ht="11.25" customHeight="1" x14ac:dyDescent="0.25">
      <c r="A65" s="4" t="s">
        <v>21</v>
      </c>
      <c r="B65" s="4" t="s">
        <v>35</v>
      </c>
      <c r="C65" s="4" t="s">
        <v>39</v>
      </c>
      <c r="D65" s="4" t="s">
        <v>34</v>
      </c>
      <c r="E65" s="4" t="s">
        <v>25</v>
      </c>
      <c r="F65" s="4" t="s">
        <v>56</v>
      </c>
      <c r="G65" s="4" t="s">
        <v>25</v>
      </c>
      <c r="H65" s="4" t="s">
        <v>37</v>
      </c>
      <c r="I65" s="5">
        <v>44501</v>
      </c>
      <c r="J65" s="6">
        <v>0</v>
      </c>
      <c r="K65" s="6">
        <v>0</v>
      </c>
      <c r="L65" s="6">
        <v>227.09100000000001</v>
      </c>
      <c r="M65" s="6">
        <v>113.74988190000001</v>
      </c>
      <c r="N65" s="6">
        <v>0</v>
      </c>
      <c r="O65" s="6">
        <v>0</v>
      </c>
      <c r="P65" s="6">
        <v>0</v>
      </c>
      <c r="Q65" s="4" t="s">
        <v>57</v>
      </c>
      <c r="R65" s="4">
        <v>0</v>
      </c>
      <c r="S65" s="4">
        <v>0</v>
      </c>
      <c r="T65" s="4">
        <v>5</v>
      </c>
      <c r="U65" s="4">
        <v>0</v>
      </c>
      <c r="V65" s="6">
        <f>IF(ISERROR(VLOOKUP($S$65,'TAR FIN'!$A$1:$O$86,15,0)),0,VLOOKUP($S$65,'TAR FIN'!$A$1:$O$86,15,0))</f>
        <v>0</v>
      </c>
      <c r="W65" s="6">
        <f>IF(ISERROR(VLOOKUP($T$65,'TAR FIN'!$A$1:$O$86,15,0)),0,VLOOKUP($T$65,'TAR FIN'!$A$1:$O$86,15,0))</f>
        <v>1518.97</v>
      </c>
      <c r="X65" s="6">
        <f>IF(ISERROR(VLOOKUP($U$65,'TAR FIN'!$A$1:$O$86,15,0)),0,VLOOKUP($U$65,'TAR FIN'!$A$1:$O$86,15,0))</f>
        <v>0</v>
      </c>
      <c r="Y65" s="6"/>
      <c r="Z65" s="6">
        <f ca="1">('TUSD BE'!$AM$11+'TUSD BF'!$AM$11+'TUSD CVA'!$AM$11)*1</f>
        <v>1492.9858702094405</v>
      </c>
      <c r="AA65" s="6"/>
      <c r="AB65" s="6">
        <f t="shared" si="0"/>
        <v>0</v>
      </c>
      <c r="AC65" s="6">
        <f t="shared" si="6"/>
        <v>172161.75816035701</v>
      </c>
      <c r="AD65" s="6">
        <f t="shared" si="2"/>
        <v>0</v>
      </c>
      <c r="AE65" s="6">
        <f t="shared" ca="1" si="7"/>
        <v>169216.68783703947</v>
      </c>
      <c r="AF65" s="4" t="s">
        <v>651</v>
      </c>
    </row>
    <row r="66" spans="1:32" ht="11.25" customHeight="1" x14ac:dyDescent="0.25">
      <c r="A66" s="4" t="s">
        <v>21</v>
      </c>
      <c r="B66" s="4" t="s">
        <v>35</v>
      </c>
      <c r="C66" s="4" t="s">
        <v>39</v>
      </c>
      <c r="D66" s="4" t="s">
        <v>34</v>
      </c>
      <c r="E66" s="4" t="s">
        <v>25</v>
      </c>
      <c r="F66" s="4" t="s">
        <v>56</v>
      </c>
      <c r="G66" s="4" t="s">
        <v>25</v>
      </c>
      <c r="H66" s="4" t="s">
        <v>37</v>
      </c>
      <c r="I66" s="5">
        <v>44531</v>
      </c>
      <c r="J66" s="6">
        <v>0</v>
      </c>
      <c r="K66" s="6">
        <v>0</v>
      </c>
      <c r="L66" s="6">
        <v>245.57499999999999</v>
      </c>
      <c r="M66" s="6">
        <v>123.27865</v>
      </c>
      <c r="N66" s="6">
        <v>0</v>
      </c>
      <c r="O66" s="6">
        <v>0</v>
      </c>
      <c r="P66" s="6">
        <v>0</v>
      </c>
      <c r="Q66" s="4" t="s">
        <v>57</v>
      </c>
      <c r="R66" s="4">
        <v>0</v>
      </c>
      <c r="S66" s="4">
        <v>0</v>
      </c>
      <c r="T66" s="4">
        <v>5</v>
      </c>
      <c r="U66" s="4">
        <v>0</v>
      </c>
      <c r="V66" s="6">
        <f>IF(ISERROR(VLOOKUP($S$66,'TAR FIN'!$A$1:$O$86,15,0)),0,VLOOKUP($S$66,'TAR FIN'!$A$1:$O$86,15,0))</f>
        <v>0</v>
      </c>
      <c r="W66" s="6">
        <f>IF(ISERROR(VLOOKUP($T$66,'TAR FIN'!$A$1:$O$86,15,0)),0,VLOOKUP($T$66,'TAR FIN'!$A$1:$O$86,15,0))</f>
        <v>1518.97</v>
      </c>
      <c r="X66" s="6">
        <f>IF(ISERROR(VLOOKUP($U$66,'TAR FIN'!$A$1:$O$86,15,0)),0,VLOOKUP($U$66,'TAR FIN'!$A$1:$O$86,15,0))</f>
        <v>0</v>
      </c>
      <c r="Y66" s="6"/>
      <c r="Z66" s="6">
        <f ca="1">('TUSD BE'!$AM$11+'TUSD BF'!$AM$11+'TUSD CVA'!$AM$11)*1</f>
        <v>1492.9858702094405</v>
      </c>
      <c r="AA66" s="6"/>
      <c r="AB66" s="6">
        <f t="shared" ref="AB66:AB129" si="8">(J66-K66)*V66</f>
        <v>0</v>
      </c>
      <c r="AC66" s="6">
        <f t="shared" ref="AC66:AC73" si="9">(L66-M66)*W66+(N66-O66)*X66</f>
        <v>185764.4867595</v>
      </c>
      <c r="AD66" s="6">
        <f t="shared" ref="AD66:AD129" si="10">(J66-K66)*Y66</f>
        <v>0</v>
      </c>
      <c r="AE66" s="6">
        <f t="shared" ref="AE66:AE73" ca="1" si="11">(L66-M66)*Z66+(N66-O66)*AA66</f>
        <v>182586.72252818829</v>
      </c>
      <c r="AF66" s="4" t="s">
        <v>651</v>
      </c>
    </row>
    <row r="67" spans="1:32" ht="11.25" customHeight="1" x14ac:dyDescent="0.25">
      <c r="A67" s="4" t="s">
        <v>21</v>
      </c>
      <c r="B67" s="4" t="s">
        <v>35</v>
      </c>
      <c r="C67" s="4" t="s">
        <v>39</v>
      </c>
      <c r="D67" s="4" t="s">
        <v>34</v>
      </c>
      <c r="E67" s="4" t="s">
        <v>25</v>
      </c>
      <c r="F67" s="4" t="s">
        <v>56</v>
      </c>
      <c r="G67" s="4" t="s">
        <v>25</v>
      </c>
      <c r="H67" s="4" t="s">
        <v>37</v>
      </c>
      <c r="I67" s="5">
        <v>44562</v>
      </c>
      <c r="J67" s="6">
        <v>0</v>
      </c>
      <c r="K67" s="6">
        <v>0</v>
      </c>
      <c r="L67" s="6">
        <v>228.524</v>
      </c>
      <c r="M67" s="6">
        <v>114.719048</v>
      </c>
      <c r="N67" s="6">
        <v>0</v>
      </c>
      <c r="O67" s="6">
        <v>0</v>
      </c>
      <c r="P67" s="6">
        <v>0</v>
      </c>
      <c r="Q67" s="4" t="s">
        <v>57</v>
      </c>
      <c r="R67" s="4">
        <v>0</v>
      </c>
      <c r="S67" s="4">
        <v>0</v>
      </c>
      <c r="T67" s="4">
        <v>5</v>
      </c>
      <c r="U67" s="4">
        <v>0</v>
      </c>
      <c r="V67" s="6">
        <f>IF(ISERROR(VLOOKUP($S$67,'TAR FIN'!$A$1:$O$86,15,0)),0,VLOOKUP($S$67,'TAR FIN'!$A$1:$O$86,15,0))</f>
        <v>0</v>
      </c>
      <c r="W67" s="6">
        <f>IF(ISERROR(VLOOKUP($T$67,'TAR FIN'!$A$1:$O$86,15,0)),0,VLOOKUP($T$67,'TAR FIN'!$A$1:$O$86,15,0))</f>
        <v>1518.97</v>
      </c>
      <c r="X67" s="6">
        <f>IF(ISERROR(VLOOKUP($U$67,'TAR FIN'!$A$1:$O$86,15,0)),0,VLOOKUP($U$67,'TAR FIN'!$A$1:$O$86,15,0))</f>
        <v>0</v>
      </c>
      <c r="Y67" s="6"/>
      <c r="Z67" s="6">
        <f ca="1">('TUSD BE'!$AM$11+'TUSD BF'!$AM$11+'TUSD CVA'!$AM$11)*1</f>
        <v>1492.9858702094405</v>
      </c>
      <c r="AA67" s="6"/>
      <c r="AB67" s="6">
        <f t="shared" si="8"/>
        <v>0</v>
      </c>
      <c r="AC67" s="6">
        <f t="shared" si="9"/>
        <v>172866.30793944001</v>
      </c>
      <c r="AD67" s="6">
        <f t="shared" si="10"/>
        <v>0</v>
      </c>
      <c r="AE67" s="6">
        <f t="shared" ca="1" si="11"/>
        <v>169909.1852958636</v>
      </c>
      <c r="AF67" s="4" t="s">
        <v>651</v>
      </c>
    </row>
    <row r="68" spans="1:32" ht="11.25" customHeight="1" x14ac:dyDescent="0.25">
      <c r="A68" s="4" t="s">
        <v>21</v>
      </c>
      <c r="B68" s="4" t="s">
        <v>35</v>
      </c>
      <c r="C68" s="4" t="s">
        <v>39</v>
      </c>
      <c r="D68" s="4" t="s">
        <v>34</v>
      </c>
      <c r="E68" s="4" t="s">
        <v>25</v>
      </c>
      <c r="F68" s="4" t="s">
        <v>56</v>
      </c>
      <c r="G68" s="4" t="s">
        <v>25</v>
      </c>
      <c r="H68" s="4" t="s">
        <v>37</v>
      </c>
      <c r="I68" s="5">
        <v>44593</v>
      </c>
      <c r="J68" s="6">
        <v>0</v>
      </c>
      <c r="K68" s="6">
        <v>0</v>
      </c>
      <c r="L68" s="6">
        <v>212.62799999999999</v>
      </c>
      <c r="M68" s="6">
        <v>107.37714</v>
      </c>
      <c r="N68" s="6">
        <v>0</v>
      </c>
      <c r="O68" s="6">
        <v>0</v>
      </c>
      <c r="P68" s="6">
        <v>0</v>
      </c>
      <c r="Q68" s="4" t="s">
        <v>57</v>
      </c>
      <c r="R68" s="4">
        <v>0</v>
      </c>
      <c r="S68" s="4">
        <v>0</v>
      </c>
      <c r="T68" s="4">
        <v>5</v>
      </c>
      <c r="U68" s="4">
        <v>0</v>
      </c>
      <c r="V68" s="6">
        <f>IF(ISERROR(VLOOKUP($S$68,'TAR FIN'!$A$1:$O$86,15,0)),0,VLOOKUP($S$68,'TAR FIN'!$A$1:$O$86,15,0))</f>
        <v>0</v>
      </c>
      <c r="W68" s="6">
        <f>IF(ISERROR(VLOOKUP($T$68,'TAR FIN'!$A$1:$O$86,15,0)),0,VLOOKUP($T$68,'TAR FIN'!$A$1:$O$86,15,0))</f>
        <v>1518.97</v>
      </c>
      <c r="X68" s="6">
        <f>IF(ISERROR(VLOOKUP($U$68,'TAR FIN'!$A$1:$O$86,15,0)),0,VLOOKUP($U$68,'TAR FIN'!$A$1:$O$86,15,0))</f>
        <v>0</v>
      </c>
      <c r="Y68" s="6"/>
      <c r="Z68" s="6">
        <f ca="1">('TUSD BE'!$AM$11+'TUSD BF'!$AM$11+'TUSD CVA'!$AM$11)*1</f>
        <v>1492.9858702094405</v>
      </c>
      <c r="AA68" s="6"/>
      <c r="AB68" s="6">
        <f t="shared" si="8"/>
        <v>0</v>
      </c>
      <c r="AC68" s="6">
        <f t="shared" si="9"/>
        <v>159872.89881419999</v>
      </c>
      <c r="AD68" s="6">
        <f t="shared" si="10"/>
        <v>0</v>
      </c>
      <c r="AE68" s="6">
        <f t="shared" ca="1" si="11"/>
        <v>157138.04680739198</v>
      </c>
      <c r="AF68" s="4" t="s">
        <v>651</v>
      </c>
    </row>
    <row r="69" spans="1:32" ht="11.25" customHeight="1" x14ac:dyDescent="0.25">
      <c r="A69" s="4" t="s">
        <v>21</v>
      </c>
      <c r="B69" s="4" t="s">
        <v>35</v>
      </c>
      <c r="C69" s="4" t="s">
        <v>39</v>
      </c>
      <c r="D69" s="4" t="s">
        <v>34</v>
      </c>
      <c r="E69" s="4" t="s">
        <v>25</v>
      </c>
      <c r="F69" s="4" t="s">
        <v>56</v>
      </c>
      <c r="G69" s="4" t="s">
        <v>25</v>
      </c>
      <c r="H69" s="4" t="s">
        <v>37</v>
      </c>
      <c r="I69" s="5">
        <v>44621</v>
      </c>
      <c r="J69" s="6">
        <v>0</v>
      </c>
      <c r="K69" s="6">
        <v>0</v>
      </c>
      <c r="L69" s="6">
        <v>228.40799999999999</v>
      </c>
      <c r="M69" s="6">
        <v>113.35889040000001</v>
      </c>
      <c r="N69" s="6">
        <v>0</v>
      </c>
      <c r="O69" s="6">
        <v>0</v>
      </c>
      <c r="P69" s="6">
        <v>0</v>
      </c>
      <c r="Q69" s="4" t="s">
        <v>57</v>
      </c>
      <c r="R69" s="4">
        <v>0</v>
      </c>
      <c r="S69" s="4">
        <v>0</v>
      </c>
      <c r="T69" s="4">
        <v>5</v>
      </c>
      <c r="U69" s="4">
        <v>0</v>
      </c>
      <c r="V69" s="6">
        <f>IF(ISERROR(VLOOKUP($S$69,'TAR FIN'!$A$1:$O$86,15,0)),0,VLOOKUP($S$69,'TAR FIN'!$A$1:$O$86,15,0))</f>
        <v>0</v>
      </c>
      <c r="W69" s="6">
        <f>IF(ISERROR(VLOOKUP($T$69,'TAR FIN'!$A$1:$O$86,15,0)),0,VLOOKUP($T$69,'TAR FIN'!$A$1:$O$86,15,0))</f>
        <v>1518.97</v>
      </c>
      <c r="X69" s="6">
        <f>IF(ISERROR(VLOOKUP($U$69,'TAR FIN'!$A$1:$O$86,15,0)),0,VLOOKUP($U$69,'TAR FIN'!$A$1:$O$86,15,0))</f>
        <v>0</v>
      </c>
      <c r="Y69" s="6"/>
      <c r="Z69" s="6">
        <f ca="1">('TUSD BE'!$AM$11+'TUSD BF'!$AM$11+'TUSD CVA'!$AM$11)*1</f>
        <v>1492.9858702094405</v>
      </c>
      <c r="AA69" s="6"/>
      <c r="AB69" s="6">
        <f t="shared" si="8"/>
        <v>0</v>
      </c>
      <c r="AC69" s="6">
        <f t="shared" si="9"/>
        <v>174756.14600911198</v>
      </c>
      <c r="AD69" s="6">
        <f t="shared" si="10"/>
        <v>0</v>
      </c>
      <c r="AE69" s="6">
        <f t="shared" ca="1" si="11"/>
        <v>171766.69501297726</v>
      </c>
      <c r="AF69" s="4" t="s">
        <v>651</v>
      </c>
    </row>
    <row r="70" spans="1:32" ht="11.25" customHeight="1" x14ac:dyDescent="0.25">
      <c r="A70" s="4" t="s">
        <v>21</v>
      </c>
      <c r="B70" s="4" t="s">
        <v>35</v>
      </c>
      <c r="C70" s="4" t="s">
        <v>39</v>
      </c>
      <c r="D70" s="4" t="s">
        <v>34</v>
      </c>
      <c r="E70" s="4" t="s">
        <v>25</v>
      </c>
      <c r="F70" s="4" t="s">
        <v>56</v>
      </c>
      <c r="G70" s="4" t="s">
        <v>25</v>
      </c>
      <c r="H70" s="4" t="s">
        <v>37</v>
      </c>
      <c r="I70" s="5">
        <v>44652</v>
      </c>
      <c r="J70" s="6">
        <v>0</v>
      </c>
      <c r="K70" s="6">
        <v>0</v>
      </c>
      <c r="L70" s="6">
        <v>197.779</v>
      </c>
      <c r="M70" s="6">
        <v>100.45195409999999</v>
      </c>
      <c r="N70" s="6">
        <v>0</v>
      </c>
      <c r="O70" s="6">
        <v>0</v>
      </c>
      <c r="P70" s="6">
        <v>0</v>
      </c>
      <c r="Q70" s="4" t="s">
        <v>57</v>
      </c>
      <c r="R70" s="4">
        <v>0</v>
      </c>
      <c r="S70" s="4">
        <v>0</v>
      </c>
      <c r="T70" s="4">
        <v>5</v>
      </c>
      <c r="U70" s="4">
        <v>0</v>
      </c>
      <c r="V70" s="6">
        <f>IF(ISERROR(VLOOKUP($S$70,'TAR FIN'!$A$1:$O$86,15,0)),0,VLOOKUP($S$70,'TAR FIN'!$A$1:$O$86,15,0))</f>
        <v>0</v>
      </c>
      <c r="W70" s="6">
        <f>IF(ISERROR(VLOOKUP($T$70,'TAR FIN'!$A$1:$O$86,15,0)),0,VLOOKUP($T$70,'TAR FIN'!$A$1:$O$86,15,0))</f>
        <v>1518.97</v>
      </c>
      <c r="X70" s="6">
        <f>IF(ISERROR(VLOOKUP($U$70,'TAR FIN'!$A$1:$O$86,15,0)),0,VLOOKUP($U$70,'TAR FIN'!$A$1:$O$86,15,0))</f>
        <v>0</v>
      </c>
      <c r="Y70" s="6"/>
      <c r="Z70" s="6">
        <f ca="1">('TUSD BE'!$AM$11+'TUSD BF'!$AM$11+'TUSD CVA'!$AM$11)*1</f>
        <v>1492.9858702094405</v>
      </c>
      <c r="AA70" s="6"/>
      <c r="AB70" s="6">
        <f t="shared" si="8"/>
        <v>0</v>
      </c>
      <c r="AC70" s="6">
        <f t="shared" si="9"/>
        <v>147836.86291072299</v>
      </c>
      <c r="AD70" s="6">
        <f t="shared" si="10"/>
        <v>0</v>
      </c>
      <c r="AE70" s="6">
        <f t="shared" ca="1" si="11"/>
        <v>145307.90431792566</v>
      </c>
      <c r="AF70" s="4" t="s">
        <v>651</v>
      </c>
    </row>
    <row r="71" spans="1:32" ht="11.25" customHeight="1" x14ac:dyDescent="0.25">
      <c r="A71" s="4" t="s">
        <v>21</v>
      </c>
      <c r="B71" s="4" t="s">
        <v>35</v>
      </c>
      <c r="C71" s="4" t="s">
        <v>39</v>
      </c>
      <c r="D71" s="4" t="s">
        <v>34</v>
      </c>
      <c r="E71" s="4" t="s">
        <v>25</v>
      </c>
      <c r="F71" s="4" t="s">
        <v>56</v>
      </c>
      <c r="G71" s="4" t="s">
        <v>25</v>
      </c>
      <c r="H71" s="4" t="s">
        <v>37</v>
      </c>
      <c r="I71" s="5">
        <v>44682</v>
      </c>
      <c r="J71" s="6">
        <v>0</v>
      </c>
      <c r="K71" s="6">
        <v>0</v>
      </c>
      <c r="L71" s="6">
        <v>220.24</v>
      </c>
      <c r="M71" s="6">
        <v>110.802744</v>
      </c>
      <c r="N71" s="6">
        <v>0</v>
      </c>
      <c r="O71" s="6">
        <v>0</v>
      </c>
      <c r="P71" s="6">
        <v>0</v>
      </c>
      <c r="Q71" s="4" t="s">
        <v>57</v>
      </c>
      <c r="R71" s="4">
        <v>0</v>
      </c>
      <c r="S71" s="4">
        <v>0</v>
      </c>
      <c r="T71" s="4">
        <v>5</v>
      </c>
      <c r="U71" s="4">
        <v>0</v>
      </c>
      <c r="V71" s="6">
        <f>IF(ISERROR(VLOOKUP($S$71,'TAR FIN'!$A$1:$O$86,15,0)),0,VLOOKUP($S$71,'TAR FIN'!$A$1:$O$86,15,0))</f>
        <v>0</v>
      </c>
      <c r="W71" s="6">
        <f>IF(ISERROR(VLOOKUP($T$71,'TAR FIN'!$A$1:$O$86,15,0)),0,VLOOKUP($T$71,'TAR FIN'!$A$1:$O$86,15,0))</f>
        <v>1518.97</v>
      </c>
      <c r="X71" s="6">
        <f>IF(ISERROR(VLOOKUP($U$71,'TAR FIN'!$A$1:$O$86,15,0)),0,VLOOKUP($U$71,'TAR FIN'!$A$1:$O$86,15,0))</f>
        <v>0</v>
      </c>
      <c r="Y71" s="6"/>
      <c r="Z71" s="6">
        <f ca="1">('TUSD BE'!$AM$11+'TUSD BF'!$AM$11+'TUSD CVA'!$AM$11)*1</f>
        <v>1492.9858702094405</v>
      </c>
      <c r="AA71" s="6"/>
      <c r="AB71" s="6">
        <f t="shared" si="8"/>
        <v>0</v>
      </c>
      <c r="AC71" s="6">
        <f t="shared" si="9"/>
        <v>166231.90874632</v>
      </c>
      <c r="AD71" s="6">
        <f t="shared" si="10"/>
        <v>0</v>
      </c>
      <c r="AE71" s="6">
        <f t="shared" ca="1" si="11"/>
        <v>163388.27688249332</v>
      </c>
      <c r="AF71" s="4" t="s">
        <v>651</v>
      </c>
    </row>
    <row r="72" spans="1:32" ht="11.25" customHeight="1" x14ac:dyDescent="0.25">
      <c r="A72" s="4" t="s">
        <v>21</v>
      </c>
      <c r="B72" s="4" t="s">
        <v>35</v>
      </c>
      <c r="C72" s="4" t="s">
        <v>39</v>
      </c>
      <c r="D72" s="4" t="s">
        <v>34</v>
      </c>
      <c r="E72" s="4" t="s">
        <v>25</v>
      </c>
      <c r="F72" s="4" t="s">
        <v>56</v>
      </c>
      <c r="G72" s="4" t="s">
        <v>25</v>
      </c>
      <c r="H72" s="4" t="s">
        <v>37</v>
      </c>
      <c r="I72" s="5">
        <v>44713</v>
      </c>
      <c r="J72" s="6">
        <v>0</v>
      </c>
      <c r="K72" s="6">
        <v>0</v>
      </c>
      <c r="L72" s="6">
        <v>210.67</v>
      </c>
      <c r="M72" s="6">
        <v>105.566737</v>
      </c>
      <c r="N72" s="6">
        <v>0</v>
      </c>
      <c r="O72" s="6">
        <v>0</v>
      </c>
      <c r="P72" s="6">
        <v>0</v>
      </c>
      <c r="Q72" s="4" t="s">
        <v>57</v>
      </c>
      <c r="R72" s="4">
        <v>0</v>
      </c>
      <c r="S72" s="4">
        <v>0</v>
      </c>
      <c r="T72" s="4">
        <v>5</v>
      </c>
      <c r="U72" s="4">
        <v>0</v>
      </c>
      <c r="V72" s="6">
        <f>IF(ISERROR(VLOOKUP($S$72,'TAR FIN'!$A$1:$O$86,15,0)),0,VLOOKUP($S$72,'TAR FIN'!$A$1:$O$86,15,0))</f>
        <v>0</v>
      </c>
      <c r="W72" s="6">
        <f>IF(ISERROR(VLOOKUP($T$72,'TAR FIN'!$A$1:$O$86,15,0)),0,VLOOKUP($T$72,'TAR FIN'!$A$1:$O$86,15,0))</f>
        <v>1518.97</v>
      </c>
      <c r="X72" s="6">
        <f>IF(ISERROR(VLOOKUP($U$72,'TAR FIN'!$A$1:$O$86,15,0)),0,VLOOKUP($U$72,'TAR FIN'!$A$1:$O$86,15,0))</f>
        <v>0</v>
      </c>
      <c r="Y72" s="6"/>
      <c r="Z72" s="6">
        <f ca="1">('TUSD BE'!$AM$11+'TUSD BF'!$AM$11+'TUSD CVA'!$AM$11)*1</f>
        <v>1492.9858702094405</v>
      </c>
      <c r="AA72" s="6"/>
      <c r="AB72" s="6">
        <f t="shared" si="8"/>
        <v>0</v>
      </c>
      <c r="AC72" s="6">
        <f t="shared" si="9"/>
        <v>159648.70339910997</v>
      </c>
      <c r="AD72" s="6">
        <f t="shared" si="10"/>
        <v>0</v>
      </c>
      <c r="AE72" s="6">
        <f t="shared" ca="1" si="11"/>
        <v>156917.68657190667</v>
      </c>
      <c r="AF72" s="4" t="s">
        <v>651</v>
      </c>
    </row>
    <row r="73" spans="1:32" ht="11.25" customHeight="1" x14ac:dyDescent="0.25">
      <c r="A73" s="4" t="s">
        <v>55</v>
      </c>
      <c r="B73" s="4" t="s">
        <v>35</v>
      </c>
      <c r="C73" s="4" t="s">
        <v>39</v>
      </c>
      <c r="D73" s="4" t="s">
        <v>34</v>
      </c>
      <c r="E73" s="4" t="s">
        <v>25</v>
      </c>
      <c r="F73" s="4" t="s">
        <v>56</v>
      </c>
      <c r="G73" s="4" t="s">
        <v>25</v>
      </c>
      <c r="H73" s="4" t="s">
        <v>37</v>
      </c>
      <c r="I73" s="5">
        <v>44743</v>
      </c>
      <c r="J73" s="6">
        <v>0</v>
      </c>
      <c r="K73" s="6">
        <v>0</v>
      </c>
      <c r="L73" s="6">
        <v>210.67</v>
      </c>
      <c r="M73" s="6">
        <v>105.566737</v>
      </c>
      <c r="N73" s="6">
        <v>0</v>
      </c>
      <c r="O73" s="6">
        <v>0</v>
      </c>
      <c r="P73" s="6">
        <v>0</v>
      </c>
      <c r="Q73" s="4" t="s">
        <v>57</v>
      </c>
      <c r="R73" s="4">
        <v>0</v>
      </c>
      <c r="S73" s="4">
        <v>0</v>
      </c>
      <c r="T73" s="4">
        <v>5</v>
      </c>
      <c r="U73" s="4">
        <v>0</v>
      </c>
      <c r="V73" s="6">
        <f>IF(ISERROR(VLOOKUP($S$73,'TAR FIN'!$A$1:$O$86,15,0)),0,VLOOKUP($S$73,'TAR FIN'!$A$1:$O$86,15,0))</f>
        <v>0</v>
      </c>
      <c r="W73" s="6">
        <f>IF(ISERROR(VLOOKUP($T$73,'TAR FIN'!$A$1:$O$86,15,0)),0,VLOOKUP($T$73,'TAR FIN'!$A$1:$O$86,15,0))</f>
        <v>1518.97</v>
      </c>
      <c r="X73" s="6">
        <f>IF(ISERROR(VLOOKUP($U$73,'TAR FIN'!$A$1:$O$86,15,0)),0,VLOOKUP($U$73,'TAR FIN'!$A$1:$O$86,15,0))</f>
        <v>0</v>
      </c>
      <c r="Y73" s="6"/>
      <c r="Z73" s="6">
        <f ca="1">('TUSD BE'!$AM$11+'TUSD BF'!$AM$11+'TUSD CVA'!$AM$11)*1</f>
        <v>1492.9858702094405</v>
      </c>
      <c r="AA73" s="6"/>
      <c r="AB73" s="6">
        <f t="shared" si="8"/>
        <v>0</v>
      </c>
      <c r="AC73" s="6">
        <f t="shared" si="9"/>
        <v>159648.70339910997</v>
      </c>
      <c r="AD73" s="6">
        <f t="shared" si="10"/>
        <v>0</v>
      </c>
      <c r="AE73" s="6">
        <f t="shared" ca="1" si="11"/>
        <v>156917.68657190667</v>
      </c>
      <c r="AF73" s="4" t="s">
        <v>651</v>
      </c>
    </row>
    <row r="74" spans="1:32" ht="11.25" customHeight="1" x14ac:dyDescent="0.25">
      <c r="A74" s="4" t="s">
        <v>21</v>
      </c>
      <c r="B74" s="4" t="s">
        <v>35</v>
      </c>
      <c r="C74" s="4" t="s">
        <v>39</v>
      </c>
      <c r="D74" s="4" t="s">
        <v>47</v>
      </c>
      <c r="E74" s="4" t="s">
        <v>48</v>
      </c>
      <c r="F74" s="4" t="s">
        <v>25</v>
      </c>
      <c r="G74" s="4" t="s">
        <v>25</v>
      </c>
      <c r="H74" s="4" t="s">
        <v>38</v>
      </c>
      <c r="I74" s="5">
        <v>44409</v>
      </c>
      <c r="J74" s="6">
        <v>0</v>
      </c>
      <c r="K74" s="128">
        <v>0</v>
      </c>
      <c r="L74" s="6">
        <v>144.673</v>
      </c>
      <c r="M74" s="128">
        <v>144.673</v>
      </c>
      <c r="N74" s="6">
        <v>144.673</v>
      </c>
      <c r="O74" s="128">
        <v>144.673</v>
      </c>
      <c r="P74" s="6">
        <v>0</v>
      </c>
      <c r="Q74" s="4" t="s">
        <v>26</v>
      </c>
      <c r="R74" s="4">
        <v>0</v>
      </c>
      <c r="S74" s="4">
        <v>0</v>
      </c>
      <c r="T74" s="4">
        <v>18</v>
      </c>
      <c r="U74" s="4">
        <v>73</v>
      </c>
      <c r="V74" s="128">
        <f>IF(ISERROR(VLOOKUP($S$74,'TAR FIN'!$A$1:$O$86,15,0)),0,VLOOKUP($S$74,'TAR FIN'!$A$1:$O$86,15,0))</f>
        <v>0</v>
      </c>
      <c r="W74" s="128">
        <f>IF(ISERROR(VLOOKUP($T$74,'TAR FIN'!$A$1:$O$86,15,0)),0,VLOOKUP($T$74,'TAR FIN'!$A$1:$O$86,15,0))*(1-0.06)</f>
        <v>68.798599999999993</v>
      </c>
      <c r="X74" s="128">
        <f>IF(ISERROR(VLOOKUP($U$74,'TAR FIN'!$A$1:$O$86,15,0)),0,VLOOKUP($U$74,'TAR FIN'!$A$1:$O$86,15,0))*(1-0.06)</f>
        <v>199.00739999999999</v>
      </c>
      <c r="Y74" s="128"/>
      <c r="Z74" s="128">
        <f ca="1">('TUSD BE'!$AM$12+'TUSD BF'!$AM$12+'TUSD CVA'!$AM$12)*1*(1-0.03)</f>
        <v>114.29744777163032</v>
      </c>
      <c r="AA74" s="128">
        <f>('TE BE'!$AB$6+'TE BF'!$AB$6+'TE CVA'!$AB$6)*1*(1-0.03)</f>
        <v>216.30904504598922</v>
      </c>
      <c r="AB74" s="128">
        <f>(SUBSIDIO!$J$74*SUBSIDIO!$V$74)*(0.06)/(1-0.06)</f>
        <v>0</v>
      </c>
      <c r="AC74" s="128">
        <f>((SUBSIDIO!$L$74*SUBSIDIO!$W$74)+(SUBSIDIO!$N$74*SUBSIDIO!$X$74))*(0.06)/(1-0.06)</f>
        <v>2473.0402619999995</v>
      </c>
      <c r="AD74" s="128">
        <f>(SUBSIDIO!$J$74*SUBSIDIO!$Y$74)*(0.03)/(1-0.03)</f>
        <v>0</v>
      </c>
      <c r="AE74" s="128">
        <f ca="1">((SUBSIDIO!$L$74*SUBSIDIO!$Z$74)+(SUBSIDIO!$N$74*SUBSIDIO!$AA$74))*(0.03)/(1-0.03)</f>
        <v>1479.2731897547467</v>
      </c>
      <c r="AF74" s="4" t="s">
        <v>652</v>
      </c>
    </row>
    <row r="75" spans="1:32" ht="11.25" customHeight="1" x14ac:dyDescent="0.25">
      <c r="A75" s="4" t="s">
        <v>21</v>
      </c>
      <c r="B75" s="4" t="s">
        <v>35</v>
      </c>
      <c r="C75" s="4" t="s">
        <v>39</v>
      </c>
      <c r="D75" s="4" t="s">
        <v>47</v>
      </c>
      <c r="E75" s="4" t="s">
        <v>48</v>
      </c>
      <c r="F75" s="4" t="s">
        <v>25</v>
      </c>
      <c r="G75" s="4" t="s">
        <v>25</v>
      </c>
      <c r="H75" s="4" t="s">
        <v>38</v>
      </c>
      <c r="I75" s="5">
        <v>44440</v>
      </c>
      <c r="J75" s="6">
        <v>0</v>
      </c>
      <c r="K75" s="128">
        <v>0</v>
      </c>
      <c r="L75" s="6">
        <v>138.93100000000001</v>
      </c>
      <c r="M75" s="128">
        <v>138.93100000000001</v>
      </c>
      <c r="N75" s="6">
        <v>138.93100000000001</v>
      </c>
      <c r="O75" s="128">
        <v>138.93100000000001</v>
      </c>
      <c r="P75" s="6">
        <v>0</v>
      </c>
      <c r="Q75" s="4" t="s">
        <v>26</v>
      </c>
      <c r="R75" s="4">
        <v>0</v>
      </c>
      <c r="S75" s="4">
        <v>0</v>
      </c>
      <c r="T75" s="4">
        <v>18</v>
      </c>
      <c r="U75" s="4">
        <v>73</v>
      </c>
      <c r="V75" s="128">
        <f>IF(ISERROR(VLOOKUP($S$75,'TAR FIN'!$A$1:$O$86,15,0)),0,VLOOKUP($S$75,'TAR FIN'!$A$1:$O$86,15,0))</f>
        <v>0</v>
      </c>
      <c r="W75" s="128">
        <f>IF(ISERROR(VLOOKUP($T$75,'TAR FIN'!$A$1:$O$86,15,0)),0,VLOOKUP($T$75,'TAR FIN'!$A$1:$O$86,15,0))*(1-0.06)</f>
        <v>68.798599999999993</v>
      </c>
      <c r="X75" s="128">
        <f>IF(ISERROR(VLOOKUP($U$75,'TAR FIN'!$A$1:$O$86,15,0)),0,VLOOKUP($U$75,'TAR FIN'!$A$1:$O$86,15,0))*(1-0.06)</f>
        <v>199.00739999999999</v>
      </c>
      <c r="Y75" s="128"/>
      <c r="Z75" s="128">
        <f ca="1">('TUSD BE'!$AM$12+'TUSD BF'!$AM$12+'TUSD CVA'!$AM$12)*1*(1-0.03)</f>
        <v>114.29744777163032</v>
      </c>
      <c r="AA75" s="128">
        <f>('TE BE'!$AB$6+'TE BF'!$AB$6+'TE CVA'!$AB$6)*1*(1-0.03)</f>
        <v>216.30904504598922</v>
      </c>
      <c r="AB75" s="128">
        <f>(SUBSIDIO!$J$75*SUBSIDIO!$V$75)*(0.06)/(1-0.06)</f>
        <v>0</v>
      </c>
      <c r="AC75" s="128">
        <f>((SUBSIDIO!$L$75*SUBSIDIO!$W$75)+(SUBSIDIO!$N$75*SUBSIDIO!$X$75))*(0.06)/(1-0.06)</f>
        <v>2374.8865140000003</v>
      </c>
      <c r="AD75" s="128">
        <f>(SUBSIDIO!$J$75*SUBSIDIO!$Y$75)*(0.03)/(1-0.03)</f>
        <v>0</v>
      </c>
      <c r="AE75" s="128">
        <f ca="1">((SUBSIDIO!$L$75*SUBSIDIO!$Z$75)+(SUBSIDIO!$N$75*SUBSIDIO!$AA$75))*(0.03)/(1-0.03)</f>
        <v>1420.5615666075682</v>
      </c>
      <c r="AF75" s="4" t="s">
        <v>652</v>
      </c>
    </row>
    <row r="76" spans="1:32" ht="11.25" customHeight="1" x14ac:dyDescent="0.25">
      <c r="A76" s="4" t="s">
        <v>21</v>
      </c>
      <c r="B76" s="4" t="s">
        <v>35</v>
      </c>
      <c r="C76" s="4" t="s">
        <v>39</v>
      </c>
      <c r="D76" s="4" t="s">
        <v>47</v>
      </c>
      <c r="E76" s="4" t="s">
        <v>48</v>
      </c>
      <c r="F76" s="4" t="s">
        <v>25</v>
      </c>
      <c r="G76" s="4" t="s">
        <v>25</v>
      </c>
      <c r="H76" s="4" t="s">
        <v>38</v>
      </c>
      <c r="I76" s="5">
        <v>44470</v>
      </c>
      <c r="J76" s="6">
        <v>0</v>
      </c>
      <c r="K76" s="128">
        <v>0</v>
      </c>
      <c r="L76" s="6">
        <v>147.15600000000001</v>
      </c>
      <c r="M76" s="128">
        <v>147.15600000000001</v>
      </c>
      <c r="N76" s="6">
        <v>147.15600000000001</v>
      </c>
      <c r="O76" s="128">
        <v>147.15600000000001</v>
      </c>
      <c r="P76" s="6">
        <v>0</v>
      </c>
      <c r="Q76" s="4" t="s">
        <v>26</v>
      </c>
      <c r="R76" s="4">
        <v>0</v>
      </c>
      <c r="S76" s="4">
        <v>0</v>
      </c>
      <c r="T76" s="4">
        <v>18</v>
      </c>
      <c r="U76" s="4">
        <v>73</v>
      </c>
      <c r="V76" s="128">
        <f>IF(ISERROR(VLOOKUP($S$76,'TAR FIN'!$A$1:$O$86,15,0)),0,VLOOKUP($S$76,'TAR FIN'!$A$1:$O$86,15,0))</f>
        <v>0</v>
      </c>
      <c r="W76" s="128">
        <f>IF(ISERROR(VLOOKUP($T$76,'TAR FIN'!$A$1:$O$86,15,0)),0,VLOOKUP($T$76,'TAR FIN'!$A$1:$O$86,15,0))*(1-0.06)</f>
        <v>68.798599999999993</v>
      </c>
      <c r="X76" s="128">
        <f>IF(ISERROR(VLOOKUP($U$76,'TAR FIN'!$A$1:$O$86,15,0)),0,VLOOKUP($U$76,'TAR FIN'!$A$1:$O$86,15,0))*(1-0.06)</f>
        <v>199.00739999999999</v>
      </c>
      <c r="Y76" s="128"/>
      <c r="Z76" s="128">
        <f ca="1">('TUSD BE'!$AM$12+'TUSD BF'!$AM$12+'TUSD CVA'!$AM$12)*1*(1-0.03)</f>
        <v>114.29744777163032</v>
      </c>
      <c r="AA76" s="128">
        <f>('TE BE'!$AB$6+'TE BF'!$AB$6+'TE CVA'!$AB$6)*1*(1-0.03)</f>
        <v>216.30904504598922</v>
      </c>
      <c r="AB76" s="128">
        <f>(SUBSIDIO!$J$76*SUBSIDIO!$V$76)*(0.06)/(1-0.06)</f>
        <v>0</v>
      </c>
      <c r="AC76" s="128">
        <f>((SUBSIDIO!$L$76*SUBSIDIO!$W$76)+(SUBSIDIO!$N$76*SUBSIDIO!$X$76))*(0.06)/(1-0.06)</f>
        <v>2515.4846640000001</v>
      </c>
      <c r="AD76" s="128">
        <f>(SUBSIDIO!$J$76*SUBSIDIO!$Y$76)*(0.03)/(1-0.03)</f>
        <v>0</v>
      </c>
      <c r="AE76" s="128">
        <f ca="1">((SUBSIDIO!$L$76*SUBSIDIO!$Z$76)+(SUBSIDIO!$N$76*SUBSIDIO!$AA$76))*(0.03)/(1-0.03)</f>
        <v>1504.6617234145244</v>
      </c>
      <c r="AF76" s="4" t="s">
        <v>652</v>
      </c>
    </row>
    <row r="77" spans="1:32" ht="11.25" customHeight="1" x14ac:dyDescent="0.25">
      <c r="A77" s="4" t="s">
        <v>21</v>
      </c>
      <c r="B77" s="4" t="s">
        <v>35</v>
      </c>
      <c r="C77" s="4" t="s">
        <v>39</v>
      </c>
      <c r="D77" s="4" t="s">
        <v>47</v>
      </c>
      <c r="E77" s="4" t="s">
        <v>48</v>
      </c>
      <c r="F77" s="4" t="s">
        <v>25</v>
      </c>
      <c r="G77" s="4" t="s">
        <v>25</v>
      </c>
      <c r="H77" s="4" t="s">
        <v>38</v>
      </c>
      <c r="I77" s="5">
        <v>44501</v>
      </c>
      <c r="J77" s="6">
        <v>0</v>
      </c>
      <c r="K77" s="128">
        <v>0</v>
      </c>
      <c r="L77" s="6">
        <v>150.27600000000001</v>
      </c>
      <c r="M77" s="128">
        <v>150.27600000000001</v>
      </c>
      <c r="N77" s="6">
        <v>150.27600000000001</v>
      </c>
      <c r="O77" s="128">
        <v>150.27600000000001</v>
      </c>
      <c r="P77" s="6">
        <v>0</v>
      </c>
      <c r="Q77" s="4" t="s">
        <v>26</v>
      </c>
      <c r="R77" s="4">
        <v>0</v>
      </c>
      <c r="S77" s="4">
        <v>0</v>
      </c>
      <c r="T77" s="4">
        <v>18</v>
      </c>
      <c r="U77" s="4">
        <v>73</v>
      </c>
      <c r="V77" s="128">
        <f>IF(ISERROR(VLOOKUP($S$77,'TAR FIN'!$A$1:$O$86,15,0)),0,VLOOKUP($S$77,'TAR FIN'!$A$1:$O$86,15,0))</f>
        <v>0</v>
      </c>
      <c r="W77" s="128">
        <f>IF(ISERROR(VLOOKUP($T$77,'TAR FIN'!$A$1:$O$86,15,0)),0,VLOOKUP($T$77,'TAR FIN'!$A$1:$O$86,15,0))*(1-0.06)</f>
        <v>68.798599999999993</v>
      </c>
      <c r="X77" s="128">
        <f>IF(ISERROR(VLOOKUP($U$77,'TAR FIN'!$A$1:$O$86,15,0)),0,VLOOKUP($U$77,'TAR FIN'!$A$1:$O$86,15,0))*(1-0.06)</f>
        <v>199.00739999999999</v>
      </c>
      <c r="Y77" s="128"/>
      <c r="Z77" s="128">
        <f ca="1">('TUSD BE'!$AM$12+'TUSD BF'!$AM$12+'TUSD CVA'!$AM$12)*1*(1-0.03)</f>
        <v>114.29744777163032</v>
      </c>
      <c r="AA77" s="128">
        <f>('TE BE'!$AB$6+'TE BF'!$AB$6+'TE CVA'!$AB$6)*1*(1-0.03)</f>
        <v>216.30904504598922</v>
      </c>
      <c r="AB77" s="128">
        <f>(SUBSIDIO!$J$77*SUBSIDIO!$V$77)*(0.06)/(1-0.06)</f>
        <v>0</v>
      </c>
      <c r="AC77" s="128">
        <f>((SUBSIDIO!$L$77*SUBSIDIO!$W$77)+(SUBSIDIO!$N$77*SUBSIDIO!$X$77))*(0.06)/(1-0.06)</f>
        <v>2568.8179440000004</v>
      </c>
      <c r="AD77" s="128">
        <f>(SUBSIDIO!$J$77*SUBSIDIO!$Y$77)*(0.03)/(1-0.03)</f>
        <v>0</v>
      </c>
      <c r="AE77" s="128">
        <f ca="1">((SUBSIDIO!$L$77*SUBSIDIO!$Z$77)+(SUBSIDIO!$N$77*SUBSIDIO!$AA$77))*(0.03)/(1-0.03)</f>
        <v>1536.5635458142451</v>
      </c>
      <c r="AF77" s="4" t="s">
        <v>652</v>
      </c>
    </row>
    <row r="78" spans="1:32" ht="11.25" customHeight="1" x14ac:dyDescent="0.25">
      <c r="A78" s="4" t="s">
        <v>21</v>
      </c>
      <c r="B78" s="4" t="s">
        <v>35</v>
      </c>
      <c r="C78" s="4" t="s">
        <v>39</v>
      </c>
      <c r="D78" s="4" t="s">
        <v>47</v>
      </c>
      <c r="E78" s="4" t="s">
        <v>48</v>
      </c>
      <c r="F78" s="4" t="s">
        <v>25</v>
      </c>
      <c r="G78" s="4" t="s">
        <v>25</v>
      </c>
      <c r="H78" s="4" t="s">
        <v>38</v>
      </c>
      <c r="I78" s="5">
        <v>44531</v>
      </c>
      <c r="J78" s="6">
        <v>0</v>
      </c>
      <c r="K78" s="128">
        <v>0</v>
      </c>
      <c r="L78" s="6">
        <v>179.06700000000001</v>
      </c>
      <c r="M78" s="128">
        <v>179.06700000000001</v>
      </c>
      <c r="N78" s="6">
        <v>179.06700000000001</v>
      </c>
      <c r="O78" s="128">
        <v>179.06700000000001</v>
      </c>
      <c r="P78" s="6">
        <v>0</v>
      </c>
      <c r="Q78" s="4" t="s">
        <v>26</v>
      </c>
      <c r="R78" s="4">
        <v>0</v>
      </c>
      <c r="S78" s="4">
        <v>0</v>
      </c>
      <c r="T78" s="4">
        <v>18</v>
      </c>
      <c r="U78" s="4">
        <v>73</v>
      </c>
      <c r="V78" s="128">
        <f>IF(ISERROR(VLOOKUP($S$78,'TAR FIN'!$A$1:$O$86,15,0)),0,VLOOKUP($S$78,'TAR FIN'!$A$1:$O$86,15,0))</f>
        <v>0</v>
      </c>
      <c r="W78" s="128">
        <f>IF(ISERROR(VLOOKUP($T$78,'TAR FIN'!$A$1:$O$86,15,0)),0,VLOOKUP($T$78,'TAR FIN'!$A$1:$O$86,15,0))*(1-0.06)</f>
        <v>68.798599999999993</v>
      </c>
      <c r="X78" s="128">
        <f>IF(ISERROR(VLOOKUP($U$78,'TAR FIN'!$A$1:$O$86,15,0)),0,VLOOKUP($U$78,'TAR FIN'!$A$1:$O$86,15,0))*(1-0.06)</f>
        <v>199.00739999999999</v>
      </c>
      <c r="Y78" s="128"/>
      <c r="Z78" s="128">
        <f ca="1">('TUSD BE'!$AM$12+'TUSD BF'!$AM$12+'TUSD CVA'!$AM$12)*1*(1-0.03)</f>
        <v>114.29744777163032</v>
      </c>
      <c r="AA78" s="128">
        <f>('TE BE'!$AB$6+'TE BF'!$AB$6+'TE CVA'!$AB$6)*1*(1-0.03)</f>
        <v>216.30904504598922</v>
      </c>
      <c r="AB78" s="128">
        <f>(SUBSIDIO!$J$78*SUBSIDIO!$V$78)*(0.06)/(1-0.06)</f>
        <v>0</v>
      </c>
      <c r="AC78" s="128">
        <f>((SUBSIDIO!$L$78*SUBSIDIO!$W$78)+(SUBSIDIO!$N$78*SUBSIDIO!$X$78))*(0.06)/(1-0.06)</f>
        <v>3060.9712979999999</v>
      </c>
      <c r="AD78" s="128">
        <f>(SUBSIDIO!$J$78*SUBSIDIO!$Y$78)*(0.03)/(1-0.03)</f>
        <v>0</v>
      </c>
      <c r="AE78" s="128">
        <f ca="1">((SUBSIDIO!$L$78*SUBSIDIO!$Z$78)+(SUBSIDIO!$N$78*SUBSIDIO!$AA$78))*(0.03)/(1-0.03)</f>
        <v>1830.9498819393611</v>
      </c>
      <c r="AF78" s="4" t="s">
        <v>652</v>
      </c>
    </row>
    <row r="79" spans="1:32" ht="11.25" customHeight="1" x14ac:dyDescent="0.25">
      <c r="A79" s="4" t="s">
        <v>21</v>
      </c>
      <c r="B79" s="4" t="s">
        <v>35</v>
      </c>
      <c r="C79" s="4" t="s">
        <v>39</v>
      </c>
      <c r="D79" s="4" t="s">
        <v>47</v>
      </c>
      <c r="E79" s="4" t="s">
        <v>48</v>
      </c>
      <c r="F79" s="4" t="s">
        <v>25</v>
      </c>
      <c r="G79" s="4" t="s">
        <v>25</v>
      </c>
      <c r="H79" s="4" t="s">
        <v>38</v>
      </c>
      <c r="I79" s="5">
        <v>44562</v>
      </c>
      <c r="J79" s="6">
        <v>0</v>
      </c>
      <c r="K79" s="128">
        <v>0</v>
      </c>
      <c r="L79" s="6">
        <v>219.52799999999999</v>
      </c>
      <c r="M79" s="128">
        <v>219.52799999999999</v>
      </c>
      <c r="N79" s="6">
        <v>219.52799999999999</v>
      </c>
      <c r="O79" s="128">
        <v>219.52799999999999</v>
      </c>
      <c r="P79" s="6">
        <v>0</v>
      </c>
      <c r="Q79" s="4" t="s">
        <v>26</v>
      </c>
      <c r="R79" s="4">
        <v>0</v>
      </c>
      <c r="S79" s="4">
        <v>0</v>
      </c>
      <c r="T79" s="4">
        <v>18</v>
      </c>
      <c r="U79" s="4">
        <v>73</v>
      </c>
      <c r="V79" s="128">
        <f>IF(ISERROR(VLOOKUP($S$79,'TAR FIN'!$A$1:$O$86,15,0)),0,VLOOKUP($S$79,'TAR FIN'!$A$1:$O$86,15,0))</f>
        <v>0</v>
      </c>
      <c r="W79" s="128">
        <f>IF(ISERROR(VLOOKUP($T$79,'TAR FIN'!$A$1:$O$86,15,0)),0,VLOOKUP($T$79,'TAR FIN'!$A$1:$O$86,15,0))*(1-0.06)</f>
        <v>68.798599999999993</v>
      </c>
      <c r="X79" s="128">
        <f>IF(ISERROR(VLOOKUP($U$79,'TAR FIN'!$A$1:$O$86,15,0)),0,VLOOKUP($U$79,'TAR FIN'!$A$1:$O$86,15,0))*(1-0.06)</f>
        <v>199.00739999999999</v>
      </c>
      <c r="Y79" s="128"/>
      <c r="Z79" s="128">
        <f ca="1">('TUSD BE'!$AM$12+'TUSD BF'!$AM$12+'TUSD CVA'!$AM$12)*1*(1-0.03)</f>
        <v>114.29744777163032</v>
      </c>
      <c r="AA79" s="128">
        <f>('TE BE'!$AB$6+'TE BF'!$AB$6+'TE CVA'!$AB$6)*1*(1-0.03)</f>
        <v>216.30904504598922</v>
      </c>
      <c r="AB79" s="128">
        <f>(SUBSIDIO!$J$79*SUBSIDIO!$V$79)*(0.06)/(1-0.06)</f>
        <v>0</v>
      </c>
      <c r="AC79" s="128">
        <f>((SUBSIDIO!$L$79*SUBSIDIO!$W$79)+(SUBSIDIO!$N$79*SUBSIDIO!$X$79))*(0.06)/(1-0.06)</f>
        <v>3752.6116319999996</v>
      </c>
      <c r="AD79" s="128">
        <f>(SUBSIDIO!$J$79*SUBSIDIO!$Y$79)*(0.03)/(1-0.03)</f>
        <v>0</v>
      </c>
      <c r="AE79" s="128">
        <f ca="1">((SUBSIDIO!$L$79*SUBSIDIO!$Z$79)+(SUBSIDIO!$N$79*SUBSIDIO!$AA$79))*(0.03)/(1-0.03)</f>
        <v>2244.6613037711249</v>
      </c>
      <c r="AF79" s="4" t="s">
        <v>652</v>
      </c>
    </row>
    <row r="80" spans="1:32" ht="11.25" customHeight="1" x14ac:dyDescent="0.25">
      <c r="A80" s="4" t="s">
        <v>21</v>
      </c>
      <c r="B80" s="4" t="s">
        <v>35</v>
      </c>
      <c r="C80" s="4" t="s">
        <v>39</v>
      </c>
      <c r="D80" s="4" t="s">
        <v>47</v>
      </c>
      <c r="E80" s="4" t="s">
        <v>48</v>
      </c>
      <c r="F80" s="4" t="s">
        <v>25</v>
      </c>
      <c r="G80" s="4" t="s">
        <v>25</v>
      </c>
      <c r="H80" s="4" t="s">
        <v>38</v>
      </c>
      <c r="I80" s="5">
        <v>44593</v>
      </c>
      <c r="J80" s="6">
        <v>0</v>
      </c>
      <c r="K80" s="128">
        <v>0</v>
      </c>
      <c r="L80" s="6">
        <v>177.56899999999999</v>
      </c>
      <c r="M80" s="128">
        <v>177.56899999999999</v>
      </c>
      <c r="N80" s="6">
        <v>177.56899999999999</v>
      </c>
      <c r="O80" s="128">
        <v>177.56899999999999</v>
      </c>
      <c r="P80" s="6">
        <v>0</v>
      </c>
      <c r="Q80" s="4" t="s">
        <v>26</v>
      </c>
      <c r="R80" s="4">
        <v>0</v>
      </c>
      <c r="S80" s="4">
        <v>0</v>
      </c>
      <c r="T80" s="4">
        <v>18</v>
      </c>
      <c r="U80" s="4">
        <v>73</v>
      </c>
      <c r="V80" s="128">
        <f>IF(ISERROR(VLOOKUP($S$80,'TAR FIN'!$A$1:$O$86,15,0)),0,VLOOKUP($S$80,'TAR FIN'!$A$1:$O$86,15,0))</f>
        <v>0</v>
      </c>
      <c r="W80" s="128">
        <f>IF(ISERROR(VLOOKUP($T$80,'TAR FIN'!$A$1:$O$86,15,0)),0,VLOOKUP($T$80,'TAR FIN'!$A$1:$O$86,15,0))*(1-0.06)</f>
        <v>68.798599999999993</v>
      </c>
      <c r="X80" s="128">
        <f>IF(ISERROR(VLOOKUP($U$80,'TAR FIN'!$A$1:$O$86,15,0)),0,VLOOKUP($U$80,'TAR FIN'!$A$1:$O$86,15,0))*(1-0.06)</f>
        <v>199.00739999999999</v>
      </c>
      <c r="Y80" s="128"/>
      <c r="Z80" s="128">
        <f ca="1">('TUSD BE'!$AM$12+'TUSD BF'!$AM$12+'TUSD CVA'!$AM$12)*1*(1-0.03)</f>
        <v>114.29744777163032</v>
      </c>
      <c r="AA80" s="128">
        <f>('TE BE'!$AB$6+'TE BF'!$AB$6+'TE CVA'!$AB$6)*1*(1-0.03)</f>
        <v>216.30904504598922</v>
      </c>
      <c r="AB80" s="128">
        <f>(SUBSIDIO!$J$80*SUBSIDIO!$V$80)*(0.06)/(1-0.06)</f>
        <v>0</v>
      </c>
      <c r="AC80" s="128">
        <f>((SUBSIDIO!$L$80*SUBSIDIO!$W$80)+(SUBSIDIO!$N$80*SUBSIDIO!$X$80))*(0.06)/(1-0.06)</f>
        <v>3035.3644859999999</v>
      </c>
      <c r="AD80" s="128">
        <f>(SUBSIDIO!$J$80*SUBSIDIO!$Y$80)*(0.03)/(1-0.03)</f>
        <v>0</v>
      </c>
      <c r="AE80" s="128">
        <f ca="1">((SUBSIDIO!$L$80*SUBSIDIO!$Z$80)+(SUBSIDIO!$N$80*SUBSIDIO!$AA$80))*(0.03)/(1-0.03)</f>
        <v>1815.6329172102644</v>
      </c>
      <c r="AF80" s="4" t="s">
        <v>652</v>
      </c>
    </row>
    <row r="81" spans="1:32" ht="11.25" customHeight="1" x14ac:dyDescent="0.25">
      <c r="A81" s="4" t="s">
        <v>21</v>
      </c>
      <c r="B81" s="4" t="s">
        <v>35</v>
      </c>
      <c r="C81" s="4" t="s">
        <v>39</v>
      </c>
      <c r="D81" s="4" t="s">
        <v>47</v>
      </c>
      <c r="E81" s="4" t="s">
        <v>48</v>
      </c>
      <c r="F81" s="4" t="s">
        <v>25</v>
      </c>
      <c r="G81" s="4" t="s">
        <v>25</v>
      </c>
      <c r="H81" s="4" t="s">
        <v>38</v>
      </c>
      <c r="I81" s="5">
        <v>44621</v>
      </c>
      <c r="J81" s="6">
        <v>0</v>
      </c>
      <c r="K81" s="128">
        <v>0</v>
      </c>
      <c r="L81" s="6">
        <v>170.62100000000001</v>
      </c>
      <c r="M81" s="128">
        <v>170.62100000000001</v>
      </c>
      <c r="N81" s="6">
        <v>170.62100000000001</v>
      </c>
      <c r="O81" s="128">
        <v>170.62100000000001</v>
      </c>
      <c r="P81" s="6">
        <v>0</v>
      </c>
      <c r="Q81" s="4" t="s">
        <v>26</v>
      </c>
      <c r="R81" s="4">
        <v>0</v>
      </c>
      <c r="S81" s="4">
        <v>0</v>
      </c>
      <c r="T81" s="4">
        <v>18</v>
      </c>
      <c r="U81" s="4">
        <v>73</v>
      </c>
      <c r="V81" s="128">
        <f>IF(ISERROR(VLOOKUP($S$81,'TAR FIN'!$A$1:$O$86,15,0)),0,VLOOKUP($S$81,'TAR FIN'!$A$1:$O$86,15,0))</f>
        <v>0</v>
      </c>
      <c r="W81" s="128">
        <f>IF(ISERROR(VLOOKUP($T$81,'TAR FIN'!$A$1:$O$86,15,0)),0,VLOOKUP($T$81,'TAR FIN'!$A$1:$O$86,15,0))*(1-0.06)</f>
        <v>68.798599999999993</v>
      </c>
      <c r="X81" s="128">
        <f>IF(ISERROR(VLOOKUP($U$81,'TAR FIN'!$A$1:$O$86,15,0)),0,VLOOKUP($U$81,'TAR FIN'!$A$1:$O$86,15,0))*(1-0.06)</f>
        <v>199.00739999999999</v>
      </c>
      <c r="Y81" s="128"/>
      <c r="Z81" s="128">
        <f ca="1">('TUSD BE'!$AM$12+'TUSD BF'!$AM$12+'TUSD CVA'!$AM$12)*1*(1-0.03)</f>
        <v>114.29744777163032</v>
      </c>
      <c r="AA81" s="128">
        <f>('TE BE'!$AB$6+'TE BF'!$AB$6+'TE CVA'!$AB$6)*1*(1-0.03)</f>
        <v>216.30904504598922</v>
      </c>
      <c r="AB81" s="128">
        <f>(SUBSIDIO!$J$81*SUBSIDIO!$V$81)*(0.06)/(1-0.06)</f>
        <v>0</v>
      </c>
      <c r="AC81" s="128">
        <f>((SUBSIDIO!$L$81*SUBSIDIO!$W$81)+(SUBSIDIO!$N$81*SUBSIDIO!$X$81))*(0.06)/(1-0.06)</f>
        <v>2916.595374</v>
      </c>
      <c r="AD81" s="128">
        <f>(SUBSIDIO!$J$81*SUBSIDIO!$Y$81)*(0.03)/(1-0.03)</f>
        <v>0</v>
      </c>
      <c r="AE81" s="128">
        <f ca="1">((SUBSIDIO!$L$81*SUBSIDIO!$Z$81)+(SUBSIDIO!$N$81*SUBSIDIO!$AA$81))*(0.03)/(1-0.03)</f>
        <v>1744.5900127124248</v>
      </c>
      <c r="AF81" s="4" t="s">
        <v>652</v>
      </c>
    </row>
    <row r="82" spans="1:32" ht="11.25" customHeight="1" x14ac:dyDescent="0.25">
      <c r="A82" s="4" t="s">
        <v>21</v>
      </c>
      <c r="B82" s="4" t="s">
        <v>35</v>
      </c>
      <c r="C82" s="4" t="s">
        <v>39</v>
      </c>
      <c r="D82" s="4" t="s">
        <v>47</v>
      </c>
      <c r="E82" s="4" t="s">
        <v>48</v>
      </c>
      <c r="F82" s="4" t="s">
        <v>25</v>
      </c>
      <c r="G82" s="4" t="s">
        <v>25</v>
      </c>
      <c r="H82" s="4" t="s">
        <v>38</v>
      </c>
      <c r="I82" s="5">
        <v>44652</v>
      </c>
      <c r="J82" s="6">
        <v>0</v>
      </c>
      <c r="K82" s="128">
        <v>0</v>
      </c>
      <c r="L82" s="6">
        <v>164.25200000000001</v>
      </c>
      <c r="M82" s="128">
        <v>164.25200000000001</v>
      </c>
      <c r="N82" s="6">
        <v>164.25200000000001</v>
      </c>
      <c r="O82" s="128">
        <v>164.25200000000001</v>
      </c>
      <c r="P82" s="6">
        <v>0</v>
      </c>
      <c r="Q82" s="4" t="s">
        <v>26</v>
      </c>
      <c r="R82" s="4">
        <v>0</v>
      </c>
      <c r="S82" s="4">
        <v>0</v>
      </c>
      <c r="T82" s="4">
        <v>18</v>
      </c>
      <c r="U82" s="4">
        <v>73</v>
      </c>
      <c r="V82" s="128">
        <f>IF(ISERROR(VLOOKUP($S$82,'TAR FIN'!$A$1:$O$86,15,0)),0,VLOOKUP($S$82,'TAR FIN'!$A$1:$O$86,15,0))</f>
        <v>0</v>
      </c>
      <c r="W82" s="128">
        <f>IF(ISERROR(VLOOKUP($T$82,'TAR FIN'!$A$1:$O$86,15,0)),0,VLOOKUP($T$82,'TAR FIN'!$A$1:$O$86,15,0))*(1-0.06)</f>
        <v>68.798599999999993</v>
      </c>
      <c r="X82" s="128">
        <f>IF(ISERROR(VLOOKUP($U$82,'TAR FIN'!$A$1:$O$86,15,0)),0,VLOOKUP($U$82,'TAR FIN'!$A$1:$O$86,15,0))*(1-0.06)</f>
        <v>199.00739999999999</v>
      </c>
      <c r="Y82" s="128"/>
      <c r="Z82" s="128">
        <f ca="1">('TUSD BE'!$AM$12+'TUSD BF'!$AM$12+'TUSD CVA'!$AM$12)*1*(1-0.03)</f>
        <v>114.29744777163032</v>
      </c>
      <c r="AA82" s="128">
        <f>('TE BE'!$AB$6+'TE BF'!$AB$6+'TE CVA'!$AB$6)*1*(1-0.03)</f>
        <v>216.30904504598922</v>
      </c>
      <c r="AB82" s="128">
        <f>(SUBSIDIO!$J$82*SUBSIDIO!$V$82)*(0.06)/(1-0.06)</f>
        <v>0</v>
      </c>
      <c r="AC82" s="128">
        <f>((SUBSIDIO!$L$82*SUBSIDIO!$W$82)+(SUBSIDIO!$N$82*SUBSIDIO!$X$82))*(0.06)/(1-0.06)</f>
        <v>2807.723688</v>
      </c>
      <c r="AD82" s="128">
        <f>(SUBSIDIO!$J$82*SUBSIDIO!$Y$82)*(0.03)/(1-0.03)</f>
        <v>0</v>
      </c>
      <c r="AE82" s="128">
        <f ca="1">((SUBSIDIO!$L$82*SUBSIDIO!$Z$82)+(SUBSIDIO!$N$82*SUBSIDIO!$AA$82))*(0.03)/(1-0.03)</f>
        <v>1679.4673502560715</v>
      </c>
      <c r="AF82" s="4" t="s">
        <v>652</v>
      </c>
    </row>
    <row r="83" spans="1:32" ht="11.25" customHeight="1" x14ac:dyDescent="0.25">
      <c r="A83" s="4" t="s">
        <v>21</v>
      </c>
      <c r="B83" s="4" t="s">
        <v>35</v>
      </c>
      <c r="C83" s="4" t="s">
        <v>39</v>
      </c>
      <c r="D83" s="4" t="s">
        <v>47</v>
      </c>
      <c r="E83" s="4" t="s">
        <v>48</v>
      </c>
      <c r="F83" s="4" t="s">
        <v>25</v>
      </c>
      <c r="G83" s="4" t="s">
        <v>25</v>
      </c>
      <c r="H83" s="4" t="s">
        <v>38</v>
      </c>
      <c r="I83" s="5">
        <v>44682</v>
      </c>
      <c r="J83" s="6">
        <v>0</v>
      </c>
      <c r="K83" s="128">
        <v>0</v>
      </c>
      <c r="L83" s="6">
        <v>160.15100000000001</v>
      </c>
      <c r="M83" s="128">
        <v>160.15100000000001</v>
      </c>
      <c r="N83" s="6">
        <v>160.15100000000001</v>
      </c>
      <c r="O83" s="128">
        <v>160.15100000000001</v>
      </c>
      <c r="P83" s="6">
        <v>0</v>
      </c>
      <c r="Q83" s="4" t="s">
        <v>26</v>
      </c>
      <c r="R83" s="4">
        <v>0</v>
      </c>
      <c r="S83" s="4">
        <v>0</v>
      </c>
      <c r="T83" s="4">
        <v>18</v>
      </c>
      <c r="U83" s="4">
        <v>73</v>
      </c>
      <c r="V83" s="128">
        <f>IF(ISERROR(VLOOKUP($S$83,'TAR FIN'!$A$1:$O$86,15,0)),0,VLOOKUP($S$83,'TAR FIN'!$A$1:$O$86,15,0))</f>
        <v>0</v>
      </c>
      <c r="W83" s="128">
        <f>IF(ISERROR(VLOOKUP($T$83,'TAR FIN'!$A$1:$O$86,15,0)),0,VLOOKUP($T$83,'TAR FIN'!$A$1:$O$86,15,0))*(1-0.06)</f>
        <v>68.798599999999993</v>
      </c>
      <c r="X83" s="128">
        <f>IF(ISERROR(VLOOKUP($U$83,'TAR FIN'!$A$1:$O$86,15,0)),0,VLOOKUP($U$83,'TAR FIN'!$A$1:$O$86,15,0))*(1-0.06)</f>
        <v>199.00739999999999</v>
      </c>
      <c r="Y83" s="128"/>
      <c r="Z83" s="128">
        <f ca="1">('TUSD BE'!$AM$12+'TUSD BF'!$AM$12+'TUSD CVA'!$AM$12)*1*(1-0.03)</f>
        <v>114.29744777163032</v>
      </c>
      <c r="AA83" s="128">
        <f>('TE BE'!$AB$6+'TE BF'!$AB$6+'TE CVA'!$AB$6)*1*(1-0.03)</f>
        <v>216.30904504598922</v>
      </c>
      <c r="AB83" s="128">
        <f>(SUBSIDIO!$J$83*SUBSIDIO!$V$83)*(0.06)/(1-0.06)</f>
        <v>0</v>
      </c>
      <c r="AC83" s="128">
        <f>((SUBSIDIO!$L$83*SUBSIDIO!$W$83)+(SUBSIDIO!$N$83*SUBSIDIO!$X$83))*(0.06)/(1-0.06)</f>
        <v>2737.6211939999998</v>
      </c>
      <c r="AD83" s="128">
        <f>(SUBSIDIO!$J$83*SUBSIDIO!$Y$83)*(0.03)/(1-0.03)</f>
        <v>0</v>
      </c>
      <c r="AE83" s="128">
        <f ca="1">((SUBSIDIO!$L$83*SUBSIDIO!$Z$83)+(SUBSIDIO!$N$83*SUBSIDIO!$AA$83))*(0.03)/(1-0.03)</f>
        <v>1637.5348586979771</v>
      </c>
      <c r="AF83" s="4" t="s">
        <v>652</v>
      </c>
    </row>
    <row r="84" spans="1:32" ht="11.25" customHeight="1" x14ac:dyDescent="0.25">
      <c r="A84" s="4" t="s">
        <v>21</v>
      </c>
      <c r="B84" s="4" t="s">
        <v>35</v>
      </c>
      <c r="C84" s="4" t="s">
        <v>39</v>
      </c>
      <c r="D84" s="4" t="s">
        <v>47</v>
      </c>
      <c r="E84" s="4" t="s">
        <v>48</v>
      </c>
      <c r="F84" s="4" t="s">
        <v>25</v>
      </c>
      <c r="G84" s="4" t="s">
        <v>25</v>
      </c>
      <c r="H84" s="4" t="s">
        <v>38</v>
      </c>
      <c r="I84" s="5">
        <v>44713</v>
      </c>
      <c r="J84" s="6">
        <v>0</v>
      </c>
      <c r="K84" s="128">
        <v>0</v>
      </c>
      <c r="L84" s="6">
        <v>160.02600000000001</v>
      </c>
      <c r="M84" s="128">
        <v>160.02600000000001</v>
      </c>
      <c r="N84" s="6">
        <v>160.02600000000001</v>
      </c>
      <c r="O84" s="128">
        <v>160.02600000000001</v>
      </c>
      <c r="P84" s="6">
        <v>0</v>
      </c>
      <c r="Q84" s="4" t="s">
        <v>26</v>
      </c>
      <c r="R84" s="4">
        <v>0</v>
      </c>
      <c r="S84" s="4">
        <v>0</v>
      </c>
      <c r="T84" s="4">
        <v>18</v>
      </c>
      <c r="U84" s="4">
        <v>73</v>
      </c>
      <c r="V84" s="128">
        <f>IF(ISERROR(VLOOKUP($S$84,'TAR FIN'!$A$1:$O$86,15,0)),0,VLOOKUP($S$84,'TAR FIN'!$A$1:$O$86,15,0))</f>
        <v>0</v>
      </c>
      <c r="W84" s="128">
        <f>IF(ISERROR(VLOOKUP($T$84,'TAR FIN'!$A$1:$O$86,15,0)),0,VLOOKUP($T$84,'TAR FIN'!$A$1:$O$86,15,0))*(1-0.06)</f>
        <v>68.798599999999993</v>
      </c>
      <c r="X84" s="128">
        <f>IF(ISERROR(VLOOKUP($U$84,'TAR FIN'!$A$1:$O$86,15,0)),0,VLOOKUP($U$84,'TAR FIN'!$A$1:$O$86,15,0))*(1-0.06)</f>
        <v>199.00739999999999</v>
      </c>
      <c r="Y84" s="128"/>
      <c r="Z84" s="128">
        <f ca="1">('TUSD BE'!$AM$12+'TUSD BF'!$AM$12+'TUSD CVA'!$AM$12)*1*(1-0.03)</f>
        <v>114.29744777163032</v>
      </c>
      <c r="AA84" s="128">
        <f>('TE BE'!$AB$6+'TE BF'!$AB$6+'TE CVA'!$AB$6)*1*(1-0.03)</f>
        <v>216.30904504598922</v>
      </c>
      <c r="AB84" s="128">
        <f>(SUBSIDIO!$J$84*SUBSIDIO!$V$84)*(0.06)/(1-0.06)</f>
        <v>0</v>
      </c>
      <c r="AC84" s="128">
        <f>((SUBSIDIO!$L$84*SUBSIDIO!$W$84)+(SUBSIDIO!$N$84*SUBSIDIO!$X$84))*(0.06)/(1-0.06)</f>
        <v>2735.4844439999997</v>
      </c>
      <c r="AD84" s="128">
        <f>(SUBSIDIO!$J$84*SUBSIDIO!$Y$84)*(0.03)/(1-0.03)</f>
        <v>0</v>
      </c>
      <c r="AE84" s="128">
        <f ca="1">((SUBSIDIO!$L$84*SUBSIDIO!$Z$84)+(SUBSIDIO!$N$84*SUBSIDIO!$AA$84))*(0.03)/(1-0.03)</f>
        <v>1636.2567408133727</v>
      </c>
      <c r="AF84" s="4" t="s">
        <v>652</v>
      </c>
    </row>
    <row r="85" spans="1:32" ht="11.25" customHeight="1" x14ac:dyDescent="0.25">
      <c r="A85" s="4" t="s">
        <v>55</v>
      </c>
      <c r="B85" s="4" t="s">
        <v>35</v>
      </c>
      <c r="C85" s="4" t="s">
        <v>39</v>
      </c>
      <c r="D85" s="4" t="s">
        <v>47</v>
      </c>
      <c r="E85" s="4" t="s">
        <v>48</v>
      </c>
      <c r="F85" s="4" t="s">
        <v>25</v>
      </c>
      <c r="G85" s="4" t="s">
        <v>25</v>
      </c>
      <c r="H85" s="4" t="s">
        <v>38</v>
      </c>
      <c r="I85" s="5">
        <v>44743</v>
      </c>
      <c r="J85" s="6">
        <v>0</v>
      </c>
      <c r="K85" s="128">
        <v>0</v>
      </c>
      <c r="L85" s="6">
        <v>160.02600000000001</v>
      </c>
      <c r="M85" s="128">
        <v>160.02600000000001</v>
      </c>
      <c r="N85" s="6">
        <v>160.02600000000001</v>
      </c>
      <c r="O85" s="128">
        <v>160.02600000000001</v>
      </c>
      <c r="P85" s="6">
        <v>0</v>
      </c>
      <c r="Q85" s="4" t="s">
        <v>26</v>
      </c>
      <c r="R85" s="4">
        <v>0</v>
      </c>
      <c r="S85" s="4">
        <v>0</v>
      </c>
      <c r="T85" s="4">
        <v>18</v>
      </c>
      <c r="U85" s="4">
        <v>73</v>
      </c>
      <c r="V85" s="128">
        <f>IF(ISERROR(VLOOKUP($S$85,'TAR FIN'!$A$1:$O$86,15,0)),0,VLOOKUP($S$85,'TAR FIN'!$A$1:$O$86,15,0))</f>
        <v>0</v>
      </c>
      <c r="W85" s="128">
        <f>IF(ISERROR(VLOOKUP($T$85,'TAR FIN'!$A$1:$O$86,15,0)),0,VLOOKUP($T$85,'TAR FIN'!$A$1:$O$86,15,0))*(1-0.06)</f>
        <v>68.798599999999993</v>
      </c>
      <c r="X85" s="128">
        <f>IF(ISERROR(VLOOKUP($U$85,'TAR FIN'!$A$1:$O$86,15,0)),0,VLOOKUP($U$85,'TAR FIN'!$A$1:$O$86,15,0))*(1-0.06)</f>
        <v>199.00739999999999</v>
      </c>
      <c r="Y85" s="128"/>
      <c r="Z85" s="128">
        <f ca="1">('TUSD BE'!$AM$12+'TUSD BF'!$AM$12+'TUSD CVA'!$AM$12)*1*(1-0.03)</f>
        <v>114.29744777163032</v>
      </c>
      <c r="AA85" s="128">
        <f>('TE BE'!$AB$6+'TE BF'!$AB$6+'TE CVA'!$AB$6)*1*(1-0.03)</f>
        <v>216.30904504598922</v>
      </c>
      <c r="AB85" s="128">
        <f>(SUBSIDIO!$J$85*SUBSIDIO!$V$85)*(0.06)/(1-0.06)</f>
        <v>0</v>
      </c>
      <c r="AC85" s="128">
        <f>((SUBSIDIO!$L$85*SUBSIDIO!$W$85)+(SUBSIDIO!$N$85*SUBSIDIO!$X$85))*(0.06)/(1-0.06)</f>
        <v>2735.4844439999997</v>
      </c>
      <c r="AD85" s="128">
        <f>(SUBSIDIO!$J$85*SUBSIDIO!$Y$85)*(0.03)/(1-0.03)</f>
        <v>0</v>
      </c>
      <c r="AE85" s="128">
        <f ca="1">((SUBSIDIO!$L$85*SUBSIDIO!$Z$85)+(SUBSIDIO!$N$85*SUBSIDIO!$AA$85))*(0.03)/(1-0.03)</f>
        <v>1636.2567408133727</v>
      </c>
      <c r="AF85" s="4" t="s">
        <v>652</v>
      </c>
    </row>
    <row r="86" spans="1:32" ht="11.25" customHeight="1" x14ac:dyDescent="0.25">
      <c r="A86" s="4" t="s">
        <v>21</v>
      </c>
      <c r="B86" s="4" t="s">
        <v>35</v>
      </c>
      <c r="C86" s="4" t="s">
        <v>39</v>
      </c>
      <c r="D86" s="4" t="s">
        <v>47</v>
      </c>
      <c r="E86" s="4" t="s">
        <v>48</v>
      </c>
      <c r="F86" s="4" t="s">
        <v>25</v>
      </c>
      <c r="G86" s="4" t="s">
        <v>25</v>
      </c>
      <c r="H86" s="4" t="s">
        <v>25</v>
      </c>
      <c r="I86" s="5">
        <v>44409</v>
      </c>
      <c r="J86" s="6">
        <v>400</v>
      </c>
      <c r="K86" s="129">
        <v>400</v>
      </c>
      <c r="L86" s="6">
        <v>0</v>
      </c>
      <c r="M86" s="128">
        <v>0</v>
      </c>
      <c r="N86" s="6">
        <v>0</v>
      </c>
      <c r="O86" s="128">
        <v>0</v>
      </c>
      <c r="P86" s="6">
        <v>1</v>
      </c>
      <c r="Q86" s="4" t="s">
        <v>26</v>
      </c>
      <c r="R86" s="4">
        <v>0</v>
      </c>
      <c r="S86" s="4">
        <v>24</v>
      </c>
      <c r="T86" s="4">
        <v>0</v>
      </c>
      <c r="U86" s="4">
        <v>0</v>
      </c>
      <c r="V86" s="128">
        <f>IF(ISERROR(VLOOKUP($S$86,'TAR FIN'!$A$1:$O$86,15,0)),0,VLOOKUP($S$86,'TAR FIN'!$A$1:$O$86,15,0))*(1-0.06)</f>
        <v>21.525999999999996</v>
      </c>
      <c r="W86" s="128">
        <f>IF(ISERROR(VLOOKUP($T$86,'TAR FIN'!$A$1:$O$86,15,0)),0,VLOOKUP($T$86,'TAR FIN'!$A$1:$O$86,15,0))</f>
        <v>0</v>
      </c>
      <c r="X86" s="128">
        <f>IF(ISERROR(VLOOKUP($U$86,'TAR FIN'!$A$1:$O$86,15,0)),0,VLOOKUP($U$86,'TAR FIN'!$A$1:$O$86,15,0))</f>
        <v>0</v>
      </c>
      <c r="Y86" s="128">
        <f ca="1">('TUSD BE'!$AM$10+'TUSD BF'!$AM$10+'TUSD CVA'!$AM$10)*1*(1-0.03)</f>
        <v>21.081719932182427</v>
      </c>
      <c r="Z86" s="128"/>
      <c r="AA86" s="128"/>
      <c r="AB86" s="128">
        <f>(SUBSIDIO!$J$86*SUBSIDIO!$V$86)*(0.06)/(1-0.06)</f>
        <v>549.5999999999998</v>
      </c>
      <c r="AC86" s="128">
        <f>((SUBSIDIO!$L$86*SUBSIDIO!$W$86)+(SUBSIDIO!$N$86*SUBSIDIO!$X$86))*(0.06)/(1-0.06)</f>
        <v>0</v>
      </c>
      <c r="AD86" s="128">
        <f ca="1">(SUBSIDIO!$J$86*SUBSIDIO!$Y$86)*(0.03)/(1-0.03)</f>
        <v>260.80478266617433</v>
      </c>
      <c r="AE86" s="128">
        <f>((SUBSIDIO!$L$86*SUBSIDIO!$Z$86)+(SUBSIDIO!$N$86*SUBSIDIO!$AA$86))*(0.03)/(1-0.03)</f>
        <v>0</v>
      </c>
      <c r="AF86" s="4" t="s">
        <v>652</v>
      </c>
    </row>
    <row r="87" spans="1:32" ht="11.25" customHeight="1" x14ac:dyDescent="0.25">
      <c r="A87" s="4" t="s">
        <v>21</v>
      </c>
      <c r="B87" s="4" t="s">
        <v>35</v>
      </c>
      <c r="C87" s="4" t="s">
        <v>39</v>
      </c>
      <c r="D87" s="4" t="s">
        <v>47</v>
      </c>
      <c r="E87" s="4" t="s">
        <v>48</v>
      </c>
      <c r="F87" s="4" t="s">
        <v>25</v>
      </c>
      <c r="G87" s="4" t="s">
        <v>25</v>
      </c>
      <c r="H87" s="4" t="s">
        <v>25</v>
      </c>
      <c r="I87" s="5">
        <v>44440</v>
      </c>
      <c r="J87" s="6">
        <v>400</v>
      </c>
      <c r="K87" s="129">
        <v>400</v>
      </c>
      <c r="L87" s="6">
        <v>0</v>
      </c>
      <c r="M87" s="128">
        <v>0</v>
      </c>
      <c r="N87" s="6">
        <v>0</v>
      </c>
      <c r="O87" s="128">
        <v>0</v>
      </c>
      <c r="P87" s="6">
        <v>1</v>
      </c>
      <c r="Q87" s="4" t="s">
        <v>26</v>
      </c>
      <c r="R87" s="4">
        <v>0</v>
      </c>
      <c r="S87" s="4">
        <v>24</v>
      </c>
      <c r="T87" s="4">
        <v>0</v>
      </c>
      <c r="U87" s="4">
        <v>0</v>
      </c>
      <c r="V87" s="128">
        <f>IF(ISERROR(VLOOKUP($S$87,'TAR FIN'!$A$1:$O$86,15,0)),0,VLOOKUP($S$87,'TAR FIN'!$A$1:$O$86,15,0))*(1-0.06)</f>
        <v>21.525999999999996</v>
      </c>
      <c r="W87" s="128">
        <f>IF(ISERROR(VLOOKUP($T$87,'TAR FIN'!$A$1:$O$86,15,0)),0,VLOOKUP($T$87,'TAR FIN'!$A$1:$O$86,15,0))</f>
        <v>0</v>
      </c>
      <c r="X87" s="128">
        <f>IF(ISERROR(VLOOKUP($U$87,'TAR FIN'!$A$1:$O$86,15,0)),0,VLOOKUP($U$87,'TAR FIN'!$A$1:$O$86,15,0))</f>
        <v>0</v>
      </c>
      <c r="Y87" s="128">
        <f ca="1">('TUSD BE'!$AM$10+'TUSD BF'!$AM$10+'TUSD CVA'!$AM$10)*1*(1-0.03)</f>
        <v>21.081719932182427</v>
      </c>
      <c r="Z87" s="128"/>
      <c r="AA87" s="128"/>
      <c r="AB87" s="128">
        <f>(SUBSIDIO!$J$87*SUBSIDIO!$V$87)*(0.06)/(1-0.06)</f>
        <v>549.5999999999998</v>
      </c>
      <c r="AC87" s="128">
        <f>((SUBSIDIO!$L$87*SUBSIDIO!$W$87)+(SUBSIDIO!$N$87*SUBSIDIO!$X$87))*(0.06)/(1-0.06)</f>
        <v>0</v>
      </c>
      <c r="AD87" s="128">
        <f ca="1">(SUBSIDIO!$J$87*SUBSIDIO!$Y$87)*(0.03)/(1-0.03)</f>
        <v>260.80478266617433</v>
      </c>
      <c r="AE87" s="128">
        <f>((SUBSIDIO!$L$87*SUBSIDIO!$Z$87)+(SUBSIDIO!$N$87*SUBSIDIO!$AA$87))*(0.03)/(1-0.03)</f>
        <v>0</v>
      </c>
      <c r="AF87" s="4" t="s">
        <v>652</v>
      </c>
    </row>
    <row r="88" spans="1:32" ht="11.25" customHeight="1" x14ac:dyDescent="0.25">
      <c r="A88" s="4" t="s">
        <v>21</v>
      </c>
      <c r="B88" s="4" t="s">
        <v>35</v>
      </c>
      <c r="C88" s="4" t="s">
        <v>39</v>
      </c>
      <c r="D88" s="4" t="s">
        <v>47</v>
      </c>
      <c r="E88" s="4" t="s">
        <v>48</v>
      </c>
      <c r="F88" s="4" t="s">
        <v>25</v>
      </c>
      <c r="G88" s="4" t="s">
        <v>25</v>
      </c>
      <c r="H88" s="4" t="s">
        <v>25</v>
      </c>
      <c r="I88" s="5">
        <v>44470</v>
      </c>
      <c r="J88" s="6">
        <v>400</v>
      </c>
      <c r="K88" s="129">
        <v>400</v>
      </c>
      <c r="L88" s="6">
        <v>0</v>
      </c>
      <c r="M88" s="128">
        <v>0</v>
      </c>
      <c r="N88" s="6">
        <v>0</v>
      </c>
      <c r="O88" s="128">
        <v>0</v>
      </c>
      <c r="P88" s="6">
        <v>1</v>
      </c>
      <c r="Q88" s="4" t="s">
        <v>26</v>
      </c>
      <c r="R88" s="4">
        <v>0</v>
      </c>
      <c r="S88" s="4">
        <v>24</v>
      </c>
      <c r="T88" s="4">
        <v>0</v>
      </c>
      <c r="U88" s="4">
        <v>0</v>
      </c>
      <c r="V88" s="128">
        <f>IF(ISERROR(VLOOKUP($S$88,'TAR FIN'!$A$1:$O$86,15,0)),0,VLOOKUP($S$88,'TAR FIN'!$A$1:$O$86,15,0))*(1-0.06)</f>
        <v>21.525999999999996</v>
      </c>
      <c r="W88" s="128">
        <f>IF(ISERROR(VLOOKUP($T$88,'TAR FIN'!$A$1:$O$86,15,0)),0,VLOOKUP($T$88,'TAR FIN'!$A$1:$O$86,15,0))</f>
        <v>0</v>
      </c>
      <c r="X88" s="128">
        <f>IF(ISERROR(VLOOKUP($U$88,'TAR FIN'!$A$1:$O$86,15,0)),0,VLOOKUP($U$88,'TAR FIN'!$A$1:$O$86,15,0))</f>
        <v>0</v>
      </c>
      <c r="Y88" s="128">
        <f ca="1">('TUSD BE'!$AM$10+'TUSD BF'!$AM$10+'TUSD CVA'!$AM$10)*1*(1-0.03)</f>
        <v>21.081719932182427</v>
      </c>
      <c r="Z88" s="128"/>
      <c r="AA88" s="128"/>
      <c r="AB88" s="128">
        <f>(SUBSIDIO!$J$88*SUBSIDIO!$V$88)*(0.06)/(1-0.06)</f>
        <v>549.5999999999998</v>
      </c>
      <c r="AC88" s="128">
        <f>((SUBSIDIO!$L$88*SUBSIDIO!$W$88)+(SUBSIDIO!$N$88*SUBSIDIO!$X$88))*(0.06)/(1-0.06)</f>
        <v>0</v>
      </c>
      <c r="AD88" s="128">
        <f ca="1">(SUBSIDIO!$J$88*SUBSIDIO!$Y$88)*(0.03)/(1-0.03)</f>
        <v>260.80478266617433</v>
      </c>
      <c r="AE88" s="128">
        <f>((SUBSIDIO!$L$88*SUBSIDIO!$Z$88)+(SUBSIDIO!$N$88*SUBSIDIO!$AA$88))*(0.03)/(1-0.03)</f>
        <v>0</v>
      </c>
      <c r="AF88" s="4" t="s">
        <v>652</v>
      </c>
    </row>
    <row r="89" spans="1:32" ht="11.25" customHeight="1" x14ac:dyDescent="0.25">
      <c r="A89" s="4" t="s">
        <v>21</v>
      </c>
      <c r="B89" s="4" t="s">
        <v>35</v>
      </c>
      <c r="C89" s="4" t="s">
        <v>39</v>
      </c>
      <c r="D89" s="4" t="s">
        <v>47</v>
      </c>
      <c r="E89" s="4" t="s">
        <v>48</v>
      </c>
      <c r="F89" s="4" t="s">
        <v>25</v>
      </c>
      <c r="G89" s="4" t="s">
        <v>25</v>
      </c>
      <c r="H89" s="4" t="s">
        <v>25</v>
      </c>
      <c r="I89" s="5">
        <v>44501</v>
      </c>
      <c r="J89" s="6">
        <v>400</v>
      </c>
      <c r="K89" s="129">
        <v>400</v>
      </c>
      <c r="L89" s="6">
        <v>0</v>
      </c>
      <c r="M89" s="128">
        <v>0</v>
      </c>
      <c r="N89" s="6">
        <v>0</v>
      </c>
      <c r="O89" s="128">
        <v>0</v>
      </c>
      <c r="P89" s="6">
        <v>1</v>
      </c>
      <c r="Q89" s="4" t="s">
        <v>26</v>
      </c>
      <c r="R89" s="4">
        <v>0</v>
      </c>
      <c r="S89" s="4">
        <v>24</v>
      </c>
      <c r="T89" s="4">
        <v>0</v>
      </c>
      <c r="U89" s="4">
        <v>0</v>
      </c>
      <c r="V89" s="128">
        <f>IF(ISERROR(VLOOKUP($S$89,'TAR FIN'!$A$1:$O$86,15,0)),0,VLOOKUP($S$89,'TAR FIN'!$A$1:$O$86,15,0))*(1-0.06)</f>
        <v>21.525999999999996</v>
      </c>
      <c r="W89" s="128">
        <f>IF(ISERROR(VLOOKUP($T$89,'TAR FIN'!$A$1:$O$86,15,0)),0,VLOOKUP($T$89,'TAR FIN'!$A$1:$O$86,15,0))</f>
        <v>0</v>
      </c>
      <c r="X89" s="128">
        <f>IF(ISERROR(VLOOKUP($U$89,'TAR FIN'!$A$1:$O$86,15,0)),0,VLOOKUP($U$89,'TAR FIN'!$A$1:$O$86,15,0))</f>
        <v>0</v>
      </c>
      <c r="Y89" s="128">
        <f ca="1">('TUSD BE'!$AM$10+'TUSD BF'!$AM$10+'TUSD CVA'!$AM$10)*1*(1-0.03)</f>
        <v>21.081719932182427</v>
      </c>
      <c r="Z89" s="128"/>
      <c r="AA89" s="128"/>
      <c r="AB89" s="128">
        <f>(SUBSIDIO!$J$89*SUBSIDIO!$V$89)*(0.06)/(1-0.06)</f>
        <v>549.5999999999998</v>
      </c>
      <c r="AC89" s="128">
        <f>((SUBSIDIO!$L$89*SUBSIDIO!$W$89)+(SUBSIDIO!$N$89*SUBSIDIO!$X$89))*(0.06)/(1-0.06)</f>
        <v>0</v>
      </c>
      <c r="AD89" s="128">
        <f ca="1">(SUBSIDIO!$J$89*SUBSIDIO!$Y$89)*(0.03)/(1-0.03)</f>
        <v>260.80478266617433</v>
      </c>
      <c r="AE89" s="128">
        <f>((SUBSIDIO!$L$89*SUBSIDIO!$Z$89)+(SUBSIDIO!$N$89*SUBSIDIO!$AA$89))*(0.03)/(1-0.03)</f>
        <v>0</v>
      </c>
      <c r="AF89" s="4" t="s">
        <v>652</v>
      </c>
    </row>
    <row r="90" spans="1:32" ht="11.25" customHeight="1" x14ac:dyDescent="0.25">
      <c r="A90" s="4" t="s">
        <v>21</v>
      </c>
      <c r="B90" s="4" t="s">
        <v>35</v>
      </c>
      <c r="C90" s="4" t="s">
        <v>39</v>
      </c>
      <c r="D90" s="4" t="s">
        <v>47</v>
      </c>
      <c r="E90" s="4" t="s">
        <v>48</v>
      </c>
      <c r="F90" s="4" t="s">
        <v>25</v>
      </c>
      <c r="G90" s="4" t="s">
        <v>25</v>
      </c>
      <c r="H90" s="4" t="s">
        <v>25</v>
      </c>
      <c r="I90" s="5">
        <v>44531</v>
      </c>
      <c r="J90" s="6">
        <v>484</v>
      </c>
      <c r="K90" s="129">
        <v>484</v>
      </c>
      <c r="L90" s="6">
        <v>0</v>
      </c>
      <c r="M90" s="128">
        <v>0</v>
      </c>
      <c r="N90" s="6">
        <v>0</v>
      </c>
      <c r="O90" s="128">
        <v>0</v>
      </c>
      <c r="P90" s="6">
        <v>1</v>
      </c>
      <c r="Q90" s="4" t="s">
        <v>26</v>
      </c>
      <c r="R90" s="4">
        <v>0</v>
      </c>
      <c r="S90" s="4">
        <v>24</v>
      </c>
      <c r="T90" s="4">
        <v>0</v>
      </c>
      <c r="U90" s="4">
        <v>0</v>
      </c>
      <c r="V90" s="128">
        <f>IF(ISERROR(VLOOKUP($S$90,'TAR FIN'!$A$1:$O$86,15,0)),0,VLOOKUP($S$90,'TAR FIN'!$A$1:$O$86,15,0))*(1-0.06)</f>
        <v>21.525999999999996</v>
      </c>
      <c r="W90" s="128">
        <f>IF(ISERROR(VLOOKUP($T$90,'TAR FIN'!$A$1:$O$86,15,0)),0,VLOOKUP($T$90,'TAR FIN'!$A$1:$O$86,15,0))</f>
        <v>0</v>
      </c>
      <c r="X90" s="128">
        <f>IF(ISERROR(VLOOKUP($U$90,'TAR FIN'!$A$1:$O$86,15,0)),0,VLOOKUP($U$90,'TAR FIN'!$A$1:$O$86,15,0))</f>
        <v>0</v>
      </c>
      <c r="Y90" s="128">
        <f ca="1">('TUSD BE'!$AM$10+'TUSD BF'!$AM$10+'TUSD CVA'!$AM$10)*1*(1-0.03)</f>
        <v>21.081719932182427</v>
      </c>
      <c r="Z90" s="128"/>
      <c r="AA90" s="128"/>
      <c r="AB90" s="128">
        <f>(SUBSIDIO!$J$90*SUBSIDIO!$V$90)*(0.06)/(1-0.06)</f>
        <v>665.01599999999996</v>
      </c>
      <c r="AC90" s="128">
        <f>((SUBSIDIO!$L$90*SUBSIDIO!$W$90)+(SUBSIDIO!$N$90*SUBSIDIO!$X$90))*(0.06)/(1-0.06)</f>
        <v>0</v>
      </c>
      <c r="AD90" s="128">
        <f ca="1">(SUBSIDIO!$J$90*SUBSIDIO!$Y$90)*(0.03)/(1-0.03)</f>
        <v>315.57378702607099</v>
      </c>
      <c r="AE90" s="128">
        <f>((SUBSIDIO!$L$90*SUBSIDIO!$Z$90)+(SUBSIDIO!$N$90*SUBSIDIO!$AA$90))*(0.03)/(1-0.03)</f>
        <v>0</v>
      </c>
      <c r="AF90" s="4" t="s">
        <v>652</v>
      </c>
    </row>
    <row r="91" spans="1:32" ht="11.25" customHeight="1" x14ac:dyDescent="0.25">
      <c r="A91" s="4" t="s">
        <v>21</v>
      </c>
      <c r="B91" s="4" t="s">
        <v>35</v>
      </c>
      <c r="C91" s="4" t="s">
        <v>39</v>
      </c>
      <c r="D91" s="4" t="s">
        <v>47</v>
      </c>
      <c r="E91" s="4" t="s">
        <v>48</v>
      </c>
      <c r="F91" s="4" t="s">
        <v>25</v>
      </c>
      <c r="G91" s="4" t="s">
        <v>25</v>
      </c>
      <c r="H91" s="4" t="s">
        <v>25</v>
      </c>
      <c r="I91" s="5">
        <v>44562</v>
      </c>
      <c r="J91" s="6">
        <v>490</v>
      </c>
      <c r="K91" s="129">
        <v>490</v>
      </c>
      <c r="L91" s="6">
        <v>0</v>
      </c>
      <c r="M91" s="128">
        <v>0</v>
      </c>
      <c r="N91" s="6">
        <v>0</v>
      </c>
      <c r="O91" s="128">
        <v>0</v>
      </c>
      <c r="P91" s="6">
        <v>1</v>
      </c>
      <c r="Q91" s="4" t="s">
        <v>26</v>
      </c>
      <c r="R91" s="4">
        <v>0</v>
      </c>
      <c r="S91" s="4">
        <v>24</v>
      </c>
      <c r="T91" s="4">
        <v>0</v>
      </c>
      <c r="U91" s="4">
        <v>0</v>
      </c>
      <c r="V91" s="128">
        <f>IF(ISERROR(VLOOKUP($S$91,'TAR FIN'!$A$1:$O$86,15,0)),0,VLOOKUP($S$91,'TAR FIN'!$A$1:$O$86,15,0))*(1-0.06)</f>
        <v>21.525999999999996</v>
      </c>
      <c r="W91" s="128">
        <f>IF(ISERROR(VLOOKUP($T$91,'TAR FIN'!$A$1:$O$86,15,0)),0,VLOOKUP($T$91,'TAR FIN'!$A$1:$O$86,15,0))</f>
        <v>0</v>
      </c>
      <c r="X91" s="128">
        <f>IF(ISERROR(VLOOKUP($U$91,'TAR FIN'!$A$1:$O$86,15,0)),0,VLOOKUP($U$91,'TAR FIN'!$A$1:$O$86,15,0))</f>
        <v>0</v>
      </c>
      <c r="Y91" s="128">
        <f ca="1">('TUSD BE'!$AM$10+'TUSD BF'!$AM$10+'TUSD CVA'!$AM$10)*1*(1-0.03)</f>
        <v>21.081719932182427</v>
      </c>
      <c r="Z91" s="128"/>
      <c r="AA91" s="128"/>
      <c r="AB91" s="128">
        <f>(SUBSIDIO!$J$91*SUBSIDIO!$V$91)*(0.06)/(1-0.06)</f>
        <v>673.25999999999988</v>
      </c>
      <c r="AC91" s="128">
        <f>((SUBSIDIO!$L$91*SUBSIDIO!$W$91)+(SUBSIDIO!$N$91*SUBSIDIO!$X$91))*(0.06)/(1-0.06)</f>
        <v>0</v>
      </c>
      <c r="AD91" s="128">
        <f ca="1">(SUBSIDIO!$J$91*SUBSIDIO!$Y$91)*(0.03)/(1-0.03)</f>
        <v>319.48585876606359</v>
      </c>
      <c r="AE91" s="128">
        <f>((SUBSIDIO!$L$91*SUBSIDIO!$Z$91)+(SUBSIDIO!$N$91*SUBSIDIO!$AA$91))*(0.03)/(1-0.03)</f>
        <v>0</v>
      </c>
      <c r="AF91" s="4" t="s">
        <v>652</v>
      </c>
    </row>
    <row r="92" spans="1:32" ht="11.25" customHeight="1" x14ac:dyDescent="0.25">
      <c r="A92" s="4" t="s">
        <v>21</v>
      </c>
      <c r="B92" s="4" t="s">
        <v>35</v>
      </c>
      <c r="C92" s="4" t="s">
        <v>39</v>
      </c>
      <c r="D92" s="4" t="s">
        <v>47</v>
      </c>
      <c r="E92" s="4" t="s">
        <v>48</v>
      </c>
      <c r="F92" s="4" t="s">
        <v>25</v>
      </c>
      <c r="G92" s="4" t="s">
        <v>25</v>
      </c>
      <c r="H92" s="4" t="s">
        <v>25</v>
      </c>
      <c r="I92" s="5">
        <v>44593</v>
      </c>
      <c r="J92" s="6">
        <v>421</v>
      </c>
      <c r="K92" s="129">
        <v>421</v>
      </c>
      <c r="L92" s="6">
        <v>0</v>
      </c>
      <c r="M92" s="128">
        <v>0</v>
      </c>
      <c r="N92" s="6">
        <v>0</v>
      </c>
      <c r="O92" s="128">
        <v>0</v>
      </c>
      <c r="P92" s="6">
        <v>1</v>
      </c>
      <c r="Q92" s="4" t="s">
        <v>26</v>
      </c>
      <c r="R92" s="4">
        <v>0</v>
      </c>
      <c r="S92" s="4">
        <v>24</v>
      </c>
      <c r="T92" s="4">
        <v>0</v>
      </c>
      <c r="U92" s="4">
        <v>0</v>
      </c>
      <c r="V92" s="128">
        <f>IF(ISERROR(VLOOKUP($S$92,'TAR FIN'!$A$1:$O$86,15,0)),0,VLOOKUP($S$92,'TAR FIN'!$A$1:$O$86,15,0))*(1-0.06)</f>
        <v>21.525999999999996</v>
      </c>
      <c r="W92" s="128">
        <f>IF(ISERROR(VLOOKUP($T$92,'TAR FIN'!$A$1:$O$86,15,0)),0,VLOOKUP($T$92,'TAR FIN'!$A$1:$O$86,15,0))</f>
        <v>0</v>
      </c>
      <c r="X92" s="128">
        <f>IF(ISERROR(VLOOKUP($U$92,'TAR FIN'!$A$1:$O$86,15,0)),0,VLOOKUP($U$92,'TAR FIN'!$A$1:$O$86,15,0))</f>
        <v>0</v>
      </c>
      <c r="Y92" s="128">
        <f ca="1">('TUSD BE'!$AM$10+'TUSD BF'!$AM$10+'TUSD CVA'!$AM$10)*1*(1-0.03)</f>
        <v>21.081719932182427</v>
      </c>
      <c r="Z92" s="128"/>
      <c r="AA92" s="128"/>
      <c r="AB92" s="128">
        <f>(SUBSIDIO!$J$92*SUBSIDIO!$V$92)*(0.06)/(1-0.06)</f>
        <v>578.45399999999995</v>
      </c>
      <c r="AC92" s="128">
        <f>((SUBSIDIO!$L$92*SUBSIDIO!$W$92)+(SUBSIDIO!$N$92*SUBSIDIO!$X$92))*(0.06)/(1-0.06)</f>
        <v>0</v>
      </c>
      <c r="AD92" s="128">
        <f ca="1">(SUBSIDIO!$J$92*SUBSIDIO!$Y$92)*(0.03)/(1-0.03)</f>
        <v>274.49703375614848</v>
      </c>
      <c r="AE92" s="128">
        <f>((SUBSIDIO!$L$92*SUBSIDIO!$Z$92)+(SUBSIDIO!$N$92*SUBSIDIO!$AA$92))*(0.03)/(1-0.03)</f>
        <v>0</v>
      </c>
      <c r="AF92" s="4" t="s">
        <v>652</v>
      </c>
    </row>
    <row r="93" spans="1:32" ht="11.25" customHeight="1" x14ac:dyDescent="0.25">
      <c r="A93" s="4" t="s">
        <v>21</v>
      </c>
      <c r="B93" s="4" t="s">
        <v>35</v>
      </c>
      <c r="C93" s="4" t="s">
        <v>39</v>
      </c>
      <c r="D93" s="4" t="s">
        <v>47</v>
      </c>
      <c r="E93" s="4" t="s">
        <v>48</v>
      </c>
      <c r="F93" s="4" t="s">
        <v>25</v>
      </c>
      <c r="G93" s="4" t="s">
        <v>25</v>
      </c>
      <c r="H93" s="4" t="s">
        <v>25</v>
      </c>
      <c r="I93" s="5">
        <v>44621</v>
      </c>
      <c r="J93" s="6">
        <v>426</v>
      </c>
      <c r="K93" s="129">
        <v>426</v>
      </c>
      <c r="L93" s="6">
        <v>0</v>
      </c>
      <c r="M93" s="128">
        <v>0</v>
      </c>
      <c r="N93" s="6">
        <v>0</v>
      </c>
      <c r="O93" s="128">
        <v>0</v>
      </c>
      <c r="P93" s="6">
        <v>1</v>
      </c>
      <c r="Q93" s="4" t="s">
        <v>26</v>
      </c>
      <c r="R93" s="4">
        <v>0</v>
      </c>
      <c r="S93" s="4">
        <v>24</v>
      </c>
      <c r="T93" s="4">
        <v>0</v>
      </c>
      <c r="U93" s="4">
        <v>0</v>
      </c>
      <c r="V93" s="128">
        <f>IF(ISERROR(VLOOKUP($S$93,'TAR FIN'!$A$1:$O$86,15,0)),0,VLOOKUP($S$93,'TAR FIN'!$A$1:$O$86,15,0))*(1-0.06)</f>
        <v>21.525999999999996</v>
      </c>
      <c r="W93" s="128">
        <f>IF(ISERROR(VLOOKUP($T$93,'TAR FIN'!$A$1:$O$86,15,0)),0,VLOOKUP($T$93,'TAR FIN'!$A$1:$O$86,15,0))</f>
        <v>0</v>
      </c>
      <c r="X93" s="128">
        <f>IF(ISERROR(VLOOKUP($U$93,'TAR FIN'!$A$1:$O$86,15,0)),0,VLOOKUP($U$93,'TAR FIN'!$A$1:$O$86,15,0))</f>
        <v>0</v>
      </c>
      <c r="Y93" s="128">
        <f ca="1">('TUSD BE'!$AM$10+'TUSD BF'!$AM$10+'TUSD CVA'!$AM$10)*1*(1-0.03)</f>
        <v>21.081719932182427</v>
      </c>
      <c r="Z93" s="128"/>
      <c r="AA93" s="128"/>
      <c r="AB93" s="128">
        <f>(SUBSIDIO!$J$93*SUBSIDIO!$V$93)*(0.06)/(1-0.06)</f>
        <v>585.32399999999996</v>
      </c>
      <c r="AC93" s="128">
        <f>((SUBSIDIO!$L$93*SUBSIDIO!$W$93)+(SUBSIDIO!$N$93*SUBSIDIO!$X$93))*(0.06)/(1-0.06)</f>
        <v>0</v>
      </c>
      <c r="AD93" s="128">
        <f ca="1">(SUBSIDIO!$J$93*SUBSIDIO!$Y$93)*(0.03)/(1-0.03)</f>
        <v>277.7570935394757</v>
      </c>
      <c r="AE93" s="128">
        <f>((SUBSIDIO!$L$93*SUBSIDIO!$Z$93)+(SUBSIDIO!$N$93*SUBSIDIO!$AA$93))*(0.03)/(1-0.03)</f>
        <v>0</v>
      </c>
      <c r="AF93" s="4" t="s">
        <v>652</v>
      </c>
    </row>
    <row r="94" spans="1:32" ht="11.25" customHeight="1" x14ac:dyDescent="0.25">
      <c r="A94" s="4" t="s">
        <v>21</v>
      </c>
      <c r="B94" s="4" t="s">
        <v>35</v>
      </c>
      <c r="C94" s="4" t="s">
        <v>39</v>
      </c>
      <c r="D94" s="4" t="s">
        <v>47</v>
      </c>
      <c r="E94" s="4" t="s">
        <v>48</v>
      </c>
      <c r="F94" s="4" t="s">
        <v>25</v>
      </c>
      <c r="G94" s="4" t="s">
        <v>25</v>
      </c>
      <c r="H94" s="4" t="s">
        <v>25</v>
      </c>
      <c r="I94" s="5">
        <v>44652</v>
      </c>
      <c r="J94" s="6">
        <v>405</v>
      </c>
      <c r="K94" s="129">
        <v>405</v>
      </c>
      <c r="L94" s="6">
        <v>0</v>
      </c>
      <c r="M94" s="128">
        <v>0</v>
      </c>
      <c r="N94" s="6">
        <v>0</v>
      </c>
      <c r="O94" s="128">
        <v>0</v>
      </c>
      <c r="P94" s="6">
        <v>1</v>
      </c>
      <c r="Q94" s="4" t="s">
        <v>26</v>
      </c>
      <c r="R94" s="4">
        <v>0</v>
      </c>
      <c r="S94" s="4">
        <v>24</v>
      </c>
      <c r="T94" s="4">
        <v>0</v>
      </c>
      <c r="U94" s="4">
        <v>0</v>
      </c>
      <c r="V94" s="128">
        <f>IF(ISERROR(VLOOKUP($S$94,'TAR FIN'!$A$1:$O$86,15,0)),0,VLOOKUP($S$94,'TAR FIN'!$A$1:$O$86,15,0))*(1-0.06)</f>
        <v>21.525999999999996</v>
      </c>
      <c r="W94" s="128">
        <f>IF(ISERROR(VLOOKUP($T$94,'TAR FIN'!$A$1:$O$86,15,0)),0,VLOOKUP($T$94,'TAR FIN'!$A$1:$O$86,15,0))</f>
        <v>0</v>
      </c>
      <c r="X94" s="128">
        <f>IF(ISERROR(VLOOKUP($U$94,'TAR FIN'!$A$1:$O$86,15,0)),0,VLOOKUP($U$94,'TAR FIN'!$A$1:$O$86,15,0))</f>
        <v>0</v>
      </c>
      <c r="Y94" s="128">
        <f ca="1">('TUSD BE'!$AM$10+'TUSD BF'!$AM$10+'TUSD CVA'!$AM$10)*1*(1-0.03)</f>
        <v>21.081719932182427</v>
      </c>
      <c r="Z94" s="128"/>
      <c r="AA94" s="128"/>
      <c r="AB94" s="128">
        <f>(SUBSIDIO!$J$94*SUBSIDIO!$V$94)*(0.06)/(1-0.06)</f>
        <v>556.46999999999991</v>
      </c>
      <c r="AC94" s="128">
        <f>((SUBSIDIO!$L$94*SUBSIDIO!$W$94)+(SUBSIDIO!$N$94*SUBSIDIO!$X$94))*(0.06)/(1-0.06)</f>
        <v>0</v>
      </c>
      <c r="AD94" s="128">
        <f ca="1">(SUBSIDIO!$J$94*SUBSIDIO!$Y$94)*(0.03)/(1-0.03)</f>
        <v>264.06484244950155</v>
      </c>
      <c r="AE94" s="128">
        <f>((SUBSIDIO!$L$94*SUBSIDIO!$Z$94)+(SUBSIDIO!$N$94*SUBSIDIO!$AA$94))*(0.03)/(1-0.03)</f>
        <v>0</v>
      </c>
      <c r="AF94" s="4" t="s">
        <v>652</v>
      </c>
    </row>
    <row r="95" spans="1:32" ht="11.25" customHeight="1" x14ac:dyDescent="0.25">
      <c r="A95" s="4" t="s">
        <v>21</v>
      </c>
      <c r="B95" s="4" t="s">
        <v>35</v>
      </c>
      <c r="C95" s="4" t="s">
        <v>39</v>
      </c>
      <c r="D95" s="4" t="s">
        <v>47</v>
      </c>
      <c r="E95" s="4" t="s">
        <v>48</v>
      </c>
      <c r="F95" s="4" t="s">
        <v>25</v>
      </c>
      <c r="G95" s="4" t="s">
        <v>25</v>
      </c>
      <c r="H95" s="4" t="s">
        <v>25</v>
      </c>
      <c r="I95" s="5">
        <v>44682</v>
      </c>
      <c r="J95" s="6">
        <v>400</v>
      </c>
      <c r="K95" s="129">
        <v>400</v>
      </c>
      <c r="L95" s="6">
        <v>0</v>
      </c>
      <c r="M95" s="128">
        <v>0</v>
      </c>
      <c r="N95" s="6">
        <v>0</v>
      </c>
      <c r="O95" s="128">
        <v>0</v>
      </c>
      <c r="P95" s="6">
        <v>1</v>
      </c>
      <c r="Q95" s="4" t="s">
        <v>26</v>
      </c>
      <c r="R95" s="4">
        <v>0</v>
      </c>
      <c r="S95" s="4">
        <v>24</v>
      </c>
      <c r="T95" s="4">
        <v>0</v>
      </c>
      <c r="U95" s="4">
        <v>0</v>
      </c>
      <c r="V95" s="128">
        <f>IF(ISERROR(VLOOKUP($S$95,'TAR FIN'!$A$1:$O$86,15,0)),0,VLOOKUP($S$95,'TAR FIN'!$A$1:$O$86,15,0))*(1-0.06)</f>
        <v>21.525999999999996</v>
      </c>
      <c r="W95" s="128">
        <f>IF(ISERROR(VLOOKUP($T$95,'TAR FIN'!$A$1:$O$86,15,0)),0,VLOOKUP($T$95,'TAR FIN'!$A$1:$O$86,15,0))</f>
        <v>0</v>
      </c>
      <c r="X95" s="128">
        <f>IF(ISERROR(VLOOKUP($U$95,'TAR FIN'!$A$1:$O$86,15,0)),0,VLOOKUP($U$95,'TAR FIN'!$A$1:$O$86,15,0))</f>
        <v>0</v>
      </c>
      <c r="Y95" s="128">
        <f ca="1">('TUSD BE'!$AM$10+'TUSD BF'!$AM$10+'TUSD CVA'!$AM$10)*1*(1-0.03)</f>
        <v>21.081719932182427</v>
      </c>
      <c r="Z95" s="128"/>
      <c r="AA95" s="128"/>
      <c r="AB95" s="128">
        <f>(SUBSIDIO!$J$95*SUBSIDIO!$V$95)*(0.06)/(1-0.06)</f>
        <v>549.5999999999998</v>
      </c>
      <c r="AC95" s="128">
        <f>((SUBSIDIO!$L$95*SUBSIDIO!$W$95)+(SUBSIDIO!$N$95*SUBSIDIO!$X$95))*(0.06)/(1-0.06)</f>
        <v>0</v>
      </c>
      <c r="AD95" s="128">
        <f ca="1">(SUBSIDIO!$J$95*SUBSIDIO!$Y$95)*(0.03)/(1-0.03)</f>
        <v>260.80478266617433</v>
      </c>
      <c r="AE95" s="128">
        <f>((SUBSIDIO!$L$95*SUBSIDIO!$Z$95)+(SUBSIDIO!$N$95*SUBSIDIO!$AA$95))*(0.03)/(1-0.03)</f>
        <v>0</v>
      </c>
      <c r="AF95" s="4" t="s">
        <v>652</v>
      </c>
    </row>
    <row r="96" spans="1:32" ht="11.25" customHeight="1" x14ac:dyDescent="0.25">
      <c r="A96" s="4" t="s">
        <v>21</v>
      </c>
      <c r="B96" s="4" t="s">
        <v>35</v>
      </c>
      <c r="C96" s="4" t="s">
        <v>39</v>
      </c>
      <c r="D96" s="4" t="s">
        <v>47</v>
      </c>
      <c r="E96" s="4" t="s">
        <v>48</v>
      </c>
      <c r="F96" s="4" t="s">
        <v>25</v>
      </c>
      <c r="G96" s="4" t="s">
        <v>25</v>
      </c>
      <c r="H96" s="4" t="s">
        <v>25</v>
      </c>
      <c r="I96" s="5">
        <v>44713</v>
      </c>
      <c r="J96" s="6">
        <v>400</v>
      </c>
      <c r="K96" s="129">
        <v>400</v>
      </c>
      <c r="L96" s="6">
        <v>0</v>
      </c>
      <c r="M96" s="128">
        <v>0</v>
      </c>
      <c r="N96" s="6">
        <v>0</v>
      </c>
      <c r="O96" s="128">
        <v>0</v>
      </c>
      <c r="P96" s="6">
        <v>1</v>
      </c>
      <c r="Q96" s="4" t="s">
        <v>26</v>
      </c>
      <c r="R96" s="4">
        <v>0</v>
      </c>
      <c r="S96" s="4">
        <v>24</v>
      </c>
      <c r="T96" s="4">
        <v>0</v>
      </c>
      <c r="U96" s="4">
        <v>0</v>
      </c>
      <c r="V96" s="128">
        <f>IF(ISERROR(VLOOKUP($S$96,'TAR FIN'!$A$1:$O$86,15,0)),0,VLOOKUP($S$96,'TAR FIN'!$A$1:$O$86,15,0))*(1-0.06)</f>
        <v>21.525999999999996</v>
      </c>
      <c r="W96" s="128">
        <f>IF(ISERROR(VLOOKUP($T$96,'TAR FIN'!$A$1:$O$86,15,0)),0,VLOOKUP($T$96,'TAR FIN'!$A$1:$O$86,15,0))</f>
        <v>0</v>
      </c>
      <c r="X96" s="128">
        <f>IF(ISERROR(VLOOKUP($U$96,'TAR FIN'!$A$1:$O$86,15,0)),0,VLOOKUP($U$96,'TAR FIN'!$A$1:$O$86,15,0))</f>
        <v>0</v>
      </c>
      <c r="Y96" s="128">
        <f ca="1">('TUSD BE'!$AM$10+'TUSD BF'!$AM$10+'TUSD CVA'!$AM$10)*1*(1-0.03)</f>
        <v>21.081719932182427</v>
      </c>
      <c r="Z96" s="128"/>
      <c r="AA96" s="128"/>
      <c r="AB96" s="128">
        <f>(SUBSIDIO!$J$96*SUBSIDIO!$V$96)*(0.06)/(1-0.06)</f>
        <v>549.5999999999998</v>
      </c>
      <c r="AC96" s="128">
        <f>((SUBSIDIO!$L$96*SUBSIDIO!$W$96)+(SUBSIDIO!$N$96*SUBSIDIO!$X$96))*(0.06)/(1-0.06)</f>
        <v>0</v>
      </c>
      <c r="AD96" s="128">
        <f ca="1">(SUBSIDIO!$J$96*SUBSIDIO!$Y$96)*(0.03)/(1-0.03)</f>
        <v>260.80478266617433</v>
      </c>
      <c r="AE96" s="128">
        <f>((SUBSIDIO!$L$96*SUBSIDIO!$Z$96)+(SUBSIDIO!$N$96*SUBSIDIO!$AA$96))*(0.03)/(1-0.03)</f>
        <v>0</v>
      </c>
      <c r="AF96" s="4" t="s">
        <v>652</v>
      </c>
    </row>
    <row r="97" spans="1:32" ht="11.25" customHeight="1" x14ac:dyDescent="0.25">
      <c r="A97" s="4" t="s">
        <v>55</v>
      </c>
      <c r="B97" s="4" t="s">
        <v>35</v>
      </c>
      <c r="C97" s="4" t="s">
        <v>39</v>
      </c>
      <c r="D97" s="4" t="s">
        <v>47</v>
      </c>
      <c r="E97" s="4" t="s">
        <v>48</v>
      </c>
      <c r="F97" s="4" t="s">
        <v>25</v>
      </c>
      <c r="G97" s="4" t="s">
        <v>25</v>
      </c>
      <c r="H97" s="4" t="s">
        <v>25</v>
      </c>
      <c r="I97" s="5">
        <v>44743</v>
      </c>
      <c r="J97" s="6">
        <v>400</v>
      </c>
      <c r="K97" s="129">
        <v>400</v>
      </c>
      <c r="L97" s="6">
        <v>0</v>
      </c>
      <c r="M97" s="128">
        <v>0</v>
      </c>
      <c r="N97" s="6">
        <v>0</v>
      </c>
      <c r="O97" s="128">
        <v>0</v>
      </c>
      <c r="P97" s="6">
        <v>1</v>
      </c>
      <c r="Q97" s="4" t="s">
        <v>26</v>
      </c>
      <c r="R97" s="4">
        <v>0</v>
      </c>
      <c r="S97" s="4">
        <v>24</v>
      </c>
      <c r="T97" s="4">
        <v>0</v>
      </c>
      <c r="U97" s="4">
        <v>0</v>
      </c>
      <c r="V97" s="128">
        <f>IF(ISERROR(VLOOKUP($S$97,'TAR FIN'!$A$1:$O$86,15,0)),0,VLOOKUP($S$97,'TAR FIN'!$A$1:$O$86,15,0))*(1-0.06)</f>
        <v>21.525999999999996</v>
      </c>
      <c r="W97" s="128">
        <f>IF(ISERROR(VLOOKUP($T$97,'TAR FIN'!$A$1:$O$86,15,0)),0,VLOOKUP($T$97,'TAR FIN'!$A$1:$O$86,15,0))</f>
        <v>0</v>
      </c>
      <c r="X97" s="128">
        <f>IF(ISERROR(VLOOKUP($U$97,'TAR FIN'!$A$1:$O$86,15,0)),0,VLOOKUP($U$97,'TAR FIN'!$A$1:$O$86,15,0))</f>
        <v>0</v>
      </c>
      <c r="Y97" s="128">
        <f ca="1">('TUSD BE'!$AM$10+'TUSD BF'!$AM$10+'TUSD CVA'!$AM$10)*1*(1-0.03)</f>
        <v>21.081719932182427</v>
      </c>
      <c r="Z97" s="128"/>
      <c r="AA97" s="128"/>
      <c r="AB97" s="128">
        <f>(SUBSIDIO!$J$97*SUBSIDIO!$V$97)*(0.06)/(1-0.06)</f>
        <v>549.5999999999998</v>
      </c>
      <c r="AC97" s="128">
        <f>((SUBSIDIO!$L$97*SUBSIDIO!$W$97)+(SUBSIDIO!$N$97*SUBSIDIO!$X$97))*(0.06)/(1-0.06)</f>
        <v>0</v>
      </c>
      <c r="AD97" s="128">
        <f ca="1">(SUBSIDIO!$J$97*SUBSIDIO!$Y$97)*(0.03)/(1-0.03)</f>
        <v>260.80478266617433</v>
      </c>
      <c r="AE97" s="128">
        <f>((SUBSIDIO!$L$97*SUBSIDIO!$Z$97)+(SUBSIDIO!$N$97*SUBSIDIO!$AA$97))*(0.03)/(1-0.03)</f>
        <v>0</v>
      </c>
      <c r="AF97" s="4" t="s">
        <v>652</v>
      </c>
    </row>
    <row r="98" spans="1:32" ht="11.25" customHeight="1" x14ac:dyDescent="0.25">
      <c r="A98" s="4" t="s">
        <v>21</v>
      </c>
      <c r="B98" s="4" t="s">
        <v>35</v>
      </c>
      <c r="C98" s="4" t="s">
        <v>39</v>
      </c>
      <c r="D98" s="4" t="s">
        <v>47</v>
      </c>
      <c r="E98" s="4" t="s">
        <v>48</v>
      </c>
      <c r="F98" s="4" t="s">
        <v>25</v>
      </c>
      <c r="G98" s="4" t="s">
        <v>25</v>
      </c>
      <c r="H98" s="4" t="s">
        <v>37</v>
      </c>
      <c r="I98" s="5">
        <v>44409</v>
      </c>
      <c r="J98" s="6">
        <v>0</v>
      </c>
      <c r="K98" s="128">
        <v>0</v>
      </c>
      <c r="L98" s="6">
        <v>14.43</v>
      </c>
      <c r="M98" s="128">
        <v>14.43</v>
      </c>
      <c r="N98" s="6">
        <v>14.43</v>
      </c>
      <c r="O98" s="128">
        <v>14.43</v>
      </c>
      <c r="P98" s="6">
        <v>0</v>
      </c>
      <c r="Q98" s="4" t="s">
        <v>26</v>
      </c>
      <c r="R98" s="4">
        <v>0</v>
      </c>
      <c r="S98" s="4">
        <v>0</v>
      </c>
      <c r="T98" s="4">
        <v>5</v>
      </c>
      <c r="U98" s="4">
        <v>69</v>
      </c>
      <c r="V98" s="128">
        <f>IF(ISERROR(VLOOKUP($S$98,'TAR FIN'!$A$1:$O$86,15,0)),0,VLOOKUP($S$98,'TAR FIN'!$A$1:$O$86,15,0))</f>
        <v>0</v>
      </c>
      <c r="W98" s="128">
        <f>IF(ISERROR(VLOOKUP($T$98,'TAR FIN'!$A$1:$O$86,15,0)),0,VLOOKUP($T$98,'TAR FIN'!$A$1:$O$86,15,0))*(1-0.06)</f>
        <v>1427.8317999999999</v>
      </c>
      <c r="X98" s="128">
        <f>IF(ISERROR(VLOOKUP($U$98,'TAR FIN'!$A$1:$O$86,15,0)),0,VLOOKUP($U$98,'TAR FIN'!$A$1:$O$86,15,0))*(1-0.06)</f>
        <v>337.77019999999999</v>
      </c>
      <c r="Y98" s="128"/>
      <c r="Z98" s="128">
        <f ca="1">('TUSD BE'!$AM$11+'TUSD BF'!$AM$11+'TUSD CVA'!$AM$11)*1*(1-0.03)</f>
        <v>1448.1962941031572</v>
      </c>
      <c r="AA98" s="128">
        <f>('TE BE'!$AB$5+'TE BF'!$AB$5+'TE CVA'!$AB$5)*1*(1-0.03)</f>
        <v>351.85392208080407</v>
      </c>
      <c r="AB98" s="128">
        <f>(SUBSIDIO!$J$98*SUBSIDIO!$V$98)*(0.06)/(1-0.06)</f>
        <v>0</v>
      </c>
      <c r="AC98" s="128">
        <f>((SUBSIDIO!$L$98*SUBSIDIO!$W$98)+(SUBSIDIO!$N$98*SUBSIDIO!$X$98))*(0.06)/(1-0.06)</f>
        <v>1626.2321400000001</v>
      </c>
      <c r="AD98" s="128">
        <f>(SUBSIDIO!$J$98*SUBSIDIO!$Y$98)*(0.03)/(1-0.03)</f>
        <v>0</v>
      </c>
      <c r="AE98" s="128">
        <f ca="1">((SUBSIDIO!$L$98*SUBSIDIO!$Z$98)+(SUBSIDIO!$N$98*SUBSIDIO!$AA$98))*(0.03)/(1-0.03)</f>
        <v>803.34199854230599</v>
      </c>
      <c r="AF98" s="4" t="s">
        <v>652</v>
      </c>
    </row>
    <row r="99" spans="1:32" ht="11.25" customHeight="1" x14ac:dyDescent="0.25">
      <c r="A99" s="4" t="s">
        <v>21</v>
      </c>
      <c r="B99" s="4" t="s">
        <v>35</v>
      </c>
      <c r="C99" s="4" t="s">
        <v>39</v>
      </c>
      <c r="D99" s="4" t="s">
        <v>47</v>
      </c>
      <c r="E99" s="4" t="s">
        <v>48</v>
      </c>
      <c r="F99" s="4" t="s">
        <v>25</v>
      </c>
      <c r="G99" s="4" t="s">
        <v>25</v>
      </c>
      <c r="H99" s="4" t="s">
        <v>37</v>
      </c>
      <c r="I99" s="5">
        <v>44440</v>
      </c>
      <c r="J99" s="6">
        <v>0</v>
      </c>
      <c r="K99" s="128">
        <v>0</v>
      </c>
      <c r="L99" s="6">
        <v>13.776999999999999</v>
      </c>
      <c r="M99" s="128">
        <v>13.776999999999999</v>
      </c>
      <c r="N99" s="6">
        <v>13.776999999999999</v>
      </c>
      <c r="O99" s="128">
        <v>13.776999999999999</v>
      </c>
      <c r="P99" s="6">
        <v>0</v>
      </c>
      <c r="Q99" s="4" t="s">
        <v>26</v>
      </c>
      <c r="R99" s="4">
        <v>0</v>
      </c>
      <c r="S99" s="4">
        <v>0</v>
      </c>
      <c r="T99" s="4">
        <v>5</v>
      </c>
      <c r="U99" s="4">
        <v>69</v>
      </c>
      <c r="V99" s="128">
        <f>IF(ISERROR(VLOOKUP($S$99,'TAR FIN'!$A$1:$O$86,15,0)),0,VLOOKUP($S$99,'TAR FIN'!$A$1:$O$86,15,0))</f>
        <v>0</v>
      </c>
      <c r="W99" s="128">
        <f>IF(ISERROR(VLOOKUP($T$99,'TAR FIN'!$A$1:$O$86,15,0)),0,VLOOKUP($T$99,'TAR FIN'!$A$1:$O$86,15,0))*(1-0.06)</f>
        <v>1427.8317999999999</v>
      </c>
      <c r="X99" s="128">
        <f>IF(ISERROR(VLOOKUP($U$99,'TAR FIN'!$A$1:$O$86,15,0)),0,VLOOKUP($U$99,'TAR FIN'!$A$1:$O$86,15,0))*(1-0.06)</f>
        <v>337.77019999999999</v>
      </c>
      <c r="Y99" s="128"/>
      <c r="Z99" s="128">
        <f ca="1">('TUSD BE'!$AM$11+'TUSD BF'!$AM$11+'TUSD CVA'!$AM$11)*1*(1-0.03)</f>
        <v>1448.1962941031572</v>
      </c>
      <c r="AA99" s="128">
        <f>('TE BE'!$AB$5+'TE BF'!$AB$5+'TE CVA'!$AB$5)*1*(1-0.03)</f>
        <v>351.85392208080407</v>
      </c>
      <c r="AB99" s="128">
        <f>(SUBSIDIO!$J$99*SUBSIDIO!$V$99)*(0.06)/(1-0.06)</f>
        <v>0</v>
      </c>
      <c r="AC99" s="128">
        <f>((SUBSIDIO!$L$99*SUBSIDIO!$W$99)+(SUBSIDIO!$N$99*SUBSIDIO!$X$99))*(0.06)/(1-0.06)</f>
        <v>1552.6403459999999</v>
      </c>
      <c r="AD99" s="128">
        <f>(SUBSIDIO!$J$99*SUBSIDIO!$Y$99)*(0.03)/(1-0.03)</f>
        <v>0</v>
      </c>
      <c r="AE99" s="128">
        <f ca="1">((SUBSIDIO!$L$99*SUBSIDIO!$Z$99)+(SUBSIDIO!$N$99*SUBSIDIO!$AA$99))*(0.03)/(1-0.03)</f>
        <v>766.98840706287933</v>
      </c>
      <c r="AF99" s="4" t="s">
        <v>652</v>
      </c>
    </row>
    <row r="100" spans="1:32" ht="11.25" customHeight="1" x14ac:dyDescent="0.25">
      <c r="A100" s="4" t="s">
        <v>21</v>
      </c>
      <c r="B100" s="4" t="s">
        <v>35</v>
      </c>
      <c r="C100" s="4" t="s">
        <v>39</v>
      </c>
      <c r="D100" s="4" t="s">
        <v>47</v>
      </c>
      <c r="E100" s="4" t="s">
        <v>48</v>
      </c>
      <c r="F100" s="4" t="s">
        <v>25</v>
      </c>
      <c r="G100" s="4" t="s">
        <v>25</v>
      </c>
      <c r="H100" s="4" t="s">
        <v>37</v>
      </c>
      <c r="I100" s="5">
        <v>44470</v>
      </c>
      <c r="J100" s="6">
        <v>0</v>
      </c>
      <c r="K100" s="128">
        <v>0</v>
      </c>
      <c r="L100" s="6">
        <v>12.991</v>
      </c>
      <c r="M100" s="128">
        <v>12.991</v>
      </c>
      <c r="N100" s="6">
        <v>12.991</v>
      </c>
      <c r="O100" s="128">
        <v>12.991</v>
      </c>
      <c r="P100" s="6">
        <v>0</v>
      </c>
      <c r="Q100" s="4" t="s">
        <v>26</v>
      </c>
      <c r="R100" s="4">
        <v>0</v>
      </c>
      <c r="S100" s="4">
        <v>0</v>
      </c>
      <c r="T100" s="4">
        <v>5</v>
      </c>
      <c r="U100" s="4">
        <v>69</v>
      </c>
      <c r="V100" s="128">
        <f>IF(ISERROR(VLOOKUP($S$100,'TAR FIN'!$A$1:$O$86,15,0)),0,VLOOKUP($S$100,'TAR FIN'!$A$1:$O$86,15,0))</f>
        <v>0</v>
      </c>
      <c r="W100" s="128">
        <f>IF(ISERROR(VLOOKUP($T$100,'TAR FIN'!$A$1:$O$86,15,0)),0,VLOOKUP($T$100,'TAR FIN'!$A$1:$O$86,15,0))*(1-0.06)</f>
        <v>1427.8317999999999</v>
      </c>
      <c r="X100" s="128">
        <f>IF(ISERROR(VLOOKUP($U$100,'TAR FIN'!$A$1:$O$86,15,0)),0,VLOOKUP($U$100,'TAR FIN'!$A$1:$O$86,15,0))*(1-0.06)</f>
        <v>337.77019999999999</v>
      </c>
      <c r="Y100" s="128"/>
      <c r="Z100" s="128">
        <f ca="1">('TUSD BE'!$AM$11+'TUSD BF'!$AM$11+'TUSD CVA'!$AM$11)*1*(1-0.03)</f>
        <v>1448.1962941031572</v>
      </c>
      <c r="AA100" s="128">
        <f>('TE BE'!$AB$5+'TE BF'!$AB$5+'TE CVA'!$AB$5)*1*(1-0.03)</f>
        <v>351.85392208080407</v>
      </c>
      <c r="AB100" s="128">
        <f>(SUBSIDIO!$J$100*SUBSIDIO!$V$100)*(0.06)/(1-0.06)</f>
        <v>0</v>
      </c>
      <c r="AC100" s="128">
        <f>((SUBSIDIO!$L$100*SUBSIDIO!$W$100)+(SUBSIDIO!$N$100*SUBSIDIO!$X$100))*(0.06)/(1-0.06)</f>
        <v>1464.059718</v>
      </c>
      <c r="AD100" s="128">
        <f>(SUBSIDIO!$J$100*SUBSIDIO!$Y$100)*(0.03)/(1-0.03)</f>
        <v>0</v>
      </c>
      <c r="AE100" s="128">
        <f ca="1">((SUBSIDIO!$L$100*SUBSIDIO!$Z$100)+(SUBSIDIO!$N$100*SUBSIDIO!$AA$100))*(0.03)/(1-0.03)</f>
        <v>723.23048531275811</v>
      </c>
      <c r="AF100" s="4" t="s">
        <v>652</v>
      </c>
    </row>
    <row r="101" spans="1:32" ht="11.25" customHeight="1" x14ac:dyDescent="0.25">
      <c r="A101" s="4" t="s">
        <v>21</v>
      </c>
      <c r="B101" s="4" t="s">
        <v>35</v>
      </c>
      <c r="C101" s="4" t="s">
        <v>39</v>
      </c>
      <c r="D101" s="4" t="s">
        <v>47</v>
      </c>
      <c r="E101" s="4" t="s">
        <v>48</v>
      </c>
      <c r="F101" s="4" t="s">
        <v>25</v>
      </c>
      <c r="G101" s="4" t="s">
        <v>25</v>
      </c>
      <c r="H101" s="4" t="s">
        <v>37</v>
      </c>
      <c r="I101" s="5">
        <v>44501</v>
      </c>
      <c r="J101" s="6">
        <v>0</v>
      </c>
      <c r="K101" s="128">
        <v>0</v>
      </c>
      <c r="L101" s="6">
        <v>14.047000000000001</v>
      </c>
      <c r="M101" s="128">
        <v>14.047000000000001</v>
      </c>
      <c r="N101" s="6">
        <v>14.047000000000001</v>
      </c>
      <c r="O101" s="128">
        <v>14.047000000000001</v>
      </c>
      <c r="P101" s="6">
        <v>0</v>
      </c>
      <c r="Q101" s="4" t="s">
        <v>26</v>
      </c>
      <c r="R101" s="4">
        <v>0</v>
      </c>
      <c r="S101" s="4">
        <v>0</v>
      </c>
      <c r="T101" s="4">
        <v>5</v>
      </c>
      <c r="U101" s="4">
        <v>69</v>
      </c>
      <c r="V101" s="128">
        <f>IF(ISERROR(VLOOKUP($S$101,'TAR FIN'!$A$1:$O$86,15,0)),0,VLOOKUP($S$101,'TAR FIN'!$A$1:$O$86,15,0))</f>
        <v>0</v>
      </c>
      <c r="W101" s="128">
        <f>IF(ISERROR(VLOOKUP($T$101,'TAR FIN'!$A$1:$O$86,15,0)),0,VLOOKUP($T$101,'TAR FIN'!$A$1:$O$86,15,0))*(1-0.06)</f>
        <v>1427.8317999999999</v>
      </c>
      <c r="X101" s="128">
        <f>IF(ISERROR(VLOOKUP($U$101,'TAR FIN'!$A$1:$O$86,15,0)),0,VLOOKUP($U$101,'TAR FIN'!$A$1:$O$86,15,0))*(1-0.06)</f>
        <v>337.77019999999999</v>
      </c>
      <c r="Y101" s="128"/>
      <c r="Z101" s="128">
        <f ca="1">('TUSD BE'!$AM$11+'TUSD BF'!$AM$11+'TUSD CVA'!$AM$11)*1*(1-0.03)</f>
        <v>1448.1962941031572</v>
      </c>
      <c r="AA101" s="128">
        <f>('TE BE'!$AB$5+'TE BF'!$AB$5+'TE CVA'!$AB$5)*1*(1-0.03)</f>
        <v>351.85392208080407</v>
      </c>
      <c r="AB101" s="128">
        <f>(SUBSIDIO!$J$101*SUBSIDIO!$V$101)*(0.06)/(1-0.06)</f>
        <v>0</v>
      </c>
      <c r="AC101" s="128">
        <f>((SUBSIDIO!$L$101*SUBSIDIO!$W$101)+(SUBSIDIO!$N$101*SUBSIDIO!$X$101))*(0.06)/(1-0.06)</f>
        <v>1583.068806</v>
      </c>
      <c r="AD101" s="128">
        <f>(SUBSIDIO!$J$101*SUBSIDIO!$Y$101)*(0.03)/(1-0.03)</f>
        <v>0</v>
      </c>
      <c r="AE101" s="128">
        <f ca="1">((SUBSIDIO!$L$101*SUBSIDIO!$Z$101)+(SUBSIDIO!$N$101*SUBSIDIO!$AA$101))*(0.03)/(1-0.03)</f>
        <v>782.01975422895168</v>
      </c>
      <c r="AF101" s="4" t="s">
        <v>652</v>
      </c>
    </row>
    <row r="102" spans="1:32" ht="11.25" customHeight="1" x14ac:dyDescent="0.25">
      <c r="A102" s="4" t="s">
        <v>21</v>
      </c>
      <c r="B102" s="4" t="s">
        <v>35</v>
      </c>
      <c r="C102" s="4" t="s">
        <v>39</v>
      </c>
      <c r="D102" s="4" t="s">
        <v>47</v>
      </c>
      <c r="E102" s="4" t="s">
        <v>48</v>
      </c>
      <c r="F102" s="4" t="s">
        <v>25</v>
      </c>
      <c r="G102" s="4" t="s">
        <v>25</v>
      </c>
      <c r="H102" s="4" t="s">
        <v>37</v>
      </c>
      <c r="I102" s="5">
        <v>44531</v>
      </c>
      <c r="J102" s="6">
        <v>0</v>
      </c>
      <c r="K102" s="128">
        <v>0</v>
      </c>
      <c r="L102" s="6">
        <v>21.306000000000001</v>
      </c>
      <c r="M102" s="128">
        <v>21.306000000000001</v>
      </c>
      <c r="N102" s="6">
        <v>21.306000000000001</v>
      </c>
      <c r="O102" s="128">
        <v>21.306000000000001</v>
      </c>
      <c r="P102" s="6">
        <v>0</v>
      </c>
      <c r="Q102" s="4" t="s">
        <v>26</v>
      </c>
      <c r="R102" s="4">
        <v>0</v>
      </c>
      <c r="S102" s="4">
        <v>0</v>
      </c>
      <c r="T102" s="4">
        <v>5</v>
      </c>
      <c r="U102" s="4">
        <v>69</v>
      </c>
      <c r="V102" s="128">
        <f>IF(ISERROR(VLOOKUP($S$102,'TAR FIN'!$A$1:$O$86,15,0)),0,VLOOKUP($S$102,'TAR FIN'!$A$1:$O$86,15,0))</f>
        <v>0</v>
      </c>
      <c r="W102" s="128">
        <f>IF(ISERROR(VLOOKUP($T$102,'TAR FIN'!$A$1:$O$86,15,0)),0,VLOOKUP($T$102,'TAR FIN'!$A$1:$O$86,15,0))*(1-0.06)</f>
        <v>1427.8317999999999</v>
      </c>
      <c r="X102" s="128">
        <f>IF(ISERROR(VLOOKUP($U$102,'TAR FIN'!$A$1:$O$86,15,0)),0,VLOOKUP($U$102,'TAR FIN'!$A$1:$O$86,15,0))*(1-0.06)</f>
        <v>337.77019999999999</v>
      </c>
      <c r="Y102" s="128"/>
      <c r="Z102" s="128">
        <f ca="1">('TUSD BE'!$AM$11+'TUSD BF'!$AM$11+'TUSD CVA'!$AM$11)*1*(1-0.03)</f>
        <v>1448.1962941031572</v>
      </c>
      <c r="AA102" s="128">
        <f>('TE BE'!$AB$5+'TE BF'!$AB$5+'TE CVA'!$AB$5)*1*(1-0.03)</f>
        <v>351.85392208080407</v>
      </c>
      <c r="AB102" s="128">
        <f>(SUBSIDIO!$J$102*SUBSIDIO!$V$102)*(0.06)/(1-0.06)</f>
        <v>0</v>
      </c>
      <c r="AC102" s="128">
        <f>((SUBSIDIO!$L$102*SUBSIDIO!$W$102)+(SUBSIDIO!$N$102*SUBSIDIO!$X$102))*(0.06)/(1-0.06)</f>
        <v>2401.1435879999995</v>
      </c>
      <c r="AD102" s="128">
        <f>(SUBSIDIO!$J$102*SUBSIDIO!$Y$102)*(0.03)/(1-0.03)</f>
        <v>0</v>
      </c>
      <c r="AE102" s="128">
        <f ca="1">((SUBSIDIO!$L$102*SUBSIDIO!$Z$102)+(SUBSIDIO!$N$102*SUBSIDIO!$AA$102))*(0.03)/(1-0.03)</f>
        <v>1186.1403063716127</v>
      </c>
      <c r="AF102" s="4" t="s">
        <v>652</v>
      </c>
    </row>
    <row r="103" spans="1:32" ht="11.25" customHeight="1" x14ac:dyDescent="0.25">
      <c r="A103" s="4" t="s">
        <v>21</v>
      </c>
      <c r="B103" s="4" t="s">
        <v>35</v>
      </c>
      <c r="C103" s="4" t="s">
        <v>39</v>
      </c>
      <c r="D103" s="4" t="s">
        <v>47</v>
      </c>
      <c r="E103" s="4" t="s">
        <v>48</v>
      </c>
      <c r="F103" s="4" t="s">
        <v>25</v>
      </c>
      <c r="G103" s="4" t="s">
        <v>25</v>
      </c>
      <c r="H103" s="4" t="s">
        <v>37</v>
      </c>
      <c r="I103" s="5">
        <v>44562</v>
      </c>
      <c r="J103" s="6">
        <v>0</v>
      </c>
      <c r="K103" s="128">
        <v>0</v>
      </c>
      <c r="L103" s="6">
        <v>22.757000000000001</v>
      </c>
      <c r="M103" s="128">
        <v>22.757000000000001</v>
      </c>
      <c r="N103" s="6">
        <v>22.757000000000001</v>
      </c>
      <c r="O103" s="128">
        <v>22.757000000000001</v>
      </c>
      <c r="P103" s="6">
        <v>0</v>
      </c>
      <c r="Q103" s="4" t="s">
        <v>26</v>
      </c>
      <c r="R103" s="4">
        <v>0</v>
      </c>
      <c r="S103" s="4">
        <v>0</v>
      </c>
      <c r="T103" s="4">
        <v>5</v>
      </c>
      <c r="U103" s="4">
        <v>69</v>
      </c>
      <c r="V103" s="128">
        <f>IF(ISERROR(VLOOKUP($S$103,'TAR FIN'!$A$1:$O$86,15,0)),0,VLOOKUP($S$103,'TAR FIN'!$A$1:$O$86,15,0))</f>
        <v>0</v>
      </c>
      <c r="W103" s="128">
        <f>IF(ISERROR(VLOOKUP($T$103,'TAR FIN'!$A$1:$O$86,15,0)),0,VLOOKUP($T$103,'TAR FIN'!$A$1:$O$86,15,0))*(1-0.06)</f>
        <v>1427.8317999999999</v>
      </c>
      <c r="X103" s="128">
        <f>IF(ISERROR(VLOOKUP($U$103,'TAR FIN'!$A$1:$O$86,15,0)),0,VLOOKUP($U$103,'TAR FIN'!$A$1:$O$86,15,0))*(1-0.06)</f>
        <v>337.77019999999999</v>
      </c>
      <c r="Y103" s="128"/>
      <c r="Z103" s="128">
        <f ca="1">('TUSD BE'!$AM$11+'TUSD BF'!$AM$11+'TUSD CVA'!$AM$11)*1*(1-0.03)</f>
        <v>1448.1962941031572</v>
      </c>
      <c r="AA103" s="128">
        <f>('TE BE'!$AB$5+'TE BF'!$AB$5+'TE CVA'!$AB$5)*1*(1-0.03)</f>
        <v>351.85392208080407</v>
      </c>
      <c r="AB103" s="128">
        <f>(SUBSIDIO!$J$103*SUBSIDIO!$V$103)*(0.06)/(1-0.06)</f>
        <v>0</v>
      </c>
      <c r="AC103" s="128">
        <f>((SUBSIDIO!$L$103*SUBSIDIO!$W$103)+(SUBSIDIO!$N$103*SUBSIDIO!$X$103))*(0.06)/(1-0.06)</f>
        <v>2564.6683859999998</v>
      </c>
      <c r="AD103" s="128">
        <f>(SUBSIDIO!$J$103*SUBSIDIO!$Y$103)*(0.03)/(1-0.03)</f>
        <v>0</v>
      </c>
      <c r="AE103" s="128">
        <f ca="1">((SUBSIDIO!$L$103*SUBSIDIO!$Z$103)+(SUBSIDIO!$N$103*SUBSIDIO!$AA$103))*(0.03)/(1-0.03)</f>
        <v>1266.9198794752085</v>
      </c>
      <c r="AF103" s="4" t="s">
        <v>652</v>
      </c>
    </row>
    <row r="104" spans="1:32" ht="11.25" customHeight="1" x14ac:dyDescent="0.25">
      <c r="A104" s="4" t="s">
        <v>21</v>
      </c>
      <c r="B104" s="4" t="s">
        <v>35</v>
      </c>
      <c r="C104" s="4" t="s">
        <v>39</v>
      </c>
      <c r="D104" s="4" t="s">
        <v>47</v>
      </c>
      <c r="E104" s="4" t="s">
        <v>48</v>
      </c>
      <c r="F104" s="4" t="s">
        <v>25</v>
      </c>
      <c r="G104" s="4" t="s">
        <v>25</v>
      </c>
      <c r="H104" s="4" t="s">
        <v>37</v>
      </c>
      <c r="I104" s="5">
        <v>44593</v>
      </c>
      <c r="J104" s="6">
        <v>0</v>
      </c>
      <c r="K104" s="128">
        <v>0</v>
      </c>
      <c r="L104" s="6">
        <v>18.914000000000001</v>
      </c>
      <c r="M104" s="128">
        <v>18.914000000000001</v>
      </c>
      <c r="N104" s="6">
        <v>18.914000000000001</v>
      </c>
      <c r="O104" s="128">
        <v>18.914000000000001</v>
      </c>
      <c r="P104" s="6">
        <v>0</v>
      </c>
      <c r="Q104" s="4" t="s">
        <v>26</v>
      </c>
      <c r="R104" s="4">
        <v>0</v>
      </c>
      <c r="S104" s="4">
        <v>0</v>
      </c>
      <c r="T104" s="4">
        <v>5</v>
      </c>
      <c r="U104" s="4">
        <v>69</v>
      </c>
      <c r="V104" s="128">
        <f>IF(ISERROR(VLOOKUP($S$104,'TAR FIN'!$A$1:$O$86,15,0)),0,VLOOKUP($S$104,'TAR FIN'!$A$1:$O$86,15,0))</f>
        <v>0</v>
      </c>
      <c r="W104" s="128">
        <f>IF(ISERROR(VLOOKUP($T$104,'TAR FIN'!$A$1:$O$86,15,0)),0,VLOOKUP($T$104,'TAR FIN'!$A$1:$O$86,15,0))*(1-0.06)</f>
        <v>1427.8317999999999</v>
      </c>
      <c r="X104" s="128">
        <f>IF(ISERROR(VLOOKUP($U$104,'TAR FIN'!$A$1:$O$86,15,0)),0,VLOOKUP($U$104,'TAR FIN'!$A$1:$O$86,15,0))*(1-0.06)</f>
        <v>337.77019999999999</v>
      </c>
      <c r="Y104" s="128"/>
      <c r="Z104" s="128">
        <f ca="1">('TUSD BE'!$AM$11+'TUSD BF'!$AM$11+'TUSD CVA'!$AM$11)*1*(1-0.03)</f>
        <v>1448.1962941031572</v>
      </c>
      <c r="AA104" s="128">
        <f>('TE BE'!$AB$5+'TE BF'!$AB$5+'TE CVA'!$AB$5)*1*(1-0.03)</f>
        <v>351.85392208080407</v>
      </c>
      <c r="AB104" s="128">
        <f>(SUBSIDIO!$J$104*SUBSIDIO!$V$104)*(0.06)/(1-0.06)</f>
        <v>0</v>
      </c>
      <c r="AC104" s="128">
        <f>((SUBSIDIO!$L$104*SUBSIDIO!$W$104)+(SUBSIDIO!$N$104*SUBSIDIO!$X$104))*(0.06)/(1-0.06)</f>
        <v>2131.5699720000002</v>
      </c>
      <c r="AD104" s="128">
        <f>(SUBSIDIO!$J$104*SUBSIDIO!$Y$104)*(0.03)/(1-0.03)</f>
        <v>0</v>
      </c>
      <c r="AE104" s="128">
        <f ca="1">((SUBSIDIO!$L$104*SUBSIDIO!$Z$104)+(SUBSIDIO!$N$104*SUBSIDIO!$AA$104))*(0.03)/(1-0.03)</f>
        <v>1052.9737048114466</v>
      </c>
      <c r="AF104" s="4" t="s">
        <v>652</v>
      </c>
    </row>
    <row r="105" spans="1:32" ht="11.25" customHeight="1" x14ac:dyDescent="0.25">
      <c r="A105" s="4" t="s">
        <v>21</v>
      </c>
      <c r="B105" s="4" t="s">
        <v>35</v>
      </c>
      <c r="C105" s="4" t="s">
        <v>39</v>
      </c>
      <c r="D105" s="4" t="s">
        <v>47</v>
      </c>
      <c r="E105" s="4" t="s">
        <v>48</v>
      </c>
      <c r="F105" s="4" t="s">
        <v>25</v>
      </c>
      <c r="G105" s="4" t="s">
        <v>25</v>
      </c>
      <c r="H105" s="4" t="s">
        <v>37</v>
      </c>
      <c r="I105" s="5">
        <v>44621</v>
      </c>
      <c r="J105" s="6">
        <v>0</v>
      </c>
      <c r="K105" s="128">
        <v>0</v>
      </c>
      <c r="L105" s="6">
        <v>19.082000000000001</v>
      </c>
      <c r="M105" s="128">
        <v>19.082000000000001</v>
      </c>
      <c r="N105" s="6">
        <v>19.082000000000001</v>
      </c>
      <c r="O105" s="128">
        <v>19.082000000000001</v>
      </c>
      <c r="P105" s="6">
        <v>0</v>
      </c>
      <c r="Q105" s="4" t="s">
        <v>26</v>
      </c>
      <c r="R105" s="4">
        <v>0</v>
      </c>
      <c r="S105" s="4">
        <v>0</v>
      </c>
      <c r="T105" s="4">
        <v>5</v>
      </c>
      <c r="U105" s="4">
        <v>69</v>
      </c>
      <c r="V105" s="128">
        <f>IF(ISERROR(VLOOKUP($S$105,'TAR FIN'!$A$1:$O$86,15,0)),0,VLOOKUP($S$105,'TAR FIN'!$A$1:$O$86,15,0))</f>
        <v>0</v>
      </c>
      <c r="W105" s="128">
        <f>IF(ISERROR(VLOOKUP($T$105,'TAR FIN'!$A$1:$O$86,15,0)),0,VLOOKUP($T$105,'TAR FIN'!$A$1:$O$86,15,0))*(1-0.06)</f>
        <v>1427.8317999999999</v>
      </c>
      <c r="X105" s="128">
        <f>IF(ISERROR(VLOOKUP($U$105,'TAR FIN'!$A$1:$O$86,15,0)),0,VLOOKUP($U$105,'TAR FIN'!$A$1:$O$86,15,0))*(1-0.06)</f>
        <v>337.77019999999999</v>
      </c>
      <c r="Y105" s="128"/>
      <c r="Z105" s="128">
        <f ca="1">('TUSD BE'!$AM$11+'TUSD BF'!$AM$11+'TUSD CVA'!$AM$11)*1*(1-0.03)</f>
        <v>1448.1962941031572</v>
      </c>
      <c r="AA105" s="128">
        <f>('TE BE'!$AB$5+'TE BF'!$AB$5+'TE CVA'!$AB$5)*1*(1-0.03)</f>
        <v>351.85392208080407</v>
      </c>
      <c r="AB105" s="128">
        <f>(SUBSIDIO!$J$105*SUBSIDIO!$V$105)*(0.06)/(1-0.06)</f>
        <v>0</v>
      </c>
      <c r="AC105" s="128">
        <f>((SUBSIDIO!$L$105*SUBSIDIO!$W$105)+(SUBSIDIO!$N$105*SUBSIDIO!$X$105))*(0.06)/(1-0.06)</f>
        <v>2150.503236</v>
      </c>
      <c r="AD105" s="128">
        <f>(SUBSIDIO!$J$105*SUBSIDIO!$Y$105)*(0.03)/(1-0.03)</f>
        <v>0</v>
      </c>
      <c r="AE105" s="128">
        <f ca="1">((SUBSIDIO!$L$105*SUBSIDIO!$Z$105)+(SUBSIDIO!$N$105*SUBSIDIO!$AA$105))*(0.03)/(1-0.03)</f>
        <v>1062.326543048114</v>
      </c>
      <c r="AF105" s="4" t="s">
        <v>652</v>
      </c>
    </row>
    <row r="106" spans="1:32" ht="11.25" customHeight="1" x14ac:dyDescent="0.25">
      <c r="A106" s="4" t="s">
        <v>21</v>
      </c>
      <c r="B106" s="4" t="s">
        <v>35</v>
      </c>
      <c r="C106" s="4" t="s">
        <v>39</v>
      </c>
      <c r="D106" s="4" t="s">
        <v>47</v>
      </c>
      <c r="E106" s="4" t="s">
        <v>48</v>
      </c>
      <c r="F106" s="4" t="s">
        <v>25</v>
      </c>
      <c r="G106" s="4" t="s">
        <v>25</v>
      </c>
      <c r="H106" s="4" t="s">
        <v>37</v>
      </c>
      <c r="I106" s="5">
        <v>44652</v>
      </c>
      <c r="J106" s="6">
        <v>0</v>
      </c>
      <c r="K106" s="128">
        <v>0</v>
      </c>
      <c r="L106" s="6">
        <v>16.46</v>
      </c>
      <c r="M106" s="128">
        <v>16.46</v>
      </c>
      <c r="N106" s="6">
        <v>16.46</v>
      </c>
      <c r="O106" s="128">
        <v>16.46</v>
      </c>
      <c r="P106" s="6">
        <v>0</v>
      </c>
      <c r="Q106" s="4" t="s">
        <v>26</v>
      </c>
      <c r="R106" s="4">
        <v>0</v>
      </c>
      <c r="S106" s="4">
        <v>0</v>
      </c>
      <c r="T106" s="4">
        <v>5</v>
      </c>
      <c r="U106" s="4">
        <v>69</v>
      </c>
      <c r="V106" s="128">
        <f>IF(ISERROR(VLOOKUP($S$106,'TAR FIN'!$A$1:$O$86,15,0)),0,VLOOKUP($S$106,'TAR FIN'!$A$1:$O$86,15,0))</f>
        <v>0</v>
      </c>
      <c r="W106" s="128">
        <f>IF(ISERROR(VLOOKUP($T$106,'TAR FIN'!$A$1:$O$86,15,0)),0,VLOOKUP($T$106,'TAR FIN'!$A$1:$O$86,15,0))*(1-0.06)</f>
        <v>1427.8317999999999</v>
      </c>
      <c r="X106" s="128">
        <f>IF(ISERROR(VLOOKUP($U$106,'TAR FIN'!$A$1:$O$86,15,0)),0,VLOOKUP($U$106,'TAR FIN'!$A$1:$O$86,15,0))*(1-0.06)</f>
        <v>337.77019999999999</v>
      </c>
      <c r="Y106" s="128"/>
      <c r="Z106" s="128">
        <f ca="1">('TUSD BE'!$AM$11+'TUSD BF'!$AM$11+'TUSD CVA'!$AM$11)*1*(1-0.03)</f>
        <v>1448.1962941031572</v>
      </c>
      <c r="AA106" s="128">
        <f>('TE BE'!$AB$5+'TE BF'!$AB$5+'TE CVA'!$AB$5)*1*(1-0.03)</f>
        <v>351.85392208080407</v>
      </c>
      <c r="AB106" s="128">
        <f>(SUBSIDIO!$J$106*SUBSIDIO!$V$106)*(0.06)/(1-0.06)</f>
        <v>0</v>
      </c>
      <c r="AC106" s="128">
        <f>((SUBSIDIO!$L$106*SUBSIDIO!$W$106)+(SUBSIDIO!$N$106*SUBSIDIO!$X$106))*(0.06)/(1-0.06)</f>
        <v>1855.00908</v>
      </c>
      <c r="AD106" s="128">
        <f>(SUBSIDIO!$J$106*SUBSIDIO!$Y$106)*(0.03)/(1-0.03)</f>
        <v>0</v>
      </c>
      <c r="AE106" s="128">
        <f ca="1">((SUBSIDIO!$L$106*SUBSIDIO!$Z$106)+(SUBSIDIO!$N$106*SUBSIDIO!$AA$106))*(0.03)/(1-0.03)</f>
        <v>916.35546056870123</v>
      </c>
      <c r="AF106" s="4" t="s">
        <v>652</v>
      </c>
    </row>
    <row r="107" spans="1:32" ht="11.25" customHeight="1" x14ac:dyDescent="0.25">
      <c r="A107" s="4" t="s">
        <v>21</v>
      </c>
      <c r="B107" s="4" t="s">
        <v>35</v>
      </c>
      <c r="C107" s="4" t="s">
        <v>39</v>
      </c>
      <c r="D107" s="4" t="s">
        <v>47</v>
      </c>
      <c r="E107" s="4" t="s">
        <v>48</v>
      </c>
      <c r="F107" s="4" t="s">
        <v>25</v>
      </c>
      <c r="G107" s="4" t="s">
        <v>25</v>
      </c>
      <c r="H107" s="4" t="s">
        <v>37</v>
      </c>
      <c r="I107" s="5">
        <v>44682</v>
      </c>
      <c r="J107" s="6">
        <v>0</v>
      </c>
      <c r="K107" s="128">
        <v>0</v>
      </c>
      <c r="L107" s="6">
        <v>17.936</v>
      </c>
      <c r="M107" s="128">
        <v>17.936</v>
      </c>
      <c r="N107" s="6">
        <v>17.936</v>
      </c>
      <c r="O107" s="128">
        <v>17.936</v>
      </c>
      <c r="P107" s="6">
        <v>0</v>
      </c>
      <c r="Q107" s="4" t="s">
        <v>26</v>
      </c>
      <c r="R107" s="4">
        <v>0</v>
      </c>
      <c r="S107" s="4">
        <v>0</v>
      </c>
      <c r="T107" s="4">
        <v>5</v>
      </c>
      <c r="U107" s="4">
        <v>69</v>
      </c>
      <c r="V107" s="128">
        <f>IF(ISERROR(VLOOKUP($S$107,'TAR FIN'!$A$1:$O$86,15,0)),0,VLOOKUP($S$107,'TAR FIN'!$A$1:$O$86,15,0))</f>
        <v>0</v>
      </c>
      <c r="W107" s="128">
        <f>IF(ISERROR(VLOOKUP($T$107,'TAR FIN'!$A$1:$O$86,15,0)),0,VLOOKUP($T$107,'TAR FIN'!$A$1:$O$86,15,0))*(1-0.06)</f>
        <v>1427.8317999999999</v>
      </c>
      <c r="X107" s="128">
        <f>IF(ISERROR(VLOOKUP($U$107,'TAR FIN'!$A$1:$O$86,15,0)),0,VLOOKUP($U$107,'TAR FIN'!$A$1:$O$86,15,0))*(1-0.06)</f>
        <v>337.77019999999999</v>
      </c>
      <c r="Y107" s="128"/>
      <c r="Z107" s="128">
        <f ca="1">('TUSD BE'!$AM$11+'TUSD BF'!$AM$11+'TUSD CVA'!$AM$11)*1*(1-0.03)</f>
        <v>1448.1962941031572</v>
      </c>
      <c r="AA107" s="128">
        <f>('TE BE'!$AB$5+'TE BF'!$AB$5+'TE CVA'!$AB$5)*1*(1-0.03)</f>
        <v>351.85392208080407</v>
      </c>
      <c r="AB107" s="128">
        <f>(SUBSIDIO!$J$107*SUBSIDIO!$V$107)*(0.06)/(1-0.06)</f>
        <v>0</v>
      </c>
      <c r="AC107" s="128">
        <f>((SUBSIDIO!$L$107*SUBSIDIO!$W$107)+(SUBSIDIO!$N$107*SUBSIDIO!$X$107))*(0.06)/(1-0.06)</f>
        <v>2021.351328</v>
      </c>
      <c r="AD107" s="128">
        <f>(SUBSIDIO!$J$107*SUBSIDIO!$Y$107)*(0.03)/(1-0.03)</f>
        <v>0</v>
      </c>
      <c r="AE107" s="128">
        <f ca="1">((SUBSIDIO!$L$107*SUBSIDIO!$Z$107)+(SUBSIDIO!$N$107*SUBSIDIO!$AA$107))*(0.03)/(1-0.03)</f>
        <v>998.52682507656266</v>
      </c>
      <c r="AF107" s="4" t="s">
        <v>652</v>
      </c>
    </row>
    <row r="108" spans="1:32" ht="11.25" customHeight="1" x14ac:dyDescent="0.25">
      <c r="A108" s="4" t="s">
        <v>21</v>
      </c>
      <c r="B108" s="4" t="s">
        <v>35</v>
      </c>
      <c r="C108" s="4" t="s">
        <v>39</v>
      </c>
      <c r="D108" s="4" t="s">
        <v>47</v>
      </c>
      <c r="E108" s="4" t="s">
        <v>48</v>
      </c>
      <c r="F108" s="4" t="s">
        <v>25</v>
      </c>
      <c r="G108" s="4" t="s">
        <v>25</v>
      </c>
      <c r="H108" s="4" t="s">
        <v>37</v>
      </c>
      <c r="I108" s="5">
        <v>44713</v>
      </c>
      <c r="J108" s="6">
        <v>0</v>
      </c>
      <c r="K108" s="128">
        <v>0</v>
      </c>
      <c r="L108" s="6">
        <v>18.001000000000001</v>
      </c>
      <c r="M108" s="128">
        <v>18.001000000000001</v>
      </c>
      <c r="N108" s="6">
        <v>18.001000000000001</v>
      </c>
      <c r="O108" s="128">
        <v>18.001000000000001</v>
      </c>
      <c r="P108" s="6">
        <v>0</v>
      </c>
      <c r="Q108" s="4" t="s">
        <v>26</v>
      </c>
      <c r="R108" s="4">
        <v>0</v>
      </c>
      <c r="S108" s="4">
        <v>0</v>
      </c>
      <c r="T108" s="4">
        <v>5</v>
      </c>
      <c r="U108" s="4">
        <v>69</v>
      </c>
      <c r="V108" s="128">
        <f>IF(ISERROR(VLOOKUP($S$108,'TAR FIN'!$A$1:$O$86,15,0)),0,VLOOKUP($S$108,'TAR FIN'!$A$1:$O$86,15,0))</f>
        <v>0</v>
      </c>
      <c r="W108" s="128">
        <f>IF(ISERROR(VLOOKUP($T$108,'TAR FIN'!$A$1:$O$86,15,0)),0,VLOOKUP($T$108,'TAR FIN'!$A$1:$O$86,15,0))*(1-0.06)</f>
        <v>1427.8317999999999</v>
      </c>
      <c r="X108" s="128">
        <f>IF(ISERROR(VLOOKUP($U$108,'TAR FIN'!$A$1:$O$86,15,0)),0,VLOOKUP($U$108,'TAR FIN'!$A$1:$O$86,15,0))*(1-0.06)</f>
        <v>337.77019999999999</v>
      </c>
      <c r="Y108" s="128"/>
      <c r="Z108" s="128">
        <f ca="1">('TUSD BE'!$AM$11+'TUSD BF'!$AM$11+'TUSD CVA'!$AM$11)*1*(1-0.03)</f>
        <v>1448.1962941031572</v>
      </c>
      <c r="AA108" s="128">
        <f>('TE BE'!$AB$5+'TE BF'!$AB$5+'TE CVA'!$AB$5)*1*(1-0.03)</f>
        <v>351.85392208080407</v>
      </c>
      <c r="AB108" s="128">
        <f>(SUBSIDIO!$J$108*SUBSIDIO!$V$108)*(0.06)/(1-0.06)</f>
        <v>0</v>
      </c>
      <c r="AC108" s="128">
        <f>((SUBSIDIO!$L$108*SUBSIDIO!$W$108)+(SUBSIDIO!$N$108*SUBSIDIO!$X$108))*(0.06)/(1-0.06)</f>
        <v>2028.676698</v>
      </c>
      <c r="AD108" s="128">
        <f>(SUBSIDIO!$J$108*SUBSIDIO!$Y$108)*(0.03)/(1-0.03)</f>
        <v>0</v>
      </c>
      <c r="AE108" s="128">
        <f ca="1">((SUBSIDIO!$L$108*SUBSIDIO!$Z$108)+(SUBSIDIO!$N$108*SUBSIDIO!$AA$108))*(0.03)/(1-0.03)</f>
        <v>1002.1454827276543</v>
      </c>
      <c r="AF108" s="4" t="s">
        <v>652</v>
      </c>
    </row>
    <row r="109" spans="1:32" ht="11.25" customHeight="1" x14ac:dyDescent="0.25">
      <c r="A109" s="4" t="s">
        <v>55</v>
      </c>
      <c r="B109" s="4" t="s">
        <v>35</v>
      </c>
      <c r="C109" s="4" t="s">
        <v>39</v>
      </c>
      <c r="D109" s="4" t="s">
        <v>47</v>
      </c>
      <c r="E109" s="4" t="s">
        <v>48</v>
      </c>
      <c r="F109" s="4" t="s">
        <v>25</v>
      </c>
      <c r="G109" s="4" t="s">
        <v>25</v>
      </c>
      <c r="H109" s="4" t="s">
        <v>37</v>
      </c>
      <c r="I109" s="5">
        <v>44743</v>
      </c>
      <c r="J109" s="6">
        <v>0</v>
      </c>
      <c r="K109" s="128">
        <v>0</v>
      </c>
      <c r="L109" s="6">
        <v>18.001000000000001</v>
      </c>
      <c r="M109" s="128">
        <v>18.001000000000001</v>
      </c>
      <c r="N109" s="6">
        <v>18.001000000000001</v>
      </c>
      <c r="O109" s="128">
        <v>18.001000000000001</v>
      </c>
      <c r="P109" s="6">
        <v>0</v>
      </c>
      <c r="Q109" s="4" t="s">
        <v>26</v>
      </c>
      <c r="R109" s="4">
        <v>0</v>
      </c>
      <c r="S109" s="4">
        <v>0</v>
      </c>
      <c r="T109" s="4">
        <v>5</v>
      </c>
      <c r="U109" s="4">
        <v>69</v>
      </c>
      <c r="V109" s="128">
        <f>IF(ISERROR(VLOOKUP($S$109,'TAR FIN'!$A$1:$O$86,15,0)),0,VLOOKUP($S$109,'TAR FIN'!$A$1:$O$86,15,0))</f>
        <v>0</v>
      </c>
      <c r="W109" s="128">
        <f>IF(ISERROR(VLOOKUP($T$109,'TAR FIN'!$A$1:$O$86,15,0)),0,VLOOKUP($T$109,'TAR FIN'!$A$1:$O$86,15,0))*(1-0.06)</f>
        <v>1427.8317999999999</v>
      </c>
      <c r="X109" s="128">
        <f>IF(ISERROR(VLOOKUP($U$109,'TAR FIN'!$A$1:$O$86,15,0)),0,VLOOKUP($U$109,'TAR FIN'!$A$1:$O$86,15,0))*(1-0.06)</f>
        <v>337.77019999999999</v>
      </c>
      <c r="Y109" s="128"/>
      <c r="Z109" s="128">
        <f ca="1">('TUSD BE'!$AM$11+'TUSD BF'!$AM$11+'TUSD CVA'!$AM$11)*1*(1-0.03)</f>
        <v>1448.1962941031572</v>
      </c>
      <c r="AA109" s="128">
        <f>('TE BE'!$AB$5+'TE BF'!$AB$5+'TE CVA'!$AB$5)*1*(1-0.03)</f>
        <v>351.85392208080407</v>
      </c>
      <c r="AB109" s="128">
        <f>(SUBSIDIO!$J$109*SUBSIDIO!$V$109)*(0.06)/(1-0.06)</f>
        <v>0</v>
      </c>
      <c r="AC109" s="128">
        <f>((SUBSIDIO!$L$109*SUBSIDIO!$W$109)+(SUBSIDIO!$N$109*SUBSIDIO!$X$109))*(0.06)/(1-0.06)</f>
        <v>2028.676698</v>
      </c>
      <c r="AD109" s="128">
        <f>(SUBSIDIO!$J$109*SUBSIDIO!$Y$109)*(0.03)/(1-0.03)</f>
        <v>0</v>
      </c>
      <c r="AE109" s="128">
        <f ca="1">((SUBSIDIO!$L$109*SUBSIDIO!$Z$109)+(SUBSIDIO!$N$109*SUBSIDIO!$AA$109))*(0.03)/(1-0.03)</f>
        <v>1002.1454827276543</v>
      </c>
      <c r="AF109" s="4" t="s">
        <v>652</v>
      </c>
    </row>
    <row r="110" spans="1:32" ht="11.25" customHeight="1" x14ac:dyDescent="0.25">
      <c r="A110" s="4" t="s">
        <v>21</v>
      </c>
      <c r="B110" s="4" t="s">
        <v>22</v>
      </c>
      <c r="C110" s="4" t="s">
        <v>23</v>
      </c>
      <c r="D110" s="4" t="s">
        <v>24</v>
      </c>
      <c r="E110" s="4" t="s">
        <v>24</v>
      </c>
      <c r="F110" s="4" t="s">
        <v>25</v>
      </c>
      <c r="G110" s="4" t="s">
        <v>25</v>
      </c>
      <c r="H110" s="4" t="s">
        <v>25</v>
      </c>
      <c r="I110" s="5">
        <v>44409</v>
      </c>
      <c r="J110" s="6">
        <v>0</v>
      </c>
      <c r="K110" s="6">
        <v>0</v>
      </c>
      <c r="L110" s="6">
        <v>4928.0069999999996</v>
      </c>
      <c r="M110" s="6">
        <v>4928.0069999999996</v>
      </c>
      <c r="N110" s="6">
        <v>4928.0069999999996</v>
      </c>
      <c r="O110" s="6">
        <v>4928.0069999999996</v>
      </c>
      <c r="P110" s="6">
        <v>33874</v>
      </c>
      <c r="Q110" s="4" t="s">
        <v>26</v>
      </c>
      <c r="R110" s="4">
        <v>0</v>
      </c>
      <c r="S110" s="4">
        <v>0</v>
      </c>
      <c r="T110" s="4">
        <v>2</v>
      </c>
      <c r="U110" s="4">
        <v>41</v>
      </c>
      <c r="V110" s="6">
        <f>IF(ISERROR(VLOOKUP($S$110,'TAR FIN'!$A$1:$O$86,15,0)),0,VLOOKUP($S$110,'TAR FIN'!$A$1:$O$86,15,0))</f>
        <v>0</v>
      </c>
      <c r="W110" s="6">
        <f>IF(ISERROR(VLOOKUP($T$110,'TAR FIN'!$A$1:$O$86,15,0)),0,VLOOKUP($T$110,'TAR FIN'!$A$1:$O$86,15,0))</f>
        <v>338.51</v>
      </c>
      <c r="X110" s="6">
        <f>IF(ISERROR(VLOOKUP($U$110,'TAR FIN'!$A$1:$O$86,15,0)),0,VLOOKUP($U$110,'TAR FIN'!$A$1:$O$86,15,0))</f>
        <v>224.01</v>
      </c>
      <c r="Y110" s="6"/>
      <c r="Z110" s="6">
        <f ca="1">('TUSD BE'!$AM$20+'TUSD BF'!$AM$20+'TUSD CVA'!$AM$20)*1</f>
        <v>417.58832886049538</v>
      </c>
      <c r="AA110" s="6">
        <f>('TE BE'!$AB$11+'TE BF'!$AB$11+'TE CVA'!$AB$11)*1</f>
        <v>234.64376439748159</v>
      </c>
      <c r="AB110" s="6">
        <f t="shared" si="8"/>
        <v>0</v>
      </c>
      <c r="AC110" s="6">
        <f t="shared" ref="AC110" si="12">(L110-M110)*W110+(N110-O110)*X110</f>
        <v>0</v>
      </c>
      <c r="AD110" s="6">
        <f t="shared" si="10"/>
        <v>0</v>
      </c>
      <c r="AE110" s="6">
        <f t="shared" ref="AE110" ca="1" si="13">(L110-M110)*Z110+(N110-O110)*AA110</f>
        <v>0</v>
      </c>
    </row>
    <row r="111" spans="1:32" ht="11.25" customHeight="1" x14ac:dyDescent="0.25">
      <c r="A111" s="4" t="s">
        <v>21</v>
      </c>
      <c r="B111" s="4" t="s">
        <v>22</v>
      </c>
      <c r="C111" s="4" t="s">
        <v>23</v>
      </c>
      <c r="D111" s="4" t="s">
        <v>24</v>
      </c>
      <c r="E111" s="4" t="s">
        <v>29</v>
      </c>
      <c r="F111" s="4" t="s">
        <v>25</v>
      </c>
      <c r="G111" s="4" t="s">
        <v>25</v>
      </c>
      <c r="H111" s="4" t="s">
        <v>25</v>
      </c>
      <c r="I111" s="5">
        <v>44409</v>
      </c>
      <c r="J111" s="6">
        <v>0</v>
      </c>
      <c r="K111" s="6">
        <v>0</v>
      </c>
      <c r="L111" s="6">
        <v>39.646000000000001</v>
      </c>
      <c r="M111" s="6">
        <v>39.646000000000001</v>
      </c>
      <c r="N111" s="6">
        <v>39.646000000000001</v>
      </c>
      <c r="O111" s="6">
        <v>39.646000000000001</v>
      </c>
      <c r="P111" s="6">
        <v>69</v>
      </c>
      <c r="Q111" s="4" t="s">
        <v>26</v>
      </c>
      <c r="R111" s="4">
        <v>0</v>
      </c>
      <c r="S111" s="4">
        <v>0</v>
      </c>
      <c r="T111" s="4">
        <v>28</v>
      </c>
      <c r="U111" s="4">
        <v>64</v>
      </c>
      <c r="V111" s="6">
        <f>IF(ISERROR(VLOOKUP($S$111,'TAR FIN'!$A$1:$O$86,15,0)),0,VLOOKUP($S$111,'TAR FIN'!$A$1:$O$86,15,0))</f>
        <v>0</v>
      </c>
      <c r="W111" s="6">
        <f>IF(ISERROR(VLOOKUP($T$111,'TAR FIN'!$A$1:$O$86,15,0)),0,VLOOKUP($T$111,'TAR FIN'!$A$1:$O$86,15,0))</f>
        <v>94.55</v>
      </c>
      <c r="X111" s="6">
        <f>IF(ISERROR(VLOOKUP($U$111,'TAR FIN'!$A$1:$O$86,15,0)),0,VLOOKUP($U$111,'TAR FIN'!$A$1:$O$86,15,0))</f>
        <v>78.400000000000006</v>
      </c>
      <c r="Y111" s="6"/>
      <c r="Z111" s="6">
        <f ca="1">('TUSD BE'!$AM$21+'TUSD BF'!$AM$21+'TUSD CVA'!$AM$21-('TUSD BE'!$P$21+'TUSD BF'!$P$21+'TUSD CVA'!$P$21)-('TUSD BE'!$Q$21+'TUSD BF'!$Q$21+'TUSD CVA'!$Q$21)-('TUSD BE'!$R$21+'TUSD BF'!$R$21+'TUSD CVA'!$R$21))*(1-CUSTOS!$M$34)</f>
        <v>102.5548534812466</v>
      </c>
      <c r="AA111" s="6">
        <f>('TE BE'!$AB$12+'TE BF'!$AB$12+'TE CVA'!$AB$12)*(1-CUSTOS!$M$34)</f>
        <v>82.125317539118555</v>
      </c>
      <c r="AB111" s="6">
        <f t="shared" si="8"/>
        <v>0</v>
      </c>
      <c r="AC111" s="6">
        <f>(L111-M111)*(W111+X111)+($W$163+$X$163-$W$111-$X$111)*(L111)</f>
        <v>12733.898739999999</v>
      </c>
      <c r="AD111" s="6">
        <f t="shared" si="10"/>
        <v>0</v>
      </c>
      <c r="AE111" s="6">
        <f ca="1">(L111-M111)*(Z111+AA111)+($Z$163+$AA$163-$Z$111-$AA$111)*(L111)</f>
        <v>13597.684397650597</v>
      </c>
      <c r="AF111" s="4" t="s">
        <v>653</v>
      </c>
    </row>
    <row r="112" spans="1:32" ht="11.25" customHeight="1" x14ac:dyDescent="0.25">
      <c r="A112" s="4" t="s">
        <v>21</v>
      </c>
      <c r="B112" s="4" t="s">
        <v>22</v>
      </c>
      <c r="C112" s="4" t="s">
        <v>23</v>
      </c>
      <c r="D112" s="4" t="s">
        <v>24</v>
      </c>
      <c r="E112" s="4" t="s">
        <v>29</v>
      </c>
      <c r="F112" s="4" t="s">
        <v>25</v>
      </c>
      <c r="G112" s="4" t="s">
        <v>25</v>
      </c>
      <c r="H112" s="4" t="s">
        <v>25</v>
      </c>
      <c r="I112" s="5">
        <v>44440</v>
      </c>
      <c r="J112" s="6">
        <v>0</v>
      </c>
      <c r="K112" s="6">
        <v>0</v>
      </c>
      <c r="L112" s="6">
        <v>40.024999999999999</v>
      </c>
      <c r="M112" s="6">
        <v>40.024999999999999</v>
      </c>
      <c r="N112" s="6">
        <v>40.024999999999999</v>
      </c>
      <c r="O112" s="6">
        <v>40.024999999999999</v>
      </c>
      <c r="P112" s="6">
        <v>62</v>
      </c>
      <c r="Q112" s="4" t="s">
        <v>26</v>
      </c>
      <c r="R112" s="4">
        <v>0</v>
      </c>
      <c r="S112" s="4">
        <v>0</v>
      </c>
      <c r="T112" s="4">
        <v>28</v>
      </c>
      <c r="U112" s="4">
        <v>64</v>
      </c>
      <c r="V112" s="6">
        <f>IF(ISERROR(VLOOKUP($S$112,'TAR FIN'!$A$1:$O$86,15,0)),0,VLOOKUP($S$112,'TAR FIN'!$A$1:$O$86,15,0))</f>
        <v>0</v>
      </c>
      <c r="W112" s="6">
        <f>IF(ISERROR(VLOOKUP($T$112,'TAR FIN'!$A$1:$O$86,15,0)),0,VLOOKUP($T$112,'TAR FIN'!$A$1:$O$86,15,0))</f>
        <v>94.55</v>
      </c>
      <c r="X112" s="6">
        <f>IF(ISERROR(VLOOKUP($U$112,'TAR FIN'!$A$1:$O$86,15,0)),0,VLOOKUP($U$112,'TAR FIN'!$A$1:$O$86,15,0))</f>
        <v>78.400000000000006</v>
      </c>
      <c r="Y112" s="6"/>
      <c r="Z112" s="6">
        <f ca="1">('TUSD BE'!$AM$21+'TUSD BF'!$AM$21+'TUSD CVA'!$AM$21-('TUSD BE'!$P$21+'TUSD BF'!$P$21+'TUSD CVA'!$P$21)-('TUSD BE'!$Q$21+'TUSD BF'!$Q$21+'TUSD CVA'!$Q$21)-('TUSD BE'!$R$21+'TUSD BF'!$R$21+'TUSD CVA'!$R$21))*(1-CUSTOS!$M$34)</f>
        <v>102.5548534812466</v>
      </c>
      <c r="AA112" s="6">
        <f>('TE BE'!$AB$12+'TE BF'!$AB$12+'TE CVA'!$AB$12)*(1-CUSTOS!$M$34)</f>
        <v>82.125317539118555</v>
      </c>
      <c r="AB112" s="6">
        <f t="shared" si="8"/>
        <v>0</v>
      </c>
      <c r="AC112" s="6">
        <f>(L112-M112)*(W112+X112)+($W$163+$X$163-$W$112-$X$112)*(L112)</f>
        <v>12855.629749999996</v>
      </c>
      <c r="AD112" s="6">
        <f t="shared" si="10"/>
        <v>0</v>
      </c>
      <c r="AE112" s="6">
        <f ca="1">(L112-M112)*(Z112+AA112)+($Z$163+$AA$163-$Z$112-$AA$112)*(L112)</f>
        <v>13727.672855167359</v>
      </c>
      <c r="AF112" s="4" t="s">
        <v>653</v>
      </c>
    </row>
    <row r="113" spans="1:32" ht="11.25" customHeight="1" x14ac:dyDescent="0.25">
      <c r="A113" s="4" t="s">
        <v>21</v>
      </c>
      <c r="B113" s="4" t="s">
        <v>22</v>
      </c>
      <c r="C113" s="4" t="s">
        <v>23</v>
      </c>
      <c r="D113" s="4" t="s">
        <v>24</v>
      </c>
      <c r="E113" s="4" t="s">
        <v>29</v>
      </c>
      <c r="F113" s="4" t="s">
        <v>25</v>
      </c>
      <c r="G113" s="4" t="s">
        <v>25</v>
      </c>
      <c r="H113" s="4" t="s">
        <v>25</v>
      </c>
      <c r="I113" s="5">
        <v>44470</v>
      </c>
      <c r="J113" s="6">
        <v>0</v>
      </c>
      <c r="K113" s="6">
        <v>0</v>
      </c>
      <c r="L113" s="6">
        <v>40.651000000000003</v>
      </c>
      <c r="M113" s="6">
        <v>40.651000000000003</v>
      </c>
      <c r="N113" s="6">
        <v>40.651000000000003</v>
      </c>
      <c r="O113" s="6">
        <v>40.651000000000003</v>
      </c>
      <c r="P113" s="6">
        <v>62</v>
      </c>
      <c r="Q113" s="4" t="s">
        <v>26</v>
      </c>
      <c r="R113" s="4">
        <v>0</v>
      </c>
      <c r="S113" s="4">
        <v>0</v>
      </c>
      <c r="T113" s="4">
        <v>28</v>
      </c>
      <c r="U113" s="4">
        <v>64</v>
      </c>
      <c r="V113" s="6">
        <f>IF(ISERROR(VLOOKUP($S$113,'TAR FIN'!$A$1:$O$86,15,0)),0,VLOOKUP($S$113,'TAR FIN'!$A$1:$O$86,15,0))</f>
        <v>0</v>
      </c>
      <c r="W113" s="6">
        <f>IF(ISERROR(VLOOKUP($T$113,'TAR FIN'!$A$1:$O$86,15,0)),0,VLOOKUP($T$113,'TAR FIN'!$A$1:$O$86,15,0))</f>
        <v>94.55</v>
      </c>
      <c r="X113" s="6">
        <f>IF(ISERROR(VLOOKUP($U$113,'TAR FIN'!$A$1:$O$86,15,0)),0,VLOOKUP($U$113,'TAR FIN'!$A$1:$O$86,15,0))</f>
        <v>78.400000000000006</v>
      </c>
      <c r="Y113" s="6"/>
      <c r="Z113" s="6">
        <f ca="1">('TUSD BE'!$AM$21+'TUSD BF'!$AM$21+'TUSD CVA'!$AM$21-('TUSD BE'!$P$21+'TUSD BF'!$P$21+'TUSD CVA'!$P$21)-('TUSD BE'!$Q$21+'TUSD BF'!$Q$21+'TUSD CVA'!$Q$21)-('TUSD BE'!$R$21+'TUSD BF'!$R$21+'TUSD CVA'!$R$21))*(1-CUSTOS!$M$34)</f>
        <v>102.5548534812466</v>
      </c>
      <c r="AA113" s="6">
        <f>('TE BE'!$AB$12+'TE BF'!$AB$12+'TE CVA'!$AB$12)*(1-CUSTOS!$M$34)</f>
        <v>82.125317539118555</v>
      </c>
      <c r="AB113" s="6">
        <f t="shared" si="8"/>
        <v>0</v>
      </c>
      <c r="AC113" s="6">
        <f>(L113-M113)*(W113+X113)+($W$163+$X$163-$W$113-$X$113)*(L113)</f>
        <v>13056.694689999998</v>
      </c>
      <c r="AD113" s="6">
        <f t="shared" si="10"/>
        <v>0</v>
      </c>
      <c r="AE113" s="6">
        <f ca="1">(L113-M113)*(Z113+AA113)+($Z$163+$AA$163-$Z$113-$AA$113)*(L113)</f>
        <v>13942.376745419322</v>
      </c>
      <c r="AF113" s="4" t="s">
        <v>653</v>
      </c>
    </row>
    <row r="114" spans="1:32" ht="11.25" customHeight="1" x14ac:dyDescent="0.25">
      <c r="A114" s="4" t="s">
        <v>21</v>
      </c>
      <c r="B114" s="4" t="s">
        <v>22</v>
      </c>
      <c r="C114" s="4" t="s">
        <v>23</v>
      </c>
      <c r="D114" s="4" t="s">
        <v>24</v>
      </c>
      <c r="E114" s="4" t="s">
        <v>29</v>
      </c>
      <c r="F114" s="4" t="s">
        <v>25</v>
      </c>
      <c r="G114" s="4" t="s">
        <v>25</v>
      </c>
      <c r="H114" s="4" t="s">
        <v>25</v>
      </c>
      <c r="I114" s="5">
        <v>44501</v>
      </c>
      <c r="J114" s="6">
        <v>0</v>
      </c>
      <c r="K114" s="6">
        <v>0</v>
      </c>
      <c r="L114" s="6">
        <v>40.799999999999997</v>
      </c>
      <c r="M114" s="6">
        <v>40.799999999999997</v>
      </c>
      <c r="N114" s="6">
        <v>40.799999999999997</v>
      </c>
      <c r="O114" s="6">
        <v>40.799999999999997</v>
      </c>
      <c r="P114" s="6">
        <v>62</v>
      </c>
      <c r="Q114" s="4" t="s">
        <v>26</v>
      </c>
      <c r="R114" s="4">
        <v>0</v>
      </c>
      <c r="S114" s="4">
        <v>0</v>
      </c>
      <c r="T114" s="4">
        <v>28</v>
      </c>
      <c r="U114" s="4">
        <v>64</v>
      </c>
      <c r="V114" s="6">
        <f>IF(ISERROR(VLOOKUP($S$114,'TAR FIN'!$A$1:$O$86,15,0)),0,VLOOKUP($S$114,'TAR FIN'!$A$1:$O$86,15,0))</f>
        <v>0</v>
      </c>
      <c r="W114" s="6">
        <f>IF(ISERROR(VLOOKUP($T$114,'TAR FIN'!$A$1:$O$86,15,0)),0,VLOOKUP($T$114,'TAR FIN'!$A$1:$O$86,15,0))</f>
        <v>94.55</v>
      </c>
      <c r="X114" s="6">
        <f>IF(ISERROR(VLOOKUP($U$114,'TAR FIN'!$A$1:$O$86,15,0)),0,VLOOKUP($U$114,'TAR FIN'!$A$1:$O$86,15,0))</f>
        <v>78.400000000000006</v>
      </c>
      <c r="Y114" s="6"/>
      <c r="Z114" s="6">
        <f ca="1">('TUSD BE'!$AM$21+'TUSD BF'!$AM$21+'TUSD CVA'!$AM$21-('TUSD BE'!$P$21+'TUSD BF'!$P$21+'TUSD CVA'!$P$21)-('TUSD BE'!$Q$21+'TUSD BF'!$Q$21+'TUSD CVA'!$Q$21)-('TUSD BE'!$R$21+'TUSD BF'!$R$21+'TUSD CVA'!$R$21))*(1-CUSTOS!$M$34)</f>
        <v>102.5548534812466</v>
      </c>
      <c r="AA114" s="6">
        <f>('TE BE'!$AB$12+'TE BF'!$AB$12+'TE CVA'!$AB$12)*(1-CUSTOS!$M$34)</f>
        <v>82.125317539118555</v>
      </c>
      <c r="AB114" s="6">
        <f t="shared" si="8"/>
        <v>0</v>
      </c>
      <c r="AC114" s="6">
        <f>(L114-M114)*(W114+X114)+($W$163+$X$163-$W$114-$X$114)*(L114)</f>
        <v>13104.551999999996</v>
      </c>
      <c r="AD114" s="6">
        <f t="shared" si="10"/>
        <v>0</v>
      </c>
      <c r="AE114" s="6">
        <f ca="1">(L114-M114)*(Z114+AA114)+($Z$163+$AA$163-$Z$114-$AA$114)*(L114)</f>
        <v>13993.480387028812</v>
      </c>
      <c r="AF114" s="4" t="s">
        <v>653</v>
      </c>
    </row>
    <row r="115" spans="1:32" ht="11.25" customHeight="1" x14ac:dyDescent="0.25">
      <c r="A115" s="4" t="s">
        <v>21</v>
      </c>
      <c r="B115" s="4" t="s">
        <v>22</v>
      </c>
      <c r="C115" s="4" t="s">
        <v>23</v>
      </c>
      <c r="D115" s="4" t="s">
        <v>24</v>
      </c>
      <c r="E115" s="4" t="s">
        <v>29</v>
      </c>
      <c r="F115" s="4" t="s">
        <v>25</v>
      </c>
      <c r="G115" s="4" t="s">
        <v>25</v>
      </c>
      <c r="H115" s="4" t="s">
        <v>25</v>
      </c>
      <c r="I115" s="5">
        <v>44531</v>
      </c>
      <c r="J115" s="6">
        <v>0</v>
      </c>
      <c r="K115" s="6">
        <v>0</v>
      </c>
      <c r="L115" s="6">
        <v>41.198999999999998</v>
      </c>
      <c r="M115" s="6">
        <v>41.198999999999998</v>
      </c>
      <c r="N115" s="6">
        <v>41.198999999999998</v>
      </c>
      <c r="O115" s="6">
        <v>41.198999999999998</v>
      </c>
      <c r="P115" s="6">
        <v>61</v>
      </c>
      <c r="Q115" s="4" t="s">
        <v>26</v>
      </c>
      <c r="R115" s="4">
        <v>0</v>
      </c>
      <c r="S115" s="4">
        <v>0</v>
      </c>
      <c r="T115" s="4">
        <v>28</v>
      </c>
      <c r="U115" s="4">
        <v>64</v>
      </c>
      <c r="V115" s="6">
        <f>IF(ISERROR(VLOOKUP($S$115,'TAR FIN'!$A$1:$O$86,15,0)),0,VLOOKUP($S$115,'TAR FIN'!$A$1:$O$86,15,0))</f>
        <v>0</v>
      </c>
      <c r="W115" s="6">
        <f>IF(ISERROR(VLOOKUP($T$115,'TAR FIN'!$A$1:$O$86,15,0)),0,VLOOKUP($T$115,'TAR FIN'!$A$1:$O$86,15,0))</f>
        <v>94.55</v>
      </c>
      <c r="X115" s="6">
        <f>IF(ISERROR(VLOOKUP($U$115,'TAR FIN'!$A$1:$O$86,15,0)),0,VLOOKUP($U$115,'TAR FIN'!$A$1:$O$86,15,0))</f>
        <v>78.400000000000006</v>
      </c>
      <c r="Y115" s="6"/>
      <c r="Z115" s="6">
        <f ca="1">('TUSD BE'!$AM$21+'TUSD BF'!$AM$21+'TUSD CVA'!$AM$21-('TUSD BE'!$P$21+'TUSD BF'!$P$21+'TUSD CVA'!$P$21)-('TUSD BE'!$Q$21+'TUSD BF'!$Q$21+'TUSD CVA'!$Q$21)-('TUSD BE'!$R$21+'TUSD BF'!$R$21+'TUSD CVA'!$R$21))*(1-CUSTOS!$M$34)</f>
        <v>102.5548534812466</v>
      </c>
      <c r="AA115" s="6">
        <f>('TE BE'!$AB$12+'TE BF'!$AB$12+'TE CVA'!$AB$12)*(1-CUSTOS!$M$34)</f>
        <v>82.125317539118555</v>
      </c>
      <c r="AB115" s="6">
        <f t="shared" si="8"/>
        <v>0</v>
      </c>
      <c r="AC115" s="6">
        <f>(L115-M115)*(W115+X115)+($W$163+$X$163-$W$115-$X$115)*(L115)</f>
        <v>13232.706809999996</v>
      </c>
      <c r="AD115" s="6">
        <f t="shared" si="10"/>
        <v>0</v>
      </c>
      <c r="AE115" s="6">
        <f ca="1">(L115-M115)*(Z115+AA115)+($Z$163+$AA$163-$Z$115-$AA$115)*(L115)</f>
        <v>14130.328393754902</v>
      </c>
      <c r="AF115" s="4" t="s">
        <v>653</v>
      </c>
    </row>
    <row r="116" spans="1:32" ht="11.25" customHeight="1" x14ac:dyDescent="0.25">
      <c r="A116" s="4" t="s">
        <v>21</v>
      </c>
      <c r="B116" s="4" t="s">
        <v>22</v>
      </c>
      <c r="C116" s="4" t="s">
        <v>23</v>
      </c>
      <c r="D116" s="4" t="s">
        <v>24</v>
      </c>
      <c r="E116" s="4" t="s">
        <v>29</v>
      </c>
      <c r="F116" s="4" t="s">
        <v>25</v>
      </c>
      <c r="G116" s="4" t="s">
        <v>25</v>
      </c>
      <c r="H116" s="4" t="s">
        <v>25</v>
      </c>
      <c r="I116" s="5">
        <v>44562</v>
      </c>
      <c r="J116" s="6">
        <v>0</v>
      </c>
      <c r="K116" s="6">
        <v>0</v>
      </c>
      <c r="L116" s="6">
        <v>41.094000000000001</v>
      </c>
      <c r="M116" s="6">
        <v>41.094000000000001</v>
      </c>
      <c r="N116" s="6">
        <v>41.094000000000001</v>
      </c>
      <c r="O116" s="6">
        <v>41.094000000000001</v>
      </c>
      <c r="P116" s="6">
        <v>38</v>
      </c>
      <c r="Q116" s="4" t="s">
        <v>26</v>
      </c>
      <c r="R116" s="4">
        <v>0</v>
      </c>
      <c r="S116" s="4">
        <v>0</v>
      </c>
      <c r="T116" s="4">
        <v>28</v>
      </c>
      <c r="U116" s="4">
        <v>64</v>
      </c>
      <c r="V116" s="6">
        <f>IF(ISERROR(VLOOKUP($S$116,'TAR FIN'!$A$1:$O$86,15,0)),0,VLOOKUP($S$116,'TAR FIN'!$A$1:$O$86,15,0))</f>
        <v>0</v>
      </c>
      <c r="W116" s="6">
        <f>IF(ISERROR(VLOOKUP($T$116,'TAR FIN'!$A$1:$O$86,15,0)),0,VLOOKUP($T$116,'TAR FIN'!$A$1:$O$86,15,0))</f>
        <v>94.55</v>
      </c>
      <c r="X116" s="6">
        <f>IF(ISERROR(VLOOKUP($U$116,'TAR FIN'!$A$1:$O$86,15,0)),0,VLOOKUP($U$116,'TAR FIN'!$A$1:$O$86,15,0))</f>
        <v>78.400000000000006</v>
      </c>
      <c r="Y116" s="6"/>
      <c r="Z116" s="6">
        <f ca="1">('TUSD BE'!$AM$21+'TUSD BF'!$AM$21+'TUSD CVA'!$AM$21-('TUSD BE'!$P$21+'TUSD BF'!$P$21+'TUSD CVA'!$P$21)-('TUSD BE'!$Q$21+'TUSD BF'!$Q$21+'TUSD CVA'!$Q$21)-('TUSD BE'!$R$21+'TUSD BF'!$R$21+'TUSD CVA'!$R$21))*(1-CUSTOS!$M$34)</f>
        <v>102.5548534812466</v>
      </c>
      <c r="AA116" s="6">
        <f>('TE BE'!$AB$12+'TE BF'!$AB$12+'TE CVA'!$AB$12)*(1-CUSTOS!$M$34)</f>
        <v>82.125317539118555</v>
      </c>
      <c r="AB116" s="6">
        <f t="shared" si="8"/>
        <v>0</v>
      </c>
      <c r="AC116" s="6">
        <f>(L116-M116)*(W116+X116)+($W$163+$X$163-$W$116-$X$116)*(L116)</f>
        <v>13198.981859999998</v>
      </c>
      <c r="AD116" s="6">
        <f t="shared" si="10"/>
        <v>0</v>
      </c>
      <c r="AE116" s="6">
        <f ca="1">(L116-M116)*(Z116+AA116)+($Z$163+$AA$163-$Z$116-$AA$116)*(L116)</f>
        <v>14094.315760405932</v>
      </c>
      <c r="AF116" s="4" t="s">
        <v>653</v>
      </c>
    </row>
    <row r="117" spans="1:32" ht="11.25" customHeight="1" x14ac:dyDescent="0.25">
      <c r="A117" s="4" t="s">
        <v>21</v>
      </c>
      <c r="B117" s="4" t="s">
        <v>22</v>
      </c>
      <c r="C117" s="4" t="s">
        <v>23</v>
      </c>
      <c r="D117" s="4" t="s">
        <v>24</v>
      </c>
      <c r="E117" s="4" t="s">
        <v>29</v>
      </c>
      <c r="F117" s="4" t="s">
        <v>25</v>
      </c>
      <c r="G117" s="4" t="s">
        <v>25</v>
      </c>
      <c r="H117" s="4" t="s">
        <v>25</v>
      </c>
      <c r="I117" s="5">
        <v>44593</v>
      </c>
      <c r="J117" s="6">
        <v>0</v>
      </c>
      <c r="K117" s="6">
        <v>0</v>
      </c>
      <c r="L117" s="6">
        <v>41.872999999999998</v>
      </c>
      <c r="M117" s="6">
        <v>41.872999999999998</v>
      </c>
      <c r="N117" s="6">
        <v>41.872999999999998</v>
      </c>
      <c r="O117" s="6">
        <v>41.872999999999998</v>
      </c>
      <c r="P117" s="6">
        <v>35</v>
      </c>
      <c r="Q117" s="4" t="s">
        <v>26</v>
      </c>
      <c r="R117" s="4">
        <v>0</v>
      </c>
      <c r="S117" s="4">
        <v>0</v>
      </c>
      <c r="T117" s="4">
        <v>28</v>
      </c>
      <c r="U117" s="4">
        <v>64</v>
      </c>
      <c r="V117" s="6">
        <f>IF(ISERROR(VLOOKUP($S$117,'TAR FIN'!$A$1:$O$86,15,0)),0,VLOOKUP($S$117,'TAR FIN'!$A$1:$O$86,15,0))</f>
        <v>0</v>
      </c>
      <c r="W117" s="6">
        <f>IF(ISERROR(VLOOKUP($T$117,'TAR FIN'!$A$1:$O$86,15,0)),0,VLOOKUP($T$117,'TAR FIN'!$A$1:$O$86,15,0))</f>
        <v>94.55</v>
      </c>
      <c r="X117" s="6">
        <f>IF(ISERROR(VLOOKUP($U$117,'TAR FIN'!$A$1:$O$86,15,0)),0,VLOOKUP($U$117,'TAR FIN'!$A$1:$O$86,15,0))</f>
        <v>78.400000000000006</v>
      </c>
      <c r="Y117" s="6"/>
      <c r="Z117" s="6">
        <f ca="1">('TUSD BE'!$AM$21+'TUSD BF'!$AM$21+'TUSD CVA'!$AM$21-('TUSD BE'!$P$21+'TUSD BF'!$P$21+'TUSD CVA'!$P$21)-('TUSD BE'!$Q$21+'TUSD BF'!$Q$21+'TUSD CVA'!$Q$21)-('TUSD BE'!$R$21+'TUSD BF'!$R$21+'TUSD CVA'!$R$21))*(1-CUSTOS!$M$34)</f>
        <v>102.5548534812466</v>
      </c>
      <c r="AA117" s="6">
        <f>('TE BE'!$AB$12+'TE BF'!$AB$12+'TE CVA'!$AB$12)*(1-CUSTOS!$M$34)</f>
        <v>82.125317539118555</v>
      </c>
      <c r="AB117" s="6">
        <f t="shared" si="8"/>
        <v>0</v>
      </c>
      <c r="AC117" s="6">
        <f>(L117-M117)*(W117+X117)+($W$163+$X$163-$W$117-$X$117)*(L117)</f>
        <v>13449.188869999996</v>
      </c>
      <c r="AD117" s="6">
        <f t="shared" si="10"/>
        <v>0</v>
      </c>
      <c r="AE117" s="6">
        <f ca="1">(L117-M117)*(Z117+AA117)+($Z$163+$AA$163-$Z$117-$AA$117)*(L117)</f>
        <v>14361.49520210925</v>
      </c>
      <c r="AF117" s="4" t="s">
        <v>653</v>
      </c>
    </row>
    <row r="118" spans="1:32" ht="11.25" customHeight="1" x14ac:dyDescent="0.25">
      <c r="A118" s="4" t="s">
        <v>21</v>
      </c>
      <c r="B118" s="4" t="s">
        <v>22</v>
      </c>
      <c r="C118" s="4" t="s">
        <v>23</v>
      </c>
      <c r="D118" s="4" t="s">
        <v>24</v>
      </c>
      <c r="E118" s="4" t="s">
        <v>29</v>
      </c>
      <c r="F118" s="4" t="s">
        <v>25</v>
      </c>
      <c r="G118" s="4" t="s">
        <v>25</v>
      </c>
      <c r="H118" s="4" t="s">
        <v>25</v>
      </c>
      <c r="I118" s="5">
        <v>44621</v>
      </c>
      <c r="J118" s="6">
        <v>0</v>
      </c>
      <c r="K118" s="6">
        <v>0</v>
      </c>
      <c r="L118" s="6">
        <v>42.484999999999999</v>
      </c>
      <c r="M118" s="6">
        <v>42.484999999999999</v>
      </c>
      <c r="N118" s="6">
        <v>42.484999999999999</v>
      </c>
      <c r="O118" s="6">
        <v>42.484999999999999</v>
      </c>
      <c r="P118" s="6">
        <v>36</v>
      </c>
      <c r="Q118" s="4" t="s">
        <v>26</v>
      </c>
      <c r="R118" s="4">
        <v>0</v>
      </c>
      <c r="S118" s="4">
        <v>0</v>
      </c>
      <c r="T118" s="4">
        <v>28</v>
      </c>
      <c r="U118" s="4">
        <v>64</v>
      </c>
      <c r="V118" s="6">
        <f>IF(ISERROR(VLOOKUP($S$118,'TAR FIN'!$A$1:$O$86,15,0)),0,VLOOKUP($S$118,'TAR FIN'!$A$1:$O$86,15,0))</f>
        <v>0</v>
      </c>
      <c r="W118" s="6">
        <f>IF(ISERROR(VLOOKUP($T$118,'TAR FIN'!$A$1:$O$86,15,0)),0,VLOOKUP($T$118,'TAR FIN'!$A$1:$O$86,15,0))</f>
        <v>94.55</v>
      </c>
      <c r="X118" s="6">
        <f>IF(ISERROR(VLOOKUP($U$118,'TAR FIN'!$A$1:$O$86,15,0)),0,VLOOKUP($U$118,'TAR FIN'!$A$1:$O$86,15,0))</f>
        <v>78.400000000000006</v>
      </c>
      <c r="Y118" s="6"/>
      <c r="Z118" s="6">
        <f ca="1">('TUSD BE'!$AM$21+'TUSD BF'!$AM$21+'TUSD CVA'!$AM$21-('TUSD BE'!$P$21+'TUSD BF'!$P$21+'TUSD CVA'!$P$21)-('TUSD BE'!$Q$21+'TUSD BF'!$Q$21+'TUSD CVA'!$Q$21)-('TUSD BE'!$R$21+'TUSD BF'!$R$21+'TUSD CVA'!$R$21))*(1-CUSTOS!$M$34)</f>
        <v>102.5548534812466</v>
      </c>
      <c r="AA118" s="6">
        <f>('TE BE'!$AB$12+'TE BF'!$AB$12+'TE CVA'!$AB$12)*(1-CUSTOS!$M$34)</f>
        <v>82.125317539118555</v>
      </c>
      <c r="AB118" s="6">
        <f t="shared" si="8"/>
        <v>0</v>
      </c>
      <c r="AC118" s="6">
        <f>(L118-M118)*(W118+X118)+($W$163+$X$163-$W$118-$X$118)*(L118)</f>
        <v>13645.757149999998</v>
      </c>
      <c r="AD118" s="6">
        <f t="shared" si="10"/>
        <v>0</v>
      </c>
      <c r="AE118" s="6">
        <f ca="1">(L118-M118)*(Z118+AA118)+($Z$163+$AA$163-$Z$118-$AA$118)*(L118)</f>
        <v>14571.397407914685</v>
      </c>
      <c r="AF118" s="4" t="s">
        <v>653</v>
      </c>
    </row>
    <row r="119" spans="1:32" ht="11.25" customHeight="1" x14ac:dyDescent="0.25">
      <c r="A119" s="4" t="s">
        <v>21</v>
      </c>
      <c r="B119" s="4" t="s">
        <v>22</v>
      </c>
      <c r="C119" s="4" t="s">
        <v>23</v>
      </c>
      <c r="D119" s="4" t="s">
        <v>24</v>
      </c>
      <c r="E119" s="4" t="s">
        <v>29</v>
      </c>
      <c r="F119" s="4" t="s">
        <v>25</v>
      </c>
      <c r="G119" s="4" t="s">
        <v>25</v>
      </c>
      <c r="H119" s="4" t="s">
        <v>25</v>
      </c>
      <c r="I119" s="5">
        <v>44652</v>
      </c>
      <c r="J119" s="6">
        <v>0</v>
      </c>
      <c r="K119" s="6">
        <v>0</v>
      </c>
      <c r="L119" s="6">
        <v>42.991</v>
      </c>
      <c r="M119" s="6">
        <v>42.991</v>
      </c>
      <c r="N119" s="6">
        <v>42.991</v>
      </c>
      <c r="O119" s="6">
        <v>42.991</v>
      </c>
      <c r="P119" s="6">
        <v>47</v>
      </c>
      <c r="Q119" s="4" t="s">
        <v>26</v>
      </c>
      <c r="R119" s="4">
        <v>0</v>
      </c>
      <c r="S119" s="4">
        <v>0</v>
      </c>
      <c r="T119" s="4">
        <v>28</v>
      </c>
      <c r="U119" s="4">
        <v>64</v>
      </c>
      <c r="V119" s="6">
        <f>IF(ISERROR(VLOOKUP($S$119,'TAR FIN'!$A$1:$O$86,15,0)),0,VLOOKUP($S$119,'TAR FIN'!$A$1:$O$86,15,0))</f>
        <v>0</v>
      </c>
      <c r="W119" s="6">
        <f>IF(ISERROR(VLOOKUP($T$119,'TAR FIN'!$A$1:$O$86,15,0)),0,VLOOKUP($T$119,'TAR FIN'!$A$1:$O$86,15,0))</f>
        <v>94.55</v>
      </c>
      <c r="X119" s="6">
        <f>IF(ISERROR(VLOOKUP($U$119,'TAR FIN'!$A$1:$O$86,15,0)),0,VLOOKUP($U$119,'TAR FIN'!$A$1:$O$86,15,0))</f>
        <v>78.400000000000006</v>
      </c>
      <c r="Y119" s="6"/>
      <c r="Z119" s="6">
        <f ca="1">('TUSD BE'!$AM$21+'TUSD BF'!$AM$21+'TUSD CVA'!$AM$21-('TUSD BE'!$P$21+'TUSD BF'!$P$21+'TUSD CVA'!$P$21)-('TUSD BE'!$Q$21+'TUSD BF'!$Q$21+'TUSD CVA'!$Q$21)-('TUSD BE'!$R$21+'TUSD BF'!$R$21+'TUSD CVA'!$R$21))*(1-CUSTOS!$M$34)</f>
        <v>102.5548534812466</v>
      </c>
      <c r="AA119" s="6">
        <f>('TE BE'!$AB$12+'TE BF'!$AB$12+'TE CVA'!$AB$12)*(1-CUSTOS!$M$34)</f>
        <v>82.125317539118555</v>
      </c>
      <c r="AB119" s="6">
        <f t="shared" si="8"/>
        <v>0</v>
      </c>
      <c r="AC119" s="6">
        <f>(L119-M119)*(W119+X119)+($W$163+$X$163-$W$119-$X$119)*(L119)</f>
        <v>13808.279289999997</v>
      </c>
      <c r="AD119" s="6">
        <f t="shared" si="10"/>
        <v>0</v>
      </c>
      <c r="AE119" s="6">
        <f ca="1">(L119-M119)*(Z119+AA119)+($Z$163+$AA$163-$Z$119-$AA$119)*(L119)</f>
        <v>14744.944002910679</v>
      </c>
      <c r="AF119" s="4" t="s">
        <v>653</v>
      </c>
    </row>
    <row r="120" spans="1:32" ht="11.25" customHeight="1" x14ac:dyDescent="0.25">
      <c r="A120" s="4" t="s">
        <v>21</v>
      </c>
      <c r="B120" s="4" t="s">
        <v>22</v>
      </c>
      <c r="C120" s="4" t="s">
        <v>23</v>
      </c>
      <c r="D120" s="4" t="s">
        <v>24</v>
      </c>
      <c r="E120" s="4" t="s">
        <v>29</v>
      </c>
      <c r="F120" s="4" t="s">
        <v>25</v>
      </c>
      <c r="G120" s="4" t="s">
        <v>25</v>
      </c>
      <c r="H120" s="4" t="s">
        <v>25</v>
      </c>
      <c r="I120" s="5">
        <v>44682</v>
      </c>
      <c r="J120" s="6">
        <v>0</v>
      </c>
      <c r="K120" s="6">
        <v>0</v>
      </c>
      <c r="L120" s="6">
        <v>44.802999999999997</v>
      </c>
      <c r="M120" s="6">
        <v>44.802999999999997</v>
      </c>
      <c r="N120" s="6">
        <v>44.802999999999997</v>
      </c>
      <c r="O120" s="6">
        <v>44.802999999999997</v>
      </c>
      <c r="P120" s="6">
        <v>50</v>
      </c>
      <c r="Q120" s="4" t="s">
        <v>26</v>
      </c>
      <c r="R120" s="4">
        <v>0</v>
      </c>
      <c r="S120" s="4">
        <v>0</v>
      </c>
      <c r="T120" s="4">
        <v>28</v>
      </c>
      <c r="U120" s="4">
        <v>64</v>
      </c>
      <c r="V120" s="6">
        <f>IF(ISERROR(VLOOKUP($S$120,'TAR FIN'!$A$1:$O$86,15,0)),0,VLOOKUP($S$120,'TAR FIN'!$A$1:$O$86,15,0))</f>
        <v>0</v>
      </c>
      <c r="W120" s="6">
        <f>IF(ISERROR(VLOOKUP($T$120,'TAR FIN'!$A$1:$O$86,15,0)),0,VLOOKUP($T$120,'TAR FIN'!$A$1:$O$86,15,0))</f>
        <v>94.55</v>
      </c>
      <c r="X120" s="6">
        <f>IF(ISERROR(VLOOKUP($U$120,'TAR FIN'!$A$1:$O$86,15,0)),0,VLOOKUP($U$120,'TAR FIN'!$A$1:$O$86,15,0))</f>
        <v>78.400000000000006</v>
      </c>
      <c r="Y120" s="6"/>
      <c r="Z120" s="6">
        <f ca="1">('TUSD BE'!$AM$21+'TUSD BF'!$AM$21+'TUSD CVA'!$AM$21-('TUSD BE'!$P$21+'TUSD BF'!$P$21+'TUSD CVA'!$P$21)-('TUSD BE'!$Q$21+'TUSD BF'!$Q$21+'TUSD CVA'!$Q$21)-('TUSD BE'!$R$21+'TUSD BF'!$R$21+'TUSD CVA'!$R$21))*(1-CUSTOS!$M$34)</f>
        <v>102.5548534812466</v>
      </c>
      <c r="AA120" s="6">
        <f>('TE BE'!$AB$12+'TE BF'!$AB$12+'TE CVA'!$AB$12)*(1-CUSTOS!$M$34)</f>
        <v>82.125317539118555</v>
      </c>
      <c r="AB120" s="6">
        <f t="shared" si="8"/>
        <v>0</v>
      </c>
      <c r="AC120" s="6">
        <f>(L120-M120)*(W120+X120)+($W$163+$X$163-$W$120-$X$120)*(L120)</f>
        <v>14390.275569999996</v>
      </c>
      <c r="AD120" s="6">
        <f t="shared" si="10"/>
        <v>0</v>
      </c>
      <c r="AE120" s="6">
        <f ca="1">(L120-M120)*(Z120+AA120)+($Z$163+$AA$163-$Z$120-$AA$120)*(L120)</f>
        <v>15366.41916127578</v>
      </c>
      <c r="AF120" s="4" t="s">
        <v>653</v>
      </c>
    </row>
    <row r="121" spans="1:32" ht="11.25" customHeight="1" x14ac:dyDescent="0.25">
      <c r="A121" s="4" t="s">
        <v>21</v>
      </c>
      <c r="B121" s="4" t="s">
        <v>22</v>
      </c>
      <c r="C121" s="4" t="s">
        <v>23</v>
      </c>
      <c r="D121" s="4" t="s">
        <v>24</v>
      </c>
      <c r="E121" s="4" t="s">
        <v>29</v>
      </c>
      <c r="F121" s="4" t="s">
        <v>25</v>
      </c>
      <c r="G121" s="4" t="s">
        <v>25</v>
      </c>
      <c r="H121" s="4" t="s">
        <v>25</v>
      </c>
      <c r="I121" s="5">
        <v>44713</v>
      </c>
      <c r="J121" s="6">
        <v>0</v>
      </c>
      <c r="K121" s="6">
        <v>0</v>
      </c>
      <c r="L121" s="6">
        <v>49.92</v>
      </c>
      <c r="M121" s="6">
        <v>49.92</v>
      </c>
      <c r="N121" s="6">
        <v>49.92</v>
      </c>
      <c r="O121" s="6">
        <v>49.92</v>
      </c>
      <c r="P121" s="6">
        <v>71</v>
      </c>
      <c r="Q121" s="4" t="s">
        <v>26</v>
      </c>
      <c r="R121" s="4">
        <v>0</v>
      </c>
      <c r="S121" s="4">
        <v>0</v>
      </c>
      <c r="T121" s="4">
        <v>28</v>
      </c>
      <c r="U121" s="4">
        <v>64</v>
      </c>
      <c r="V121" s="6">
        <f>IF(ISERROR(VLOOKUP($S$121,'TAR FIN'!$A$1:$O$86,15,0)),0,VLOOKUP($S$121,'TAR FIN'!$A$1:$O$86,15,0))</f>
        <v>0</v>
      </c>
      <c r="W121" s="6">
        <f>IF(ISERROR(VLOOKUP($T$121,'TAR FIN'!$A$1:$O$86,15,0)),0,VLOOKUP($T$121,'TAR FIN'!$A$1:$O$86,15,0))</f>
        <v>94.55</v>
      </c>
      <c r="X121" s="6">
        <f>IF(ISERROR(VLOOKUP($U$121,'TAR FIN'!$A$1:$O$86,15,0)),0,VLOOKUP($U$121,'TAR FIN'!$A$1:$O$86,15,0))</f>
        <v>78.400000000000006</v>
      </c>
      <c r="Y121" s="6"/>
      <c r="Z121" s="6">
        <f ca="1">('TUSD BE'!$AM$21+'TUSD BF'!$AM$21+'TUSD CVA'!$AM$21-('TUSD BE'!$P$21+'TUSD BF'!$P$21+'TUSD CVA'!$P$21)-('TUSD BE'!$Q$21+'TUSD BF'!$Q$21+'TUSD CVA'!$Q$21)-('TUSD BE'!$R$21+'TUSD BF'!$R$21+'TUSD CVA'!$R$21))*(1-CUSTOS!$M$34)</f>
        <v>102.5548534812466</v>
      </c>
      <c r="AA121" s="6">
        <f>('TE BE'!$AB$12+'TE BF'!$AB$12+'TE CVA'!$AB$12)*(1-CUSTOS!$M$34)</f>
        <v>82.125317539118555</v>
      </c>
      <c r="AB121" s="6">
        <f t="shared" si="8"/>
        <v>0</v>
      </c>
      <c r="AC121" s="6">
        <f>(L121-M121)*(W121+X121)+($W$163+$X$163-$W$121-$X$121)*(L121)</f>
        <v>16033.804799999998</v>
      </c>
      <c r="AD121" s="6">
        <f t="shared" si="10"/>
        <v>0</v>
      </c>
      <c r="AE121" s="6">
        <f ca="1">(L121-M121)*(Z121+AA121)+($Z$163+$AA$163-$Z$121-$AA$121)*(L121)</f>
        <v>17121.434826482313</v>
      </c>
      <c r="AF121" s="4" t="s">
        <v>653</v>
      </c>
    </row>
    <row r="122" spans="1:32" ht="11.25" customHeight="1" x14ac:dyDescent="0.25">
      <c r="A122" s="4" t="s">
        <v>28</v>
      </c>
      <c r="B122" s="4" t="s">
        <v>22</v>
      </c>
      <c r="C122" s="4" t="s">
        <v>23</v>
      </c>
      <c r="D122" s="4" t="s">
        <v>24</v>
      </c>
      <c r="E122" s="4" t="s">
        <v>29</v>
      </c>
      <c r="F122" s="4" t="s">
        <v>25</v>
      </c>
      <c r="G122" s="4" t="s">
        <v>25</v>
      </c>
      <c r="H122" s="4" t="s">
        <v>25</v>
      </c>
      <c r="I122" s="5">
        <v>44713</v>
      </c>
      <c r="J122" s="6">
        <v>0</v>
      </c>
      <c r="K122" s="6">
        <v>0</v>
      </c>
      <c r="L122" s="6">
        <v>0.06</v>
      </c>
      <c r="M122" s="6">
        <v>-1.7999999999999999E-2</v>
      </c>
      <c r="N122" s="6">
        <v>0.06</v>
      </c>
      <c r="O122" s="6">
        <v>-1.7999999999999999E-2</v>
      </c>
      <c r="P122" s="6">
        <v>0</v>
      </c>
      <c r="Q122" s="4" t="s">
        <v>26</v>
      </c>
      <c r="R122" s="4">
        <v>0</v>
      </c>
      <c r="S122" s="4">
        <v>0</v>
      </c>
      <c r="T122" s="4">
        <v>28</v>
      </c>
      <c r="U122" s="4">
        <v>64</v>
      </c>
      <c r="V122" s="6">
        <f>IF(ISERROR(VLOOKUP($S$122,'TAR FIN'!$A$1:$O$86,15,0)),0,VLOOKUP($S$122,'TAR FIN'!$A$1:$O$86,15,0))</f>
        <v>0</v>
      </c>
      <c r="W122" s="6">
        <f>IF(ISERROR(VLOOKUP($T$122,'TAR FIN'!$A$1:$O$86,15,0)),0,VLOOKUP($T$122,'TAR FIN'!$A$1:$O$86,15,0))</f>
        <v>94.55</v>
      </c>
      <c r="X122" s="6">
        <f>IF(ISERROR(VLOOKUP($U$122,'TAR FIN'!$A$1:$O$86,15,0)),0,VLOOKUP($U$122,'TAR FIN'!$A$1:$O$86,15,0))</f>
        <v>78.400000000000006</v>
      </c>
      <c r="Y122" s="6"/>
      <c r="Z122" s="6">
        <f ca="1">('TUSD BE'!$AM$21+'TUSD BF'!$AM$21+'TUSD CVA'!$AM$21-('TUSD BE'!$P$21+'TUSD BF'!$P$21+'TUSD CVA'!$P$21)-('TUSD BE'!$Q$21+'TUSD BF'!$Q$21+'TUSD CVA'!$Q$21)-('TUSD BE'!$R$21+'TUSD BF'!$R$21+'TUSD CVA'!$R$21))*(1-CUSTOS!$M$34)</f>
        <v>102.5548534812466</v>
      </c>
      <c r="AA122" s="6">
        <f>('TE BE'!$AB$12+'TE BF'!$AB$12+'TE CVA'!$AB$12)*(1-CUSTOS!$M$34)</f>
        <v>82.125317539118555</v>
      </c>
      <c r="AB122" s="6">
        <f t="shared" si="8"/>
        <v>0</v>
      </c>
      <c r="AC122" s="6">
        <f>(L122-M122)*(W122+X122)+($W$163+$X$163-$W$122-$X$122)*(L122)</f>
        <v>32.761499999999998</v>
      </c>
      <c r="AD122" s="6">
        <f t="shared" si="10"/>
        <v>0</v>
      </c>
      <c r="AE122" s="6">
        <f ca="1">(L122-M122)*(Z122+AA122)+($Z$163+$AA$163-$Z$122-$AA$122)*(L122)</f>
        <v>34.983700967572027</v>
      </c>
      <c r="AF122" s="4" t="s">
        <v>653</v>
      </c>
    </row>
    <row r="123" spans="1:32" ht="11.25" customHeight="1" x14ac:dyDescent="0.25">
      <c r="A123" s="4" t="s">
        <v>55</v>
      </c>
      <c r="B123" s="4" t="s">
        <v>22</v>
      </c>
      <c r="C123" s="4" t="s">
        <v>23</v>
      </c>
      <c r="D123" s="4" t="s">
        <v>24</v>
      </c>
      <c r="E123" s="4" t="s">
        <v>29</v>
      </c>
      <c r="F123" s="4" t="s">
        <v>25</v>
      </c>
      <c r="G123" s="4" t="s">
        <v>25</v>
      </c>
      <c r="H123" s="4" t="s">
        <v>25</v>
      </c>
      <c r="I123" s="5">
        <v>44743</v>
      </c>
      <c r="J123" s="6">
        <v>0</v>
      </c>
      <c r="K123" s="6">
        <v>0</v>
      </c>
      <c r="L123" s="6">
        <v>49.92</v>
      </c>
      <c r="M123" s="6">
        <v>49.92</v>
      </c>
      <c r="N123" s="6">
        <v>49.92</v>
      </c>
      <c r="O123" s="6">
        <v>49.92</v>
      </c>
      <c r="P123" s="6">
        <v>71</v>
      </c>
      <c r="Q123" s="4" t="s">
        <v>26</v>
      </c>
      <c r="R123" s="4">
        <v>0</v>
      </c>
      <c r="S123" s="4">
        <v>0</v>
      </c>
      <c r="T123" s="4">
        <v>28</v>
      </c>
      <c r="U123" s="4">
        <v>64</v>
      </c>
      <c r="V123" s="6">
        <f>IF(ISERROR(VLOOKUP($S$123,'TAR FIN'!$A$1:$O$86,15,0)),0,VLOOKUP($S$123,'TAR FIN'!$A$1:$O$86,15,0))</f>
        <v>0</v>
      </c>
      <c r="W123" s="6">
        <f>IF(ISERROR(VLOOKUP($T$123,'TAR FIN'!$A$1:$O$86,15,0)),0,VLOOKUP($T$123,'TAR FIN'!$A$1:$O$86,15,0))</f>
        <v>94.55</v>
      </c>
      <c r="X123" s="6">
        <f>IF(ISERROR(VLOOKUP($U$123,'TAR FIN'!$A$1:$O$86,15,0)),0,VLOOKUP($U$123,'TAR FIN'!$A$1:$O$86,15,0))</f>
        <v>78.400000000000006</v>
      </c>
      <c r="Y123" s="6"/>
      <c r="Z123" s="6">
        <f ca="1">('TUSD BE'!$AM$21+'TUSD BF'!$AM$21+'TUSD CVA'!$AM$21-('TUSD BE'!$P$21+'TUSD BF'!$P$21+'TUSD CVA'!$P$21)-('TUSD BE'!$Q$21+'TUSD BF'!$Q$21+'TUSD CVA'!$Q$21)-('TUSD BE'!$R$21+'TUSD BF'!$R$21+'TUSD CVA'!$R$21))*(1-CUSTOS!$M$34)</f>
        <v>102.5548534812466</v>
      </c>
      <c r="AA123" s="6">
        <f>('TE BE'!$AB$12+'TE BF'!$AB$12+'TE CVA'!$AB$12)*(1-CUSTOS!$M$34)</f>
        <v>82.125317539118555</v>
      </c>
      <c r="AB123" s="6">
        <f t="shared" si="8"/>
        <v>0</v>
      </c>
      <c r="AC123" s="6">
        <f>(L123-M123)*(W123+X123)+($W$163+$X$163-$W$123-$X$123)*(L123)</f>
        <v>16033.804799999998</v>
      </c>
      <c r="AD123" s="6">
        <f t="shared" si="10"/>
        <v>0</v>
      </c>
      <c r="AE123" s="6">
        <f ca="1">(L123-M123)*(Z123+AA123)+($Z$163+$AA$163-$Z$123-$AA$123)*(L123)</f>
        <v>17121.434826482313</v>
      </c>
      <c r="AF123" s="4" t="s">
        <v>653</v>
      </c>
    </row>
    <row r="124" spans="1:32" ht="11.25" customHeight="1" x14ac:dyDescent="0.25">
      <c r="A124" s="4" t="s">
        <v>55</v>
      </c>
      <c r="B124" s="4" t="s">
        <v>22</v>
      </c>
      <c r="C124" s="4" t="s">
        <v>23</v>
      </c>
      <c r="D124" s="4" t="s">
        <v>24</v>
      </c>
      <c r="E124" s="4" t="s">
        <v>29</v>
      </c>
      <c r="F124" s="4" t="s">
        <v>25</v>
      </c>
      <c r="G124" s="4" t="s">
        <v>25</v>
      </c>
      <c r="H124" s="4" t="s">
        <v>25</v>
      </c>
      <c r="I124" s="5">
        <v>44743</v>
      </c>
      <c r="J124" s="6">
        <v>0</v>
      </c>
      <c r="K124" s="6">
        <v>0</v>
      </c>
      <c r="L124" s="6">
        <v>0.06</v>
      </c>
      <c r="M124" s="6">
        <v>-1.7999999999999999E-2</v>
      </c>
      <c r="N124" s="6">
        <v>0.06</v>
      </c>
      <c r="O124" s="6">
        <v>-1.7999999999999999E-2</v>
      </c>
      <c r="P124" s="6">
        <v>0</v>
      </c>
      <c r="Q124" s="4" t="s">
        <v>26</v>
      </c>
      <c r="R124" s="4">
        <v>0</v>
      </c>
      <c r="S124" s="4">
        <v>0</v>
      </c>
      <c r="T124" s="4">
        <v>28</v>
      </c>
      <c r="U124" s="4">
        <v>64</v>
      </c>
      <c r="V124" s="6">
        <f>IF(ISERROR(VLOOKUP($S$124,'TAR FIN'!$A$1:$O$86,15,0)),0,VLOOKUP($S$124,'TAR FIN'!$A$1:$O$86,15,0))</f>
        <v>0</v>
      </c>
      <c r="W124" s="6">
        <f>IF(ISERROR(VLOOKUP($T$124,'TAR FIN'!$A$1:$O$86,15,0)),0,VLOOKUP($T$124,'TAR FIN'!$A$1:$O$86,15,0))</f>
        <v>94.55</v>
      </c>
      <c r="X124" s="6">
        <f>IF(ISERROR(VLOOKUP($U$124,'TAR FIN'!$A$1:$O$86,15,0)),0,VLOOKUP($U$124,'TAR FIN'!$A$1:$O$86,15,0))</f>
        <v>78.400000000000006</v>
      </c>
      <c r="Y124" s="6"/>
      <c r="Z124" s="6">
        <f ca="1">('TUSD BE'!$AM$21+'TUSD BF'!$AM$21+'TUSD CVA'!$AM$21-('TUSD BE'!$P$21+'TUSD BF'!$P$21+'TUSD CVA'!$P$21)-('TUSD BE'!$Q$21+'TUSD BF'!$Q$21+'TUSD CVA'!$Q$21)-('TUSD BE'!$R$21+'TUSD BF'!$R$21+'TUSD CVA'!$R$21))*(1-CUSTOS!$M$34)</f>
        <v>102.5548534812466</v>
      </c>
      <c r="AA124" s="6">
        <f>('TE BE'!$AB$12+'TE BF'!$AB$12+'TE CVA'!$AB$12)*(1-CUSTOS!$M$34)</f>
        <v>82.125317539118555</v>
      </c>
      <c r="AB124" s="6">
        <f t="shared" si="8"/>
        <v>0</v>
      </c>
      <c r="AC124" s="6">
        <f>(L124-M124)*(W124+X124)+($W$163+$X$163-$W$124-$X$124)*(L124)</f>
        <v>32.761499999999998</v>
      </c>
      <c r="AD124" s="6">
        <f t="shared" si="10"/>
        <v>0</v>
      </c>
      <c r="AE124" s="6">
        <f ca="1">(L124-M124)*(Z124+AA124)+($Z$163+$AA$163-$Z$124-$AA$124)*(L124)</f>
        <v>34.983700967572027</v>
      </c>
      <c r="AF124" s="4" t="s">
        <v>653</v>
      </c>
    </row>
    <row r="125" spans="1:32" ht="11.25" customHeight="1" x14ac:dyDescent="0.25">
      <c r="A125" s="4" t="s">
        <v>21</v>
      </c>
      <c r="B125" s="4" t="s">
        <v>22</v>
      </c>
      <c r="C125" s="4" t="s">
        <v>23</v>
      </c>
      <c r="D125" s="4" t="s">
        <v>24</v>
      </c>
      <c r="E125" s="4" t="s">
        <v>30</v>
      </c>
      <c r="F125" s="4" t="s">
        <v>25</v>
      </c>
      <c r="G125" s="4" t="s">
        <v>25</v>
      </c>
      <c r="H125" s="4" t="s">
        <v>25</v>
      </c>
      <c r="I125" s="5">
        <v>44409</v>
      </c>
      <c r="J125" s="6">
        <v>0</v>
      </c>
      <c r="K125" s="6">
        <v>0</v>
      </c>
      <c r="L125" s="6">
        <v>79.998000000000005</v>
      </c>
      <c r="M125" s="6">
        <v>79.998000000000005</v>
      </c>
      <c r="N125" s="6">
        <v>79.998000000000005</v>
      </c>
      <c r="O125" s="6">
        <v>79.998000000000005</v>
      </c>
      <c r="P125" s="6">
        <v>276</v>
      </c>
      <c r="Q125" s="4" t="s">
        <v>26</v>
      </c>
      <c r="R125" s="4">
        <v>0</v>
      </c>
      <c r="S125" s="4">
        <v>0</v>
      </c>
      <c r="T125" s="4">
        <v>30</v>
      </c>
      <c r="U125" s="4">
        <v>32</v>
      </c>
      <c r="V125" s="6">
        <f>IF(ISERROR(VLOOKUP($S$125,'TAR FIN'!$A$1:$O$86,15,0)),0,VLOOKUP($S$125,'TAR FIN'!$A$1:$O$86,15,0))</f>
        <v>0</v>
      </c>
      <c r="W125" s="6">
        <f>IF(ISERROR(VLOOKUP($T$125,'TAR FIN'!$A$1:$O$86,15,0)),0,VLOOKUP($T$125,'TAR FIN'!$A$1:$O$86,15,0))</f>
        <v>162.08000000000001</v>
      </c>
      <c r="X125" s="6">
        <f>IF(ISERROR(VLOOKUP($U$125,'TAR FIN'!$A$1:$O$86,15,0)),0,VLOOKUP($U$125,'TAR FIN'!$A$1:$O$86,15,0))</f>
        <v>134.4</v>
      </c>
      <c r="Y125" s="6"/>
      <c r="Z125" s="6">
        <f ca="1">('TUSD BE'!$AM$22+'TUSD BF'!$AM$22+'TUSD CVA'!$AM$22-('TUSD BE'!$P$22+'TUSD BF'!$P$22+'TUSD CVA'!$P$22)-('TUSD BE'!$Q$22+'TUSD BF'!$Q$22+'TUSD CVA'!$Q$22)-('TUSD BE'!$R$22+'TUSD BF'!$R$22+'TUSD CVA'!$R$22))*(1-CUSTOS!$M$35)</f>
        <v>175.8083202535656</v>
      </c>
      <c r="AA125" s="6">
        <f>('TE BE'!$AB$13+'TE BF'!$AB$13+'TE CVA'!$AB$13)*(1-CUSTOS!$M$35)</f>
        <v>140.78625863848896</v>
      </c>
      <c r="AB125" s="6">
        <f t="shared" si="8"/>
        <v>0</v>
      </c>
      <c r="AC125" s="6">
        <f>(L125-M125)*(W125+X125)+($W$163+$X$163-$W$125-$X$125)*(L125)</f>
        <v>15812.404679999996</v>
      </c>
      <c r="AD125" s="6">
        <f t="shared" si="10"/>
        <v>0</v>
      </c>
      <c r="AE125" s="6">
        <f ca="1">(L125-M125)*(Z125+AA125)+($Z$163+$AA$163-$Z$125-$AA$125)*(L125)</f>
        <v>16884.622081471054</v>
      </c>
      <c r="AF125" s="4" t="s">
        <v>653</v>
      </c>
    </row>
    <row r="126" spans="1:32" ht="11.25" customHeight="1" x14ac:dyDescent="0.25">
      <c r="A126" s="4" t="s">
        <v>21</v>
      </c>
      <c r="B126" s="4" t="s">
        <v>22</v>
      </c>
      <c r="C126" s="4" t="s">
        <v>23</v>
      </c>
      <c r="D126" s="4" t="s">
        <v>24</v>
      </c>
      <c r="E126" s="4" t="s">
        <v>30</v>
      </c>
      <c r="F126" s="4" t="s">
        <v>25</v>
      </c>
      <c r="G126" s="4" t="s">
        <v>25</v>
      </c>
      <c r="H126" s="4" t="s">
        <v>25</v>
      </c>
      <c r="I126" s="5">
        <v>44440</v>
      </c>
      <c r="J126" s="6">
        <v>0</v>
      </c>
      <c r="K126" s="6">
        <v>0</v>
      </c>
      <c r="L126" s="6">
        <v>83.417000000000002</v>
      </c>
      <c r="M126" s="6">
        <v>83.417000000000002</v>
      </c>
      <c r="N126" s="6">
        <v>83.417000000000002</v>
      </c>
      <c r="O126" s="6">
        <v>83.417000000000002</v>
      </c>
      <c r="P126" s="6">
        <v>230</v>
      </c>
      <c r="Q126" s="4" t="s">
        <v>26</v>
      </c>
      <c r="R126" s="4">
        <v>0</v>
      </c>
      <c r="S126" s="4">
        <v>0</v>
      </c>
      <c r="T126" s="4">
        <v>30</v>
      </c>
      <c r="U126" s="4">
        <v>32</v>
      </c>
      <c r="V126" s="6">
        <f>IF(ISERROR(VLOOKUP($S$126,'TAR FIN'!$A$1:$O$86,15,0)),0,VLOOKUP($S$126,'TAR FIN'!$A$1:$O$86,15,0))</f>
        <v>0</v>
      </c>
      <c r="W126" s="6">
        <f>IF(ISERROR(VLOOKUP($T$126,'TAR FIN'!$A$1:$O$86,15,0)),0,VLOOKUP($T$126,'TAR FIN'!$A$1:$O$86,15,0))</f>
        <v>162.08000000000001</v>
      </c>
      <c r="X126" s="6">
        <f>IF(ISERROR(VLOOKUP($U$126,'TAR FIN'!$A$1:$O$86,15,0)),0,VLOOKUP($U$126,'TAR FIN'!$A$1:$O$86,15,0))</f>
        <v>134.4</v>
      </c>
      <c r="Y126" s="6"/>
      <c r="Z126" s="6">
        <f ca="1">('TUSD BE'!$AM$22+'TUSD BF'!$AM$22+'TUSD CVA'!$AM$22-('TUSD BE'!$P$22+'TUSD BF'!$P$22+'TUSD CVA'!$P$22)-('TUSD BE'!$Q$22+'TUSD BF'!$Q$22+'TUSD CVA'!$Q$22)-('TUSD BE'!$R$22+'TUSD BF'!$R$22+'TUSD CVA'!$R$22))*(1-CUSTOS!$M$35)</f>
        <v>175.8083202535656</v>
      </c>
      <c r="AA126" s="6">
        <f>('TE BE'!$AB$13+'TE BF'!$AB$13+'TE CVA'!$AB$13)*(1-CUSTOS!$M$35)</f>
        <v>140.78625863848896</v>
      </c>
      <c r="AB126" s="6">
        <f t="shared" si="8"/>
        <v>0</v>
      </c>
      <c r="AC126" s="6">
        <f>(L126-M126)*(W126+X126)+($W$163+$X$163-$W$126-$X$126)*(L126)</f>
        <v>16488.204219999996</v>
      </c>
      <c r="AD126" s="6">
        <f t="shared" si="10"/>
        <v>0</v>
      </c>
      <c r="AE126" s="6">
        <f ca="1">(L126-M126)*(Z126+AA126)+($Z$163+$AA$163-$Z$126-$AA$126)*(L126)</f>
        <v>17606.246658292344</v>
      </c>
      <c r="AF126" s="4" t="s">
        <v>653</v>
      </c>
    </row>
    <row r="127" spans="1:32" ht="11.25" customHeight="1" x14ac:dyDescent="0.25">
      <c r="A127" s="4" t="s">
        <v>21</v>
      </c>
      <c r="B127" s="4" t="s">
        <v>22</v>
      </c>
      <c r="C127" s="4" t="s">
        <v>23</v>
      </c>
      <c r="D127" s="4" t="s">
        <v>24</v>
      </c>
      <c r="E127" s="4" t="s">
        <v>30</v>
      </c>
      <c r="F127" s="4" t="s">
        <v>25</v>
      </c>
      <c r="G127" s="4" t="s">
        <v>25</v>
      </c>
      <c r="H127" s="4" t="s">
        <v>25</v>
      </c>
      <c r="I127" s="5">
        <v>44470</v>
      </c>
      <c r="J127" s="6">
        <v>0</v>
      </c>
      <c r="K127" s="6">
        <v>0</v>
      </c>
      <c r="L127" s="6">
        <v>83.188999999999993</v>
      </c>
      <c r="M127" s="6">
        <v>83.188999999999993</v>
      </c>
      <c r="N127" s="6">
        <v>83.188999999999993</v>
      </c>
      <c r="O127" s="6">
        <v>83.188999999999993</v>
      </c>
      <c r="P127" s="6">
        <v>269</v>
      </c>
      <c r="Q127" s="4" t="s">
        <v>26</v>
      </c>
      <c r="R127" s="4">
        <v>0</v>
      </c>
      <c r="S127" s="4">
        <v>0</v>
      </c>
      <c r="T127" s="4">
        <v>30</v>
      </c>
      <c r="U127" s="4">
        <v>32</v>
      </c>
      <c r="V127" s="6">
        <f>IF(ISERROR(VLOOKUP($S$127,'TAR FIN'!$A$1:$O$86,15,0)),0,VLOOKUP($S$127,'TAR FIN'!$A$1:$O$86,15,0))</f>
        <v>0</v>
      </c>
      <c r="W127" s="6">
        <f>IF(ISERROR(VLOOKUP($T$127,'TAR FIN'!$A$1:$O$86,15,0)),0,VLOOKUP($T$127,'TAR FIN'!$A$1:$O$86,15,0))</f>
        <v>162.08000000000001</v>
      </c>
      <c r="X127" s="6">
        <f>IF(ISERROR(VLOOKUP($U$127,'TAR FIN'!$A$1:$O$86,15,0)),0,VLOOKUP($U$127,'TAR FIN'!$A$1:$O$86,15,0))</f>
        <v>134.4</v>
      </c>
      <c r="Y127" s="6"/>
      <c r="Z127" s="6">
        <f ca="1">('TUSD BE'!$AM$22+'TUSD BF'!$AM$22+'TUSD CVA'!$AM$22-('TUSD BE'!$P$22+'TUSD BF'!$P$22+'TUSD CVA'!$P$22)-('TUSD BE'!$Q$22+'TUSD BF'!$Q$22+'TUSD CVA'!$Q$22)-('TUSD BE'!$R$22+'TUSD BF'!$R$22+'TUSD CVA'!$R$22))*(1-CUSTOS!$M$35)</f>
        <v>175.8083202535656</v>
      </c>
      <c r="AA127" s="6">
        <f>('TE BE'!$AB$13+'TE BF'!$AB$13+'TE CVA'!$AB$13)*(1-CUSTOS!$M$35)</f>
        <v>140.78625863848896</v>
      </c>
      <c r="AB127" s="6">
        <f t="shared" si="8"/>
        <v>0</v>
      </c>
      <c r="AC127" s="6">
        <f>(L127-M127)*(W127+X127)+($W$163+$X$163-$W$127-$X$127)*(L127)</f>
        <v>16443.137739999995</v>
      </c>
      <c r="AD127" s="6">
        <f t="shared" si="10"/>
        <v>0</v>
      </c>
      <c r="AE127" s="6">
        <f ca="1">(L127-M127)*(Z127+AA127)+($Z$163+$AA$163-$Z$127-$AA$127)*(L127)</f>
        <v>17558.124282300749</v>
      </c>
      <c r="AF127" s="4" t="s">
        <v>653</v>
      </c>
    </row>
    <row r="128" spans="1:32" ht="11.25" customHeight="1" x14ac:dyDescent="0.25">
      <c r="A128" s="4" t="s">
        <v>27</v>
      </c>
      <c r="B128" s="4" t="s">
        <v>22</v>
      </c>
      <c r="C128" s="4" t="s">
        <v>23</v>
      </c>
      <c r="D128" s="4" t="s">
        <v>24</v>
      </c>
      <c r="E128" s="4" t="s">
        <v>30</v>
      </c>
      <c r="F128" s="4" t="s">
        <v>25</v>
      </c>
      <c r="G128" s="4" t="s">
        <v>25</v>
      </c>
      <c r="H128" s="4" t="s">
        <v>25</v>
      </c>
      <c r="I128" s="5">
        <v>44470</v>
      </c>
      <c r="J128" s="6">
        <v>0</v>
      </c>
      <c r="K128" s="6">
        <v>0</v>
      </c>
      <c r="L128" s="6">
        <v>6.3E-2</v>
      </c>
      <c r="M128" s="6">
        <v>6.3E-2</v>
      </c>
      <c r="N128" s="6">
        <v>6.3E-2</v>
      </c>
      <c r="O128" s="6">
        <v>6.3E-2</v>
      </c>
      <c r="P128" s="6">
        <v>0</v>
      </c>
      <c r="Q128" s="4" t="s">
        <v>26</v>
      </c>
      <c r="R128" s="4">
        <v>0</v>
      </c>
      <c r="S128" s="4">
        <v>0</v>
      </c>
      <c r="T128" s="4">
        <v>30</v>
      </c>
      <c r="U128" s="4">
        <v>32</v>
      </c>
      <c r="V128" s="6">
        <f>IF(ISERROR(VLOOKUP($S$128,'TAR FIN'!$A$1:$O$86,15,0)),0,VLOOKUP($S$128,'TAR FIN'!$A$1:$O$86,15,0))</f>
        <v>0</v>
      </c>
      <c r="W128" s="6">
        <f>IF(ISERROR(VLOOKUP($T$128,'TAR FIN'!$A$1:$O$86,15,0)),0,VLOOKUP($T$128,'TAR FIN'!$A$1:$O$86,15,0))</f>
        <v>162.08000000000001</v>
      </c>
      <c r="X128" s="6">
        <f>IF(ISERROR(VLOOKUP($U$128,'TAR FIN'!$A$1:$O$86,15,0)),0,VLOOKUP($U$128,'TAR FIN'!$A$1:$O$86,15,0))</f>
        <v>134.4</v>
      </c>
      <c r="Y128" s="6"/>
      <c r="Z128" s="6">
        <f ca="1">('TUSD BE'!$AM$22+'TUSD BF'!$AM$22+'TUSD CVA'!$AM$22-('TUSD BE'!$P$22+'TUSD BF'!$P$22+'TUSD CVA'!$P$22)-('TUSD BE'!$Q$22+'TUSD BF'!$Q$22+'TUSD CVA'!$Q$22)-('TUSD BE'!$R$22+'TUSD BF'!$R$22+'TUSD CVA'!$R$22))*(1-CUSTOS!$M$35)</f>
        <v>175.8083202535656</v>
      </c>
      <c r="AA128" s="6">
        <f>('TE BE'!$AB$13+'TE BF'!$AB$13+'TE CVA'!$AB$13)*(1-CUSTOS!$M$35)</f>
        <v>140.78625863848896</v>
      </c>
      <c r="AB128" s="6">
        <f t="shared" si="8"/>
        <v>0</v>
      </c>
      <c r="AC128" s="6">
        <f>(L128-M128)*(W128+X128)+($W$163+$X$163-$W$128-$X$128)*(L128)</f>
        <v>12.452579999999996</v>
      </c>
      <c r="AD128" s="6">
        <f t="shared" si="10"/>
        <v>0</v>
      </c>
      <c r="AE128" s="6">
        <f ca="1">(L128-M128)*(Z128+AA128)+($Z$163+$AA$163-$Z$128-$AA$128)*(L128)</f>
        <v>13.296972313466291</v>
      </c>
      <c r="AF128" s="4" t="s">
        <v>653</v>
      </c>
    </row>
    <row r="129" spans="1:32" ht="11.25" customHeight="1" x14ac:dyDescent="0.25">
      <c r="A129" s="4" t="s">
        <v>21</v>
      </c>
      <c r="B129" s="4" t="s">
        <v>22</v>
      </c>
      <c r="C129" s="4" t="s">
        <v>23</v>
      </c>
      <c r="D129" s="4" t="s">
        <v>24</v>
      </c>
      <c r="E129" s="4" t="s">
        <v>30</v>
      </c>
      <c r="F129" s="4" t="s">
        <v>25</v>
      </c>
      <c r="G129" s="4" t="s">
        <v>25</v>
      </c>
      <c r="H129" s="4" t="s">
        <v>25</v>
      </c>
      <c r="I129" s="5">
        <v>44501</v>
      </c>
      <c r="J129" s="6">
        <v>0</v>
      </c>
      <c r="K129" s="6">
        <v>0</v>
      </c>
      <c r="L129" s="6">
        <v>84.503</v>
      </c>
      <c r="M129" s="6">
        <v>84.503</v>
      </c>
      <c r="N129" s="6">
        <v>84.503</v>
      </c>
      <c r="O129" s="6">
        <v>84.503</v>
      </c>
      <c r="P129" s="6">
        <v>244</v>
      </c>
      <c r="Q129" s="4" t="s">
        <v>26</v>
      </c>
      <c r="R129" s="4">
        <v>0</v>
      </c>
      <c r="S129" s="4">
        <v>0</v>
      </c>
      <c r="T129" s="4">
        <v>30</v>
      </c>
      <c r="U129" s="4">
        <v>32</v>
      </c>
      <c r="V129" s="6">
        <f>IF(ISERROR(VLOOKUP($S$129,'TAR FIN'!$A$1:$O$86,15,0)),0,VLOOKUP($S$129,'TAR FIN'!$A$1:$O$86,15,0))</f>
        <v>0</v>
      </c>
      <c r="W129" s="6">
        <f>IF(ISERROR(VLOOKUP($T$129,'TAR FIN'!$A$1:$O$86,15,0)),0,VLOOKUP($T$129,'TAR FIN'!$A$1:$O$86,15,0))</f>
        <v>162.08000000000001</v>
      </c>
      <c r="X129" s="6">
        <f>IF(ISERROR(VLOOKUP($U$129,'TAR FIN'!$A$1:$O$86,15,0)),0,VLOOKUP($U$129,'TAR FIN'!$A$1:$O$86,15,0))</f>
        <v>134.4</v>
      </c>
      <c r="Y129" s="6"/>
      <c r="Z129" s="6">
        <f ca="1">('TUSD BE'!$AM$22+'TUSD BF'!$AM$22+'TUSD CVA'!$AM$22-('TUSD BE'!$P$22+'TUSD BF'!$P$22+'TUSD CVA'!$P$22)-('TUSD BE'!$Q$22+'TUSD BF'!$Q$22+'TUSD CVA'!$Q$22)-('TUSD BE'!$R$22+'TUSD BF'!$R$22+'TUSD CVA'!$R$22))*(1-CUSTOS!$M$35)</f>
        <v>175.8083202535656</v>
      </c>
      <c r="AA129" s="6">
        <f>('TE BE'!$AB$13+'TE BF'!$AB$13+'TE CVA'!$AB$13)*(1-CUSTOS!$M$35)</f>
        <v>140.78625863848896</v>
      </c>
      <c r="AB129" s="6">
        <f t="shared" si="8"/>
        <v>0</v>
      </c>
      <c r="AC129" s="6">
        <f>(L129-M129)*(W129+X129)+($W$163+$X$163-$W$129-$X$129)*(L129)</f>
        <v>16702.862979999994</v>
      </c>
      <c r="AD129" s="6">
        <f t="shared" si="10"/>
        <v>0</v>
      </c>
      <c r="AE129" s="6">
        <f ca="1">(L129-M129)*(Z129+AA129)+($Z$163+$AA$163-$Z$129-$AA$129)*(L129)</f>
        <v>17835.46113341019</v>
      </c>
      <c r="AF129" s="4" t="s">
        <v>653</v>
      </c>
    </row>
    <row r="130" spans="1:32" ht="11.25" customHeight="1" x14ac:dyDescent="0.25">
      <c r="A130" s="4" t="s">
        <v>21</v>
      </c>
      <c r="B130" s="4" t="s">
        <v>22</v>
      </c>
      <c r="C130" s="4" t="s">
        <v>23</v>
      </c>
      <c r="D130" s="4" t="s">
        <v>24</v>
      </c>
      <c r="E130" s="4" t="s">
        <v>30</v>
      </c>
      <c r="F130" s="4" t="s">
        <v>25</v>
      </c>
      <c r="G130" s="4" t="s">
        <v>25</v>
      </c>
      <c r="H130" s="4" t="s">
        <v>25</v>
      </c>
      <c r="I130" s="5">
        <v>44531</v>
      </c>
      <c r="J130" s="6">
        <v>0</v>
      </c>
      <c r="K130" s="6">
        <v>0</v>
      </c>
      <c r="L130" s="6">
        <v>85.695999999999998</v>
      </c>
      <c r="M130" s="6">
        <v>85.695999999999998</v>
      </c>
      <c r="N130" s="6">
        <v>85.695999999999998</v>
      </c>
      <c r="O130" s="6">
        <v>85.695999999999998</v>
      </c>
      <c r="P130" s="6">
        <v>244</v>
      </c>
      <c r="Q130" s="4" t="s">
        <v>26</v>
      </c>
      <c r="R130" s="4">
        <v>0</v>
      </c>
      <c r="S130" s="4">
        <v>0</v>
      </c>
      <c r="T130" s="4">
        <v>30</v>
      </c>
      <c r="U130" s="4">
        <v>32</v>
      </c>
      <c r="V130" s="6">
        <f>IF(ISERROR(VLOOKUP($S$130,'TAR FIN'!$A$1:$O$86,15,0)),0,VLOOKUP($S$130,'TAR FIN'!$A$1:$O$86,15,0))</f>
        <v>0</v>
      </c>
      <c r="W130" s="6">
        <f>IF(ISERROR(VLOOKUP($T$130,'TAR FIN'!$A$1:$O$86,15,0)),0,VLOOKUP($T$130,'TAR FIN'!$A$1:$O$86,15,0))</f>
        <v>162.08000000000001</v>
      </c>
      <c r="X130" s="6">
        <f>IF(ISERROR(VLOOKUP($U$130,'TAR FIN'!$A$1:$O$86,15,0)),0,VLOOKUP($U$130,'TAR FIN'!$A$1:$O$86,15,0))</f>
        <v>134.4</v>
      </c>
      <c r="Y130" s="6"/>
      <c r="Z130" s="6">
        <f ca="1">('TUSD BE'!$AM$22+'TUSD BF'!$AM$22+'TUSD CVA'!$AM$22-('TUSD BE'!$P$22+'TUSD BF'!$P$22+'TUSD CVA'!$P$22)-('TUSD BE'!$Q$22+'TUSD BF'!$Q$22+'TUSD CVA'!$Q$22)-('TUSD BE'!$R$22+'TUSD BF'!$R$22+'TUSD CVA'!$R$22))*(1-CUSTOS!$M$35)</f>
        <v>175.8083202535656</v>
      </c>
      <c r="AA130" s="6">
        <f>('TE BE'!$AB$13+'TE BF'!$AB$13+'TE CVA'!$AB$13)*(1-CUSTOS!$M$35)</f>
        <v>140.78625863848896</v>
      </c>
      <c r="AB130" s="6">
        <f t="shared" ref="AB130:AB193" si="14">(J130-K130)*V130</f>
        <v>0</v>
      </c>
      <c r="AC130" s="6">
        <f>(L130-M130)*(W130+X130)+($W$163+$X$163-$W$130-$X$130)*(L130)</f>
        <v>16938.671359999993</v>
      </c>
      <c r="AD130" s="6">
        <f t="shared" ref="AD130:AD193" si="15">(J130-K130)*Y130</f>
        <v>0</v>
      </c>
      <c r="AE130" s="6">
        <f ca="1">(L130-M130)*(Z130+AA130)+($Z$163+$AA$163-$Z$130-$AA$130)*(L130)</f>
        <v>18087.259355155671</v>
      </c>
      <c r="AF130" s="4" t="s">
        <v>653</v>
      </c>
    </row>
    <row r="131" spans="1:32" ht="11.25" customHeight="1" x14ac:dyDescent="0.25">
      <c r="A131" s="4" t="s">
        <v>27</v>
      </c>
      <c r="B131" s="4" t="s">
        <v>22</v>
      </c>
      <c r="C131" s="4" t="s">
        <v>23</v>
      </c>
      <c r="D131" s="4" t="s">
        <v>24</v>
      </c>
      <c r="E131" s="4" t="s">
        <v>30</v>
      </c>
      <c r="F131" s="4" t="s">
        <v>25</v>
      </c>
      <c r="G131" s="4" t="s">
        <v>25</v>
      </c>
      <c r="H131" s="4" t="s">
        <v>25</v>
      </c>
      <c r="I131" s="5">
        <v>44531</v>
      </c>
      <c r="J131" s="6">
        <v>0</v>
      </c>
      <c r="K131" s="6">
        <v>0</v>
      </c>
      <c r="L131" s="6">
        <v>4.2999999999999997E-2</v>
      </c>
      <c r="M131" s="6">
        <v>4.2999999999999997E-2</v>
      </c>
      <c r="N131" s="6">
        <v>4.2999999999999997E-2</v>
      </c>
      <c r="O131" s="6">
        <v>4.2999999999999997E-2</v>
      </c>
      <c r="P131" s="6">
        <v>0</v>
      </c>
      <c r="Q131" s="4" t="s">
        <v>26</v>
      </c>
      <c r="R131" s="4">
        <v>0</v>
      </c>
      <c r="S131" s="4">
        <v>0</v>
      </c>
      <c r="T131" s="4">
        <v>30</v>
      </c>
      <c r="U131" s="4">
        <v>32</v>
      </c>
      <c r="V131" s="6">
        <f>IF(ISERROR(VLOOKUP($S$131,'TAR FIN'!$A$1:$O$86,15,0)),0,VLOOKUP($S$131,'TAR FIN'!$A$1:$O$86,15,0))</f>
        <v>0</v>
      </c>
      <c r="W131" s="6">
        <f>IF(ISERROR(VLOOKUP($T$131,'TAR FIN'!$A$1:$O$86,15,0)),0,VLOOKUP($T$131,'TAR FIN'!$A$1:$O$86,15,0))</f>
        <v>162.08000000000001</v>
      </c>
      <c r="X131" s="6">
        <f>IF(ISERROR(VLOOKUP($U$131,'TAR FIN'!$A$1:$O$86,15,0)),0,VLOOKUP($U$131,'TAR FIN'!$A$1:$O$86,15,0))</f>
        <v>134.4</v>
      </c>
      <c r="Y131" s="6"/>
      <c r="Z131" s="6">
        <f ca="1">('TUSD BE'!$AM$22+'TUSD BF'!$AM$22+'TUSD CVA'!$AM$22-('TUSD BE'!$P$22+'TUSD BF'!$P$22+'TUSD CVA'!$P$22)-('TUSD BE'!$Q$22+'TUSD BF'!$Q$22+'TUSD CVA'!$Q$22)-('TUSD BE'!$R$22+'TUSD BF'!$R$22+'TUSD CVA'!$R$22))*(1-CUSTOS!$M$35)</f>
        <v>175.8083202535656</v>
      </c>
      <c r="AA131" s="6">
        <f>('TE BE'!$AB$13+'TE BF'!$AB$13+'TE CVA'!$AB$13)*(1-CUSTOS!$M$35)</f>
        <v>140.78625863848896</v>
      </c>
      <c r="AB131" s="6">
        <f t="shared" si="14"/>
        <v>0</v>
      </c>
      <c r="AC131" s="6">
        <f>(L131-M131)*(W131+X131)+($W$163+$X$163-$W$131-$X$131)*(L131)</f>
        <v>8.4993799999999968</v>
      </c>
      <c r="AD131" s="6">
        <f t="shared" si="15"/>
        <v>0</v>
      </c>
      <c r="AE131" s="6">
        <f ca="1">(L131-M131)*(Z131+AA131)+($Z$163+$AA$163-$Z$131-$AA$131)*(L131)</f>
        <v>9.0757112615722306</v>
      </c>
      <c r="AF131" s="4" t="s">
        <v>653</v>
      </c>
    </row>
    <row r="132" spans="1:32" ht="11.25" customHeight="1" x14ac:dyDescent="0.25">
      <c r="A132" s="4" t="s">
        <v>21</v>
      </c>
      <c r="B132" s="4" t="s">
        <v>22</v>
      </c>
      <c r="C132" s="4" t="s">
        <v>23</v>
      </c>
      <c r="D132" s="4" t="s">
        <v>24</v>
      </c>
      <c r="E132" s="4" t="s">
        <v>30</v>
      </c>
      <c r="F132" s="4" t="s">
        <v>25</v>
      </c>
      <c r="G132" s="4" t="s">
        <v>25</v>
      </c>
      <c r="H132" s="4" t="s">
        <v>25</v>
      </c>
      <c r="I132" s="5">
        <v>44562</v>
      </c>
      <c r="J132" s="6">
        <v>0</v>
      </c>
      <c r="K132" s="6">
        <v>0</v>
      </c>
      <c r="L132" s="6">
        <v>89.171000000000006</v>
      </c>
      <c r="M132" s="6">
        <v>89.171000000000006</v>
      </c>
      <c r="N132" s="6">
        <v>89.171000000000006</v>
      </c>
      <c r="O132" s="6">
        <v>89.171000000000006</v>
      </c>
      <c r="P132" s="6">
        <v>161</v>
      </c>
      <c r="Q132" s="4" t="s">
        <v>26</v>
      </c>
      <c r="R132" s="4">
        <v>0</v>
      </c>
      <c r="S132" s="4">
        <v>0</v>
      </c>
      <c r="T132" s="4">
        <v>30</v>
      </c>
      <c r="U132" s="4">
        <v>32</v>
      </c>
      <c r="V132" s="6">
        <f>IF(ISERROR(VLOOKUP($S$132,'TAR FIN'!$A$1:$O$86,15,0)),0,VLOOKUP($S$132,'TAR FIN'!$A$1:$O$86,15,0))</f>
        <v>0</v>
      </c>
      <c r="W132" s="6">
        <f>IF(ISERROR(VLOOKUP($T$132,'TAR FIN'!$A$1:$O$86,15,0)),0,VLOOKUP($T$132,'TAR FIN'!$A$1:$O$86,15,0))</f>
        <v>162.08000000000001</v>
      </c>
      <c r="X132" s="6">
        <f>IF(ISERROR(VLOOKUP($U$132,'TAR FIN'!$A$1:$O$86,15,0)),0,VLOOKUP($U$132,'TAR FIN'!$A$1:$O$86,15,0))</f>
        <v>134.4</v>
      </c>
      <c r="Y132" s="6"/>
      <c r="Z132" s="6">
        <f ca="1">('TUSD BE'!$AM$22+'TUSD BF'!$AM$22+'TUSD CVA'!$AM$22-('TUSD BE'!$P$22+'TUSD BF'!$P$22+'TUSD CVA'!$P$22)-('TUSD BE'!$Q$22+'TUSD BF'!$Q$22+'TUSD CVA'!$Q$22)-('TUSD BE'!$R$22+'TUSD BF'!$R$22+'TUSD CVA'!$R$22))*(1-CUSTOS!$M$35)</f>
        <v>175.8083202535656</v>
      </c>
      <c r="AA132" s="6">
        <f>('TE BE'!$AB$13+'TE BF'!$AB$13+'TE CVA'!$AB$13)*(1-CUSTOS!$M$35)</f>
        <v>140.78625863848896</v>
      </c>
      <c r="AB132" s="6">
        <f t="shared" si="14"/>
        <v>0</v>
      </c>
      <c r="AC132" s="6">
        <f>(L132-M132)*(W132+X132)+($W$163+$X$163-$W$132-$X$132)*(L132)</f>
        <v>17625.539859999997</v>
      </c>
      <c r="AD132" s="6">
        <f t="shared" si="15"/>
        <v>0</v>
      </c>
      <c r="AE132" s="6">
        <f ca="1">(L132-M132)*(Z132+AA132)+($Z$163+$AA$163-$Z$132-$AA$132)*(L132)</f>
        <v>18820.703462922265</v>
      </c>
      <c r="AF132" s="4" t="s">
        <v>653</v>
      </c>
    </row>
    <row r="133" spans="1:32" ht="11.25" customHeight="1" x14ac:dyDescent="0.25">
      <c r="A133" s="4" t="s">
        <v>27</v>
      </c>
      <c r="B133" s="4" t="s">
        <v>22</v>
      </c>
      <c r="C133" s="4" t="s">
        <v>23</v>
      </c>
      <c r="D133" s="4" t="s">
        <v>24</v>
      </c>
      <c r="E133" s="4" t="s">
        <v>30</v>
      </c>
      <c r="F133" s="4" t="s">
        <v>25</v>
      </c>
      <c r="G133" s="4" t="s">
        <v>25</v>
      </c>
      <c r="H133" s="4" t="s">
        <v>25</v>
      </c>
      <c r="I133" s="5">
        <v>44562</v>
      </c>
      <c r="J133" s="6">
        <v>0</v>
      </c>
      <c r="K133" s="6">
        <v>0</v>
      </c>
      <c r="L133" s="6">
        <v>-6.8000000000000005E-2</v>
      </c>
      <c r="M133" s="6">
        <v>-6.8000000000000005E-2</v>
      </c>
      <c r="N133" s="6">
        <v>-6.8000000000000005E-2</v>
      </c>
      <c r="O133" s="6">
        <v>-6.8000000000000005E-2</v>
      </c>
      <c r="P133" s="6">
        <v>0</v>
      </c>
      <c r="Q133" s="4" t="s">
        <v>26</v>
      </c>
      <c r="R133" s="4">
        <v>0</v>
      </c>
      <c r="S133" s="4">
        <v>0</v>
      </c>
      <c r="T133" s="4">
        <v>30</v>
      </c>
      <c r="U133" s="4">
        <v>32</v>
      </c>
      <c r="V133" s="6">
        <f>IF(ISERROR(VLOOKUP($S$133,'TAR FIN'!$A$1:$O$86,15,0)),0,VLOOKUP($S$133,'TAR FIN'!$A$1:$O$86,15,0))</f>
        <v>0</v>
      </c>
      <c r="W133" s="6">
        <f>IF(ISERROR(VLOOKUP($T$133,'TAR FIN'!$A$1:$O$86,15,0)),0,VLOOKUP($T$133,'TAR FIN'!$A$1:$O$86,15,0))</f>
        <v>162.08000000000001</v>
      </c>
      <c r="X133" s="6">
        <f>IF(ISERROR(VLOOKUP($U$133,'TAR FIN'!$A$1:$O$86,15,0)),0,VLOOKUP($U$133,'TAR FIN'!$A$1:$O$86,15,0))</f>
        <v>134.4</v>
      </c>
      <c r="Y133" s="6"/>
      <c r="Z133" s="6">
        <f ca="1">('TUSD BE'!$AM$22+'TUSD BF'!$AM$22+'TUSD CVA'!$AM$22-('TUSD BE'!$P$22+'TUSD BF'!$P$22+'TUSD CVA'!$P$22)-('TUSD BE'!$Q$22+'TUSD BF'!$Q$22+'TUSD CVA'!$Q$22)-('TUSD BE'!$R$22+'TUSD BF'!$R$22+'TUSD CVA'!$R$22))*(1-CUSTOS!$M$35)</f>
        <v>175.8083202535656</v>
      </c>
      <c r="AA133" s="6">
        <f>('TE BE'!$AB$13+'TE BF'!$AB$13+'TE CVA'!$AB$13)*(1-CUSTOS!$M$35)</f>
        <v>140.78625863848896</v>
      </c>
      <c r="AB133" s="6">
        <f t="shared" si="14"/>
        <v>0</v>
      </c>
      <c r="AC133" s="6">
        <f>(L133-M133)*(W133+X133)+($W$163+$X$163-$W$133-$X$133)*(L133)</f>
        <v>-13.440879999999996</v>
      </c>
      <c r="AD133" s="6">
        <f t="shared" si="15"/>
        <v>0</v>
      </c>
      <c r="AE133" s="6">
        <f ca="1">(L133-M133)*(Z133+AA133)+($Z$163+$AA$163-$Z$133-$AA$133)*(L133)</f>
        <v>-14.352287576439808</v>
      </c>
      <c r="AF133" s="4" t="s">
        <v>653</v>
      </c>
    </row>
    <row r="134" spans="1:32" ht="11.25" customHeight="1" x14ac:dyDescent="0.25">
      <c r="A134" s="4" t="s">
        <v>21</v>
      </c>
      <c r="B134" s="4" t="s">
        <v>22</v>
      </c>
      <c r="C134" s="4" t="s">
        <v>23</v>
      </c>
      <c r="D134" s="4" t="s">
        <v>24</v>
      </c>
      <c r="E134" s="4" t="s">
        <v>30</v>
      </c>
      <c r="F134" s="4" t="s">
        <v>25</v>
      </c>
      <c r="G134" s="4" t="s">
        <v>25</v>
      </c>
      <c r="H134" s="4" t="s">
        <v>25</v>
      </c>
      <c r="I134" s="5">
        <v>44593</v>
      </c>
      <c r="J134" s="6">
        <v>0</v>
      </c>
      <c r="K134" s="6">
        <v>0</v>
      </c>
      <c r="L134" s="6">
        <v>90.623000000000005</v>
      </c>
      <c r="M134" s="6">
        <v>90.623000000000005</v>
      </c>
      <c r="N134" s="6">
        <v>90.623000000000005</v>
      </c>
      <c r="O134" s="6">
        <v>90.623000000000005</v>
      </c>
      <c r="P134" s="6">
        <v>166</v>
      </c>
      <c r="Q134" s="4" t="s">
        <v>26</v>
      </c>
      <c r="R134" s="4">
        <v>0</v>
      </c>
      <c r="S134" s="4">
        <v>0</v>
      </c>
      <c r="T134" s="4">
        <v>30</v>
      </c>
      <c r="U134" s="4">
        <v>32</v>
      </c>
      <c r="V134" s="6">
        <f>IF(ISERROR(VLOOKUP($S$134,'TAR FIN'!$A$1:$O$86,15,0)),0,VLOOKUP($S$134,'TAR FIN'!$A$1:$O$86,15,0))</f>
        <v>0</v>
      </c>
      <c r="W134" s="6">
        <f>IF(ISERROR(VLOOKUP($T$134,'TAR FIN'!$A$1:$O$86,15,0)),0,VLOOKUP($T$134,'TAR FIN'!$A$1:$O$86,15,0))</f>
        <v>162.08000000000001</v>
      </c>
      <c r="X134" s="6">
        <f>IF(ISERROR(VLOOKUP($U$134,'TAR FIN'!$A$1:$O$86,15,0)),0,VLOOKUP($U$134,'TAR FIN'!$A$1:$O$86,15,0))</f>
        <v>134.4</v>
      </c>
      <c r="Y134" s="6"/>
      <c r="Z134" s="6">
        <f ca="1">('TUSD BE'!$AM$22+'TUSD BF'!$AM$22+'TUSD CVA'!$AM$22-('TUSD BE'!$P$22+'TUSD BF'!$P$22+'TUSD CVA'!$P$22)-('TUSD BE'!$Q$22+'TUSD BF'!$Q$22+'TUSD CVA'!$Q$22)-('TUSD BE'!$R$22+'TUSD BF'!$R$22+'TUSD CVA'!$R$22))*(1-CUSTOS!$M$35)</f>
        <v>175.8083202535656</v>
      </c>
      <c r="AA134" s="6">
        <f>('TE BE'!$AB$13+'TE BF'!$AB$13+'TE CVA'!$AB$13)*(1-CUSTOS!$M$35)</f>
        <v>140.78625863848896</v>
      </c>
      <c r="AB134" s="6">
        <f t="shared" si="14"/>
        <v>0</v>
      </c>
      <c r="AC134" s="6">
        <f>(L134-M134)*(W134+X134)+($W$163+$X$163-$W$134-$X$134)*(L134)</f>
        <v>17912.542179999997</v>
      </c>
      <c r="AD134" s="6">
        <f t="shared" si="15"/>
        <v>0</v>
      </c>
      <c r="AE134" s="6">
        <f ca="1">(L134-M134)*(Z134+AA134)+($Z$163+$AA$163-$Z$134-$AA$134)*(L134)</f>
        <v>19127.167015289775</v>
      </c>
      <c r="AF134" s="4" t="s">
        <v>653</v>
      </c>
    </row>
    <row r="135" spans="1:32" ht="11.25" customHeight="1" x14ac:dyDescent="0.25">
      <c r="A135" s="4" t="s">
        <v>21</v>
      </c>
      <c r="B135" s="4" t="s">
        <v>22</v>
      </c>
      <c r="C135" s="4" t="s">
        <v>23</v>
      </c>
      <c r="D135" s="4" t="s">
        <v>24</v>
      </c>
      <c r="E135" s="4" t="s">
        <v>30</v>
      </c>
      <c r="F135" s="4" t="s">
        <v>25</v>
      </c>
      <c r="G135" s="4" t="s">
        <v>25</v>
      </c>
      <c r="H135" s="4" t="s">
        <v>25</v>
      </c>
      <c r="I135" s="5">
        <v>44621</v>
      </c>
      <c r="J135" s="6">
        <v>0</v>
      </c>
      <c r="K135" s="6">
        <v>0</v>
      </c>
      <c r="L135" s="6">
        <v>91.774000000000001</v>
      </c>
      <c r="M135" s="6">
        <v>91.774000000000001</v>
      </c>
      <c r="N135" s="6">
        <v>91.774000000000001</v>
      </c>
      <c r="O135" s="6">
        <v>91.774000000000001</v>
      </c>
      <c r="P135" s="6">
        <v>177</v>
      </c>
      <c r="Q135" s="4" t="s">
        <v>26</v>
      </c>
      <c r="R135" s="4">
        <v>0</v>
      </c>
      <c r="S135" s="4">
        <v>0</v>
      </c>
      <c r="T135" s="4">
        <v>30</v>
      </c>
      <c r="U135" s="4">
        <v>32</v>
      </c>
      <c r="V135" s="6">
        <f>IF(ISERROR(VLOOKUP($S$135,'TAR FIN'!$A$1:$O$86,15,0)),0,VLOOKUP($S$135,'TAR FIN'!$A$1:$O$86,15,0))</f>
        <v>0</v>
      </c>
      <c r="W135" s="6">
        <f>IF(ISERROR(VLOOKUP($T$135,'TAR FIN'!$A$1:$O$86,15,0)),0,VLOOKUP($T$135,'TAR FIN'!$A$1:$O$86,15,0))</f>
        <v>162.08000000000001</v>
      </c>
      <c r="X135" s="6">
        <f>IF(ISERROR(VLOOKUP($U$135,'TAR FIN'!$A$1:$O$86,15,0)),0,VLOOKUP($U$135,'TAR FIN'!$A$1:$O$86,15,0))</f>
        <v>134.4</v>
      </c>
      <c r="Y135" s="6"/>
      <c r="Z135" s="6">
        <f ca="1">('TUSD BE'!$AM$22+'TUSD BF'!$AM$22+'TUSD CVA'!$AM$22-('TUSD BE'!$P$22+'TUSD BF'!$P$22+'TUSD CVA'!$P$22)-('TUSD BE'!$Q$22+'TUSD BF'!$Q$22+'TUSD CVA'!$Q$22)-('TUSD BE'!$R$22+'TUSD BF'!$R$22+'TUSD CVA'!$R$22))*(1-CUSTOS!$M$35)</f>
        <v>175.8083202535656</v>
      </c>
      <c r="AA135" s="6">
        <f>('TE BE'!$AB$13+'TE BF'!$AB$13+'TE CVA'!$AB$13)*(1-CUSTOS!$M$35)</f>
        <v>140.78625863848896</v>
      </c>
      <c r="AB135" s="6">
        <f t="shared" si="14"/>
        <v>0</v>
      </c>
      <c r="AC135" s="6">
        <f>(L135-M135)*(W135+X135)+($W$163+$X$163-$W$135-$X$135)*(L135)</f>
        <v>18140.048839999996</v>
      </c>
      <c r="AD135" s="6">
        <f t="shared" si="15"/>
        <v>0</v>
      </c>
      <c r="AE135" s="6">
        <f ca="1">(L135-M135)*(Z135+AA135)+($Z$163+$AA$163-$Z$135-$AA$135)*(L135)</f>
        <v>19370.100588826277</v>
      </c>
      <c r="AF135" s="4" t="s">
        <v>653</v>
      </c>
    </row>
    <row r="136" spans="1:32" ht="11.25" customHeight="1" x14ac:dyDescent="0.25">
      <c r="A136" s="4" t="s">
        <v>21</v>
      </c>
      <c r="B136" s="4" t="s">
        <v>22</v>
      </c>
      <c r="C136" s="4" t="s">
        <v>23</v>
      </c>
      <c r="D136" s="4" t="s">
        <v>24</v>
      </c>
      <c r="E136" s="4" t="s">
        <v>30</v>
      </c>
      <c r="F136" s="4" t="s">
        <v>25</v>
      </c>
      <c r="G136" s="4" t="s">
        <v>25</v>
      </c>
      <c r="H136" s="4" t="s">
        <v>25</v>
      </c>
      <c r="I136" s="5">
        <v>44652</v>
      </c>
      <c r="J136" s="6">
        <v>0</v>
      </c>
      <c r="K136" s="6">
        <v>0</v>
      </c>
      <c r="L136" s="6">
        <v>92.322999999999993</v>
      </c>
      <c r="M136" s="6">
        <v>92.322999999999993</v>
      </c>
      <c r="N136" s="6">
        <v>92.322999999999993</v>
      </c>
      <c r="O136" s="6">
        <v>92.322999999999993</v>
      </c>
      <c r="P136" s="6">
        <v>189</v>
      </c>
      <c r="Q136" s="4" t="s">
        <v>26</v>
      </c>
      <c r="R136" s="4">
        <v>0</v>
      </c>
      <c r="S136" s="4">
        <v>0</v>
      </c>
      <c r="T136" s="4">
        <v>30</v>
      </c>
      <c r="U136" s="4">
        <v>32</v>
      </c>
      <c r="V136" s="6">
        <f>IF(ISERROR(VLOOKUP($S$136,'TAR FIN'!$A$1:$O$86,15,0)),0,VLOOKUP($S$136,'TAR FIN'!$A$1:$O$86,15,0))</f>
        <v>0</v>
      </c>
      <c r="W136" s="6">
        <f>IF(ISERROR(VLOOKUP($T$136,'TAR FIN'!$A$1:$O$86,15,0)),0,VLOOKUP($T$136,'TAR FIN'!$A$1:$O$86,15,0))</f>
        <v>162.08000000000001</v>
      </c>
      <c r="X136" s="6">
        <f>IF(ISERROR(VLOOKUP($U$136,'TAR FIN'!$A$1:$O$86,15,0)),0,VLOOKUP($U$136,'TAR FIN'!$A$1:$O$86,15,0))</f>
        <v>134.4</v>
      </c>
      <c r="Y136" s="6"/>
      <c r="Z136" s="6">
        <f ca="1">('TUSD BE'!$AM$22+'TUSD BF'!$AM$22+'TUSD CVA'!$AM$22-('TUSD BE'!$P$22+'TUSD BF'!$P$22+'TUSD CVA'!$P$22)-('TUSD BE'!$Q$22+'TUSD BF'!$Q$22+'TUSD CVA'!$Q$22)-('TUSD BE'!$R$22+'TUSD BF'!$R$22+'TUSD CVA'!$R$22))*(1-CUSTOS!$M$35)</f>
        <v>175.8083202535656</v>
      </c>
      <c r="AA136" s="6">
        <f>('TE BE'!$AB$13+'TE BF'!$AB$13+'TE CVA'!$AB$13)*(1-CUSTOS!$M$35)</f>
        <v>140.78625863848896</v>
      </c>
      <c r="AB136" s="6">
        <f t="shared" si="14"/>
        <v>0</v>
      </c>
      <c r="AC136" s="6">
        <f>(L136-M136)*(W136+X136)+($W$163+$X$163-$W$136-$X$136)*(L136)</f>
        <v>18248.564179999994</v>
      </c>
      <c r="AD136" s="6">
        <f t="shared" si="15"/>
        <v>0</v>
      </c>
      <c r="AE136" s="6">
        <f ca="1">(L136-M136)*(Z136+AA136)+($Z$163+$AA$163-$Z$136-$AA$136)*(L136)</f>
        <v>19485.974204700768</v>
      </c>
      <c r="AF136" s="4" t="s">
        <v>653</v>
      </c>
    </row>
    <row r="137" spans="1:32" ht="11.25" customHeight="1" x14ac:dyDescent="0.25">
      <c r="A137" s="4" t="s">
        <v>27</v>
      </c>
      <c r="B137" s="4" t="s">
        <v>22</v>
      </c>
      <c r="C137" s="4" t="s">
        <v>23</v>
      </c>
      <c r="D137" s="4" t="s">
        <v>24</v>
      </c>
      <c r="E137" s="4" t="s">
        <v>30</v>
      </c>
      <c r="F137" s="4" t="s">
        <v>25</v>
      </c>
      <c r="G137" s="4" t="s">
        <v>25</v>
      </c>
      <c r="H137" s="4" t="s">
        <v>25</v>
      </c>
      <c r="I137" s="5">
        <v>44652</v>
      </c>
      <c r="J137" s="6">
        <v>0</v>
      </c>
      <c r="K137" s="6">
        <v>0</v>
      </c>
      <c r="L137" s="6">
        <v>5.8000000000000003E-2</v>
      </c>
      <c r="M137" s="6">
        <v>5.8000000000000003E-2</v>
      </c>
      <c r="N137" s="6">
        <v>5.8000000000000003E-2</v>
      </c>
      <c r="O137" s="6">
        <v>5.8000000000000003E-2</v>
      </c>
      <c r="P137" s="6">
        <v>0</v>
      </c>
      <c r="Q137" s="4" t="s">
        <v>26</v>
      </c>
      <c r="R137" s="4">
        <v>0</v>
      </c>
      <c r="S137" s="4">
        <v>0</v>
      </c>
      <c r="T137" s="4">
        <v>30</v>
      </c>
      <c r="U137" s="4">
        <v>32</v>
      </c>
      <c r="V137" s="6">
        <f>IF(ISERROR(VLOOKUP($S$137,'TAR FIN'!$A$1:$O$86,15,0)),0,VLOOKUP($S$137,'TAR FIN'!$A$1:$O$86,15,0))</f>
        <v>0</v>
      </c>
      <c r="W137" s="6">
        <f>IF(ISERROR(VLOOKUP($T$137,'TAR FIN'!$A$1:$O$86,15,0)),0,VLOOKUP($T$137,'TAR FIN'!$A$1:$O$86,15,0))</f>
        <v>162.08000000000001</v>
      </c>
      <c r="X137" s="6">
        <f>IF(ISERROR(VLOOKUP($U$137,'TAR FIN'!$A$1:$O$86,15,0)),0,VLOOKUP($U$137,'TAR FIN'!$A$1:$O$86,15,0))</f>
        <v>134.4</v>
      </c>
      <c r="Y137" s="6"/>
      <c r="Z137" s="6">
        <f ca="1">('TUSD BE'!$AM$22+'TUSD BF'!$AM$22+'TUSD CVA'!$AM$22-('TUSD BE'!$P$22+'TUSD BF'!$P$22+'TUSD CVA'!$P$22)-('TUSD BE'!$Q$22+'TUSD BF'!$Q$22+'TUSD CVA'!$Q$22)-('TUSD BE'!$R$22+'TUSD BF'!$R$22+'TUSD CVA'!$R$22))*(1-CUSTOS!$M$35)</f>
        <v>175.8083202535656</v>
      </c>
      <c r="AA137" s="6">
        <f>('TE BE'!$AB$13+'TE BF'!$AB$13+'TE CVA'!$AB$13)*(1-CUSTOS!$M$35)</f>
        <v>140.78625863848896</v>
      </c>
      <c r="AB137" s="6">
        <f t="shared" si="14"/>
        <v>0</v>
      </c>
      <c r="AC137" s="6">
        <f>(L137-M137)*(W137+X137)+($W$163+$X$163-$W$137-$X$137)*(L137)</f>
        <v>11.464279999999997</v>
      </c>
      <c r="AD137" s="6">
        <f t="shared" si="15"/>
        <v>0</v>
      </c>
      <c r="AE137" s="6">
        <f ca="1">(L137-M137)*(Z137+AA137)+($Z$163+$AA$163-$Z$137-$AA$137)*(L137)</f>
        <v>12.241657050492776</v>
      </c>
      <c r="AF137" s="4" t="s">
        <v>653</v>
      </c>
    </row>
    <row r="138" spans="1:32" ht="11.25" customHeight="1" x14ac:dyDescent="0.25">
      <c r="A138" s="4" t="s">
        <v>21</v>
      </c>
      <c r="B138" s="4" t="s">
        <v>22</v>
      </c>
      <c r="C138" s="4" t="s">
        <v>23</v>
      </c>
      <c r="D138" s="4" t="s">
        <v>24</v>
      </c>
      <c r="E138" s="4" t="s">
        <v>30</v>
      </c>
      <c r="F138" s="4" t="s">
        <v>25</v>
      </c>
      <c r="G138" s="4" t="s">
        <v>25</v>
      </c>
      <c r="H138" s="4" t="s">
        <v>25</v>
      </c>
      <c r="I138" s="5">
        <v>44682</v>
      </c>
      <c r="J138" s="6">
        <v>0</v>
      </c>
      <c r="K138" s="6">
        <v>0</v>
      </c>
      <c r="L138" s="6">
        <v>93.614000000000004</v>
      </c>
      <c r="M138" s="6">
        <v>93.614000000000004</v>
      </c>
      <c r="N138" s="6">
        <v>93.614000000000004</v>
      </c>
      <c r="O138" s="6">
        <v>93.614000000000004</v>
      </c>
      <c r="P138" s="6">
        <v>267</v>
      </c>
      <c r="Q138" s="4" t="s">
        <v>26</v>
      </c>
      <c r="R138" s="4">
        <v>0</v>
      </c>
      <c r="S138" s="4">
        <v>0</v>
      </c>
      <c r="T138" s="4">
        <v>30</v>
      </c>
      <c r="U138" s="4">
        <v>32</v>
      </c>
      <c r="V138" s="6">
        <f>IF(ISERROR(VLOOKUP($S$138,'TAR FIN'!$A$1:$O$86,15,0)),0,VLOOKUP($S$138,'TAR FIN'!$A$1:$O$86,15,0))</f>
        <v>0</v>
      </c>
      <c r="W138" s="6">
        <f>IF(ISERROR(VLOOKUP($T$138,'TAR FIN'!$A$1:$O$86,15,0)),0,VLOOKUP($T$138,'TAR FIN'!$A$1:$O$86,15,0))</f>
        <v>162.08000000000001</v>
      </c>
      <c r="X138" s="6">
        <f>IF(ISERROR(VLOOKUP($U$138,'TAR FIN'!$A$1:$O$86,15,0)),0,VLOOKUP($U$138,'TAR FIN'!$A$1:$O$86,15,0))</f>
        <v>134.4</v>
      </c>
      <c r="Y138" s="6"/>
      <c r="Z138" s="6">
        <f ca="1">('TUSD BE'!$AM$22+'TUSD BF'!$AM$22+'TUSD CVA'!$AM$22-('TUSD BE'!$P$22+'TUSD BF'!$P$22+'TUSD CVA'!$P$22)-('TUSD BE'!$Q$22+'TUSD BF'!$Q$22+'TUSD CVA'!$Q$22)-('TUSD BE'!$R$22+'TUSD BF'!$R$22+'TUSD CVA'!$R$22))*(1-CUSTOS!$M$35)</f>
        <v>175.8083202535656</v>
      </c>
      <c r="AA138" s="6">
        <f>('TE BE'!$AB$13+'TE BF'!$AB$13+'TE CVA'!$AB$13)*(1-CUSTOS!$M$35)</f>
        <v>140.78625863848896</v>
      </c>
      <c r="AB138" s="6">
        <f t="shared" si="14"/>
        <v>0</v>
      </c>
      <c r="AC138" s="6">
        <f>(L138-M138)*(W138+X138)+($W$163+$X$163-$W$138-$X$138)*(L138)</f>
        <v>18503.743239999996</v>
      </c>
      <c r="AD138" s="6">
        <f t="shared" si="15"/>
        <v>0</v>
      </c>
      <c r="AE138" s="6">
        <f ca="1">(L138-M138)*(Z138+AA138)+($Z$163+$AA$163-$Z$138-$AA$138)*(L138)</f>
        <v>19758.456605600531</v>
      </c>
      <c r="AF138" s="4" t="s">
        <v>653</v>
      </c>
    </row>
    <row r="139" spans="1:32" ht="11.25" customHeight="1" x14ac:dyDescent="0.25">
      <c r="A139" s="4" t="s">
        <v>21</v>
      </c>
      <c r="B139" s="4" t="s">
        <v>22</v>
      </c>
      <c r="C139" s="4" t="s">
        <v>23</v>
      </c>
      <c r="D139" s="4" t="s">
        <v>24</v>
      </c>
      <c r="E139" s="4" t="s">
        <v>30</v>
      </c>
      <c r="F139" s="4" t="s">
        <v>25</v>
      </c>
      <c r="G139" s="4" t="s">
        <v>25</v>
      </c>
      <c r="H139" s="4" t="s">
        <v>25</v>
      </c>
      <c r="I139" s="5">
        <v>44713</v>
      </c>
      <c r="J139" s="6">
        <v>0</v>
      </c>
      <c r="K139" s="6">
        <v>0</v>
      </c>
      <c r="L139" s="6">
        <v>101.9</v>
      </c>
      <c r="M139" s="6">
        <v>101.9</v>
      </c>
      <c r="N139" s="6">
        <v>101.9</v>
      </c>
      <c r="O139" s="6">
        <v>101.9</v>
      </c>
      <c r="P139" s="6">
        <v>333</v>
      </c>
      <c r="Q139" s="4" t="s">
        <v>26</v>
      </c>
      <c r="R139" s="4">
        <v>0</v>
      </c>
      <c r="S139" s="4">
        <v>0</v>
      </c>
      <c r="T139" s="4">
        <v>30</v>
      </c>
      <c r="U139" s="4">
        <v>32</v>
      </c>
      <c r="V139" s="6">
        <f>IF(ISERROR(VLOOKUP($S$139,'TAR FIN'!$A$1:$O$86,15,0)),0,VLOOKUP($S$139,'TAR FIN'!$A$1:$O$86,15,0))</f>
        <v>0</v>
      </c>
      <c r="W139" s="6">
        <f>IF(ISERROR(VLOOKUP($T$139,'TAR FIN'!$A$1:$O$86,15,0)),0,VLOOKUP($T$139,'TAR FIN'!$A$1:$O$86,15,0))</f>
        <v>162.08000000000001</v>
      </c>
      <c r="X139" s="6">
        <f>IF(ISERROR(VLOOKUP($U$139,'TAR FIN'!$A$1:$O$86,15,0)),0,VLOOKUP($U$139,'TAR FIN'!$A$1:$O$86,15,0))</f>
        <v>134.4</v>
      </c>
      <c r="Y139" s="6"/>
      <c r="Z139" s="6">
        <f ca="1">('TUSD BE'!$AM$22+'TUSD BF'!$AM$22+'TUSD CVA'!$AM$22-('TUSD BE'!$P$22+'TUSD BF'!$P$22+'TUSD CVA'!$P$22)-('TUSD BE'!$Q$22+'TUSD BF'!$Q$22+'TUSD CVA'!$Q$22)-('TUSD BE'!$R$22+'TUSD BF'!$R$22+'TUSD CVA'!$R$22))*(1-CUSTOS!$M$35)</f>
        <v>175.8083202535656</v>
      </c>
      <c r="AA139" s="6">
        <f>('TE BE'!$AB$13+'TE BF'!$AB$13+'TE CVA'!$AB$13)*(1-CUSTOS!$M$35)</f>
        <v>140.78625863848896</v>
      </c>
      <c r="AB139" s="6">
        <f t="shared" si="14"/>
        <v>0</v>
      </c>
      <c r="AC139" s="6">
        <f>(L139-M139)*(W139+X139)+($W$163+$X$163-$W$139-$X$139)*(L139)</f>
        <v>20141.553999999996</v>
      </c>
      <c r="AD139" s="6">
        <f t="shared" si="15"/>
        <v>0</v>
      </c>
      <c r="AE139" s="6">
        <f ca="1">(L139-M139)*(Z139+AA139)+($Z$163+$AA$163-$Z$139-$AA$139)*(L139)</f>
        <v>21507.325059400242</v>
      </c>
      <c r="AF139" s="4" t="s">
        <v>653</v>
      </c>
    </row>
    <row r="140" spans="1:32" ht="11.25" customHeight="1" x14ac:dyDescent="0.25">
      <c r="A140" s="4" t="s">
        <v>28</v>
      </c>
      <c r="B140" s="4" t="s">
        <v>22</v>
      </c>
      <c r="C140" s="4" t="s">
        <v>23</v>
      </c>
      <c r="D140" s="4" t="s">
        <v>24</v>
      </c>
      <c r="E140" s="4" t="s">
        <v>30</v>
      </c>
      <c r="F140" s="4" t="s">
        <v>25</v>
      </c>
      <c r="G140" s="4" t="s">
        <v>25</v>
      </c>
      <c r="H140" s="4" t="s">
        <v>25</v>
      </c>
      <c r="I140" s="5">
        <v>44713</v>
      </c>
      <c r="J140" s="6">
        <v>0</v>
      </c>
      <c r="K140" s="6">
        <v>0</v>
      </c>
      <c r="L140" s="6">
        <v>1.4E-2</v>
      </c>
      <c r="M140" s="6">
        <v>2.8E-3</v>
      </c>
      <c r="N140" s="6">
        <v>1.4E-2</v>
      </c>
      <c r="O140" s="6">
        <v>2.8E-3</v>
      </c>
      <c r="P140" s="6">
        <v>0</v>
      </c>
      <c r="Q140" s="4" t="s">
        <v>26</v>
      </c>
      <c r="R140" s="4">
        <v>0</v>
      </c>
      <c r="S140" s="4">
        <v>0</v>
      </c>
      <c r="T140" s="4">
        <v>30</v>
      </c>
      <c r="U140" s="4">
        <v>32</v>
      </c>
      <c r="V140" s="6">
        <f>IF(ISERROR(VLOOKUP($S$140,'TAR FIN'!$A$1:$O$86,15,0)),0,VLOOKUP($S$140,'TAR FIN'!$A$1:$O$86,15,0))</f>
        <v>0</v>
      </c>
      <c r="W140" s="6">
        <f>IF(ISERROR(VLOOKUP($T$140,'TAR FIN'!$A$1:$O$86,15,0)),0,VLOOKUP($T$140,'TAR FIN'!$A$1:$O$86,15,0))</f>
        <v>162.08000000000001</v>
      </c>
      <c r="X140" s="6">
        <f>IF(ISERROR(VLOOKUP($U$140,'TAR FIN'!$A$1:$O$86,15,0)),0,VLOOKUP($U$140,'TAR FIN'!$A$1:$O$86,15,0))</f>
        <v>134.4</v>
      </c>
      <c r="Y140" s="6"/>
      <c r="Z140" s="6">
        <f ca="1">('TUSD BE'!$AM$22+'TUSD BF'!$AM$22+'TUSD CVA'!$AM$22-('TUSD BE'!$P$22+'TUSD BF'!$P$22+'TUSD CVA'!$P$22)-('TUSD BE'!$Q$22+'TUSD BF'!$Q$22+'TUSD CVA'!$Q$22)-('TUSD BE'!$R$22+'TUSD BF'!$R$22+'TUSD CVA'!$R$22))*(1-CUSTOS!$M$35)</f>
        <v>175.8083202535656</v>
      </c>
      <c r="AA140" s="6">
        <f>('TE BE'!$AB$13+'TE BF'!$AB$13+'TE CVA'!$AB$13)*(1-CUSTOS!$M$35)</f>
        <v>140.78625863848896</v>
      </c>
      <c r="AB140" s="6">
        <f t="shared" si="14"/>
        <v>0</v>
      </c>
      <c r="AC140" s="6">
        <f>(L140-M140)*(W140+X140)+($W$163+$X$163-$W$140-$X$140)*(L140)</f>
        <v>6.0878159999999992</v>
      </c>
      <c r="AD140" s="6">
        <f t="shared" si="15"/>
        <v>0</v>
      </c>
      <c r="AE140" s="6">
        <f ca="1">(L140-M140)*(Z140+AA140)+($Z$163+$AA$163-$Z$140-$AA$140)*(L140)</f>
        <v>6.5007420199168529</v>
      </c>
      <c r="AF140" s="4" t="s">
        <v>653</v>
      </c>
    </row>
    <row r="141" spans="1:32" ht="11.25" customHeight="1" x14ac:dyDescent="0.25">
      <c r="A141" s="4" t="s">
        <v>55</v>
      </c>
      <c r="B141" s="4" t="s">
        <v>22</v>
      </c>
      <c r="C141" s="4" t="s">
        <v>23</v>
      </c>
      <c r="D141" s="4" t="s">
        <v>24</v>
      </c>
      <c r="E141" s="4" t="s">
        <v>30</v>
      </c>
      <c r="F141" s="4" t="s">
        <v>25</v>
      </c>
      <c r="G141" s="4" t="s">
        <v>25</v>
      </c>
      <c r="H141" s="4" t="s">
        <v>25</v>
      </c>
      <c r="I141" s="5">
        <v>44743</v>
      </c>
      <c r="J141" s="6">
        <v>0</v>
      </c>
      <c r="K141" s="6">
        <v>0</v>
      </c>
      <c r="L141" s="6">
        <v>101.9</v>
      </c>
      <c r="M141" s="6">
        <v>101.9</v>
      </c>
      <c r="N141" s="6">
        <v>101.9</v>
      </c>
      <c r="O141" s="6">
        <v>101.9</v>
      </c>
      <c r="P141" s="6">
        <v>333</v>
      </c>
      <c r="Q141" s="4" t="s">
        <v>26</v>
      </c>
      <c r="R141" s="4">
        <v>0</v>
      </c>
      <c r="S141" s="4">
        <v>0</v>
      </c>
      <c r="T141" s="4">
        <v>30</v>
      </c>
      <c r="U141" s="4">
        <v>32</v>
      </c>
      <c r="V141" s="6">
        <f>IF(ISERROR(VLOOKUP($S$141,'TAR FIN'!$A$1:$O$86,15,0)),0,VLOOKUP($S$141,'TAR FIN'!$A$1:$O$86,15,0))</f>
        <v>0</v>
      </c>
      <c r="W141" s="6">
        <f>IF(ISERROR(VLOOKUP($T$141,'TAR FIN'!$A$1:$O$86,15,0)),0,VLOOKUP($T$141,'TAR FIN'!$A$1:$O$86,15,0))</f>
        <v>162.08000000000001</v>
      </c>
      <c r="X141" s="6">
        <f>IF(ISERROR(VLOOKUP($U$141,'TAR FIN'!$A$1:$O$86,15,0)),0,VLOOKUP($U$141,'TAR FIN'!$A$1:$O$86,15,0))</f>
        <v>134.4</v>
      </c>
      <c r="Y141" s="6"/>
      <c r="Z141" s="6">
        <f ca="1">('TUSD BE'!$AM$22+'TUSD BF'!$AM$22+'TUSD CVA'!$AM$22-('TUSD BE'!$P$22+'TUSD BF'!$P$22+'TUSD CVA'!$P$22)-('TUSD BE'!$Q$22+'TUSD BF'!$Q$22+'TUSD CVA'!$Q$22)-('TUSD BE'!$R$22+'TUSD BF'!$R$22+'TUSD CVA'!$R$22))*(1-CUSTOS!$M$35)</f>
        <v>175.8083202535656</v>
      </c>
      <c r="AA141" s="6">
        <f>('TE BE'!$AB$13+'TE BF'!$AB$13+'TE CVA'!$AB$13)*(1-CUSTOS!$M$35)</f>
        <v>140.78625863848896</v>
      </c>
      <c r="AB141" s="6">
        <f t="shared" si="14"/>
        <v>0</v>
      </c>
      <c r="AC141" s="6">
        <f>(L141-M141)*(W141+X141)+($W$163+$X$163-$W$141-$X$141)*(L141)</f>
        <v>20141.553999999996</v>
      </c>
      <c r="AD141" s="6">
        <f t="shared" si="15"/>
        <v>0</v>
      </c>
      <c r="AE141" s="6">
        <f ca="1">(L141-M141)*(Z141+AA141)+($Z$163+$AA$163-$Z$141-$AA$141)*(L141)</f>
        <v>21507.325059400242</v>
      </c>
      <c r="AF141" s="4" t="s">
        <v>653</v>
      </c>
    </row>
    <row r="142" spans="1:32" ht="11.25" customHeight="1" x14ac:dyDescent="0.25">
      <c r="A142" s="4" t="s">
        <v>55</v>
      </c>
      <c r="B142" s="4" t="s">
        <v>22</v>
      </c>
      <c r="C142" s="4" t="s">
        <v>23</v>
      </c>
      <c r="D142" s="4" t="s">
        <v>24</v>
      </c>
      <c r="E142" s="4" t="s">
        <v>30</v>
      </c>
      <c r="F142" s="4" t="s">
        <v>25</v>
      </c>
      <c r="G142" s="4" t="s">
        <v>25</v>
      </c>
      <c r="H142" s="4" t="s">
        <v>25</v>
      </c>
      <c r="I142" s="5">
        <v>44743</v>
      </c>
      <c r="J142" s="6">
        <v>0</v>
      </c>
      <c r="K142" s="6">
        <v>0</v>
      </c>
      <c r="L142" s="6">
        <v>1.4E-2</v>
      </c>
      <c r="M142" s="6">
        <v>2.8E-3</v>
      </c>
      <c r="N142" s="6">
        <v>1.4E-2</v>
      </c>
      <c r="O142" s="6">
        <v>2.8E-3</v>
      </c>
      <c r="P142" s="6">
        <v>0</v>
      </c>
      <c r="Q142" s="4" t="s">
        <v>26</v>
      </c>
      <c r="R142" s="4">
        <v>0</v>
      </c>
      <c r="S142" s="4">
        <v>0</v>
      </c>
      <c r="T142" s="4">
        <v>30</v>
      </c>
      <c r="U142" s="4">
        <v>32</v>
      </c>
      <c r="V142" s="6">
        <f>IF(ISERROR(VLOOKUP($S$142,'TAR FIN'!$A$1:$O$86,15,0)),0,VLOOKUP($S$142,'TAR FIN'!$A$1:$O$86,15,0))</f>
        <v>0</v>
      </c>
      <c r="W142" s="6">
        <f>IF(ISERROR(VLOOKUP($T$142,'TAR FIN'!$A$1:$O$86,15,0)),0,VLOOKUP($T$142,'TAR FIN'!$A$1:$O$86,15,0))</f>
        <v>162.08000000000001</v>
      </c>
      <c r="X142" s="6">
        <f>IF(ISERROR(VLOOKUP($U$142,'TAR FIN'!$A$1:$O$86,15,0)),0,VLOOKUP($U$142,'TAR FIN'!$A$1:$O$86,15,0))</f>
        <v>134.4</v>
      </c>
      <c r="Y142" s="6"/>
      <c r="Z142" s="6">
        <f ca="1">('TUSD BE'!$AM$22+'TUSD BF'!$AM$22+'TUSD CVA'!$AM$22-('TUSD BE'!$P$22+'TUSD BF'!$P$22+'TUSD CVA'!$P$22)-('TUSD BE'!$Q$22+'TUSD BF'!$Q$22+'TUSD CVA'!$Q$22)-('TUSD BE'!$R$22+'TUSD BF'!$R$22+'TUSD CVA'!$R$22))*(1-CUSTOS!$M$35)</f>
        <v>175.8083202535656</v>
      </c>
      <c r="AA142" s="6">
        <f>('TE BE'!$AB$13+'TE BF'!$AB$13+'TE CVA'!$AB$13)*(1-CUSTOS!$M$35)</f>
        <v>140.78625863848896</v>
      </c>
      <c r="AB142" s="6">
        <f t="shared" si="14"/>
        <v>0</v>
      </c>
      <c r="AC142" s="6">
        <f>(L142-M142)*(W142+X142)+($W$163+$X$163-$W$142-$X$142)*(L142)</f>
        <v>6.0878159999999992</v>
      </c>
      <c r="AD142" s="6">
        <f t="shared" si="15"/>
        <v>0</v>
      </c>
      <c r="AE142" s="6">
        <f ca="1">(L142-M142)*(Z142+AA142)+($Z$163+$AA$163-$Z$142-$AA$142)*(L142)</f>
        <v>6.5007420199168529</v>
      </c>
      <c r="AF142" s="4" t="s">
        <v>653</v>
      </c>
    </row>
    <row r="143" spans="1:32" ht="11.25" customHeight="1" x14ac:dyDescent="0.25">
      <c r="A143" s="4" t="s">
        <v>21</v>
      </c>
      <c r="B143" s="4" t="s">
        <v>22</v>
      </c>
      <c r="C143" s="4" t="s">
        <v>23</v>
      </c>
      <c r="D143" s="4" t="s">
        <v>24</v>
      </c>
      <c r="E143" s="4" t="s">
        <v>31</v>
      </c>
      <c r="F143" s="4" t="s">
        <v>25</v>
      </c>
      <c r="G143" s="4" t="s">
        <v>25</v>
      </c>
      <c r="H143" s="4" t="s">
        <v>25</v>
      </c>
      <c r="I143" s="5">
        <v>44409</v>
      </c>
      <c r="J143" s="6">
        <v>0</v>
      </c>
      <c r="K143" s="6">
        <v>0</v>
      </c>
      <c r="L143" s="6">
        <v>77.028999999999996</v>
      </c>
      <c r="M143" s="6">
        <v>77.028999999999996</v>
      </c>
      <c r="N143" s="6">
        <v>77.028999999999996</v>
      </c>
      <c r="O143" s="6">
        <v>77.028999999999996</v>
      </c>
      <c r="P143" s="6">
        <v>652</v>
      </c>
      <c r="Q143" s="4" t="s">
        <v>26</v>
      </c>
      <c r="R143" s="4">
        <v>0</v>
      </c>
      <c r="S143" s="4">
        <v>0</v>
      </c>
      <c r="T143" s="4">
        <v>37</v>
      </c>
      <c r="U143" s="4">
        <v>58</v>
      </c>
      <c r="V143" s="6">
        <f>IF(ISERROR(VLOOKUP($S$143,'TAR FIN'!$A$1:$O$86,15,0)),0,VLOOKUP($S$143,'TAR FIN'!$A$1:$O$86,15,0))</f>
        <v>0</v>
      </c>
      <c r="W143" s="6">
        <f>IF(ISERROR(VLOOKUP($T$143,'TAR FIN'!$A$1:$O$86,15,0)),0,VLOOKUP($T$143,'TAR FIN'!$A$1:$O$86,15,0))</f>
        <v>243.12</v>
      </c>
      <c r="X143" s="6">
        <f>IF(ISERROR(VLOOKUP($U$143,'TAR FIN'!$A$1:$O$86,15,0)),0,VLOOKUP($U$143,'TAR FIN'!$A$1:$O$86,15,0))</f>
        <v>201.61</v>
      </c>
      <c r="Y143" s="6"/>
      <c r="Z143" s="6">
        <f ca="1">('TUSD BE'!$AM$23+'TUSD BF'!$AM$23+'TUSD CVA'!$AM$23-('TUSD BE'!$P$23+'TUSD BF'!$P$23+'TUSD CVA'!$P$23)-('TUSD BE'!$Q$23+'TUSD BF'!$Q$23+'TUSD CVA'!$Q$23)-('TUSD BE'!$R$23+'TUSD BF'!$R$23+'TUSD CVA'!$R$23))*(1-CUSTOS!$M$36)</f>
        <v>263.71248038034844</v>
      </c>
      <c r="AA143" s="6">
        <f>('TE BE'!$AB$14+'TE BF'!$AB$14+'TE CVA'!$AB$14)*(1-CUSTOS!$M$36)</f>
        <v>211.17938795773344</v>
      </c>
      <c r="AB143" s="6">
        <f t="shared" si="14"/>
        <v>0</v>
      </c>
      <c r="AC143" s="6">
        <f>(L143-M143)*(W143+X143)+($W$163+$X$163-$W$143-$X$143)*(L143)</f>
        <v>3806.0028899999975</v>
      </c>
      <c r="AD143" s="6">
        <f t="shared" si="15"/>
        <v>0</v>
      </c>
      <c r="AE143" s="6">
        <f ca="1">(L143-M143)*(Z143+AA143)+($Z$163+$AA$163-$Z$143-$AA$143)*(L143)</f>
        <v>4064.4939695793437</v>
      </c>
      <c r="AF143" s="4" t="s">
        <v>653</v>
      </c>
    </row>
    <row r="144" spans="1:32" ht="11.25" customHeight="1" x14ac:dyDescent="0.25">
      <c r="A144" s="4" t="s">
        <v>27</v>
      </c>
      <c r="B144" s="4" t="s">
        <v>22</v>
      </c>
      <c r="C144" s="4" t="s">
        <v>23</v>
      </c>
      <c r="D144" s="4" t="s">
        <v>24</v>
      </c>
      <c r="E144" s="4" t="s">
        <v>31</v>
      </c>
      <c r="F144" s="4" t="s">
        <v>25</v>
      </c>
      <c r="G144" s="4" t="s">
        <v>25</v>
      </c>
      <c r="H144" s="4" t="s">
        <v>25</v>
      </c>
      <c r="I144" s="5">
        <v>44409</v>
      </c>
      <c r="J144" s="6">
        <v>0</v>
      </c>
      <c r="K144" s="6">
        <v>0</v>
      </c>
      <c r="L144" s="6">
        <v>-6.7000000000000004E-2</v>
      </c>
      <c r="M144" s="6">
        <v>-6.7000000000000004E-2</v>
      </c>
      <c r="N144" s="6">
        <v>-6.7000000000000004E-2</v>
      </c>
      <c r="O144" s="6">
        <v>-6.7000000000000004E-2</v>
      </c>
      <c r="P144" s="6">
        <v>0</v>
      </c>
      <c r="Q144" s="4" t="s">
        <v>26</v>
      </c>
      <c r="R144" s="4">
        <v>0</v>
      </c>
      <c r="S144" s="4">
        <v>0</v>
      </c>
      <c r="T144" s="4">
        <v>37</v>
      </c>
      <c r="U144" s="4">
        <v>58</v>
      </c>
      <c r="V144" s="6">
        <f>IF(ISERROR(VLOOKUP($S$144,'TAR FIN'!$A$1:$O$86,15,0)),0,VLOOKUP($S$144,'TAR FIN'!$A$1:$O$86,15,0))</f>
        <v>0</v>
      </c>
      <c r="W144" s="6">
        <f>IF(ISERROR(VLOOKUP($T$144,'TAR FIN'!$A$1:$O$86,15,0)),0,VLOOKUP($T$144,'TAR FIN'!$A$1:$O$86,15,0))</f>
        <v>243.12</v>
      </c>
      <c r="X144" s="6">
        <f>IF(ISERROR(VLOOKUP($U$144,'TAR FIN'!$A$1:$O$86,15,0)),0,VLOOKUP($U$144,'TAR FIN'!$A$1:$O$86,15,0))</f>
        <v>201.61</v>
      </c>
      <c r="Y144" s="6"/>
      <c r="Z144" s="6">
        <f ca="1">('TUSD BE'!$AM$23+'TUSD BF'!$AM$23+'TUSD CVA'!$AM$23-('TUSD BE'!$P$23+'TUSD BF'!$P$23+'TUSD CVA'!$P$23)-('TUSD BE'!$Q$23+'TUSD BF'!$Q$23+'TUSD CVA'!$Q$23)-('TUSD BE'!$R$23+'TUSD BF'!$R$23+'TUSD CVA'!$R$23))*(1-CUSTOS!$M$36)</f>
        <v>263.71248038034844</v>
      </c>
      <c r="AA144" s="6">
        <f>('TE BE'!$AB$14+'TE BF'!$AB$14+'TE CVA'!$AB$14)*(1-CUSTOS!$M$36)</f>
        <v>211.17938795773344</v>
      </c>
      <c r="AB144" s="6">
        <f t="shared" si="14"/>
        <v>0</v>
      </c>
      <c r="AC144" s="6">
        <f>(L144-M144)*(W144+X144)+($W$163+$X$163-$W$144-$X$144)*(L144)</f>
        <v>-3.3104699999999982</v>
      </c>
      <c r="AD144" s="6">
        <f t="shared" si="15"/>
        <v>0</v>
      </c>
      <c r="AE144" s="6">
        <f ca="1">(L144-M144)*(Z144+AA144)+($Z$163+$AA$163-$Z$144-$AA$144)*(L144)</f>
        <v>-3.535306130961275</v>
      </c>
      <c r="AF144" s="4" t="s">
        <v>653</v>
      </c>
    </row>
    <row r="145" spans="1:32" ht="11.25" customHeight="1" x14ac:dyDescent="0.25">
      <c r="A145" s="4" t="s">
        <v>21</v>
      </c>
      <c r="B145" s="4" t="s">
        <v>22</v>
      </c>
      <c r="C145" s="4" t="s">
        <v>23</v>
      </c>
      <c r="D145" s="4" t="s">
        <v>24</v>
      </c>
      <c r="E145" s="4" t="s">
        <v>31</v>
      </c>
      <c r="F145" s="4" t="s">
        <v>25</v>
      </c>
      <c r="G145" s="4" t="s">
        <v>25</v>
      </c>
      <c r="H145" s="4" t="s">
        <v>25</v>
      </c>
      <c r="I145" s="5">
        <v>44440</v>
      </c>
      <c r="J145" s="6">
        <v>0</v>
      </c>
      <c r="K145" s="6">
        <v>0</v>
      </c>
      <c r="L145" s="6">
        <v>85.152000000000001</v>
      </c>
      <c r="M145" s="6">
        <v>85.152000000000001</v>
      </c>
      <c r="N145" s="6">
        <v>85.152000000000001</v>
      </c>
      <c r="O145" s="6">
        <v>85.152000000000001</v>
      </c>
      <c r="P145" s="6">
        <v>652</v>
      </c>
      <c r="Q145" s="4" t="s">
        <v>26</v>
      </c>
      <c r="R145" s="4">
        <v>0</v>
      </c>
      <c r="S145" s="4">
        <v>0</v>
      </c>
      <c r="T145" s="4">
        <v>37</v>
      </c>
      <c r="U145" s="4">
        <v>58</v>
      </c>
      <c r="V145" s="6">
        <f>IF(ISERROR(VLOOKUP($S$145,'TAR FIN'!$A$1:$O$86,15,0)),0,VLOOKUP($S$145,'TAR FIN'!$A$1:$O$86,15,0))</f>
        <v>0</v>
      </c>
      <c r="W145" s="6">
        <f>IF(ISERROR(VLOOKUP($T$145,'TAR FIN'!$A$1:$O$86,15,0)),0,VLOOKUP($T$145,'TAR FIN'!$A$1:$O$86,15,0))</f>
        <v>243.12</v>
      </c>
      <c r="X145" s="6">
        <f>IF(ISERROR(VLOOKUP($U$145,'TAR FIN'!$A$1:$O$86,15,0)),0,VLOOKUP($U$145,'TAR FIN'!$A$1:$O$86,15,0))</f>
        <v>201.61</v>
      </c>
      <c r="Y145" s="6"/>
      <c r="Z145" s="6">
        <f ca="1">('TUSD BE'!$AM$23+'TUSD BF'!$AM$23+'TUSD CVA'!$AM$23-('TUSD BE'!$P$23+'TUSD BF'!$P$23+'TUSD CVA'!$P$23)-('TUSD BE'!$Q$23+'TUSD BF'!$Q$23+'TUSD CVA'!$Q$23)-('TUSD BE'!$R$23+'TUSD BF'!$R$23+'TUSD CVA'!$R$23))*(1-CUSTOS!$M$36)</f>
        <v>263.71248038034844</v>
      </c>
      <c r="AA145" s="6">
        <f>('TE BE'!$AB$14+'TE BF'!$AB$14+'TE CVA'!$AB$14)*(1-CUSTOS!$M$36)</f>
        <v>211.17938795773344</v>
      </c>
      <c r="AB145" s="6">
        <f t="shared" si="14"/>
        <v>0</v>
      </c>
      <c r="AC145" s="6">
        <f>(L145-M145)*(W145+X145)+($W$163+$X$163-$W$145-$X$145)*(L145)</f>
        <v>4207.360319999997</v>
      </c>
      <c r="AD145" s="6">
        <f t="shared" si="15"/>
        <v>0</v>
      </c>
      <c r="AE145" s="6">
        <f ca="1">(L145-M145)*(Z145+AA145)+($Z$163+$AA$163-$Z$145-$AA$145)*(L145)</f>
        <v>4493.1102636360374</v>
      </c>
      <c r="AF145" s="4" t="s">
        <v>653</v>
      </c>
    </row>
    <row r="146" spans="1:32" ht="11.25" customHeight="1" x14ac:dyDescent="0.25">
      <c r="A146" s="4" t="s">
        <v>27</v>
      </c>
      <c r="B146" s="4" t="s">
        <v>22</v>
      </c>
      <c r="C146" s="4" t="s">
        <v>23</v>
      </c>
      <c r="D146" s="4" t="s">
        <v>24</v>
      </c>
      <c r="E146" s="4" t="s">
        <v>31</v>
      </c>
      <c r="F146" s="4" t="s">
        <v>25</v>
      </c>
      <c r="G146" s="4" t="s">
        <v>25</v>
      </c>
      <c r="H146" s="4" t="s">
        <v>25</v>
      </c>
      <c r="I146" s="5">
        <v>44440</v>
      </c>
      <c r="J146" s="6">
        <v>0</v>
      </c>
      <c r="K146" s="6">
        <v>0</v>
      </c>
      <c r="L146" s="6">
        <v>-8.5000000000000006E-2</v>
      </c>
      <c r="M146" s="6">
        <v>-8.5000000000000006E-2</v>
      </c>
      <c r="N146" s="6">
        <v>-8.5000000000000006E-2</v>
      </c>
      <c r="O146" s="6">
        <v>-8.5000000000000006E-2</v>
      </c>
      <c r="P146" s="6">
        <v>0</v>
      </c>
      <c r="Q146" s="4" t="s">
        <v>26</v>
      </c>
      <c r="R146" s="4">
        <v>0</v>
      </c>
      <c r="S146" s="4">
        <v>0</v>
      </c>
      <c r="T146" s="4">
        <v>37</v>
      </c>
      <c r="U146" s="4">
        <v>58</v>
      </c>
      <c r="V146" s="6">
        <f>IF(ISERROR(VLOOKUP($S$146,'TAR FIN'!$A$1:$O$86,15,0)),0,VLOOKUP($S$146,'TAR FIN'!$A$1:$O$86,15,0))</f>
        <v>0</v>
      </c>
      <c r="W146" s="6">
        <f>IF(ISERROR(VLOOKUP($T$146,'TAR FIN'!$A$1:$O$86,15,0)),0,VLOOKUP($T$146,'TAR FIN'!$A$1:$O$86,15,0))</f>
        <v>243.12</v>
      </c>
      <c r="X146" s="6">
        <f>IF(ISERROR(VLOOKUP($U$146,'TAR FIN'!$A$1:$O$86,15,0)),0,VLOOKUP($U$146,'TAR FIN'!$A$1:$O$86,15,0))</f>
        <v>201.61</v>
      </c>
      <c r="Y146" s="6"/>
      <c r="Z146" s="6">
        <f ca="1">('TUSD BE'!$AM$23+'TUSD BF'!$AM$23+'TUSD CVA'!$AM$23-('TUSD BE'!$P$23+'TUSD BF'!$P$23+'TUSD CVA'!$P$23)-('TUSD BE'!$Q$23+'TUSD BF'!$Q$23+'TUSD CVA'!$Q$23)-('TUSD BE'!$R$23+'TUSD BF'!$R$23+'TUSD CVA'!$R$23))*(1-CUSTOS!$M$36)</f>
        <v>263.71248038034844</v>
      </c>
      <c r="AA146" s="6">
        <f>('TE BE'!$AB$14+'TE BF'!$AB$14+'TE CVA'!$AB$14)*(1-CUSTOS!$M$36)</f>
        <v>211.17938795773344</v>
      </c>
      <c r="AB146" s="6">
        <f t="shared" si="14"/>
        <v>0</v>
      </c>
      <c r="AC146" s="6">
        <f>(L146-M146)*(W146+X146)+($W$163+$X$163-$W$146-$X$146)*(L146)</f>
        <v>-4.1998499999999979</v>
      </c>
      <c r="AD146" s="6">
        <f t="shared" si="15"/>
        <v>0</v>
      </c>
      <c r="AE146" s="6">
        <f ca="1">(L146-M146)*(Z146+AA146)+($Z$163+$AA$163-$Z$146-$AA$146)*(L146)</f>
        <v>-4.4850898676374387</v>
      </c>
      <c r="AF146" s="4" t="s">
        <v>653</v>
      </c>
    </row>
    <row r="147" spans="1:32" ht="11.25" customHeight="1" x14ac:dyDescent="0.25">
      <c r="A147" s="4" t="s">
        <v>21</v>
      </c>
      <c r="B147" s="4" t="s">
        <v>22</v>
      </c>
      <c r="C147" s="4" t="s">
        <v>23</v>
      </c>
      <c r="D147" s="4" t="s">
        <v>24</v>
      </c>
      <c r="E147" s="4" t="s">
        <v>31</v>
      </c>
      <c r="F147" s="4" t="s">
        <v>25</v>
      </c>
      <c r="G147" s="4" t="s">
        <v>25</v>
      </c>
      <c r="H147" s="4" t="s">
        <v>25</v>
      </c>
      <c r="I147" s="5">
        <v>44470</v>
      </c>
      <c r="J147" s="6">
        <v>0</v>
      </c>
      <c r="K147" s="6">
        <v>0</v>
      </c>
      <c r="L147" s="6">
        <v>79.515000000000001</v>
      </c>
      <c r="M147" s="6">
        <v>79.515000000000001</v>
      </c>
      <c r="N147" s="6">
        <v>79.515000000000001</v>
      </c>
      <c r="O147" s="6">
        <v>79.515000000000001</v>
      </c>
      <c r="P147" s="6">
        <v>705</v>
      </c>
      <c r="Q147" s="4" t="s">
        <v>26</v>
      </c>
      <c r="R147" s="4">
        <v>0</v>
      </c>
      <c r="S147" s="4">
        <v>0</v>
      </c>
      <c r="T147" s="4">
        <v>37</v>
      </c>
      <c r="U147" s="4">
        <v>58</v>
      </c>
      <c r="V147" s="6">
        <f>IF(ISERROR(VLOOKUP($S$147,'TAR FIN'!$A$1:$O$86,15,0)),0,VLOOKUP($S$147,'TAR FIN'!$A$1:$O$86,15,0))</f>
        <v>0</v>
      </c>
      <c r="W147" s="6">
        <f>IF(ISERROR(VLOOKUP($T$147,'TAR FIN'!$A$1:$O$86,15,0)),0,VLOOKUP($T$147,'TAR FIN'!$A$1:$O$86,15,0))</f>
        <v>243.12</v>
      </c>
      <c r="X147" s="6">
        <f>IF(ISERROR(VLOOKUP($U$147,'TAR FIN'!$A$1:$O$86,15,0)),0,VLOOKUP($U$147,'TAR FIN'!$A$1:$O$86,15,0))</f>
        <v>201.61</v>
      </c>
      <c r="Y147" s="6"/>
      <c r="Z147" s="6">
        <f ca="1">('TUSD BE'!$AM$23+'TUSD BF'!$AM$23+'TUSD CVA'!$AM$23-('TUSD BE'!$P$23+'TUSD BF'!$P$23+'TUSD CVA'!$P$23)-('TUSD BE'!$Q$23+'TUSD BF'!$Q$23+'TUSD CVA'!$Q$23)-('TUSD BE'!$R$23+'TUSD BF'!$R$23+'TUSD CVA'!$R$23))*(1-CUSTOS!$M$36)</f>
        <v>263.71248038034844</v>
      </c>
      <c r="AA147" s="6">
        <f>('TE BE'!$AB$14+'TE BF'!$AB$14+'TE CVA'!$AB$14)*(1-CUSTOS!$M$36)</f>
        <v>211.17938795773344</v>
      </c>
      <c r="AB147" s="6">
        <f t="shared" si="14"/>
        <v>0</v>
      </c>
      <c r="AC147" s="6">
        <f>(L147-M147)*(W147+X147)+($W$163+$X$163-$W$147-$X$147)*(L147)</f>
        <v>3928.8361499999974</v>
      </c>
      <c r="AD147" s="6">
        <f t="shared" si="15"/>
        <v>0</v>
      </c>
      <c r="AE147" s="6">
        <f ca="1">(L147-M147)*(Z147+AA147)+($Z$163+$AA$163-$Z$147-$AA$147)*(L147)</f>
        <v>4195.6696567669524</v>
      </c>
      <c r="AF147" s="4" t="s">
        <v>653</v>
      </c>
    </row>
    <row r="148" spans="1:32" ht="11.25" customHeight="1" x14ac:dyDescent="0.25">
      <c r="A148" s="4" t="s">
        <v>27</v>
      </c>
      <c r="B148" s="4" t="s">
        <v>22</v>
      </c>
      <c r="C148" s="4" t="s">
        <v>23</v>
      </c>
      <c r="D148" s="4" t="s">
        <v>24</v>
      </c>
      <c r="E148" s="4" t="s">
        <v>31</v>
      </c>
      <c r="F148" s="4" t="s">
        <v>25</v>
      </c>
      <c r="G148" s="4" t="s">
        <v>25</v>
      </c>
      <c r="H148" s="4" t="s">
        <v>25</v>
      </c>
      <c r="I148" s="5">
        <v>44470</v>
      </c>
      <c r="J148" s="6">
        <v>0</v>
      </c>
      <c r="K148" s="6">
        <v>0</v>
      </c>
      <c r="L148" s="6">
        <v>-1.9E-2</v>
      </c>
      <c r="M148" s="6">
        <v>-1.9E-2</v>
      </c>
      <c r="N148" s="6">
        <v>-1.9E-2</v>
      </c>
      <c r="O148" s="6">
        <v>-1.9E-2</v>
      </c>
      <c r="P148" s="6">
        <v>0</v>
      </c>
      <c r="Q148" s="4" t="s">
        <v>26</v>
      </c>
      <c r="R148" s="4">
        <v>0</v>
      </c>
      <c r="S148" s="4">
        <v>0</v>
      </c>
      <c r="T148" s="4">
        <v>37</v>
      </c>
      <c r="U148" s="4">
        <v>58</v>
      </c>
      <c r="V148" s="6">
        <f>IF(ISERROR(VLOOKUP($S$148,'TAR FIN'!$A$1:$O$86,15,0)),0,VLOOKUP($S$148,'TAR FIN'!$A$1:$O$86,15,0))</f>
        <v>0</v>
      </c>
      <c r="W148" s="6">
        <f>IF(ISERROR(VLOOKUP($T$148,'TAR FIN'!$A$1:$O$86,15,0)),0,VLOOKUP($T$148,'TAR FIN'!$A$1:$O$86,15,0))</f>
        <v>243.12</v>
      </c>
      <c r="X148" s="6">
        <f>IF(ISERROR(VLOOKUP($U$148,'TAR FIN'!$A$1:$O$86,15,0)),0,VLOOKUP($U$148,'TAR FIN'!$A$1:$O$86,15,0))</f>
        <v>201.61</v>
      </c>
      <c r="Y148" s="6"/>
      <c r="Z148" s="6">
        <f ca="1">('TUSD BE'!$AM$23+'TUSD BF'!$AM$23+'TUSD CVA'!$AM$23-('TUSD BE'!$P$23+'TUSD BF'!$P$23+'TUSD CVA'!$P$23)-('TUSD BE'!$Q$23+'TUSD BF'!$Q$23+'TUSD CVA'!$Q$23)-('TUSD BE'!$R$23+'TUSD BF'!$R$23+'TUSD CVA'!$R$23))*(1-CUSTOS!$M$36)</f>
        <v>263.71248038034844</v>
      </c>
      <c r="AA148" s="6">
        <f>('TE BE'!$AB$14+'TE BF'!$AB$14+'TE CVA'!$AB$14)*(1-CUSTOS!$M$36)</f>
        <v>211.17938795773344</v>
      </c>
      <c r="AB148" s="6">
        <f t="shared" si="14"/>
        <v>0</v>
      </c>
      <c r="AC148" s="6">
        <f>(L148-M148)*(W148+X148)+($W$163+$X$163-$W$148-$X$148)*(L148)</f>
        <v>-0.93878999999999935</v>
      </c>
      <c r="AD148" s="6">
        <f t="shared" si="15"/>
        <v>0</v>
      </c>
      <c r="AE148" s="6">
        <f ca="1">(L148-M148)*(Z148+AA148)+($Z$163+$AA$163-$Z$148-$AA$148)*(L148)</f>
        <v>-1.0025494998248392</v>
      </c>
      <c r="AF148" s="4" t="s">
        <v>653</v>
      </c>
    </row>
    <row r="149" spans="1:32" ht="11.25" customHeight="1" x14ac:dyDescent="0.25">
      <c r="A149" s="4" t="s">
        <v>21</v>
      </c>
      <c r="B149" s="4" t="s">
        <v>22</v>
      </c>
      <c r="C149" s="4" t="s">
        <v>23</v>
      </c>
      <c r="D149" s="4" t="s">
        <v>24</v>
      </c>
      <c r="E149" s="4" t="s">
        <v>31</v>
      </c>
      <c r="F149" s="4" t="s">
        <v>25</v>
      </c>
      <c r="G149" s="4" t="s">
        <v>25</v>
      </c>
      <c r="H149" s="4" t="s">
        <v>25</v>
      </c>
      <c r="I149" s="5">
        <v>44501</v>
      </c>
      <c r="J149" s="6">
        <v>0</v>
      </c>
      <c r="K149" s="6">
        <v>0</v>
      </c>
      <c r="L149" s="6">
        <v>82.828000000000003</v>
      </c>
      <c r="M149" s="6">
        <v>82.828000000000003</v>
      </c>
      <c r="N149" s="6">
        <v>82.828000000000003</v>
      </c>
      <c r="O149" s="6">
        <v>82.828000000000003</v>
      </c>
      <c r="P149" s="6">
        <v>702</v>
      </c>
      <c r="Q149" s="4" t="s">
        <v>26</v>
      </c>
      <c r="R149" s="4">
        <v>0</v>
      </c>
      <c r="S149" s="4">
        <v>0</v>
      </c>
      <c r="T149" s="4">
        <v>37</v>
      </c>
      <c r="U149" s="4">
        <v>58</v>
      </c>
      <c r="V149" s="6">
        <f>IF(ISERROR(VLOOKUP($S$149,'TAR FIN'!$A$1:$O$86,15,0)),0,VLOOKUP($S$149,'TAR FIN'!$A$1:$O$86,15,0))</f>
        <v>0</v>
      </c>
      <c r="W149" s="6">
        <f>IF(ISERROR(VLOOKUP($T$149,'TAR FIN'!$A$1:$O$86,15,0)),0,VLOOKUP($T$149,'TAR FIN'!$A$1:$O$86,15,0))</f>
        <v>243.12</v>
      </c>
      <c r="X149" s="6">
        <f>IF(ISERROR(VLOOKUP($U$149,'TAR FIN'!$A$1:$O$86,15,0)),0,VLOOKUP($U$149,'TAR FIN'!$A$1:$O$86,15,0))</f>
        <v>201.61</v>
      </c>
      <c r="Y149" s="6"/>
      <c r="Z149" s="6">
        <f ca="1">('TUSD BE'!$AM$23+'TUSD BF'!$AM$23+'TUSD CVA'!$AM$23-('TUSD BE'!$P$23+'TUSD BF'!$P$23+'TUSD CVA'!$P$23)-('TUSD BE'!$Q$23+'TUSD BF'!$Q$23+'TUSD CVA'!$Q$23)-('TUSD BE'!$R$23+'TUSD BF'!$R$23+'TUSD CVA'!$R$23))*(1-CUSTOS!$M$36)</f>
        <v>263.71248038034844</v>
      </c>
      <c r="AA149" s="6">
        <f>('TE BE'!$AB$14+'TE BF'!$AB$14+'TE CVA'!$AB$14)*(1-CUSTOS!$M$36)</f>
        <v>211.17938795773344</v>
      </c>
      <c r="AB149" s="6">
        <f t="shared" si="14"/>
        <v>0</v>
      </c>
      <c r="AC149" s="6">
        <f>(L149-M149)*(W149+X149)+($W$163+$X$163-$W$149-$X$149)*(L149)</f>
        <v>4092.5314799999974</v>
      </c>
      <c r="AD149" s="6">
        <f t="shared" si="15"/>
        <v>0</v>
      </c>
      <c r="AE149" s="6">
        <f ca="1">(L149-M149)*(Z149+AA149)+($Z$163+$AA$163-$Z$149-$AA$149)*(L149)</f>
        <v>4370.4826300785144</v>
      </c>
      <c r="AF149" s="4" t="s">
        <v>653</v>
      </c>
    </row>
    <row r="150" spans="1:32" ht="11.25" customHeight="1" x14ac:dyDescent="0.25">
      <c r="A150" s="4" t="s">
        <v>27</v>
      </c>
      <c r="B150" s="4" t="s">
        <v>22</v>
      </c>
      <c r="C150" s="4" t="s">
        <v>23</v>
      </c>
      <c r="D150" s="4" t="s">
        <v>24</v>
      </c>
      <c r="E150" s="4" t="s">
        <v>31</v>
      </c>
      <c r="F150" s="4" t="s">
        <v>25</v>
      </c>
      <c r="G150" s="4" t="s">
        <v>25</v>
      </c>
      <c r="H150" s="4" t="s">
        <v>25</v>
      </c>
      <c r="I150" s="5">
        <v>44501</v>
      </c>
      <c r="J150" s="6">
        <v>0</v>
      </c>
      <c r="K150" s="6">
        <v>0</v>
      </c>
      <c r="L150" s="6">
        <v>-0.11</v>
      </c>
      <c r="M150" s="6">
        <v>-0.11</v>
      </c>
      <c r="N150" s="6">
        <v>-0.11</v>
      </c>
      <c r="O150" s="6">
        <v>-0.11</v>
      </c>
      <c r="P150" s="6">
        <v>0</v>
      </c>
      <c r="Q150" s="4" t="s">
        <v>26</v>
      </c>
      <c r="R150" s="4">
        <v>0</v>
      </c>
      <c r="S150" s="4">
        <v>0</v>
      </c>
      <c r="T150" s="4">
        <v>37</v>
      </c>
      <c r="U150" s="4">
        <v>58</v>
      </c>
      <c r="V150" s="6">
        <f>IF(ISERROR(VLOOKUP($S$150,'TAR FIN'!$A$1:$O$86,15,0)),0,VLOOKUP($S$150,'TAR FIN'!$A$1:$O$86,15,0))</f>
        <v>0</v>
      </c>
      <c r="W150" s="6">
        <f>IF(ISERROR(VLOOKUP($T$150,'TAR FIN'!$A$1:$O$86,15,0)),0,VLOOKUP($T$150,'TAR FIN'!$A$1:$O$86,15,0))</f>
        <v>243.12</v>
      </c>
      <c r="X150" s="6">
        <f>IF(ISERROR(VLOOKUP($U$150,'TAR FIN'!$A$1:$O$86,15,0)),0,VLOOKUP($U$150,'TAR FIN'!$A$1:$O$86,15,0))</f>
        <v>201.61</v>
      </c>
      <c r="Y150" s="6"/>
      <c r="Z150" s="6">
        <f ca="1">('TUSD BE'!$AM$23+'TUSD BF'!$AM$23+'TUSD CVA'!$AM$23-('TUSD BE'!$P$23+'TUSD BF'!$P$23+'TUSD CVA'!$P$23)-('TUSD BE'!$Q$23+'TUSD BF'!$Q$23+'TUSD CVA'!$Q$23)-('TUSD BE'!$R$23+'TUSD BF'!$R$23+'TUSD CVA'!$R$23))*(1-CUSTOS!$M$36)</f>
        <v>263.71248038034844</v>
      </c>
      <c r="AA150" s="6">
        <f>('TE BE'!$AB$14+'TE BF'!$AB$14+'TE CVA'!$AB$14)*(1-CUSTOS!$M$36)</f>
        <v>211.17938795773344</v>
      </c>
      <c r="AB150" s="6">
        <f t="shared" si="14"/>
        <v>0</v>
      </c>
      <c r="AC150" s="6">
        <f>(L150-M150)*(W150+X150)+($W$163+$X$163-$W$150-$X$150)*(L150)</f>
        <v>-5.4350999999999967</v>
      </c>
      <c r="AD150" s="6">
        <f t="shared" si="15"/>
        <v>0</v>
      </c>
      <c r="AE150" s="6">
        <f ca="1">(L150-M150)*(Z150+AA150)+($Z$163+$AA$163-$Z$150-$AA$150)*(L150)</f>
        <v>-5.8042339463543318</v>
      </c>
      <c r="AF150" s="4" t="s">
        <v>653</v>
      </c>
    </row>
    <row r="151" spans="1:32" ht="11.25" customHeight="1" x14ac:dyDescent="0.25">
      <c r="A151" s="4" t="s">
        <v>21</v>
      </c>
      <c r="B151" s="4" t="s">
        <v>22</v>
      </c>
      <c r="C151" s="4" t="s">
        <v>23</v>
      </c>
      <c r="D151" s="4" t="s">
        <v>24</v>
      </c>
      <c r="E151" s="4" t="s">
        <v>31</v>
      </c>
      <c r="F151" s="4" t="s">
        <v>25</v>
      </c>
      <c r="G151" s="4" t="s">
        <v>25</v>
      </c>
      <c r="H151" s="4" t="s">
        <v>25</v>
      </c>
      <c r="I151" s="5">
        <v>44531</v>
      </c>
      <c r="J151" s="6">
        <v>0</v>
      </c>
      <c r="K151" s="6">
        <v>0</v>
      </c>
      <c r="L151" s="6">
        <v>82.319000000000003</v>
      </c>
      <c r="M151" s="6">
        <v>82.319000000000003</v>
      </c>
      <c r="N151" s="6">
        <v>82.319000000000003</v>
      </c>
      <c r="O151" s="6">
        <v>82.319000000000003</v>
      </c>
      <c r="P151" s="6">
        <v>726</v>
      </c>
      <c r="Q151" s="4" t="s">
        <v>26</v>
      </c>
      <c r="R151" s="4">
        <v>0</v>
      </c>
      <c r="S151" s="4">
        <v>0</v>
      </c>
      <c r="T151" s="4">
        <v>37</v>
      </c>
      <c r="U151" s="4">
        <v>58</v>
      </c>
      <c r="V151" s="6">
        <f>IF(ISERROR(VLOOKUP($S$151,'TAR FIN'!$A$1:$O$86,15,0)),0,VLOOKUP($S$151,'TAR FIN'!$A$1:$O$86,15,0))</f>
        <v>0</v>
      </c>
      <c r="W151" s="6">
        <f>IF(ISERROR(VLOOKUP($T$151,'TAR FIN'!$A$1:$O$86,15,0)),0,VLOOKUP($T$151,'TAR FIN'!$A$1:$O$86,15,0))</f>
        <v>243.12</v>
      </c>
      <c r="X151" s="6">
        <f>IF(ISERROR(VLOOKUP($U$151,'TAR FIN'!$A$1:$O$86,15,0)),0,VLOOKUP($U$151,'TAR FIN'!$A$1:$O$86,15,0))</f>
        <v>201.61</v>
      </c>
      <c r="Y151" s="6"/>
      <c r="Z151" s="6">
        <f ca="1">('TUSD BE'!$AM$23+'TUSD BF'!$AM$23+'TUSD CVA'!$AM$23-('TUSD BE'!$P$23+'TUSD BF'!$P$23+'TUSD CVA'!$P$23)-('TUSD BE'!$Q$23+'TUSD BF'!$Q$23+'TUSD CVA'!$Q$23)-('TUSD BE'!$R$23+'TUSD BF'!$R$23+'TUSD CVA'!$R$23))*(1-CUSTOS!$M$36)</f>
        <v>263.71248038034844</v>
      </c>
      <c r="AA151" s="6">
        <f>('TE BE'!$AB$14+'TE BF'!$AB$14+'TE CVA'!$AB$14)*(1-CUSTOS!$M$36)</f>
        <v>211.17938795773344</v>
      </c>
      <c r="AB151" s="6">
        <f t="shared" si="14"/>
        <v>0</v>
      </c>
      <c r="AC151" s="6">
        <f>(L151-M151)*(W151+X151)+($W$163+$X$163-$W$151-$X$151)*(L151)</f>
        <v>4067.3817899999976</v>
      </c>
      <c r="AD151" s="6">
        <f t="shared" si="15"/>
        <v>0</v>
      </c>
      <c r="AE151" s="6">
        <f ca="1">(L151-M151)*(Z151+AA151)+($Z$163+$AA$163-$Z$151-$AA$151)*(L151)</f>
        <v>4343.624856635839</v>
      </c>
      <c r="AF151" s="4" t="s">
        <v>653</v>
      </c>
    </row>
    <row r="152" spans="1:32" ht="11.25" customHeight="1" x14ac:dyDescent="0.25">
      <c r="A152" s="4" t="s">
        <v>27</v>
      </c>
      <c r="B152" s="4" t="s">
        <v>22</v>
      </c>
      <c r="C152" s="4" t="s">
        <v>23</v>
      </c>
      <c r="D152" s="4" t="s">
        <v>24</v>
      </c>
      <c r="E152" s="4" t="s">
        <v>31</v>
      </c>
      <c r="F152" s="4" t="s">
        <v>25</v>
      </c>
      <c r="G152" s="4" t="s">
        <v>25</v>
      </c>
      <c r="H152" s="4" t="s">
        <v>25</v>
      </c>
      <c r="I152" s="5">
        <v>44531</v>
      </c>
      <c r="J152" s="6">
        <v>0</v>
      </c>
      <c r="K152" s="6">
        <v>0</v>
      </c>
      <c r="L152" s="6">
        <v>-5.8000000000000003E-2</v>
      </c>
      <c r="M152" s="6">
        <v>-5.8000000000000003E-2</v>
      </c>
      <c r="N152" s="6">
        <v>-5.8000000000000003E-2</v>
      </c>
      <c r="O152" s="6">
        <v>-5.8000000000000003E-2</v>
      </c>
      <c r="P152" s="6">
        <v>0</v>
      </c>
      <c r="Q152" s="4" t="s">
        <v>26</v>
      </c>
      <c r="R152" s="4">
        <v>0</v>
      </c>
      <c r="S152" s="4">
        <v>0</v>
      </c>
      <c r="T152" s="4">
        <v>37</v>
      </c>
      <c r="U152" s="4">
        <v>58</v>
      </c>
      <c r="V152" s="6">
        <f>IF(ISERROR(VLOOKUP($S$152,'TAR FIN'!$A$1:$O$86,15,0)),0,VLOOKUP($S$152,'TAR FIN'!$A$1:$O$86,15,0))</f>
        <v>0</v>
      </c>
      <c r="W152" s="6">
        <f>IF(ISERROR(VLOOKUP($T$152,'TAR FIN'!$A$1:$O$86,15,0)),0,VLOOKUP($T$152,'TAR FIN'!$A$1:$O$86,15,0))</f>
        <v>243.12</v>
      </c>
      <c r="X152" s="6">
        <f>IF(ISERROR(VLOOKUP($U$152,'TAR FIN'!$A$1:$O$86,15,0)),0,VLOOKUP($U$152,'TAR FIN'!$A$1:$O$86,15,0))</f>
        <v>201.61</v>
      </c>
      <c r="Y152" s="6"/>
      <c r="Z152" s="6">
        <f ca="1">('TUSD BE'!$AM$23+'TUSD BF'!$AM$23+'TUSD CVA'!$AM$23-('TUSD BE'!$P$23+'TUSD BF'!$P$23+'TUSD CVA'!$P$23)-('TUSD BE'!$Q$23+'TUSD BF'!$Q$23+'TUSD CVA'!$Q$23)-('TUSD BE'!$R$23+'TUSD BF'!$R$23+'TUSD CVA'!$R$23))*(1-CUSTOS!$M$36)</f>
        <v>263.71248038034844</v>
      </c>
      <c r="AA152" s="6">
        <f>('TE BE'!$AB$14+'TE BF'!$AB$14+'TE CVA'!$AB$14)*(1-CUSTOS!$M$36)</f>
        <v>211.17938795773344</v>
      </c>
      <c r="AB152" s="6">
        <f t="shared" si="14"/>
        <v>0</v>
      </c>
      <c r="AC152" s="6">
        <f>(L152-M152)*(W152+X152)+($W$163+$X$163-$W$152-$X$152)*(L152)</f>
        <v>-2.8657799999999982</v>
      </c>
      <c r="AD152" s="6">
        <f t="shared" si="15"/>
        <v>0</v>
      </c>
      <c r="AE152" s="6">
        <f ca="1">(L152-M152)*(Z152+AA152)+($Z$163+$AA$163-$Z$152-$AA$152)*(L152)</f>
        <v>-3.0604142626231932</v>
      </c>
      <c r="AF152" s="4" t="s">
        <v>653</v>
      </c>
    </row>
    <row r="153" spans="1:32" ht="11.25" customHeight="1" x14ac:dyDescent="0.25">
      <c r="A153" s="4" t="s">
        <v>21</v>
      </c>
      <c r="B153" s="4" t="s">
        <v>22</v>
      </c>
      <c r="C153" s="4" t="s">
        <v>23</v>
      </c>
      <c r="D153" s="4" t="s">
        <v>24</v>
      </c>
      <c r="E153" s="4" t="s">
        <v>31</v>
      </c>
      <c r="F153" s="4" t="s">
        <v>25</v>
      </c>
      <c r="G153" s="4" t="s">
        <v>25</v>
      </c>
      <c r="H153" s="4" t="s">
        <v>25</v>
      </c>
      <c r="I153" s="5">
        <v>44562</v>
      </c>
      <c r="J153" s="6">
        <v>0</v>
      </c>
      <c r="K153" s="6">
        <v>0</v>
      </c>
      <c r="L153" s="6">
        <v>104.45399999999999</v>
      </c>
      <c r="M153" s="6">
        <v>104.45399999999999</v>
      </c>
      <c r="N153" s="6">
        <v>104.45399999999999</v>
      </c>
      <c r="O153" s="6">
        <v>104.45399999999999</v>
      </c>
      <c r="P153" s="6">
        <v>616</v>
      </c>
      <c r="Q153" s="4" t="s">
        <v>26</v>
      </c>
      <c r="R153" s="4">
        <v>0</v>
      </c>
      <c r="S153" s="4">
        <v>0</v>
      </c>
      <c r="T153" s="4">
        <v>37</v>
      </c>
      <c r="U153" s="4">
        <v>58</v>
      </c>
      <c r="V153" s="6">
        <f>IF(ISERROR(VLOOKUP($S$153,'TAR FIN'!$A$1:$O$86,15,0)),0,VLOOKUP($S$153,'TAR FIN'!$A$1:$O$86,15,0))</f>
        <v>0</v>
      </c>
      <c r="W153" s="6">
        <f>IF(ISERROR(VLOOKUP($T$153,'TAR FIN'!$A$1:$O$86,15,0)),0,VLOOKUP($T$153,'TAR FIN'!$A$1:$O$86,15,0))</f>
        <v>243.12</v>
      </c>
      <c r="X153" s="6">
        <f>IF(ISERROR(VLOOKUP($U$153,'TAR FIN'!$A$1:$O$86,15,0)),0,VLOOKUP($U$153,'TAR FIN'!$A$1:$O$86,15,0))</f>
        <v>201.61</v>
      </c>
      <c r="Y153" s="6"/>
      <c r="Z153" s="6">
        <f ca="1">('TUSD BE'!$AM$23+'TUSD BF'!$AM$23+'TUSD CVA'!$AM$23-('TUSD BE'!$P$23+'TUSD BF'!$P$23+'TUSD CVA'!$P$23)-('TUSD BE'!$Q$23+'TUSD BF'!$Q$23+'TUSD CVA'!$Q$23)-('TUSD BE'!$R$23+'TUSD BF'!$R$23+'TUSD CVA'!$R$23))*(1-CUSTOS!$M$36)</f>
        <v>263.71248038034844</v>
      </c>
      <c r="AA153" s="6">
        <f>('TE BE'!$AB$14+'TE BF'!$AB$14+'TE CVA'!$AB$14)*(1-CUSTOS!$M$36)</f>
        <v>211.17938795773344</v>
      </c>
      <c r="AB153" s="6">
        <f t="shared" si="14"/>
        <v>0</v>
      </c>
      <c r="AC153" s="6">
        <f>(L153-M153)*(W153+X153)+($W$163+$X$163-$W$153-$X$153)*(L153)</f>
        <v>5161.0721399999966</v>
      </c>
      <c r="AD153" s="6">
        <f t="shared" si="15"/>
        <v>0</v>
      </c>
      <c r="AE153" s="6">
        <f ca="1">(L153-M153)*(Z153+AA153)+($Z$163+$AA$163-$Z$153-$AA$153)*(L153)</f>
        <v>5511.5950239317763</v>
      </c>
      <c r="AF153" s="4" t="s">
        <v>653</v>
      </c>
    </row>
    <row r="154" spans="1:32" ht="11.25" customHeight="1" x14ac:dyDescent="0.25">
      <c r="A154" s="4" t="s">
        <v>27</v>
      </c>
      <c r="B154" s="4" t="s">
        <v>22</v>
      </c>
      <c r="C154" s="4" t="s">
        <v>23</v>
      </c>
      <c r="D154" s="4" t="s">
        <v>24</v>
      </c>
      <c r="E154" s="4" t="s">
        <v>31</v>
      </c>
      <c r="F154" s="4" t="s">
        <v>25</v>
      </c>
      <c r="G154" s="4" t="s">
        <v>25</v>
      </c>
      <c r="H154" s="4" t="s">
        <v>25</v>
      </c>
      <c r="I154" s="5">
        <v>44562</v>
      </c>
      <c r="J154" s="6">
        <v>0</v>
      </c>
      <c r="K154" s="6">
        <v>0</v>
      </c>
      <c r="L154" s="6">
        <v>-0.12</v>
      </c>
      <c r="M154" s="6">
        <v>-0.12</v>
      </c>
      <c r="N154" s="6">
        <v>-0.12</v>
      </c>
      <c r="O154" s="6">
        <v>-0.12</v>
      </c>
      <c r="P154" s="6">
        <v>0</v>
      </c>
      <c r="Q154" s="4" t="s">
        <v>26</v>
      </c>
      <c r="R154" s="4">
        <v>0</v>
      </c>
      <c r="S154" s="4">
        <v>0</v>
      </c>
      <c r="T154" s="4">
        <v>37</v>
      </c>
      <c r="U154" s="4">
        <v>58</v>
      </c>
      <c r="V154" s="6">
        <f>IF(ISERROR(VLOOKUP($S$154,'TAR FIN'!$A$1:$O$86,15,0)),0,VLOOKUP($S$154,'TAR FIN'!$A$1:$O$86,15,0))</f>
        <v>0</v>
      </c>
      <c r="W154" s="6">
        <f>IF(ISERROR(VLOOKUP($T$154,'TAR FIN'!$A$1:$O$86,15,0)),0,VLOOKUP($T$154,'TAR FIN'!$A$1:$O$86,15,0))</f>
        <v>243.12</v>
      </c>
      <c r="X154" s="6">
        <f>IF(ISERROR(VLOOKUP($U$154,'TAR FIN'!$A$1:$O$86,15,0)),0,VLOOKUP($U$154,'TAR FIN'!$A$1:$O$86,15,0))</f>
        <v>201.61</v>
      </c>
      <c r="Y154" s="6"/>
      <c r="Z154" s="6">
        <f ca="1">('TUSD BE'!$AM$23+'TUSD BF'!$AM$23+'TUSD CVA'!$AM$23-('TUSD BE'!$P$23+'TUSD BF'!$P$23+'TUSD CVA'!$P$23)-('TUSD BE'!$Q$23+'TUSD BF'!$Q$23+'TUSD CVA'!$Q$23)-('TUSD BE'!$R$23+'TUSD BF'!$R$23+'TUSD CVA'!$R$23))*(1-CUSTOS!$M$36)</f>
        <v>263.71248038034844</v>
      </c>
      <c r="AA154" s="6">
        <f>('TE BE'!$AB$14+'TE BF'!$AB$14+'TE CVA'!$AB$14)*(1-CUSTOS!$M$36)</f>
        <v>211.17938795773344</v>
      </c>
      <c r="AB154" s="6">
        <f t="shared" si="14"/>
        <v>0</v>
      </c>
      <c r="AC154" s="6">
        <f>(L154-M154)*(W154+X154)+($W$163+$X$163-$W$154-$X$154)*(L154)</f>
        <v>-5.9291999999999963</v>
      </c>
      <c r="AD154" s="6">
        <f t="shared" si="15"/>
        <v>0</v>
      </c>
      <c r="AE154" s="6">
        <f ca="1">(L154-M154)*(Z154+AA154)+($Z$163+$AA$163-$Z$154-$AA$154)*(L154)</f>
        <v>-6.3318915778410894</v>
      </c>
      <c r="AF154" s="4" t="s">
        <v>653</v>
      </c>
    </row>
    <row r="155" spans="1:32" ht="11.25" customHeight="1" x14ac:dyDescent="0.25">
      <c r="A155" s="4" t="s">
        <v>21</v>
      </c>
      <c r="B155" s="4" t="s">
        <v>22</v>
      </c>
      <c r="C155" s="4" t="s">
        <v>23</v>
      </c>
      <c r="D155" s="4" t="s">
        <v>24</v>
      </c>
      <c r="E155" s="4" t="s">
        <v>31</v>
      </c>
      <c r="F155" s="4" t="s">
        <v>25</v>
      </c>
      <c r="G155" s="4" t="s">
        <v>25</v>
      </c>
      <c r="H155" s="4" t="s">
        <v>25</v>
      </c>
      <c r="I155" s="5">
        <v>44593</v>
      </c>
      <c r="J155" s="6">
        <v>0</v>
      </c>
      <c r="K155" s="6">
        <v>0</v>
      </c>
      <c r="L155" s="6">
        <v>105.911</v>
      </c>
      <c r="M155" s="6">
        <v>105.911</v>
      </c>
      <c r="N155" s="6">
        <v>105.911</v>
      </c>
      <c r="O155" s="6">
        <v>105.911</v>
      </c>
      <c r="P155" s="6">
        <v>626</v>
      </c>
      <c r="Q155" s="4" t="s">
        <v>26</v>
      </c>
      <c r="R155" s="4">
        <v>0</v>
      </c>
      <c r="S155" s="4">
        <v>0</v>
      </c>
      <c r="T155" s="4">
        <v>37</v>
      </c>
      <c r="U155" s="4">
        <v>58</v>
      </c>
      <c r="V155" s="6">
        <f>IF(ISERROR(VLOOKUP($S$155,'TAR FIN'!$A$1:$O$86,15,0)),0,VLOOKUP($S$155,'TAR FIN'!$A$1:$O$86,15,0))</f>
        <v>0</v>
      </c>
      <c r="W155" s="6">
        <f>IF(ISERROR(VLOOKUP($T$155,'TAR FIN'!$A$1:$O$86,15,0)),0,VLOOKUP($T$155,'TAR FIN'!$A$1:$O$86,15,0))</f>
        <v>243.12</v>
      </c>
      <c r="X155" s="6">
        <f>IF(ISERROR(VLOOKUP($U$155,'TAR FIN'!$A$1:$O$86,15,0)),0,VLOOKUP($U$155,'TAR FIN'!$A$1:$O$86,15,0))</f>
        <v>201.61</v>
      </c>
      <c r="Y155" s="6"/>
      <c r="Z155" s="6">
        <f ca="1">('TUSD BE'!$AM$23+'TUSD BF'!$AM$23+'TUSD CVA'!$AM$23-('TUSD BE'!$P$23+'TUSD BF'!$P$23+'TUSD CVA'!$P$23)-('TUSD BE'!$Q$23+'TUSD BF'!$Q$23+'TUSD CVA'!$Q$23)-('TUSD BE'!$R$23+'TUSD BF'!$R$23+'TUSD CVA'!$R$23))*(1-CUSTOS!$M$36)</f>
        <v>263.71248038034844</v>
      </c>
      <c r="AA155" s="6">
        <f>('TE BE'!$AB$14+'TE BF'!$AB$14+'TE CVA'!$AB$14)*(1-CUSTOS!$M$36)</f>
        <v>211.17938795773344</v>
      </c>
      <c r="AB155" s="6">
        <f t="shared" si="14"/>
        <v>0</v>
      </c>
      <c r="AC155" s="6">
        <f>(L155-M155)*(W155+X155)+($W$163+$X$163-$W$155-$X$155)*(L155)</f>
        <v>5233.062509999997</v>
      </c>
      <c r="AD155" s="6">
        <f t="shared" si="15"/>
        <v>0</v>
      </c>
      <c r="AE155" s="6">
        <f ca="1">(L155-M155)*(Z155+AA155)+($Z$163+$AA$163-$Z$155-$AA$155)*(L155)</f>
        <v>5588.4747408393969</v>
      </c>
      <c r="AF155" s="4" t="s">
        <v>653</v>
      </c>
    </row>
    <row r="156" spans="1:32" ht="11.25" customHeight="1" x14ac:dyDescent="0.25">
      <c r="A156" s="4" t="s">
        <v>21</v>
      </c>
      <c r="B156" s="4" t="s">
        <v>22</v>
      </c>
      <c r="C156" s="4" t="s">
        <v>23</v>
      </c>
      <c r="D156" s="4" t="s">
        <v>24</v>
      </c>
      <c r="E156" s="4" t="s">
        <v>31</v>
      </c>
      <c r="F156" s="4" t="s">
        <v>25</v>
      </c>
      <c r="G156" s="4" t="s">
        <v>25</v>
      </c>
      <c r="H156" s="4" t="s">
        <v>25</v>
      </c>
      <c r="I156" s="5">
        <v>44621</v>
      </c>
      <c r="J156" s="6">
        <v>0</v>
      </c>
      <c r="K156" s="6">
        <v>0</v>
      </c>
      <c r="L156" s="6">
        <v>103.733</v>
      </c>
      <c r="M156" s="6">
        <v>103.733</v>
      </c>
      <c r="N156" s="6">
        <v>103.733</v>
      </c>
      <c r="O156" s="6">
        <v>103.733</v>
      </c>
      <c r="P156" s="6">
        <v>682</v>
      </c>
      <c r="Q156" s="4" t="s">
        <v>26</v>
      </c>
      <c r="R156" s="4">
        <v>0</v>
      </c>
      <c r="S156" s="4">
        <v>0</v>
      </c>
      <c r="T156" s="4">
        <v>37</v>
      </c>
      <c r="U156" s="4">
        <v>58</v>
      </c>
      <c r="V156" s="6">
        <f>IF(ISERROR(VLOOKUP($S$156,'TAR FIN'!$A$1:$O$86,15,0)),0,VLOOKUP($S$156,'TAR FIN'!$A$1:$O$86,15,0))</f>
        <v>0</v>
      </c>
      <c r="W156" s="6">
        <f>IF(ISERROR(VLOOKUP($T$156,'TAR FIN'!$A$1:$O$86,15,0)),0,VLOOKUP($T$156,'TAR FIN'!$A$1:$O$86,15,0))</f>
        <v>243.12</v>
      </c>
      <c r="X156" s="6">
        <f>IF(ISERROR(VLOOKUP($U$156,'TAR FIN'!$A$1:$O$86,15,0)),0,VLOOKUP($U$156,'TAR FIN'!$A$1:$O$86,15,0))</f>
        <v>201.61</v>
      </c>
      <c r="Y156" s="6"/>
      <c r="Z156" s="6">
        <f ca="1">('TUSD BE'!$AM$23+'TUSD BF'!$AM$23+'TUSD CVA'!$AM$23-('TUSD BE'!$P$23+'TUSD BF'!$P$23+'TUSD CVA'!$P$23)-('TUSD BE'!$Q$23+'TUSD BF'!$Q$23+'TUSD CVA'!$Q$23)-('TUSD BE'!$R$23+'TUSD BF'!$R$23+'TUSD CVA'!$R$23))*(1-CUSTOS!$M$36)</f>
        <v>263.71248038034844</v>
      </c>
      <c r="AA156" s="6">
        <f>('TE BE'!$AB$14+'TE BF'!$AB$14+'TE CVA'!$AB$14)*(1-CUSTOS!$M$36)</f>
        <v>211.17938795773344</v>
      </c>
      <c r="AB156" s="6">
        <f t="shared" si="14"/>
        <v>0</v>
      </c>
      <c r="AC156" s="6">
        <f>(L156-M156)*(W156+X156)+($W$163+$X$163-$W$156-$X$156)*(L156)</f>
        <v>5125.4475299999967</v>
      </c>
      <c r="AD156" s="6">
        <f t="shared" si="15"/>
        <v>0</v>
      </c>
      <c r="AE156" s="6">
        <f ca="1">(L156-M156)*(Z156+AA156)+($Z$163+$AA$163-$Z$156-$AA$156)*(L156)</f>
        <v>5473.5509087015816</v>
      </c>
      <c r="AF156" s="4" t="s">
        <v>653</v>
      </c>
    </row>
    <row r="157" spans="1:32" ht="11.25" customHeight="1" x14ac:dyDescent="0.25">
      <c r="A157" s="4" t="s">
        <v>27</v>
      </c>
      <c r="B157" s="4" t="s">
        <v>22</v>
      </c>
      <c r="C157" s="4" t="s">
        <v>23</v>
      </c>
      <c r="D157" s="4" t="s">
        <v>24</v>
      </c>
      <c r="E157" s="4" t="s">
        <v>31</v>
      </c>
      <c r="F157" s="4" t="s">
        <v>25</v>
      </c>
      <c r="G157" s="4" t="s">
        <v>25</v>
      </c>
      <c r="H157" s="4" t="s">
        <v>25</v>
      </c>
      <c r="I157" s="5">
        <v>44621</v>
      </c>
      <c r="J157" s="6">
        <v>0</v>
      </c>
      <c r="K157" s="6">
        <v>0</v>
      </c>
      <c r="L157" s="6">
        <v>-4.3999999999999997E-2</v>
      </c>
      <c r="M157" s="6">
        <v>-4.3999999999999997E-2</v>
      </c>
      <c r="N157" s="6">
        <v>-4.3999999999999997E-2</v>
      </c>
      <c r="O157" s="6">
        <v>-4.3999999999999997E-2</v>
      </c>
      <c r="P157" s="6">
        <v>0</v>
      </c>
      <c r="Q157" s="4" t="s">
        <v>26</v>
      </c>
      <c r="R157" s="4">
        <v>0</v>
      </c>
      <c r="S157" s="4">
        <v>0</v>
      </c>
      <c r="T157" s="4">
        <v>37</v>
      </c>
      <c r="U157" s="4">
        <v>58</v>
      </c>
      <c r="V157" s="6">
        <f>IF(ISERROR(VLOOKUP($S$157,'TAR FIN'!$A$1:$O$86,15,0)),0,VLOOKUP($S$157,'TAR FIN'!$A$1:$O$86,15,0))</f>
        <v>0</v>
      </c>
      <c r="W157" s="6">
        <f>IF(ISERROR(VLOOKUP($T$157,'TAR FIN'!$A$1:$O$86,15,0)),0,VLOOKUP($T$157,'TAR FIN'!$A$1:$O$86,15,0))</f>
        <v>243.12</v>
      </c>
      <c r="X157" s="6">
        <f>IF(ISERROR(VLOOKUP($U$157,'TAR FIN'!$A$1:$O$86,15,0)),0,VLOOKUP($U$157,'TAR FIN'!$A$1:$O$86,15,0))</f>
        <v>201.61</v>
      </c>
      <c r="Y157" s="6"/>
      <c r="Z157" s="6">
        <f ca="1">('TUSD BE'!$AM$23+'TUSD BF'!$AM$23+'TUSD CVA'!$AM$23-('TUSD BE'!$P$23+'TUSD BF'!$P$23+'TUSD CVA'!$P$23)-('TUSD BE'!$Q$23+'TUSD BF'!$Q$23+'TUSD CVA'!$Q$23)-('TUSD BE'!$R$23+'TUSD BF'!$R$23+'TUSD CVA'!$R$23))*(1-CUSTOS!$M$36)</f>
        <v>263.71248038034844</v>
      </c>
      <c r="AA157" s="6">
        <f>('TE BE'!$AB$14+'TE BF'!$AB$14+'TE CVA'!$AB$14)*(1-CUSTOS!$M$36)</f>
        <v>211.17938795773344</v>
      </c>
      <c r="AB157" s="6">
        <f t="shared" si="14"/>
        <v>0</v>
      </c>
      <c r="AC157" s="6">
        <f>(L157-M157)*(W157+X157)+($W$163+$X$163-$W$157-$X$157)*(L157)</f>
        <v>-2.1740399999999984</v>
      </c>
      <c r="AD157" s="6">
        <f t="shared" si="15"/>
        <v>0</v>
      </c>
      <c r="AE157" s="6">
        <f ca="1">(L157-M157)*(Z157+AA157)+($Z$163+$AA$163-$Z$157-$AA$157)*(L157)</f>
        <v>-2.3216935785417325</v>
      </c>
      <c r="AF157" s="4" t="s">
        <v>653</v>
      </c>
    </row>
    <row r="158" spans="1:32" ht="11.25" customHeight="1" x14ac:dyDescent="0.25">
      <c r="A158" s="4" t="s">
        <v>21</v>
      </c>
      <c r="B158" s="4" t="s">
        <v>22</v>
      </c>
      <c r="C158" s="4" t="s">
        <v>23</v>
      </c>
      <c r="D158" s="4" t="s">
        <v>24</v>
      </c>
      <c r="E158" s="4" t="s">
        <v>31</v>
      </c>
      <c r="F158" s="4" t="s">
        <v>25</v>
      </c>
      <c r="G158" s="4" t="s">
        <v>25</v>
      </c>
      <c r="H158" s="4" t="s">
        <v>25</v>
      </c>
      <c r="I158" s="5">
        <v>44652</v>
      </c>
      <c r="J158" s="6">
        <v>0</v>
      </c>
      <c r="K158" s="6">
        <v>0</v>
      </c>
      <c r="L158" s="6">
        <v>101.02200000000001</v>
      </c>
      <c r="M158" s="6">
        <v>101.02200000000001</v>
      </c>
      <c r="N158" s="6">
        <v>101.02200000000001</v>
      </c>
      <c r="O158" s="6">
        <v>101.02200000000001</v>
      </c>
      <c r="P158" s="6">
        <v>726</v>
      </c>
      <c r="Q158" s="4" t="s">
        <v>26</v>
      </c>
      <c r="R158" s="4">
        <v>0</v>
      </c>
      <c r="S158" s="4">
        <v>0</v>
      </c>
      <c r="T158" s="4">
        <v>37</v>
      </c>
      <c r="U158" s="4">
        <v>58</v>
      </c>
      <c r="V158" s="6">
        <f>IF(ISERROR(VLOOKUP($S$158,'TAR FIN'!$A$1:$O$86,15,0)),0,VLOOKUP($S$158,'TAR FIN'!$A$1:$O$86,15,0))</f>
        <v>0</v>
      </c>
      <c r="W158" s="6">
        <f>IF(ISERROR(VLOOKUP($T$158,'TAR FIN'!$A$1:$O$86,15,0)),0,VLOOKUP($T$158,'TAR FIN'!$A$1:$O$86,15,0))</f>
        <v>243.12</v>
      </c>
      <c r="X158" s="6">
        <f>IF(ISERROR(VLOOKUP($U$158,'TAR FIN'!$A$1:$O$86,15,0)),0,VLOOKUP($U$158,'TAR FIN'!$A$1:$O$86,15,0))</f>
        <v>201.61</v>
      </c>
      <c r="Y158" s="6"/>
      <c r="Z158" s="6">
        <f ca="1">('TUSD BE'!$AM$23+'TUSD BF'!$AM$23+'TUSD CVA'!$AM$23-('TUSD BE'!$P$23+'TUSD BF'!$P$23+'TUSD CVA'!$P$23)-('TUSD BE'!$Q$23+'TUSD BF'!$Q$23+'TUSD CVA'!$Q$23)-('TUSD BE'!$R$23+'TUSD BF'!$R$23+'TUSD CVA'!$R$23))*(1-CUSTOS!$M$36)</f>
        <v>263.71248038034844</v>
      </c>
      <c r="AA158" s="6">
        <f>('TE BE'!$AB$14+'TE BF'!$AB$14+'TE CVA'!$AB$14)*(1-CUSTOS!$M$36)</f>
        <v>211.17938795773344</v>
      </c>
      <c r="AB158" s="6">
        <f t="shared" si="14"/>
        <v>0</v>
      </c>
      <c r="AC158" s="6">
        <f>(L158-M158)*(W158+X158)+($W$163+$X$163-$W$158-$X$158)*(L158)</f>
        <v>4991.4970199999971</v>
      </c>
      <c r="AD158" s="6">
        <f t="shared" si="15"/>
        <v>0</v>
      </c>
      <c r="AE158" s="6">
        <f ca="1">(L158-M158)*(Z158+AA158)+($Z$163+$AA$163-$Z$158-$AA$158)*(L158)</f>
        <v>5330.5029248055216</v>
      </c>
      <c r="AF158" s="4" t="s">
        <v>653</v>
      </c>
    </row>
    <row r="159" spans="1:32" ht="11.25" customHeight="1" x14ac:dyDescent="0.25">
      <c r="A159" s="4" t="s">
        <v>27</v>
      </c>
      <c r="B159" s="4" t="s">
        <v>22</v>
      </c>
      <c r="C159" s="4" t="s">
        <v>23</v>
      </c>
      <c r="D159" s="4" t="s">
        <v>24</v>
      </c>
      <c r="E159" s="4" t="s">
        <v>31</v>
      </c>
      <c r="F159" s="4" t="s">
        <v>25</v>
      </c>
      <c r="G159" s="4" t="s">
        <v>25</v>
      </c>
      <c r="H159" s="4" t="s">
        <v>25</v>
      </c>
      <c r="I159" s="5">
        <v>44652</v>
      </c>
      <c r="J159" s="6">
        <v>0</v>
      </c>
      <c r="K159" s="6">
        <v>0</v>
      </c>
      <c r="L159" s="6">
        <v>5.8999999999999997E-2</v>
      </c>
      <c r="M159" s="6">
        <v>5.8999999999999997E-2</v>
      </c>
      <c r="N159" s="6">
        <v>5.8999999999999997E-2</v>
      </c>
      <c r="O159" s="6">
        <v>5.8999999999999997E-2</v>
      </c>
      <c r="P159" s="6">
        <v>0</v>
      </c>
      <c r="Q159" s="4" t="s">
        <v>26</v>
      </c>
      <c r="R159" s="4">
        <v>0</v>
      </c>
      <c r="S159" s="4">
        <v>0</v>
      </c>
      <c r="T159" s="4">
        <v>37</v>
      </c>
      <c r="U159" s="4">
        <v>58</v>
      </c>
      <c r="V159" s="6">
        <f>IF(ISERROR(VLOOKUP($S$159,'TAR FIN'!$A$1:$O$86,15,0)),0,VLOOKUP($S$159,'TAR FIN'!$A$1:$O$86,15,0))</f>
        <v>0</v>
      </c>
      <c r="W159" s="6">
        <f>IF(ISERROR(VLOOKUP($T$159,'TAR FIN'!$A$1:$O$86,15,0)),0,VLOOKUP($T$159,'TAR FIN'!$A$1:$O$86,15,0))</f>
        <v>243.12</v>
      </c>
      <c r="X159" s="6">
        <f>IF(ISERROR(VLOOKUP($U$159,'TAR FIN'!$A$1:$O$86,15,0)),0,VLOOKUP($U$159,'TAR FIN'!$A$1:$O$86,15,0))</f>
        <v>201.61</v>
      </c>
      <c r="Y159" s="6"/>
      <c r="Z159" s="6">
        <f ca="1">('TUSD BE'!$AM$23+'TUSD BF'!$AM$23+'TUSD CVA'!$AM$23-('TUSD BE'!$P$23+'TUSD BF'!$P$23+'TUSD CVA'!$P$23)-('TUSD BE'!$Q$23+'TUSD BF'!$Q$23+'TUSD CVA'!$Q$23)-('TUSD BE'!$R$23+'TUSD BF'!$R$23+'TUSD CVA'!$R$23))*(1-CUSTOS!$M$36)</f>
        <v>263.71248038034844</v>
      </c>
      <c r="AA159" s="6">
        <f>('TE BE'!$AB$14+'TE BF'!$AB$14+'TE CVA'!$AB$14)*(1-CUSTOS!$M$36)</f>
        <v>211.17938795773344</v>
      </c>
      <c r="AB159" s="6">
        <f t="shared" si="14"/>
        <v>0</v>
      </c>
      <c r="AC159" s="6">
        <f>(L159-M159)*(W159+X159)+($W$163+$X$163-$W$159-$X$159)*(L159)</f>
        <v>2.9151899999999982</v>
      </c>
      <c r="AD159" s="6">
        <f t="shared" si="15"/>
        <v>0</v>
      </c>
      <c r="AE159" s="6">
        <f ca="1">(L159-M159)*(Z159+AA159)+($Z$163+$AA$163-$Z$159-$AA$159)*(L159)</f>
        <v>3.1131800257718689</v>
      </c>
      <c r="AF159" s="4" t="s">
        <v>653</v>
      </c>
    </row>
    <row r="160" spans="1:32" ht="11.25" customHeight="1" x14ac:dyDescent="0.25">
      <c r="A160" s="4" t="s">
        <v>21</v>
      </c>
      <c r="B160" s="4" t="s">
        <v>22</v>
      </c>
      <c r="C160" s="4" t="s">
        <v>23</v>
      </c>
      <c r="D160" s="4" t="s">
        <v>24</v>
      </c>
      <c r="E160" s="4" t="s">
        <v>31</v>
      </c>
      <c r="F160" s="4" t="s">
        <v>25</v>
      </c>
      <c r="G160" s="4" t="s">
        <v>25</v>
      </c>
      <c r="H160" s="4" t="s">
        <v>25</v>
      </c>
      <c r="I160" s="5">
        <v>44682</v>
      </c>
      <c r="J160" s="6">
        <v>0</v>
      </c>
      <c r="K160" s="6">
        <v>0</v>
      </c>
      <c r="L160" s="6">
        <v>91.027000000000001</v>
      </c>
      <c r="M160" s="6">
        <v>91.027000000000001</v>
      </c>
      <c r="N160" s="6">
        <v>91.027000000000001</v>
      </c>
      <c r="O160" s="6">
        <v>91.027000000000001</v>
      </c>
      <c r="P160" s="6">
        <v>817</v>
      </c>
      <c r="Q160" s="4" t="s">
        <v>26</v>
      </c>
      <c r="R160" s="4">
        <v>0</v>
      </c>
      <c r="S160" s="4">
        <v>0</v>
      </c>
      <c r="T160" s="4">
        <v>37</v>
      </c>
      <c r="U160" s="4">
        <v>58</v>
      </c>
      <c r="V160" s="6">
        <f>IF(ISERROR(VLOOKUP($S$160,'TAR FIN'!$A$1:$O$86,15,0)),0,VLOOKUP($S$160,'TAR FIN'!$A$1:$O$86,15,0))</f>
        <v>0</v>
      </c>
      <c r="W160" s="6">
        <f>IF(ISERROR(VLOOKUP($T$160,'TAR FIN'!$A$1:$O$86,15,0)),0,VLOOKUP($T$160,'TAR FIN'!$A$1:$O$86,15,0))</f>
        <v>243.12</v>
      </c>
      <c r="X160" s="6">
        <f>IF(ISERROR(VLOOKUP($U$160,'TAR FIN'!$A$1:$O$86,15,0)),0,VLOOKUP($U$160,'TAR FIN'!$A$1:$O$86,15,0))</f>
        <v>201.61</v>
      </c>
      <c r="Y160" s="6"/>
      <c r="Z160" s="6">
        <f ca="1">('TUSD BE'!$AM$23+'TUSD BF'!$AM$23+'TUSD CVA'!$AM$23-('TUSD BE'!$P$23+'TUSD BF'!$P$23+'TUSD CVA'!$P$23)-('TUSD BE'!$Q$23+'TUSD BF'!$Q$23+'TUSD CVA'!$Q$23)-('TUSD BE'!$R$23+'TUSD BF'!$R$23+'TUSD CVA'!$R$23))*(1-CUSTOS!$M$36)</f>
        <v>263.71248038034844</v>
      </c>
      <c r="AA160" s="6">
        <f>('TE BE'!$AB$14+'TE BF'!$AB$14+'TE CVA'!$AB$14)*(1-CUSTOS!$M$36)</f>
        <v>211.17938795773344</v>
      </c>
      <c r="AB160" s="6">
        <f t="shared" si="14"/>
        <v>0</v>
      </c>
      <c r="AC160" s="6">
        <f>(L160-M160)*(W160+X160)+($W$163+$X$163-$W$160-$X$160)*(L160)</f>
        <v>4497.6440699999976</v>
      </c>
      <c r="AD160" s="6">
        <f t="shared" si="15"/>
        <v>0</v>
      </c>
      <c r="AE160" s="6">
        <f ca="1">(L160-M160)*(Z160+AA160)+($Z$163+$AA$163-$Z$160-$AA$160)*(L160)</f>
        <v>4803.1091221345068</v>
      </c>
      <c r="AF160" s="4" t="s">
        <v>653</v>
      </c>
    </row>
    <row r="161" spans="1:32" ht="11.25" customHeight="1" x14ac:dyDescent="0.25">
      <c r="A161" s="4" t="s">
        <v>21</v>
      </c>
      <c r="B161" s="4" t="s">
        <v>22</v>
      </c>
      <c r="C161" s="4" t="s">
        <v>23</v>
      </c>
      <c r="D161" s="4" t="s">
        <v>24</v>
      </c>
      <c r="E161" s="4" t="s">
        <v>31</v>
      </c>
      <c r="F161" s="4" t="s">
        <v>25</v>
      </c>
      <c r="G161" s="4" t="s">
        <v>25</v>
      </c>
      <c r="H161" s="4" t="s">
        <v>25</v>
      </c>
      <c r="I161" s="5">
        <v>44713</v>
      </c>
      <c r="J161" s="6">
        <v>0</v>
      </c>
      <c r="K161" s="6">
        <v>0</v>
      </c>
      <c r="L161" s="6">
        <v>99.652000000000001</v>
      </c>
      <c r="M161" s="6">
        <v>99.652000000000001</v>
      </c>
      <c r="N161" s="6">
        <v>99.652000000000001</v>
      </c>
      <c r="O161" s="6">
        <v>99.652000000000001</v>
      </c>
      <c r="P161" s="6">
        <v>825</v>
      </c>
      <c r="Q161" s="4" t="s">
        <v>26</v>
      </c>
      <c r="R161" s="4">
        <v>0</v>
      </c>
      <c r="S161" s="4">
        <v>0</v>
      </c>
      <c r="T161" s="4">
        <v>37</v>
      </c>
      <c r="U161" s="4">
        <v>58</v>
      </c>
      <c r="V161" s="6">
        <f>IF(ISERROR(VLOOKUP($S$161,'TAR FIN'!$A$1:$O$86,15,0)),0,VLOOKUP($S$161,'TAR FIN'!$A$1:$O$86,15,0))</f>
        <v>0</v>
      </c>
      <c r="W161" s="6">
        <f>IF(ISERROR(VLOOKUP($T$161,'TAR FIN'!$A$1:$O$86,15,0)),0,VLOOKUP($T$161,'TAR FIN'!$A$1:$O$86,15,0))</f>
        <v>243.12</v>
      </c>
      <c r="X161" s="6">
        <f>IF(ISERROR(VLOOKUP($U$161,'TAR FIN'!$A$1:$O$86,15,0)),0,VLOOKUP($U$161,'TAR FIN'!$A$1:$O$86,15,0))</f>
        <v>201.61</v>
      </c>
      <c r="Y161" s="6"/>
      <c r="Z161" s="6">
        <f ca="1">('TUSD BE'!$AM$23+'TUSD BF'!$AM$23+'TUSD CVA'!$AM$23-('TUSD BE'!$P$23+'TUSD BF'!$P$23+'TUSD CVA'!$P$23)-('TUSD BE'!$Q$23+'TUSD BF'!$Q$23+'TUSD CVA'!$Q$23)-('TUSD BE'!$R$23+'TUSD BF'!$R$23+'TUSD CVA'!$R$23))*(1-CUSTOS!$M$36)</f>
        <v>263.71248038034844</v>
      </c>
      <c r="AA161" s="6">
        <f>('TE BE'!$AB$14+'TE BF'!$AB$14+'TE CVA'!$AB$14)*(1-CUSTOS!$M$36)</f>
        <v>211.17938795773344</v>
      </c>
      <c r="AB161" s="6">
        <f t="shared" si="14"/>
        <v>0</v>
      </c>
      <c r="AC161" s="6">
        <f>(L161-M161)*(W161+X161)+($W$163+$X$163-$W$161-$X$161)*(L161)</f>
        <v>4923.8053199999968</v>
      </c>
      <c r="AD161" s="6">
        <f t="shared" si="15"/>
        <v>0</v>
      </c>
      <c r="AE161" s="6">
        <f ca="1">(L161-M161)*(Z161+AA161)+($Z$163+$AA$163-$Z$161-$AA$161)*(L161)</f>
        <v>5258.2138292918353</v>
      </c>
      <c r="AF161" s="4" t="s">
        <v>653</v>
      </c>
    </row>
    <row r="162" spans="1:32" ht="11.25" customHeight="1" x14ac:dyDescent="0.25">
      <c r="A162" s="4" t="s">
        <v>55</v>
      </c>
      <c r="B162" s="4" t="s">
        <v>22</v>
      </c>
      <c r="C162" s="4" t="s">
        <v>23</v>
      </c>
      <c r="D162" s="4" t="s">
        <v>24</v>
      </c>
      <c r="E162" s="4" t="s">
        <v>31</v>
      </c>
      <c r="F162" s="4" t="s">
        <v>25</v>
      </c>
      <c r="G162" s="4" t="s">
        <v>25</v>
      </c>
      <c r="H162" s="4" t="s">
        <v>25</v>
      </c>
      <c r="I162" s="5">
        <v>44743</v>
      </c>
      <c r="J162" s="6">
        <v>0</v>
      </c>
      <c r="K162" s="6">
        <v>0</v>
      </c>
      <c r="L162" s="6">
        <v>99.652000000000001</v>
      </c>
      <c r="M162" s="6">
        <v>99.652000000000001</v>
      </c>
      <c r="N162" s="6">
        <v>99.652000000000001</v>
      </c>
      <c r="O162" s="6">
        <v>99.652000000000001</v>
      </c>
      <c r="P162" s="6">
        <v>825</v>
      </c>
      <c r="Q162" s="4" t="s">
        <v>26</v>
      </c>
      <c r="R162" s="4">
        <v>0</v>
      </c>
      <c r="S162" s="4">
        <v>0</v>
      </c>
      <c r="T162" s="4">
        <v>37</v>
      </c>
      <c r="U162" s="4">
        <v>58</v>
      </c>
      <c r="V162" s="6">
        <f>IF(ISERROR(VLOOKUP($S$162,'TAR FIN'!$A$1:$O$86,15,0)),0,VLOOKUP($S$162,'TAR FIN'!$A$1:$O$86,15,0))</f>
        <v>0</v>
      </c>
      <c r="W162" s="6">
        <f>IF(ISERROR(VLOOKUP($T$162,'TAR FIN'!$A$1:$O$86,15,0)),0,VLOOKUP($T$162,'TAR FIN'!$A$1:$O$86,15,0))</f>
        <v>243.12</v>
      </c>
      <c r="X162" s="6">
        <f>IF(ISERROR(VLOOKUP($U$162,'TAR FIN'!$A$1:$O$86,15,0)),0,VLOOKUP($U$162,'TAR FIN'!$A$1:$O$86,15,0))</f>
        <v>201.61</v>
      </c>
      <c r="Y162" s="6"/>
      <c r="Z162" s="6">
        <f ca="1">('TUSD BE'!$AM$23+'TUSD BF'!$AM$23+'TUSD CVA'!$AM$23-('TUSD BE'!$P$23+'TUSD BF'!$P$23+'TUSD CVA'!$P$23)-('TUSD BE'!$Q$23+'TUSD BF'!$Q$23+'TUSD CVA'!$Q$23)-('TUSD BE'!$R$23+'TUSD BF'!$R$23+'TUSD CVA'!$R$23))*(1-CUSTOS!$M$36)</f>
        <v>263.71248038034844</v>
      </c>
      <c r="AA162" s="6">
        <f>('TE BE'!$AB$14+'TE BF'!$AB$14+'TE CVA'!$AB$14)*(1-CUSTOS!$M$36)</f>
        <v>211.17938795773344</v>
      </c>
      <c r="AB162" s="6">
        <f t="shared" si="14"/>
        <v>0</v>
      </c>
      <c r="AC162" s="6">
        <f>(L162-M162)*(W162+X162)+($W$163+$X$163-$W$162-$X$162)*(L162)</f>
        <v>4923.8053199999968</v>
      </c>
      <c r="AD162" s="6">
        <f t="shared" si="15"/>
        <v>0</v>
      </c>
      <c r="AE162" s="6">
        <f ca="1">(L162-M162)*(Z162+AA162)+($Z$163+$AA$163-$Z$162-$AA$162)*(L162)</f>
        <v>5258.2138292918353</v>
      </c>
      <c r="AF162" s="4" t="s">
        <v>653</v>
      </c>
    </row>
    <row r="163" spans="1:32" ht="11.25" customHeight="1" x14ac:dyDescent="0.25">
      <c r="A163" s="4" t="s">
        <v>21</v>
      </c>
      <c r="B163" s="4" t="s">
        <v>22</v>
      </c>
      <c r="C163" s="4" t="s">
        <v>23</v>
      </c>
      <c r="D163" s="4" t="s">
        <v>24</v>
      </c>
      <c r="E163" s="4" t="s">
        <v>32</v>
      </c>
      <c r="F163" s="4" t="s">
        <v>25</v>
      </c>
      <c r="G163" s="4" t="s">
        <v>25</v>
      </c>
      <c r="H163" s="4" t="s">
        <v>25</v>
      </c>
      <c r="I163" s="5">
        <v>44409</v>
      </c>
      <c r="J163" s="6">
        <v>0</v>
      </c>
      <c r="K163" s="6">
        <v>0</v>
      </c>
      <c r="L163" s="6">
        <v>25.678999999999998</v>
      </c>
      <c r="M163" s="6">
        <v>25.678999999999998</v>
      </c>
      <c r="N163" s="6">
        <v>25.678999999999998</v>
      </c>
      <c r="O163" s="6">
        <v>25.678999999999998</v>
      </c>
      <c r="P163" s="6">
        <v>322</v>
      </c>
      <c r="Q163" s="4" t="s">
        <v>26</v>
      </c>
      <c r="R163" s="4">
        <v>0</v>
      </c>
      <c r="S163" s="4">
        <v>0</v>
      </c>
      <c r="T163" s="4">
        <v>6</v>
      </c>
      <c r="U163" s="4">
        <v>34</v>
      </c>
      <c r="V163" s="6">
        <f>IF(ISERROR(VLOOKUP($S$163,'TAR FIN'!$A$1:$O$86,15,0)),0,VLOOKUP($S$163,'TAR FIN'!$A$1:$O$86,15,0))</f>
        <v>0</v>
      </c>
      <c r="W163" s="6">
        <f>IF(ISERROR(VLOOKUP($T$163,'TAR FIN'!$A$1:$O$86,15,0)),0,VLOOKUP($T$163,'TAR FIN'!$A$1:$O$86,15,0))</f>
        <v>270.13</v>
      </c>
      <c r="X163" s="6">
        <f>IF(ISERROR(VLOOKUP($U$163,'TAR FIN'!$A$1:$O$86,15,0)),0,VLOOKUP($U$163,'TAR FIN'!$A$1:$O$86,15,0))</f>
        <v>224.01</v>
      </c>
      <c r="Y163" s="6"/>
      <c r="Z163" s="6">
        <f ca="1">('TUSD BE'!$AM$24+'TUSD BF'!$AM$24+'TUSD CVA'!$AM$24-('TUSD BE'!$P$24+'TUSD BF'!$P$24+'TUSD CVA'!$P$24)-('TUSD BE'!$Q$24+'TUSD BF'!$Q$24+'TUSD CVA'!$Q$24)-('TUSD BE'!$R$24+'TUSD BF'!$R$24+'TUSD CVA'!$R$24))*(1-CUSTOS!$M$37)</f>
        <v>293.013867089276</v>
      </c>
      <c r="AA163" s="6">
        <f>('TE BE'!$AB$15+'TE BF'!$AB$15+'TE CVA'!$AB$15)*(1-CUSTOS!$M$37)</f>
        <v>234.64376439748159</v>
      </c>
      <c r="AB163" s="6">
        <f t="shared" si="14"/>
        <v>0</v>
      </c>
      <c r="AC163" s="6">
        <f>(L163-M163)*(W163+X163)+($W$163+$X$163-$W$163-$X$163)*(L163)</f>
        <v>0</v>
      </c>
      <c r="AD163" s="6">
        <f t="shared" si="15"/>
        <v>0</v>
      </c>
      <c r="AE163" s="6">
        <f ca="1">(L163-M163)*(Z163+AA163)+($Z$163+$AA$163-$Z$163-$AA$163)*(L163)</f>
        <v>7.2984107646334446E-13</v>
      </c>
      <c r="AF163" s="4" t="s">
        <v>653</v>
      </c>
    </row>
    <row r="164" spans="1:32" ht="11.25" customHeight="1" x14ac:dyDescent="0.25">
      <c r="A164" s="4" t="s">
        <v>27</v>
      </c>
      <c r="B164" s="4" t="s">
        <v>22</v>
      </c>
      <c r="C164" s="4" t="s">
        <v>23</v>
      </c>
      <c r="D164" s="4" t="s">
        <v>24</v>
      </c>
      <c r="E164" s="4" t="s">
        <v>32</v>
      </c>
      <c r="F164" s="4" t="s">
        <v>25</v>
      </c>
      <c r="G164" s="4" t="s">
        <v>25</v>
      </c>
      <c r="H164" s="4" t="s">
        <v>25</v>
      </c>
      <c r="I164" s="5">
        <v>44409</v>
      </c>
      <c r="J164" s="6">
        <v>0</v>
      </c>
      <c r="K164" s="6">
        <v>0</v>
      </c>
      <c r="L164" s="6">
        <v>-0.13300000000000001</v>
      </c>
      <c r="M164" s="6">
        <v>-0.13300000000000001</v>
      </c>
      <c r="N164" s="6">
        <v>-0.13300000000000001</v>
      </c>
      <c r="O164" s="6">
        <v>-0.13300000000000001</v>
      </c>
      <c r="P164" s="6">
        <v>0</v>
      </c>
      <c r="Q164" s="4" t="s">
        <v>26</v>
      </c>
      <c r="R164" s="4">
        <v>0</v>
      </c>
      <c r="S164" s="4">
        <v>0</v>
      </c>
      <c r="T164" s="4">
        <v>6</v>
      </c>
      <c r="U164" s="4">
        <v>34</v>
      </c>
      <c r="V164" s="6">
        <f>IF(ISERROR(VLOOKUP($S$164,'TAR FIN'!$A$1:$O$86,15,0)),0,VLOOKUP($S$164,'TAR FIN'!$A$1:$O$86,15,0))</f>
        <v>0</v>
      </c>
      <c r="W164" s="6">
        <f>IF(ISERROR(VLOOKUP($T$164,'TAR FIN'!$A$1:$O$86,15,0)),0,VLOOKUP($T$164,'TAR FIN'!$A$1:$O$86,15,0))</f>
        <v>270.13</v>
      </c>
      <c r="X164" s="6">
        <f>IF(ISERROR(VLOOKUP($U$164,'TAR FIN'!$A$1:$O$86,15,0)),0,VLOOKUP($U$164,'TAR FIN'!$A$1:$O$86,15,0))</f>
        <v>224.01</v>
      </c>
      <c r="Y164" s="6"/>
      <c r="Z164" s="6">
        <f ca="1">('TUSD BE'!$AM$24+'TUSD BF'!$AM$24+'TUSD CVA'!$AM$24-('TUSD BE'!$P$24+'TUSD BF'!$P$24+'TUSD CVA'!$P$24)-('TUSD BE'!$Q$24+'TUSD BF'!$Q$24+'TUSD CVA'!$Q$24)-('TUSD BE'!$R$24+'TUSD BF'!$R$24+'TUSD CVA'!$R$24))*(1-CUSTOS!$M$37)</f>
        <v>293.013867089276</v>
      </c>
      <c r="AA164" s="6">
        <f>('TE BE'!$AB$15+'TE BF'!$AB$15+'TE CVA'!$AB$15)*(1-CUSTOS!$M$37)</f>
        <v>234.64376439748159</v>
      </c>
      <c r="AB164" s="6">
        <f t="shared" si="14"/>
        <v>0</v>
      </c>
      <c r="AC164" s="6">
        <f>(L164-M164)*(W164+X164)+($W$163+$X$163-$W$164-$X$164)*(L164)</f>
        <v>0</v>
      </c>
      <c r="AD164" s="6">
        <f t="shared" si="15"/>
        <v>0</v>
      </c>
      <c r="AE164" s="6">
        <f ca="1">(L164-M164)*(Z164+AA164)+($Z$163+$AA$163-$Z$164-$AA$164)*(L164)</f>
        <v>-3.7800873542437332E-15</v>
      </c>
      <c r="AF164" s="4" t="s">
        <v>653</v>
      </c>
    </row>
    <row r="165" spans="1:32" ht="11.25" customHeight="1" x14ac:dyDescent="0.25">
      <c r="A165" s="4" t="s">
        <v>21</v>
      </c>
      <c r="B165" s="4" t="s">
        <v>22</v>
      </c>
      <c r="C165" s="4" t="s">
        <v>23</v>
      </c>
      <c r="D165" s="4" t="s">
        <v>24</v>
      </c>
      <c r="E165" s="4" t="s">
        <v>32</v>
      </c>
      <c r="F165" s="4" t="s">
        <v>25</v>
      </c>
      <c r="G165" s="4" t="s">
        <v>25</v>
      </c>
      <c r="H165" s="4" t="s">
        <v>25</v>
      </c>
      <c r="I165" s="5">
        <v>44440</v>
      </c>
      <c r="J165" s="6">
        <v>0</v>
      </c>
      <c r="K165" s="6">
        <v>0</v>
      </c>
      <c r="L165" s="6">
        <v>33.174999999999997</v>
      </c>
      <c r="M165" s="6">
        <v>33.174999999999997</v>
      </c>
      <c r="N165" s="6">
        <v>33.174999999999997</v>
      </c>
      <c r="O165" s="6">
        <v>33.174999999999997</v>
      </c>
      <c r="P165" s="6">
        <v>390</v>
      </c>
      <c r="Q165" s="4" t="s">
        <v>26</v>
      </c>
      <c r="R165" s="4">
        <v>0</v>
      </c>
      <c r="S165" s="4">
        <v>0</v>
      </c>
      <c r="T165" s="4">
        <v>6</v>
      </c>
      <c r="U165" s="4">
        <v>34</v>
      </c>
      <c r="V165" s="6">
        <f>IF(ISERROR(VLOOKUP($S$165,'TAR FIN'!$A$1:$O$86,15,0)),0,VLOOKUP($S$165,'TAR FIN'!$A$1:$O$86,15,0))</f>
        <v>0</v>
      </c>
      <c r="W165" s="6">
        <f>IF(ISERROR(VLOOKUP($T$165,'TAR FIN'!$A$1:$O$86,15,0)),0,VLOOKUP($T$165,'TAR FIN'!$A$1:$O$86,15,0))</f>
        <v>270.13</v>
      </c>
      <c r="X165" s="6">
        <f>IF(ISERROR(VLOOKUP($U$165,'TAR FIN'!$A$1:$O$86,15,0)),0,VLOOKUP($U$165,'TAR FIN'!$A$1:$O$86,15,0))</f>
        <v>224.01</v>
      </c>
      <c r="Y165" s="6"/>
      <c r="Z165" s="6">
        <f ca="1">('TUSD BE'!$AM$24+'TUSD BF'!$AM$24+'TUSD CVA'!$AM$24-('TUSD BE'!$P$24+'TUSD BF'!$P$24+'TUSD CVA'!$P$24)-('TUSD BE'!$Q$24+'TUSD BF'!$Q$24+'TUSD CVA'!$Q$24)-('TUSD BE'!$R$24+'TUSD BF'!$R$24+'TUSD CVA'!$R$24))*(1-CUSTOS!$M$37)</f>
        <v>293.013867089276</v>
      </c>
      <c r="AA165" s="6">
        <f>('TE BE'!$AB$15+'TE BF'!$AB$15+'TE CVA'!$AB$15)*(1-CUSTOS!$M$37)</f>
        <v>234.64376439748159</v>
      </c>
      <c r="AB165" s="6">
        <f t="shared" si="14"/>
        <v>0</v>
      </c>
      <c r="AC165" s="6">
        <f>(L165-M165)*(W165+X165)+($W$163+$X$163-$W$165-$X$165)*(L165)</f>
        <v>0</v>
      </c>
      <c r="AD165" s="6">
        <f t="shared" si="15"/>
        <v>0</v>
      </c>
      <c r="AE165" s="6">
        <f ca="1">(L165-M165)*(Z165+AA165)+($Z$163+$AA$163-$Z$165-$AA$165)*(L165)</f>
        <v>9.4289021035365287E-13</v>
      </c>
      <c r="AF165" s="4" t="s">
        <v>653</v>
      </c>
    </row>
    <row r="166" spans="1:32" ht="11.25" customHeight="1" x14ac:dyDescent="0.25">
      <c r="A166" s="4" t="s">
        <v>27</v>
      </c>
      <c r="B166" s="4" t="s">
        <v>22</v>
      </c>
      <c r="C166" s="4" t="s">
        <v>23</v>
      </c>
      <c r="D166" s="4" t="s">
        <v>24</v>
      </c>
      <c r="E166" s="4" t="s">
        <v>32</v>
      </c>
      <c r="F166" s="4" t="s">
        <v>25</v>
      </c>
      <c r="G166" s="4" t="s">
        <v>25</v>
      </c>
      <c r="H166" s="4" t="s">
        <v>25</v>
      </c>
      <c r="I166" s="5">
        <v>44440</v>
      </c>
      <c r="J166" s="6">
        <v>0</v>
      </c>
      <c r="K166" s="6">
        <v>0</v>
      </c>
      <c r="L166" s="6">
        <v>-0.115</v>
      </c>
      <c r="M166" s="6">
        <v>-0.115</v>
      </c>
      <c r="N166" s="6">
        <v>-0.115</v>
      </c>
      <c r="O166" s="6">
        <v>-0.115</v>
      </c>
      <c r="P166" s="6">
        <v>0</v>
      </c>
      <c r="Q166" s="4" t="s">
        <v>26</v>
      </c>
      <c r="R166" s="4">
        <v>0</v>
      </c>
      <c r="S166" s="4">
        <v>0</v>
      </c>
      <c r="T166" s="4">
        <v>6</v>
      </c>
      <c r="U166" s="4">
        <v>34</v>
      </c>
      <c r="V166" s="6">
        <f>IF(ISERROR(VLOOKUP($S$166,'TAR FIN'!$A$1:$O$86,15,0)),0,VLOOKUP($S$166,'TAR FIN'!$A$1:$O$86,15,0))</f>
        <v>0</v>
      </c>
      <c r="W166" s="6">
        <f>IF(ISERROR(VLOOKUP($T$166,'TAR FIN'!$A$1:$O$86,15,0)),0,VLOOKUP($T$166,'TAR FIN'!$A$1:$O$86,15,0))</f>
        <v>270.13</v>
      </c>
      <c r="X166" s="6">
        <f>IF(ISERROR(VLOOKUP($U$166,'TAR FIN'!$A$1:$O$86,15,0)),0,VLOOKUP($U$166,'TAR FIN'!$A$1:$O$86,15,0))</f>
        <v>224.01</v>
      </c>
      <c r="Y166" s="6"/>
      <c r="Z166" s="6">
        <f ca="1">('TUSD BE'!$AM$24+'TUSD BF'!$AM$24+'TUSD CVA'!$AM$24-('TUSD BE'!$P$24+'TUSD BF'!$P$24+'TUSD CVA'!$P$24)-('TUSD BE'!$Q$24+'TUSD BF'!$Q$24+'TUSD CVA'!$Q$24)-('TUSD BE'!$R$24+'TUSD BF'!$R$24+'TUSD CVA'!$R$24))*(1-CUSTOS!$M$37)</f>
        <v>293.013867089276</v>
      </c>
      <c r="AA166" s="6">
        <f>('TE BE'!$AB$15+'TE BF'!$AB$15+'TE CVA'!$AB$15)*(1-CUSTOS!$M$37)</f>
        <v>234.64376439748159</v>
      </c>
      <c r="AB166" s="6">
        <f t="shared" si="14"/>
        <v>0</v>
      </c>
      <c r="AC166" s="6">
        <f>(L166-M166)*(W166+X166)+($W$163+$X$163-$W$166-$X$166)*(L166)</f>
        <v>0</v>
      </c>
      <c r="AD166" s="6">
        <f t="shared" si="15"/>
        <v>0</v>
      </c>
      <c r="AE166" s="6">
        <f ca="1">(L166-M166)*(Z166+AA166)+($Z$163+$AA$163-$Z$166-$AA$166)*(L166)</f>
        <v>-3.268496584496461E-15</v>
      </c>
      <c r="AF166" s="4" t="s">
        <v>653</v>
      </c>
    </row>
    <row r="167" spans="1:32" ht="11.25" customHeight="1" x14ac:dyDescent="0.25">
      <c r="A167" s="4" t="s">
        <v>21</v>
      </c>
      <c r="B167" s="4" t="s">
        <v>22</v>
      </c>
      <c r="C167" s="4" t="s">
        <v>23</v>
      </c>
      <c r="D167" s="4" t="s">
        <v>24</v>
      </c>
      <c r="E167" s="4" t="s">
        <v>32</v>
      </c>
      <c r="F167" s="4" t="s">
        <v>25</v>
      </c>
      <c r="G167" s="4" t="s">
        <v>25</v>
      </c>
      <c r="H167" s="4" t="s">
        <v>25</v>
      </c>
      <c r="I167" s="5">
        <v>44470</v>
      </c>
      <c r="J167" s="6">
        <v>0</v>
      </c>
      <c r="K167" s="6">
        <v>0</v>
      </c>
      <c r="L167" s="6">
        <v>25.416</v>
      </c>
      <c r="M167" s="6">
        <v>25.416</v>
      </c>
      <c r="N167" s="6">
        <v>25.416</v>
      </c>
      <c r="O167" s="6">
        <v>25.416</v>
      </c>
      <c r="P167" s="6">
        <v>317</v>
      </c>
      <c r="Q167" s="4" t="s">
        <v>26</v>
      </c>
      <c r="R167" s="4">
        <v>0</v>
      </c>
      <c r="S167" s="4">
        <v>0</v>
      </c>
      <c r="T167" s="4">
        <v>6</v>
      </c>
      <c r="U167" s="4">
        <v>34</v>
      </c>
      <c r="V167" s="6">
        <f>IF(ISERROR(VLOOKUP($S$167,'TAR FIN'!$A$1:$O$86,15,0)),0,VLOOKUP($S$167,'TAR FIN'!$A$1:$O$86,15,0))</f>
        <v>0</v>
      </c>
      <c r="W167" s="6">
        <f>IF(ISERROR(VLOOKUP($T$167,'TAR FIN'!$A$1:$O$86,15,0)),0,VLOOKUP($T$167,'TAR FIN'!$A$1:$O$86,15,0))</f>
        <v>270.13</v>
      </c>
      <c r="X167" s="6">
        <f>IF(ISERROR(VLOOKUP($U$167,'TAR FIN'!$A$1:$O$86,15,0)),0,VLOOKUP($U$167,'TAR FIN'!$A$1:$O$86,15,0))</f>
        <v>224.01</v>
      </c>
      <c r="Y167" s="6"/>
      <c r="Z167" s="6">
        <f ca="1">('TUSD BE'!$AM$24+'TUSD BF'!$AM$24+'TUSD CVA'!$AM$24-('TUSD BE'!$P$24+'TUSD BF'!$P$24+'TUSD CVA'!$P$24)-('TUSD BE'!$Q$24+'TUSD BF'!$Q$24+'TUSD CVA'!$Q$24)-('TUSD BE'!$R$24+'TUSD BF'!$R$24+'TUSD CVA'!$R$24))*(1-CUSTOS!$M$37)</f>
        <v>293.013867089276</v>
      </c>
      <c r="AA167" s="6">
        <f>('TE BE'!$AB$15+'TE BF'!$AB$15+'TE CVA'!$AB$15)*(1-CUSTOS!$M$37)</f>
        <v>234.64376439748159</v>
      </c>
      <c r="AB167" s="6">
        <f t="shared" si="14"/>
        <v>0</v>
      </c>
      <c r="AC167" s="6">
        <f>(L167-M167)*(W167+X167)+($W$163+$X$163-$W$167-$X$167)*(L167)</f>
        <v>0</v>
      </c>
      <c r="AD167" s="6">
        <f t="shared" si="15"/>
        <v>0</v>
      </c>
      <c r="AE167" s="6">
        <f ca="1">(L167-M167)*(Z167+AA167)+($Z$163+$AA$163-$Z$167-$AA$167)*(L167)</f>
        <v>7.2236616688314826E-13</v>
      </c>
      <c r="AF167" s="4" t="s">
        <v>653</v>
      </c>
    </row>
    <row r="168" spans="1:32" ht="11.25" customHeight="1" x14ac:dyDescent="0.25">
      <c r="A168" s="4" t="s">
        <v>27</v>
      </c>
      <c r="B168" s="4" t="s">
        <v>22</v>
      </c>
      <c r="C168" s="4" t="s">
        <v>23</v>
      </c>
      <c r="D168" s="4" t="s">
        <v>24</v>
      </c>
      <c r="E168" s="4" t="s">
        <v>32</v>
      </c>
      <c r="F168" s="4" t="s">
        <v>25</v>
      </c>
      <c r="G168" s="4" t="s">
        <v>25</v>
      </c>
      <c r="H168" s="4" t="s">
        <v>25</v>
      </c>
      <c r="I168" s="5">
        <v>44470</v>
      </c>
      <c r="J168" s="6">
        <v>0</v>
      </c>
      <c r="K168" s="6">
        <v>0</v>
      </c>
      <c r="L168" s="6">
        <v>-0.16500000000000001</v>
      </c>
      <c r="M168" s="6">
        <v>-0.16500000000000001</v>
      </c>
      <c r="N168" s="6">
        <v>-0.16500000000000001</v>
      </c>
      <c r="O168" s="6">
        <v>-0.16500000000000001</v>
      </c>
      <c r="P168" s="6">
        <v>0</v>
      </c>
      <c r="Q168" s="4" t="s">
        <v>26</v>
      </c>
      <c r="R168" s="4">
        <v>0</v>
      </c>
      <c r="S168" s="4">
        <v>0</v>
      </c>
      <c r="T168" s="4">
        <v>6</v>
      </c>
      <c r="U168" s="4">
        <v>34</v>
      </c>
      <c r="V168" s="6">
        <f>IF(ISERROR(VLOOKUP($S$168,'TAR FIN'!$A$1:$O$86,15,0)),0,VLOOKUP($S$168,'TAR FIN'!$A$1:$O$86,15,0))</f>
        <v>0</v>
      </c>
      <c r="W168" s="6">
        <f>IF(ISERROR(VLOOKUP($T$168,'TAR FIN'!$A$1:$O$86,15,0)),0,VLOOKUP($T$168,'TAR FIN'!$A$1:$O$86,15,0))</f>
        <v>270.13</v>
      </c>
      <c r="X168" s="6">
        <f>IF(ISERROR(VLOOKUP($U$168,'TAR FIN'!$A$1:$O$86,15,0)),0,VLOOKUP($U$168,'TAR FIN'!$A$1:$O$86,15,0))</f>
        <v>224.01</v>
      </c>
      <c r="Y168" s="6"/>
      <c r="Z168" s="6">
        <f ca="1">('TUSD BE'!$AM$24+'TUSD BF'!$AM$24+'TUSD CVA'!$AM$24-('TUSD BE'!$P$24+'TUSD BF'!$P$24+'TUSD CVA'!$P$24)-('TUSD BE'!$Q$24+'TUSD BF'!$Q$24+'TUSD CVA'!$Q$24)-('TUSD BE'!$R$24+'TUSD BF'!$R$24+'TUSD CVA'!$R$24))*(1-CUSTOS!$M$37)</f>
        <v>293.013867089276</v>
      </c>
      <c r="AA168" s="6">
        <f>('TE BE'!$AB$15+'TE BF'!$AB$15+'TE CVA'!$AB$15)*(1-CUSTOS!$M$37)</f>
        <v>234.64376439748159</v>
      </c>
      <c r="AB168" s="6">
        <f t="shared" si="14"/>
        <v>0</v>
      </c>
      <c r="AC168" s="6">
        <f>(L168-M168)*(W168+X168)+($W$163+$X$163-$W$168-$X$168)*(L168)</f>
        <v>0</v>
      </c>
      <c r="AD168" s="6">
        <f t="shared" si="15"/>
        <v>0</v>
      </c>
      <c r="AE168" s="6">
        <f ca="1">(L168-M168)*(Z168+AA168)+($Z$163+$AA$163-$Z$168-$AA$168)*(L168)</f>
        <v>-4.6895820560166614E-15</v>
      </c>
      <c r="AF168" s="4" t="s">
        <v>653</v>
      </c>
    </row>
    <row r="169" spans="1:32" ht="11.25" customHeight="1" x14ac:dyDescent="0.25">
      <c r="A169" s="4" t="s">
        <v>21</v>
      </c>
      <c r="B169" s="4" t="s">
        <v>22</v>
      </c>
      <c r="C169" s="4" t="s">
        <v>23</v>
      </c>
      <c r="D169" s="4" t="s">
        <v>24</v>
      </c>
      <c r="E169" s="4" t="s">
        <v>32</v>
      </c>
      <c r="F169" s="4" t="s">
        <v>25</v>
      </c>
      <c r="G169" s="4" t="s">
        <v>25</v>
      </c>
      <c r="H169" s="4" t="s">
        <v>25</v>
      </c>
      <c r="I169" s="5">
        <v>44501</v>
      </c>
      <c r="J169" s="6">
        <v>0</v>
      </c>
      <c r="K169" s="6">
        <v>0</v>
      </c>
      <c r="L169" s="6">
        <v>25.062000000000001</v>
      </c>
      <c r="M169" s="6">
        <v>25.062000000000001</v>
      </c>
      <c r="N169" s="6">
        <v>25.062000000000001</v>
      </c>
      <c r="O169" s="6">
        <v>25.062000000000001</v>
      </c>
      <c r="P169" s="6">
        <v>349</v>
      </c>
      <c r="Q169" s="4" t="s">
        <v>26</v>
      </c>
      <c r="R169" s="4">
        <v>0</v>
      </c>
      <c r="S169" s="4">
        <v>0</v>
      </c>
      <c r="T169" s="4">
        <v>6</v>
      </c>
      <c r="U169" s="4">
        <v>34</v>
      </c>
      <c r="V169" s="6">
        <f>IF(ISERROR(VLOOKUP($S$169,'TAR FIN'!$A$1:$O$86,15,0)),0,VLOOKUP($S$169,'TAR FIN'!$A$1:$O$86,15,0))</f>
        <v>0</v>
      </c>
      <c r="W169" s="6">
        <f>IF(ISERROR(VLOOKUP($T$169,'TAR FIN'!$A$1:$O$86,15,0)),0,VLOOKUP($T$169,'TAR FIN'!$A$1:$O$86,15,0))</f>
        <v>270.13</v>
      </c>
      <c r="X169" s="6">
        <f>IF(ISERROR(VLOOKUP($U$169,'TAR FIN'!$A$1:$O$86,15,0)),0,VLOOKUP($U$169,'TAR FIN'!$A$1:$O$86,15,0))</f>
        <v>224.01</v>
      </c>
      <c r="Y169" s="6"/>
      <c r="Z169" s="6">
        <f ca="1">('TUSD BE'!$AM$24+'TUSD BF'!$AM$24+'TUSD CVA'!$AM$24-('TUSD BE'!$P$24+'TUSD BF'!$P$24+'TUSD CVA'!$P$24)-('TUSD BE'!$Q$24+'TUSD BF'!$Q$24+'TUSD CVA'!$Q$24)-('TUSD BE'!$R$24+'TUSD BF'!$R$24+'TUSD CVA'!$R$24))*(1-CUSTOS!$M$37)</f>
        <v>293.013867089276</v>
      </c>
      <c r="AA169" s="6">
        <f>('TE BE'!$AB$15+'TE BF'!$AB$15+'TE CVA'!$AB$15)*(1-CUSTOS!$M$37)</f>
        <v>234.64376439748159</v>
      </c>
      <c r="AB169" s="6">
        <f t="shared" si="14"/>
        <v>0</v>
      </c>
      <c r="AC169" s="6">
        <f>(L169-M169)*(W169+X169)+($W$163+$X$163-$W$169-$X$169)*(L169)</f>
        <v>0</v>
      </c>
      <c r="AD169" s="6">
        <f t="shared" si="15"/>
        <v>0</v>
      </c>
      <c r="AE169" s="6">
        <f ca="1">(L169-M169)*(Z169+AA169)+($Z$163+$AA$163-$Z$169-$AA$169)*(L169)</f>
        <v>7.1230488174478527E-13</v>
      </c>
      <c r="AF169" s="4" t="s">
        <v>653</v>
      </c>
    </row>
    <row r="170" spans="1:32" ht="11.25" customHeight="1" x14ac:dyDescent="0.25">
      <c r="A170" s="4" t="s">
        <v>27</v>
      </c>
      <c r="B170" s="4" t="s">
        <v>22</v>
      </c>
      <c r="C170" s="4" t="s">
        <v>23</v>
      </c>
      <c r="D170" s="4" t="s">
        <v>24</v>
      </c>
      <c r="E170" s="4" t="s">
        <v>32</v>
      </c>
      <c r="F170" s="4" t="s">
        <v>25</v>
      </c>
      <c r="G170" s="4" t="s">
        <v>25</v>
      </c>
      <c r="H170" s="4" t="s">
        <v>25</v>
      </c>
      <c r="I170" s="5">
        <v>44501</v>
      </c>
      <c r="J170" s="6">
        <v>0</v>
      </c>
      <c r="K170" s="6">
        <v>0</v>
      </c>
      <c r="L170" s="6">
        <v>-8.8999999999999996E-2</v>
      </c>
      <c r="M170" s="6">
        <v>-8.8999999999999996E-2</v>
      </c>
      <c r="N170" s="6">
        <v>-8.8999999999999996E-2</v>
      </c>
      <c r="O170" s="6">
        <v>-8.8999999999999996E-2</v>
      </c>
      <c r="P170" s="6">
        <v>0</v>
      </c>
      <c r="Q170" s="4" t="s">
        <v>26</v>
      </c>
      <c r="R170" s="4">
        <v>0</v>
      </c>
      <c r="S170" s="4">
        <v>0</v>
      </c>
      <c r="T170" s="4">
        <v>6</v>
      </c>
      <c r="U170" s="4">
        <v>34</v>
      </c>
      <c r="V170" s="6">
        <f>IF(ISERROR(VLOOKUP($S$170,'TAR FIN'!$A$1:$O$86,15,0)),0,VLOOKUP($S$170,'TAR FIN'!$A$1:$O$86,15,0))</f>
        <v>0</v>
      </c>
      <c r="W170" s="6">
        <f>IF(ISERROR(VLOOKUP($T$170,'TAR FIN'!$A$1:$O$86,15,0)),0,VLOOKUP($T$170,'TAR FIN'!$A$1:$O$86,15,0))</f>
        <v>270.13</v>
      </c>
      <c r="X170" s="6">
        <f>IF(ISERROR(VLOOKUP($U$170,'TAR FIN'!$A$1:$O$86,15,0)),0,VLOOKUP($U$170,'TAR FIN'!$A$1:$O$86,15,0))</f>
        <v>224.01</v>
      </c>
      <c r="Y170" s="6"/>
      <c r="Z170" s="6">
        <f ca="1">('TUSD BE'!$AM$24+'TUSD BF'!$AM$24+'TUSD CVA'!$AM$24-('TUSD BE'!$P$24+'TUSD BF'!$P$24+'TUSD CVA'!$P$24)-('TUSD BE'!$Q$24+'TUSD BF'!$Q$24+'TUSD CVA'!$Q$24)-('TUSD BE'!$R$24+'TUSD BF'!$R$24+'TUSD CVA'!$R$24))*(1-CUSTOS!$M$37)</f>
        <v>293.013867089276</v>
      </c>
      <c r="AA170" s="6">
        <f>('TE BE'!$AB$15+'TE BF'!$AB$15+'TE CVA'!$AB$15)*(1-CUSTOS!$M$37)</f>
        <v>234.64376439748159</v>
      </c>
      <c r="AB170" s="6">
        <f t="shared" si="14"/>
        <v>0</v>
      </c>
      <c r="AC170" s="6">
        <f>(L170-M170)*(W170+X170)+($W$163+$X$163-$W$170-$X$170)*(L170)</f>
        <v>0</v>
      </c>
      <c r="AD170" s="6">
        <f t="shared" si="15"/>
        <v>0</v>
      </c>
      <c r="AE170" s="6">
        <f ca="1">(L170-M170)*(Z170+AA170)+($Z$163+$AA$163-$Z$170-$AA$170)*(L170)</f>
        <v>-2.5295321393059565E-15</v>
      </c>
      <c r="AF170" s="4" t="s">
        <v>653</v>
      </c>
    </row>
    <row r="171" spans="1:32" ht="11.25" customHeight="1" x14ac:dyDescent="0.25">
      <c r="A171" s="4" t="s">
        <v>21</v>
      </c>
      <c r="B171" s="4" t="s">
        <v>22</v>
      </c>
      <c r="C171" s="4" t="s">
        <v>23</v>
      </c>
      <c r="D171" s="4" t="s">
        <v>24</v>
      </c>
      <c r="E171" s="4" t="s">
        <v>32</v>
      </c>
      <c r="F171" s="4" t="s">
        <v>25</v>
      </c>
      <c r="G171" s="4" t="s">
        <v>25</v>
      </c>
      <c r="H171" s="4" t="s">
        <v>25</v>
      </c>
      <c r="I171" s="5">
        <v>44531</v>
      </c>
      <c r="J171" s="6">
        <v>0</v>
      </c>
      <c r="K171" s="6">
        <v>0</v>
      </c>
      <c r="L171" s="6">
        <v>24.013999999999999</v>
      </c>
      <c r="M171" s="6">
        <v>24.013999999999999</v>
      </c>
      <c r="N171" s="6">
        <v>24.013999999999999</v>
      </c>
      <c r="O171" s="6">
        <v>24.013999999999999</v>
      </c>
      <c r="P171" s="6">
        <v>339</v>
      </c>
      <c r="Q171" s="4" t="s">
        <v>26</v>
      </c>
      <c r="R171" s="4">
        <v>0</v>
      </c>
      <c r="S171" s="4">
        <v>0</v>
      </c>
      <c r="T171" s="4">
        <v>6</v>
      </c>
      <c r="U171" s="4">
        <v>34</v>
      </c>
      <c r="V171" s="6">
        <f>IF(ISERROR(VLOOKUP($S$171,'TAR FIN'!$A$1:$O$86,15,0)),0,VLOOKUP($S$171,'TAR FIN'!$A$1:$O$86,15,0))</f>
        <v>0</v>
      </c>
      <c r="W171" s="6">
        <f>IF(ISERROR(VLOOKUP($T$171,'TAR FIN'!$A$1:$O$86,15,0)),0,VLOOKUP($T$171,'TAR FIN'!$A$1:$O$86,15,0))</f>
        <v>270.13</v>
      </c>
      <c r="X171" s="6">
        <f>IF(ISERROR(VLOOKUP($U$171,'TAR FIN'!$A$1:$O$86,15,0)),0,VLOOKUP($U$171,'TAR FIN'!$A$1:$O$86,15,0))</f>
        <v>224.01</v>
      </c>
      <c r="Y171" s="6"/>
      <c r="Z171" s="6">
        <f ca="1">('TUSD BE'!$AM$24+'TUSD BF'!$AM$24+'TUSD CVA'!$AM$24-('TUSD BE'!$P$24+'TUSD BF'!$P$24+'TUSD CVA'!$P$24)-('TUSD BE'!$Q$24+'TUSD BF'!$Q$24+'TUSD CVA'!$Q$24)-('TUSD BE'!$R$24+'TUSD BF'!$R$24+'TUSD CVA'!$R$24))*(1-CUSTOS!$M$37)</f>
        <v>293.013867089276</v>
      </c>
      <c r="AA171" s="6">
        <f>('TE BE'!$AB$15+'TE BF'!$AB$15+'TE CVA'!$AB$15)*(1-CUSTOS!$M$37)</f>
        <v>234.64376439748159</v>
      </c>
      <c r="AB171" s="6">
        <f t="shared" si="14"/>
        <v>0</v>
      </c>
      <c r="AC171" s="6">
        <f>(L171-M171)*(W171+X171)+($W$163+$X$163-$W$171-$X$171)*(L171)</f>
        <v>0</v>
      </c>
      <c r="AD171" s="6">
        <f t="shared" si="15"/>
        <v>0</v>
      </c>
      <c r="AE171" s="6">
        <f ca="1">(L171-M171)*(Z171+AA171)+($Z$163+$AA$163-$Z$171-$AA$171)*(L171)</f>
        <v>6.8251893026172182E-13</v>
      </c>
      <c r="AF171" s="4" t="s">
        <v>653</v>
      </c>
    </row>
    <row r="172" spans="1:32" ht="11.25" customHeight="1" x14ac:dyDescent="0.25">
      <c r="A172" s="4" t="s">
        <v>27</v>
      </c>
      <c r="B172" s="4" t="s">
        <v>22</v>
      </c>
      <c r="C172" s="4" t="s">
        <v>23</v>
      </c>
      <c r="D172" s="4" t="s">
        <v>24</v>
      </c>
      <c r="E172" s="4" t="s">
        <v>32</v>
      </c>
      <c r="F172" s="4" t="s">
        <v>25</v>
      </c>
      <c r="G172" s="4" t="s">
        <v>25</v>
      </c>
      <c r="H172" s="4" t="s">
        <v>25</v>
      </c>
      <c r="I172" s="5">
        <v>44531</v>
      </c>
      <c r="J172" s="6">
        <v>0</v>
      </c>
      <c r="K172" s="6">
        <v>0</v>
      </c>
      <c r="L172" s="6">
        <v>-2.3E-2</v>
      </c>
      <c r="M172" s="6">
        <v>-2.3E-2</v>
      </c>
      <c r="N172" s="6">
        <v>-2.3E-2</v>
      </c>
      <c r="O172" s="6">
        <v>-2.3E-2</v>
      </c>
      <c r="P172" s="6">
        <v>0</v>
      </c>
      <c r="Q172" s="4" t="s">
        <v>26</v>
      </c>
      <c r="R172" s="4">
        <v>0</v>
      </c>
      <c r="S172" s="4">
        <v>0</v>
      </c>
      <c r="T172" s="4">
        <v>6</v>
      </c>
      <c r="U172" s="4">
        <v>34</v>
      </c>
      <c r="V172" s="6">
        <f>IF(ISERROR(VLOOKUP($S$172,'TAR FIN'!$A$1:$O$86,15,0)),0,VLOOKUP($S$172,'TAR FIN'!$A$1:$O$86,15,0))</f>
        <v>0</v>
      </c>
      <c r="W172" s="6">
        <f>IF(ISERROR(VLOOKUP($T$172,'TAR FIN'!$A$1:$O$86,15,0)),0,VLOOKUP($T$172,'TAR FIN'!$A$1:$O$86,15,0))</f>
        <v>270.13</v>
      </c>
      <c r="X172" s="6">
        <f>IF(ISERROR(VLOOKUP($U$172,'TAR FIN'!$A$1:$O$86,15,0)),0,VLOOKUP($U$172,'TAR FIN'!$A$1:$O$86,15,0))</f>
        <v>224.01</v>
      </c>
      <c r="Y172" s="6"/>
      <c r="Z172" s="6">
        <f ca="1">('TUSD BE'!$AM$24+'TUSD BF'!$AM$24+'TUSD CVA'!$AM$24-('TUSD BE'!$P$24+'TUSD BF'!$P$24+'TUSD CVA'!$P$24)-('TUSD BE'!$Q$24+'TUSD BF'!$Q$24+'TUSD CVA'!$Q$24)-('TUSD BE'!$R$24+'TUSD BF'!$R$24+'TUSD CVA'!$R$24))*(1-CUSTOS!$M$37)</f>
        <v>293.013867089276</v>
      </c>
      <c r="AA172" s="6">
        <f>('TE BE'!$AB$15+'TE BF'!$AB$15+'TE CVA'!$AB$15)*(1-CUSTOS!$M$37)</f>
        <v>234.64376439748159</v>
      </c>
      <c r="AB172" s="6">
        <f t="shared" si="14"/>
        <v>0</v>
      </c>
      <c r="AC172" s="6">
        <f>(L172-M172)*(W172+X172)+($W$163+$X$163-$W$172-$X$172)*(L172)</f>
        <v>0</v>
      </c>
      <c r="AD172" s="6">
        <f t="shared" si="15"/>
        <v>0</v>
      </c>
      <c r="AE172" s="6">
        <f ca="1">(L172-M172)*(Z172+AA172)+($Z$163+$AA$163-$Z$172-$AA$172)*(L172)</f>
        <v>-6.5369931689929216E-16</v>
      </c>
      <c r="AF172" s="4" t="s">
        <v>653</v>
      </c>
    </row>
    <row r="173" spans="1:32" ht="11.25" customHeight="1" x14ac:dyDescent="0.25">
      <c r="A173" s="4" t="s">
        <v>21</v>
      </c>
      <c r="B173" s="4" t="s">
        <v>22</v>
      </c>
      <c r="C173" s="4" t="s">
        <v>23</v>
      </c>
      <c r="D173" s="4" t="s">
        <v>24</v>
      </c>
      <c r="E173" s="4" t="s">
        <v>32</v>
      </c>
      <c r="F173" s="4" t="s">
        <v>25</v>
      </c>
      <c r="G173" s="4" t="s">
        <v>25</v>
      </c>
      <c r="H173" s="4" t="s">
        <v>25</v>
      </c>
      <c r="I173" s="5">
        <v>44562</v>
      </c>
      <c r="J173" s="6">
        <v>0</v>
      </c>
      <c r="K173" s="6">
        <v>0</v>
      </c>
      <c r="L173" s="6">
        <v>54.155000000000001</v>
      </c>
      <c r="M173" s="6">
        <v>54.155000000000001</v>
      </c>
      <c r="N173" s="6">
        <v>54.155000000000001</v>
      </c>
      <c r="O173" s="6">
        <v>54.155000000000001</v>
      </c>
      <c r="P173" s="6">
        <v>552</v>
      </c>
      <c r="Q173" s="4" t="s">
        <v>26</v>
      </c>
      <c r="R173" s="4">
        <v>0</v>
      </c>
      <c r="S173" s="4">
        <v>0</v>
      </c>
      <c r="T173" s="4">
        <v>6</v>
      </c>
      <c r="U173" s="4">
        <v>34</v>
      </c>
      <c r="V173" s="6">
        <f>IF(ISERROR(VLOOKUP($S$173,'TAR FIN'!$A$1:$O$86,15,0)),0,VLOOKUP($S$173,'TAR FIN'!$A$1:$O$86,15,0))</f>
        <v>0</v>
      </c>
      <c r="W173" s="6">
        <f>IF(ISERROR(VLOOKUP($T$173,'TAR FIN'!$A$1:$O$86,15,0)),0,VLOOKUP($T$173,'TAR FIN'!$A$1:$O$86,15,0))</f>
        <v>270.13</v>
      </c>
      <c r="X173" s="6">
        <f>IF(ISERROR(VLOOKUP($U$173,'TAR FIN'!$A$1:$O$86,15,0)),0,VLOOKUP($U$173,'TAR FIN'!$A$1:$O$86,15,0))</f>
        <v>224.01</v>
      </c>
      <c r="Y173" s="6"/>
      <c r="Z173" s="6">
        <f ca="1">('TUSD BE'!$AM$24+'TUSD BF'!$AM$24+'TUSD CVA'!$AM$24-('TUSD BE'!$P$24+'TUSD BF'!$P$24+'TUSD CVA'!$P$24)-('TUSD BE'!$Q$24+'TUSD BF'!$Q$24+'TUSD CVA'!$Q$24)-('TUSD BE'!$R$24+'TUSD BF'!$R$24+'TUSD CVA'!$R$24))*(1-CUSTOS!$M$37)</f>
        <v>293.013867089276</v>
      </c>
      <c r="AA173" s="6">
        <f>('TE BE'!$AB$15+'TE BF'!$AB$15+'TE CVA'!$AB$15)*(1-CUSTOS!$M$37)</f>
        <v>234.64376439748159</v>
      </c>
      <c r="AB173" s="6">
        <f t="shared" si="14"/>
        <v>0</v>
      </c>
      <c r="AC173" s="6">
        <f>(L173-M173)*(W173+X173)+($W$163+$X$163-$W$173-$X$173)*(L173)</f>
        <v>0</v>
      </c>
      <c r="AD173" s="6">
        <f t="shared" si="15"/>
        <v>0</v>
      </c>
      <c r="AE173" s="6">
        <f ca="1">(L173-M173)*(Z173+AA173)+($Z$163+$AA$163-$Z$173-$AA$173)*(L173)</f>
        <v>1.5391776742035291E-12</v>
      </c>
      <c r="AF173" s="4" t="s">
        <v>653</v>
      </c>
    </row>
    <row r="174" spans="1:32" ht="11.25" customHeight="1" x14ac:dyDescent="0.25">
      <c r="A174" s="4" t="s">
        <v>27</v>
      </c>
      <c r="B174" s="4" t="s">
        <v>22</v>
      </c>
      <c r="C174" s="4" t="s">
        <v>23</v>
      </c>
      <c r="D174" s="4" t="s">
        <v>24</v>
      </c>
      <c r="E174" s="4" t="s">
        <v>32</v>
      </c>
      <c r="F174" s="4" t="s">
        <v>25</v>
      </c>
      <c r="G174" s="4" t="s">
        <v>25</v>
      </c>
      <c r="H174" s="4" t="s">
        <v>25</v>
      </c>
      <c r="I174" s="5">
        <v>44562</v>
      </c>
      <c r="J174" s="6">
        <v>0</v>
      </c>
      <c r="K174" s="6">
        <v>0</v>
      </c>
      <c r="L174" s="6">
        <v>-0.01</v>
      </c>
      <c r="M174" s="6">
        <v>-0.01</v>
      </c>
      <c r="N174" s="6">
        <v>-0.01</v>
      </c>
      <c r="O174" s="6">
        <v>-0.01</v>
      </c>
      <c r="P174" s="6">
        <v>0</v>
      </c>
      <c r="Q174" s="4" t="s">
        <v>26</v>
      </c>
      <c r="R174" s="4">
        <v>0</v>
      </c>
      <c r="S174" s="4">
        <v>0</v>
      </c>
      <c r="T174" s="4">
        <v>6</v>
      </c>
      <c r="U174" s="4">
        <v>34</v>
      </c>
      <c r="V174" s="6">
        <f>IF(ISERROR(VLOOKUP($S$174,'TAR FIN'!$A$1:$O$86,15,0)),0,VLOOKUP($S$174,'TAR FIN'!$A$1:$O$86,15,0))</f>
        <v>0</v>
      </c>
      <c r="W174" s="6">
        <f>IF(ISERROR(VLOOKUP($T$174,'TAR FIN'!$A$1:$O$86,15,0)),0,VLOOKUP($T$174,'TAR FIN'!$A$1:$O$86,15,0))</f>
        <v>270.13</v>
      </c>
      <c r="X174" s="6">
        <f>IF(ISERROR(VLOOKUP($U$174,'TAR FIN'!$A$1:$O$86,15,0)),0,VLOOKUP($U$174,'TAR FIN'!$A$1:$O$86,15,0))</f>
        <v>224.01</v>
      </c>
      <c r="Y174" s="6"/>
      <c r="Z174" s="6">
        <f ca="1">('TUSD BE'!$AM$24+'TUSD BF'!$AM$24+'TUSD CVA'!$AM$24-('TUSD BE'!$P$24+'TUSD BF'!$P$24+'TUSD CVA'!$P$24)-('TUSD BE'!$Q$24+'TUSD BF'!$Q$24+'TUSD CVA'!$Q$24)-('TUSD BE'!$R$24+'TUSD BF'!$R$24+'TUSD CVA'!$R$24))*(1-CUSTOS!$M$37)</f>
        <v>293.013867089276</v>
      </c>
      <c r="AA174" s="6">
        <f>('TE BE'!$AB$15+'TE BF'!$AB$15+'TE CVA'!$AB$15)*(1-CUSTOS!$M$37)</f>
        <v>234.64376439748159</v>
      </c>
      <c r="AB174" s="6">
        <f t="shared" si="14"/>
        <v>0</v>
      </c>
      <c r="AC174" s="6">
        <f>(L174-M174)*(W174+X174)+($W$163+$X$163-$W$174-$X$174)*(L174)</f>
        <v>0</v>
      </c>
      <c r="AD174" s="6">
        <f t="shared" si="15"/>
        <v>0</v>
      </c>
      <c r="AE174" s="6">
        <f ca="1">(L174-M174)*(Z174+AA174)+($Z$163+$AA$163-$Z$174-$AA$174)*(L174)</f>
        <v>-2.8421709430404008E-16</v>
      </c>
      <c r="AF174" s="4" t="s">
        <v>653</v>
      </c>
    </row>
    <row r="175" spans="1:32" ht="11.25" customHeight="1" x14ac:dyDescent="0.25">
      <c r="A175" s="4" t="s">
        <v>21</v>
      </c>
      <c r="B175" s="4" t="s">
        <v>22</v>
      </c>
      <c r="C175" s="4" t="s">
        <v>23</v>
      </c>
      <c r="D175" s="4" t="s">
        <v>24</v>
      </c>
      <c r="E175" s="4" t="s">
        <v>32</v>
      </c>
      <c r="F175" s="4" t="s">
        <v>25</v>
      </c>
      <c r="G175" s="4" t="s">
        <v>25</v>
      </c>
      <c r="H175" s="4" t="s">
        <v>25</v>
      </c>
      <c r="I175" s="5">
        <v>44593</v>
      </c>
      <c r="J175" s="6">
        <v>0</v>
      </c>
      <c r="K175" s="6">
        <v>0</v>
      </c>
      <c r="L175" s="6">
        <v>63.542000000000002</v>
      </c>
      <c r="M175" s="6">
        <v>63.542000000000002</v>
      </c>
      <c r="N175" s="6">
        <v>63.542000000000002</v>
      </c>
      <c r="O175" s="6">
        <v>63.542000000000002</v>
      </c>
      <c r="P175" s="6">
        <v>567</v>
      </c>
      <c r="Q175" s="4" t="s">
        <v>26</v>
      </c>
      <c r="R175" s="4">
        <v>0</v>
      </c>
      <c r="S175" s="4">
        <v>0</v>
      </c>
      <c r="T175" s="4">
        <v>6</v>
      </c>
      <c r="U175" s="4">
        <v>34</v>
      </c>
      <c r="V175" s="6">
        <f>IF(ISERROR(VLOOKUP($S$175,'TAR FIN'!$A$1:$O$86,15,0)),0,VLOOKUP($S$175,'TAR FIN'!$A$1:$O$86,15,0))</f>
        <v>0</v>
      </c>
      <c r="W175" s="6">
        <f>IF(ISERROR(VLOOKUP($T$175,'TAR FIN'!$A$1:$O$86,15,0)),0,VLOOKUP($T$175,'TAR FIN'!$A$1:$O$86,15,0))</f>
        <v>270.13</v>
      </c>
      <c r="X175" s="6">
        <f>IF(ISERROR(VLOOKUP($U$175,'TAR FIN'!$A$1:$O$86,15,0)),0,VLOOKUP($U$175,'TAR FIN'!$A$1:$O$86,15,0))</f>
        <v>224.01</v>
      </c>
      <c r="Y175" s="6"/>
      <c r="Z175" s="6">
        <f ca="1">('TUSD BE'!$AM$24+'TUSD BF'!$AM$24+'TUSD CVA'!$AM$24-('TUSD BE'!$P$24+'TUSD BF'!$P$24+'TUSD CVA'!$P$24)-('TUSD BE'!$Q$24+'TUSD BF'!$Q$24+'TUSD CVA'!$Q$24)-('TUSD BE'!$R$24+'TUSD BF'!$R$24+'TUSD CVA'!$R$24))*(1-CUSTOS!$M$37)</f>
        <v>293.013867089276</v>
      </c>
      <c r="AA175" s="6">
        <f>('TE BE'!$AB$15+'TE BF'!$AB$15+'TE CVA'!$AB$15)*(1-CUSTOS!$M$37)</f>
        <v>234.64376439748159</v>
      </c>
      <c r="AB175" s="6">
        <f t="shared" si="14"/>
        <v>0</v>
      </c>
      <c r="AC175" s="6">
        <f>(L175-M175)*(W175+X175)+($W$163+$X$163-$W$175-$X$175)*(L175)</f>
        <v>0</v>
      </c>
      <c r="AD175" s="6">
        <f t="shared" si="15"/>
        <v>0</v>
      </c>
      <c r="AE175" s="6">
        <f ca="1">(L175-M175)*(Z175+AA175)+($Z$163+$AA$163-$Z$175-$AA$175)*(L175)</f>
        <v>1.8059722606267315E-12</v>
      </c>
      <c r="AF175" s="4" t="s">
        <v>653</v>
      </c>
    </row>
    <row r="176" spans="1:32" ht="11.25" customHeight="1" x14ac:dyDescent="0.25">
      <c r="A176" s="4" t="s">
        <v>21</v>
      </c>
      <c r="B176" s="4" t="s">
        <v>22</v>
      </c>
      <c r="C176" s="4" t="s">
        <v>23</v>
      </c>
      <c r="D176" s="4" t="s">
        <v>24</v>
      </c>
      <c r="E176" s="4" t="s">
        <v>32</v>
      </c>
      <c r="F176" s="4" t="s">
        <v>25</v>
      </c>
      <c r="G176" s="4" t="s">
        <v>25</v>
      </c>
      <c r="H176" s="4" t="s">
        <v>25</v>
      </c>
      <c r="I176" s="5">
        <v>44621</v>
      </c>
      <c r="J176" s="6">
        <v>0</v>
      </c>
      <c r="K176" s="6">
        <v>0</v>
      </c>
      <c r="L176" s="6">
        <v>56.566000000000003</v>
      </c>
      <c r="M176" s="6">
        <v>56.566000000000003</v>
      </c>
      <c r="N176" s="6">
        <v>56.566000000000003</v>
      </c>
      <c r="O176" s="6">
        <v>56.566000000000003</v>
      </c>
      <c r="P176" s="6">
        <v>517</v>
      </c>
      <c r="Q176" s="4" t="s">
        <v>26</v>
      </c>
      <c r="R176" s="4">
        <v>0</v>
      </c>
      <c r="S176" s="4">
        <v>0</v>
      </c>
      <c r="T176" s="4">
        <v>6</v>
      </c>
      <c r="U176" s="4">
        <v>34</v>
      </c>
      <c r="V176" s="6">
        <f>IF(ISERROR(VLOOKUP($S$176,'TAR FIN'!$A$1:$O$86,15,0)),0,VLOOKUP($S$176,'TAR FIN'!$A$1:$O$86,15,0))</f>
        <v>0</v>
      </c>
      <c r="W176" s="6">
        <f>IF(ISERROR(VLOOKUP($T$176,'TAR FIN'!$A$1:$O$86,15,0)),0,VLOOKUP($T$176,'TAR FIN'!$A$1:$O$86,15,0))</f>
        <v>270.13</v>
      </c>
      <c r="X176" s="6">
        <f>IF(ISERROR(VLOOKUP($U$176,'TAR FIN'!$A$1:$O$86,15,0)),0,VLOOKUP($U$176,'TAR FIN'!$A$1:$O$86,15,0))</f>
        <v>224.01</v>
      </c>
      <c r="Y176" s="6"/>
      <c r="Z176" s="6">
        <f ca="1">('TUSD BE'!$AM$24+'TUSD BF'!$AM$24+'TUSD CVA'!$AM$24-('TUSD BE'!$P$24+'TUSD BF'!$P$24+'TUSD CVA'!$P$24)-('TUSD BE'!$Q$24+'TUSD BF'!$Q$24+'TUSD CVA'!$Q$24)-('TUSD BE'!$R$24+'TUSD BF'!$R$24+'TUSD CVA'!$R$24))*(1-CUSTOS!$M$37)</f>
        <v>293.013867089276</v>
      </c>
      <c r="AA176" s="6">
        <f>('TE BE'!$AB$15+'TE BF'!$AB$15+'TE CVA'!$AB$15)*(1-CUSTOS!$M$37)</f>
        <v>234.64376439748159</v>
      </c>
      <c r="AB176" s="6">
        <f t="shared" si="14"/>
        <v>0</v>
      </c>
      <c r="AC176" s="6">
        <f>(L176-M176)*(W176+X176)+($W$163+$X$163-$W$176-$X$176)*(L176)</f>
        <v>0</v>
      </c>
      <c r="AD176" s="6">
        <f t="shared" si="15"/>
        <v>0</v>
      </c>
      <c r="AE176" s="6">
        <f ca="1">(L176-M176)*(Z176+AA176)+($Z$163+$AA$163-$Z$176-$AA$176)*(L176)</f>
        <v>1.6077024156402332E-12</v>
      </c>
      <c r="AF176" s="4" t="s">
        <v>653</v>
      </c>
    </row>
    <row r="177" spans="1:32" ht="11.25" customHeight="1" x14ac:dyDescent="0.25">
      <c r="A177" s="4" t="s">
        <v>27</v>
      </c>
      <c r="B177" s="4" t="s">
        <v>22</v>
      </c>
      <c r="C177" s="4" t="s">
        <v>23</v>
      </c>
      <c r="D177" s="4" t="s">
        <v>24</v>
      </c>
      <c r="E177" s="4" t="s">
        <v>32</v>
      </c>
      <c r="F177" s="4" t="s">
        <v>25</v>
      </c>
      <c r="G177" s="4" t="s">
        <v>25</v>
      </c>
      <c r="H177" s="4" t="s">
        <v>25</v>
      </c>
      <c r="I177" s="5">
        <v>44621</v>
      </c>
      <c r="J177" s="6">
        <v>0</v>
      </c>
      <c r="K177" s="6">
        <v>0</v>
      </c>
      <c r="L177" s="6">
        <v>-1.474</v>
      </c>
      <c r="M177" s="6">
        <v>-1.474</v>
      </c>
      <c r="N177" s="6">
        <v>-1.474</v>
      </c>
      <c r="O177" s="6">
        <v>-1.474</v>
      </c>
      <c r="P177" s="6">
        <v>0</v>
      </c>
      <c r="Q177" s="4" t="s">
        <v>26</v>
      </c>
      <c r="R177" s="4">
        <v>0</v>
      </c>
      <c r="S177" s="4">
        <v>0</v>
      </c>
      <c r="T177" s="4">
        <v>6</v>
      </c>
      <c r="U177" s="4">
        <v>34</v>
      </c>
      <c r="V177" s="6">
        <f>IF(ISERROR(VLOOKUP($S$177,'TAR FIN'!$A$1:$O$86,15,0)),0,VLOOKUP($S$177,'TAR FIN'!$A$1:$O$86,15,0))</f>
        <v>0</v>
      </c>
      <c r="W177" s="6">
        <f>IF(ISERROR(VLOOKUP($T$177,'TAR FIN'!$A$1:$O$86,15,0)),0,VLOOKUP($T$177,'TAR FIN'!$A$1:$O$86,15,0))</f>
        <v>270.13</v>
      </c>
      <c r="X177" s="6">
        <f>IF(ISERROR(VLOOKUP($U$177,'TAR FIN'!$A$1:$O$86,15,0)),0,VLOOKUP($U$177,'TAR FIN'!$A$1:$O$86,15,0))</f>
        <v>224.01</v>
      </c>
      <c r="Y177" s="6"/>
      <c r="Z177" s="6">
        <f ca="1">('TUSD BE'!$AM$24+'TUSD BF'!$AM$24+'TUSD CVA'!$AM$24-('TUSD BE'!$P$24+'TUSD BF'!$P$24+'TUSD CVA'!$P$24)-('TUSD BE'!$Q$24+'TUSD BF'!$Q$24+'TUSD CVA'!$Q$24)-('TUSD BE'!$R$24+'TUSD BF'!$R$24+'TUSD CVA'!$R$24))*(1-CUSTOS!$M$37)</f>
        <v>293.013867089276</v>
      </c>
      <c r="AA177" s="6">
        <f>('TE BE'!$AB$15+'TE BF'!$AB$15+'TE CVA'!$AB$15)*(1-CUSTOS!$M$37)</f>
        <v>234.64376439748159</v>
      </c>
      <c r="AB177" s="6">
        <f t="shared" si="14"/>
        <v>0</v>
      </c>
      <c r="AC177" s="6">
        <f>(L177-M177)*(W177+X177)+($W$163+$X$163-$W$177-$X$177)*(L177)</f>
        <v>0</v>
      </c>
      <c r="AD177" s="6">
        <f t="shared" si="15"/>
        <v>0</v>
      </c>
      <c r="AE177" s="6">
        <f ca="1">(L177-M177)*(Z177+AA177)+($Z$163+$AA$163-$Z$177-$AA$177)*(L177)</f>
        <v>-4.1893599700415506E-14</v>
      </c>
      <c r="AF177" s="4" t="s">
        <v>653</v>
      </c>
    </row>
    <row r="178" spans="1:32" ht="11.25" customHeight="1" x14ac:dyDescent="0.25">
      <c r="A178" s="4" t="s">
        <v>21</v>
      </c>
      <c r="B178" s="4" t="s">
        <v>22</v>
      </c>
      <c r="C178" s="4" t="s">
        <v>23</v>
      </c>
      <c r="D178" s="4" t="s">
        <v>24</v>
      </c>
      <c r="E178" s="4" t="s">
        <v>32</v>
      </c>
      <c r="F178" s="4" t="s">
        <v>25</v>
      </c>
      <c r="G178" s="4" t="s">
        <v>25</v>
      </c>
      <c r="H178" s="4" t="s">
        <v>25</v>
      </c>
      <c r="I178" s="5">
        <v>44652</v>
      </c>
      <c r="J178" s="6">
        <v>0</v>
      </c>
      <c r="K178" s="6">
        <v>0</v>
      </c>
      <c r="L178" s="6">
        <v>42.036000000000001</v>
      </c>
      <c r="M178" s="6">
        <v>42.036000000000001</v>
      </c>
      <c r="N178" s="6">
        <v>42.036000000000001</v>
      </c>
      <c r="O178" s="6">
        <v>42.036000000000001</v>
      </c>
      <c r="P178" s="6">
        <v>470</v>
      </c>
      <c r="Q178" s="4" t="s">
        <v>26</v>
      </c>
      <c r="R178" s="4">
        <v>0</v>
      </c>
      <c r="S178" s="4">
        <v>0</v>
      </c>
      <c r="T178" s="4">
        <v>6</v>
      </c>
      <c r="U178" s="4">
        <v>34</v>
      </c>
      <c r="V178" s="6">
        <f>IF(ISERROR(VLOOKUP($S$178,'TAR FIN'!$A$1:$O$86,15,0)),0,VLOOKUP($S$178,'TAR FIN'!$A$1:$O$86,15,0))</f>
        <v>0</v>
      </c>
      <c r="W178" s="6">
        <f>IF(ISERROR(VLOOKUP($T$178,'TAR FIN'!$A$1:$O$86,15,0)),0,VLOOKUP($T$178,'TAR FIN'!$A$1:$O$86,15,0))</f>
        <v>270.13</v>
      </c>
      <c r="X178" s="6">
        <f>IF(ISERROR(VLOOKUP($U$178,'TAR FIN'!$A$1:$O$86,15,0)),0,VLOOKUP($U$178,'TAR FIN'!$A$1:$O$86,15,0))</f>
        <v>224.01</v>
      </c>
      <c r="Y178" s="6"/>
      <c r="Z178" s="6">
        <f ca="1">('TUSD BE'!$AM$24+'TUSD BF'!$AM$24+'TUSD CVA'!$AM$24-('TUSD BE'!$P$24+'TUSD BF'!$P$24+'TUSD CVA'!$P$24)-('TUSD BE'!$Q$24+'TUSD BF'!$Q$24+'TUSD CVA'!$Q$24)-('TUSD BE'!$R$24+'TUSD BF'!$R$24+'TUSD CVA'!$R$24))*(1-CUSTOS!$M$37)</f>
        <v>293.013867089276</v>
      </c>
      <c r="AA178" s="6">
        <f>('TE BE'!$AB$15+'TE BF'!$AB$15+'TE CVA'!$AB$15)*(1-CUSTOS!$M$37)</f>
        <v>234.64376439748159</v>
      </c>
      <c r="AB178" s="6">
        <f t="shared" si="14"/>
        <v>0</v>
      </c>
      <c r="AC178" s="6">
        <f>(L178-M178)*(W178+X178)+($W$163+$X$163-$W$178-$X$178)*(L178)</f>
        <v>0</v>
      </c>
      <c r="AD178" s="6">
        <f t="shared" si="15"/>
        <v>0</v>
      </c>
      <c r="AE178" s="6">
        <f ca="1">(L178-M178)*(Z178+AA178)+($Z$163+$AA$163-$Z$178-$AA$178)*(L178)</f>
        <v>1.1947349776164629E-12</v>
      </c>
      <c r="AF178" s="4" t="s">
        <v>653</v>
      </c>
    </row>
    <row r="179" spans="1:32" ht="11.25" customHeight="1" x14ac:dyDescent="0.25">
      <c r="A179" s="4" t="s">
        <v>27</v>
      </c>
      <c r="B179" s="4" t="s">
        <v>22</v>
      </c>
      <c r="C179" s="4" t="s">
        <v>23</v>
      </c>
      <c r="D179" s="4" t="s">
        <v>24</v>
      </c>
      <c r="E179" s="4" t="s">
        <v>32</v>
      </c>
      <c r="F179" s="4" t="s">
        <v>25</v>
      </c>
      <c r="G179" s="4" t="s">
        <v>25</v>
      </c>
      <c r="H179" s="4" t="s">
        <v>25</v>
      </c>
      <c r="I179" s="5">
        <v>44652</v>
      </c>
      <c r="J179" s="6">
        <v>0</v>
      </c>
      <c r="K179" s="6">
        <v>0</v>
      </c>
      <c r="L179" s="6">
        <v>-0.28999999999999998</v>
      </c>
      <c r="M179" s="6">
        <v>-0.28999999999999998</v>
      </c>
      <c r="N179" s="6">
        <v>-0.28999999999999998</v>
      </c>
      <c r="O179" s="6">
        <v>-0.28999999999999998</v>
      </c>
      <c r="P179" s="6">
        <v>0</v>
      </c>
      <c r="Q179" s="4" t="s">
        <v>26</v>
      </c>
      <c r="R179" s="4">
        <v>0</v>
      </c>
      <c r="S179" s="4">
        <v>0</v>
      </c>
      <c r="T179" s="4">
        <v>6</v>
      </c>
      <c r="U179" s="4">
        <v>34</v>
      </c>
      <c r="V179" s="6">
        <f>IF(ISERROR(VLOOKUP($S$179,'TAR FIN'!$A$1:$O$86,15,0)),0,VLOOKUP($S$179,'TAR FIN'!$A$1:$O$86,15,0))</f>
        <v>0</v>
      </c>
      <c r="W179" s="6">
        <f>IF(ISERROR(VLOOKUP($T$179,'TAR FIN'!$A$1:$O$86,15,0)),0,VLOOKUP($T$179,'TAR FIN'!$A$1:$O$86,15,0))</f>
        <v>270.13</v>
      </c>
      <c r="X179" s="6">
        <f>IF(ISERROR(VLOOKUP($U$179,'TAR FIN'!$A$1:$O$86,15,0)),0,VLOOKUP($U$179,'TAR FIN'!$A$1:$O$86,15,0))</f>
        <v>224.01</v>
      </c>
      <c r="Y179" s="6"/>
      <c r="Z179" s="6">
        <f ca="1">('TUSD BE'!$AM$24+'TUSD BF'!$AM$24+'TUSD CVA'!$AM$24-('TUSD BE'!$P$24+'TUSD BF'!$P$24+'TUSD CVA'!$P$24)-('TUSD BE'!$Q$24+'TUSD BF'!$Q$24+'TUSD CVA'!$Q$24)-('TUSD BE'!$R$24+'TUSD BF'!$R$24+'TUSD CVA'!$R$24))*(1-CUSTOS!$M$37)</f>
        <v>293.013867089276</v>
      </c>
      <c r="AA179" s="6">
        <f>('TE BE'!$AB$15+'TE BF'!$AB$15+'TE CVA'!$AB$15)*(1-CUSTOS!$M$37)</f>
        <v>234.64376439748159</v>
      </c>
      <c r="AB179" s="6">
        <f t="shared" si="14"/>
        <v>0</v>
      </c>
      <c r="AC179" s="6">
        <f>(L179-M179)*(W179+X179)+($W$163+$X$163-$W$179-$X$179)*(L179)</f>
        <v>0</v>
      </c>
      <c r="AD179" s="6">
        <f t="shared" si="15"/>
        <v>0</v>
      </c>
      <c r="AE179" s="6">
        <f ca="1">(L179-M179)*(Z179+AA179)+($Z$163+$AA$163-$Z$179-$AA$179)*(L179)</f>
        <v>-8.2422957348171616E-15</v>
      </c>
      <c r="AF179" s="4" t="s">
        <v>653</v>
      </c>
    </row>
    <row r="180" spans="1:32" ht="11.25" customHeight="1" x14ac:dyDescent="0.25">
      <c r="A180" s="4" t="s">
        <v>21</v>
      </c>
      <c r="B180" s="4" t="s">
        <v>22</v>
      </c>
      <c r="C180" s="4" t="s">
        <v>23</v>
      </c>
      <c r="D180" s="4" t="s">
        <v>24</v>
      </c>
      <c r="E180" s="4" t="s">
        <v>32</v>
      </c>
      <c r="F180" s="4" t="s">
        <v>25</v>
      </c>
      <c r="G180" s="4" t="s">
        <v>25</v>
      </c>
      <c r="H180" s="4" t="s">
        <v>25</v>
      </c>
      <c r="I180" s="5">
        <v>44682</v>
      </c>
      <c r="J180" s="6">
        <v>0</v>
      </c>
      <c r="K180" s="6">
        <v>0</v>
      </c>
      <c r="L180" s="6">
        <v>29.068999999999999</v>
      </c>
      <c r="M180" s="6">
        <v>29.068999999999999</v>
      </c>
      <c r="N180" s="6">
        <v>29.068999999999999</v>
      </c>
      <c r="O180" s="6">
        <v>29.068999999999999</v>
      </c>
      <c r="P180" s="6">
        <v>361</v>
      </c>
      <c r="Q180" s="4" t="s">
        <v>26</v>
      </c>
      <c r="R180" s="4">
        <v>0</v>
      </c>
      <c r="S180" s="4">
        <v>0</v>
      </c>
      <c r="T180" s="4">
        <v>6</v>
      </c>
      <c r="U180" s="4">
        <v>34</v>
      </c>
      <c r="V180" s="6">
        <f>IF(ISERROR(VLOOKUP($S$180,'TAR FIN'!$A$1:$O$86,15,0)),0,VLOOKUP($S$180,'TAR FIN'!$A$1:$O$86,15,0))</f>
        <v>0</v>
      </c>
      <c r="W180" s="6">
        <f>IF(ISERROR(VLOOKUP($T$180,'TAR FIN'!$A$1:$O$86,15,0)),0,VLOOKUP($T$180,'TAR FIN'!$A$1:$O$86,15,0))</f>
        <v>270.13</v>
      </c>
      <c r="X180" s="6">
        <f>IF(ISERROR(VLOOKUP($U$180,'TAR FIN'!$A$1:$O$86,15,0)),0,VLOOKUP($U$180,'TAR FIN'!$A$1:$O$86,15,0))</f>
        <v>224.01</v>
      </c>
      <c r="Y180" s="6"/>
      <c r="Z180" s="6">
        <f ca="1">('TUSD BE'!$AM$24+'TUSD BF'!$AM$24+'TUSD CVA'!$AM$24-('TUSD BE'!$P$24+'TUSD BF'!$P$24+'TUSD CVA'!$P$24)-('TUSD BE'!$Q$24+'TUSD BF'!$Q$24+'TUSD CVA'!$Q$24)-('TUSD BE'!$R$24+'TUSD BF'!$R$24+'TUSD CVA'!$R$24))*(1-CUSTOS!$M$37)</f>
        <v>293.013867089276</v>
      </c>
      <c r="AA180" s="6">
        <f>('TE BE'!$AB$15+'TE BF'!$AB$15+'TE CVA'!$AB$15)*(1-CUSTOS!$M$37)</f>
        <v>234.64376439748159</v>
      </c>
      <c r="AB180" s="6">
        <f t="shared" si="14"/>
        <v>0</v>
      </c>
      <c r="AC180" s="6">
        <f>(L180-M180)*(W180+X180)+($W$163+$X$163-$W$180-$X$180)*(L180)</f>
        <v>0</v>
      </c>
      <c r="AD180" s="6">
        <f t="shared" si="15"/>
        <v>0</v>
      </c>
      <c r="AE180" s="6">
        <f ca="1">(L180-M180)*(Z180+AA180)+($Z$163+$AA$163-$Z$180-$AA$180)*(L180)</f>
        <v>8.2619067143241407E-13</v>
      </c>
      <c r="AF180" s="4" t="s">
        <v>653</v>
      </c>
    </row>
    <row r="181" spans="1:32" ht="11.25" customHeight="1" x14ac:dyDescent="0.25">
      <c r="A181" s="4" t="s">
        <v>21</v>
      </c>
      <c r="B181" s="4" t="s">
        <v>22</v>
      </c>
      <c r="C181" s="4" t="s">
        <v>23</v>
      </c>
      <c r="D181" s="4" t="s">
        <v>24</v>
      </c>
      <c r="E181" s="4" t="s">
        <v>32</v>
      </c>
      <c r="F181" s="4" t="s">
        <v>25</v>
      </c>
      <c r="G181" s="4" t="s">
        <v>25</v>
      </c>
      <c r="H181" s="4" t="s">
        <v>25</v>
      </c>
      <c r="I181" s="5">
        <v>44713</v>
      </c>
      <c r="J181" s="6">
        <v>0</v>
      </c>
      <c r="K181" s="6">
        <v>0</v>
      </c>
      <c r="L181" s="6">
        <v>38.725000000000001</v>
      </c>
      <c r="M181" s="6">
        <v>38.725000000000001</v>
      </c>
      <c r="N181" s="6">
        <v>38.725000000000001</v>
      </c>
      <c r="O181" s="6">
        <v>38.725000000000001</v>
      </c>
      <c r="P181" s="6">
        <v>433</v>
      </c>
      <c r="Q181" s="4" t="s">
        <v>26</v>
      </c>
      <c r="R181" s="4">
        <v>0</v>
      </c>
      <c r="S181" s="4">
        <v>0</v>
      </c>
      <c r="T181" s="4">
        <v>6</v>
      </c>
      <c r="U181" s="4">
        <v>34</v>
      </c>
      <c r="V181" s="6">
        <f>IF(ISERROR(VLOOKUP($S$181,'TAR FIN'!$A$1:$O$86,15,0)),0,VLOOKUP($S$181,'TAR FIN'!$A$1:$O$86,15,0))</f>
        <v>0</v>
      </c>
      <c r="W181" s="6">
        <f>IF(ISERROR(VLOOKUP($T$181,'TAR FIN'!$A$1:$O$86,15,0)),0,VLOOKUP($T$181,'TAR FIN'!$A$1:$O$86,15,0))</f>
        <v>270.13</v>
      </c>
      <c r="X181" s="6">
        <f>IF(ISERROR(VLOOKUP($U$181,'TAR FIN'!$A$1:$O$86,15,0)),0,VLOOKUP($U$181,'TAR FIN'!$A$1:$O$86,15,0))</f>
        <v>224.01</v>
      </c>
      <c r="Y181" s="6"/>
      <c r="Z181" s="6">
        <f ca="1">('TUSD BE'!$AM$24+'TUSD BF'!$AM$24+'TUSD CVA'!$AM$24-('TUSD BE'!$P$24+'TUSD BF'!$P$24+'TUSD CVA'!$P$24)-('TUSD BE'!$Q$24+'TUSD BF'!$Q$24+'TUSD CVA'!$Q$24)-('TUSD BE'!$R$24+'TUSD BF'!$R$24+'TUSD CVA'!$R$24))*(1-CUSTOS!$M$37)</f>
        <v>293.013867089276</v>
      </c>
      <c r="AA181" s="6">
        <f>('TE BE'!$AB$15+'TE BF'!$AB$15+'TE CVA'!$AB$15)*(1-CUSTOS!$M$37)</f>
        <v>234.64376439748159</v>
      </c>
      <c r="AB181" s="6">
        <f t="shared" si="14"/>
        <v>0</v>
      </c>
      <c r="AC181" s="6">
        <f>(L181-M181)*(W181+X181)+($W$163+$X$163-$W$181-$X$181)*(L181)</f>
        <v>0</v>
      </c>
      <c r="AD181" s="6">
        <f t="shared" si="15"/>
        <v>0</v>
      </c>
      <c r="AE181" s="6">
        <f ca="1">(L181-M181)*(Z181+AA181)+($Z$163+$AA$163-$Z$181-$AA$181)*(L181)</f>
        <v>1.1006306976923952E-12</v>
      </c>
      <c r="AF181" s="4" t="s">
        <v>653</v>
      </c>
    </row>
    <row r="182" spans="1:32" ht="11.25" customHeight="1" x14ac:dyDescent="0.25">
      <c r="A182" s="4" t="s">
        <v>55</v>
      </c>
      <c r="B182" s="4" t="s">
        <v>22</v>
      </c>
      <c r="C182" s="4" t="s">
        <v>23</v>
      </c>
      <c r="D182" s="4" t="s">
        <v>24</v>
      </c>
      <c r="E182" s="4" t="s">
        <v>32</v>
      </c>
      <c r="F182" s="4" t="s">
        <v>25</v>
      </c>
      <c r="G182" s="4" t="s">
        <v>25</v>
      </c>
      <c r="H182" s="4" t="s">
        <v>25</v>
      </c>
      <c r="I182" s="5">
        <v>44743</v>
      </c>
      <c r="J182" s="6">
        <v>0</v>
      </c>
      <c r="K182" s="6">
        <v>0</v>
      </c>
      <c r="L182" s="6">
        <v>38.725000000000001</v>
      </c>
      <c r="M182" s="6">
        <v>38.725000000000001</v>
      </c>
      <c r="N182" s="6">
        <v>38.725000000000001</v>
      </c>
      <c r="O182" s="6">
        <v>38.725000000000001</v>
      </c>
      <c r="P182" s="6">
        <v>433</v>
      </c>
      <c r="Q182" s="4" t="s">
        <v>26</v>
      </c>
      <c r="R182" s="4">
        <v>0</v>
      </c>
      <c r="S182" s="4">
        <v>0</v>
      </c>
      <c r="T182" s="4">
        <v>6</v>
      </c>
      <c r="U182" s="4">
        <v>34</v>
      </c>
      <c r="V182" s="6">
        <f>IF(ISERROR(VLOOKUP($S$182,'TAR FIN'!$A$1:$O$86,15,0)),0,VLOOKUP($S$182,'TAR FIN'!$A$1:$O$86,15,0))</f>
        <v>0</v>
      </c>
      <c r="W182" s="6">
        <f>IF(ISERROR(VLOOKUP($T$182,'TAR FIN'!$A$1:$O$86,15,0)),0,VLOOKUP($T$182,'TAR FIN'!$A$1:$O$86,15,0))</f>
        <v>270.13</v>
      </c>
      <c r="X182" s="6">
        <f>IF(ISERROR(VLOOKUP($U$182,'TAR FIN'!$A$1:$O$86,15,0)),0,VLOOKUP($U$182,'TAR FIN'!$A$1:$O$86,15,0))</f>
        <v>224.01</v>
      </c>
      <c r="Y182" s="6"/>
      <c r="Z182" s="6">
        <f ca="1">('TUSD BE'!$AM$24+'TUSD BF'!$AM$24+'TUSD CVA'!$AM$24-('TUSD BE'!$P$24+'TUSD BF'!$P$24+'TUSD CVA'!$P$24)-('TUSD BE'!$Q$24+'TUSD BF'!$Q$24+'TUSD CVA'!$Q$24)-('TUSD BE'!$R$24+'TUSD BF'!$R$24+'TUSD CVA'!$R$24))*(1-CUSTOS!$M$37)</f>
        <v>293.013867089276</v>
      </c>
      <c r="AA182" s="6">
        <f>('TE BE'!$AB$15+'TE BF'!$AB$15+'TE CVA'!$AB$15)*(1-CUSTOS!$M$37)</f>
        <v>234.64376439748159</v>
      </c>
      <c r="AB182" s="6">
        <f t="shared" si="14"/>
        <v>0</v>
      </c>
      <c r="AC182" s="6">
        <f>(L182-M182)*(W182+X182)+($W$163+$X$163-$W$182-$X$182)*(L182)</f>
        <v>0</v>
      </c>
      <c r="AD182" s="6">
        <f t="shared" si="15"/>
        <v>0</v>
      </c>
      <c r="AE182" s="6">
        <f ca="1">(L182-M182)*(Z182+AA182)+($Z$163+$AA$163-$Z$182-$AA$182)*(L182)</f>
        <v>1.1006306976923952E-12</v>
      </c>
      <c r="AF182" s="4" t="s">
        <v>653</v>
      </c>
    </row>
    <row r="183" spans="1:32" ht="11.25" customHeight="1" x14ac:dyDescent="0.25">
      <c r="A183" s="4" t="s">
        <v>21</v>
      </c>
      <c r="B183" s="4" t="s">
        <v>41</v>
      </c>
      <c r="C183" s="4" t="s">
        <v>23</v>
      </c>
      <c r="D183" s="4" t="s">
        <v>42</v>
      </c>
      <c r="E183" s="4" t="s">
        <v>52</v>
      </c>
      <c r="F183" s="4" t="s">
        <v>53</v>
      </c>
      <c r="G183" s="4" t="s">
        <v>25</v>
      </c>
      <c r="H183" s="4" t="s">
        <v>25</v>
      </c>
      <c r="I183" s="5">
        <v>44409</v>
      </c>
      <c r="J183" s="6">
        <v>0</v>
      </c>
      <c r="K183" s="6">
        <v>0</v>
      </c>
      <c r="L183" s="6">
        <v>2.472</v>
      </c>
      <c r="M183" s="6">
        <v>2.472</v>
      </c>
      <c r="N183" s="6">
        <v>2.472</v>
      </c>
      <c r="O183" s="6">
        <v>2.472</v>
      </c>
      <c r="P183" s="6">
        <v>0</v>
      </c>
      <c r="Q183" s="4" t="s">
        <v>26</v>
      </c>
      <c r="R183" s="4">
        <v>0</v>
      </c>
      <c r="S183" s="4">
        <v>0</v>
      </c>
      <c r="T183" s="4">
        <v>16</v>
      </c>
      <c r="U183" s="4">
        <v>54</v>
      </c>
      <c r="V183" s="6">
        <f>IF(ISERROR(VLOOKUP($S$183,'TAR FIN'!$A$1:$O$86,15,0)),0,VLOOKUP($S$183,'TAR FIN'!$A$1:$O$86,15,0))</f>
        <v>0</v>
      </c>
      <c r="W183" s="6">
        <f>IF(ISERROR(VLOOKUP($T$183,'TAR FIN'!$A$1:$O$86,15,0)),0,VLOOKUP($T$183,'TAR FIN'!$A$1:$O$86,15,0))</f>
        <v>297.89</v>
      </c>
      <c r="X183" s="6">
        <f>IF(ISERROR(VLOOKUP($U$183,'TAR FIN'!$A$1:$O$86,15,0)),0,VLOOKUP($U$183,'TAR FIN'!$A$1:$O$86,15,0))</f>
        <v>197.13</v>
      </c>
      <c r="Y183" s="6"/>
      <c r="Z183" s="6">
        <f ca="1">('TUSD BE'!$AM$33+'TUSD BF'!$AM$33+'TUSD CVA'!$AM$33)*(1-CUSTOS!$M$38)</f>
        <v>392.53302912886562</v>
      </c>
      <c r="AA183" s="6">
        <f>('TE BE'!$AB$24+'TE BF'!$AB$24+'TE CVA'!$AB$24)*(1-CUSTOS!$M$38)</f>
        <v>220.56513853363268</v>
      </c>
      <c r="AB183" s="6">
        <f t="shared" si="14"/>
        <v>0</v>
      </c>
      <c r="AC183" s="6">
        <f>(L183-M183)*(W183+X183)+($W$110+$X$110-$W$183-$X$183)*(L183)</f>
        <v>166.85999999999999</v>
      </c>
      <c r="AD183" s="6">
        <f t="shared" si="15"/>
        <v>0</v>
      </c>
      <c r="AE183" s="6">
        <f ca="1">(L183-M183)*(Z183+AA183)+($Z$110+$AA$110-$Z$183-$AA$183)*(L183)</f>
        <v>96.739064072023353</v>
      </c>
      <c r="AF183" s="4" t="s">
        <v>654</v>
      </c>
    </row>
    <row r="184" spans="1:32" ht="11.25" customHeight="1" x14ac:dyDescent="0.25">
      <c r="A184" s="4" t="s">
        <v>21</v>
      </c>
      <c r="B184" s="4" t="s">
        <v>41</v>
      </c>
      <c r="C184" s="4" t="s">
        <v>23</v>
      </c>
      <c r="D184" s="4" t="s">
        <v>42</v>
      </c>
      <c r="E184" s="4" t="s">
        <v>52</v>
      </c>
      <c r="F184" s="4" t="s">
        <v>53</v>
      </c>
      <c r="G184" s="4" t="s">
        <v>25</v>
      </c>
      <c r="H184" s="4" t="s">
        <v>25</v>
      </c>
      <c r="I184" s="5">
        <v>44440</v>
      </c>
      <c r="J184" s="6">
        <v>0</v>
      </c>
      <c r="K184" s="6">
        <v>0</v>
      </c>
      <c r="L184" s="6">
        <v>3.6890000000000001</v>
      </c>
      <c r="M184" s="6">
        <v>3.6890000000000001</v>
      </c>
      <c r="N184" s="6">
        <v>3.6890000000000001</v>
      </c>
      <c r="O184" s="6">
        <v>3.6890000000000001</v>
      </c>
      <c r="P184" s="6">
        <v>0</v>
      </c>
      <c r="Q184" s="4" t="s">
        <v>26</v>
      </c>
      <c r="R184" s="4">
        <v>0</v>
      </c>
      <c r="S184" s="4">
        <v>0</v>
      </c>
      <c r="T184" s="4">
        <v>16</v>
      </c>
      <c r="U184" s="4">
        <v>54</v>
      </c>
      <c r="V184" s="6">
        <f>IF(ISERROR(VLOOKUP($S$184,'TAR FIN'!$A$1:$O$86,15,0)),0,VLOOKUP($S$184,'TAR FIN'!$A$1:$O$86,15,0))</f>
        <v>0</v>
      </c>
      <c r="W184" s="6">
        <f>IF(ISERROR(VLOOKUP($T$184,'TAR FIN'!$A$1:$O$86,15,0)),0,VLOOKUP($T$184,'TAR FIN'!$A$1:$O$86,15,0))</f>
        <v>297.89</v>
      </c>
      <c r="X184" s="6">
        <f>IF(ISERROR(VLOOKUP($U$184,'TAR FIN'!$A$1:$O$86,15,0)),0,VLOOKUP($U$184,'TAR FIN'!$A$1:$O$86,15,0))</f>
        <v>197.13</v>
      </c>
      <c r="Y184" s="6"/>
      <c r="Z184" s="6">
        <f ca="1">('TUSD BE'!$AM$33+'TUSD BF'!$AM$33+'TUSD CVA'!$AM$33)*(1-CUSTOS!$M$38)</f>
        <v>392.53302912886562</v>
      </c>
      <c r="AA184" s="6">
        <f>('TE BE'!$AB$24+'TE BF'!$AB$24+'TE CVA'!$AB$24)*(1-CUSTOS!$M$38)</f>
        <v>220.56513853363268</v>
      </c>
      <c r="AB184" s="6">
        <f t="shared" si="14"/>
        <v>0</v>
      </c>
      <c r="AC184" s="6">
        <f>(L184-M184)*(W184+X184)+($W$110+$X$110-$W$184-$X$184)*(L184)</f>
        <v>249.00749999999999</v>
      </c>
      <c r="AD184" s="6">
        <f t="shared" si="15"/>
        <v>0</v>
      </c>
      <c r="AE184" s="6">
        <f ca="1">(L184-M184)*(Z184+AA184)+($Z$110+$AA$110-$Z$184-$AA$184)*(L184)</f>
        <v>144.36505152172091</v>
      </c>
      <c r="AF184" s="4" t="s">
        <v>654</v>
      </c>
    </row>
    <row r="185" spans="1:32" ht="11.25" customHeight="1" x14ac:dyDescent="0.25">
      <c r="A185" s="4" t="s">
        <v>21</v>
      </c>
      <c r="B185" s="4" t="s">
        <v>41</v>
      </c>
      <c r="C185" s="4" t="s">
        <v>23</v>
      </c>
      <c r="D185" s="4" t="s">
        <v>42</v>
      </c>
      <c r="E185" s="4" t="s">
        <v>52</v>
      </c>
      <c r="F185" s="4" t="s">
        <v>53</v>
      </c>
      <c r="G185" s="4" t="s">
        <v>25</v>
      </c>
      <c r="H185" s="4" t="s">
        <v>25</v>
      </c>
      <c r="I185" s="5">
        <v>44470</v>
      </c>
      <c r="J185" s="6">
        <v>0</v>
      </c>
      <c r="K185" s="6">
        <v>0</v>
      </c>
      <c r="L185" s="6">
        <v>1.538</v>
      </c>
      <c r="M185" s="6">
        <v>1.538</v>
      </c>
      <c r="N185" s="6">
        <v>1.538</v>
      </c>
      <c r="O185" s="6">
        <v>1.538</v>
      </c>
      <c r="P185" s="6">
        <v>0</v>
      </c>
      <c r="Q185" s="4" t="s">
        <v>26</v>
      </c>
      <c r="R185" s="4">
        <v>0</v>
      </c>
      <c r="S185" s="4">
        <v>0</v>
      </c>
      <c r="T185" s="4">
        <v>16</v>
      </c>
      <c r="U185" s="4">
        <v>54</v>
      </c>
      <c r="V185" s="6">
        <f>IF(ISERROR(VLOOKUP($S$185,'TAR FIN'!$A$1:$O$86,15,0)),0,VLOOKUP($S$185,'TAR FIN'!$A$1:$O$86,15,0))</f>
        <v>0</v>
      </c>
      <c r="W185" s="6">
        <f>IF(ISERROR(VLOOKUP($T$185,'TAR FIN'!$A$1:$O$86,15,0)),0,VLOOKUP($T$185,'TAR FIN'!$A$1:$O$86,15,0))</f>
        <v>297.89</v>
      </c>
      <c r="X185" s="6">
        <f>IF(ISERROR(VLOOKUP($U$185,'TAR FIN'!$A$1:$O$86,15,0)),0,VLOOKUP($U$185,'TAR FIN'!$A$1:$O$86,15,0))</f>
        <v>197.13</v>
      </c>
      <c r="Y185" s="6"/>
      <c r="Z185" s="6">
        <f ca="1">('TUSD BE'!$AM$33+'TUSD BF'!$AM$33+'TUSD CVA'!$AM$33)*(1-CUSTOS!$M$38)</f>
        <v>392.53302912886562</v>
      </c>
      <c r="AA185" s="6">
        <f>('TE BE'!$AB$24+'TE BF'!$AB$24+'TE CVA'!$AB$24)*(1-CUSTOS!$M$38)</f>
        <v>220.56513853363268</v>
      </c>
      <c r="AB185" s="6">
        <f t="shared" si="14"/>
        <v>0</v>
      </c>
      <c r="AC185" s="6">
        <f>(L185-M185)*(W185+X185)+($W$110+$X$110-$W$185-$X$185)*(L185)</f>
        <v>103.815</v>
      </c>
      <c r="AD185" s="6">
        <f t="shared" si="15"/>
        <v>0</v>
      </c>
      <c r="AE185" s="6">
        <f ca="1">(L185-M185)*(Z185+AA185)+($Z$110+$AA$110-$Z$185-$AA$185)*(L185)</f>
        <v>60.187977565846246</v>
      </c>
      <c r="AF185" s="4" t="s">
        <v>654</v>
      </c>
    </row>
    <row r="186" spans="1:32" ht="11.25" customHeight="1" x14ac:dyDescent="0.25">
      <c r="A186" s="4" t="s">
        <v>21</v>
      </c>
      <c r="B186" s="4" t="s">
        <v>41</v>
      </c>
      <c r="C186" s="4" t="s">
        <v>23</v>
      </c>
      <c r="D186" s="4" t="s">
        <v>42</v>
      </c>
      <c r="E186" s="4" t="s">
        <v>52</v>
      </c>
      <c r="F186" s="4" t="s">
        <v>53</v>
      </c>
      <c r="G186" s="4" t="s">
        <v>25</v>
      </c>
      <c r="H186" s="4" t="s">
        <v>25</v>
      </c>
      <c r="I186" s="5">
        <v>44501</v>
      </c>
      <c r="J186" s="6">
        <v>0</v>
      </c>
      <c r="K186" s="6">
        <v>0</v>
      </c>
      <c r="L186" s="6">
        <v>2.7269999999999999</v>
      </c>
      <c r="M186" s="6">
        <v>2.7269999999999999</v>
      </c>
      <c r="N186" s="6">
        <v>2.7269999999999999</v>
      </c>
      <c r="O186" s="6">
        <v>2.7269999999999999</v>
      </c>
      <c r="P186" s="6">
        <v>0</v>
      </c>
      <c r="Q186" s="4" t="s">
        <v>26</v>
      </c>
      <c r="R186" s="4">
        <v>0</v>
      </c>
      <c r="S186" s="4">
        <v>0</v>
      </c>
      <c r="T186" s="4">
        <v>16</v>
      </c>
      <c r="U186" s="4">
        <v>54</v>
      </c>
      <c r="V186" s="6">
        <f>IF(ISERROR(VLOOKUP($S$186,'TAR FIN'!$A$1:$O$86,15,0)),0,VLOOKUP($S$186,'TAR FIN'!$A$1:$O$86,15,0))</f>
        <v>0</v>
      </c>
      <c r="W186" s="6">
        <f>IF(ISERROR(VLOOKUP($T$186,'TAR FIN'!$A$1:$O$86,15,0)),0,VLOOKUP($T$186,'TAR FIN'!$A$1:$O$86,15,0))</f>
        <v>297.89</v>
      </c>
      <c r="X186" s="6">
        <f>IF(ISERROR(VLOOKUP($U$186,'TAR FIN'!$A$1:$O$86,15,0)),0,VLOOKUP($U$186,'TAR FIN'!$A$1:$O$86,15,0))</f>
        <v>197.13</v>
      </c>
      <c r="Y186" s="6"/>
      <c r="Z186" s="6">
        <f ca="1">('TUSD BE'!$AM$33+'TUSD BF'!$AM$33+'TUSD CVA'!$AM$33)*(1-CUSTOS!$M$38)</f>
        <v>392.53302912886562</v>
      </c>
      <c r="AA186" s="6">
        <f>('TE BE'!$AB$24+'TE BF'!$AB$24+'TE CVA'!$AB$24)*(1-CUSTOS!$M$38)</f>
        <v>220.56513853363268</v>
      </c>
      <c r="AB186" s="6">
        <f t="shared" si="14"/>
        <v>0</v>
      </c>
      <c r="AC186" s="6">
        <f>(L186-M186)*(W186+X186)+($W$110+$X$110-$W$186-$X$186)*(L186)</f>
        <v>184.07249999999999</v>
      </c>
      <c r="AD186" s="6">
        <f t="shared" si="15"/>
        <v>0</v>
      </c>
      <c r="AE186" s="6">
        <f ca="1">(L186-M186)*(Z186+AA186)+($Z$110+$AA$110-$Z$186-$AA$186)*(L186)</f>
        <v>106.71821509887042</v>
      </c>
      <c r="AF186" s="4" t="s">
        <v>654</v>
      </c>
    </row>
    <row r="187" spans="1:32" ht="11.25" customHeight="1" x14ac:dyDescent="0.25">
      <c r="A187" s="4" t="s">
        <v>21</v>
      </c>
      <c r="B187" s="4" t="s">
        <v>41</v>
      </c>
      <c r="C187" s="4" t="s">
        <v>23</v>
      </c>
      <c r="D187" s="4" t="s">
        <v>42</v>
      </c>
      <c r="E187" s="4" t="s">
        <v>52</v>
      </c>
      <c r="F187" s="4" t="s">
        <v>53</v>
      </c>
      <c r="G187" s="4" t="s">
        <v>25</v>
      </c>
      <c r="H187" s="4" t="s">
        <v>25</v>
      </c>
      <c r="I187" s="5">
        <v>44531</v>
      </c>
      <c r="J187" s="6">
        <v>0</v>
      </c>
      <c r="K187" s="6">
        <v>0</v>
      </c>
      <c r="L187" s="6">
        <v>8.2140000000000004</v>
      </c>
      <c r="M187" s="6">
        <v>8.2140000000000004</v>
      </c>
      <c r="N187" s="6">
        <v>8.2140000000000004</v>
      </c>
      <c r="O187" s="6">
        <v>8.2140000000000004</v>
      </c>
      <c r="P187" s="6">
        <v>0</v>
      </c>
      <c r="Q187" s="4" t="s">
        <v>26</v>
      </c>
      <c r="R187" s="4">
        <v>0</v>
      </c>
      <c r="S187" s="4">
        <v>0</v>
      </c>
      <c r="T187" s="4">
        <v>16</v>
      </c>
      <c r="U187" s="4">
        <v>54</v>
      </c>
      <c r="V187" s="6">
        <f>IF(ISERROR(VLOOKUP($S$187,'TAR FIN'!$A$1:$O$86,15,0)),0,VLOOKUP($S$187,'TAR FIN'!$A$1:$O$86,15,0))</f>
        <v>0</v>
      </c>
      <c r="W187" s="6">
        <f>IF(ISERROR(VLOOKUP($T$187,'TAR FIN'!$A$1:$O$86,15,0)),0,VLOOKUP($T$187,'TAR FIN'!$A$1:$O$86,15,0))</f>
        <v>297.89</v>
      </c>
      <c r="X187" s="6">
        <f>IF(ISERROR(VLOOKUP($U$187,'TAR FIN'!$A$1:$O$86,15,0)),0,VLOOKUP($U$187,'TAR FIN'!$A$1:$O$86,15,0))</f>
        <v>197.13</v>
      </c>
      <c r="Y187" s="6"/>
      <c r="Z187" s="6">
        <f ca="1">('TUSD BE'!$AM$33+'TUSD BF'!$AM$33+'TUSD CVA'!$AM$33)*(1-CUSTOS!$M$38)</f>
        <v>392.53302912886562</v>
      </c>
      <c r="AA187" s="6">
        <f>('TE BE'!$AB$24+'TE BF'!$AB$24+'TE CVA'!$AB$24)*(1-CUSTOS!$M$38)</f>
        <v>220.56513853363268</v>
      </c>
      <c r="AB187" s="6">
        <f t="shared" si="14"/>
        <v>0</v>
      </c>
      <c r="AC187" s="6">
        <f>(L187-M187)*(W187+X187)+($W$110+$X$110-$W$187-$X$187)*(L187)</f>
        <v>554.44500000000005</v>
      </c>
      <c r="AD187" s="6">
        <f t="shared" si="15"/>
        <v>0</v>
      </c>
      <c r="AE187" s="6">
        <f ca="1">(L187-M187)*(Z187+AA187)+($Z$110+$AA$110-$Z$187-$AA$187)*(L187)</f>
        <v>321.44606484126206</v>
      </c>
      <c r="AF187" s="4" t="s">
        <v>654</v>
      </c>
    </row>
    <row r="188" spans="1:32" ht="11.25" customHeight="1" x14ac:dyDescent="0.25">
      <c r="A188" s="4" t="s">
        <v>27</v>
      </c>
      <c r="B188" s="4" t="s">
        <v>41</v>
      </c>
      <c r="C188" s="4" t="s">
        <v>23</v>
      </c>
      <c r="D188" s="4" t="s">
        <v>42</v>
      </c>
      <c r="E188" s="4" t="s">
        <v>52</v>
      </c>
      <c r="F188" s="4" t="s">
        <v>53</v>
      </c>
      <c r="G188" s="4" t="s">
        <v>25</v>
      </c>
      <c r="H188" s="4" t="s">
        <v>25</v>
      </c>
      <c r="I188" s="5">
        <v>44531</v>
      </c>
      <c r="J188" s="6">
        <v>0</v>
      </c>
      <c r="K188" s="6">
        <v>0</v>
      </c>
      <c r="L188" s="6">
        <v>-0.85299999999999998</v>
      </c>
      <c r="M188" s="6">
        <v>-0.85299999999999998</v>
      </c>
      <c r="N188" s="6">
        <v>-0.85299999999999998</v>
      </c>
      <c r="O188" s="6">
        <v>-0.85299999999999998</v>
      </c>
      <c r="P188" s="6">
        <v>0</v>
      </c>
      <c r="Q188" s="4" t="s">
        <v>26</v>
      </c>
      <c r="R188" s="4">
        <v>0</v>
      </c>
      <c r="S188" s="4">
        <v>0</v>
      </c>
      <c r="T188" s="4">
        <v>16</v>
      </c>
      <c r="U188" s="4">
        <v>54</v>
      </c>
      <c r="V188" s="6">
        <f>IF(ISERROR(VLOOKUP($S$188,'TAR FIN'!$A$1:$O$86,15,0)),0,VLOOKUP($S$188,'TAR FIN'!$A$1:$O$86,15,0))</f>
        <v>0</v>
      </c>
      <c r="W188" s="6">
        <f>IF(ISERROR(VLOOKUP($T$188,'TAR FIN'!$A$1:$O$86,15,0)),0,VLOOKUP($T$188,'TAR FIN'!$A$1:$O$86,15,0))</f>
        <v>297.89</v>
      </c>
      <c r="X188" s="6">
        <f>IF(ISERROR(VLOOKUP($U$188,'TAR FIN'!$A$1:$O$86,15,0)),0,VLOOKUP($U$188,'TAR FIN'!$A$1:$O$86,15,0))</f>
        <v>197.13</v>
      </c>
      <c r="Y188" s="6"/>
      <c r="Z188" s="6">
        <f ca="1">('TUSD BE'!$AM$33+'TUSD BF'!$AM$33+'TUSD CVA'!$AM$33)*(1-CUSTOS!$M$38)</f>
        <v>392.53302912886562</v>
      </c>
      <c r="AA188" s="6">
        <f>('TE BE'!$AB$24+'TE BF'!$AB$24+'TE CVA'!$AB$24)*(1-CUSTOS!$M$38)</f>
        <v>220.56513853363268</v>
      </c>
      <c r="AB188" s="6">
        <f t="shared" si="14"/>
        <v>0</v>
      </c>
      <c r="AC188" s="6">
        <f>(L188-M188)*(W188+X188)+($W$110+$X$110-$W$188-$X$188)*(L188)</f>
        <v>-57.577500000000001</v>
      </c>
      <c r="AD188" s="6">
        <f t="shared" si="15"/>
        <v>0</v>
      </c>
      <c r="AE188" s="6">
        <f ca="1">(L188-M188)*(Z188+AA188)+($Z$110+$AA$110-$Z$188-$AA$188)*(L188)</f>
        <v>-33.381238532943328</v>
      </c>
      <c r="AF188" s="4" t="s">
        <v>654</v>
      </c>
    </row>
    <row r="189" spans="1:32" ht="11.25" customHeight="1" x14ac:dyDescent="0.25">
      <c r="A189" s="4" t="s">
        <v>21</v>
      </c>
      <c r="B189" s="4" t="s">
        <v>41</v>
      </c>
      <c r="C189" s="4" t="s">
        <v>23</v>
      </c>
      <c r="D189" s="4" t="s">
        <v>42</v>
      </c>
      <c r="E189" s="4" t="s">
        <v>52</v>
      </c>
      <c r="F189" s="4" t="s">
        <v>53</v>
      </c>
      <c r="G189" s="4" t="s">
        <v>25</v>
      </c>
      <c r="H189" s="4" t="s">
        <v>25</v>
      </c>
      <c r="I189" s="5">
        <v>44562</v>
      </c>
      <c r="J189" s="6">
        <v>0</v>
      </c>
      <c r="K189" s="6">
        <v>0</v>
      </c>
      <c r="L189" s="6">
        <v>5.101</v>
      </c>
      <c r="M189" s="6">
        <v>5.101</v>
      </c>
      <c r="N189" s="6">
        <v>5.101</v>
      </c>
      <c r="O189" s="6">
        <v>5.101</v>
      </c>
      <c r="P189" s="6">
        <v>0</v>
      </c>
      <c r="Q189" s="4" t="s">
        <v>26</v>
      </c>
      <c r="R189" s="4">
        <v>0</v>
      </c>
      <c r="S189" s="4">
        <v>0</v>
      </c>
      <c r="T189" s="4">
        <v>16</v>
      </c>
      <c r="U189" s="4">
        <v>54</v>
      </c>
      <c r="V189" s="6">
        <f>IF(ISERROR(VLOOKUP($S$189,'TAR FIN'!$A$1:$O$86,15,0)),0,VLOOKUP($S$189,'TAR FIN'!$A$1:$O$86,15,0))</f>
        <v>0</v>
      </c>
      <c r="W189" s="6">
        <f>IF(ISERROR(VLOOKUP($T$189,'TAR FIN'!$A$1:$O$86,15,0)),0,VLOOKUP($T$189,'TAR FIN'!$A$1:$O$86,15,0))</f>
        <v>297.89</v>
      </c>
      <c r="X189" s="6">
        <f>IF(ISERROR(VLOOKUP($U$189,'TAR FIN'!$A$1:$O$86,15,0)),0,VLOOKUP($U$189,'TAR FIN'!$A$1:$O$86,15,0))</f>
        <v>197.13</v>
      </c>
      <c r="Y189" s="6"/>
      <c r="Z189" s="6">
        <f ca="1">('TUSD BE'!$AM$33+'TUSD BF'!$AM$33+'TUSD CVA'!$AM$33)*(1-CUSTOS!$M$38)</f>
        <v>392.53302912886562</v>
      </c>
      <c r="AA189" s="6">
        <f>('TE BE'!$AB$24+'TE BF'!$AB$24+'TE CVA'!$AB$24)*(1-CUSTOS!$M$38)</f>
        <v>220.56513853363268</v>
      </c>
      <c r="AB189" s="6">
        <f t="shared" si="14"/>
        <v>0</v>
      </c>
      <c r="AC189" s="6">
        <f>(L189-M189)*(W189+X189)+($W$110+$X$110-$W$189-$X$189)*(L189)</f>
        <v>344.3175</v>
      </c>
      <c r="AD189" s="6">
        <f t="shared" si="15"/>
        <v>0</v>
      </c>
      <c r="AE189" s="6">
        <f ca="1">(L189-M189)*(Z189+AA189)+($Z$110+$AA$110-$Z$189-$AA$189)*(L189)</f>
        <v>199.62215446253686</v>
      </c>
      <c r="AF189" s="4" t="s">
        <v>654</v>
      </c>
    </row>
    <row r="190" spans="1:32" ht="11.25" customHeight="1" x14ac:dyDescent="0.25">
      <c r="A190" s="4" t="s">
        <v>27</v>
      </c>
      <c r="B190" s="4" t="s">
        <v>41</v>
      </c>
      <c r="C190" s="4" t="s">
        <v>23</v>
      </c>
      <c r="D190" s="4" t="s">
        <v>42</v>
      </c>
      <c r="E190" s="4" t="s">
        <v>52</v>
      </c>
      <c r="F190" s="4" t="s">
        <v>53</v>
      </c>
      <c r="G190" s="4" t="s">
        <v>25</v>
      </c>
      <c r="H190" s="4" t="s">
        <v>25</v>
      </c>
      <c r="I190" s="5">
        <v>44562</v>
      </c>
      <c r="J190" s="6">
        <v>0</v>
      </c>
      <c r="K190" s="6">
        <v>0</v>
      </c>
      <c r="L190" s="6">
        <v>-2.6259999999999999</v>
      </c>
      <c r="M190" s="6">
        <v>-2.6259999999999999</v>
      </c>
      <c r="N190" s="6">
        <v>-2.6259999999999999</v>
      </c>
      <c r="O190" s="6">
        <v>-2.6259999999999999</v>
      </c>
      <c r="P190" s="6">
        <v>0</v>
      </c>
      <c r="Q190" s="4" t="s">
        <v>26</v>
      </c>
      <c r="R190" s="4">
        <v>0</v>
      </c>
      <c r="S190" s="4">
        <v>0</v>
      </c>
      <c r="T190" s="4">
        <v>16</v>
      </c>
      <c r="U190" s="4">
        <v>54</v>
      </c>
      <c r="V190" s="6">
        <f>IF(ISERROR(VLOOKUP($S$190,'TAR FIN'!$A$1:$O$86,15,0)),0,VLOOKUP($S$190,'TAR FIN'!$A$1:$O$86,15,0))</f>
        <v>0</v>
      </c>
      <c r="W190" s="6">
        <f>IF(ISERROR(VLOOKUP($T$190,'TAR FIN'!$A$1:$O$86,15,0)),0,VLOOKUP($T$190,'TAR FIN'!$A$1:$O$86,15,0))</f>
        <v>297.89</v>
      </c>
      <c r="X190" s="6">
        <f>IF(ISERROR(VLOOKUP($U$190,'TAR FIN'!$A$1:$O$86,15,0)),0,VLOOKUP($U$190,'TAR FIN'!$A$1:$O$86,15,0))</f>
        <v>197.13</v>
      </c>
      <c r="Y190" s="6"/>
      <c r="Z190" s="6">
        <f ca="1">('TUSD BE'!$AM$33+'TUSD BF'!$AM$33+'TUSD CVA'!$AM$33)*(1-CUSTOS!$M$38)</f>
        <v>392.53302912886562</v>
      </c>
      <c r="AA190" s="6">
        <f>('TE BE'!$AB$24+'TE BF'!$AB$24+'TE CVA'!$AB$24)*(1-CUSTOS!$M$38)</f>
        <v>220.56513853363268</v>
      </c>
      <c r="AB190" s="6">
        <f t="shared" si="14"/>
        <v>0</v>
      </c>
      <c r="AC190" s="6">
        <f>(L190-M190)*(W190+X190)+($W$110+$X$110-$W$190-$X$190)*(L190)</f>
        <v>-177.255</v>
      </c>
      <c r="AD190" s="6">
        <f t="shared" si="15"/>
        <v>0</v>
      </c>
      <c r="AE190" s="6">
        <f ca="1">(L190-M190)*(Z190+AA190)+($Z$110+$AA$110-$Z$190-$AA$190)*(L190)</f>
        <v>-102.76568861372706</v>
      </c>
      <c r="AF190" s="4" t="s">
        <v>654</v>
      </c>
    </row>
    <row r="191" spans="1:32" ht="11.25" customHeight="1" x14ac:dyDescent="0.25">
      <c r="A191" s="4" t="s">
        <v>21</v>
      </c>
      <c r="B191" s="4" t="s">
        <v>41</v>
      </c>
      <c r="C191" s="4" t="s">
        <v>23</v>
      </c>
      <c r="D191" s="4" t="s">
        <v>42</v>
      </c>
      <c r="E191" s="4" t="s">
        <v>52</v>
      </c>
      <c r="F191" s="4" t="s">
        <v>53</v>
      </c>
      <c r="G191" s="4" t="s">
        <v>25</v>
      </c>
      <c r="H191" s="4" t="s">
        <v>25</v>
      </c>
      <c r="I191" s="5">
        <v>44593</v>
      </c>
      <c r="J191" s="6">
        <v>0</v>
      </c>
      <c r="K191" s="6">
        <v>0</v>
      </c>
      <c r="L191" s="6">
        <v>4.117</v>
      </c>
      <c r="M191" s="6">
        <v>4.117</v>
      </c>
      <c r="N191" s="6">
        <v>4.117</v>
      </c>
      <c r="O191" s="6">
        <v>4.117</v>
      </c>
      <c r="P191" s="6">
        <v>0</v>
      </c>
      <c r="Q191" s="4" t="s">
        <v>26</v>
      </c>
      <c r="R191" s="4">
        <v>0</v>
      </c>
      <c r="S191" s="4">
        <v>0</v>
      </c>
      <c r="T191" s="4">
        <v>16</v>
      </c>
      <c r="U191" s="4">
        <v>54</v>
      </c>
      <c r="V191" s="6">
        <f>IF(ISERROR(VLOOKUP($S$191,'TAR FIN'!$A$1:$O$86,15,0)),0,VLOOKUP($S$191,'TAR FIN'!$A$1:$O$86,15,0))</f>
        <v>0</v>
      </c>
      <c r="W191" s="6">
        <f>IF(ISERROR(VLOOKUP($T$191,'TAR FIN'!$A$1:$O$86,15,0)),0,VLOOKUP($T$191,'TAR FIN'!$A$1:$O$86,15,0))</f>
        <v>297.89</v>
      </c>
      <c r="X191" s="6">
        <f>IF(ISERROR(VLOOKUP($U$191,'TAR FIN'!$A$1:$O$86,15,0)),0,VLOOKUP($U$191,'TAR FIN'!$A$1:$O$86,15,0))</f>
        <v>197.13</v>
      </c>
      <c r="Y191" s="6"/>
      <c r="Z191" s="6">
        <f ca="1">('TUSD BE'!$AM$33+'TUSD BF'!$AM$33+'TUSD CVA'!$AM$33)*(1-CUSTOS!$M$38)</f>
        <v>392.53302912886562</v>
      </c>
      <c r="AA191" s="6">
        <f>('TE BE'!$AB$24+'TE BF'!$AB$24+'TE CVA'!$AB$24)*(1-CUSTOS!$M$38)</f>
        <v>220.56513853363268</v>
      </c>
      <c r="AB191" s="6">
        <f t="shared" si="14"/>
        <v>0</v>
      </c>
      <c r="AC191" s="6">
        <f>(L191-M191)*(W191+X191)+($W$110+$X$110-$W$191-$X$191)*(L191)</f>
        <v>277.89749999999998</v>
      </c>
      <c r="AD191" s="6">
        <f t="shared" si="15"/>
        <v>0</v>
      </c>
      <c r="AE191" s="6">
        <f ca="1">(L191-M191)*(Z191+AA191)+($Z$110+$AA$110-$Z$191-$AA$191)*(L191)</f>
        <v>161.11437167658582</v>
      </c>
      <c r="AF191" s="4" t="s">
        <v>654</v>
      </c>
    </row>
    <row r="192" spans="1:32" ht="11.25" customHeight="1" x14ac:dyDescent="0.25">
      <c r="A192" s="4" t="s">
        <v>21</v>
      </c>
      <c r="B192" s="4" t="s">
        <v>41</v>
      </c>
      <c r="C192" s="4" t="s">
        <v>23</v>
      </c>
      <c r="D192" s="4" t="s">
        <v>42</v>
      </c>
      <c r="E192" s="4" t="s">
        <v>52</v>
      </c>
      <c r="F192" s="4" t="s">
        <v>53</v>
      </c>
      <c r="G192" s="4" t="s">
        <v>25</v>
      </c>
      <c r="H192" s="4" t="s">
        <v>25</v>
      </c>
      <c r="I192" s="5">
        <v>44621</v>
      </c>
      <c r="J192" s="6">
        <v>0</v>
      </c>
      <c r="K192" s="6">
        <v>0</v>
      </c>
      <c r="L192" s="6">
        <v>1.5509999999999999</v>
      </c>
      <c r="M192" s="6">
        <v>1.5509999999999999</v>
      </c>
      <c r="N192" s="6">
        <v>1.5509999999999999</v>
      </c>
      <c r="O192" s="6">
        <v>1.5509999999999999</v>
      </c>
      <c r="P192" s="6">
        <v>0</v>
      </c>
      <c r="Q192" s="4" t="s">
        <v>26</v>
      </c>
      <c r="R192" s="4">
        <v>0</v>
      </c>
      <c r="S192" s="4">
        <v>0</v>
      </c>
      <c r="T192" s="4">
        <v>16</v>
      </c>
      <c r="U192" s="4">
        <v>54</v>
      </c>
      <c r="V192" s="6">
        <f>IF(ISERROR(VLOOKUP($S$192,'TAR FIN'!$A$1:$O$86,15,0)),0,VLOOKUP($S$192,'TAR FIN'!$A$1:$O$86,15,0))</f>
        <v>0</v>
      </c>
      <c r="W192" s="6">
        <f>IF(ISERROR(VLOOKUP($T$192,'TAR FIN'!$A$1:$O$86,15,0)),0,VLOOKUP($T$192,'TAR FIN'!$A$1:$O$86,15,0))</f>
        <v>297.89</v>
      </c>
      <c r="X192" s="6">
        <f>IF(ISERROR(VLOOKUP($U$192,'TAR FIN'!$A$1:$O$86,15,0)),0,VLOOKUP($U$192,'TAR FIN'!$A$1:$O$86,15,0))</f>
        <v>197.13</v>
      </c>
      <c r="Y192" s="6"/>
      <c r="Z192" s="6">
        <f ca="1">('TUSD BE'!$AM$33+'TUSD BF'!$AM$33+'TUSD CVA'!$AM$33)*(1-CUSTOS!$M$38)</f>
        <v>392.53302912886562</v>
      </c>
      <c r="AA192" s="6">
        <f>('TE BE'!$AB$24+'TE BF'!$AB$24+'TE CVA'!$AB$24)*(1-CUSTOS!$M$38)</f>
        <v>220.56513853363268</v>
      </c>
      <c r="AB192" s="6">
        <f t="shared" si="14"/>
        <v>0</v>
      </c>
      <c r="AC192" s="6">
        <f>(L192-M192)*(W192+X192)+($W$110+$X$110-$W$192-$X$192)*(L192)</f>
        <v>104.6925</v>
      </c>
      <c r="AD192" s="6">
        <f t="shared" si="15"/>
        <v>0</v>
      </c>
      <c r="AE192" s="6">
        <f ca="1">(L192-M192)*(Z192+AA192)+($Z$110+$AA$110-$Z$192-$AA$192)*(L192)</f>
        <v>60.696718598587459</v>
      </c>
      <c r="AF192" s="4" t="s">
        <v>654</v>
      </c>
    </row>
    <row r="193" spans="1:32" ht="11.25" customHeight="1" x14ac:dyDescent="0.25">
      <c r="A193" s="4" t="s">
        <v>21</v>
      </c>
      <c r="B193" s="4" t="s">
        <v>41</v>
      </c>
      <c r="C193" s="4" t="s">
        <v>23</v>
      </c>
      <c r="D193" s="4" t="s">
        <v>42</v>
      </c>
      <c r="E193" s="4" t="s">
        <v>52</v>
      </c>
      <c r="F193" s="4" t="s">
        <v>53</v>
      </c>
      <c r="G193" s="4" t="s">
        <v>25</v>
      </c>
      <c r="H193" s="4" t="s">
        <v>25</v>
      </c>
      <c r="I193" s="5">
        <v>44652</v>
      </c>
      <c r="J193" s="6">
        <v>0</v>
      </c>
      <c r="K193" s="6">
        <v>0</v>
      </c>
      <c r="L193" s="6">
        <v>1.1870000000000001</v>
      </c>
      <c r="M193" s="6">
        <v>1.1870000000000001</v>
      </c>
      <c r="N193" s="6">
        <v>1.1870000000000001</v>
      </c>
      <c r="O193" s="6">
        <v>1.1870000000000001</v>
      </c>
      <c r="P193" s="6">
        <v>0</v>
      </c>
      <c r="Q193" s="4" t="s">
        <v>26</v>
      </c>
      <c r="R193" s="4">
        <v>0</v>
      </c>
      <c r="S193" s="4">
        <v>0</v>
      </c>
      <c r="T193" s="4">
        <v>16</v>
      </c>
      <c r="U193" s="4">
        <v>54</v>
      </c>
      <c r="V193" s="6">
        <f>IF(ISERROR(VLOOKUP($S$193,'TAR FIN'!$A$1:$O$86,15,0)),0,VLOOKUP($S$193,'TAR FIN'!$A$1:$O$86,15,0))</f>
        <v>0</v>
      </c>
      <c r="W193" s="6">
        <f>IF(ISERROR(VLOOKUP($T$193,'TAR FIN'!$A$1:$O$86,15,0)),0,VLOOKUP($T$193,'TAR FIN'!$A$1:$O$86,15,0))</f>
        <v>297.89</v>
      </c>
      <c r="X193" s="6">
        <f>IF(ISERROR(VLOOKUP($U$193,'TAR FIN'!$A$1:$O$86,15,0)),0,VLOOKUP($U$193,'TAR FIN'!$A$1:$O$86,15,0))</f>
        <v>197.13</v>
      </c>
      <c r="Y193" s="6"/>
      <c r="Z193" s="6">
        <f ca="1">('TUSD BE'!$AM$33+'TUSD BF'!$AM$33+'TUSD CVA'!$AM$33)*(1-CUSTOS!$M$38)</f>
        <v>392.53302912886562</v>
      </c>
      <c r="AA193" s="6">
        <f>('TE BE'!$AB$24+'TE BF'!$AB$24+'TE CVA'!$AB$24)*(1-CUSTOS!$M$38)</f>
        <v>220.56513853363268</v>
      </c>
      <c r="AB193" s="6">
        <f t="shared" si="14"/>
        <v>0</v>
      </c>
      <c r="AC193" s="6">
        <f>(L193-M193)*(W193+X193)+($W$110+$X$110-$W$193-$X$193)*(L193)</f>
        <v>80.122500000000002</v>
      </c>
      <c r="AD193" s="6">
        <f t="shared" si="15"/>
        <v>0</v>
      </c>
      <c r="AE193" s="6">
        <f ca="1">(L193-M193)*(Z193+AA193)+($Z$110+$AA$110-$Z$193-$AA$193)*(L193)</f>
        <v>46.451969681833219</v>
      </c>
      <c r="AF193" s="4" t="s">
        <v>654</v>
      </c>
    </row>
    <row r="194" spans="1:32" ht="11.25" customHeight="1" x14ac:dyDescent="0.25">
      <c r="A194" s="4" t="s">
        <v>21</v>
      </c>
      <c r="B194" s="4" t="s">
        <v>41</v>
      </c>
      <c r="C194" s="4" t="s">
        <v>23</v>
      </c>
      <c r="D194" s="4" t="s">
        <v>42</v>
      </c>
      <c r="E194" s="4" t="s">
        <v>52</v>
      </c>
      <c r="F194" s="4" t="s">
        <v>53</v>
      </c>
      <c r="G194" s="4" t="s">
        <v>25</v>
      </c>
      <c r="H194" s="4" t="s">
        <v>25</v>
      </c>
      <c r="I194" s="5">
        <v>44682</v>
      </c>
      <c r="J194" s="6">
        <v>0</v>
      </c>
      <c r="K194" s="6">
        <v>0</v>
      </c>
      <c r="L194" s="6">
        <v>0.27300000000000002</v>
      </c>
      <c r="M194" s="6">
        <v>0.27300000000000002</v>
      </c>
      <c r="N194" s="6">
        <v>0.27300000000000002</v>
      </c>
      <c r="O194" s="6">
        <v>0.27300000000000002</v>
      </c>
      <c r="P194" s="6">
        <v>0</v>
      </c>
      <c r="Q194" s="4" t="s">
        <v>26</v>
      </c>
      <c r="R194" s="4">
        <v>0</v>
      </c>
      <c r="S194" s="4">
        <v>0</v>
      </c>
      <c r="T194" s="4">
        <v>16</v>
      </c>
      <c r="U194" s="4">
        <v>54</v>
      </c>
      <c r="V194" s="6">
        <f>IF(ISERROR(VLOOKUP($S$194,'TAR FIN'!$A$1:$O$86,15,0)),0,VLOOKUP($S$194,'TAR FIN'!$A$1:$O$86,15,0))</f>
        <v>0</v>
      </c>
      <c r="W194" s="6">
        <f>IF(ISERROR(VLOOKUP($T$194,'TAR FIN'!$A$1:$O$86,15,0)),0,VLOOKUP($T$194,'TAR FIN'!$A$1:$O$86,15,0))</f>
        <v>297.89</v>
      </c>
      <c r="X194" s="6">
        <f>IF(ISERROR(VLOOKUP($U$194,'TAR FIN'!$A$1:$O$86,15,0)),0,VLOOKUP($U$194,'TAR FIN'!$A$1:$O$86,15,0))</f>
        <v>197.13</v>
      </c>
      <c r="Y194" s="6"/>
      <c r="Z194" s="6">
        <f ca="1">('TUSD BE'!$AM$33+'TUSD BF'!$AM$33+'TUSD CVA'!$AM$33)*(1-CUSTOS!$M$38)</f>
        <v>392.53302912886562</v>
      </c>
      <c r="AA194" s="6">
        <f>('TE BE'!$AB$24+'TE BF'!$AB$24+'TE CVA'!$AB$24)*(1-CUSTOS!$M$38)</f>
        <v>220.56513853363268</v>
      </c>
      <c r="AB194" s="6">
        <f t="shared" ref="AB194:AB244" si="16">(J194-K194)*V194</f>
        <v>0</v>
      </c>
      <c r="AC194" s="6">
        <f>(L194-M194)*(W194+X194)+($W$110+$X$110-$W$194-$X$194)*(L194)</f>
        <v>18.427500000000002</v>
      </c>
      <c r="AD194" s="6">
        <f t="shared" ref="AD194:AD244" si="17">(J194-K194)*Y194</f>
        <v>0</v>
      </c>
      <c r="AE194" s="6">
        <f ca="1">(L194-M194)*(Z194+AA194)+($Z$110+$AA$110-$Z$194-$AA$194)*(L194)</f>
        <v>10.683561687565685</v>
      </c>
      <c r="AF194" s="4" t="s">
        <v>654</v>
      </c>
    </row>
    <row r="195" spans="1:32" ht="11.25" customHeight="1" x14ac:dyDescent="0.25">
      <c r="A195" s="4" t="s">
        <v>27</v>
      </c>
      <c r="B195" s="4" t="s">
        <v>41</v>
      </c>
      <c r="C195" s="4" t="s">
        <v>23</v>
      </c>
      <c r="D195" s="4" t="s">
        <v>42</v>
      </c>
      <c r="E195" s="4" t="s">
        <v>52</v>
      </c>
      <c r="F195" s="4" t="s">
        <v>53</v>
      </c>
      <c r="G195" s="4" t="s">
        <v>25</v>
      </c>
      <c r="H195" s="4" t="s">
        <v>25</v>
      </c>
      <c r="I195" s="5">
        <v>44682</v>
      </c>
      <c r="J195" s="6">
        <v>0</v>
      </c>
      <c r="K195" s="6">
        <v>0</v>
      </c>
      <c r="L195" s="6">
        <v>-0.33600000000000002</v>
      </c>
      <c r="M195" s="6">
        <v>-0.33600000000000002</v>
      </c>
      <c r="N195" s="6">
        <v>-0.33600000000000002</v>
      </c>
      <c r="O195" s="6">
        <v>-0.33600000000000002</v>
      </c>
      <c r="P195" s="6">
        <v>0</v>
      </c>
      <c r="Q195" s="4" t="s">
        <v>26</v>
      </c>
      <c r="R195" s="4">
        <v>0</v>
      </c>
      <c r="S195" s="4">
        <v>0</v>
      </c>
      <c r="T195" s="4">
        <v>16</v>
      </c>
      <c r="U195" s="4">
        <v>54</v>
      </c>
      <c r="V195" s="6">
        <f>IF(ISERROR(VLOOKUP($S$195,'TAR FIN'!$A$1:$O$86,15,0)),0,VLOOKUP($S$195,'TAR FIN'!$A$1:$O$86,15,0))</f>
        <v>0</v>
      </c>
      <c r="W195" s="6">
        <f>IF(ISERROR(VLOOKUP($T$195,'TAR FIN'!$A$1:$O$86,15,0)),0,VLOOKUP($T$195,'TAR FIN'!$A$1:$O$86,15,0))</f>
        <v>297.89</v>
      </c>
      <c r="X195" s="6">
        <f>IF(ISERROR(VLOOKUP($U$195,'TAR FIN'!$A$1:$O$86,15,0)),0,VLOOKUP($U$195,'TAR FIN'!$A$1:$O$86,15,0))</f>
        <v>197.13</v>
      </c>
      <c r="Y195" s="6"/>
      <c r="Z195" s="6">
        <f ca="1">('TUSD BE'!$AM$33+'TUSD BF'!$AM$33+'TUSD CVA'!$AM$33)*(1-CUSTOS!$M$38)</f>
        <v>392.53302912886562</v>
      </c>
      <c r="AA195" s="6">
        <f>('TE BE'!$AB$24+'TE BF'!$AB$24+'TE CVA'!$AB$24)*(1-CUSTOS!$M$38)</f>
        <v>220.56513853363268</v>
      </c>
      <c r="AB195" s="6">
        <f t="shared" si="16"/>
        <v>0</v>
      </c>
      <c r="AC195" s="6">
        <f>(L195-M195)*(W195+X195)+($W$110+$X$110-$W$195-$X$195)*(L195)</f>
        <v>-22.68</v>
      </c>
      <c r="AD195" s="6">
        <f t="shared" si="17"/>
        <v>0</v>
      </c>
      <c r="AE195" s="6">
        <f ca="1">(L195-M195)*(Z195+AA195)+($Z$110+$AA$110-$Z$195-$AA$195)*(L195)</f>
        <v>-13.148999000080844</v>
      </c>
      <c r="AF195" s="4" t="s">
        <v>654</v>
      </c>
    </row>
    <row r="196" spans="1:32" ht="11.25" customHeight="1" x14ac:dyDescent="0.25">
      <c r="A196" s="4" t="s">
        <v>21</v>
      </c>
      <c r="B196" s="4" t="s">
        <v>41</v>
      </c>
      <c r="C196" s="4" t="s">
        <v>23</v>
      </c>
      <c r="D196" s="4" t="s">
        <v>42</v>
      </c>
      <c r="E196" s="4" t="s">
        <v>52</v>
      </c>
      <c r="F196" s="4" t="s">
        <v>53</v>
      </c>
      <c r="G196" s="4" t="s">
        <v>25</v>
      </c>
      <c r="H196" s="4" t="s">
        <v>25</v>
      </c>
      <c r="I196" s="5">
        <v>44713</v>
      </c>
      <c r="J196" s="6">
        <v>0</v>
      </c>
      <c r="K196" s="6">
        <v>0</v>
      </c>
      <c r="L196" s="6">
        <v>0.17699999999999999</v>
      </c>
      <c r="M196" s="6">
        <v>0.17699999999999999</v>
      </c>
      <c r="N196" s="6">
        <v>0.17699999999999999</v>
      </c>
      <c r="O196" s="6">
        <v>0.17699999999999999</v>
      </c>
      <c r="P196" s="6">
        <v>0</v>
      </c>
      <c r="Q196" s="4" t="s">
        <v>26</v>
      </c>
      <c r="R196" s="4">
        <v>0</v>
      </c>
      <c r="S196" s="4">
        <v>0</v>
      </c>
      <c r="T196" s="4">
        <v>16</v>
      </c>
      <c r="U196" s="4">
        <v>54</v>
      </c>
      <c r="V196" s="6">
        <f>IF(ISERROR(VLOOKUP($S$196,'TAR FIN'!$A$1:$O$86,15,0)),0,VLOOKUP($S$196,'TAR FIN'!$A$1:$O$86,15,0))</f>
        <v>0</v>
      </c>
      <c r="W196" s="6">
        <f>IF(ISERROR(VLOOKUP($T$196,'TAR FIN'!$A$1:$O$86,15,0)),0,VLOOKUP($T$196,'TAR FIN'!$A$1:$O$86,15,0))</f>
        <v>297.89</v>
      </c>
      <c r="X196" s="6">
        <f>IF(ISERROR(VLOOKUP($U$196,'TAR FIN'!$A$1:$O$86,15,0)),0,VLOOKUP($U$196,'TAR FIN'!$A$1:$O$86,15,0))</f>
        <v>197.13</v>
      </c>
      <c r="Y196" s="6"/>
      <c r="Z196" s="6">
        <f ca="1">('TUSD BE'!$AM$33+'TUSD BF'!$AM$33+'TUSD CVA'!$AM$33)*(1-CUSTOS!$M$38)</f>
        <v>392.53302912886562</v>
      </c>
      <c r="AA196" s="6">
        <f>('TE BE'!$AB$24+'TE BF'!$AB$24+'TE CVA'!$AB$24)*(1-CUSTOS!$M$38)</f>
        <v>220.56513853363268</v>
      </c>
      <c r="AB196" s="6">
        <f t="shared" si="16"/>
        <v>0</v>
      </c>
      <c r="AC196" s="6">
        <f>(L196-M196)*(W196+X196)+($W$110+$X$110-$W$196-$X$196)*(L196)</f>
        <v>11.9475</v>
      </c>
      <c r="AD196" s="6">
        <f t="shared" si="17"/>
        <v>0</v>
      </c>
      <c r="AE196" s="6">
        <f ca="1">(L196-M196)*(Z196+AA196)+($Z$110+$AA$110-$Z$196-$AA$196)*(L196)</f>
        <v>6.9267048303997294</v>
      </c>
      <c r="AF196" s="4" t="s">
        <v>654</v>
      </c>
    </row>
    <row r="197" spans="1:32" ht="11.25" customHeight="1" x14ac:dyDescent="0.25">
      <c r="A197" s="4" t="s">
        <v>55</v>
      </c>
      <c r="B197" s="4" t="s">
        <v>41</v>
      </c>
      <c r="C197" s="4" t="s">
        <v>23</v>
      </c>
      <c r="D197" s="4" t="s">
        <v>42</v>
      </c>
      <c r="E197" s="4" t="s">
        <v>52</v>
      </c>
      <c r="F197" s="4" t="s">
        <v>53</v>
      </c>
      <c r="G197" s="4" t="s">
        <v>25</v>
      </c>
      <c r="H197" s="4" t="s">
        <v>25</v>
      </c>
      <c r="I197" s="5">
        <v>44743</v>
      </c>
      <c r="J197" s="6">
        <v>0</v>
      </c>
      <c r="K197" s="6">
        <v>0</v>
      </c>
      <c r="L197" s="6">
        <v>0.17699999999999999</v>
      </c>
      <c r="M197" s="6">
        <v>0.17699999999999999</v>
      </c>
      <c r="N197" s="6">
        <v>0.17699999999999999</v>
      </c>
      <c r="O197" s="6">
        <v>0.17699999999999999</v>
      </c>
      <c r="P197" s="6">
        <v>0</v>
      </c>
      <c r="Q197" s="4" t="s">
        <v>26</v>
      </c>
      <c r="R197" s="4">
        <v>0</v>
      </c>
      <c r="S197" s="4">
        <v>0</v>
      </c>
      <c r="T197" s="4">
        <v>16</v>
      </c>
      <c r="U197" s="4">
        <v>54</v>
      </c>
      <c r="V197" s="6">
        <f>IF(ISERROR(VLOOKUP($S$197,'TAR FIN'!$A$1:$O$86,15,0)),0,VLOOKUP($S$197,'TAR FIN'!$A$1:$O$86,15,0))</f>
        <v>0</v>
      </c>
      <c r="W197" s="6">
        <f>IF(ISERROR(VLOOKUP($T$197,'TAR FIN'!$A$1:$O$86,15,0)),0,VLOOKUP($T$197,'TAR FIN'!$A$1:$O$86,15,0))</f>
        <v>297.89</v>
      </c>
      <c r="X197" s="6">
        <f>IF(ISERROR(VLOOKUP($U$197,'TAR FIN'!$A$1:$O$86,15,0)),0,VLOOKUP($U$197,'TAR FIN'!$A$1:$O$86,15,0))</f>
        <v>197.13</v>
      </c>
      <c r="Y197" s="6"/>
      <c r="Z197" s="6">
        <f ca="1">('TUSD BE'!$AM$33+'TUSD BF'!$AM$33+'TUSD CVA'!$AM$33)*(1-CUSTOS!$M$38)</f>
        <v>392.53302912886562</v>
      </c>
      <c r="AA197" s="6">
        <f>('TE BE'!$AB$24+'TE BF'!$AB$24+'TE CVA'!$AB$24)*(1-CUSTOS!$M$38)</f>
        <v>220.56513853363268</v>
      </c>
      <c r="AB197" s="6">
        <f t="shared" si="16"/>
        <v>0</v>
      </c>
      <c r="AC197" s="6">
        <f>(L197-M197)*(W197+X197)+($W$110+$X$110-$W$197-$X$197)*(L197)</f>
        <v>11.9475</v>
      </c>
      <c r="AD197" s="6">
        <f t="shared" si="17"/>
        <v>0</v>
      </c>
      <c r="AE197" s="6">
        <f ca="1">(L197-M197)*(Z197+AA197)+($Z$110+$AA$110-$Z$197-$AA$197)*(L197)</f>
        <v>6.9267048303997294</v>
      </c>
      <c r="AF197" s="4" t="s">
        <v>654</v>
      </c>
    </row>
    <row r="198" spans="1:32" ht="11.25" customHeight="1" x14ac:dyDescent="0.25">
      <c r="A198" s="4" t="s">
        <v>21</v>
      </c>
      <c r="B198" s="4" t="s">
        <v>41</v>
      </c>
      <c r="C198" s="4" t="s">
        <v>23</v>
      </c>
      <c r="D198" s="4" t="s">
        <v>42</v>
      </c>
      <c r="E198" s="4" t="s">
        <v>52</v>
      </c>
      <c r="F198" s="4" t="s">
        <v>54</v>
      </c>
      <c r="G198" s="4" t="s">
        <v>25</v>
      </c>
      <c r="H198" s="4" t="s">
        <v>25</v>
      </c>
      <c r="I198" s="5">
        <v>44409</v>
      </c>
      <c r="J198" s="6">
        <v>0</v>
      </c>
      <c r="K198" s="6">
        <v>0</v>
      </c>
      <c r="L198" s="6">
        <v>1.3129999999999999</v>
      </c>
      <c r="M198" s="6">
        <v>0.5252</v>
      </c>
      <c r="N198" s="6">
        <v>1.3129999999999999</v>
      </c>
      <c r="O198" s="6">
        <v>0.5252</v>
      </c>
      <c r="P198" s="6">
        <v>0</v>
      </c>
      <c r="Q198" s="4" t="s">
        <v>26</v>
      </c>
      <c r="R198" s="4">
        <v>0</v>
      </c>
      <c r="S198" s="4">
        <v>0</v>
      </c>
      <c r="T198" s="4">
        <v>16</v>
      </c>
      <c r="U198" s="4">
        <v>54</v>
      </c>
      <c r="V198" s="6">
        <f>IF(ISERROR(VLOOKUP($S$198,'TAR FIN'!$A$1:$O$86,15,0)),0,VLOOKUP($S$198,'TAR FIN'!$A$1:$O$86,15,0))</f>
        <v>0</v>
      </c>
      <c r="W198" s="6">
        <f>IF(ISERROR(VLOOKUP($T$198,'TAR FIN'!$A$1:$O$86,15,0)),0,VLOOKUP($T$198,'TAR FIN'!$A$1:$O$86,15,0))</f>
        <v>297.89</v>
      </c>
      <c r="X198" s="6">
        <f>IF(ISERROR(VLOOKUP($U$198,'TAR FIN'!$A$1:$O$86,15,0)),0,VLOOKUP($U$198,'TAR FIN'!$A$1:$O$86,15,0))</f>
        <v>197.13</v>
      </c>
      <c r="Y198" s="6"/>
      <c r="Z198" s="6">
        <f ca="1">('TUSD BE'!$AM$33+'TUSD BF'!$AM$33+'TUSD CVA'!$AM$33)*(1-CUSTOS!$M$38)</f>
        <v>392.53302912886562</v>
      </c>
      <c r="AA198" s="6">
        <f>('TE BE'!$AB$24+'TE BF'!$AB$24+'TE CVA'!$AB$24)*(1-CUSTOS!$M$38)</f>
        <v>220.56513853363268</v>
      </c>
      <c r="AB198" s="6">
        <f t="shared" si="16"/>
        <v>0</v>
      </c>
      <c r="AC198" s="6">
        <f>(L198-M198)*(W198+X198)+($W$110+$X$110-$W$198-$X$198)*(L198)</f>
        <v>478.60425599999996</v>
      </c>
      <c r="AD198" s="6">
        <f t="shared" si="17"/>
        <v>0</v>
      </c>
      <c r="AE198" s="6">
        <f ca="1">(L198-M198)*(Z198+AA198)+($Z$110+$AA$110-$Z$198-$AA$198)*(L198)</f>
        <v>534.38158079137963</v>
      </c>
      <c r="AF198" s="4" t="s">
        <v>655</v>
      </c>
    </row>
    <row r="199" spans="1:32" ht="11.25" customHeight="1" x14ac:dyDescent="0.25">
      <c r="A199" s="4" t="s">
        <v>21</v>
      </c>
      <c r="B199" s="4" t="s">
        <v>41</v>
      </c>
      <c r="C199" s="4" t="s">
        <v>23</v>
      </c>
      <c r="D199" s="4" t="s">
        <v>42</v>
      </c>
      <c r="E199" s="4" t="s">
        <v>52</v>
      </c>
      <c r="F199" s="4" t="s">
        <v>54</v>
      </c>
      <c r="G199" s="4" t="s">
        <v>25</v>
      </c>
      <c r="H199" s="4" t="s">
        <v>25</v>
      </c>
      <c r="I199" s="5">
        <v>44440</v>
      </c>
      <c r="J199" s="6">
        <v>0</v>
      </c>
      <c r="K199" s="6">
        <v>0</v>
      </c>
      <c r="L199" s="6">
        <v>1.7609999999999999</v>
      </c>
      <c r="M199" s="6">
        <v>0.70440000000000003</v>
      </c>
      <c r="N199" s="6">
        <v>1.7609999999999999</v>
      </c>
      <c r="O199" s="6">
        <v>0.70440000000000003</v>
      </c>
      <c r="P199" s="6">
        <v>0</v>
      </c>
      <c r="Q199" s="4" t="s">
        <v>26</v>
      </c>
      <c r="R199" s="4">
        <v>0</v>
      </c>
      <c r="S199" s="4">
        <v>0</v>
      </c>
      <c r="T199" s="4">
        <v>16</v>
      </c>
      <c r="U199" s="4">
        <v>54</v>
      </c>
      <c r="V199" s="6">
        <f>IF(ISERROR(VLOOKUP($S$199,'TAR FIN'!$A$1:$O$86,15,0)),0,VLOOKUP($S$199,'TAR FIN'!$A$1:$O$86,15,0))</f>
        <v>0</v>
      </c>
      <c r="W199" s="6">
        <f>IF(ISERROR(VLOOKUP($T$199,'TAR FIN'!$A$1:$O$86,15,0)),0,VLOOKUP($T$199,'TAR FIN'!$A$1:$O$86,15,0))</f>
        <v>297.89</v>
      </c>
      <c r="X199" s="6">
        <f>IF(ISERROR(VLOOKUP($U$199,'TAR FIN'!$A$1:$O$86,15,0)),0,VLOOKUP($U$199,'TAR FIN'!$A$1:$O$86,15,0))</f>
        <v>197.13</v>
      </c>
      <c r="Y199" s="6"/>
      <c r="Z199" s="6">
        <f ca="1">('TUSD BE'!$AM$33+'TUSD BF'!$AM$33+'TUSD CVA'!$AM$33)*(1-CUSTOS!$M$38)</f>
        <v>392.53302912886562</v>
      </c>
      <c r="AA199" s="6">
        <f>('TE BE'!$AB$24+'TE BF'!$AB$24+'TE CVA'!$AB$24)*(1-CUSTOS!$M$38)</f>
        <v>220.56513853363268</v>
      </c>
      <c r="AB199" s="6">
        <f t="shared" si="16"/>
        <v>0</v>
      </c>
      <c r="AC199" s="6">
        <f>(L199-M199)*(W199+X199)+($W$110+$X$110-$W$199-$X$199)*(L199)</f>
        <v>641.90563199999997</v>
      </c>
      <c r="AD199" s="6">
        <f t="shared" si="17"/>
        <v>0</v>
      </c>
      <c r="AE199" s="6">
        <f ca="1">(L199-M199)*(Z199+AA199)+($Z$110+$AA$110-$Z$199-$AA$199)*(L199)</f>
        <v>716.7143669258337</v>
      </c>
      <c r="AF199" s="4" t="s">
        <v>655</v>
      </c>
    </row>
    <row r="200" spans="1:32" ht="11.25" customHeight="1" x14ac:dyDescent="0.25">
      <c r="A200" s="4" t="s">
        <v>21</v>
      </c>
      <c r="B200" s="4" t="s">
        <v>41</v>
      </c>
      <c r="C200" s="4" t="s">
        <v>23</v>
      </c>
      <c r="D200" s="4" t="s">
        <v>42</v>
      </c>
      <c r="E200" s="4" t="s">
        <v>52</v>
      </c>
      <c r="F200" s="4" t="s">
        <v>54</v>
      </c>
      <c r="G200" s="4" t="s">
        <v>25</v>
      </c>
      <c r="H200" s="4" t="s">
        <v>25</v>
      </c>
      <c r="I200" s="5">
        <v>44470</v>
      </c>
      <c r="J200" s="6">
        <v>0</v>
      </c>
      <c r="K200" s="6">
        <v>0</v>
      </c>
      <c r="L200" s="6">
        <v>0.82599999999999996</v>
      </c>
      <c r="M200" s="6">
        <v>0.33040000000000003</v>
      </c>
      <c r="N200" s="6">
        <v>0.82599999999999996</v>
      </c>
      <c r="O200" s="6">
        <v>0.33040000000000003</v>
      </c>
      <c r="P200" s="6">
        <v>0</v>
      </c>
      <c r="Q200" s="4" t="s">
        <v>26</v>
      </c>
      <c r="R200" s="4">
        <v>0</v>
      </c>
      <c r="S200" s="4">
        <v>0</v>
      </c>
      <c r="T200" s="4">
        <v>16</v>
      </c>
      <c r="U200" s="4">
        <v>54</v>
      </c>
      <c r="V200" s="6">
        <f>IF(ISERROR(VLOOKUP($S$200,'TAR FIN'!$A$1:$O$86,15,0)),0,VLOOKUP($S$200,'TAR FIN'!$A$1:$O$86,15,0))</f>
        <v>0</v>
      </c>
      <c r="W200" s="6">
        <f>IF(ISERROR(VLOOKUP($T$200,'TAR FIN'!$A$1:$O$86,15,0)),0,VLOOKUP($T$200,'TAR FIN'!$A$1:$O$86,15,0))</f>
        <v>297.89</v>
      </c>
      <c r="X200" s="6">
        <f>IF(ISERROR(VLOOKUP($U$200,'TAR FIN'!$A$1:$O$86,15,0)),0,VLOOKUP($U$200,'TAR FIN'!$A$1:$O$86,15,0))</f>
        <v>197.13</v>
      </c>
      <c r="Y200" s="6"/>
      <c r="Z200" s="6">
        <f ca="1">('TUSD BE'!$AM$33+'TUSD BF'!$AM$33+'TUSD CVA'!$AM$33)*(1-CUSTOS!$M$38)</f>
        <v>392.53302912886562</v>
      </c>
      <c r="AA200" s="6">
        <f>('TE BE'!$AB$24+'TE BF'!$AB$24+'TE CVA'!$AB$24)*(1-CUSTOS!$M$38)</f>
        <v>220.56513853363268</v>
      </c>
      <c r="AB200" s="6">
        <f t="shared" si="16"/>
        <v>0</v>
      </c>
      <c r="AC200" s="6">
        <f>(L200-M200)*(W200+X200)+($W$110+$X$110-$W$200-$X$200)*(L200)</f>
        <v>301.08691199999998</v>
      </c>
      <c r="AD200" s="6">
        <f t="shared" si="17"/>
        <v>0</v>
      </c>
      <c r="AE200" s="6">
        <f ca="1">(L200-M200)*(Z200+AA200)+($Z$110+$AA$110-$Z$200-$AA$200)*(L200)</f>
        <v>336.17607443539953</v>
      </c>
      <c r="AF200" s="4" t="s">
        <v>655</v>
      </c>
    </row>
    <row r="201" spans="1:32" ht="11.25" customHeight="1" x14ac:dyDescent="0.25">
      <c r="A201" s="4" t="s">
        <v>21</v>
      </c>
      <c r="B201" s="4" t="s">
        <v>41</v>
      </c>
      <c r="C201" s="4" t="s">
        <v>23</v>
      </c>
      <c r="D201" s="4" t="s">
        <v>42</v>
      </c>
      <c r="E201" s="4" t="s">
        <v>52</v>
      </c>
      <c r="F201" s="4" t="s">
        <v>54</v>
      </c>
      <c r="G201" s="4" t="s">
        <v>25</v>
      </c>
      <c r="H201" s="4" t="s">
        <v>25</v>
      </c>
      <c r="I201" s="5">
        <v>44501</v>
      </c>
      <c r="J201" s="6">
        <v>0</v>
      </c>
      <c r="K201" s="6">
        <v>0</v>
      </c>
      <c r="L201" s="6">
        <v>1.579</v>
      </c>
      <c r="M201" s="6">
        <v>0.63160000000000005</v>
      </c>
      <c r="N201" s="6">
        <v>1.579</v>
      </c>
      <c r="O201" s="6">
        <v>0.63160000000000005</v>
      </c>
      <c r="P201" s="6">
        <v>0</v>
      </c>
      <c r="Q201" s="4" t="s">
        <v>26</v>
      </c>
      <c r="R201" s="4">
        <v>0</v>
      </c>
      <c r="S201" s="4">
        <v>0</v>
      </c>
      <c r="T201" s="4">
        <v>16</v>
      </c>
      <c r="U201" s="4">
        <v>54</v>
      </c>
      <c r="V201" s="6">
        <f>IF(ISERROR(VLOOKUP($S$201,'TAR FIN'!$A$1:$O$86,15,0)),0,VLOOKUP($S$201,'TAR FIN'!$A$1:$O$86,15,0))</f>
        <v>0</v>
      </c>
      <c r="W201" s="6">
        <f>IF(ISERROR(VLOOKUP($T$201,'TAR FIN'!$A$1:$O$86,15,0)),0,VLOOKUP($T$201,'TAR FIN'!$A$1:$O$86,15,0))</f>
        <v>297.89</v>
      </c>
      <c r="X201" s="6">
        <f>IF(ISERROR(VLOOKUP($U$201,'TAR FIN'!$A$1:$O$86,15,0)),0,VLOOKUP($U$201,'TAR FIN'!$A$1:$O$86,15,0))</f>
        <v>197.13</v>
      </c>
      <c r="Y201" s="6"/>
      <c r="Z201" s="6">
        <f ca="1">('TUSD BE'!$AM$33+'TUSD BF'!$AM$33+'TUSD CVA'!$AM$33)*(1-CUSTOS!$M$38)</f>
        <v>392.53302912886562</v>
      </c>
      <c r="AA201" s="6">
        <f>('TE BE'!$AB$24+'TE BF'!$AB$24+'TE CVA'!$AB$24)*(1-CUSTOS!$M$38)</f>
        <v>220.56513853363268</v>
      </c>
      <c r="AB201" s="6">
        <f t="shared" si="16"/>
        <v>0</v>
      </c>
      <c r="AC201" s="6">
        <f>(L201-M201)*(W201+X201)+($W$110+$X$110-$W$201-$X$201)*(L201)</f>
        <v>575.56444799999997</v>
      </c>
      <c r="AD201" s="6">
        <f t="shared" si="17"/>
        <v>0</v>
      </c>
      <c r="AE201" s="6">
        <f ca="1">(L201-M201)*(Z201+AA201)+($Z$110+$AA$110-$Z$201-$AA$201)*(L201)</f>
        <v>642.64167255871178</v>
      </c>
      <c r="AF201" s="4" t="s">
        <v>655</v>
      </c>
    </row>
    <row r="202" spans="1:32" ht="11.25" customHeight="1" x14ac:dyDescent="0.25">
      <c r="A202" s="4" t="s">
        <v>21</v>
      </c>
      <c r="B202" s="4" t="s">
        <v>41</v>
      </c>
      <c r="C202" s="4" t="s">
        <v>23</v>
      </c>
      <c r="D202" s="4" t="s">
        <v>42</v>
      </c>
      <c r="E202" s="4" t="s">
        <v>52</v>
      </c>
      <c r="F202" s="4" t="s">
        <v>54</v>
      </c>
      <c r="G202" s="4" t="s">
        <v>25</v>
      </c>
      <c r="H202" s="4" t="s">
        <v>25</v>
      </c>
      <c r="I202" s="5">
        <v>44531</v>
      </c>
      <c r="J202" s="6">
        <v>0</v>
      </c>
      <c r="K202" s="6">
        <v>0</v>
      </c>
      <c r="L202" s="6">
        <v>3.202</v>
      </c>
      <c r="M202" s="6">
        <v>1.2807999999999999</v>
      </c>
      <c r="N202" s="6">
        <v>3.202</v>
      </c>
      <c r="O202" s="6">
        <v>1.2807999999999999</v>
      </c>
      <c r="P202" s="6">
        <v>0</v>
      </c>
      <c r="Q202" s="4" t="s">
        <v>26</v>
      </c>
      <c r="R202" s="4">
        <v>0</v>
      </c>
      <c r="S202" s="4">
        <v>0</v>
      </c>
      <c r="T202" s="4">
        <v>16</v>
      </c>
      <c r="U202" s="4">
        <v>54</v>
      </c>
      <c r="V202" s="6">
        <f>IF(ISERROR(VLOOKUP($S$202,'TAR FIN'!$A$1:$O$86,15,0)),0,VLOOKUP($S$202,'TAR FIN'!$A$1:$O$86,15,0))</f>
        <v>0</v>
      </c>
      <c r="W202" s="6">
        <f>IF(ISERROR(VLOOKUP($T$202,'TAR FIN'!$A$1:$O$86,15,0)),0,VLOOKUP($T$202,'TAR FIN'!$A$1:$O$86,15,0))</f>
        <v>297.89</v>
      </c>
      <c r="X202" s="6">
        <f>IF(ISERROR(VLOOKUP($U$202,'TAR FIN'!$A$1:$O$86,15,0)),0,VLOOKUP($U$202,'TAR FIN'!$A$1:$O$86,15,0))</f>
        <v>197.13</v>
      </c>
      <c r="Y202" s="6"/>
      <c r="Z202" s="6">
        <f ca="1">('TUSD BE'!$AM$33+'TUSD BF'!$AM$33+'TUSD CVA'!$AM$33)*(1-CUSTOS!$M$38)</f>
        <v>392.53302912886562</v>
      </c>
      <c r="AA202" s="6">
        <f>('TE BE'!$AB$24+'TE BF'!$AB$24+'TE CVA'!$AB$24)*(1-CUSTOS!$M$38)</f>
        <v>220.56513853363268</v>
      </c>
      <c r="AB202" s="6">
        <f t="shared" si="16"/>
        <v>0</v>
      </c>
      <c r="AC202" s="6">
        <f>(L202-M202)*(W202+X202)+($W$110+$X$110-$W$202-$X$202)*(L202)</f>
        <v>1167.167424</v>
      </c>
      <c r="AD202" s="6">
        <f t="shared" si="17"/>
        <v>0</v>
      </c>
      <c r="AE202" s="6">
        <f ca="1">(L202-M202)*(Z202+AA202)+($Z$110+$AA$110-$Z$202-$AA$202)*(L202)</f>
        <v>1303.1910294699146</v>
      </c>
      <c r="AF202" s="4" t="s">
        <v>655</v>
      </c>
    </row>
    <row r="203" spans="1:32" ht="11.25" customHeight="1" x14ac:dyDescent="0.25">
      <c r="A203" s="4" t="s">
        <v>27</v>
      </c>
      <c r="B203" s="4" t="s">
        <v>41</v>
      </c>
      <c r="C203" s="4" t="s">
        <v>23</v>
      </c>
      <c r="D203" s="4" t="s">
        <v>42</v>
      </c>
      <c r="E203" s="4" t="s">
        <v>52</v>
      </c>
      <c r="F203" s="4" t="s">
        <v>54</v>
      </c>
      <c r="G203" s="4" t="s">
        <v>25</v>
      </c>
      <c r="H203" s="4" t="s">
        <v>25</v>
      </c>
      <c r="I203" s="5">
        <v>44531</v>
      </c>
      <c r="J203" s="6">
        <v>0</v>
      </c>
      <c r="K203" s="6">
        <v>0</v>
      </c>
      <c r="L203" s="6">
        <v>0.08</v>
      </c>
      <c r="M203" s="6">
        <v>3.2000000000000001E-2</v>
      </c>
      <c r="N203" s="6">
        <v>0.08</v>
      </c>
      <c r="O203" s="6">
        <v>3.2000000000000001E-2</v>
      </c>
      <c r="P203" s="6">
        <v>0</v>
      </c>
      <c r="Q203" s="4" t="s">
        <v>26</v>
      </c>
      <c r="R203" s="4">
        <v>0</v>
      </c>
      <c r="S203" s="4">
        <v>0</v>
      </c>
      <c r="T203" s="4">
        <v>16</v>
      </c>
      <c r="U203" s="4">
        <v>54</v>
      </c>
      <c r="V203" s="6">
        <f>IF(ISERROR(VLOOKUP($S$203,'TAR FIN'!$A$1:$O$86,15,0)),0,VLOOKUP($S$203,'TAR FIN'!$A$1:$O$86,15,0))</f>
        <v>0</v>
      </c>
      <c r="W203" s="6">
        <f>IF(ISERROR(VLOOKUP($T$203,'TAR FIN'!$A$1:$O$86,15,0)),0,VLOOKUP($T$203,'TAR FIN'!$A$1:$O$86,15,0))</f>
        <v>297.89</v>
      </c>
      <c r="X203" s="6">
        <f>IF(ISERROR(VLOOKUP($U$203,'TAR FIN'!$A$1:$O$86,15,0)),0,VLOOKUP($U$203,'TAR FIN'!$A$1:$O$86,15,0))</f>
        <v>197.13</v>
      </c>
      <c r="Y203" s="6"/>
      <c r="Z203" s="6">
        <f ca="1">('TUSD BE'!$AM$33+'TUSD BF'!$AM$33+'TUSD CVA'!$AM$33)*(1-CUSTOS!$M$38)</f>
        <v>392.53302912886562</v>
      </c>
      <c r="AA203" s="6">
        <f>('TE BE'!$AB$24+'TE BF'!$AB$24+'TE CVA'!$AB$24)*(1-CUSTOS!$M$38)</f>
        <v>220.56513853363268</v>
      </c>
      <c r="AB203" s="6">
        <f t="shared" si="16"/>
        <v>0</v>
      </c>
      <c r="AC203" s="6">
        <f>(L203-M203)*(W203+X203)+($W$110+$X$110-$W$203-$X$203)*(L203)</f>
        <v>29.160960000000003</v>
      </c>
      <c r="AD203" s="6">
        <f t="shared" si="17"/>
        <v>0</v>
      </c>
      <c r="AE203" s="6">
        <f ca="1">(L203-M203)*(Z203+AA203)+($Z$110+$AA$110-$Z$203-$AA$203)*(L203)</f>
        <v>32.559426095438212</v>
      </c>
      <c r="AF203" s="4" t="s">
        <v>655</v>
      </c>
    </row>
    <row r="204" spans="1:32" ht="11.25" customHeight="1" x14ac:dyDescent="0.25">
      <c r="A204" s="4" t="s">
        <v>21</v>
      </c>
      <c r="B204" s="4" t="s">
        <v>41</v>
      </c>
      <c r="C204" s="4" t="s">
        <v>23</v>
      </c>
      <c r="D204" s="4" t="s">
        <v>42</v>
      </c>
      <c r="E204" s="4" t="s">
        <v>52</v>
      </c>
      <c r="F204" s="4" t="s">
        <v>54</v>
      </c>
      <c r="G204" s="4" t="s">
        <v>25</v>
      </c>
      <c r="H204" s="4" t="s">
        <v>25</v>
      </c>
      <c r="I204" s="5">
        <v>44562</v>
      </c>
      <c r="J204" s="6">
        <v>0</v>
      </c>
      <c r="K204" s="6">
        <v>0</v>
      </c>
      <c r="L204" s="6">
        <v>3.0150000000000001</v>
      </c>
      <c r="M204" s="6">
        <v>1.206</v>
      </c>
      <c r="N204" s="6">
        <v>3.0150000000000001</v>
      </c>
      <c r="O204" s="6">
        <v>1.206</v>
      </c>
      <c r="P204" s="6">
        <v>0</v>
      </c>
      <c r="Q204" s="4" t="s">
        <v>26</v>
      </c>
      <c r="R204" s="4">
        <v>0</v>
      </c>
      <c r="S204" s="4">
        <v>0</v>
      </c>
      <c r="T204" s="4">
        <v>16</v>
      </c>
      <c r="U204" s="4">
        <v>54</v>
      </c>
      <c r="V204" s="6">
        <f>IF(ISERROR(VLOOKUP($S$204,'TAR FIN'!$A$1:$O$86,15,0)),0,VLOOKUP($S$204,'TAR FIN'!$A$1:$O$86,15,0))</f>
        <v>0</v>
      </c>
      <c r="W204" s="6">
        <f>IF(ISERROR(VLOOKUP($T$204,'TAR FIN'!$A$1:$O$86,15,0)),0,VLOOKUP($T$204,'TAR FIN'!$A$1:$O$86,15,0))</f>
        <v>297.89</v>
      </c>
      <c r="X204" s="6">
        <f>IF(ISERROR(VLOOKUP($U$204,'TAR FIN'!$A$1:$O$86,15,0)),0,VLOOKUP($U$204,'TAR FIN'!$A$1:$O$86,15,0))</f>
        <v>197.13</v>
      </c>
      <c r="Y204" s="6"/>
      <c r="Z204" s="6">
        <f ca="1">('TUSD BE'!$AM$33+'TUSD BF'!$AM$33+'TUSD CVA'!$AM$33)*(1-CUSTOS!$M$38)</f>
        <v>392.53302912886562</v>
      </c>
      <c r="AA204" s="6">
        <f>('TE BE'!$AB$24+'TE BF'!$AB$24+'TE CVA'!$AB$24)*(1-CUSTOS!$M$38)</f>
        <v>220.56513853363268</v>
      </c>
      <c r="AB204" s="6">
        <f t="shared" si="16"/>
        <v>0</v>
      </c>
      <c r="AC204" s="6">
        <f>(L204-M204)*(W204+X204)+($W$110+$X$110-$W$204-$X$204)*(L204)</f>
        <v>1099.00368</v>
      </c>
      <c r="AD204" s="6">
        <f t="shared" si="17"/>
        <v>0</v>
      </c>
      <c r="AE204" s="6">
        <f ca="1">(L204-M204)*(Z204+AA204)+($Z$110+$AA$110-$Z$204-$AA$204)*(L204)</f>
        <v>1227.0833709718279</v>
      </c>
      <c r="AF204" s="4" t="s">
        <v>655</v>
      </c>
    </row>
    <row r="205" spans="1:32" ht="11.25" customHeight="1" x14ac:dyDescent="0.25">
      <c r="A205" s="4" t="s">
        <v>21</v>
      </c>
      <c r="B205" s="4" t="s">
        <v>41</v>
      </c>
      <c r="C205" s="4" t="s">
        <v>23</v>
      </c>
      <c r="D205" s="4" t="s">
        <v>42</v>
      </c>
      <c r="E205" s="4" t="s">
        <v>52</v>
      </c>
      <c r="F205" s="4" t="s">
        <v>54</v>
      </c>
      <c r="G205" s="4" t="s">
        <v>25</v>
      </c>
      <c r="H205" s="4" t="s">
        <v>25</v>
      </c>
      <c r="I205" s="5">
        <v>44593</v>
      </c>
      <c r="J205" s="6">
        <v>0</v>
      </c>
      <c r="K205" s="6">
        <v>0</v>
      </c>
      <c r="L205" s="6">
        <v>2.5670000000000002</v>
      </c>
      <c r="M205" s="6">
        <v>1.0267999999999999</v>
      </c>
      <c r="N205" s="6">
        <v>2.5670000000000002</v>
      </c>
      <c r="O205" s="6">
        <v>1.0267999999999999</v>
      </c>
      <c r="P205" s="6">
        <v>0</v>
      </c>
      <c r="Q205" s="4" t="s">
        <v>26</v>
      </c>
      <c r="R205" s="4">
        <v>0</v>
      </c>
      <c r="S205" s="4">
        <v>0</v>
      </c>
      <c r="T205" s="4">
        <v>16</v>
      </c>
      <c r="U205" s="4">
        <v>54</v>
      </c>
      <c r="V205" s="6">
        <f>IF(ISERROR(VLOOKUP($S$205,'TAR FIN'!$A$1:$O$86,15,0)),0,VLOOKUP($S$205,'TAR FIN'!$A$1:$O$86,15,0))</f>
        <v>0</v>
      </c>
      <c r="W205" s="6">
        <f>IF(ISERROR(VLOOKUP($T$205,'TAR FIN'!$A$1:$O$86,15,0)),0,VLOOKUP($T$205,'TAR FIN'!$A$1:$O$86,15,0))</f>
        <v>297.89</v>
      </c>
      <c r="X205" s="6">
        <f>IF(ISERROR(VLOOKUP($U$205,'TAR FIN'!$A$1:$O$86,15,0)),0,VLOOKUP($U$205,'TAR FIN'!$A$1:$O$86,15,0))</f>
        <v>197.13</v>
      </c>
      <c r="Y205" s="6"/>
      <c r="Z205" s="6">
        <f ca="1">('TUSD BE'!$AM$33+'TUSD BF'!$AM$33+'TUSD CVA'!$AM$33)*(1-CUSTOS!$M$38)</f>
        <v>392.53302912886562</v>
      </c>
      <c r="AA205" s="6">
        <f>('TE BE'!$AB$24+'TE BF'!$AB$24+'TE CVA'!$AB$24)*(1-CUSTOS!$M$38)</f>
        <v>220.56513853363268</v>
      </c>
      <c r="AB205" s="6">
        <f t="shared" si="16"/>
        <v>0</v>
      </c>
      <c r="AC205" s="6">
        <f>(L205-M205)*(W205+X205)+($W$110+$X$110-$W$205-$X$205)*(L205)</f>
        <v>935.70230400000014</v>
      </c>
      <c r="AD205" s="6">
        <f t="shared" si="17"/>
        <v>0</v>
      </c>
      <c r="AE205" s="6">
        <f ca="1">(L205-M205)*(Z205+AA205)+($Z$110+$AA$110-$Z$205-$AA$205)*(L205)</f>
        <v>1044.7505848373739</v>
      </c>
      <c r="AF205" s="4" t="s">
        <v>655</v>
      </c>
    </row>
    <row r="206" spans="1:32" ht="11.25" customHeight="1" x14ac:dyDescent="0.25">
      <c r="A206" s="4" t="s">
        <v>21</v>
      </c>
      <c r="B206" s="4" t="s">
        <v>41</v>
      </c>
      <c r="C206" s="4" t="s">
        <v>23</v>
      </c>
      <c r="D206" s="4" t="s">
        <v>42</v>
      </c>
      <c r="E206" s="4" t="s">
        <v>52</v>
      </c>
      <c r="F206" s="4" t="s">
        <v>54</v>
      </c>
      <c r="G206" s="4" t="s">
        <v>25</v>
      </c>
      <c r="H206" s="4" t="s">
        <v>25</v>
      </c>
      <c r="I206" s="5">
        <v>44621</v>
      </c>
      <c r="J206" s="6">
        <v>0</v>
      </c>
      <c r="K206" s="6">
        <v>0</v>
      </c>
      <c r="L206" s="6">
        <v>0.36399999999999999</v>
      </c>
      <c r="M206" s="6">
        <v>0.14560000000000001</v>
      </c>
      <c r="N206" s="6">
        <v>0.36399999999999999</v>
      </c>
      <c r="O206" s="6">
        <v>0.14560000000000001</v>
      </c>
      <c r="P206" s="6">
        <v>0</v>
      </c>
      <c r="Q206" s="4" t="s">
        <v>26</v>
      </c>
      <c r="R206" s="4">
        <v>0</v>
      </c>
      <c r="S206" s="4">
        <v>0</v>
      </c>
      <c r="T206" s="4">
        <v>16</v>
      </c>
      <c r="U206" s="4">
        <v>54</v>
      </c>
      <c r="V206" s="6">
        <f>IF(ISERROR(VLOOKUP($S$206,'TAR FIN'!$A$1:$O$86,15,0)),0,VLOOKUP($S$206,'TAR FIN'!$A$1:$O$86,15,0))</f>
        <v>0</v>
      </c>
      <c r="W206" s="6">
        <f>IF(ISERROR(VLOOKUP($T$206,'TAR FIN'!$A$1:$O$86,15,0)),0,VLOOKUP($T$206,'TAR FIN'!$A$1:$O$86,15,0))</f>
        <v>297.89</v>
      </c>
      <c r="X206" s="6">
        <f>IF(ISERROR(VLOOKUP($U$206,'TAR FIN'!$A$1:$O$86,15,0)),0,VLOOKUP($U$206,'TAR FIN'!$A$1:$O$86,15,0))</f>
        <v>197.13</v>
      </c>
      <c r="Y206" s="6"/>
      <c r="Z206" s="6">
        <f ca="1">('TUSD BE'!$AM$33+'TUSD BF'!$AM$33+'TUSD CVA'!$AM$33)*(1-CUSTOS!$M$38)</f>
        <v>392.53302912886562</v>
      </c>
      <c r="AA206" s="6">
        <f>('TE BE'!$AB$24+'TE BF'!$AB$24+'TE CVA'!$AB$24)*(1-CUSTOS!$M$38)</f>
        <v>220.56513853363268</v>
      </c>
      <c r="AB206" s="6">
        <f t="shared" si="16"/>
        <v>0</v>
      </c>
      <c r="AC206" s="6">
        <f>(L206-M206)*(W206+X206)+($W$110+$X$110-$W$206-$X$206)*(L206)</f>
        <v>132.682368</v>
      </c>
      <c r="AD206" s="6">
        <f t="shared" si="17"/>
        <v>0</v>
      </c>
      <c r="AE206" s="6">
        <f ca="1">(L206-M206)*(Z206+AA206)+($Z$110+$AA$110-$Z$206-$AA$206)*(L206)</f>
        <v>148.14538873424388</v>
      </c>
      <c r="AF206" s="4" t="s">
        <v>655</v>
      </c>
    </row>
    <row r="207" spans="1:32" ht="11.25" customHeight="1" x14ac:dyDescent="0.25">
      <c r="A207" s="4" t="s">
        <v>21</v>
      </c>
      <c r="B207" s="4" t="s">
        <v>41</v>
      </c>
      <c r="C207" s="4" t="s">
        <v>23</v>
      </c>
      <c r="D207" s="4" t="s">
        <v>42</v>
      </c>
      <c r="E207" s="4" t="s">
        <v>52</v>
      </c>
      <c r="F207" s="4" t="s">
        <v>54</v>
      </c>
      <c r="G207" s="4" t="s">
        <v>25</v>
      </c>
      <c r="H207" s="4" t="s">
        <v>25</v>
      </c>
      <c r="I207" s="5">
        <v>44652</v>
      </c>
      <c r="J207" s="6">
        <v>0</v>
      </c>
      <c r="K207" s="6">
        <v>0</v>
      </c>
      <c r="L207" s="6">
        <v>2.9000000000000001E-2</v>
      </c>
      <c r="M207" s="6">
        <v>1.1599999999999999E-2</v>
      </c>
      <c r="N207" s="6">
        <v>2.9000000000000001E-2</v>
      </c>
      <c r="O207" s="6">
        <v>1.1599999999999999E-2</v>
      </c>
      <c r="P207" s="6">
        <v>0</v>
      </c>
      <c r="Q207" s="4" t="s">
        <v>26</v>
      </c>
      <c r="R207" s="4">
        <v>0</v>
      </c>
      <c r="S207" s="4">
        <v>0</v>
      </c>
      <c r="T207" s="4">
        <v>16</v>
      </c>
      <c r="U207" s="4">
        <v>54</v>
      </c>
      <c r="V207" s="6">
        <f>IF(ISERROR(VLOOKUP($S$207,'TAR FIN'!$A$1:$O$86,15,0)),0,VLOOKUP($S$207,'TAR FIN'!$A$1:$O$86,15,0))</f>
        <v>0</v>
      </c>
      <c r="W207" s="6">
        <f>IF(ISERROR(VLOOKUP($T$207,'TAR FIN'!$A$1:$O$86,15,0)),0,VLOOKUP($T$207,'TAR FIN'!$A$1:$O$86,15,0))</f>
        <v>297.89</v>
      </c>
      <c r="X207" s="6">
        <f>IF(ISERROR(VLOOKUP($U$207,'TAR FIN'!$A$1:$O$86,15,0)),0,VLOOKUP($U$207,'TAR FIN'!$A$1:$O$86,15,0))</f>
        <v>197.13</v>
      </c>
      <c r="Y207" s="6"/>
      <c r="Z207" s="6">
        <f ca="1">('TUSD BE'!$AM$33+'TUSD BF'!$AM$33+'TUSD CVA'!$AM$33)*(1-CUSTOS!$M$38)</f>
        <v>392.53302912886562</v>
      </c>
      <c r="AA207" s="6">
        <f>('TE BE'!$AB$24+'TE BF'!$AB$24+'TE CVA'!$AB$24)*(1-CUSTOS!$M$38)</f>
        <v>220.56513853363268</v>
      </c>
      <c r="AB207" s="6">
        <f t="shared" si="16"/>
        <v>0</v>
      </c>
      <c r="AC207" s="6">
        <f>(L207-M207)*(W207+X207)+($W$110+$X$110-$W$207-$X$207)*(L207)</f>
        <v>10.570848</v>
      </c>
      <c r="AD207" s="6">
        <f t="shared" si="17"/>
        <v>0</v>
      </c>
      <c r="AE207" s="6">
        <f ca="1">(L207-M207)*(Z207+AA207)+($Z$110+$AA$110-$Z$207-$AA$207)*(L207)</f>
        <v>11.802791959596355</v>
      </c>
      <c r="AF207" s="4" t="s">
        <v>655</v>
      </c>
    </row>
    <row r="208" spans="1:32" ht="11.25" customHeight="1" x14ac:dyDescent="0.25">
      <c r="A208" s="4" t="s">
        <v>21</v>
      </c>
      <c r="B208" s="4" t="s">
        <v>41</v>
      </c>
      <c r="C208" s="4" t="s">
        <v>23</v>
      </c>
      <c r="D208" s="4" t="s">
        <v>42</v>
      </c>
      <c r="E208" s="4" t="s">
        <v>52</v>
      </c>
      <c r="F208" s="4" t="s">
        <v>54</v>
      </c>
      <c r="G208" s="4" t="s">
        <v>25</v>
      </c>
      <c r="H208" s="4" t="s">
        <v>25</v>
      </c>
      <c r="I208" s="5">
        <v>44682</v>
      </c>
      <c r="J208" s="6">
        <v>0</v>
      </c>
      <c r="K208" s="6">
        <v>0</v>
      </c>
      <c r="L208" s="6">
        <v>2.7E-2</v>
      </c>
      <c r="M208" s="6">
        <v>1.0800000000000001E-2</v>
      </c>
      <c r="N208" s="6">
        <v>2.7E-2</v>
      </c>
      <c r="O208" s="6">
        <v>1.0800000000000001E-2</v>
      </c>
      <c r="P208" s="6">
        <v>0</v>
      </c>
      <c r="Q208" s="4" t="s">
        <v>26</v>
      </c>
      <c r="R208" s="4">
        <v>0</v>
      </c>
      <c r="S208" s="4">
        <v>0</v>
      </c>
      <c r="T208" s="4">
        <v>16</v>
      </c>
      <c r="U208" s="4">
        <v>54</v>
      </c>
      <c r="V208" s="6">
        <f>IF(ISERROR(VLOOKUP($S$208,'TAR FIN'!$A$1:$O$86,15,0)),0,VLOOKUP($S$208,'TAR FIN'!$A$1:$O$86,15,0))</f>
        <v>0</v>
      </c>
      <c r="W208" s="6">
        <f>IF(ISERROR(VLOOKUP($T$208,'TAR FIN'!$A$1:$O$86,15,0)),0,VLOOKUP($T$208,'TAR FIN'!$A$1:$O$86,15,0))</f>
        <v>297.89</v>
      </c>
      <c r="X208" s="6">
        <f>IF(ISERROR(VLOOKUP($U$208,'TAR FIN'!$A$1:$O$86,15,0)),0,VLOOKUP($U$208,'TAR FIN'!$A$1:$O$86,15,0))</f>
        <v>197.13</v>
      </c>
      <c r="Y208" s="6"/>
      <c r="Z208" s="6">
        <f ca="1">('TUSD BE'!$AM$33+'TUSD BF'!$AM$33+'TUSD CVA'!$AM$33)*(1-CUSTOS!$M$38)</f>
        <v>392.53302912886562</v>
      </c>
      <c r="AA208" s="6">
        <f>('TE BE'!$AB$24+'TE BF'!$AB$24+'TE CVA'!$AB$24)*(1-CUSTOS!$M$38)</f>
        <v>220.56513853363268</v>
      </c>
      <c r="AB208" s="6">
        <f t="shared" si="16"/>
        <v>0</v>
      </c>
      <c r="AC208" s="6">
        <f>(L208-M208)*(W208+X208)+($W$110+$X$110-$W$208-$X$208)*(L208)</f>
        <v>9.841823999999999</v>
      </c>
      <c r="AD208" s="6">
        <f t="shared" si="17"/>
        <v>0</v>
      </c>
      <c r="AE208" s="6">
        <f ca="1">(L208-M208)*(Z208+AA208)+($Z$110+$AA$110-$Z$208-$AA$208)*(L208)</f>
        <v>10.988806307210396</v>
      </c>
      <c r="AF208" s="4" t="s">
        <v>655</v>
      </c>
    </row>
    <row r="209" spans="1:32" ht="11.25" customHeight="1" x14ac:dyDescent="0.25">
      <c r="A209" s="4" t="s">
        <v>27</v>
      </c>
      <c r="B209" s="4" t="s">
        <v>41</v>
      </c>
      <c r="C209" s="4" t="s">
        <v>23</v>
      </c>
      <c r="D209" s="4" t="s">
        <v>42</v>
      </c>
      <c r="E209" s="4" t="s">
        <v>52</v>
      </c>
      <c r="F209" s="4" t="s">
        <v>54</v>
      </c>
      <c r="G209" s="4" t="s">
        <v>25</v>
      </c>
      <c r="H209" s="4" t="s">
        <v>25</v>
      </c>
      <c r="I209" s="5">
        <v>44682</v>
      </c>
      <c r="J209" s="6">
        <v>0</v>
      </c>
      <c r="K209" s="6">
        <v>0</v>
      </c>
      <c r="L209" s="6">
        <v>0.09</v>
      </c>
      <c r="M209" s="6">
        <v>3.5999999999999997E-2</v>
      </c>
      <c r="N209" s="6">
        <v>0.09</v>
      </c>
      <c r="O209" s="6">
        <v>3.5999999999999997E-2</v>
      </c>
      <c r="P209" s="6">
        <v>0</v>
      </c>
      <c r="Q209" s="4" t="s">
        <v>26</v>
      </c>
      <c r="R209" s="4">
        <v>0</v>
      </c>
      <c r="S209" s="4">
        <v>0</v>
      </c>
      <c r="T209" s="4">
        <v>16</v>
      </c>
      <c r="U209" s="4">
        <v>54</v>
      </c>
      <c r="V209" s="6">
        <f>IF(ISERROR(VLOOKUP($S$209,'TAR FIN'!$A$1:$O$86,15,0)),0,VLOOKUP($S$209,'TAR FIN'!$A$1:$O$86,15,0))</f>
        <v>0</v>
      </c>
      <c r="W209" s="6">
        <f>IF(ISERROR(VLOOKUP($T$209,'TAR FIN'!$A$1:$O$86,15,0)),0,VLOOKUP($T$209,'TAR FIN'!$A$1:$O$86,15,0))</f>
        <v>297.89</v>
      </c>
      <c r="X209" s="6">
        <f>IF(ISERROR(VLOOKUP($U$209,'TAR FIN'!$A$1:$O$86,15,0)),0,VLOOKUP($U$209,'TAR FIN'!$A$1:$O$86,15,0))</f>
        <v>197.13</v>
      </c>
      <c r="Y209" s="6"/>
      <c r="Z209" s="6">
        <f ca="1">('TUSD BE'!$AM$33+'TUSD BF'!$AM$33+'TUSD CVA'!$AM$33)*(1-CUSTOS!$M$38)</f>
        <v>392.53302912886562</v>
      </c>
      <c r="AA209" s="6">
        <f>('TE BE'!$AB$24+'TE BF'!$AB$24+'TE CVA'!$AB$24)*(1-CUSTOS!$M$38)</f>
        <v>220.56513853363268</v>
      </c>
      <c r="AB209" s="6">
        <f t="shared" si="16"/>
        <v>0</v>
      </c>
      <c r="AC209" s="6">
        <f>(L209-M209)*(W209+X209)+($W$110+$X$110-$W$209-$X$209)*(L209)</f>
        <v>32.806080000000001</v>
      </c>
      <c r="AD209" s="6">
        <f t="shared" si="17"/>
        <v>0</v>
      </c>
      <c r="AE209" s="6">
        <f ca="1">(L209-M209)*(Z209+AA209)+($Z$110+$AA$110-$Z$209-$AA$209)*(L209)</f>
        <v>36.629354357367994</v>
      </c>
      <c r="AF209" s="4" t="s">
        <v>655</v>
      </c>
    </row>
    <row r="210" spans="1:32" ht="11.25" customHeight="1" x14ac:dyDescent="0.25">
      <c r="A210" s="4" t="s">
        <v>21</v>
      </c>
      <c r="B210" s="4" t="s">
        <v>41</v>
      </c>
      <c r="C210" s="4" t="s">
        <v>23</v>
      </c>
      <c r="D210" s="4" t="s">
        <v>42</v>
      </c>
      <c r="E210" s="4" t="s">
        <v>52</v>
      </c>
      <c r="F210" s="4" t="s">
        <v>54</v>
      </c>
      <c r="G210" s="4" t="s">
        <v>25</v>
      </c>
      <c r="H210" s="4" t="s">
        <v>25</v>
      </c>
      <c r="I210" s="5">
        <v>44713</v>
      </c>
      <c r="J210" s="6">
        <v>0</v>
      </c>
      <c r="K210" s="6">
        <v>0</v>
      </c>
      <c r="L210" s="6">
        <v>2.3E-2</v>
      </c>
      <c r="M210" s="6">
        <v>9.1999999999999998E-3</v>
      </c>
      <c r="N210" s="6">
        <v>2.3E-2</v>
      </c>
      <c r="O210" s="6">
        <v>9.1999999999999998E-3</v>
      </c>
      <c r="P210" s="6">
        <v>0</v>
      </c>
      <c r="Q210" s="4" t="s">
        <v>26</v>
      </c>
      <c r="R210" s="4">
        <v>0</v>
      </c>
      <c r="S210" s="4">
        <v>0</v>
      </c>
      <c r="T210" s="4">
        <v>16</v>
      </c>
      <c r="U210" s="4">
        <v>54</v>
      </c>
      <c r="V210" s="6">
        <f>IF(ISERROR(VLOOKUP($S$210,'TAR FIN'!$A$1:$O$86,15,0)),0,VLOOKUP($S$210,'TAR FIN'!$A$1:$O$86,15,0))</f>
        <v>0</v>
      </c>
      <c r="W210" s="6">
        <f>IF(ISERROR(VLOOKUP($T$210,'TAR FIN'!$A$1:$O$86,15,0)),0,VLOOKUP($T$210,'TAR FIN'!$A$1:$O$86,15,0))</f>
        <v>297.89</v>
      </c>
      <c r="X210" s="6">
        <f>IF(ISERROR(VLOOKUP($U$210,'TAR FIN'!$A$1:$O$86,15,0)),0,VLOOKUP($U$210,'TAR FIN'!$A$1:$O$86,15,0))</f>
        <v>197.13</v>
      </c>
      <c r="Y210" s="6"/>
      <c r="Z210" s="6">
        <f ca="1">('TUSD BE'!$AM$33+'TUSD BF'!$AM$33+'TUSD CVA'!$AM$33)*(1-CUSTOS!$M$38)</f>
        <v>392.53302912886562</v>
      </c>
      <c r="AA210" s="6">
        <f>('TE BE'!$AB$24+'TE BF'!$AB$24+'TE CVA'!$AB$24)*(1-CUSTOS!$M$38)</f>
        <v>220.56513853363268</v>
      </c>
      <c r="AB210" s="6">
        <f t="shared" si="16"/>
        <v>0</v>
      </c>
      <c r="AC210" s="6">
        <f>(L210-M210)*(W210+X210)+($W$110+$X$110-$W$210-$X$210)*(L210)</f>
        <v>8.3837759999999992</v>
      </c>
      <c r="AD210" s="6">
        <f t="shared" si="17"/>
        <v>0</v>
      </c>
      <c r="AE210" s="6">
        <f ca="1">(L210-M210)*(Z210+AA210)+($Z$110+$AA$110-$Z$210-$AA$210)*(L210)</f>
        <v>9.3608350024384865</v>
      </c>
      <c r="AF210" s="4" t="s">
        <v>655</v>
      </c>
    </row>
    <row r="211" spans="1:32" ht="11.25" customHeight="1" x14ac:dyDescent="0.25">
      <c r="A211" s="4" t="s">
        <v>55</v>
      </c>
      <c r="B211" s="4" t="s">
        <v>41</v>
      </c>
      <c r="C211" s="4" t="s">
        <v>23</v>
      </c>
      <c r="D211" s="4" t="s">
        <v>42</v>
      </c>
      <c r="E211" s="4" t="s">
        <v>52</v>
      </c>
      <c r="F211" s="4" t="s">
        <v>54</v>
      </c>
      <c r="G211" s="4" t="s">
        <v>25</v>
      </c>
      <c r="H211" s="4" t="s">
        <v>25</v>
      </c>
      <c r="I211" s="5">
        <v>44743</v>
      </c>
      <c r="J211" s="6">
        <v>0</v>
      </c>
      <c r="K211" s="6">
        <v>0</v>
      </c>
      <c r="L211" s="6">
        <v>2.3E-2</v>
      </c>
      <c r="M211" s="6">
        <v>9.1999999999999998E-3</v>
      </c>
      <c r="N211" s="6">
        <v>2.3E-2</v>
      </c>
      <c r="O211" s="6">
        <v>9.1999999999999998E-3</v>
      </c>
      <c r="P211" s="6">
        <v>0</v>
      </c>
      <c r="Q211" s="4" t="s">
        <v>26</v>
      </c>
      <c r="R211" s="4">
        <v>0</v>
      </c>
      <c r="S211" s="4">
        <v>0</v>
      </c>
      <c r="T211" s="4">
        <v>16</v>
      </c>
      <c r="U211" s="4">
        <v>54</v>
      </c>
      <c r="V211" s="6">
        <f>IF(ISERROR(VLOOKUP($S$211,'TAR FIN'!$A$1:$O$86,15,0)),0,VLOOKUP($S$211,'TAR FIN'!$A$1:$O$86,15,0))</f>
        <v>0</v>
      </c>
      <c r="W211" s="6">
        <f>IF(ISERROR(VLOOKUP($T$211,'TAR FIN'!$A$1:$O$86,15,0)),0,VLOOKUP($T$211,'TAR FIN'!$A$1:$O$86,15,0))</f>
        <v>297.89</v>
      </c>
      <c r="X211" s="6">
        <f>IF(ISERROR(VLOOKUP($U$211,'TAR FIN'!$A$1:$O$86,15,0)),0,VLOOKUP($U$211,'TAR FIN'!$A$1:$O$86,15,0))</f>
        <v>197.13</v>
      </c>
      <c r="Y211" s="6"/>
      <c r="Z211" s="6">
        <f ca="1">('TUSD BE'!$AM$33+'TUSD BF'!$AM$33+'TUSD CVA'!$AM$33)*(1-CUSTOS!$M$38)</f>
        <v>392.53302912886562</v>
      </c>
      <c r="AA211" s="6">
        <f>('TE BE'!$AB$24+'TE BF'!$AB$24+'TE CVA'!$AB$24)*(1-CUSTOS!$M$38)</f>
        <v>220.56513853363268</v>
      </c>
      <c r="AB211" s="6">
        <f t="shared" si="16"/>
        <v>0</v>
      </c>
      <c r="AC211" s="6">
        <f>(L211-M211)*(W211+X211)+($W$110+$X$110-$W$211-$X$211)*(L211)</f>
        <v>8.3837759999999992</v>
      </c>
      <c r="AD211" s="6">
        <f t="shared" si="17"/>
        <v>0</v>
      </c>
      <c r="AE211" s="6">
        <f ca="1">(L211-M211)*(Z211+AA211)+($Z$110+$AA$110-$Z$211-$AA$211)*(L211)</f>
        <v>9.3608350024384865</v>
      </c>
      <c r="AF211" s="4" t="s">
        <v>655</v>
      </c>
    </row>
    <row r="212" spans="1:32" ht="11.25" customHeight="1" x14ac:dyDescent="0.25">
      <c r="A212" s="4" t="s">
        <v>21</v>
      </c>
      <c r="B212" s="4" t="s">
        <v>41</v>
      </c>
      <c r="C212" s="4" t="s">
        <v>23</v>
      </c>
      <c r="D212" s="4" t="s">
        <v>42</v>
      </c>
      <c r="E212" s="4" t="s">
        <v>25</v>
      </c>
      <c r="F212" s="4" t="s">
        <v>25</v>
      </c>
      <c r="G212" s="4" t="s">
        <v>25</v>
      </c>
      <c r="H212" s="4" t="s">
        <v>25</v>
      </c>
      <c r="I212" s="5">
        <v>44409</v>
      </c>
      <c r="J212" s="6">
        <v>0</v>
      </c>
      <c r="K212" s="6">
        <v>0</v>
      </c>
      <c r="L212" s="6">
        <v>751.04300000000001</v>
      </c>
      <c r="M212" s="6">
        <v>751.04300000000001</v>
      </c>
      <c r="N212" s="6">
        <v>751.04300000000001</v>
      </c>
      <c r="O212" s="6">
        <v>751.04300000000001</v>
      </c>
      <c r="P212" s="6">
        <v>2482</v>
      </c>
      <c r="Q212" s="4" t="s">
        <v>26</v>
      </c>
      <c r="R212" s="4">
        <v>0</v>
      </c>
      <c r="S212" s="4">
        <v>0</v>
      </c>
      <c r="T212" s="4">
        <v>16</v>
      </c>
      <c r="U212" s="4">
        <v>54</v>
      </c>
      <c r="V212" s="6">
        <f>IF(ISERROR(VLOOKUP($S$212,'TAR FIN'!$A$1:$O$86,15,0)),0,VLOOKUP($S$212,'TAR FIN'!$A$1:$O$86,15,0))</f>
        <v>0</v>
      </c>
      <c r="W212" s="6">
        <f>IF(ISERROR(VLOOKUP($T$212,'TAR FIN'!$A$1:$O$86,15,0)),0,VLOOKUP($T$212,'TAR FIN'!$A$1:$O$86,15,0))</f>
        <v>297.89</v>
      </c>
      <c r="X212" s="6">
        <f>IF(ISERROR(VLOOKUP($U$212,'TAR FIN'!$A$1:$O$86,15,0)),0,VLOOKUP($U$212,'TAR FIN'!$A$1:$O$86,15,0))</f>
        <v>197.13</v>
      </c>
      <c r="Y212" s="6"/>
      <c r="Z212" s="6">
        <f ca="1">('TUSD BE'!$AM$33+'TUSD BF'!$AM$33+'TUSD CVA'!$AM$33)*(1-CUSTOS!$M$38)</f>
        <v>392.53302912886562</v>
      </c>
      <c r="AA212" s="6">
        <f>('TE BE'!$AB$24+'TE BF'!$AB$24+'TE CVA'!$AB$24)*(1-CUSTOS!$M$38)</f>
        <v>220.56513853363268</v>
      </c>
      <c r="AB212" s="6">
        <f t="shared" si="16"/>
        <v>0</v>
      </c>
      <c r="AC212" s="6">
        <f>(L212-M212)*(W212+X212)+($W$110+$X$110-$W$212-$X$212)*(L212)</f>
        <v>50695.402500000004</v>
      </c>
      <c r="AD212" s="6">
        <f t="shared" si="17"/>
        <v>0</v>
      </c>
      <c r="AE212" s="6">
        <f ca="1">(L212-M212)*(Z212+AA212)+($Z$110+$AA$110-$Z$212-$AA$212)*(L212)</f>
        <v>29391.26088100511</v>
      </c>
      <c r="AF212" s="4" t="s">
        <v>654</v>
      </c>
    </row>
    <row r="213" spans="1:32" ht="11.25" customHeight="1" x14ac:dyDescent="0.25">
      <c r="A213" s="4" t="s">
        <v>27</v>
      </c>
      <c r="B213" s="4" t="s">
        <v>41</v>
      </c>
      <c r="C213" s="4" t="s">
        <v>23</v>
      </c>
      <c r="D213" s="4" t="s">
        <v>42</v>
      </c>
      <c r="E213" s="4" t="s">
        <v>25</v>
      </c>
      <c r="F213" s="4" t="s">
        <v>25</v>
      </c>
      <c r="G213" s="4" t="s">
        <v>25</v>
      </c>
      <c r="H213" s="4" t="s">
        <v>25</v>
      </c>
      <c r="I213" s="5">
        <v>44409</v>
      </c>
      <c r="J213" s="6">
        <v>0</v>
      </c>
      <c r="K213" s="6">
        <v>0</v>
      </c>
      <c r="L213" s="6">
        <v>-1.2769999999999999</v>
      </c>
      <c r="M213" s="6">
        <v>-1.2769999999999999</v>
      </c>
      <c r="N213" s="6">
        <v>-1.2769999999999999</v>
      </c>
      <c r="O213" s="6">
        <v>-1.2769999999999999</v>
      </c>
      <c r="P213" s="6">
        <v>0</v>
      </c>
      <c r="Q213" s="4" t="s">
        <v>26</v>
      </c>
      <c r="R213" s="4">
        <v>0</v>
      </c>
      <c r="S213" s="4">
        <v>0</v>
      </c>
      <c r="T213" s="4">
        <v>16</v>
      </c>
      <c r="U213" s="4">
        <v>54</v>
      </c>
      <c r="V213" s="6">
        <f>IF(ISERROR(VLOOKUP($S$213,'TAR FIN'!$A$1:$O$86,15,0)),0,VLOOKUP($S$213,'TAR FIN'!$A$1:$O$86,15,0))</f>
        <v>0</v>
      </c>
      <c r="W213" s="6">
        <f>IF(ISERROR(VLOOKUP($T$213,'TAR FIN'!$A$1:$O$86,15,0)),0,VLOOKUP($T$213,'TAR FIN'!$A$1:$O$86,15,0))</f>
        <v>297.89</v>
      </c>
      <c r="X213" s="6">
        <f>IF(ISERROR(VLOOKUP($U$213,'TAR FIN'!$A$1:$O$86,15,0)),0,VLOOKUP($U$213,'TAR FIN'!$A$1:$O$86,15,0))</f>
        <v>197.13</v>
      </c>
      <c r="Y213" s="6"/>
      <c r="Z213" s="6">
        <f ca="1">('TUSD BE'!$AM$33+'TUSD BF'!$AM$33+'TUSD CVA'!$AM$33)*(1-CUSTOS!$M$38)</f>
        <v>392.53302912886562</v>
      </c>
      <c r="AA213" s="6">
        <f>('TE BE'!$AB$24+'TE BF'!$AB$24+'TE CVA'!$AB$24)*(1-CUSTOS!$M$38)</f>
        <v>220.56513853363268</v>
      </c>
      <c r="AB213" s="6">
        <f t="shared" si="16"/>
        <v>0</v>
      </c>
      <c r="AC213" s="6">
        <f>(L213-M213)*(W213+X213)+($W$110+$X$110-$W$213-$X$213)*(L213)</f>
        <v>-86.197499999999991</v>
      </c>
      <c r="AD213" s="6">
        <f t="shared" si="17"/>
        <v>0</v>
      </c>
      <c r="AE213" s="6">
        <f ca="1">(L213-M213)*(Z213+AA213)+($Z$110+$AA$110-$Z$213-$AA$213)*(L213)</f>
        <v>-49.974022985426295</v>
      </c>
      <c r="AF213" s="4" t="s">
        <v>654</v>
      </c>
    </row>
    <row r="214" spans="1:32" ht="11.25" customHeight="1" x14ac:dyDescent="0.25">
      <c r="A214" s="4" t="s">
        <v>28</v>
      </c>
      <c r="B214" s="4" t="s">
        <v>41</v>
      </c>
      <c r="C214" s="4" t="s">
        <v>23</v>
      </c>
      <c r="D214" s="4" t="s">
        <v>42</v>
      </c>
      <c r="E214" s="4" t="s">
        <v>25</v>
      </c>
      <c r="F214" s="4" t="s">
        <v>25</v>
      </c>
      <c r="G214" s="4" t="s">
        <v>25</v>
      </c>
      <c r="H214" s="4" t="s">
        <v>25</v>
      </c>
      <c r="I214" s="5">
        <v>44409</v>
      </c>
      <c r="J214" s="6">
        <v>0</v>
      </c>
      <c r="K214" s="6">
        <v>0</v>
      </c>
      <c r="L214" s="6">
        <v>6.4160000000000004</v>
      </c>
      <c r="M214" s="6">
        <v>6.4160000000000004</v>
      </c>
      <c r="N214" s="6">
        <v>6.4160000000000004</v>
      </c>
      <c r="O214" s="6">
        <v>6.4160000000000004</v>
      </c>
      <c r="P214" s="6">
        <v>10</v>
      </c>
      <c r="Q214" s="4" t="s">
        <v>26</v>
      </c>
      <c r="R214" s="4">
        <v>0</v>
      </c>
      <c r="S214" s="4">
        <v>0</v>
      </c>
      <c r="T214" s="4">
        <v>16</v>
      </c>
      <c r="U214" s="4">
        <v>54</v>
      </c>
      <c r="V214" s="6">
        <f>IF(ISERROR(VLOOKUP($S$214,'TAR FIN'!$A$1:$O$86,15,0)),0,VLOOKUP($S$214,'TAR FIN'!$A$1:$O$86,15,0))</f>
        <v>0</v>
      </c>
      <c r="W214" s="6">
        <f>IF(ISERROR(VLOOKUP($T$214,'TAR FIN'!$A$1:$O$86,15,0)),0,VLOOKUP($T$214,'TAR FIN'!$A$1:$O$86,15,0))</f>
        <v>297.89</v>
      </c>
      <c r="X214" s="6">
        <f>IF(ISERROR(VLOOKUP($U$214,'TAR FIN'!$A$1:$O$86,15,0)),0,VLOOKUP($U$214,'TAR FIN'!$A$1:$O$86,15,0))</f>
        <v>197.13</v>
      </c>
      <c r="Y214" s="6"/>
      <c r="Z214" s="6">
        <f ca="1">('TUSD BE'!$AM$33+'TUSD BF'!$AM$33+'TUSD CVA'!$AM$33)*(1-CUSTOS!$M$38)</f>
        <v>392.53302912886562</v>
      </c>
      <c r="AA214" s="6">
        <f>('TE BE'!$AB$24+'TE BF'!$AB$24+'TE CVA'!$AB$24)*(1-CUSTOS!$M$38)</f>
        <v>220.56513853363268</v>
      </c>
      <c r="AB214" s="6">
        <f t="shared" si="16"/>
        <v>0</v>
      </c>
      <c r="AC214" s="6">
        <f>(L214-M214)*(W214+X214)+($W$110+$X$110-$W$214-$X$214)*(L214)</f>
        <v>433.08000000000004</v>
      </c>
      <c r="AD214" s="6">
        <f t="shared" si="17"/>
        <v>0</v>
      </c>
      <c r="AE214" s="6">
        <f ca="1">(L214-M214)*(Z214+AA214)+($Z$110+$AA$110-$Z$214-$AA$214)*(L214)</f>
        <v>251.08326662059136</v>
      </c>
      <c r="AF214" s="4" t="s">
        <v>654</v>
      </c>
    </row>
    <row r="215" spans="1:32" ht="11.25" customHeight="1" x14ac:dyDescent="0.25">
      <c r="A215" s="4" t="s">
        <v>21</v>
      </c>
      <c r="B215" s="4" t="s">
        <v>41</v>
      </c>
      <c r="C215" s="4" t="s">
        <v>23</v>
      </c>
      <c r="D215" s="4" t="s">
        <v>42</v>
      </c>
      <c r="E215" s="4" t="s">
        <v>25</v>
      </c>
      <c r="F215" s="4" t="s">
        <v>25</v>
      </c>
      <c r="G215" s="4" t="s">
        <v>25</v>
      </c>
      <c r="H215" s="4" t="s">
        <v>25</v>
      </c>
      <c r="I215" s="5">
        <v>44440</v>
      </c>
      <c r="J215" s="6">
        <v>0</v>
      </c>
      <c r="K215" s="6">
        <v>0</v>
      </c>
      <c r="L215" s="6">
        <v>922.43</v>
      </c>
      <c r="M215" s="6">
        <v>922.43</v>
      </c>
      <c r="N215" s="6">
        <v>922.43</v>
      </c>
      <c r="O215" s="6">
        <v>922.43</v>
      </c>
      <c r="P215" s="6">
        <v>2485</v>
      </c>
      <c r="Q215" s="4" t="s">
        <v>26</v>
      </c>
      <c r="R215" s="4">
        <v>0</v>
      </c>
      <c r="S215" s="4">
        <v>0</v>
      </c>
      <c r="T215" s="4">
        <v>16</v>
      </c>
      <c r="U215" s="4">
        <v>54</v>
      </c>
      <c r="V215" s="6">
        <f>IF(ISERROR(VLOOKUP($S$215,'TAR FIN'!$A$1:$O$86,15,0)),0,VLOOKUP($S$215,'TAR FIN'!$A$1:$O$86,15,0))</f>
        <v>0</v>
      </c>
      <c r="W215" s="6">
        <f>IF(ISERROR(VLOOKUP($T$215,'TAR FIN'!$A$1:$O$86,15,0)),0,VLOOKUP($T$215,'TAR FIN'!$A$1:$O$86,15,0))</f>
        <v>297.89</v>
      </c>
      <c r="X215" s="6">
        <f>IF(ISERROR(VLOOKUP($U$215,'TAR FIN'!$A$1:$O$86,15,0)),0,VLOOKUP($U$215,'TAR FIN'!$A$1:$O$86,15,0))</f>
        <v>197.13</v>
      </c>
      <c r="Y215" s="6"/>
      <c r="Z215" s="6">
        <f ca="1">('TUSD BE'!$AM$33+'TUSD BF'!$AM$33+'TUSD CVA'!$AM$33)*(1-CUSTOS!$M$38)</f>
        <v>392.53302912886562</v>
      </c>
      <c r="AA215" s="6">
        <f>('TE BE'!$AB$24+'TE BF'!$AB$24+'TE CVA'!$AB$24)*(1-CUSTOS!$M$38)</f>
        <v>220.56513853363268</v>
      </c>
      <c r="AB215" s="6">
        <f t="shared" si="16"/>
        <v>0</v>
      </c>
      <c r="AC215" s="6">
        <f>(L215-M215)*(W215+X215)+($W$110+$X$110-$W$215-$X$215)*(L215)</f>
        <v>62264.024999999994</v>
      </c>
      <c r="AD215" s="6">
        <f t="shared" si="17"/>
        <v>0</v>
      </c>
      <c r="AE215" s="6">
        <f ca="1">(L215-M215)*(Z215+AA215)+($Z$110+$AA$110-$Z$215-$AA$215)*(L215)</f>
        <v>36098.306987037417</v>
      </c>
      <c r="AF215" s="4" t="s">
        <v>654</v>
      </c>
    </row>
    <row r="216" spans="1:32" ht="11.25" customHeight="1" x14ac:dyDescent="0.25">
      <c r="A216" s="4" t="s">
        <v>27</v>
      </c>
      <c r="B216" s="4" t="s">
        <v>41</v>
      </c>
      <c r="C216" s="4" t="s">
        <v>23</v>
      </c>
      <c r="D216" s="4" t="s">
        <v>42</v>
      </c>
      <c r="E216" s="4" t="s">
        <v>25</v>
      </c>
      <c r="F216" s="4" t="s">
        <v>25</v>
      </c>
      <c r="G216" s="4" t="s">
        <v>25</v>
      </c>
      <c r="H216" s="4" t="s">
        <v>25</v>
      </c>
      <c r="I216" s="5">
        <v>44440</v>
      </c>
      <c r="J216" s="6">
        <v>0</v>
      </c>
      <c r="K216" s="6">
        <v>0</v>
      </c>
      <c r="L216" s="6">
        <v>-0.497</v>
      </c>
      <c r="M216" s="6">
        <v>-0.497</v>
      </c>
      <c r="N216" s="6">
        <v>-0.497</v>
      </c>
      <c r="O216" s="6">
        <v>-0.497</v>
      </c>
      <c r="P216" s="6">
        <v>0</v>
      </c>
      <c r="Q216" s="4" t="s">
        <v>26</v>
      </c>
      <c r="R216" s="4">
        <v>0</v>
      </c>
      <c r="S216" s="4">
        <v>0</v>
      </c>
      <c r="T216" s="4">
        <v>16</v>
      </c>
      <c r="U216" s="4">
        <v>54</v>
      </c>
      <c r="V216" s="6">
        <f>IF(ISERROR(VLOOKUP($S$216,'TAR FIN'!$A$1:$O$86,15,0)),0,VLOOKUP($S$216,'TAR FIN'!$A$1:$O$86,15,0))</f>
        <v>0</v>
      </c>
      <c r="W216" s="6">
        <f>IF(ISERROR(VLOOKUP($T$216,'TAR FIN'!$A$1:$O$86,15,0)),0,VLOOKUP($T$216,'TAR FIN'!$A$1:$O$86,15,0))</f>
        <v>297.89</v>
      </c>
      <c r="X216" s="6">
        <f>IF(ISERROR(VLOOKUP($U$216,'TAR FIN'!$A$1:$O$86,15,0)),0,VLOOKUP($U$216,'TAR FIN'!$A$1:$O$86,15,0))</f>
        <v>197.13</v>
      </c>
      <c r="Y216" s="6"/>
      <c r="Z216" s="6">
        <f ca="1">('TUSD BE'!$AM$33+'TUSD BF'!$AM$33+'TUSD CVA'!$AM$33)*(1-CUSTOS!$M$38)</f>
        <v>392.53302912886562</v>
      </c>
      <c r="AA216" s="6">
        <f>('TE BE'!$AB$24+'TE BF'!$AB$24+'TE CVA'!$AB$24)*(1-CUSTOS!$M$38)</f>
        <v>220.56513853363268</v>
      </c>
      <c r="AB216" s="6">
        <f t="shared" si="16"/>
        <v>0</v>
      </c>
      <c r="AC216" s="6">
        <f>(L216-M216)*(W216+X216)+($W$110+$X$110-$W$216-$X$216)*(L216)</f>
        <v>-33.547499999999999</v>
      </c>
      <c r="AD216" s="6">
        <f t="shared" si="17"/>
        <v>0</v>
      </c>
      <c r="AE216" s="6">
        <f ca="1">(L216-M216)*(Z216+AA216)+($Z$110+$AA$110-$Z$216-$AA$216)*(L216)</f>
        <v>-19.449561020952913</v>
      </c>
      <c r="AF216" s="4" t="s">
        <v>654</v>
      </c>
    </row>
    <row r="217" spans="1:32" ht="11.25" customHeight="1" x14ac:dyDescent="0.25">
      <c r="A217" s="4" t="s">
        <v>28</v>
      </c>
      <c r="B217" s="4" t="s">
        <v>41</v>
      </c>
      <c r="C217" s="4" t="s">
        <v>23</v>
      </c>
      <c r="D217" s="4" t="s">
        <v>42</v>
      </c>
      <c r="E217" s="4" t="s">
        <v>25</v>
      </c>
      <c r="F217" s="4" t="s">
        <v>25</v>
      </c>
      <c r="G217" s="4" t="s">
        <v>25</v>
      </c>
      <c r="H217" s="4" t="s">
        <v>25</v>
      </c>
      <c r="I217" s="5">
        <v>44440</v>
      </c>
      <c r="J217" s="6">
        <v>0</v>
      </c>
      <c r="K217" s="6">
        <v>0</v>
      </c>
      <c r="L217" s="6">
        <v>8.3219999999999992</v>
      </c>
      <c r="M217" s="6">
        <v>8.3219999999999992</v>
      </c>
      <c r="N217" s="6">
        <v>8.3219999999999992</v>
      </c>
      <c r="O217" s="6">
        <v>8.3219999999999992</v>
      </c>
      <c r="P217" s="6">
        <v>11</v>
      </c>
      <c r="Q217" s="4" t="s">
        <v>26</v>
      </c>
      <c r="R217" s="4">
        <v>0</v>
      </c>
      <c r="S217" s="4">
        <v>0</v>
      </c>
      <c r="T217" s="4">
        <v>16</v>
      </c>
      <c r="U217" s="4">
        <v>54</v>
      </c>
      <c r="V217" s="6">
        <f>IF(ISERROR(VLOOKUP($S$217,'TAR FIN'!$A$1:$O$86,15,0)),0,VLOOKUP($S$217,'TAR FIN'!$A$1:$O$86,15,0))</f>
        <v>0</v>
      </c>
      <c r="W217" s="6">
        <f>IF(ISERROR(VLOOKUP($T$217,'TAR FIN'!$A$1:$O$86,15,0)),0,VLOOKUP($T$217,'TAR FIN'!$A$1:$O$86,15,0))</f>
        <v>297.89</v>
      </c>
      <c r="X217" s="6">
        <f>IF(ISERROR(VLOOKUP($U$217,'TAR FIN'!$A$1:$O$86,15,0)),0,VLOOKUP($U$217,'TAR FIN'!$A$1:$O$86,15,0))</f>
        <v>197.13</v>
      </c>
      <c r="Y217" s="6"/>
      <c r="Z217" s="6">
        <f ca="1">('TUSD BE'!$AM$33+'TUSD BF'!$AM$33+'TUSD CVA'!$AM$33)*(1-CUSTOS!$M$38)</f>
        <v>392.53302912886562</v>
      </c>
      <c r="AA217" s="6">
        <f>('TE BE'!$AB$24+'TE BF'!$AB$24+'TE CVA'!$AB$24)*(1-CUSTOS!$M$38)</f>
        <v>220.56513853363268</v>
      </c>
      <c r="AB217" s="6">
        <f t="shared" si="16"/>
        <v>0</v>
      </c>
      <c r="AC217" s="6">
        <f>(L217-M217)*(W217+X217)+($W$110+$X$110-$W$217-$X$217)*(L217)</f>
        <v>561.7349999999999</v>
      </c>
      <c r="AD217" s="6">
        <f t="shared" si="17"/>
        <v>0</v>
      </c>
      <c r="AE217" s="6">
        <f ca="1">(L217-M217)*(Z217+AA217)+($Z$110+$AA$110-$Z$217-$AA$217)*(L217)</f>
        <v>325.67252880557373</v>
      </c>
      <c r="AF217" s="4" t="s">
        <v>654</v>
      </c>
    </row>
    <row r="218" spans="1:32" ht="11.25" customHeight="1" x14ac:dyDescent="0.25">
      <c r="A218" s="4" t="s">
        <v>21</v>
      </c>
      <c r="B218" s="4" t="s">
        <v>41</v>
      </c>
      <c r="C218" s="4" t="s">
        <v>23</v>
      </c>
      <c r="D218" s="4" t="s">
        <v>42</v>
      </c>
      <c r="E218" s="4" t="s">
        <v>25</v>
      </c>
      <c r="F218" s="4" t="s">
        <v>25</v>
      </c>
      <c r="G218" s="4" t="s">
        <v>25</v>
      </c>
      <c r="H218" s="4" t="s">
        <v>25</v>
      </c>
      <c r="I218" s="5">
        <v>44470</v>
      </c>
      <c r="J218" s="6">
        <v>0</v>
      </c>
      <c r="K218" s="6">
        <v>0</v>
      </c>
      <c r="L218" s="6">
        <v>1154.396</v>
      </c>
      <c r="M218" s="6">
        <v>1154.396</v>
      </c>
      <c r="N218" s="6">
        <v>1154.396</v>
      </c>
      <c r="O218" s="6">
        <v>1154.396</v>
      </c>
      <c r="P218" s="6">
        <v>2488</v>
      </c>
      <c r="Q218" s="4" t="s">
        <v>26</v>
      </c>
      <c r="R218" s="4">
        <v>0</v>
      </c>
      <c r="S218" s="4">
        <v>0</v>
      </c>
      <c r="T218" s="4">
        <v>16</v>
      </c>
      <c r="U218" s="4">
        <v>54</v>
      </c>
      <c r="V218" s="6">
        <f>IF(ISERROR(VLOOKUP($S$218,'TAR FIN'!$A$1:$O$86,15,0)),0,VLOOKUP($S$218,'TAR FIN'!$A$1:$O$86,15,0))</f>
        <v>0</v>
      </c>
      <c r="W218" s="6">
        <f>IF(ISERROR(VLOOKUP($T$218,'TAR FIN'!$A$1:$O$86,15,0)),0,VLOOKUP($T$218,'TAR FIN'!$A$1:$O$86,15,0))</f>
        <v>297.89</v>
      </c>
      <c r="X218" s="6">
        <f>IF(ISERROR(VLOOKUP($U$218,'TAR FIN'!$A$1:$O$86,15,0)),0,VLOOKUP($U$218,'TAR FIN'!$A$1:$O$86,15,0))</f>
        <v>197.13</v>
      </c>
      <c r="Y218" s="6"/>
      <c r="Z218" s="6">
        <f ca="1">('TUSD BE'!$AM$33+'TUSD BF'!$AM$33+'TUSD CVA'!$AM$33)*(1-CUSTOS!$M$38)</f>
        <v>392.53302912886562</v>
      </c>
      <c r="AA218" s="6">
        <f>('TE BE'!$AB$24+'TE BF'!$AB$24+'TE CVA'!$AB$24)*(1-CUSTOS!$M$38)</f>
        <v>220.56513853363268</v>
      </c>
      <c r="AB218" s="6">
        <f t="shared" si="16"/>
        <v>0</v>
      </c>
      <c r="AC218" s="6">
        <f>(L218-M218)*(W218+X218)+($W$110+$X$110-$W$218-$X$218)*(L218)</f>
        <v>77921.73</v>
      </c>
      <c r="AD218" s="6">
        <f t="shared" si="17"/>
        <v>0</v>
      </c>
      <c r="AE218" s="6">
        <f ca="1">(L218-M218)*(Z218+AA218)+($Z$110+$AA$110-$Z$218-$AA$218)*(L218)</f>
        <v>45176.04717171823</v>
      </c>
      <c r="AF218" s="4" t="s">
        <v>654</v>
      </c>
    </row>
    <row r="219" spans="1:32" ht="11.25" customHeight="1" x14ac:dyDescent="0.25">
      <c r="A219" s="4" t="s">
        <v>28</v>
      </c>
      <c r="B219" s="4" t="s">
        <v>41</v>
      </c>
      <c r="C219" s="4" t="s">
        <v>23</v>
      </c>
      <c r="D219" s="4" t="s">
        <v>42</v>
      </c>
      <c r="E219" s="4" t="s">
        <v>25</v>
      </c>
      <c r="F219" s="4" t="s">
        <v>25</v>
      </c>
      <c r="G219" s="4" t="s">
        <v>25</v>
      </c>
      <c r="H219" s="4" t="s">
        <v>25</v>
      </c>
      <c r="I219" s="5">
        <v>44470</v>
      </c>
      <c r="J219" s="6">
        <v>0</v>
      </c>
      <c r="K219" s="6">
        <v>0</v>
      </c>
      <c r="L219" s="6">
        <v>11.291</v>
      </c>
      <c r="M219" s="6">
        <v>11.291</v>
      </c>
      <c r="N219" s="6">
        <v>11.291</v>
      </c>
      <c r="O219" s="6">
        <v>11.291</v>
      </c>
      <c r="P219" s="6">
        <v>12</v>
      </c>
      <c r="Q219" s="4" t="s">
        <v>26</v>
      </c>
      <c r="R219" s="4">
        <v>0</v>
      </c>
      <c r="S219" s="4">
        <v>0</v>
      </c>
      <c r="T219" s="4">
        <v>16</v>
      </c>
      <c r="U219" s="4">
        <v>54</v>
      </c>
      <c r="V219" s="6">
        <f>IF(ISERROR(VLOOKUP($S$219,'TAR FIN'!$A$1:$O$86,15,0)),0,VLOOKUP($S$219,'TAR FIN'!$A$1:$O$86,15,0))</f>
        <v>0</v>
      </c>
      <c r="W219" s="6">
        <f>IF(ISERROR(VLOOKUP($T$219,'TAR FIN'!$A$1:$O$86,15,0)),0,VLOOKUP($T$219,'TAR FIN'!$A$1:$O$86,15,0))</f>
        <v>297.89</v>
      </c>
      <c r="X219" s="6">
        <f>IF(ISERROR(VLOOKUP($U$219,'TAR FIN'!$A$1:$O$86,15,0)),0,VLOOKUP($U$219,'TAR FIN'!$A$1:$O$86,15,0))</f>
        <v>197.13</v>
      </c>
      <c r="Y219" s="6"/>
      <c r="Z219" s="6">
        <f ca="1">('TUSD BE'!$AM$33+'TUSD BF'!$AM$33+'TUSD CVA'!$AM$33)*(1-CUSTOS!$M$38)</f>
        <v>392.53302912886562</v>
      </c>
      <c r="AA219" s="6">
        <f>('TE BE'!$AB$24+'TE BF'!$AB$24+'TE CVA'!$AB$24)*(1-CUSTOS!$M$38)</f>
        <v>220.56513853363268</v>
      </c>
      <c r="AB219" s="6">
        <f t="shared" si="16"/>
        <v>0</v>
      </c>
      <c r="AC219" s="6">
        <f>(L219-M219)*(W219+X219)+($W$110+$X$110-$W$219-$X$219)*(L219)</f>
        <v>762.14250000000004</v>
      </c>
      <c r="AD219" s="6">
        <f t="shared" si="17"/>
        <v>0</v>
      </c>
      <c r="AE219" s="6">
        <f ca="1">(L219-M219)*(Z219+AA219)+($Z$110+$AA$110-$Z$219-$AA$219)*(L219)</f>
        <v>441.86115389855001</v>
      </c>
      <c r="AF219" s="4" t="s">
        <v>654</v>
      </c>
    </row>
    <row r="220" spans="1:32" ht="11.25" customHeight="1" x14ac:dyDescent="0.25">
      <c r="A220" s="4" t="s">
        <v>21</v>
      </c>
      <c r="B220" s="4" t="s">
        <v>41</v>
      </c>
      <c r="C220" s="4" t="s">
        <v>23</v>
      </c>
      <c r="D220" s="4" t="s">
        <v>42</v>
      </c>
      <c r="E220" s="4" t="s">
        <v>25</v>
      </c>
      <c r="F220" s="4" t="s">
        <v>25</v>
      </c>
      <c r="G220" s="4" t="s">
        <v>25</v>
      </c>
      <c r="H220" s="4" t="s">
        <v>25</v>
      </c>
      <c r="I220" s="5">
        <v>44501</v>
      </c>
      <c r="J220" s="6">
        <v>0</v>
      </c>
      <c r="K220" s="6">
        <v>0</v>
      </c>
      <c r="L220" s="6">
        <v>1512.5139999999999</v>
      </c>
      <c r="M220" s="6">
        <v>1512.5139999999999</v>
      </c>
      <c r="N220" s="6">
        <v>1512.5139999999999</v>
      </c>
      <c r="O220" s="6">
        <v>1512.5139999999999</v>
      </c>
      <c r="P220" s="6">
        <v>2485</v>
      </c>
      <c r="Q220" s="4" t="s">
        <v>26</v>
      </c>
      <c r="R220" s="4">
        <v>0</v>
      </c>
      <c r="S220" s="4">
        <v>0</v>
      </c>
      <c r="T220" s="4">
        <v>16</v>
      </c>
      <c r="U220" s="4">
        <v>54</v>
      </c>
      <c r="V220" s="6">
        <f>IF(ISERROR(VLOOKUP($S$220,'TAR FIN'!$A$1:$O$86,15,0)),0,VLOOKUP($S$220,'TAR FIN'!$A$1:$O$86,15,0))</f>
        <v>0</v>
      </c>
      <c r="W220" s="6">
        <f>IF(ISERROR(VLOOKUP($T$220,'TAR FIN'!$A$1:$O$86,15,0)),0,VLOOKUP($T$220,'TAR FIN'!$A$1:$O$86,15,0))</f>
        <v>297.89</v>
      </c>
      <c r="X220" s="6">
        <f>IF(ISERROR(VLOOKUP($U$220,'TAR FIN'!$A$1:$O$86,15,0)),0,VLOOKUP($U$220,'TAR FIN'!$A$1:$O$86,15,0))</f>
        <v>197.13</v>
      </c>
      <c r="Y220" s="6"/>
      <c r="Z220" s="6">
        <f ca="1">('TUSD BE'!$AM$33+'TUSD BF'!$AM$33+'TUSD CVA'!$AM$33)*(1-CUSTOS!$M$38)</f>
        <v>392.53302912886562</v>
      </c>
      <c r="AA220" s="6">
        <f>('TE BE'!$AB$24+'TE BF'!$AB$24+'TE CVA'!$AB$24)*(1-CUSTOS!$M$38)</f>
        <v>220.56513853363268</v>
      </c>
      <c r="AB220" s="6">
        <f t="shared" si="16"/>
        <v>0</v>
      </c>
      <c r="AC220" s="6">
        <f>(L220-M220)*(W220+X220)+($W$110+$X$110-$W$220-$X$220)*(L220)</f>
        <v>102094.69499999999</v>
      </c>
      <c r="AD220" s="6">
        <f t="shared" si="17"/>
        <v>0</v>
      </c>
      <c r="AE220" s="6">
        <f ca="1">(L220-M220)*(Z220+AA220)+($Z$110+$AA$110-$Z$220-$AA$220)*(L220)</f>
        <v>59190.61033811987</v>
      </c>
      <c r="AF220" s="4" t="s">
        <v>654</v>
      </c>
    </row>
    <row r="221" spans="1:32" ht="11.25" customHeight="1" x14ac:dyDescent="0.25">
      <c r="A221" s="4" t="s">
        <v>27</v>
      </c>
      <c r="B221" s="4" t="s">
        <v>41</v>
      </c>
      <c r="C221" s="4" t="s">
        <v>23</v>
      </c>
      <c r="D221" s="4" t="s">
        <v>42</v>
      </c>
      <c r="E221" s="4" t="s">
        <v>25</v>
      </c>
      <c r="F221" s="4" t="s">
        <v>25</v>
      </c>
      <c r="G221" s="4" t="s">
        <v>25</v>
      </c>
      <c r="H221" s="4" t="s">
        <v>25</v>
      </c>
      <c r="I221" s="5">
        <v>44501</v>
      </c>
      <c r="J221" s="6">
        <v>0</v>
      </c>
      <c r="K221" s="6">
        <v>0</v>
      </c>
      <c r="L221" s="6">
        <v>-2.9809999999999999</v>
      </c>
      <c r="M221" s="6">
        <v>-2.9809999999999999</v>
      </c>
      <c r="N221" s="6">
        <v>-2.9809999999999999</v>
      </c>
      <c r="O221" s="6">
        <v>-2.9809999999999999</v>
      </c>
      <c r="P221" s="6">
        <v>0</v>
      </c>
      <c r="Q221" s="4" t="s">
        <v>26</v>
      </c>
      <c r="R221" s="4">
        <v>0</v>
      </c>
      <c r="S221" s="4">
        <v>0</v>
      </c>
      <c r="T221" s="4">
        <v>16</v>
      </c>
      <c r="U221" s="4">
        <v>54</v>
      </c>
      <c r="V221" s="6">
        <f>IF(ISERROR(VLOOKUP($S$221,'TAR FIN'!$A$1:$O$86,15,0)),0,VLOOKUP($S$221,'TAR FIN'!$A$1:$O$86,15,0))</f>
        <v>0</v>
      </c>
      <c r="W221" s="6">
        <f>IF(ISERROR(VLOOKUP($T$221,'TAR FIN'!$A$1:$O$86,15,0)),0,VLOOKUP($T$221,'TAR FIN'!$A$1:$O$86,15,0))</f>
        <v>297.89</v>
      </c>
      <c r="X221" s="6">
        <f>IF(ISERROR(VLOOKUP($U$221,'TAR FIN'!$A$1:$O$86,15,0)),0,VLOOKUP($U$221,'TAR FIN'!$A$1:$O$86,15,0))</f>
        <v>197.13</v>
      </c>
      <c r="Y221" s="6"/>
      <c r="Z221" s="6">
        <f ca="1">('TUSD BE'!$AM$33+'TUSD BF'!$AM$33+'TUSD CVA'!$AM$33)*(1-CUSTOS!$M$38)</f>
        <v>392.53302912886562</v>
      </c>
      <c r="AA221" s="6">
        <f>('TE BE'!$AB$24+'TE BF'!$AB$24+'TE CVA'!$AB$24)*(1-CUSTOS!$M$38)</f>
        <v>220.56513853363268</v>
      </c>
      <c r="AB221" s="6">
        <f t="shared" si="16"/>
        <v>0</v>
      </c>
      <c r="AC221" s="6">
        <f>(L221-M221)*(W221+X221)+($W$110+$X$110-$W$221-$X$221)*(L221)</f>
        <v>-201.2175</v>
      </c>
      <c r="AD221" s="6">
        <f t="shared" si="17"/>
        <v>0</v>
      </c>
      <c r="AE221" s="6">
        <f ca="1">(L221-M221)*(Z221+AA221)+($Z$110+$AA$110-$Z$221-$AA$221)*(L221)</f>
        <v>-116.658232200122</v>
      </c>
      <c r="AF221" s="4" t="s">
        <v>654</v>
      </c>
    </row>
    <row r="222" spans="1:32" ht="11.25" customHeight="1" x14ac:dyDescent="0.25">
      <c r="A222" s="4" t="s">
        <v>28</v>
      </c>
      <c r="B222" s="4" t="s">
        <v>41</v>
      </c>
      <c r="C222" s="4" t="s">
        <v>23</v>
      </c>
      <c r="D222" s="4" t="s">
        <v>42</v>
      </c>
      <c r="E222" s="4" t="s">
        <v>25</v>
      </c>
      <c r="F222" s="4" t="s">
        <v>25</v>
      </c>
      <c r="G222" s="4" t="s">
        <v>25</v>
      </c>
      <c r="H222" s="4" t="s">
        <v>25</v>
      </c>
      <c r="I222" s="5">
        <v>44501</v>
      </c>
      <c r="J222" s="6">
        <v>0</v>
      </c>
      <c r="K222" s="6">
        <v>0</v>
      </c>
      <c r="L222" s="6">
        <v>8.0329999999999995</v>
      </c>
      <c r="M222" s="6">
        <v>8.0329999999999995</v>
      </c>
      <c r="N222" s="6">
        <v>8.0329999999999995</v>
      </c>
      <c r="O222" s="6">
        <v>8.0329999999999995</v>
      </c>
      <c r="P222" s="6">
        <v>13</v>
      </c>
      <c r="Q222" s="4" t="s">
        <v>26</v>
      </c>
      <c r="R222" s="4">
        <v>0</v>
      </c>
      <c r="S222" s="4">
        <v>0</v>
      </c>
      <c r="T222" s="4">
        <v>16</v>
      </c>
      <c r="U222" s="4">
        <v>54</v>
      </c>
      <c r="V222" s="6">
        <f>IF(ISERROR(VLOOKUP($S$222,'TAR FIN'!$A$1:$O$86,15,0)),0,VLOOKUP($S$222,'TAR FIN'!$A$1:$O$86,15,0))</f>
        <v>0</v>
      </c>
      <c r="W222" s="6">
        <f>IF(ISERROR(VLOOKUP($T$222,'TAR FIN'!$A$1:$O$86,15,0)),0,VLOOKUP($T$222,'TAR FIN'!$A$1:$O$86,15,0))</f>
        <v>297.89</v>
      </c>
      <c r="X222" s="6">
        <f>IF(ISERROR(VLOOKUP($U$222,'TAR FIN'!$A$1:$O$86,15,0)),0,VLOOKUP($U$222,'TAR FIN'!$A$1:$O$86,15,0))</f>
        <v>197.13</v>
      </c>
      <c r="Y222" s="6"/>
      <c r="Z222" s="6">
        <f ca="1">('TUSD BE'!$AM$33+'TUSD BF'!$AM$33+'TUSD CVA'!$AM$33)*(1-CUSTOS!$M$38)</f>
        <v>392.53302912886562</v>
      </c>
      <c r="AA222" s="6">
        <f>('TE BE'!$AB$24+'TE BF'!$AB$24+'TE CVA'!$AB$24)*(1-CUSTOS!$M$38)</f>
        <v>220.56513853363268</v>
      </c>
      <c r="AB222" s="6">
        <f t="shared" si="16"/>
        <v>0</v>
      </c>
      <c r="AC222" s="6">
        <f>(L222-M222)*(W222+X222)+($W$110+$X$110-$W$222-$X$222)*(L222)</f>
        <v>542.22749999999996</v>
      </c>
      <c r="AD222" s="6">
        <f t="shared" si="17"/>
        <v>0</v>
      </c>
      <c r="AE222" s="6">
        <f ca="1">(L222-M222)*(Z222+AA222)+($Z$110+$AA$110-$Z$222-$AA$222)*(L222)</f>
        <v>314.36282430848036</v>
      </c>
      <c r="AF222" s="4" t="s">
        <v>654</v>
      </c>
    </row>
    <row r="223" spans="1:32" ht="11.25" customHeight="1" x14ac:dyDescent="0.25">
      <c r="A223" s="4" t="s">
        <v>21</v>
      </c>
      <c r="B223" s="4" t="s">
        <v>41</v>
      </c>
      <c r="C223" s="4" t="s">
        <v>23</v>
      </c>
      <c r="D223" s="4" t="s">
        <v>42</v>
      </c>
      <c r="E223" s="4" t="s">
        <v>25</v>
      </c>
      <c r="F223" s="4" t="s">
        <v>25</v>
      </c>
      <c r="G223" s="4" t="s">
        <v>25</v>
      </c>
      <c r="H223" s="4" t="s">
        <v>25</v>
      </c>
      <c r="I223" s="5">
        <v>44531</v>
      </c>
      <c r="J223" s="6">
        <v>0</v>
      </c>
      <c r="K223" s="6">
        <v>0</v>
      </c>
      <c r="L223" s="6">
        <v>1420.2070000000001</v>
      </c>
      <c r="M223" s="6">
        <v>1420.2070000000001</v>
      </c>
      <c r="N223" s="6">
        <v>1420.2070000000001</v>
      </c>
      <c r="O223" s="6">
        <v>1420.2070000000001</v>
      </c>
      <c r="P223" s="6">
        <v>2491</v>
      </c>
      <c r="Q223" s="4" t="s">
        <v>26</v>
      </c>
      <c r="R223" s="4">
        <v>0</v>
      </c>
      <c r="S223" s="4">
        <v>0</v>
      </c>
      <c r="T223" s="4">
        <v>16</v>
      </c>
      <c r="U223" s="4">
        <v>54</v>
      </c>
      <c r="V223" s="6">
        <f>IF(ISERROR(VLOOKUP($S$223,'TAR FIN'!$A$1:$O$86,15,0)),0,VLOOKUP($S$223,'TAR FIN'!$A$1:$O$86,15,0))</f>
        <v>0</v>
      </c>
      <c r="W223" s="6">
        <f>IF(ISERROR(VLOOKUP($T$223,'TAR FIN'!$A$1:$O$86,15,0)),0,VLOOKUP($T$223,'TAR FIN'!$A$1:$O$86,15,0))</f>
        <v>297.89</v>
      </c>
      <c r="X223" s="6">
        <f>IF(ISERROR(VLOOKUP($U$223,'TAR FIN'!$A$1:$O$86,15,0)),0,VLOOKUP($U$223,'TAR FIN'!$A$1:$O$86,15,0))</f>
        <v>197.13</v>
      </c>
      <c r="Y223" s="6"/>
      <c r="Z223" s="6">
        <f ca="1">('TUSD BE'!$AM$33+'TUSD BF'!$AM$33+'TUSD CVA'!$AM$33)*(1-CUSTOS!$M$38)</f>
        <v>392.53302912886562</v>
      </c>
      <c r="AA223" s="6">
        <f>('TE BE'!$AB$24+'TE BF'!$AB$24+'TE CVA'!$AB$24)*(1-CUSTOS!$M$38)</f>
        <v>220.56513853363268</v>
      </c>
      <c r="AB223" s="6">
        <f t="shared" si="16"/>
        <v>0</v>
      </c>
      <c r="AC223" s="6">
        <f>(L223-M223)*(W223+X223)+($W$110+$X$110-$W$223-$X$223)*(L223)</f>
        <v>95863.972500000003</v>
      </c>
      <c r="AD223" s="6">
        <f t="shared" si="17"/>
        <v>0</v>
      </c>
      <c r="AE223" s="6">
        <f ca="1">(L223-M223)*(Z223+AA223)+($Z$110+$AA$110-$Z$223-$AA$223)*(L223)</f>
        <v>55578.275068178024</v>
      </c>
      <c r="AF223" s="4" t="s">
        <v>654</v>
      </c>
    </row>
    <row r="224" spans="1:32" ht="11.25" customHeight="1" x14ac:dyDescent="0.25">
      <c r="A224" s="4" t="s">
        <v>27</v>
      </c>
      <c r="B224" s="4" t="s">
        <v>41</v>
      </c>
      <c r="C224" s="4" t="s">
        <v>23</v>
      </c>
      <c r="D224" s="4" t="s">
        <v>42</v>
      </c>
      <c r="E224" s="4" t="s">
        <v>25</v>
      </c>
      <c r="F224" s="4" t="s">
        <v>25</v>
      </c>
      <c r="G224" s="4" t="s">
        <v>25</v>
      </c>
      <c r="H224" s="4" t="s">
        <v>25</v>
      </c>
      <c r="I224" s="5">
        <v>44531</v>
      </c>
      <c r="J224" s="6">
        <v>0</v>
      </c>
      <c r="K224" s="6">
        <v>0</v>
      </c>
      <c r="L224" s="6">
        <v>-0.28699999999999998</v>
      </c>
      <c r="M224" s="6">
        <v>-0.28699999999999998</v>
      </c>
      <c r="N224" s="6">
        <v>-0.28699999999999998</v>
      </c>
      <c r="O224" s="6">
        <v>-0.28699999999999998</v>
      </c>
      <c r="P224" s="6">
        <v>0</v>
      </c>
      <c r="Q224" s="4" t="s">
        <v>26</v>
      </c>
      <c r="R224" s="4">
        <v>0</v>
      </c>
      <c r="S224" s="4">
        <v>0</v>
      </c>
      <c r="T224" s="4">
        <v>16</v>
      </c>
      <c r="U224" s="4">
        <v>54</v>
      </c>
      <c r="V224" s="6">
        <f>IF(ISERROR(VLOOKUP($S$224,'TAR FIN'!$A$1:$O$86,15,0)),0,VLOOKUP($S$224,'TAR FIN'!$A$1:$O$86,15,0))</f>
        <v>0</v>
      </c>
      <c r="W224" s="6">
        <f>IF(ISERROR(VLOOKUP($T$224,'TAR FIN'!$A$1:$O$86,15,0)),0,VLOOKUP($T$224,'TAR FIN'!$A$1:$O$86,15,0))</f>
        <v>297.89</v>
      </c>
      <c r="X224" s="6">
        <f>IF(ISERROR(VLOOKUP($U$224,'TAR FIN'!$A$1:$O$86,15,0)),0,VLOOKUP($U$224,'TAR FIN'!$A$1:$O$86,15,0))</f>
        <v>197.13</v>
      </c>
      <c r="Y224" s="6"/>
      <c r="Z224" s="6">
        <f ca="1">('TUSD BE'!$AM$33+'TUSD BF'!$AM$33+'TUSD CVA'!$AM$33)*(1-CUSTOS!$M$38)</f>
        <v>392.53302912886562</v>
      </c>
      <c r="AA224" s="6">
        <f>('TE BE'!$AB$24+'TE BF'!$AB$24+'TE CVA'!$AB$24)*(1-CUSTOS!$M$38)</f>
        <v>220.56513853363268</v>
      </c>
      <c r="AB224" s="6">
        <f t="shared" si="16"/>
        <v>0</v>
      </c>
      <c r="AC224" s="6">
        <f>(L224-M224)*(W224+X224)+($W$110+$X$110-$W$224-$X$224)*(L224)</f>
        <v>-19.372499999999999</v>
      </c>
      <c r="AD224" s="6">
        <f t="shared" si="17"/>
        <v>0</v>
      </c>
      <c r="AE224" s="6">
        <f ca="1">(L224-M224)*(Z224+AA224)+($Z$110+$AA$110-$Z$224-$AA$224)*(L224)</f>
        <v>-11.231436645902386</v>
      </c>
      <c r="AF224" s="4" t="s">
        <v>654</v>
      </c>
    </row>
    <row r="225" spans="1:32" ht="11.25" customHeight="1" x14ac:dyDescent="0.25">
      <c r="A225" s="4" t="s">
        <v>28</v>
      </c>
      <c r="B225" s="4" t="s">
        <v>41</v>
      </c>
      <c r="C225" s="4" t="s">
        <v>23</v>
      </c>
      <c r="D225" s="4" t="s">
        <v>42</v>
      </c>
      <c r="E225" s="4" t="s">
        <v>25</v>
      </c>
      <c r="F225" s="4" t="s">
        <v>25</v>
      </c>
      <c r="G225" s="4" t="s">
        <v>25</v>
      </c>
      <c r="H225" s="4" t="s">
        <v>25</v>
      </c>
      <c r="I225" s="5">
        <v>44531</v>
      </c>
      <c r="J225" s="6">
        <v>0</v>
      </c>
      <c r="K225" s="6">
        <v>0</v>
      </c>
      <c r="L225" s="6">
        <v>11.968</v>
      </c>
      <c r="M225" s="6">
        <v>11.968</v>
      </c>
      <c r="N225" s="6">
        <v>11.968</v>
      </c>
      <c r="O225" s="6">
        <v>11.968</v>
      </c>
      <c r="P225" s="6">
        <v>13</v>
      </c>
      <c r="Q225" s="4" t="s">
        <v>26</v>
      </c>
      <c r="R225" s="4">
        <v>0</v>
      </c>
      <c r="S225" s="4">
        <v>0</v>
      </c>
      <c r="T225" s="4">
        <v>16</v>
      </c>
      <c r="U225" s="4">
        <v>54</v>
      </c>
      <c r="V225" s="6">
        <f>IF(ISERROR(VLOOKUP($S$225,'TAR FIN'!$A$1:$O$86,15,0)),0,VLOOKUP($S$225,'TAR FIN'!$A$1:$O$86,15,0))</f>
        <v>0</v>
      </c>
      <c r="W225" s="6">
        <f>IF(ISERROR(VLOOKUP($T$225,'TAR FIN'!$A$1:$O$86,15,0)),0,VLOOKUP($T$225,'TAR FIN'!$A$1:$O$86,15,0))</f>
        <v>297.89</v>
      </c>
      <c r="X225" s="6">
        <f>IF(ISERROR(VLOOKUP($U$225,'TAR FIN'!$A$1:$O$86,15,0)),0,VLOOKUP($U$225,'TAR FIN'!$A$1:$O$86,15,0))</f>
        <v>197.13</v>
      </c>
      <c r="Y225" s="6"/>
      <c r="Z225" s="6">
        <f ca="1">('TUSD BE'!$AM$33+'TUSD BF'!$AM$33+'TUSD CVA'!$AM$33)*(1-CUSTOS!$M$38)</f>
        <v>392.53302912886562</v>
      </c>
      <c r="AA225" s="6">
        <f>('TE BE'!$AB$24+'TE BF'!$AB$24+'TE CVA'!$AB$24)*(1-CUSTOS!$M$38)</f>
        <v>220.56513853363268</v>
      </c>
      <c r="AB225" s="6">
        <f t="shared" si="16"/>
        <v>0</v>
      </c>
      <c r="AC225" s="6">
        <f>(L225-M225)*(W225+X225)+($W$110+$X$110-$W$225-$X$225)*(L225)</f>
        <v>807.84</v>
      </c>
      <c r="AD225" s="6">
        <f t="shared" si="17"/>
        <v>0</v>
      </c>
      <c r="AE225" s="6">
        <f ca="1">(L225-M225)*(Z225+AA225)+($Z$110+$AA$110-$Z$225-$AA$225)*(L225)</f>
        <v>468.35482152668908</v>
      </c>
      <c r="AF225" s="4" t="s">
        <v>654</v>
      </c>
    </row>
    <row r="226" spans="1:32" ht="11.25" customHeight="1" x14ac:dyDescent="0.25">
      <c r="A226" s="4" t="s">
        <v>21</v>
      </c>
      <c r="B226" s="4" t="s">
        <v>41</v>
      </c>
      <c r="C226" s="4" t="s">
        <v>23</v>
      </c>
      <c r="D226" s="4" t="s">
        <v>42</v>
      </c>
      <c r="E226" s="4" t="s">
        <v>25</v>
      </c>
      <c r="F226" s="4" t="s">
        <v>25</v>
      </c>
      <c r="G226" s="4" t="s">
        <v>25</v>
      </c>
      <c r="H226" s="4" t="s">
        <v>25</v>
      </c>
      <c r="I226" s="5">
        <v>44562</v>
      </c>
      <c r="J226" s="6">
        <v>0</v>
      </c>
      <c r="K226" s="6">
        <v>0</v>
      </c>
      <c r="L226" s="6">
        <v>1030.336</v>
      </c>
      <c r="M226" s="6">
        <v>1030.336</v>
      </c>
      <c r="N226" s="6">
        <v>1030.336</v>
      </c>
      <c r="O226" s="6">
        <v>1030.336</v>
      </c>
      <c r="P226" s="6">
        <v>2487</v>
      </c>
      <c r="Q226" s="4" t="s">
        <v>26</v>
      </c>
      <c r="R226" s="4">
        <v>0</v>
      </c>
      <c r="S226" s="4">
        <v>0</v>
      </c>
      <c r="T226" s="4">
        <v>16</v>
      </c>
      <c r="U226" s="4">
        <v>54</v>
      </c>
      <c r="V226" s="6">
        <f>IF(ISERROR(VLOOKUP($S$226,'TAR FIN'!$A$1:$O$86,15,0)),0,VLOOKUP($S$226,'TAR FIN'!$A$1:$O$86,15,0))</f>
        <v>0</v>
      </c>
      <c r="W226" s="6">
        <f>IF(ISERROR(VLOOKUP($T$226,'TAR FIN'!$A$1:$O$86,15,0)),0,VLOOKUP($T$226,'TAR FIN'!$A$1:$O$86,15,0))</f>
        <v>297.89</v>
      </c>
      <c r="X226" s="6">
        <f>IF(ISERROR(VLOOKUP($U$226,'TAR FIN'!$A$1:$O$86,15,0)),0,VLOOKUP($U$226,'TAR FIN'!$A$1:$O$86,15,0))</f>
        <v>197.13</v>
      </c>
      <c r="Y226" s="6"/>
      <c r="Z226" s="6">
        <f ca="1">('TUSD BE'!$AM$33+'TUSD BF'!$AM$33+'TUSD CVA'!$AM$33)*(1-CUSTOS!$M$38)</f>
        <v>392.53302912886562</v>
      </c>
      <c r="AA226" s="6">
        <f>('TE BE'!$AB$24+'TE BF'!$AB$24+'TE CVA'!$AB$24)*(1-CUSTOS!$M$38)</f>
        <v>220.56513853363268</v>
      </c>
      <c r="AB226" s="6">
        <f t="shared" si="16"/>
        <v>0</v>
      </c>
      <c r="AC226" s="6">
        <f>(L226-M226)*(W226+X226)+($W$110+$X$110-$W$226-$X$226)*(L226)</f>
        <v>69547.680000000008</v>
      </c>
      <c r="AD226" s="6">
        <f t="shared" si="17"/>
        <v>0</v>
      </c>
      <c r="AE226" s="6">
        <f ca="1">(L226-M226)*(Z226+AA226)+($Z$110+$AA$110-$Z$226-$AA$226)*(L226)</f>
        <v>40321.092362343144</v>
      </c>
      <c r="AF226" s="4" t="s">
        <v>654</v>
      </c>
    </row>
    <row r="227" spans="1:32" ht="11.25" customHeight="1" x14ac:dyDescent="0.25">
      <c r="A227" s="4" t="s">
        <v>28</v>
      </c>
      <c r="B227" s="4" t="s">
        <v>41</v>
      </c>
      <c r="C227" s="4" t="s">
        <v>23</v>
      </c>
      <c r="D227" s="4" t="s">
        <v>42</v>
      </c>
      <c r="E227" s="4" t="s">
        <v>25</v>
      </c>
      <c r="F227" s="4" t="s">
        <v>25</v>
      </c>
      <c r="G227" s="4" t="s">
        <v>25</v>
      </c>
      <c r="H227" s="4" t="s">
        <v>25</v>
      </c>
      <c r="I227" s="5">
        <v>44562</v>
      </c>
      <c r="J227" s="6">
        <v>0</v>
      </c>
      <c r="K227" s="6">
        <v>0</v>
      </c>
      <c r="L227" s="6">
        <v>6.9569999999999999</v>
      </c>
      <c r="M227" s="6">
        <v>6.9569999999999999</v>
      </c>
      <c r="N227" s="6">
        <v>6.9569999999999999</v>
      </c>
      <c r="O227" s="6">
        <v>6.9569999999999999</v>
      </c>
      <c r="P227" s="6">
        <v>17</v>
      </c>
      <c r="Q227" s="4" t="s">
        <v>26</v>
      </c>
      <c r="R227" s="4">
        <v>0</v>
      </c>
      <c r="S227" s="4">
        <v>0</v>
      </c>
      <c r="T227" s="4">
        <v>16</v>
      </c>
      <c r="U227" s="4">
        <v>54</v>
      </c>
      <c r="V227" s="6">
        <f>IF(ISERROR(VLOOKUP($S$227,'TAR FIN'!$A$1:$O$86,15,0)),0,VLOOKUP($S$227,'TAR FIN'!$A$1:$O$86,15,0))</f>
        <v>0</v>
      </c>
      <c r="W227" s="6">
        <f>IF(ISERROR(VLOOKUP($T$227,'TAR FIN'!$A$1:$O$86,15,0)),0,VLOOKUP($T$227,'TAR FIN'!$A$1:$O$86,15,0))</f>
        <v>297.89</v>
      </c>
      <c r="X227" s="6">
        <f>IF(ISERROR(VLOOKUP($U$227,'TAR FIN'!$A$1:$O$86,15,0)),0,VLOOKUP($U$227,'TAR FIN'!$A$1:$O$86,15,0))</f>
        <v>197.13</v>
      </c>
      <c r="Y227" s="6"/>
      <c r="Z227" s="6">
        <f ca="1">('TUSD BE'!$AM$33+'TUSD BF'!$AM$33+'TUSD CVA'!$AM$33)*(1-CUSTOS!$M$38)</f>
        <v>392.53302912886562</v>
      </c>
      <c r="AA227" s="6">
        <f>('TE BE'!$AB$24+'TE BF'!$AB$24+'TE CVA'!$AB$24)*(1-CUSTOS!$M$38)</f>
        <v>220.56513853363268</v>
      </c>
      <c r="AB227" s="6">
        <f t="shared" si="16"/>
        <v>0</v>
      </c>
      <c r="AC227" s="6">
        <f>(L227-M227)*(W227+X227)+($W$110+$X$110-$W$227-$X$227)*(L227)</f>
        <v>469.59749999999997</v>
      </c>
      <c r="AD227" s="6">
        <f t="shared" si="17"/>
        <v>0</v>
      </c>
      <c r="AE227" s="6">
        <f ca="1">(L227-M227)*(Z227+AA227)+($Z$110+$AA$110-$Z$227-$AA$227)*(L227)</f>
        <v>272.25472036774534</v>
      </c>
      <c r="AF227" s="4" t="s">
        <v>654</v>
      </c>
    </row>
    <row r="228" spans="1:32" ht="11.25" customHeight="1" x14ac:dyDescent="0.25">
      <c r="A228" s="4" t="s">
        <v>21</v>
      </c>
      <c r="B228" s="4" t="s">
        <v>41</v>
      </c>
      <c r="C228" s="4" t="s">
        <v>23</v>
      </c>
      <c r="D228" s="4" t="s">
        <v>42</v>
      </c>
      <c r="E228" s="4" t="s">
        <v>25</v>
      </c>
      <c r="F228" s="4" t="s">
        <v>25</v>
      </c>
      <c r="G228" s="4" t="s">
        <v>25</v>
      </c>
      <c r="H228" s="4" t="s">
        <v>25</v>
      </c>
      <c r="I228" s="5">
        <v>44593</v>
      </c>
      <c r="J228" s="6">
        <v>0</v>
      </c>
      <c r="K228" s="6">
        <v>0</v>
      </c>
      <c r="L228" s="6">
        <v>1003.285</v>
      </c>
      <c r="M228" s="6">
        <v>1003.285</v>
      </c>
      <c r="N228" s="6">
        <v>1003.285</v>
      </c>
      <c r="O228" s="6">
        <v>1003.285</v>
      </c>
      <c r="P228" s="6">
        <v>2481</v>
      </c>
      <c r="Q228" s="4" t="s">
        <v>26</v>
      </c>
      <c r="R228" s="4">
        <v>0</v>
      </c>
      <c r="S228" s="4">
        <v>0</v>
      </c>
      <c r="T228" s="4">
        <v>16</v>
      </c>
      <c r="U228" s="4">
        <v>54</v>
      </c>
      <c r="V228" s="6">
        <f>IF(ISERROR(VLOOKUP($S$228,'TAR FIN'!$A$1:$O$86,15,0)),0,VLOOKUP($S$228,'TAR FIN'!$A$1:$O$86,15,0))</f>
        <v>0</v>
      </c>
      <c r="W228" s="6">
        <f>IF(ISERROR(VLOOKUP($T$228,'TAR FIN'!$A$1:$O$86,15,0)),0,VLOOKUP($T$228,'TAR FIN'!$A$1:$O$86,15,0))</f>
        <v>297.89</v>
      </c>
      <c r="X228" s="6">
        <f>IF(ISERROR(VLOOKUP($U$228,'TAR FIN'!$A$1:$O$86,15,0)),0,VLOOKUP($U$228,'TAR FIN'!$A$1:$O$86,15,0))</f>
        <v>197.13</v>
      </c>
      <c r="Y228" s="6"/>
      <c r="Z228" s="6">
        <f ca="1">('TUSD BE'!$AM$33+'TUSD BF'!$AM$33+'TUSD CVA'!$AM$33)*(1-CUSTOS!$M$38)</f>
        <v>392.53302912886562</v>
      </c>
      <c r="AA228" s="6">
        <f>('TE BE'!$AB$24+'TE BF'!$AB$24+'TE CVA'!$AB$24)*(1-CUSTOS!$M$38)</f>
        <v>220.56513853363268</v>
      </c>
      <c r="AB228" s="6">
        <f t="shared" si="16"/>
        <v>0</v>
      </c>
      <c r="AC228" s="6">
        <f>(L228-M228)*(W228+X228)+($W$110+$X$110-$W$228-$X$228)*(L228)</f>
        <v>67721.737500000003</v>
      </c>
      <c r="AD228" s="6">
        <f t="shared" si="17"/>
        <v>0</v>
      </c>
      <c r="AE228" s="6">
        <f ca="1">(L228-M228)*(Z228+AA228)+($Z$110+$AA$110-$Z$228-$AA$228)*(L228)</f>
        <v>39262.480541059849</v>
      </c>
      <c r="AF228" s="4" t="s">
        <v>654</v>
      </c>
    </row>
    <row r="229" spans="1:32" ht="11.25" customHeight="1" x14ac:dyDescent="0.25">
      <c r="A229" s="4" t="s">
        <v>27</v>
      </c>
      <c r="B229" s="4" t="s">
        <v>41</v>
      </c>
      <c r="C229" s="4" t="s">
        <v>23</v>
      </c>
      <c r="D229" s="4" t="s">
        <v>42</v>
      </c>
      <c r="E229" s="4" t="s">
        <v>25</v>
      </c>
      <c r="F229" s="4" t="s">
        <v>25</v>
      </c>
      <c r="G229" s="4" t="s">
        <v>25</v>
      </c>
      <c r="H229" s="4" t="s">
        <v>25</v>
      </c>
      <c r="I229" s="5">
        <v>44593</v>
      </c>
      <c r="J229" s="6">
        <v>0</v>
      </c>
      <c r="K229" s="6">
        <v>0</v>
      </c>
      <c r="L229" s="6">
        <v>-2.1040000000000001</v>
      </c>
      <c r="M229" s="6">
        <v>-2.1040000000000001</v>
      </c>
      <c r="N229" s="6">
        <v>-2.1040000000000001</v>
      </c>
      <c r="O229" s="6">
        <v>-2.1040000000000001</v>
      </c>
      <c r="P229" s="6">
        <v>0</v>
      </c>
      <c r="Q229" s="4" t="s">
        <v>26</v>
      </c>
      <c r="R229" s="4">
        <v>0</v>
      </c>
      <c r="S229" s="4">
        <v>0</v>
      </c>
      <c r="T229" s="4">
        <v>16</v>
      </c>
      <c r="U229" s="4">
        <v>54</v>
      </c>
      <c r="V229" s="6">
        <f>IF(ISERROR(VLOOKUP($S$229,'TAR FIN'!$A$1:$O$86,15,0)),0,VLOOKUP($S$229,'TAR FIN'!$A$1:$O$86,15,0))</f>
        <v>0</v>
      </c>
      <c r="W229" s="6">
        <f>IF(ISERROR(VLOOKUP($T$229,'TAR FIN'!$A$1:$O$86,15,0)),0,VLOOKUP($T$229,'TAR FIN'!$A$1:$O$86,15,0))</f>
        <v>297.89</v>
      </c>
      <c r="X229" s="6">
        <f>IF(ISERROR(VLOOKUP($U$229,'TAR FIN'!$A$1:$O$86,15,0)),0,VLOOKUP($U$229,'TAR FIN'!$A$1:$O$86,15,0))</f>
        <v>197.13</v>
      </c>
      <c r="Y229" s="6"/>
      <c r="Z229" s="6">
        <f ca="1">('TUSD BE'!$AM$33+'TUSD BF'!$AM$33+'TUSD CVA'!$AM$33)*(1-CUSTOS!$M$38)</f>
        <v>392.53302912886562</v>
      </c>
      <c r="AA229" s="6">
        <f>('TE BE'!$AB$24+'TE BF'!$AB$24+'TE CVA'!$AB$24)*(1-CUSTOS!$M$38)</f>
        <v>220.56513853363268</v>
      </c>
      <c r="AB229" s="6">
        <f t="shared" si="16"/>
        <v>0</v>
      </c>
      <c r="AC229" s="6">
        <f>(L229-M229)*(W229+X229)+($W$110+$X$110-$W$229-$X$229)*(L229)</f>
        <v>-142.02000000000001</v>
      </c>
      <c r="AD229" s="6">
        <f t="shared" si="17"/>
        <v>0</v>
      </c>
      <c r="AE229" s="6">
        <f ca="1">(L229-M229)*(Z229+AA229)+($Z$110+$AA$110-$Z$229-$AA$229)*(L229)</f>
        <v>-82.33777945288719</v>
      </c>
      <c r="AF229" s="4" t="s">
        <v>654</v>
      </c>
    </row>
    <row r="230" spans="1:32" ht="11.25" customHeight="1" x14ac:dyDescent="0.25">
      <c r="A230" s="4" t="s">
        <v>28</v>
      </c>
      <c r="B230" s="4" t="s">
        <v>41</v>
      </c>
      <c r="C230" s="4" t="s">
        <v>23</v>
      </c>
      <c r="D230" s="4" t="s">
        <v>42</v>
      </c>
      <c r="E230" s="4" t="s">
        <v>25</v>
      </c>
      <c r="F230" s="4" t="s">
        <v>25</v>
      </c>
      <c r="G230" s="4" t="s">
        <v>25</v>
      </c>
      <c r="H230" s="4" t="s">
        <v>25</v>
      </c>
      <c r="I230" s="5">
        <v>44593</v>
      </c>
      <c r="J230" s="6">
        <v>0</v>
      </c>
      <c r="K230" s="6">
        <v>0</v>
      </c>
      <c r="L230" s="6">
        <v>15.468</v>
      </c>
      <c r="M230" s="6">
        <v>15.468</v>
      </c>
      <c r="N230" s="6">
        <v>15.468</v>
      </c>
      <c r="O230" s="6">
        <v>15.468</v>
      </c>
      <c r="P230" s="6">
        <v>22</v>
      </c>
      <c r="Q230" s="4" t="s">
        <v>26</v>
      </c>
      <c r="R230" s="4">
        <v>0</v>
      </c>
      <c r="S230" s="4">
        <v>0</v>
      </c>
      <c r="T230" s="4">
        <v>16</v>
      </c>
      <c r="U230" s="4">
        <v>54</v>
      </c>
      <c r="V230" s="6">
        <f>IF(ISERROR(VLOOKUP($S$230,'TAR FIN'!$A$1:$O$86,15,0)),0,VLOOKUP($S$230,'TAR FIN'!$A$1:$O$86,15,0))</f>
        <v>0</v>
      </c>
      <c r="W230" s="6">
        <f>IF(ISERROR(VLOOKUP($T$230,'TAR FIN'!$A$1:$O$86,15,0)),0,VLOOKUP($T$230,'TAR FIN'!$A$1:$O$86,15,0))</f>
        <v>297.89</v>
      </c>
      <c r="X230" s="6">
        <f>IF(ISERROR(VLOOKUP($U$230,'TAR FIN'!$A$1:$O$86,15,0)),0,VLOOKUP($U$230,'TAR FIN'!$A$1:$O$86,15,0))</f>
        <v>197.13</v>
      </c>
      <c r="Y230" s="6"/>
      <c r="Z230" s="6">
        <f ca="1">('TUSD BE'!$AM$33+'TUSD BF'!$AM$33+'TUSD CVA'!$AM$33)*(1-CUSTOS!$M$38)</f>
        <v>392.53302912886562</v>
      </c>
      <c r="AA230" s="6">
        <f>('TE BE'!$AB$24+'TE BF'!$AB$24+'TE CVA'!$AB$24)*(1-CUSTOS!$M$38)</f>
        <v>220.56513853363268</v>
      </c>
      <c r="AB230" s="6">
        <f t="shared" si="16"/>
        <v>0</v>
      </c>
      <c r="AC230" s="6">
        <f>(L230-M230)*(W230+X230)+($W$110+$X$110-$W$230-$X$230)*(L230)</f>
        <v>1044.0899999999999</v>
      </c>
      <c r="AD230" s="6">
        <f t="shared" si="17"/>
        <v>0</v>
      </c>
      <c r="AE230" s="6">
        <f ca="1">(L230-M230)*(Z230+AA230)+($Z$110+$AA$110-$Z$230-$AA$230)*(L230)</f>
        <v>605.32356111086449</v>
      </c>
      <c r="AF230" s="4" t="s">
        <v>654</v>
      </c>
    </row>
    <row r="231" spans="1:32" ht="11.25" customHeight="1" x14ac:dyDescent="0.25">
      <c r="A231" s="4" t="s">
        <v>21</v>
      </c>
      <c r="B231" s="4" t="s">
        <v>41</v>
      </c>
      <c r="C231" s="4" t="s">
        <v>23</v>
      </c>
      <c r="D231" s="4" t="s">
        <v>42</v>
      </c>
      <c r="E231" s="4" t="s">
        <v>25</v>
      </c>
      <c r="F231" s="4" t="s">
        <v>25</v>
      </c>
      <c r="G231" s="4" t="s">
        <v>25</v>
      </c>
      <c r="H231" s="4" t="s">
        <v>25</v>
      </c>
      <c r="I231" s="5">
        <v>44621</v>
      </c>
      <c r="J231" s="6">
        <v>0</v>
      </c>
      <c r="K231" s="6">
        <v>0</v>
      </c>
      <c r="L231" s="6">
        <v>877.62300000000005</v>
      </c>
      <c r="M231" s="6">
        <v>877.62300000000005</v>
      </c>
      <c r="N231" s="6">
        <v>877.62300000000005</v>
      </c>
      <c r="O231" s="6">
        <v>877.62300000000005</v>
      </c>
      <c r="P231" s="6">
        <v>2476</v>
      </c>
      <c r="Q231" s="4" t="s">
        <v>26</v>
      </c>
      <c r="R231" s="4">
        <v>0</v>
      </c>
      <c r="S231" s="4">
        <v>0</v>
      </c>
      <c r="T231" s="4">
        <v>16</v>
      </c>
      <c r="U231" s="4">
        <v>54</v>
      </c>
      <c r="V231" s="6">
        <f>IF(ISERROR(VLOOKUP($S$231,'TAR FIN'!$A$1:$O$86,15,0)),0,VLOOKUP($S$231,'TAR FIN'!$A$1:$O$86,15,0))</f>
        <v>0</v>
      </c>
      <c r="W231" s="6">
        <f>IF(ISERROR(VLOOKUP($T$231,'TAR FIN'!$A$1:$O$86,15,0)),0,VLOOKUP($T$231,'TAR FIN'!$A$1:$O$86,15,0))</f>
        <v>297.89</v>
      </c>
      <c r="X231" s="6">
        <f>IF(ISERROR(VLOOKUP($U$231,'TAR FIN'!$A$1:$O$86,15,0)),0,VLOOKUP($U$231,'TAR FIN'!$A$1:$O$86,15,0))</f>
        <v>197.13</v>
      </c>
      <c r="Y231" s="6"/>
      <c r="Z231" s="6">
        <f ca="1">('TUSD BE'!$AM$33+'TUSD BF'!$AM$33+'TUSD CVA'!$AM$33)*(1-CUSTOS!$M$38)</f>
        <v>392.53302912886562</v>
      </c>
      <c r="AA231" s="6">
        <f>('TE BE'!$AB$24+'TE BF'!$AB$24+'TE CVA'!$AB$24)*(1-CUSTOS!$M$38)</f>
        <v>220.56513853363268</v>
      </c>
      <c r="AB231" s="6">
        <f t="shared" si="16"/>
        <v>0</v>
      </c>
      <c r="AC231" s="6">
        <f>(L231-M231)*(W231+X231)+($W$110+$X$110-$W$231-$X$231)*(L231)</f>
        <v>59239.552500000005</v>
      </c>
      <c r="AD231" s="6">
        <f t="shared" si="17"/>
        <v>0</v>
      </c>
      <c r="AE231" s="6">
        <f ca="1">(L231-M231)*(Z231+AA231)+($Z$110+$AA$110-$Z$231-$AA$231)*(L231)</f>
        <v>34344.833182880808</v>
      </c>
      <c r="AF231" s="4" t="s">
        <v>654</v>
      </c>
    </row>
    <row r="232" spans="1:32" ht="11.25" customHeight="1" x14ac:dyDescent="0.25">
      <c r="A232" s="4" t="s">
        <v>27</v>
      </c>
      <c r="B232" s="4" t="s">
        <v>41</v>
      </c>
      <c r="C232" s="4" t="s">
        <v>23</v>
      </c>
      <c r="D232" s="4" t="s">
        <v>42</v>
      </c>
      <c r="E232" s="4" t="s">
        <v>25</v>
      </c>
      <c r="F232" s="4" t="s">
        <v>25</v>
      </c>
      <c r="G232" s="4" t="s">
        <v>25</v>
      </c>
      <c r="H232" s="4" t="s">
        <v>25</v>
      </c>
      <c r="I232" s="5">
        <v>44621</v>
      </c>
      <c r="J232" s="6">
        <v>0</v>
      </c>
      <c r="K232" s="6">
        <v>0</v>
      </c>
      <c r="L232" s="6">
        <v>-4.6929999999999996</v>
      </c>
      <c r="M232" s="6">
        <v>-4.6929999999999996</v>
      </c>
      <c r="N232" s="6">
        <v>-4.6929999999999996</v>
      </c>
      <c r="O232" s="6">
        <v>-4.6929999999999996</v>
      </c>
      <c r="P232" s="6">
        <v>0</v>
      </c>
      <c r="Q232" s="4" t="s">
        <v>26</v>
      </c>
      <c r="R232" s="4">
        <v>0</v>
      </c>
      <c r="S232" s="4">
        <v>0</v>
      </c>
      <c r="T232" s="4">
        <v>16</v>
      </c>
      <c r="U232" s="4">
        <v>54</v>
      </c>
      <c r="V232" s="6">
        <f>IF(ISERROR(VLOOKUP($S$232,'TAR FIN'!$A$1:$O$86,15,0)),0,VLOOKUP($S$232,'TAR FIN'!$A$1:$O$86,15,0))</f>
        <v>0</v>
      </c>
      <c r="W232" s="6">
        <f>IF(ISERROR(VLOOKUP($T$232,'TAR FIN'!$A$1:$O$86,15,0)),0,VLOOKUP($T$232,'TAR FIN'!$A$1:$O$86,15,0))</f>
        <v>297.89</v>
      </c>
      <c r="X232" s="6">
        <f>IF(ISERROR(VLOOKUP($U$232,'TAR FIN'!$A$1:$O$86,15,0)),0,VLOOKUP($U$232,'TAR FIN'!$A$1:$O$86,15,0))</f>
        <v>197.13</v>
      </c>
      <c r="Y232" s="6"/>
      <c r="Z232" s="6">
        <f ca="1">('TUSD BE'!$AM$33+'TUSD BF'!$AM$33+'TUSD CVA'!$AM$33)*(1-CUSTOS!$M$38)</f>
        <v>392.53302912886562</v>
      </c>
      <c r="AA232" s="6">
        <f>('TE BE'!$AB$24+'TE BF'!$AB$24+'TE CVA'!$AB$24)*(1-CUSTOS!$M$38)</f>
        <v>220.56513853363268</v>
      </c>
      <c r="AB232" s="6">
        <f t="shared" si="16"/>
        <v>0</v>
      </c>
      <c r="AC232" s="6">
        <f>(L232-M232)*(W232+X232)+($W$110+$X$110-$W$232-$X$232)*(L232)</f>
        <v>-316.77749999999997</v>
      </c>
      <c r="AD232" s="6">
        <f t="shared" si="17"/>
        <v>0</v>
      </c>
      <c r="AE232" s="6">
        <f ca="1">(L232-M232)*(Z232+AA232)+($Z$110+$AA$110-$Z$232-$AA$232)*(L232)</f>
        <v>-183.65551281958153</v>
      </c>
      <c r="AF232" s="4" t="s">
        <v>654</v>
      </c>
    </row>
    <row r="233" spans="1:32" ht="11.25" customHeight="1" x14ac:dyDescent="0.25">
      <c r="A233" s="4" t="s">
        <v>28</v>
      </c>
      <c r="B233" s="4" t="s">
        <v>41</v>
      </c>
      <c r="C233" s="4" t="s">
        <v>23</v>
      </c>
      <c r="D233" s="4" t="s">
        <v>42</v>
      </c>
      <c r="E233" s="4" t="s">
        <v>25</v>
      </c>
      <c r="F233" s="4" t="s">
        <v>25</v>
      </c>
      <c r="G233" s="4" t="s">
        <v>25</v>
      </c>
      <c r="H233" s="4" t="s">
        <v>25</v>
      </c>
      <c r="I233" s="5">
        <v>44621</v>
      </c>
      <c r="J233" s="6">
        <v>0</v>
      </c>
      <c r="K233" s="6">
        <v>0</v>
      </c>
      <c r="L233" s="6">
        <v>7.75</v>
      </c>
      <c r="M233" s="6">
        <v>7.75</v>
      </c>
      <c r="N233" s="6">
        <v>7.75</v>
      </c>
      <c r="O233" s="6">
        <v>7.75</v>
      </c>
      <c r="P233" s="6">
        <v>25</v>
      </c>
      <c r="Q233" s="4" t="s">
        <v>26</v>
      </c>
      <c r="R233" s="4">
        <v>0</v>
      </c>
      <c r="S233" s="4">
        <v>0</v>
      </c>
      <c r="T233" s="4">
        <v>16</v>
      </c>
      <c r="U233" s="4">
        <v>54</v>
      </c>
      <c r="V233" s="6">
        <f>IF(ISERROR(VLOOKUP($S$233,'TAR FIN'!$A$1:$O$86,15,0)),0,VLOOKUP($S$233,'TAR FIN'!$A$1:$O$86,15,0))</f>
        <v>0</v>
      </c>
      <c r="W233" s="6">
        <f>IF(ISERROR(VLOOKUP($T$233,'TAR FIN'!$A$1:$O$86,15,0)),0,VLOOKUP($T$233,'TAR FIN'!$A$1:$O$86,15,0))</f>
        <v>297.89</v>
      </c>
      <c r="X233" s="6">
        <f>IF(ISERROR(VLOOKUP($U$233,'TAR FIN'!$A$1:$O$86,15,0)),0,VLOOKUP($U$233,'TAR FIN'!$A$1:$O$86,15,0))</f>
        <v>197.13</v>
      </c>
      <c r="Y233" s="6"/>
      <c r="Z233" s="6">
        <f ca="1">('TUSD BE'!$AM$33+'TUSD BF'!$AM$33+'TUSD CVA'!$AM$33)*(1-CUSTOS!$M$38)</f>
        <v>392.53302912886562</v>
      </c>
      <c r="AA233" s="6">
        <f>('TE BE'!$AB$24+'TE BF'!$AB$24+'TE CVA'!$AB$24)*(1-CUSTOS!$M$38)</f>
        <v>220.56513853363268</v>
      </c>
      <c r="AB233" s="6">
        <f t="shared" si="16"/>
        <v>0</v>
      </c>
      <c r="AC233" s="6">
        <f>(L233-M233)*(W233+X233)+($W$110+$X$110-$W$233-$X$233)*(L233)</f>
        <v>523.125</v>
      </c>
      <c r="AD233" s="6">
        <f t="shared" si="17"/>
        <v>0</v>
      </c>
      <c r="AE233" s="6">
        <f ca="1">(L233-M233)*(Z233+AA233)+($Z$110+$AA$110-$Z$233-$AA$233)*(L233)</f>
        <v>303.28792336495991</v>
      </c>
      <c r="AF233" s="4" t="s">
        <v>654</v>
      </c>
    </row>
    <row r="234" spans="1:32" ht="11.25" customHeight="1" x14ac:dyDescent="0.25">
      <c r="A234" s="4" t="s">
        <v>21</v>
      </c>
      <c r="B234" s="4" t="s">
        <v>41</v>
      </c>
      <c r="C234" s="4" t="s">
        <v>23</v>
      </c>
      <c r="D234" s="4" t="s">
        <v>42</v>
      </c>
      <c r="E234" s="4" t="s">
        <v>25</v>
      </c>
      <c r="F234" s="4" t="s">
        <v>25</v>
      </c>
      <c r="G234" s="4" t="s">
        <v>25</v>
      </c>
      <c r="H234" s="4" t="s">
        <v>25</v>
      </c>
      <c r="I234" s="5">
        <v>44652</v>
      </c>
      <c r="J234" s="6">
        <v>0</v>
      </c>
      <c r="K234" s="6">
        <v>0</v>
      </c>
      <c r="L234" s="6">
        <v>767.22</v>
      </c>
      <c r="M234" s="6">
        <v>767.22</v>
      </c>
      <c r="N234" s="6">
        <v>767.22</v>
      </c>
      <c r="O234" s="6">
        <v>767.22</v>
      </c>
      <c r="P234" s="6">
        <v>2460</v>
      </c>
      <c r="Q234" s="4" t="s">
        <v>26</v>
      </c>
      <c r="R234" s="4">
        <v>0</v>
      </c>
      <c r="S234" s="4">
        <v>0</v>
      </c>
      <c r="T234" s="4">
        <v>16</v>
      </c>
      <c r="U234" s="4">
        <v>54</v>
      </c>
      <c r="V234" s="6">
        <f>IF(ISERROR(VLOOKUP($S$234,'TAR FIN'!$A$1:$O$86,15,0)),0,VLOOKUP($S$234,'TAR FIN'!$A$1:$O$86,15,0))</f>
        <v>0</v>
      </c>
      <c r="W234" s="6">
        <f>IF(ISERROR(VLOOKUP($T$234,'TAR FIN'!$A$1:$O$86,15,0)),0,VLOOKUP($T$234,'TAR FIN'!$A$1:$O$86,15,0))</f>
        <v>297.89</v>
      </c>
      <c r="X234" s="6">
        <f>IF(ISERROR(VLOOKUP($U$234,'TAR FIN'!$A$1:$O$86,15,0)),0,VLOOKUP($U$234,'TAR FIN'!$A$1:$O$86,15,0))</f>
        <v>197.13</v>
      </c>
      <c r="Y234" s="6"/>
      <c r="Z234" s="6">
        <f ca="1">('TUSD BE'!$AM$33+'TUSD BF'!$AM$33+'TUSD CVA'!$AM$33)*(1-CUSTOS!$M$38)</f>
        <v>392.53302912886562</v>
      </c>
      <c r="AA234" s="6">
        <f>('TE BE'!$AB$24+'TE BF'!$AB$24+'TE CVA'!$AB$24)*(1-CUSTOS!$M$38)</f>
        <v>220.56513853363268</v>
      </c>
      <c r="AB234" s="6">
        <f t="shared" si="16"/>
        <v>0</v>
      </c>
      <c r="AC234" s="6">
        <f>(L234-M234)*(W234+X234)+($W$110+$X$110-$W$234-$X$234)*(L234)</f>
        <v>51787.35</v>
      </c>
      <c r="AD234" s="6">
        <f t="shared" si="17"/>
        <v>0</v>
      </c>
      <c r="AE234" s="6">
        <f ca="1">(L234-M234)*(Z234+AA234)+($Z$110+$AA$110-$Z$234-$AA$234)*(L234)</f>
        <v>30024.330395363169</v>
      </c>
      <c r="AF234" s="4" t="s">
        <v>654</v>
      </c>
    </row>
    <row r="235" spans="1:32" ht="11.25" customHeight="1" x14ac:dyDescent="0.25">
      <c r="A235" s="4" t="s">
        <v>27</v>
      </c>
      <c r="B235" s="4" t="s">
        <v>41</v>
      </c>
      <c r="C235" s="4" t="s">
        <v>23</v>
      </c>
      <c r="D235" s="4" t="s">
        <v>42</v>
      </c>
      <c r="E235" s="4" t="s">
        <v>25</v>
      </c>
      <c r="F235" s="4" t="s">
        <v>25</v>
      </c>
      <c r="G235" s="4" t="s">
        <v>25</v>
      </c>
      <c r="H235" s="4" t="s">
        <v>25</v>
      </c>
      <c r="I235" s="5">
        <v>44652</v>
      </c>
      <c r="J235" s="6">
        <v>0</v>
      </c>
      <c r="K235" s="6">
        <v>0</v>
      </c>
      <c r="L235" s="6">
        <v>-0.36599999999999999</v>
      </c>
      <c r="M235" s="6">
        <v>-0.36599999999999999</v>
      </c>
      <c r="N235" s="6">
        <v>-0.36599999999999999</v>
      </c>
      <c r="O235" s="6">
        <v>-0.36599999999999999</v>
      </c>
      <c r="P235" s="6">
        <v>0</v>
      </c>
      <c r="Q235" s="4" t="s">
        <v>26</v>
      </c>
      <c r="R235" s="4">
        <v>0</v>
      </c>
      <c r="S235" s="4">
        <v>0</v>
      </c>
      <c r="T235" s="4">
        <v>16</v>
      </c>
      <c r="U235" s="4">
        <v>54</v>
      </c>
      <c r="V235" s="6">
        <f>IF(ISERROR(VLOOKUP($S$235,'TAR FIN'!$A$1:$O$86,15,0)),0,VLOOKUP($S$235,'TAR FIN'!$A$1:$O$86,15,0))</f>
        <v>0</v>
      </c>
      <c r="W235" s="6">
        <f>IF(ISERROR(VLOOKUP($T$235,'TAR FIN'!$A$1:$O$86,15,0)),0,VLOOKUP($T$235,'TAR FIN'!$A$1:$O$86,15,0))</f>
        <v>297.89</v>
      </c>
      <c r="X235" s="6">
        <f>IF(ISERROR(VLOOKUP($U$235,'TAR FIN'!$A$1:$O$86,15,0)),0,VLOOKUP($U$235,'TAR FIN'!$A$1:$O$86,15,0))</f>
        <v>197.13</v>
      </c>
      <c r="Y235" s="6"/>
      <c r="Z235" s="6">
        <f ca="1">('TUSD BE'!$AM$33+'TUSD BF'!$AM$33+'TUSD CVA'!$AM$33)*(1-CUSTOS!$M$38)</f>
        <v>392.53302912886562</v>
      </c>
      <c r="AA235" s="6">
        <f>('TE BE'!$AB$24+'TE BF'!$AB$24+'TE CVA'!$AB$24)*(1-CUSTOS!$M$38)</f>
        <v>220.56513853363268</v>
      </c>
      <c r="AB235" s="6">
        <f t="shared" si="16"/>
        <v>0</v>
      </c>
      <c r="AC235" s="6">
        <f>(L235-M235)*(W235+X235)+($W$110+$X$110-$W$235-$X$235)*(L235)</f>
        <v>-24.704999999999998</v>
      </c>
      <c r="AD235" s="6">
        <f t="shared" si="17"/>
        <v>0</v>
      </c>
      <c r="AE235" s="6">
        <f ca="1">(L235-M235)*(Z235+AA235)+($Z$110+$AA$110-$Z$235-$AA$235)*(L235)</f>
        <v>-14.323016767945203</v>
      </c>
      <c r="AF235" s="4" t="s">
        <v>654</v>
      </c>
    </row>
    <row r="236" spans="1:32" ht="11.25" customHeight="1" x14ac:dyDescent="0.25">
      <c r="A236" s="4" t="s">
        <v>28</v>
      </c>
      <c r="B236" s="4" t="s">
        <v>41</v>
      </c>
      <c r="C236" s="4" t="s">
        <v>23</v>
      </c>
      <c r="D236" s="4" t="s">
        <v>42</v>
      </c>
      <c r="E236" s="4" t="s">
        <v>25</v>
      </c>
      <c r="F236" s="4" t="s">
        <v>25</v>
      </c>
      <c r="G236" s="4" t="s">
        <v>25</v>
      </c>
      <c r="H236" s="4" t="s">
        <v>25</v>
      </c>
      <c r="I236" s="5">
        <v>44652</v>
      </c>
      <c r="J236" s="6">
        <v>0</v>
      </c>
      <c r="K236" s="6">
        <v>0</v>
      </c>
      <c r="L236" s="6">
        <v>9.6259999999999994</v>
      </c>
      <c r="M236" s="6">
        <v>9.6259999999999994</v>
      </c>
      <c r="N236" s="6">
        <v>9.6259999999999994</v>
      </c>
      <c r="O236" s="6">
        <v>9.6259999999999994</v>
      </c>
      <c r="P236" s="6">
        <v>29</v>
      </c>
      <c r="Q236" s="4" t="s">
        <v>26</v>
      </c>
      <c r="R236" s="4">
        <v>0</v>
      </c>
      <c r="S236" s="4">
        <v>0</v>
      </c>
      <c r="T236" s="4">
        <v>16</v>
      </c>
      <c r="U236" s="4">
        <v>54</v>
      </c>
      <c r="V236" s="6">
        <f>IF(ISERROR(VLOOKUP($S$236,'TAR FIN'!$A$1:$O$86,15,0)),0,VLOOKUP($S$236,'TAR FIN'!$A$1:$O$86,15,0))</f>
        <v>0</v>
      </c>
      <c r="W236" s="6">
        <f>IF(ISERROR(VLOOKUP($T$236,'TAR FIN'!$A$1:$O$86,15,0)),0,VLOOKUP($T$236,'TAR FIN'!$A$1:$O$86,15,0))</f>
        <v>297.89</v>
      </c>
      <c r="X236" s="6">
        <f>IF(ISERROR(VLOOKUP($U$236,'TAR FIN'!$A$1:$O$86,15,0)),0,VLOOKUP($U$236,'TAR FIN'!$A$1:$O$86,15,0))</f>
        <v>197.13</v>
      </c>
      <c r="Y236" s="6"/>
      <c r="Z236" s="6">
        <f ca="1">('TUSD BE'!$AM$33+'TUSD BF'!$AM$33+'TUSD CVA'!$AM$33)*(1-CUSTOS!$M$38)</f>
        <v>392.53302912886562</v>
      </c>
      <c r="AA236" s="6">
        <f>('TE BE'!$AB$24+'TE BF'!$AB$24+'TE CVA'!$AB$24)*(1-CUSTOS!$M$38)</f>
        <v>220.56513853363268</v>
      </c>
      <c r="AB236" s="6">
        <f t="shared" si="16"/>
        <v>0</v>
      </c>
      <c r="AC236" s="6">
        <f>(L236-M236)*(W236+X236)+($W$110+$X$110-$W$236-$X$236)*(L236)</f>
        <v>649.755</v>
      </c>
      <c r="AD236" s="6">
        <f t="shared" si="17"/>
        <v>0</v>
      </c>
      <c r="AE236" s="6">
        <f ca="1">(L236-M236)*(Z236+AA236)+($Z$110+$AA$110-$Z$236-$AA$236)*(L236)</f>
        <v>376.70316778207797</v>
      </c>
      <c r="AF236" s="4" t="s">
        <v>654</v>
      </c>
    </row>
    <row r="237" spans="1:32" ht="11.25" customHeight="1" x14ac:dyDescent="0.25">
      <c r="A237" s="4" t="s">
        <v>21</v>
      </c>
      <c r="B237" s="4" t="s">
        <v>41</v>
      </c>
      <c r="C237" s="4" t="s">
        <v>23</v>
      </c>
      <c r="D237" s="4" t="s">
        <v>42</v>
      </c>
      <c r="E237" s="4" t="s">
        <v>25</v>
      </c>
      <c r="F237" s="4" t="s">
        <v>25</v>
      </c>
      <c r="G237" s="4" t="s">
        <v>25</v>
      </c>
      <c r="H237" s="4" t="s">
        <v>25</v>
      </c>
      <c r="I237" s="5">
        <v>44682</v>
      </c>
      <c r="J237" s="6">
        <v>0</v>
      </c>
      <c r="K237" s="6">
        <v>0</v>
      </c>
      <c r="L237" s="6">
        <v>757.27300000000002</v>
      </c>
      <c r="M237" s="6">
        <v>757.27300000000002</v>
      </c>
      <c r="N237" s="6">
        <v>757.27300000000002</v>
      </c>
      <c r="O237" s="6">
        <v>757.27300000000002</v>
      </c>
      <c r="P237" s="6">
        <v>2458</v>
      </c>
      <c r="Q237" s="4" t="s">
        <v>26</v>
      </c>
      <c r="R237" s="4">
        <v>0</v>
      </c>
      <c r="S237" s="4">
        <v>0</v>
      </c>
      <c r="T237" s="4">
        <v>16</v>
      </c>
      <c r="U237" s="4">
        <v>54</v>
      </c>
      <c r="V237" s="6">
        <f>IF(ISERROR(VLOOKUP($S$237,'TAR FIN'!$A$1:$O$86,15,0)),0,VLOOKUP($S$237,'TAR FIN'!$A$1:$O$86,15,0))</f>
        <v>0</v>
      </c>
      <c r="W237" s="6">
        <f>IF(ISERROR(VLOOKUP($T$237,'TAR FIN'!$A$1:$O$86,15,0)),0,VLOOKUP($T$237,'TAR FIN'!$A$1:$O$86,15,0))</f>
        <v>297.89</v>
      </c>
      <c r="X237" s="6">
        <f>IF(ISERROR(VLOOKUP($U$237,'TAR FIN'!$A$1:$O$86,15,0)),0,VLOOKUP($U$237,'TAR FIN'!$A$1:$O$86,15,0))</f>
        <v>197.13</v>
      </c>
      <c r="Y237" s="6"/>
      <c r="Z237" s="6">
        <f ca="1">('TUSD BE'!$AM$33+'TUSD BF'!$AM$33+'TUSD CVA'!$AM$33)*(1-CUSTOS!$M$38)</f>
        <v>392.53302912886562</v>
      </c>
      <c r="AA237" s="6">
        <f>('TE BE'!$AB$24+'TE BF'!$AB$24+'TE CVA'!$AB$24)*(1-CUSTOS!$M$38)</f>
        <v>220.56513853363268</v>
      </c>
      <c r="AB237" s="6">
        <f t="shared" si="16"/>
        <v>0</v>
      </c>
      <c r="AC237" s="6">
        <f>(L237-M237)*(W237+X237)+($W$110+$X$110-$W$237-$X$237)*(L237)</f>
        <v>51115.927500000005</v>
      </c>
      <c r="AD237" s="6">
        <f t="shared" si="17"/>
        <v>0</v>
      </c>
      <c r="AE237" s="6">
        <f ca="1">(L237-M237)*(Z237+AA237)+($Z$110+$AA$110-$Z$237-$AA$237)*(L237)</f>
        <v>29635.065237464943</v>
      </c>
      <c r="AF237" s="4" t="s">
        <v>654</v>
      </c>
    </row>
    <row r="238" spans="1:32" ht="11.25" customHeight="1" x14ac:dyDescent="0.25">
      <c r="A238" s="4" t="s">
        <v>28</v>
      </c>
      <c r="B238" s="4" t="s">
        <v>41</v>
      </c>
      <c r="C238" s="4" t="s">
        <v>23</v>
      </c>
      <c r="D238" s="4" t="s">
        <v>42</v>
      </c>
      <c r="E238" s="4" t="s">
        <v>25</v>
      </c>
      <c r="F238" s="4" t="s">
        <v>25</v>
      </c>
      <c r="G238" s="4" t="s">
        <v>25</v>
      </c>
      <c r="H238" s="4" t="s">
        <v>25</v>
      </c>
      <c r="I238" s="5">
        <v>44682</v>
      </c>
      <c r="J238" s="6">
        <v>0</v>
      </c>
      <c r="K238" s="6">
        <v>0</v>
      </c>
      <c r="L238" s="6">
        <v>14.491</v>
      </c>
      <c r="M238" s="6">
        <v>14.491</v>
      </c>
      <c r="N238" s="6">
        <v>14.491</v>
      </c>
      <c r="O238" s="6">
        <v>14.491</v>
      </c>
      <c r="P238" s="6">
        <v>31</v>
      </c>
      <c r="Q238" s="4" t="s">
        <v>26</v>
      </c>
      <c r="R238" s="4">
        <v>0</v>
      </c>
      <c r="S238" s="4">
        <v>0</v>
      </c>
      <c r="T238" s="4">
        <v>16</v>
      </c>
      <c r="U238" s="4">
        <v>54</v>
      </c>
      <c r="V238" s="6">
        <f>IF(ISERROR(VLOOKUP($S$238,'TAR FIN'!$A$1:$O$86,15,0)),0,VLOOKUP($S$238,'TAR FIN'!$A$1:$O$86,15,0))</f>
        <v>0</v>
      </c>
      <c r="W238" s="6">
        <f>IF(ISERROR(VLOOKUP($T$238,'TAR FIN'!$A$1:$O$86,15,0)),0,VLOOKUP($T$238,'TAR FIN'!$A$1:$O$86,15,0))</f>
        <v>297.89</v>
      </c>
      <c r="X238" s="6">
        <f>IF(ISERROR(VLOOKUP($U$238,'TAR FIN'!$A$1:$O$86,15,0)),0,VLOOKUP($U$238,'TAR FIN'!$A$1:$O$86,15,0))</f>
        <v>197.13</v>
      </c>
      <c r="Y238" s="6"/>
      <c r="Z238" s="6">
        <f ca="1">('TUSD BE'!$AM$33+'TUSD BF'!$AM$33+'TUSD CVA'!$AM$33)*(1-CUSTOS!$M$38)</f>
        <v>392.53302912886562</v>
      </c>
      <c r="AA238" s="6">
        <f>('TE BE'!$AB$24+'TE BF'!$AB$24+'TE CVA'!$AB$24)*(1-CUSTOS!$M$38)</f>
        <v>220.56513853363268</v>
      </c>
      <c r="AB238" s="6">
        <f t="shared" si="16"/>
        <v>0</v>
      </c>
      <c r="AC238" s="6">
        <f>(L238-M238)*(W238+X238)+($W$110+$X$110-$W$238-$X$238)*(L238)</f>
        <v>978.14249999999993</v>
      </c>
      <c r="AD238" s="6">
        <f t="shared" si="17"/>
        <v>0</v>
      </c>
      <c r="AE238" s="6">
        <f ca="1">(L238-M238)*(Z238+AA238)+($Z$110+$AA$110-$Z$238-$AA$238)*(L238)</f>
        <v>567.08971580408183</v>
      </c>
      <c r="AF238" s="4" t="s">
        <v>654</v>
      </c>
    </row>
    <row r="239" spans="1:32" ht="11.25" customHeight="1" x14ac:dyDescent="0.25">
      <c r="A239" s="4" t="s">
        <v>21</v>
      </c>
      <c r="B239" s="4" t="s">
        <v>41</v>
      </c>
      <c r="C239" s="4" t="s">
        <v>23</v>
      </c>
      <c r="D239" s="4" t="s">
        <v>42</v>
      </c>
      <c r="E239" s="4" t="s">
        <v>25</v>
      </c>
      <c r="F239" s="4" t="s">
        <v>25</v>
      </c>
      <c r="G239" s="4" t="s">
        <v>25</v>
      </c>
      <c r="H239" s="4" t="s">
        <v>25</v>
      </c>
      <c r="I239" s="5">
        <v>44713</v>
      </c>
      <c r="J239" s="6">
        <v>0</v>
      </c>
      <c r="K239" s="6">
        <v>0</v>
      </c>
      <c r="L239" s="6">
        <v>687.50599999999997</v>
      </c>
      <c r="M239" s="6">
        <v>687.50599999999997</v>
      </c>
      <c r="N239" s="6">
        <v>687.50599999999997</v>
      </c>
      <c r="O239" s="6">
        <v>687.50599999999997</v>
      </c>
      <c r="P239" s="6">
        <v>2440</v>
      </c>
      <c r="Q239" s="4" t="s">
        <v>26</v>
      </c>
      <c r="R239" s="4">
        <v>0</v>
      </c>
      <c r="S239" s="4">
        <v>0</v>
      </c>
      <c r="T239" s="4">
        <v>16</v>
      </c>
      <c r="U239" s="4">
        <v>54</v>
      </c>
      <c r="V239" s="6">
        <f>IF(ISERROR(VLOOKUP($S$239,'TAR FIN'!$A$1:$O$86,15,0)),0,VLOOKUP($S$239,'TAR FIN'!$A$1:$O$86,15,0))</f>
        <v>0</v>
      </c>
      <c r="W239" s="6">
        <f>IF(ISERROR(VLOOKUP($T$239,'TAR FIN'!$A$1:$O$86,15,0)),0,VLOOKUP($T$239,'TAR FIN'!$A$1:$O$86,15,0))</f>
        <v>297.89</v>
      </c>
      <c r="X239" s="6">
        <f>IF(ISERROR(VLOOKUP($U$239,'TAR FIN'!$A$1:$O$86,15,0)),0,VLOOKUP($U$239,'TAR FIN'!$A$1:$O$86,15,0))</f>
        <v>197.13</v>
      </c>
      <c r="Y239" s="6"/>
      <c r="Z239" s="6">
        <f ca="1">('TUSD BE'!$AM$33+'TUSD BF'!$AM$33+'TUSD CVA'!$AM$33)*(1-CUSTOS!$M$38)</f>
        <v>392.53302912886562</v>
      </c>
      <c r="AA239" s="6">
        <f>('TE BE'!$AB$24+'TE BF'!$AB$24+'TE CVA'!$AB$24)*(1-CUSTOS!$M$38)</f>
        <v>220.56513853363268</v>
      </c>
      <c r="AB239" s="6">
        <f t="shared" si="16"/>
        <v>0</v>
      </c>
      <c r="AC239" s="6">
        <f>(L239-M239)*(W239+X239)+($W$110+$X$110-$W$239-$X$239)*(L239)</f>
        <v>46406.654999999999</v>
      </c>
      <c r="AD239" s="6">
        <f t="shared" si="17"/>
        <v>0</v>
      </c>
      <c r="AE239" s="6">
        <f ca="1">(L239-M239)*(Z239+AA239)+($Z$110+$AA$110-$Z$239-$AA$239)*(L239)</f>
        <v>26904.808650445179</v>
      </c>
      <c r="AF239" s="4" t="s">
        <v>654</v>
      </c>
    </row>
    <row r="240" spans="1:32" ht="11.25" customHeight="1" x14ac:dyDescent="0.25">
      <c r="A240" s="4" t="s">
        <v>27</v>
      </c>
      <c r="B240" s="4" t="s">
        <v>41</v>
      </c>
      <c r="C240" s="4" t="s">
        <v>23</v>
      </c>
      <c r="D240" s="4" t="s">
        <v>42</v>
      </c>
      <c r="E240" s="4" t="s">
        <v>25</v>
      </c>
      <c r="F240" s="4" t="s">
        <v>25</v>
      </c>
      <c r="G240" s="4" t="s">
        <v>25</v>
      </c>
      <c r="H240" s="4" t="s">
        <v>25</v>
      </c>
      <c r="I240" s="5">
        <v>44713</v>
      </c>
      <c r="J240" s="6">
        <v>0</v>
      </c>
      <c r="K240" s="6">
        <v>0</v>
      </c>
      <c r="L240" s="6">
        <v>-2.6579999999999999</v>
      </c>
      <c r="M240" s="6">
        <v>-2.6579999999999999</v>
      </c>
      <c r="N240" s="6">
        <v>-2.6579999999999999</v>
      </c>
      <c r="O240" s="6">
        <v>-2.6579999999999999</v>
      </c>
      <c r="P240" s="6">
        <v>0</v>
      </c>
      <c r="Q240" s="4" t="s">
        <v>26</v>
      </c>
      <c r="R240" s="4">
        <v>0</v>
      </c>
      <c r="S240" s="4">
        <v>0</v>
      </c>
      <c r="T240" s="4">
        <v>16</v>
      </c>
      <c r="U240" s="4">
        <v>54</v>
      </c>
      <c r="V240" s="6">
        <f>IF(ISERROR(VLOOKUP($S$240,'TAR FIN'!$A$1:$O$86,15,0)),0,VLOOKUP($S$240,'TAR FIN'!$A$1:$O$86,15,0))</f>
        <v>0</v>
      </c>
      <c r="W240" s="6">
        <f>IF(ISERROR(VLOOKUP($T$240,'TAR FIN'!$A$1:$O$86,15,0)),0,VLOOKUP($T$240,'TAR FIN'!$A$1:$O$86,15,0))</f>
        <v>297.89</v>
      </c>
      <c r="X240" s="6">
        <f>IF(ISERROR(VLOOKUP($U$240,'TAR FIN'!$A$1:$O$86,15,0)),0,VLOOKUP($U$240,'TAR FIN'!$A$1:$O$86,15,0))</f>
        <v>197.13</v>
      </c>
      <c r="Y240" s="6"/>
      <c r="Z240" s="6">
        <f ca="1">('TUSD BE'!$AM$33+'TUSD BF'!$AM$33+'TUSD CVA'!$AM$33)*(1-CUSTOS!$M$38)</f>
        <v>392.53302912886562</v>
      </c>
      <c r="AA240" s="6">
        <f>('TE BE'!$AB$24+'TE BF'!$AB$24+'TE CVA'!$AB$24)*(1-CUSTOS!$M$38)</f>
        <v>220.56513853363268</v>
      </c>
      <c r="AB240" s="6">
        <f t="shared" si="16"/>
        <v>0</v>
      </c>
      <c r="AC240" s="6">
        <f>(L240-M240)*(W240+X240)+($W$110+$X$110-$W$240-$X$240)*(L240)</f>
        <v>-179.41499999999999</v>
      </c>
      <c r="AD240" s="6">
        <f t="shared" si="17"/>
        <v>0</v>
      </c>
      <c r="AE240" s="6">
        <f ca="1">(L240-M240)*(Z240+AA240)+($Z$110+$AA$110-$Z$240-$AA$240)*(L240)</f>
        <v>-104.01797423278238</v>
      </c>
      <c r="AF240" s="4" t="s">
        <v>654</v>
      </c>
    </row>
    <row r="241" spans="1:32" ht="11.25" customHeight="1" x14ac:dyDescent="0.25">
      <c r="A241" s="4" t="s">
        <v>28</v>
      </c>
      <c r="B241" s="4" t="s">
        <v>41</v>
      </c>
      <c r="C241" s="4" t="s">
        <v>23</v>
      </c>
      <c r="D241" s="4" t="s">
        <v>42</v>
      </c>
      <c r="E241" s="4" t="s">
        <v>25</v>
      </c>
      <c r="F241" s="4" t="s">
        <v>25</v>
      </c>
      <c r="G241" s="4" t="s">
        <v>25</v>
      </c>
      <c r="H241" s="4" t="s">
        <v>25</v>
      </c>
      <c r="I241" s="5">
        <v>44713</v>
      </c>
      <c r="J241" s="6">
        <v>0</v>
      </c>
      <c r="K241" s="6">
        <v>0</v>
      </c>
      <c r="L241" s="6">
        <v>12.61</v>
      </c>
      <c r="M241" s="6">
        <v>12.61</v>
      </c>
      <c r="N241" s="6">
        <v>12.61</v>
      </c>
      <c r="O241" s="6">
        <v>12.61</v>
      </c>
      <c r="P241" s="6">
        <v>37</v>
      </c>
      <c r="Q241" s="4" t="s">
        <v>26</v>
      </c>
      <c r="R241" s="4">
        <v>0</v>
      </c>
      <c r="S241" s="4">
        <v>0</v>
      </c>
      <c r="T241" s="4">
        <v>16</v>
      </c>
      <c r="U241" s="4">
        <v>54</v>
      </c>
      <c r="V241" s="6">
        <f>IF(ISERROR(VLOOKUP($S$241,'TAR FIN'!$A$1:$O$86,15,0)),0,VLOOKUP($S$241,'TAR FIN'!$A$1:$O$86,15,0))</f>
        <v>0</v>
      </c>
      <c r="W241" s="6">
        <f>IF(ISERROR(VLOOKUP($T$241,'TAR FIN'!$A$1:$O$86,15,0)),0,VLOOKUP($T$241,'TAR FIN'!$A$1:$O$86,15,0))</f>
        <v>297.89</v>
      </c>
      <c r="X241" s="6">
        <f>IF(ISERROR(VLOOKUP($U$241,'TAR FIN'!$A$1:$O$86,15,0)),0,VLOOKUP($U$241,'TAR FIN'!$A$1:$O$86,15,0))</f>
        <v>197.13</v>
      </c>
      <c r="Y241" s="6"/>
      <c r="Z241" s="6">
        <f ca="1">('TUSD BE'!$AM$33+'TUSD BF'!$AM$33+'TUSD CVA'!$AM$33)*(1-CUSTOS!$M$38)</f>
        <v>392.53302912886562</v>
      </c>
      <c r="AA241" s="6">
        <f>('TE BE'!$AB$24+'TE BF'!$AB$24+'TE CVA'!$AB$24)*(1-CUSTOS!$M$38)</f>
        <v>220.56513853363268</v>
      </c>
      <c r="AB241" s="6">
        <f t="shared" si="16"/>
        <v>0</v>
      </c>
      <c r="AC241" s="6">
        <f>(L241-M241)*(W241+X241)+($W$110+$X$110-$W$241-$X$241)*(L241)</f>
        <v>851.17499999999995</v>
      </c>
      <c r="AD241" s="6">
        <f t="shared" si="17"/>
        <v>0</v>
      </c>
      <c r="AE241" s="6">
        <f ca="1">(L241-M241)*(Z241+AA241)+($Z$110+$AA$110-$Z$241-$AA$241)*(L241)</f>
        <v>493.47880175898638</v>
      </c>
      <c r="AF241" s="4" t="s">
        <v>654</v>
      </c>
    </row>
    <row r="242" spans="1:32" ht="11.25" customHeight="1" x14ac:dyDescent="0.25">
      <c r="A242" s="4" t="s">
        <v>55</v>
      </c>
      <c r="B242" s="4" t="s">
        <v>41</v>
      </c>
      <c r="C242" s="4" t="s">
        <v>23</v>
      </c>
      <c r="D242" s="4" t="s">
        <v>42</v>
      </c>
      <c r="E242" s="4" t="s">
        <v>25</v>
      </c>
      <c r="F242" s="4" t="s">
        <v>25</v>
      </c>
      <c r="G242" s="4" t="s">
        <v>25</v>
      </c>
      <c r="H242" s="4" t="s">
        <v>25</v>
      </c>
      <c r="I242" s="5">
        <v>44743</v>
      </c>
      <c r="J242" s="6">
        <v>0</v>
      </c>
      <c r="K242" s="6">
        <v>0</v>
      </c>
      <c r="L242" s="6">
        <v>687.50599999999997</v>
      </c>
      <c r="M242" s="6">
        <v>687.50599999999997</v>
      </c>
      <c r="N242" s="6">
        <v>687.50599999999997</v>
      </c>
      <c r="O242" s="6">
        <v>687.50599999999997</v>
      </c>
      <c r="P242" s="6">
        <v>2440</v>
      </c>
      <c r="Q242" s="4" t="s">
        <v>26</v>
      </c>
      <c r="R242" s="4">
        <v>0</v>
      </c>
      <c r="S242" s="4">
        <v>0</v>
      </c>
      <c r="T242" s="4">
        <v>16</v>
      </c>
      <c r="U242" s="4">
        <v>54</v>
      </c>
      <c r="V242" s="6">
        <f>IF(ISERROR(VLOOKUP($S$242,'TAR FIN'!$A$1:$O$86,15,0)),0,VLOOKUP($S$242,'TAR FIN'!$A$1:$O$86,15,0))</f>
        <v>0</v>
      </c>
      <c r="W242" s="6">
        <f>IF(ISERROR(VLOOKUP($T$242,'TAR FIN'!$A$1:$O$86,15,0)),0,VLOOKUP($T$242,'TAR FIN'!$A$1:$O$86,15,0))</f>
        <v>297.89</v>
      </c>
      <c r="X242" s="6">
        <f>IF(ISERROR(VLOOKUP($U$242,'TAR FIN'!$A$1:$O$86,15,0)),0,VLOOKUP($U$242,'TAR FIN'!$A$1:$O$86,15,0))</f>
        <v>197.13</v>
      </c>
      <c r="Y242" s="6"/>
      <c r="Z242" s="6">
        <f ca="1">('TUSD BE'!$AM$33+'TUSD BF'!$AM$33+'TUSD CVA'!$AM$33)*(1-CUSTOS!$M$38)</f>
        <v>392.53302912886562</v>
      </c>
      <c r="AA242" s="6">
        <f>('TE BE'!$AB$24+'TE BF'!$AB$24+'TE CVA'!$AB$24)*(1-CUSTOS!$M$38)</f>
        <v>220.56513853363268</v>
      </c>
      <c r="AB242" s="6">
        <f t="shared" si="16"/>
        <v>0</v>
      </c>
      <c r="AC242" s="6">
        <f>(L242-M242)*(W242+X242)+($W$110+$X$110-$W$242-$X$242)*(L242)</f>
        <v>46406.654999999999</v>
      </c>
      <c r="AD242" s="6">
        <f t="shared" si="17"/>
        <v>0</v>
      </c>
      <c r="AE242" s="6">
        <f ca="1">(L242-M242)*(Z242+AA242)+($Z$110+$AA$110-$Z$242-$AA$242)*(L242)</f>
        <v>26904.808650445179</v>
      </c>
      <c r="AF242" s="4" t="s">
        <v>654</v>
      </c>
    </row>
    <row r="243" spans="1:32" ht="11.25" customHeight="1" x14ac:dyDescent="0.25">
      <c r="A243" s="4" t="s">
        <v>55</v>
      </c>
      <c r="B243" s="4" t="s">
        <v>41</v>
      </c>
      <c r="C243" s="4" t="s">
        <v>23</v>
      </c>
      <c r="D243" s="4" t="s">
        <v>42</v>
      </c>
      <c r="E243" s="4" t="s">
        <v>25</v>
      </c>
      <c r="F243" s="4" t="s">
        <v>25</v>
      </c>
      <c r="G243" s="4" t="s">
        <v>25</v>
      </c>
      <c r="H243" s="4" t="s">
        <v>25</v>
      </c>
      <c r="I243" s="5">
        <v>44743</v>
      </c>
      <c r="J243" s="6">
        <v>0</v>
      </c>
      <c r="K243" s="6">
        <v>0</v>
      </c>
      <c r="L243" s="6">
        <v>-2.6579999999999999</v>
      </c>
      <c r="M243" s="6">
        <v>-2.6579999999999999</v>
      </c>
      <c r="N243" s="6">
        <v>-2.6579999999999999</v>
      </c>
      <c r="O243" s="6">
        <v>-2.6579999999999999</v>
      </c>
      <c r="P243" s="6">
        <v>0</v>
      </c>
      <c r="Q243" s="4" t="s">
        <v>26</v>
      </c>
      <c r="R243" s="4">
        <v>0</v>
      </c>
      <c r="S243" s="4">
        <v>0</v>
      </c>
      <c r="T243" s="4">
        <v>16</v>
      </c>
      <c r="U243" s="4">
        <v>54</v>
      </c>
      <c r="V243" s="6">
        <f>IF(ISERROR(VLOOKUP($S$243,'TAR FIN'!$A$1:$O$86,15,0)),0,VLOOKUP($S$243,'TAR FIN'!$A$1:$O$86,15,0))</f>
        <v>0</v>
      </c>
      <c r="W243" s="6">
        <f>IF(ISERROR(VLOOKUP($T$243,'TAR FIN'!$A$1:$O$86,15,0)),0,VLOOKUP($T$243,'TAR FIN'!$A$1:$O$86,15,0))</f>
        <v>297.89</v>
      </c>
      <c r="X243" s="6">
        <f>IF(ISERROR(VLOOKUP($U$243,'TAR FIN'!$A$1:$O$86,15,0)),0,VLOOKUP($U$243,'TAR FIN'!$A$1:$O$86,15,0))</f>
        <v>197.13</v>
      </c>
      <c r="Y243" s="6"/>
      <c r="Z243" s="6">
        <f ca="1">('TUSD BE'!$AM$33+'TUSD BF'!$AM$33+'TUSD CVA'!$AM$33)*(1-CUSTOS!$M$38)</f>
        <v>392.53302912886562</v>
      </c>
      <c r="AA243" s="6">
        <f>('TE BE'!$AB$24+'TE BF'!$AB$24+'TE CVA'!$AB$24)*(1-CUSTOS!$M$38)</f>
        <v>220.56513853363268</v>
      </c>
      <c r="AB243" s="6">
        <f t="shared" si="16"/>
        <v>0</v>
      </c>
      <c r="AC243" s="6">
        <f>(L243-M243)*(W243+X243)+($W$110+$X$110-$W$243-$X$243)*(L243)</f>
        <v>-179.41499999999999</v>
      </c>
      <c r="AD243" s="6">
        <f t="shared" si="17"/>
        <v>0</v>
      </c>
      <c r="AE243" s="6">
        <f ca="1">(L243-M243)*(Z243+AA243)+($Z$110+$AA$110-$Z$243-$AA$243)*(L243)</f>
        <v>-104.01797423278238</v>
      </c>
      <c r="AF243" s="4" t="s">
        <v>654</v>
      </c>
    </row>
    <row r="244" spans="1:32" ht="11.25" customHeight="1" x14ac:dyDescent="0.25">
      <c r="A244" s="4" t="s">
        <v>55</v>
      </c>
      <c r="B244" s="4" t="s">
        <v>41</v>
      </c>
      <c r="C244" s="4" t="s">
        <v>23</v>
      </c>
      <c r="D244" s="4" t="s">
        <v>42</v>
      </c>
      <c r="E244" s="4" t="s">
        <v>25</v>
      </c>
      <c r="F244" s="4" t="s">
        <v>25</v>
      </c>
      <c r="G244" s="4" t="s">
        <v>25</v>
      </c>
      <c r="H244" s="4" t="s">
        <v>25</v>
      </c>
      <c r="I244" s="5">
        <v>44743</v>
      </c>
      <c r="J244" s="6">
        <v>0</v>
      </c>
      <c r="K244" s="6">
        <v>0</v>
      </c>
      <c r="L244" s="6">
        <v>12.61</v>
      </c>
      <c r="M244" s="6">
        <v>12.61</v>
      </c>
      <c r="N244" s="6">
        <v>12.61</v>
      </c>
      <c r="O244" s="6">
        <v>12.61</v>
      </c>
      <c r="P244" s="6">
        <v>37</v>
      </c>
      <c r="Q244" s="4" t="s">
        <v>26</v>
      </c>
      <c r="R244" s="4">
        <v>0</v>
      </c>
      <c r="S244" s="4">
        <v>0</v>
      </c>
      <c r="T244" s="4">
        <v>16</v>
      </c>
      <c r="U244" s="4">
        <v>54</v>
      </c>
      <c r="V244" s="6">
        <f>IF(ISERROR(VLOOKUP($S$244,'TAR FIN'!$A$1:$O$86,15,0)),0,VLOOKUP($S$244,'TAR FIN'!$A$1:$O$86,15,0))</f>
        <v>0</v>
      </c>
      <c r="W244" s="6">
        <f>IF(ISERROR(VLOOKUP($T$244,'TAR FIN'!$A$1:$O$86,15,0)),0,VLOOKUP($T$244,'TAR FIN'!$A$1:$O$86,15,0))</f>
        <v>297.89</v>
      </c>
      <c r="X244" s="6">
        <f>IF(ISERROR(VLOOKUP($U$244,'TAR FIN'!$A$1:$O$86,15,0)),0,VLOOKUP($U$244,'TAR FIN'!$A$1:$O$86,15,0))</f>
        <v>197.13</v>
      </c>
      <c r="Y244" s="6"/>
      <c r="Z244" s="6">
        <f ca="1">('TUSD BE'!$AM$33+'TUSD BF'!$AM$33+'TUSD CVA'!$AM$33)*(1-CUSTOS!$M$38)</f>
        <v>392.53302912886562</v>
      </c>
      <c r="AA244" s="6">
        <f>('TE BE'!$AB$24+'TE BF'!$AB$24+'TE CVA'!$AB$24)*(1-CUSTOS!$M$38)</f>
        <v>220.56513853363268</v>
      </c>
      <c r="AB244" s="6">
        <f t="shared" si="16"/>
        <v>0</v>
      </c>
      <c r="AC244" s="6">
        <f>(L244-M244)*(W244+X244)+($W$110+$X$110-$W$244-$X$244)*(L244)</f>
        <v>851.17499999999995</v>
      </c>
      <c r="AD244" s="6">
        <f t="shared" si="17"/>
        <v>0</v>
      </c>
      <c r="AE244" s="6">
        <f ca="1">(L244-M244)*(Z244+AA244)+($Z$110+$AA$110-$Z$244-$AA$244)*(L244)</f>
        <v>493.47880175898638</v>
      </c>
      <c r="AF244" s="4" t="s">
        <v>654</v>
      </c>
    </row>
    <row r="245" spans="1:32" ht="11.25" customHeight="1" x14ac:dyDescent="0.25">
      <c r="A245" s="4" t="s">
        <v>21</v>
      </c>
      <c r="B245" s="4" t="s">
        <v>33</v>
      </c>
      <c r="C245" s="4" t="s">
        <v>23</v>
      </c>
      <c r="D245" s="4" t="s">
        <v>47</v>
      </c>
      <c r="E245" s="4" t="s">
        <v>48</v>
      </c>
      <c r="F245" s="4" t="s">
        <v>25</v>
      </c>
      <c r="G245" s="4" t="s">
        <v>25</v>
      </c>
      <c r="H245" s="4" t="s">
        <v>25</v>
      </c>
      <c r="I245" s="5">
        <v>44409</v>
      </c>
      <c r="J245" s="6">
        <v>0</v>
      </c>
      <c r="K245" s="128">
        <v>0</v>
      </c>
      <c r="L245" s="6">
        <v>46.851999999999997</v>
      </c>
      <c r="M245" s="128">
        <v>46.851999999999997</v>
      </c>
      <c r="N245" s="6">
        <v>46.851999999999997</v>
      </c>
      <c r="O245" s="128">
        <v>46.851999999999997</v>
      </c>
      <c r="P245" s="6">
        <v>32</v>
      </c>
      <c r="Q245" s="4" t="s">
        <v>26</v>
      </c>
      <c r="R245" s="4">
        <v>0</v>
      </c>
      <c r="S245" s="4">
        <v>0</v>
      </c>
      <c r="T245" s="4">
        <v>33</v>
      </c>
      <c r="U245" s="4">
        <v>85</v>
      </c>
      <c r="V245" s="128">
        <f>IF(ISERROR(VLOOKUP($S$245,'TAR FIN'!$A$1:$O$86,15,0)),0,VLOOKUP($S$245,'TAR FIN'!$A$1:$O$86,15,0))</f>
        <v>0</v>
      </c>
      <c r="W245" s="128">
        <f>IF(ISERROR(VLOOKUP($T$245,'TAR FIN'!$A$1:$O$86,15,0)),0,VLOOKUP($T$245,'TAR FIN'!$A$1:$O$86,15,0))*(1-0.06)</f>
        <v>318.19939999999997</v>
      </c>
      <c r="X245" s="128">
        <f>IF(ISERROR(VLOOKUP($U$245,'TAR FIN'!$A$1:$O$86,15,0)),0,VLOOKUP($U$245,'TAR FIN'!$A$1:$O$86,15,0))*(1-0.06)</f>
        <v>210.56939999999997</v>
      </c>
      <c r="Y245" s="128"/>
      <c r="Z245" s="128">
        <f ca="1">('TUSD BE'!$AM$48+'TUSD BF'!$AM$48+'TUSD CVA'!$AM$48)*1*(1-0.03)</f>
        <v>405.06067899468053</v>
      </c>
      <c r="AA245" s="128">
        <f>('TE BE'!$AB$39+'TE BF'!$AB$39+'TE CVA'!$AB$39)*1*(1-0.03)</f>
        <v>227.60445146555713</v>
      </c>
      <c r="AB245" s="128">
        <f>(SUBSIDIO!$J$245*SUBSIDIO!$V$245)*(0.06)/(1-0.06)</f>
        <v>0</v>
      </c>
      <c r="AC245" s="128">
        <f>((SUBSIDIO!$L$245*SUBSIDIO!$W$245)+(SUBSIDIO!$N$245*SUBSIDIO!$X$245))*(0.06)/(1-0.06)</f>
        <v>1581.3112223999999</v>
      </c>
      <c r="AD245" s="128">
        <f>(SUBSIDIO!$J$245*SUBSIDIO!$Y$245)*(0.03)/(1-0.03)</f>
        <v>0</v>
      </c>
      <c r="AE245" s="128">
        <f ca="1">((SUBSIDIO!$L$245*SUBSIDIO!$Z$245)+(SUBSIDIO!$N$245*SUBSIDIO!$AA$245))*(0.03)/(1-0.03)</f>
        <v>916.75134099968193</v>
      </c>
      <c r="AF245" s="4" t="s">
        <v>652</v>
      </c>
    </row>
    <row r="246" spans="1:32" ht="11.25" customHeight="1" x14ac:dyDescent="0.25">
      <c r="A246" s="4" t="s">
        <v>21</v>
      </c>
      <c r="B246" s="4" t="s">
        <v>33</v>
      </c>
      <c r="C246" s="4" t="s">
        <v>23</v>
      </c>
      <c r="D246" s="4" t="s">
        <v>47</v>
      </c>
      <c r="E246" s="4" t="s">
        <v>48</v>
      </c>
      <c r="F246" s="4" t="s">
        <v>25</v>
      </c>
      <c r="G246" s="4" t="s">
        <v>25</v>
      </c>
      <c r="H246" s="4" t="s">
        <v>25</v>
      </c>
      <c r="I246" s="5">
        <v>44440</v>
      </c>
      <c r="J246" s="6">
        <v>0</v>
      </c>
      <c r="K246" s="128">
        <v>0</v>
      </c>
      <c r="L246" s="6">
        <v>49.296999999999997</v>
      </c>
      <c r="M246" s="128">
        <v>49.296999999999997</v>
      </c>
      <c r="N246" s="6">
        <v>49.296999999999997</v>
      </c>
      <c r="O246" s="128">
        <v>49.296999999999997</v>
      </c>
      <c r="P246" s="6">
        <v>32</v>
      </c>
      <c r="Q246" s="4" t="s">
        <v>26</v>
      </c>
      <c r="R246" s="4">
        <v>0</v>
      </c>
      <c r="S246" s="4">
        <v>0</v>
      </c>
      <c r="T246" s="4">
        <v>33</v>
      </c>
      <c r="U246" s="4">
        <v>85</v>
      </c>
      <c r="V246" s="128">
        <f>IF(ISERROR(VLOOKUP($S$246,'TAR FIN'!$A$1:$O$86,15,0)),0,VLOOKUP($S$246,'TAR FIN'!$A$1:$O$86,15,0))</f>
        <v>0</v>
      </c>
      <c r="W246" s="128">
        <f>IF(ISERROR(VLOOKUP($T$246,'TAR FIN'!$A$1:$O$86,15,0)),0,VLOOKUP($T$246,'TAR FIN'!$A$1:$O$86,15,0))*(1-0.06)</f>
        <v>318.19939999999997</v>
      </c>
      <c r="X246" s="128">
        <f>IF(ISERROR(VLOOKUP($U$246,'TAR FIN'!$A$1:$O$86,15,0)),0,VLOOKUP($U$246,'TAR FIN'!$A$1:$O$86,15,0))*(1-0.06)</f>
        <v>210.56939999999997</v>
      </c>
      <c r="Y246" s="128"/>
      <c r="Z246" s="128">
        <f ca="1">('TUSD BE'!$AM$48+'TUSD BF'!$AM$48+'TUSD CVA'!$AM$48)*1*(1-0.03)</f>
        <v>405.06067899468053</v>
      </c>
      <c r="AA246" s="128">
        <f>('TE BE'!$AB$39+'TE BF'!$AB$39+'TE CVA'!$AB$39)*1*(1-0.03)</f>
        <v>227.60445146555713</v>
      </c>
      <c r="AB246" s="128">
        <f>(SUBSIDIO!$J$246*SUBSIDIO!$V$246)*(0.06)/(1-0.06)</f>
        <v>0</v>
      </c>
      <c r="AC246" s="128">
        <f>((SUBSIDIO!$L$246*SUBSIDIO!$W$246)+(SUBSIDIO!$N$246*SUBSIDIO!$X$246))*(0.06)/(1-0.06)</f>
        <v>1663.8329063999997</v>
      </c>
      <c r="AD246" s="128">
        <f>(SUBSIDIO!$J$246*SUBSIDIO!$Y$246)*(0.03)/(1-0.03)</f>
        <v>0</v>
      </c>
      <c r="AE246" s="128">
        <f ca="1">((SUBSIDIO!$L$246*SUBSIDIO!$Z$246)+(SUBSIDIO!$N$246*SUBSIDIO!$AA$246))*(0.03)/(1-0.03)</f>
        <v>964.59256504015468</v>
      </c>
      <c r="AF246" s="4" t="s">
        <v>652</v>
      </c>
    </row>
    <row r="247" spans="1:32" ht="11.25" customHeight="1" x14ac:dyDescent="0.25">
      <c r="A247" s="4" t="s">
        <v>21</v>
      </c>
      <c r="B247" s="4" t="s">
        <v>33</v>
      </c>
      <c r="C247" s="4" t="s">
        <v>23</v>
      </c>
      <c r="D247" s="4" t="s">
        <v>47</v>
      </c>
      <c r="E247" s="4" t="s">
        <v>48</v>
      </c>
      <c r="F247" s="4" t="s">
        <v>25</v>
      </c>
      <c r="G247" s="4" t="s">
        <v>25</v>
      </c>
      <c r="H247" s="4" t="s">
        <v>25</v>
      </c>
      <c r="I247" s="5">
        <v>44470</v>
      </c>
      <c r="J247" s="6">
        <v>0</v>
      </c>
      <c r="K247" s="128">
        <v>0</v>
      </c>
      <c r="L247" s="6">
        <v>45.563000000000002</v>
      </c>
      <c r="M247" s="128">
        <v>45.563000000000002</v>
      </c>
      <c r="N247" s="6">
        <v>45.563000000000002</v>
      </c>
      <c r="O247" s="128">
        <v>45.563000000000002</v>
      </c>
      <c r="P247" s="6">
        <v>32</v>
      </c>
      <c r="Q247" s="4" t="s">
        <v>26</v>
      </c>
      <c r="R247" s="4">
        <v>0</v>
      </c>
      <c r="S247" s="4">
        <v>0</v>
      </c>
      <c r="T247" s="4">
        <v>33</v>
      </c>
      <c r="U247" s="4">
        <v>85</v>
      </c>
      <c r="V247" s="128">
        <f>IF(ISERROR(VLOOKUP($S$247,'TAR FIN'!$A$1:$O$86,15,0)),0,VLOOKUP($S$247,'TAR FIN'!$A$1:$O$86,15,0))</f>
        <v>0</v>
      </c>
      <c r="W247" s="128">
        <f>IF(ISERROR(VLOOKUP($T$247,'TAR FIN'!$A$1:$O$86,15,0)),0,VLOOKUP($T$247,'TAR FIN'!$A$1:$O$86,15,0))*(1-0.06)</f>
        <v>318.19939999999997</v>
      </c>
      <c r="X247" s="128">
        <f>IF(ISERROR(VLOOKUP($U$247,'TAR FIN'!$A$1:$O$86,15,0)),0,VLOOKUP($U$247,'TAR FIN'!$A$1:$O$86,15,0))*(1-0.06)</f>
        <v>210.56939999999997</v>
      </c>
      <c r="Y247" s="128"/>
      <c r="Z247" s="128">
        <f ca="1">('TUSD BE'!$AM$48+'TUSD BF'!$AM$48+'TUSD CVA'!$AM$48)*1*(1-0.03)</f>
        <v>405.06067899468053</v>
      </c>
      <c r="AA247" s="128">
        <f>('TE BE'!$AB$39+'TE BF'!$AB$39+'TE CVA'!$AB$39)*1*(1-0.03)</f>
        <v>227.60445146555713</v>
      </c>
      <c r="AB247" s="128">
        <f>(SUBSIDIO!$J$247*SUBSIDIO!$V$247)*(0.06)/(1-0.06)</f>
        <v>0</v>
      </c>
      <c r="AC247" s="128">
        <f>((SUBSIDIO!$L$247*SUBSIDIO!$W$247)+(SUBSIDIO!$N$247*SUBSIDIO!$X$247))*(0.06)/(1-0.06)</f>
        <v>1537.8059256000001</v>
      </c>
      <c r="AD247" s="128">
        <f>(SUBSIDIO!$J$247*SUBSIDIO!$Y$247)*(0.03)/(1-0.03)</f>
        <v>0</v>
      </c>
      <c r="AE247" s="128">
        <f ca="1">((SUBSIDIO!$L$247*SUBSIDIO!$Z$247)+(SUBSIDIO!$N$247*SUBSIDIO!$AA$247))*(0.03)/(1-0.03)</f>
        <v>891.52952595339627</v>
      </c>
      <c r="AF247" s="4" t="s">
        <v>652</v>
      </c>
    </row>
    <row r="248" spans="1:32" ht="11.25" customHeight="1" x14ac:dyDescent="0.25">
      <c r="A248" s="4" t="s">
        <v>21</v>
      </c>
      <c r="B248" s="4" t="s">
        <v>33</v>
      </c>
      <c r="C248" s="4" t="s">
        <v>23</v>
      </c>
      <c r="D248" s="4" t="s">
        <v>47</v>
      </c>
      <c r="E248" s="4" t="s">
        <v>48</v>
      </c>
      <c r="F248" s="4" t="s">
        <v>25</v>
      </c>
      <c r="G248" s="4" t="s">
        <v>25</v>
      </c>
      <c r="H248" s="4" t="s">
        <v>25</v>
      </c>
      <c r="I248" s="5">
        <v>44501</v>
      </c>
      <c r="J248" s="6">
        <v>0</v>
      </c>
      <c r="K248" s="128">
        <v>0</v>
      </c>
      <c r="L248" s="6">
        <v>47.423999999999999</v>
      </c>
      <c r="M248" s="128">
        <v>47.423999999999999</v>
      </c>
      <c r="N248" s="6">
        <v>47.423999999999999</v>
      </c>
      <c r="O248" s="128">
        <v>47.423999999999999</v>
      </c>
      <c r="P248" s="6">
        <v>34</v>
      </c>
      <c r="Q248" s="4" t="s">
        <v>26</v>
      </c>
      <c r="R248" s="4">
        <v>0</v>
      </c>
      <c r="S248" s="4">
        <v>0</v>
      </c>
      <c r="T248" s="4">
        <v>33</v>
      </c>
      <c r="U248" s="4">
        <v>85</v>
      </c>
      <c r="V248" s="128">
        <f>IF(ISERROR(VLOOKUP($S$248,'TAR FIN'!$A$1:$O$86,15,0)),0,VLOOKUP($S$248,'TAR FIN'!$A$1:$O$86,15,0))</f>
        <v>0</v>
      </c>
      <c r="W248" s="128">
        <f>IF(ISERROR(VLOOKUP($T$248,'TAR FIN'!$A$1:$O$86,15,0)),0,VLOOKUP($T$248,'TAR FIN'!$A$1:$O$86,15,0))*(1-0.06)</f>
        <v>318.19939999999997</v>
      </c>
      <c r="X248" s="128">
        <f>IF(ISERROR(VLOOKUP($U$248,'TAR FIN'!$A$1:$O$86,15,0)),0,VLOOKUP($U$248,'TAR FIN'!$A$1:$O$86,15,0))*(1-0.06)</f>
        <v>210.56939999999997</v>
      </c>
      <c r="Y248" s="128"/>
      <c r="Z248" s="128">
        <f ca="1">('TUSD BE'!$AM$48+'TUSD BF'!$AM$48+'TUSD CVA'!$AM$48)*1*(1-0.03)</f>
        <v>405.06067899468053</v>
      </c>
      <c r="AA248" s="128">
        <f>('TE BE'!$AB$39+'TE BF'!$AB$39+'TE CVA'!$AB$39)*1*(1-0.03)</f>
        <v>227.60445146555713</v>
      </c>
      <c r="AB248" s="128">
        <f>(SUBSIDIO!$J$248*SUBSIDIO!$V$248)*(0.06)/(1-0.06)</f>
        <v>0</v>
      </c>
      <c r="AC248" s="128">
        <f>((SUBSIDIO!$L$248*SUBSIDIO!$W$248)+(SUBSIDIO!$N$248*SUBSIDIO!$X$248))*(0.06)/(1-0.06)</f>
        <v>1600.6169087999999</v>
      </c>
      <c r="AD248" s="128">
        <f>(SUBSIDIO!$J$248*SUBSIDIO!$Y$248)*(0.03)/(1-0.03)</f>
        <v>0</v>
      </c>
      <c r="AE248" s="128">
        <f ca="1">((SUBSIDIO!$L$248*SUBSIDIO!$Z$248)+(SUBSIDIO!$N$248*SUBSIDIO!$AA$248))*(0.03)/(1-0.03)</f>
        <v>927.94364371998893</v>
      </c>
      <c r="AF248" s="4" t="s">
        <v>652</v>
      </c>
    </row>
    <row r="249" spans="1:32" ht="11.25" customHeight="1" x14ac:dyDescent="0.25">
      <c r="A249" s="4" t="s">
        <v>21</v>
      </c>
      <c r="B249" s="4" t="s">
        <v>33</v>
      </c>
      <c r="C249" s="4" t="s">
        <v>23</v>
      </c>
      <c r="D249" s="4" t="s">
        <v>47</v>
      </c>
      <c r="E249" s="4" t="s">
        <v>48</v>
      </c>
      <c r="F249" s="4" t="s">
        <v>25</v>
      </c>
      <c r="G249" s="4" t="s">
        <v>25</v>
      </c>
      <c r="H249" s="4" t="s">
        <v>25</v>
      </c>
      <c r="I249" s="5">
        <v>44531</v>
      </c>
      <c r="J249" s="6">
        <v>0</v>
      </c>
      <c r="K249" s="128">
        <v>0</v>
      </c>
      <c r="L249" s="6">
        <v>44.262999999999998</v>
      </c>
      <c r="M249" s="128">
        <v>44.262999999999998</v>
      </c>
      <c r="N249" s="6">
        <v>44.262999999999998</v>
      </c>
      <c r="O249" s="128">
        <v>44.262999999999998</v>
      </c>
      <c r="P249" s="6">
        <v>33</v>
      </c>
      <c r="Q249" s="4" t="s">
        <v>26</v>
      </c>
      <c r="R249" s="4">
        <v>0</v>
      </c>
      <c r="S249" s="4">
        <v>0</v>
      </c>
      <c r="T249" s="4">
        <v>33</v>
      </c>
      <c r="U249" s="4">
        <v>85</v>
      </c>
      <c r="V249" s="128">
        <f>IF(ISERROR(VLOOKUP($S$249,'TAR FIN'!$A$1:$O$86,15,0)),0,VLOOKUP($S$249,'TAR FIN'!$A$1:$O$86,15,0))</f>
        <v>0</v>
      </c>
      <c r="W249" s="128">
        <f>IF(ISERROR(VLOOKUP($T$249,'TAR FIN'!$A$1:$O$86,15,0)),0,VLOOKUP($T$249,'TAR FIN'!$A$1:$O$86,15,0))*(1-0.06)</f>
        <v>318.19939999999997</v>
      </c>
      <c r="X249" s="128">
        <f>IF(ISERROR(VLOOKUP($U$249,'TAR FIN'!$A$1:$O$86,15,0)),0,VLOOKUP($U$249,'TAR FIN'!$A$1:$O$86,15,0))*(1-0.06)</f>
        <v>210.56939999999997</v>
      </c>
      <c r="Y249" s="128"/>
      <c r="Z249" s="128">
        <f ca="1">('TUSD BE'!$AM$48+'TUSD BF'!$AM$48+'TUSD CVA'!$AM$48)*1*(1-0.03)</f>
        <v>405.06067899468053</v>
      </c>
      <c r="AA249" s="128">
        <f>('TE BE'!$AB$39+'TE BF'!$AB$39+'TE CVA'!$AB$39)*1*(1-0.03)</f>
        <v>227.60445146555713</v>
      </c>
      <c r="AB249" s="128">
        <f>(SUBSIDIO!$J$249*SUBSIDIO!$V$249)*(0.06)/(1-0.06)</f>
        <v>0</v>
      </c>
      <c r="AC249" s="128">
        <f>((SUBSIDIO!$L$249*SUBSIDIO!$W$249)+(SUBSIDIO!$N$249*SUBSIDIO!$X$249))*(0.06)/(1-0.06)</f>
        <v>1493.9293655999998</v>
      </c>
      <c r="AD249" s="128">
        <f>(SUBSIDIO!$J$249*SUBSIDIO!$Y$249)*(0.03)/(1-0.03)</f>
        <v>0</v>
      </c>
      <c r="AE249" s="128">
        <f ca="1">((SUBSIDIO!$L$249*SUBSIDIO!$Z$249)+(SUBSIDIO!$N$249*SUBSIDIO!$AA$249))*(0.03)/(1-0.03)</f>
        <v>866.09247431633491</v>
      </c>
      <c r="AF249" s="4" t="s">
        <v>652</v>
      </c>
    </row>
    <row r="250" spans="1:32" ht="11.25" customHeight="1" x14ac:dyDescent="0.25">
      <c r="A250" s="4" t="s">
        <v>27</v>
      </c>
      <c r="B250" s="4" t="s">
        <v>33</v>
      </c>
      <c r="C250" s="4" t="s">
        <v>23</v>
      </c>
      <c r="D250" s="4" t="s">
        <v>47</v>
      </c>
      <c r="E250" s="4" t="s">
        <v>48</v>
      </c>
      <c r="F250" s="4" t="s">
        <v>25</v>
      </c>
      <c r="G250" s="4" t="s">
        <v>25</v>
      </c>
      <c r="H250" s="4" t="s">
        <v>25</v>
      </c>
      <c r="I250" s="5">
        <v>44531</v>
      </c>
      <c r="J250" s="6">
        <v>0</v>
      </c>
      <c r="K250" s="128">
        <v>0</v>
      </c>
      <c r="L250" s="6">
        <v>-0.307</v>
      </c>
      <c r="M250" s="128">
        <v>-0.307</v>
      </c>
      <c r="N250" s="6">
        <v>-0.307</v>
      </c>
      <c r="O250" s="128">
        <v>-0.307</v>
      </c>
      <c r="P250" s="6">
        <v>0</v>
      </c>
      <c r="Q250" s="4" t="s">
        <v>26</v>
      </c>
      <c r="R250" s="4">
        <v>0</v>
      </c>
      <c r="S250" s="4">
        <v>0</v>
      </c>
      <c r="T250" s="4">
        <v>33</v>
      </c>
      <c r="U250" s="4">
        <v>85</v>
      </c>
      <c r="V250" s="128">
        <f>IF(ISERROR(VLOOKUP($S$250,'TAR FIN'!$A$1:$O$86,15,0)),0,VLOOKUP($S$250,'TAR FIN'!$A$1:$O$86,15,0))</f>
        <v>0</v>
      </c>
      <c r="W250" s="128">
        <f>IF(ISERROR(VLOOKUP($T$250,'TAR FIN'!$A$1:$O$86,15,0)),0,VLOOKUP($T$250,'TAR FIN'!$A$1:$O$86,15,0))*(1-0.06)</f>
        <v>318.19939999999997</v>
      </c>
      <c r="X250" s="128">
        <f>IF(ISERROR(VLOOKUP($U$250,'TAR FIN'!$A$1:$O$86,15,0)),0,VLOOKUP($U$250,'TAR FIN'!$A$1:$O$86,15,0))*(1-0.06)</f>
        <v>210.56939999999997</v>
      </c>
      <c r="Y250" s="128"/>
      <c r="Z250" s="128">
        <f ca="1">('TUSD BE'!$AM$48+'TUSD BF'!$AM$48+'TUSD CVA'!$AM$48)*1*(1-0.03)</f>
        <v>405.06067899468053</v>
      </c>
      <c r="AA250" s="128">
        <f>('TE BE'!$AB$39+'TE BF'!$AB$39+'TE CVA'!$AB$39)*1*(1-0.03)</f>
        <v>227.60445146555713</v>
      </c>
      <c r="AB250" s="128">
        <f>(SUBSIDIO!$J$250*SUBSIDIO!$V$250)*(0.06)/(1-0.06)</f>
        <v>0</v>
      </c>
      <c r="AC250" s="128">
        <f>((SUBSIDIO!$L$250*SUBSIDIO!$W$250)+(SUBSIDIO!$N$250*SUBSIDIO!$X$250))*(0.06)/(1-0.06)</f>
        <v>-10.361618399999998</v>
      </c>
      <c r="AD250" s="128">
        <f>(SUBSIDIO!$J$250*SUBSIDIO!$Y$250)*(0.03)/(1-0.03)</f>
        <v>0</v>
      </c>
      <c r="AE250" s="128">
        <f ca="1">((SUBSIDIO!$L$250*SUBSIDIO!$Z$250)+(SUBSIDIO!$N$250*SUBSIDIO!$AA$250))*(0.03)/(1-0.03)</f>
        <v>-6.0070575789059681</v>
      </c>
      <c r="AF250" s="4" t="s">
        <v>652</v>
      </c>
    </row>
    <row r="251" spans="1:32" ht="11.25" customHeight="1" x14ac:dyDescent="0.25">
      <c r="A251" s="4" t="s">
        <v>21</v>
      </c>
      <c r="B251" s="4" t="s">
        <v>33</v>
      </c>
      <c r="C251" s="4" t="s">
        <v>23</v>
      </c>
      <c r="D251" s="4" t="s">
        <v>47</v>
      </c>
      <c r="E251" s="4" t="s">
        <v>48</v>
      </c>
      <c r="F251" s="4" t="s">
        <v>25</v>
      </c>
      <c r="G251" s="4" t="s">
        <v>25</v>
      </c>
      <c r="H251" s="4" t="s">
        <v>25</v>
      </c>
      <c r="I251" s="5">
        <v>44562</v>
      </c>
      <c r="J251" s="6">
        <v>0</v>
      </c>
      <c r="K251" s="128">
        <v>0</v>
      </c>
      <c r="L251" s="6">
        <v>60.606000000000002</v>
      </c>
      <c r="M251" s="128">
        <v>60.606000000000002</v>
      </c>
      <c r="N251" s="6">
        <v>60.606000000000002</v>
      </c>
      <c r="O251" s="128">
        <v>60.606000000000002</v>
      </c>
      <c r="P251" s="6">
        <v>33</v>
      </c>
      <c r="Q251" s="4" t="s">
        <v>26</v>
      </c>
      <c r="R251" s="4">
        <v>0</v>
      </c>
      <c r="S251" s="4">
        <v>0</v>
      </c>
      <c r="T251" s="4">
        <v>33</v>
      </c>
      <c r="U251" s="4">
        <v>85</v>
      </c>
      <c r="V251" s="128">
        <f>IF(ISERROR(VLOOKUP($S$251,'TAR FIN'!$A$1:$O$86,15,0)),0,VLOOKUP($S$251,'TAR FIN'!$A$1:$O$86,15,0))</f>
        <v>0</v>
      </c>
      <c r="W251" s="128">
        <f>IF(ISERROR(VLOOKUP($T$251,'TAR FIN'!$A$1:$O$86,15,0)),0,VLOOKUP($T$251,'TAR FIN'!$A$1:$O$86,15,0))*(1-0.06)</f>
        <v>318.19939999999997</v>
      </c>
      <c r="X251" s="128">
        <f>IF(ISERROR(VLOOKUP($U$251,'TAR FIN'!$A$1:$O$86,15,0)),0,VLOOKUP($U$251,'TAR FIN'!$A$1:$O$86,15,0))*(1-0.06)</f>
        <v>210.56939999999997</v>
      </c>
      <c r="Y251" s="128"/>
      <c r="Z251" s="128">
        <f ca="1">('TUSD BE'!$AM$48+'TUSD BF'!$AM$48+'TUSD CVA'!$AM$48)*1*(1-0.03)</f>
        <v>405.06067899468053</v>
      </c>
      <c r="AA251" s="128">
        <f>('TE BE'!$AB$39+'TE BF'!$AB$39+'TE CVA'!$AB$39)*1*(1-0.03)</f>
        <v>227.60445146555713</v>
      </c>
      <c r="AB251" s="128">
        <f>(SUBSIDIO!$J$251*SUBSIDIO!$V$251)*(0.06)/(1-0.06)</f>
        <v>0</v>
      </c>
      <c r="AC251" s="128">
        <f>((SUBSIDIO!$L$251*SUBSIDIO!$W$251)+(SUBSIDIO!$N$251*SUBSIDIO!$X$251))*(0.06)/(1-0.06)</f>
        <v>2045.5252271999998</v>
      </c>
      <c r="AD251" s="128">
        <f>(SUBSIDIO!$J$251*SUBSIDIO!$Y$251)*(0.03)/(1-0.03)</f>
        <v>0</v>
      </c>
      <c r="AE251" s="128">
        <f ca="1">((SUBSIDIO!$L$251*SUBSIDIO!$Z$251)+(SUBSIDIO!$N$251*SUBSIDIO!$AA$251))*(0.03)/(1-0.03)</f>
        <v>1185.8753473197885</v>
      </c>
      <c r="AF251" s="4" t="s">
        <v>652</v>
      </c>
    </row>
    <row r="252" spans="1:32" ht="11.25" customHeight="1" x14ac:dyDescent="0.25">
      <c r="A252" s="4" t="s">
        <v>21</v>
      </c>
      <c r="B252" s="4" t="s">
        <v>33</v>
      </c>
      <c r="C252" s="4" t="s">
        <v>23</v>
      </c>
      <c r="D252" s="4" t="s">
        <v>47</v>
      </c>
      <c r="E252" s="4" t="s">
        <v>48</v>
      </c>
      <c r="F252" s="4" t="s">
        <v>25</v>
      </c>
      <c r="G252" s="4" t="s">
        <v>25</v>
      </c>
      <c r="H252" s="4" t="s">
        <v>25</v>
      </c>
      <c r="I252" s="5">
        <v>44593</v>
      </c>
      <c r="J252" s="6">
        <v>0</v>
      </c>
      <c r="K252" s="128">
        <v>0</v>
      </c>
      <c r="L252" s="6">
        <v>47.884999999999998</v>
      </c>
      <c r="M252" s="128">
        <v>47.884999999999998</v>
      </c>
      <c r="N252" s="6">
        <v>47.884999999999998</v>
      </c>
      <c r="O252" s="128">
        <v>47.884999999999998</v>
      </c>
      <c r="P252" s="6">
        <v>33</v>
      </c>
      <c r="Q252" s="4" t="s">
        <v>26</v>
      </c>
      <c r="R252" s="4">
        <v>0</v>
      </c>
      <c r="S252" s="4">
        <v>0</v>
      </c>
      <c r="T252" s="4">
        <v>33</v>
      </c>
      <c r="U252" s="4">
        <v>85</v>
      </c>
      <c r="V252" s="128">
        <f>IF(ISERROR(VLOOKUP($S$252,'TAR FIN'!$A$1:$O$86,15,0)),0,VLOOKUP($S$252,'TAR FIN'!$A$1:$O$86,15,0))</f>
        <v>0</v>
      </c>
      <c r="W252" s="128">
        <f>IF(ISERROR(VLOOKUP($T$252,'TAR FIN'!$A$1:$O$86,15,0)),0,VLOOKUP($T$252,'TAR FIN'!$A$1:$O$86,15,0))*(1-0.06)</f>
        <v>318.19939999999997</v>
      </c>
      <c r="X252" s="128">
        <f>IF(ISERROR(VLOOKUP($U$252,'TAR FIN'!$A$1:$O$86,15,0)),0,VLOOKUP($U$252,'TAR FIN'!$A$1:$O$86,15,0))*(1-0.06)</f>
        <v>210.56939999999997</v>
      </c>
      <c r="Y252" s="128"/>
      <c r="Z252" s="128">
        <f ca="1">('TUSD BE'!$AM$48+'TUSD BF'!$AM$48+'TUSD CVA'!$AM$48)*1*(1-0.03)</f>
        <v>405.06067899468053</v>
      </c>
      <c r="AA252" s="128">
        <f>('TE BE'!$AB$39+'TE BF'!$AB$39+'TE CVA'!$AB$39)*1*(1-0.03)</f>
        <v>227.60445146555713</v>
      </c>
      <c r="AB252" s="128">
        <f>(SUBSIDIO!$J$252*SUBSIDIO!$V$252)*(0.06)/(1-0.06)</f>
        <v>0</v>
      </c>
      <c r="AC252" s="128">
        <f>((SUBSIDIO!$L$252*SUBSIDIO!$W$252)+(SUBSIDIO!$N$252*SUBSIDIO!$X$252))*(0.06)/(1-0.06)</f>
        <v>1616.1762119999996</v>
      </c>
      <c r="AD252" s="128">
        <f>(SUBSIDIO!$J$252*SUBSIDIO!$Y$252)*(0.03)/(1-0.03)</f>
        <v>0</v>
      </c>
      <c r="AE252" s="128">
        <f ca="1">((SUBSIDIO!$L$252*SUBSIDIO!$Z$252)+(SUBSIDIO!$N$252*SUBSIDIO!$AA$252))*(0.03)/(1-0.03)</f>
        <v>936.96401356974684</v>
      </c>
      <c r="AF252" s="4" t="s">
        <v>652</v>
      </c>
    </row>
    <row r="253" spans="1:32" ht="11.25" customHeight="1" x14ac:dyDescent="0.25">
      <c r="A253" s="4" t="s">
        <v>21</v>
      </c>
      <c r="B253" s="4" t="s">
        <v>33</v>
      </c>
      <c r="C253" s="4" t="s">
        <v>23</v>
      </c>
      <c r="D253" s="4" t="s">
        <v>47</v>
      </c>
      <c r="E253" s="4" t="s">
        <v>48</v>
      </c>
      <c r="F253" s="4" t="s">
        <v>25</v>
      </c>
      <c r="G253" s="4" t="s">
        <v>25</v>
      </c>
      <c r="H253" s="4" t="s">
        <v>25</v>
      </c>
      <c r="I253" s="5">
        <v>44621</v>
      </c>
      <c r="J253" s="6">
        <v>0</v>
      </c>
      <c r="K253" s="128">
        <v>0</v>
      </c>
      <c r="L253" s="6">
        <v>66.007000000000005</v>
      </c>
      <c r="M253" s="128">
        <v>66.007000000000005</v>
      </c>
      <c r="N253" s="6">
        <v>66.007000000000005</v>
      </c>
      <c r="O253" s="128">
        <v>66.007000000000005</v>
      </c>
      <c r="P253" s="6">
        <v>33</v>
      </c>
      <c r="Q253" s="4" t="s">
        <v>26</v>
      </c>
      <c r="R253" s="4">
        <v>0</v>
      </c>
      <c r="S253" s="4">
        <v>0</v>
      </c>
      <c r="T253" s="4">
        <v>33</v>
      </c>
      <c r="U253" s="4">
        <v>85</v>
      </c>
      <c r="V253" s="128">
        <f>IF(ISERROR(VLOOKUP($S$253,'TAR FIN'!$A$1:$O$86,15,0)),0,VLOOKUP($S$253,'TAR FIN'!$A$1:$O$86,15,0))</f>
        <v>0</v>
      </c>
      <c r="W253" s="128">
        <f>IF(ISERROR(VLOOKUP($T$253,'TAR FIN'!$A$1:$O$86,15,0)),0,VLOOKUP($T$253,'TAR FIN'!$A$1:$O$86,15,0))*(1-0.06)</f>
        <v>318.19939999999997</v>
      </c>
      <c r="X253" s="128">
        <f>IF(ISERROR(VLOOKUP($U$253,'TAR FIN'!$A$1:$O$86,15,0)),0,VLOOKUP($U$253,'TAR FIN'!$A$1:$O$86,15,0))*(1-0.06)</f>
        <v>210.56939999999997</v>
      </c>
      <c r="Y253" s="128"/>
      <c r="Z253" s="128">
        <f ca="1">('TUSD BE'!$AM$48+'TUSD BF'!$AM$48+'TUSD CVA'!$AM$48)*1*(1-0.03)</f>
        <v>405.06067899468053</v>
      </c>
      <c r="AA253" s="128">
        <f>('TE BE'!$AB$39+'TE BF'!$AB$39+'TE CVA'!$AB$39)*1*(1-0.03)</f>
        <v>227.60445146555713</v>
      </c>
      <c r="AB253" s="128">
        <f>(SUBSIDIO!$J$253*SUBSIDIO!$V$253)*(0.06)/(1-0.06)</f>
        <v>0</v>
      </c>
      <c r="AC253" s="128">
        <f>((SUBSIDIO!$L$253*SUBSIDIO!$W$253)+(SUBSIDIO!$N$253*SUBSIDIO!$X$253))*(0.06)/(1-0.06)</f>
        <v>2227.8154584000004</v>
      </c>
      <c r="AD253" s="128">
        <f>(SUBSIDIO!$J$253*SUBSIDIO!$Y$253)*(0.03)/(1-0.03)</f>
        <v>0</v>
      </c>
      <c r="AE253" s="128">
        <f ca="1">((SUBSIDIO!$L$253*SUBSIDIO!$Z$253)+(SUBSIDIO!$N$253*SUBSIDIO!$AA$253))*(0.03)/(1-0.03)</f>
        <v>1291.5565133903788</v>
      </c>
      <c r="AF253" s="4" t="s">
        <v>652</v>
      </c>
    </row>
    <row r="254" spans="1:32" ht="11.25" customHeight="1" x14ac:dyDescent="0.25">
      <c r="A254" s="4" t="s">
        <v>21</v>
      </c>
      <c r="B254" s="4" t="s">
        <v>33</v>
      </c>
      <c r="C254" s="4" t="s">
        <v>23</v>
      </c>
      <c r="D254" s="4" t="s">
        <v>47</v>
      </c>
      <c r="E254" s="4" t="s">
        <v>48</v>
      </c>
      <c r="F254" s="4" t="s">
        <v>25</v>
      </c>
      <c r="G254" s="4" t="s">
        <v>25</v>
      </c>
      <c r="H254" s="4" t="s">
        <v>25</v>
      </c>
      <c r="I254" s="5">
        <v>44652</v>
      </c>
      <c r="J254" s="6">
        <v>0</v>
      </c>
      <c r="K254" s="128">
        <v>0</v>
      </c>
      <c r="L254" s="6">
        <v>49.927</v>
      </c>
      <c r="M254" s="128">
        <v>49.927</v>
      </c>
      <c r="N254" s="6">
        <v>49.927</v>
      </c>
      <c r="O254" s="128">
        <v>49.927</v>
      </c>
      <c r="P254" s="6">
        <v>37</v>
      </c>
      <c r="Q254" s="4" t="s">
        <v>26</v>
      </c>
      <c r="R254" s="4">
        <v>0</v>
      </c>
      <c r="S254" s="4">
        <v>0</v>
      </c>
      <c r="T254" s="4">
        <v>33</v>
      </c>
      <c r="U254" s="4">
        <v>85</v>
      </c>
      <c r="V254" s="128">
        <f>IF(ISERROR(VLOOKUP($S$254,'TAR FIN'!$A$1:$O$86,15,0)),0,VLOOKUP($S$254,'TAR FIN'!$A$1:$O$86,15,0))</f>
        <v>0</v>
      </c>
      <c r="W254" s="128">
        <f>IF(ISERROR(VLOOKUP($T$254,'TAR FIN'!$A$1:$O$86,15,0)),0,VLOOKUP($T$254,'TAR FIN'!$A$1:$O$86,15,0))*(1-0.06)</f>
        <v>318.19939999999997</v>
      </c>
      <c r="X254" s="128">
        <f>IF(ISERROR(VLOOKUP($U$254,'TAR FIN'!$A$1:$O$86,15,0)),0,VLOOKUP($U$254,'TAR FIN'!$A$1:$O$86,15,0))*(1-0.06)</f>
        <v>210.56939999999997</v>
      </c>
      <c r="Y254" s="128"/>
      <c r="Z254" s="128">
        <f ca="1">('TUSD BE'!$AM$48+'TUSD BF'!$AM$48+'TUSD CVA'!$AM$48)*1*(1-0.03)</f>
        <v>405.06067899468053</v>
      </c>
      <c r="AA254" s="128">
        <f>('TE BE'!$AB$39+'TE BF'!$AB$39+'TE CVA'!$AB$39)*1*(1-0.03)</f>
        <v>227.60445146555713</v>
      </c>
      <c r="AB254" s="128">
        <f>(SUBSIDIO!$J$254*SUBSIDIO!$V$254)*(0.06)/(1-0.06)</f>
        <v>0</v>
      </c>
      <c r="AC254" s="128">
        <f>((SUBSIDIO!$L$254*SUBSIDIO!$W$254)+(SUBSIDIO!$N$254*SUBSIDIO!$X$254))*(0.06)/(1-0.06)</f>
        <v>1685.0961623999997</v>
      </c>
      <c r="AD254" s="128">
        <f>(SUBSIDIO!$J$254*SUBSIDIO!$Y$254)*(0.03)/(1-0.03)</f>
        <v>0</v>
      </c>
      <c r="AE254" s="128">
        <f ca="1">((SUBSIDIO!$L$254*SUBSIDIO!$Z$254)+(SUBSIDIO!$N$254*SUBSIDIO!$AA$254))*(0.03)/(1-0.03)</f>
        <v>976.91975160273057</v>
      </c>
      <c r="AF254" s="4" t="s">
        <v>652</v>
      </c>
    </row>
    <row r="255" spans="1:32" ht="11.25" customHeight="1" x14ac:dyDescent="0.25">
      <c r="A255" s="4" t="s">
        <v>21</v>
      </c>
      <c r="B255" s="4" t="s">
        <v>33</v>
      </c>
      <c r="C255" s="4" t="s">
        <v>23</v>
      </c>
      <c r="D255" s="4" t="s">
        <v>47</v>
      </c>
      <c r="E255" s="4" t="s">
        <v>48</v>
      </c>
      <c r="F255" s="4" t="s">
        <v>25</v>
      </c>
      <c r="G255" s="4" t="s">
        <v>25</v>
      </c>
      <c r="H255" s="4" t="s">
        <v>25</v>
      </c>
      <c r="I255" s="5">
        <v>44682</v>
      </c>
      <c r="J255" s="6">
        <v>0</v>
      </c>
      <c r="K255" s="128">
        <v>0</v>
      </c>
      <c r="L255" s="6">
        <v>50.348999999999997</v>
      </c>
      <c r="M255" s="128">
        <v>50.348999999999997</v>
      </c>
      <c r="N255" s="6">
        <v>50.348999999999997</v>
      </c>
      <c r="O255" s="128">
        <v>50.348999999999997</v>
      </c>
      <c r="P255" s="6">
        <v>37</v>
      </c>
      <c r="Q255" s="4" t="s">
        <v>26</v>
      </c>
      <c r="R255" s="4">
        <v>0</v>
      </c>
      <c r="S255" s="4">
        <v>0</v>
      </c>
      <c r="T255" s="4">
        <v>33</v>
      </c>
      <c r="U255" s="4">
        <v>85</v>
      </c>
      <c r="V255" s="128">
        <f>IF(ISERROR(VLOOKUP($S$255,'TAR FIN'!$A$1:$O$86,15,0)),0,VLOOKUP($S$255,'TAR FIN'!$A$1:$O$86,15,0))</f>
        <v>0</v>
      </c>
      <c r="W255" s="128">
        <f>IF(ISERROR(VLOOKUP($T$255,'TAR FIN'!$A$1:$O$86,15,0)),0,VLOOKUP($T$255,'TAR FIN'!$A$1:$O$86,15,0))*(1-0.06)</f>
        <v>318.19939999999997</v>
      </c>
      <c r="X255" s="128">
        <f>IF(ISERROR(VLOOKUP($U$255,'TAR FIN'!$A$1:$O$86,15,0)),0,VLOOKUP($U$255,'TAR FIN'!$A$1:$O$86,15,0))*(1-0.06)</f>
        <v>210.56939999999997</v>
      </c>
      <c r="Y255" s="128"/>
      <c r="Z255" s="128">
        <f ca="1">('TUSD BE'!$AM$48+'TUSD BF'!$AM$48+'TUSD CVA'!$AM$48)*1*(1-0.03)</f>
        <v>405.06067899468053</v>
      </c>
      <c r="AA255" s="128">
        <f>('TE BE'!$AB$39+'TE BF'!$AB$39+'TE CVA'!$AB$39)*1*(1-0.03)</f>
        <v>227.60445146555713</v>
      </c>
      <c r="AB255" s="128">
        <f>(SUBSIDIO!$J$255*SUBSIDIO!$V$255)*(0.06)/(1-0.06)</f>
        <v>0</v>
      </c>
      <c r="AC255" s="128">
        <f>((SUBSIDIO!$L$255*SUBSIDIO!$W$255)+(SUBSIDIO!$N$255*SUBSIDIO!$X$255))*(0.06)/(1-0.06)</f>
        <v>1699.3391687999997</v>
      </c>
      <c r="AD255" s="128">
        <f>(SUBSIDIO!$J$255*SUBSIDIO!$Y$255)*(0.03)/(1-0.03)</f>
        <v>0</v>
      </c>
      <c r="AE255" s="128">
        <f ca="1">((SUBSIDIO!$L$255*SUBSIDIO!$Z$255)+(SUBSIDIO!$N$255*SUBSIDIO!$AA$255))*(0.03)/(1-0.03)</f>
        <v>985.1770099033763</v>
      </c>
      <c r="AF255" s="4" t="s">
        <v>652</v>
      </c>
    </row>
    <row r="256" spans="1:32" ht="11.25" customHeight="1" x14ac:dyDescent="0.25">
      <c r="A256" s="4" t="s">
        <v>21</v>
      </c>
      <c r="B256" s="4" t="s">
        <v>33</v>
      </c>
      <c r="C256" s="4" t="s">
        <v>23</v>
      </c>
      <c r="D256" s="4" t="s">
        <v>47</v>
      </c>
      <c r="E256" s="4" t="s">
        <v>48</v>
      </c>
      <c r="F256" s="4" t="s">
        <v>25</v>
      </c>
      <c r="G256" s="4" t="s">
        <v>25</v>
      </c>
      <c r="H256" s="4" t="s">
        <v>25</v>
      </c>
      <c r="I256" s="5">
        <v>44713</v>
      </c>
      <c r="J256" s="6">
        <v>0</v>
      </c>
      <c r="K256" s="128">
        <v>0</v>
      </c>
      <c r="L256" s="6">
        <v>45.19</v>
      </c>
      <c r="M256" s="128">
        <v>45.19</v>
      </c>
      <c r="N256" s="6">
        <v>45.19</v>
      </c>
      <c r="O256" s="128">
        <v>45.19</v>
      </c>
      <c r="P256" s="6">
        <v>37</v>
      </c>
      <c r="Q256" s="4" t="s">
        <v>26</v>
      </c>
      <c r="R256" s="4">
        <v>0</v>
      </c>
      <c r="S256" s="4">
        <v>0</v>
      </c>
      <c r="T256" s="4">
        <v>33</v>
      </c>
      <c r="U256" s="4">
        <v>85</v>
      </c>
      <c r="V256" s="128">
        <f>IF(ISERROR(VLOOKUP($S$256,'TAR FIN'!$A$1:$O$86,15,0)),0,VLOOKUP($S$256,'TAR FIN'!$A$1:$O$86,15,0))</f>
        <v>0</v>
      </c>
      <c r="W256" s="128">
        <f>IF(ISERROR(VLOOKUP($T$256,'TAR FIN'!$A$1:$O$86,15,0)),0,VLOOKUP($T$256,'TAR FIN'!$A$1:$O$86,15,0))*(1-0.06)</f>
        <v>318.19939999999997</v>
      </c>
      <c r="X256" s="128">
        <f>IF(ISERROR(VLOOKUP($U$256,'TAR FIN'!$A$1:$O$86,15,0)),0,VLOOKUP($U$256,'TAR FIN'!$A$1:$O$86,15,0))*(1-0.06)</f>
        <v>210.56939999999997</v>
      </c>
      <c r="Y256" s="128"/>
      <c r="Z256" s="128">
        <f ca="1">('TUSD BE'!$AM$48+'TUSD BF'!$AM$48+'TUSD CVA'!$AM$48)*1*(1-0.03)</f>
        <v>405.06067899468053</v>
      </c>
      <c r="AA256" s="128">
        <f>('TE BE'!$AB$39+'TE BF'!$AB$39+'TE CVA'!$AB$39)*1*(1-0.03)</f>
        <v>227.60445146555713</v>
      </c>
      <c r="AB256" s="128">
        <f>(SUBSIDIO!$J$256*SUBSIDIO!$V$256)*(0.06)/(1-0.06)</f>
        <v>0</v>
      </c>
      <c r="AC256" s="128">
        <f>((SUBSIDIO!$L$256*SUBSIDIO!$W$256)+(SUBSIDIO!$N$256*SUBSIDIO!$X$256))*(0.06)/(1-0.06)</f>
        <v>1525.2167279999999</v>
      </c>
      <c r="AD256" s="128">
        <f>(SUBSIDIO!$J$256*SUBSIDIO!$Y$256)*(0.03)/(1-0.03)</f>
        <v>0</v>
      </c>
      <c r="AE256" s="128">
        <f ca="1">((SUBSIDIO!$L$256*SUBSIDIO!$Z$256)+(SUBSIDIO!$N$256*SUBSIDIO!$AA$256))*(0.03)/(1-0.03)</f>
        <v>884.23104882983944</v>
      </c>
      <c r="AF256" s="4" t="s">
        <v>652</v>
      </c>
    </row>
    <row r="257" spans="1:32" ht="11.25" customHeight="1" x14ac:dyDescent="0.25">
      <c r="A257" s="4" t="s">
        <v>55</v>
      </c>
      <c r="B257" s="4" t="s">
        <v>33</v>
      </c>
      <c r="C257" s="4" t="s">
        <v>23</v>
      </c>
      <c r="D257" s="4" t="s">
        <v>47</v>
      </c>
      <c r="E257" s="4" t="s">
        <v>48</v>
      </c>
      <c r="F257" s="4" t="s">
        <v>25</v>
      </c>
      <c r="G257" s="4" t="s">
        <v>25</v>
      </c>
      <c r="H257" s="4" t="s">
        <v>25</v>
      </c>
      <c r="I257" s="5">
        <v>44743</v>
      </c>
      <c r="J257" s="6">
        <v>0</v>
      </c>
      <c r="K257" s="128">
        <v>0</v>
      </c>
      <c r="L257" s="6">
        <v>45.19</v>
      </c>
      <c r="M257" s="128">
        <v>45.19</v>
      </c>
      <c r="N257" s="6">
        <v>45.19</v>
      </c>
      <c r="O257" s="128">
        <v>45.19</v>
      </c>
      <c r="P257" s="6">
        <v>37</v>
      </c>
      <c r="Q257" s="4" t="s">
        <v>26</v>
      </c>
      <c r="R257" s="4">
        <v>0</v>
      </c>
      <c r="S257" s="4">
        <v>0</v>
      </c>
      <c r="T257" s="4">
        <v>33</v>
      </c>
      <c r="U257" s="4">
        <v>85</v>
      </c>
      <c r="V257" s="128">
        <f>IF(ISERROR(VLOOKUP($S$257,'TAR FIN'!$A$1:$O$86,15,0)),0,VLOOKUP($S$257,'TAR FIN'!$A$1:$O$86,15,0))</f>
        <v>0</v>
      </c>
      <c r="W257" s="128">
        <f>IF(ISERROR(VLOOKUP($T$257,'TAR FIN'!$A$1:$O$86,15,0)),0,VLOOKUP($T$257,'TAR FIN'!$A$1:$O$86,15,0))*(1-0.06)</f>
        <v>318.19939999999997</v>
      </c>
      <c r="X257" s="128">
        <f>IF(ISERROR(VLOOKUP($U$257,'TAR FIN'!$A$1:$O$86,15,0)),0,VLOOKUP($U$257,'TAR FIN'!$A$1:$O$86,15,0))*(1-0.06)</f>
        <v>210.56939999999997</v>
      </c>
      <c r="Y257" s="128"/>
      <c r="Z257" s="128">
        <f ca="1">('TUSD BE'!$AM$48+'TUSD BF'!$AM$48+'TUSD CVA'!$AM$48)*1*(1-0.03)</f>
        <v>405.06067899468053</v>
      </c>
      <c r="AA257" s="128">
        <f>('TE BE'!$AB$39+'TE BF'!$AB$39+'TE CVA'!$AB$39)*1*(1-0.03)</f>
        <v>227.60445146555713</v>
      </c>
      <c r="AB257" s="128">
        <f>(SUBSIDIO!$J$257*SUBSIDIO!$V$257)*(0.06)/(1-0.06)</f>
        <v>0</v>
      </c>
      <c r="AC257" s="128">
        <f>((SUBSIDIO!$L$257*SUBSIDIO!$W$257)+(SUBSIDIO!$N$257*SUBSIDIO!$X$257))*(0.06)/(1-0.06)</f>
        <v>1525.2167279999999</v>
      </c>
      <c r="AD257" s="128">
        <f>(SUBSIDIO!$J$257*SUBSIDIO!$Y$257)*(0.03)/(1-0.03)</f>
        <v>0</v>
      </c>
      <c r="AE257" s="128">
        <f ca="1">((SUBSIDIO!$L$257*SUBSIDIO!$Z$257)+(SUBSIDIO!$N$257*SUBSIDIO!$AA$257))*(0.03)/(1-0.03)</f>
        <v>884.23104882983944</v>
      </c>
      <c r="AF257" s="4" t="s">
        <v>652</v>
      </c>
    </row>
    <row r="258" spans="1:32" ht="11.25" customHeight="1" x14ac:dyDescent="0.25">
      <c r="V258" s="6"/>
      <c r="W258" s="6"/>
      <c r="X258" s="6"/>
      <c r="Y258" s="6"/>
      <c r="Z258" s="6"/>
      <c r="AA258" s="6"/>
      <c r="AB258" s="6"/>
      <c r="AC258" s="6"/>
      <c r="AD258" s="6"/>
      <c r="AE258" s="6"/>
    </row>
    <row r="259" spans="1:32" ht="11.25" customHeight="1" x14ac:dyDescent="0.25">
      <c r="V259" s="6"/>
      <c r="W259" s="6"/>
      <c r="X259" s="6"/>
      <c r="Y259" s="6"/>
      <c r="Z259" s="6"/>
      <c r="AA259" s="6"/>
      <c r="AB259" s="6"/>
      <c r="AC259" s="6"/>
      <c r="AD259" s="6"/>
      <c r="AE259" s="6"/>
    </row>
    <row r="260" spans="1:32" ht="11.25" customHeight="1" x14ac:dyDescent="0.25">
      <c r="V260" s="6"/>
      <c r="W260" s="6"/>
      <c r="X260" s="6"/>
      <c r="Y260" s="6"/>
      <c r="Z260" s="6"/>
      <c r="AA260" s="6"/>
      <c r="AB260" s="6"/>
      <c r="AC260" s="6"/>
      <c r="AD260" s="6"/>
      <c r="AE260" s="6"/>
    </row>
    <row r="261" spans="1:32" ht="11.25" customHeight="1" x14ac:dyDescent="0.25">
      <c r="V261" s="6"/>
      <c r="W261" s="6"/>
      <c r="X261" s="6"/>
      <c r="Y261" s="6"/>
      <c r="Z261" s="6"/>
      <c r="AA261" s="6"/>
      <c r="AB261" s="6"/>
      <c r="AC261" s="6"/>
      <c r="AD261" s="6"/>
      <c r="AE261" s="6"/>
    </row>
    <row r="262" spans="1:32" ht="11.25" customHeight="1" x14ac:dyDescent="0.25">
      <c r="V262" s="6"/>
      <c r="W262" s="6"/>
      <c r="X262" s="6"/>
      <c r="Y262" s="6"/>
      <c r="Z262" s="6"/>
      <c r="AA262" s="6"/>
      <c r="AB262" s="6"/>
      <c r="AC262" s="6"/>
      <c r="AD262" s="6"/>
      <c r="AE262" s="6"/>
    </row>
    <row r="263" spans="1:32" ht="11.25" customHeight="1" x14ac:dyDescent="0.25">
      <c r="V263" s="6"/>
      <c r="W263" s="6"/>
      <c r="X263" s="6"/>
      <c r="Y263" s="6"/>
      <c r="Z263" s="6"/>
      <c r="AA263" s="6"/>
      <c r="AB263" s="6"/>
      <c r="AC263" s="6"/>
      <c r="AD263" s="6"/>
      <c r="AE263" s="6"/>
    </row>
    <row r="264" spans="1:32" ht="11.25" customHeight="1" x14ac:dyDescent="0.25">
      <c r="V264" s="6"/>
      <c r="W264" s="6"/>
      <c r="X264" s="6"/>
      <c r="Y264" s="6"/>
      <c r="Z264" s="6"/>
      <c r="AA264" s="6"/>
      <c r="AB264" s="6"/>
      <c r="AC264" s="6"/>
      <c r="AD264" s="6"/>
      <c r="AE264" s="6"/>
    </row>
    <row r="265" spans="1:32" ht="11.25" customHeight="1" x14ac:dyDescent="0.25">
      <c r="V265" s="6"/>
      <c r="W265" s="6"/>
      <c r="X265" s="6"/>
      <c r="Y265" s="6"/>
      <c r="Z265" s="6"/>
      <c r="AA265" s="6"/>
      <c r="AB265" s="6"/>
      <c r="AC265" s="6"/>
      <c r="AD265" s="6"/>
      <c r="AE265" s="6"/>
    </row>
    <row r="266" spans="1:32" ht="11.25" customHeight="1" x14ac:dyDescent="0.25">
      <c r="V266" s="6"/>
      <c r="W266" s="6"/>
      <c r="X266" s="6"/>
      <c r="Y266" s="6"/>
      <c r="Z266" s="6"/>
      <c r="AA266" s="6"/>
      <c r="AB266" s="6"/>
      <c r="AC266" s="6"/>
      <c r="AD266" s="6"/>
      <c r="AE266" s="6"/>
    </row>
    <row r="267" spans="1:32" ht="11.25" customHeight="1" x14ac:dyDescent="0.25">
      <c r="V267" s="6"/>
      <c r="W267" s="6"/>
      <c r="X267" s="6"/>
      <c r="Y267" s="6"/>
      <c r="Z267" s="6"/>
      <c r="AA267" s="6"/>
      <c r="AB267" s="6"/>
      <c r="AC267" s="6"/>
      <c r="AD267" s="6"/>
      <c r="AE267" s="6"/>
    </row>
    <row r="268" spans="1:32" ht="11.25" customHeight="1" x14ac:dyDescent="0.25">
      <c r="V268" s="6"/>
      <c r="W268" s="6"/>
      <c r="X268" s="6"/>
      <c r="Y268" s="6"/>
      <c r="Z268" s="6"/>
      <c r="AA268" s="6"/>
      <c r="AB268" s="6"/>
      <c r="AC268" s="6"/>
      <c r="AD268" s="6"/>
      <c r="AE268" s="6"/>
    </row>
    <row r="269" spans="1:32" ht="11.25" customHeight="1" x14ac:dyDescent="0.25">
      <c r="V269" s="6"/>
      <c r="W269" s="6"/>
      <c r="X269" s="6"/>
      <c r="Y269" s="6"/>
      <c r="Z269" s="6"/>
      <c r="AA269" s="6"/>
      <c r="AB269" s="6"/>
      <c r="AC269" s="6"/>
      <c r="AD269" s="6"/>
      <c r="AE269" s="6"/>
    </row>
    <row r="270" spans="1:32" ht="11.25" customHeight="1" x14ac:dyDescent="0.25">
      <c r="V270" s="6"/>
      <c r="W270" s="6"/>
      <c r="X270" s="6"/>
      <c r="Y270" s="6"/>
      <c r="Z270" s="6"/>
      <c r="AA270" s="6"/>
      <c r="AB270" s="6"/>
      <c r="AC270" s="6"/>
      <c r="AD270" s="6"/>
      <c r="AE270" s="6"/>
    </row>
    <row r="271" spans="1:32" ht="11.25" customHeight="1" x14ac:dyDescent="0.25">
      <c r="V271" s="6"/>
      <c r="W271" s="6"/>
      <c r="X271" s="6"/>
      <c r="Y271" s="6"/>
      <c r="Z271" s="6"/>
      <c r="AA271" s="6"/>
      <c r="AB271" s="6"/>
      <c r="AC271" s="6"/>
      <c r="AD271" s="6"/>
      <c r="AE271" s="6"/>
    </row>
    <row r="272" spans="1:32" ht="11.25" customHeight="1" x14ac:dyDescent="0.25">
      <c r="V272" s="6"/>
      <c r="W272" s="6"/>
      <c r="X272" s="6"/>
      <c r="Y272" s="6"/>
      <c r="Z272" s="6"/>
      <c r="AA272" s="6"/>
      <c r="AB272" s="6"/>
      <c r="AC272" s="6"/>
      <c r="AD272" s="6"/>
      <c r="AE272" s="6"/>
    </row>
    <row r="273" spans="22:31" ht="11.25" customHeight="1" x14ac:dyDescent="0.25">
      <c r="V273" s="6"/>
      <c r="W273" s="6"/>
      <c r="X273" s="6"/>
      <c r="Y273" s="6"/>
      <c r="Z273" s="6"/>
      <c r="AA273" s="6"/>
      <c r="AB273" s="6"/>
      <c r="AC273" s="6"/>
      <c r="AD273" s="6"/>
      <c r="AE273" s="6"/>
    </row>
    <row r="274" spans="22:31" ht="11.25" customHeight="1" x14ac:dyDescent="0.25">
      <c r="V274" s="6"/>
      <c r="W274" s="6"/>
      <c r="X274" s="6"/>
      <c r="Y274" s="6"/>
      <c r="Z274" s="6"/>
      <c r="AA274" s="6"/>
      <c r="AB274" s="6"/>
      <c r="AC274" s="6"/>
      <c r="AD274" s="6"/>
      <c r="AE274" s="6"/>
    </row>
    <row r="275" spans="22:31" ht="11.25" customHeight="1" x14ac:dyDescent="0.25">
      <c r="V275" s="6"/>
      <c r="W275" s="6"/>
      <c r="X275" s="6"/>
      <c r="Y275" s="6"/>
      <c r="Z275" s="6"/>
      <c r="AA275" s="6"/>
      <c r="AB275" s="6"/>
      <c r="AC275" s="6"/>
      <c r="AD275" s="6"/>
      <c r="AE275" s="6"/>
    </row>
    <row r="276" spans="22:31" ht="11.25" customHeight="1" x14ac:dyDescent="0.25">
      <c r="V276" s="6"/>
      <c r="W276" s="6"/>
      <c r="X276" s="6"/>
      <c r="Y276" s="6"/>
      <c r="Z276" s="6"/>
      <c r="AA276" s="6"/>
      <c r="AB276" s="6"/>
      <c r="AC276" s="6"/>
      <c r="AD276" s="6"/>
      <c r="AE276" s="6"/>
    </row>
    <row r="277" spans="22:31" ht="11.25" customHeight="1" x14ac:dyDescent="0.25">
      <c r="V277" s="6"/>
      <c r="W277" s="6"/>
      <c r="X277" s="6"/>
      <c r="Y277" s="6"/>
      <c r="Z277" s="6"/>
      <c r="AA277" s="6"/>
      <c r="AB277" s="6"/>
      <c r="AC277" s="6"/>
      <c r="AD277" s="6"/>
      <c r="AE277" s="6"/>
    </row>
    <row r="278" spans="22:31" ht="11.25" customHeight="1" x14ac:dyDescent="0.25">
      <c r="V278" s="6"/>
      <c r="W278" s="6"/>
      <c r="X278" s="6"/>
      <c r="Y278" s="6"/>
      <c r="Z278" s="6"/>
      <c r="AA278" s="6"/>
      <c r="AB278" s="6"/>
      <c r="AC278" s="6"/>
      <c r="AD278" s="6"/>
      <c r="AE278" s="6"/>
    </row>
    <row r="279" spans="22:31" ht="11.25" customHeight="1" x14ac:dyDescent="0.25">
      <c r="V279" s="6"/>
      <c r="W279" s="6"/>
      <c r="X279" s="6"/>
      <c r="Y279" s="6"/>
      <c r="Z279" s="6"/>
      <c r="AA279" s="6"/>
      <c r="AB279" s="6"/>
      <c r="AC279" s="6"/>
      <c r="AD279" s="6"/>
      <c r="AE279" s="6"/>
    </row>
    <row r="280" spans="22:31" ht="11.25" customHeight="1" x14ac:dyDescent="0.25">
      <c r="V280" s="6"/>
      <c r="W280" s="6"/>
      <c r="X280" s="6"/>
      <c r="Y280" s="6"/>
      <c r="Z280" s="6"/>
      <c r="AA280" s="6"/>
      <c r="AB280" s="6"/>
      <c r="AC280" s="6"/>
      <c r="AD280" s="6"/>
      <c r="AE280" s="6"/>
    </row>
    <row r="281" spans="22:31" ht="11.25" customHeight="1" x14ac:dyDescent="0.25">
      <c r="V281" s="6"/>
      <c r="W281" s="6"/>
      <c r="X281" s="6"/>
      <c r="Y281" s="6"/>
      <c r="Z281" s="6"/>
      <c r="AA281" s="6"/>
      <c r="AB281" s="6"/>
      <c r="AC281" s="6"/>
      <c r="AD281" s="6"/>
      <c r="AE281" s="6"/>
    </row>
    <row r="282" spans="22:31" ht="11.25" customHeight="1" x14ac:dyDescent="0.25">
      <c r="V282" s="6"/>
      <c r="W282" s="6"/>
      <c r="X282" s="6"/>
      <c r="Y282" s="6"/>
      <c r="Z282" s="6"/>
      <c r="AA282" s="6"/>
      <c r="AB282" s="6"/>
      <c r="AC282" s="6"/>
      <c r="AD282" s="6"/>
      <c r="AE282" s="6"/>
    </row>
    <row r="283" spans="22:31" ht="11.25" customHeight="1" x14ac:dyDescent="0.25">
      <c r="V283" s="6"/>
      <c r="W283" s="6"/>
      <c r="X283" s="6"/>
      <c r="Y283" s="6"/>
      <c r="Z283" s="6"/>
      <c r="AA283" s="6"/>
      <c r="AB283" s="6"/>
      <c r="AC283" s="6"/>
      <c r="AD283" s="6"/>
      <c r="AE283" s="6"/>
    </row>
    <row r="284" spans="22:31" ht="11.25" customHeight="1" x14ac:dyDescent="0.25">
      <c r="V284" s="6"/>
      <c r="W284" s="6"/>
      <c r="X284" s="6"/>
      <c r="Y284" s="6"/>
      <c r="Z284" s="6"/>
      <c r="AA284" s="6"/>
      <c r="AB284" s="6"/>
      <c r="AC284" s="6"/>
      <c r="AD284" s="6"/>
      <c r="AE284" s="6"/>
    </row>
    <row r="285" spans="22:31" ht="11.25" customHeight="1" x14ac:dyDescent="0.25">
      <c r="V285" s="6"/>
      <c r="W285" s="6"/>
      <c r="X285" s="6"/>
      <c r="Y285" s="6"/>
      <c r="Z285" s="6"/>
      <c r="AA285" s="6"/>
      <c r="AB285" s="6"/>
      <c r="AC285" s="6"/>
      <c r="AD285" s="6"/>
      <c r="AE285" s="6"/>
    </row>
    <row r="286" spans="22:31" ht="11.25" customHeight="1" x14ac:dyDescent="0.25">
      <c r="V286" s="6"/>
      <c r="W286" s="6"/>
      <c r="X286" s="6"/>
      <c r="Y286" s="6"/>
      <c r="Z286" s="6"/>
      <c r="AA286" s="6"/>
      <c r="AB286" s="6"/>
      <c r="AC286" s="6"/>
      <c r="AD286" s="6"/>
      <c r="AE286" s="6"/>
    </row>
    <row r="287" spans="22:31" ht="11.25" customHeight="1" x14ac:dyDescent="0.25">
      <c r="V287" s="6"/>
      <c r="W287" s="6"/>
      <c r="X287" s="6"/>
      <c r="Y287" s="6"/>
      <c r="Z287" s="6"/>
      <c r="AA287" s="6"/>
      <c r="AB287" s="6"/>
      <c r="AC287" s="6"/>
      <c r="AD287" s="6"/>
      <c r="AE287" s="6"/>
    </row>
    <row r="288" spans="22:31" ht="11.25" customHeight="1" x14ac:dyDescent="0.25">
      <c r="V288" s="6"/>
      <c r="W288" s="6"/>
      <c r="X288" s="6"/>
      <c r="Y288" s="6"/>
      <c r="Z288" s="6"/>
      <c r="AA288" s="6"/>
      <c r="AB288" s="6"/>
      <c r="AC288" s="6"/>
      <c r="AD288" s="6"/>
      <c r="AE288" s="6"/>
    </row>
    <row r="289" spans="22:31" ht="11.25" customHeight="1" x14ac:dyDescent="0.25">
      <c r="V289" s="6"/>
      <c r="W289" s="6"/>
      <c r="X289" s="6"/>
      <c r="Y289" s="6"/>
      <c r="Z289" s="6"/>
      <c r="AA289" s="6"/>
      <c r="AB289" s="6"/>
      <c r="AC289" s="6"/>
      <c r="AD289" s="6"/>
      <c r="AE289" s="6"/>
    </row>
    <row r="290" spans="22:31" ht="11.25" customHeight="1" x14ac:dyDescent="0.25">
      <c r="V290" s="6"/>
      <c r="W290" s="6"/>
      <c r="X290" s="6"/>
      <c r="Y290" s="6"/>
      <c r="Z290" s="6"/>
      <c r="AA290" s="6"/>
      <c r="AB290" s="6"/>
      <c r="AC290" s="6"/>
      <c r="AD290" s="6"/>
      <c r="AE290" s="6"/>
    </row>
    <row r="291" spans="22:31" ht="11.25" customHeight="1" x14ac:dyDescent="0.25">
      <c r="V291" s="6"/>
      <c r="W291" s="6"/>
      <c r="X291" s="6"/>
      <c r="Y291" s="6"/>
      <c r="Z291" s="6"/>
      <c r="AA291" s="6"/>
      <c r="AB291" s="6"/>
      <c r="AC291" s="6"/>
      <c r="AD291" s="6"/>
      <c r="AE291" s="6"/>
    </row>
    <row r="292" spans="22:31" ht="11.25" customHeight="1" x14ac:dyDescent="0.25">
      <c r="V292" s="6"/>
      <c r="W292" s="6"/>
      <c r="X292" s="6"/>
      <c r="Y292" s="6"/>
      <c r="Z292" s="6"/>
      <c r="AA292" s="6"/>
      <c r="AB292" s="6"/>
      <c r="AC292" s="6"/>
      <c r="AD292" s="6"/>
      <c r="AE292" s="6"/>
    </row>
    <row r="293" spans="22:31" ht="11.25" customHeight="1" x14ac:dyDescent="0.25">
      <c r="V293" s="6"/>
      <c r="W293" s="6"/>
      <c r="X293" s="6"/>
      <c r="Y293" s="6"/>
      <c r="Z293" s="6"/>
      <c r="AA293" s="6"/>
      <c r="AB293" s="6"/>
      <c r="AC293" s="6"/>
      <c r="AD293" s="6"/>
      <c r="AE293" s="6"/>
    </row>
    <row r="294" spans="22:31" ht="11.25" customHeight="1" x14ac:dyDescent="0.25">
      <c r="V294" s="6"/>
      <c r="W294" s="6"/>
      <c r="X294" s="6"/>
      <c r="Y294" s="6"/>
      <c r="Z294" s="6"/>
      <c r="AA294" s="6"/>
      <c r="AB294" s="6"/>
      <c r="AC294" s="6"/>
      <c r="AD294" s="6"/>
      <c r="AE294" s="6"/>
    </row>
    <row r="295" spans="22:31" ht="11.25" customHeight="1" x14ac:dyDescent="0.25">
      <c r="V295" s="6"/>
      <c r="W295" s="6"/>
      <c r="X295" s="6"/>
      <c r="Y295" s="6"/>
      <c r="Z295" s="6"/>
      <c r="AA295" s="6"/>
      <c r="AB295" s="6"/>
      <c r="AC295" s="6"/>
      <c r="AD295" s="6"/>
      <c r="AE295" s="6"/>
    </row>
    <row r="296" spans="22:31" ht="11.25" customHeight="1" x14ac:dyDescent="0.25">
      <c r="V296" s="6"/>
      <c r="W296" s="6"/>
      <c r="X296" s="6"/>
      <c r="Y296" s="6"/>
      <c r="Z296" s="6"/>
      <c r="AA296" s="6"/>
      <c r="AB296" s="6"/>
      <c r="AC296" s="6"/>
      <c r="AD296" s="6"/>
      <c r="AE296" s="6"/>
    </row>
    <row r="297" spans="22:31" ht="11.25" customHeight="1" x14ac:dyDescent="0.25">
      <c r="V297" s="6"/>
      <c r="W297" s="6"/>
      <c r="X297" s="6"/>
      <c r="Y297" s="6"/>
      <c r="Z297" s="6"/>
      <c r="AA297" s="6"/>
      <c r="AB297" s="6"/>
      <c r="AC297" s="6"/>
      <c r="AD297" s="6"/>
      <c r="AE297" s="6"/>
    </row>
    <row r="298" spans="22:31" ht="11.25" customHeight="1" x14ac:dyDescent="0.25">
      <c r="V298" s="6"/>
      <c r="W298" s="6"/>
      <c r="X298" s="6"/>
      <c r="Y298" s="6"/>
      <c r="Z298" s="6"/>
      <c r="AA298" s="6"/>
      <c r="AB298" s="6"/>
      <c r="AC298" s="6"/>
      <c r="AD298" s="6"/>
      <c r="AE298" s="6"/>
    </row>
    <row r="299" spans="22:31" ht="11.25" customHeight="1" x14ac:dyDescent="0.25">
      <c r="V299" s="6"/>
      <c r="W299" s="6"/>
      <c r="X299" s="6"/>
      <c r="Y299" s="6"/>
      <c r="Z299" s="6"/>
      <c r="AA299" s="6"/>
      <c r="AB299" s="6"/>
      <c r="AC299" s="6"/>
      <c r="AD299" s="6"/>
      <c r="AE299" s="6"/>
    </row>
    <row r="300" spans="22:31" ht="11.25" customHeight="1" x14ac:dyDescent="0.25">
      <c r="V300" s="6"/>
      <c r="W300" s="6"/>
      <c r="X300" s="6"/>
      <c r="Y300" s="6"/>
      <c r="Z300" s="6"/>
      <c r="AA300" s="6"/>
      <c r="AB300" s="6"/>
      <c r="AC300" s="6"/>
      <c r="AD300" s="6"/>
      <c r="AE300" s="6"/>
    </row>
    <row r="301" spans="22:31" ht="11.25" customHeight="1" x14ac:dyDescent="0.25">
      <c r="V301" s="6"/>
      <c r="W301" s="6"/>
      <c r="X301" s="6"/>
      <c r="Y301" s="6"/>
      <c r="Z301" s="6"/>
      <c r="AA301" s="6"/>
      <c r="AB301" s="6"/>
      <c r="AC301" s="6"/>
      <c r="AD301" s="6"/>
      <c r="AE301" s="6"/>
    </row>
    <row r="302" spans="22:31" ht="11.25" customHeight="1" x14ac:dyDescent="0.25">
      <c r="V302" s="6"/>
      <c r="W302" s="6"/>
      <c r="X302" s="6"/>
      <c r="Y302" s="6"/>
      <c r="Z302" s="6"/>
      <c r="AA302" s="6"/>
      <c r="AB302" s="6"/>
      <c r="AC302" s="6"/>
      <c r="AD302" s="6"/>
      <c r="AE302" s="6"/>
    </row>
    <row r="303" spans="22:31" ht="11.25" customHeight="1" x14ac:dyDescent="0.25">
      <c r="V303" s="6"/>
      <c r="W303" s="6"/>
      <c r="X303" s="6"/>
      <c r="Y303" s="6"/>
      <c r="Z303" s="6"/>
      <c r="AA303" s="6"/>
      <c r="AB303" s="6"/>
      <c r="AC303" s="6"/>
      <c r="AD303" s="6"/>
      <c r="AE303" s="6"/>
    </row>
    <row r="304" spans="22:31" ht="11.25" customHeight="1" x14ac:dyDescent="0.25">
      <c r="V304" s="6"/>
      <c r="W304" s="6"/>
      <c r="X304" s="6"/>
      <c r="Y304" s="6"/>
      <c r="Z304" s="6"/>
      <c r="AA304" s="6"/>
      <c r="AB304" s="6"/>
      <c r="AC304" s="6"/>
      <c r="AD304" s="6"/>
      <c r="AE304" s="6"/>
    </row>
    <row r="305" spans="22:31" ht="11.25" customHeight="1" x14ac:dyDescent="0.25">
      <c r="V305" s="6"/>
      <c r="W305" s="6"/>
      <c r="X305" s="6"/>
      <c r="Y305" s="6"/>
      <c r="Z305" s="6"/>
      <c r="AA305" s="6"/>
      <c r="AB305" s="6"/>
      <c r="AC305" s="6"/>
      <c r="AD305" s="6"/>
      <c r="AE305" s="6"/>
    </row>
    <row r="306" spans="22:31" ht="11.25" customHeight="1" x14ac:dyDescent="0.25">
      <c r="V306" s="6"/>
      <c r="W306" s="6"/>
      <c r="X306" s="6"/>
      <c r="Y306" s="6"/>
      <c r="Z306" s="6"/>
      <c r="AA306" s="6"/>
      <c r="AB306" s="6"/>
      <c r="AC306" s="6"/>
      <c r="AD306" s="6"/>
      <c r="AE306" s="6"/>
    </row>
    <row r="307" spans="22:31" ht="11.25" customHeight="1" x14ac:dyDescent="0.25">
      <c r="V307" s="6"/>
      <c r="W307" s="6"/>
      <c r="X307" s="6"/>
      <c r="Y307" s="6"/>
      <c r="Z307" s="6"/>
      <c r="AA307" s="6"/>
      <c r="AB307" s="6"/>
      <c r="AC307" s="6"/>
      <c r="AD307" s="6"/>
      <c r="AE307" s="6"/>
    </row>
    <row r="308" spans="22:31" ht="11.25" customHeight="1" x14ac:dyDescent="0.25">
      <c r="V308" s="6"/>
      <c r="W308" s="6"/>
      <c r="X308" s="6"/>
      <c r="Y308" s="6"/>
      <c r="Z308" s="6"/>
      <c r="AA308" s="6"/>
      <c r="AB308" s="6"/>
      <c r="AC308" s="6"/>
      <c r="AD308" s="6"/>
      <c r="AE308" s="6"/>
    </row>
    <row r="309" spans="22:31" ht="11.25" customHeight="1" x14ac:dyDescent="0.25">
      <c r="V309" s="6"/>
      <c r="W309" s="6"/>
      <c r="X309" s="6"/>
      <c r="Y309" s="6"/>
      <c r="Z309" s="6"/>
      <c r="AA309" s="6"/>
      <c r="AB309" s="6"/>
      <c r="AC309" s="6"/>
      <c r="AD309" s="6"/>
      <c r="AE309" s="6"/>
    </row>
    <row r="310" spans="22:31" ht="11.25" customHeight="1" x14ac:dyDescent="0.25">
      <c r="V310" s="6"/>
      <c r="W310" s="6"/>
      <c r="X310" s="6"/>
      <c r="Y310" s="6"/>
      <c r="Z310" s="6"/>
      <c r="AA310" s="6"/>
      <c r="AB310" s="6"/>
      <c r="AC310" s="6"/>
      <c r="AD310" s="6"/>
      <c r="AE310" s="6"/>
    </row>
    <row r="311" spans="22:31" ht="11.25" customHeight="1" x14ac:dyDescent="0.25">
      <c r="V311" s="6"/>
      <c r="W311" s="6"/>
      <c r="X311" s="6"/>
      <c r="Y311" s="6"/>
      <c r="Z311" s="6"/>
      <c r="AA311" s="6"/>
      <c r="AB311" s="6"/>
      <c r="AC311" s="6"/>
      <c r="AD311" s="6"/>
      <c r="AE311" s="6"/>
    </row>
    <row r="312" spans="22:31" ht="11.25" customHeight="1" x14ac:dyDescent="0.25">
      <c r="V312" s="6"/>
      <c r="W312" s="6"/>
      <c r="X312" s="6"/>
      <c r="Y312" s="6"/>
      <c r="Z312" s="6"/>
      <c r="AA312" s="6"/>
      <c r="AB312" s="6"/>
      <c r="AC312" s="6"/>
      <c r="AD312" s="6"/>
      <c r="AE312" s="6"/>
    </row>
    <row r="313" spans="22:31" ht="11.25" customHeight="1" x14ac:dyDescent="0.25">
      <c r="V313" s="6"/>
      <c r="W313" s="6"/>
      <c r="X313" s="6"/>
      <c r="Y313" s="6"/>
      <c r="Z313" s="6"/>
      <c r="AA313" s="6"/>
      <c r="AB313" s="6"/>
      <c r="AC313" s="6"/>
      <c r="AD313" s="6"/>
      <c r="AE313" s="6"/>
    </row>
    <row r="314" spans="22:31" ht="11.25" customHeight="1" x14ac:dyDescent="0.25">
      <c r="V314" s="6"/>
      <c r="W314" s="6"/>
      <c r="X314" s="6"/>
      <c r="Y314" s="6"/>
      <c r="Z314" s="6"/>
      <c r="AA314" s="6"/>
      <c r="AB314" s="6"/>
      <c r="AC314" s="6"/>
      <c r="AD314" s="6"/>
      <c r="AE314" s="6"/>
    </row>
    <row r="315" spans="22:31" ht="11.25" customHeight="1" x14ac:dyDescent="0.25">
      <c r="V315" s="6"/>
      <c r="W315" s="6"/>
      <c r="X315" s="6"/>
      <c r="Y315" s="6"/>
      <c r="Z315" s="6"/>
      <c r="AA315" s="6"/>
      <c r="AB315" s="6"/>
      <c r="AC315" s="6"/>
      <c r="AD315" s="6"/>
      <c r="AE315" s="6"/>
    </row>
    <row r="316" spans="22:31" ht="11.25" customHeight="1" x14ac:dyDescent="0.25">
      <c r="V316" s="6"/>
      <c r="W316" s="6"/>
      <c r="X316" s="6"/>
      <c r="Y316" s="6"/>
      <c r="Z316" s="6"/>
      <c r="AA316" s="6"/>
      <c r="AB316" s="6"/>
      <c r="AC316" s="6"/>
      <c r="AD316" s="6"/>
      <c r="AE316" s="6"/>
    </row>
    <row r="317" spans="22:31" ht="11.25" customHeight="1" x14ac:dyDescent="0.25">
      <c r="V317" s="6"/>
      <c r="W317" s="6"/>
      <c r="X317" s="6"/>
      <c r="Y317" s="6"/>
      <c r="Z317" s="6"/>
      <c r="AA317" s="6"/>
      <c r="AB317" s="6"/>
      <c r="AC317" s="6"/>
      <c r="AD317" s="6"/>
      <c r="AE317" s="6"/>
    </row>
    <row r="318" spans="22:31" ht="11.25" customHeight="1" x14ac:dyDescent="0.25">
      <c r="V318" s="6"/>
      <c r="W318" s="6"/>
      <c r="X318" s="6"/>
      <c r="Y318" s="6"/>
      <c r="Z318" s="6"/>
      <c r="AA318" s="6"/>
      <c r="AB318" s="6"/>
      <c r="AC318" s="6"/>
      <c r="AD318" s="6"/>
      <c r="AE318" s="6"/>
    </row>
    <row r="319" spans="22:31" ht="11.25" customHeight="1" x14ac:dyDescent="0.25">
      <c r="V319" s="6"/>
      <c r="W319" s="6"/>
      <c r="X319" s="6"/>
      <c r="Y319" s="6"/>
      <c r="Z319" s="6"/>
      <c r="AA319" s="6"/>
      <c r="AB319" s="6"/>
      <c r="AC319" s="6"/>
      <c r="AD319" s="6"/>
      <c r="AE319" s="6"/>
    </row>
    <row r="320" spans="22:31" ht="11.25" customHeight="1" x14ac:dyDescent="0.25">
      <c r="V320" s="6"/>
      <c r="W320" s="6"/>
      <c r="X320" s="6"/>
      <c r="Y320" s="6"/>
      <c r="Z320" s="6"/>
      <c r="AA320" s="6"/>
      <c r="AB320" s="6"/>
      <c r="AC320" s="6"/>
      <c r="AD320" s="6"/>
      <c r="AE320" s="6"/>
    </row>
    <row r="321" spans="22:31" ht="11.25" customHeight="1" x14ac:dyDescent="0.25">
      <c r="V321" s="6"/>
      <c r="W321" s="6"/>
      <c r="X321" s="6"/>
      <c r="Y321" s="6"/>
      <c r="Z321" s="6"/>
      <c r="AA321" s="6"/>
      <c r="AB321" s="6"/>
      <c r="AC321" s="6"/>
      <c r="AD321" s="6"/>
      <c r="AE321" s="6"/>
    </row>
    <row r="322" spans="22:31" ht="11.25" customHeight="1" x14ac:dyDescent="0.25">
      <c r="V322" s="6"/>
      <c r="W322" s="6"/>
      <c r="X322" s="6"/>
      <c r="Y322" s="6"/>
      <c r="Z322" s="6"/>
      <c r="AA322" s="6"/>
      <c r="AB322" s="6"/>
      <c r="AC322" s="6"/>
      <c r="AD322" s="6"/>
      <c r="AE322" s="6"/>
    </row>
    <row r="323" spans="22:31" ht="11.25" customHeight="1" x14ac:dyDescent="0.25">
      <c r="V323" s="6"/>
      <c r="W323" s="6"/>
      <c r="X323" s="6"/>
      <c r="Y323" s="6"/>
      <c r="Z323" s="6"/>
      <c r="AA323" s="6"/>
      <c r="AB323" s="6"/>
      <c r="AC323" s="6"/>
      <c r="AD323" s="6"/>
      <c r="AE323" s="6"/>
    </row>
    <row r="324" spans="22:31" ht="11.25" customHeight="1" x14ac:dyDescent="0.25">
      <c r="V324" s="6"/>
      <c r="W324" s="6"/>
      <c r="X324" s="6"/>
      <c r="Y324" s="6"/>
      <c r="Z324" s="6"/>
      <c r="AA324" s="6"/>
      <c r="AB324" s="6"/>
      <c r="AC324" s="6"/>
      <c r="AD324" s="6"/>
      <c r="AE324" s="6"/>
    </row>
    <row r="325" spans="22:31" ht="11.25" customHeight="1" x14ac:dyDescent="0.25">
      <c r="V325" s="6"/>
      <c r="W325" s="6"/>
      <c r="X325" s="6"/>
      <c r="Y325" s="6"/>
      <c r="Z325" s="6"/>
      <c r="AA325" s="6"/>
      <c r="AB325" s="6"/>
      <c r="AC325" s="6"/>
      <c r="AD325" s="6"/>
      <c r="AE325" s="6"/>
    </row>
    <row r="326" spans="22:31" ht="11.25" customHeight="1" x14ac:dyDescent="0.25">
      <c r="V326" s="6"/>
      <c r="W326" s="6"/>
      <c r="X326" s="6"/>
      <c r="Y326" s="6"/>
      <c r="Z326" s="6"/>
      <c r="AA326" s="6"/>
      <c r="AB326" s="6"/>
      <c r="AC326" s="6"/>
      <c r="AD326" s="6"/>
      <c r="AE326" s="6"/>
    </row>
    <row r="327" spans="22:31" ht="11.25" customHeight="1" x14ac:dyDescent="0.25">
      <c r="V327" s="6"/>
      <c r="W327" s="6"/>
      <c r="X327" s="6"/>
      <c r="Y327" s="6"/>
      <c r="Z327" s="6"/>
      <c r="AA327" s="6"/>
      <c r="AB327" s="6"/>
      <c r="AC327" s="6"/>
      <c r="AD327" s="6"/>
      <c r="AE327" s="6"/>
    </row>
    <row r="328" spans="22:31" ht="11.25" customHeight="1" x14ac:dyDescent="0.25">
      <c r="V328" s="6"/>
      <c r="W328" s="6"/>
      <c r="X328" s="6"/>
      <c r="Y328" s="6"/>
      <c r="Z328" s="6"/>
      <c r="AA328" s="6"/>
      <c r="AB328" s="6"/>
      <c r="AC328" s="6"/>
      <c r="AD328" s="6"/>
      <c r="AE328" s="6"/>
    </row>
    <row r="329" spans="22:31" ht="11.25" customHeight="1" x14ac:dyDescent="0.25">
      <c r="V329" s="6"/>
      <c r="W329" s="6"/>
      <c r="X329" s="6"/>
      <c r="Y329" s="6"/>
      <c r="Z329" s="6"/>
      <c r="AA329" s="6"/>
      <c r="AB329" s="6"/>
      <c r="AC329" s="6"/>
      <c r="AD329" s="6"/>
      <c r="AE329" s="6"/>
    </row>
    <row r="330" spans="22:31" ht="11.25" customHeight="1" x14ac:dyDescent="0.25">
      <c r="V330" s="6"/>
      <c r="W330" s="6"/>
      <c r="X330" s="6"/>
      <c r="Y330" s="6"/>
      <c r="Z330" s="6"/>
      <c r="AA330" s="6"/>
      <c r="AB330" s="6"/>
      <c r="AC330" s="6"/>
      <c r="AD330" s="6"/>
      <c r="AE330" s="6"/>
    </row>
    <row r="331" spans="22:31" ht="11.25" customHeight="1" x14ac:dyDescent="0.25">
      <c r="V331" s="6"/>
      <c r="W331" s="6"/>
      <c r="X331" s="6"/>
      <c r="Y331" s="6"/>
      <c r="Z331" s="6"/>
      <c r="AA331" s="6"/>
      <c r="AB331" s="6"/>
      <c r="AC331" s="6"/>
      <c r="AD331" s="6"/>
      <c r="AE331" s="6"/>
    </row>
    <row r="332" spans="22:31" ht="11.25" customHeight="1" x14ac:dyDescent="0.25">
      <c r="V332" s="6"/>
      <c r="W332" s="6"/>
      <c r="X332" s="6"/>
      <c r="Y332" s="6"/>
      <c r="Z332" s="6"/>
      <c r="AA332" s="6"/>
      <c r="AB332" s="6"/>
      <c r="AC332" s="6"/>
      <c r="AD332" s="6"/>
      <c r="AE332" s="6"/>
    </row>
    <row r="333" spans="22:31" ht="11.25" customHeight="1" x14ac:dyDescent="0.25">
      <c r="V333" s="6"/>
      <c r="W333" s="6"/>
      <c r="X333" s="6"/>
      <c r="Y333" s="6"/>
      <c r="Z333" s="6"/>
      <c r="AA333" s="6"/>
      <c r="AB333" s="6"/>
      <c r="AC333" s="6"/>
      <c r="AD333" s="6"/>
      <c r="AE333" s="6"/>
    </row>
    <row r="334" spans="22:31" ht="11.25" customHeight="1" x14ac:dyDescent="0.25">
      <c r="V334" s="6"/>
      <c r="W334" s="6"/>
      <c r="X334" s="6"/>
      <c r="Y334" s="6"/>
      <c r="Z334" s="6"/>
      <c r="AA334" s="6"/>
      <c r="AB334" s="6"/>
      <c r="AC334" s="6"/>
      <c r="AD334" s="6"/>
      <c r="AE334" s="6"/>
    </row>
    <row r="335" spans="22:31" ht="11.25" customHeight="1" x14ac:dyDescent="0.25">
      <c r="V335" s="6"/>
      <c r="W335" s="6"/>
      <c r="X335" s="6"/>
      <c r="Y335" s="6"/>
      <c r="Z335" s="6"/>
      <c r="AA335" s="6"/>
      <c r="AB335" s="6"/>
      <c r="AC335" s="6"/>
      <c r="AD335" s="6"/>
      <c r="AE335" s="6"/>
    </row>
    <row r="336" spans="22:31" ht="11.25" customHeight="1" x14ac:dyDescent="0.25">
      <c r="V336" s="6"/>
      <c r="W336" s="6"/>
      <c r="X336" s="6"/>
      <c r="Y336" s="6"/>
      <c r="Z336" s="6"/>
      <c r="AA336" s="6"/>
      <c r="AB336" s="6"/>
      <c r="AC336" s="6"/>
      <c r="AD336" s="6"/>
      <c r="AE336" s="6"/>
    </row>
    <row r="337" spans="22:31" ht="11.25" customHeight="1" x14ac:dyDescent="0.25">
      <c r="V337" s="6"/>
      <c r="W337" s="6"/>
      <c r="X337" s="6"/>
      <c r="Y337" s="6"/>
      <c r="Z337" s="6"/>
      <c r="AA337" s="6"/>
      <c r="AB337" s="6"/>
      <c r="AC337" s="6"/>
      <c r="AD337" s="6"/>
      <c r="AE337" s="6"/>
    </row>
    <row r="338" spans="22:31" ht="11.25" customHeight="1" x14ac:dyDescent="0.25">
      <c r="V338" s="6"/>
      <c r="W338" s="6"/>
      <c r="X338" s="6"/>
      <c r="Y338" s="6"/>
      <c r="Z338" s="6"/>
      <c r="AA338" s="6"/>
      <c r="AB338" s="6"/>
      <c r="AC338" s="6"/>
      <c r="AD338" s="6"/>
      <c r="AE338" s="6"/>
    </row>
    <row r="339" spans="22:31" ht="11.25" customHeight="1" x14ac:dyDescent="0.25">
      <c r="V339" s="6"/>
      <c r="W339" s="6"/>
      <c r="X339" s="6"/>
      <c r="Y339" s="6"/>
      <c r="Z339" s="6"/>
      <c r="AA339" s="6"/>
      <c r="AB339" s="6"/>
      <c r="AC339" s="6"/>
      <c r="AD339" s="6"/>
      <c r="AE339" s="6"/>
    </row>
    <row r="340" spans="22:31" ht="11.25" customHeight="1" x14ac:dyDescent="0.25">
      <c r="V340" s="6"/>
      <c r="W340" s="6"/>
      <c r="X340" s="6"/>
      <c r="Y340" s="6"/>
      <c r="Z340" s="6"/>
      <c r="AA340" s="6"/>
      <c r="AB340" s="6"/>
      <c r="AC340" s="6"/>
      <c r="AD340" s="6"/>
      <c r="AE340" s="6"/>
    </row>
    <row r="341" spans="22:31" ht="11.25" customHeight="1" x14ac:dyDescent="0.25">
      <c r="V341" s="6"/>
      <c r="W341" s="6"/>
      <c r="X341" s="6"/>
      <c r="Y341" s="6"/>
      <c r="Z341" s="6"/>
      <c r="AA341" s="6"/>
      <c r="AB341" s="6"/>
      <c r="AC341" s="6"/>
      <c r="AD341" s="6"/>
      <c r="AE341" s="6"/>
    </row>
    <row r="342" spans="22:31" ht="11.25" customHeight="1" x14ac:dyDescent="0.25">
      <c r="V342" s="6"/>
      <c r="W342" s="6"/>
      <c r="X342" s="6"/>
      <c r="Y342" s="6"/>
      <c r="Z342" s="6"/>
      <c r="AA342" s="6"/>
      <c r="AB342" s="6"/>
      <c r="AC342" s="6"/>
      <c r="AD342" s="6"/>
      <c r="AE342" s="6"/>
    </row>
    <row r="343" spans="22:31" ht="11.25" customHeight="1" x14ac:dyDescent="0.25">
      <c r="V343" s="6"/>
      <c r="W343" s="6"/>
      <c r="X343" s="6"/>
      <c r="Y343" s="6"/>
      <c r="Z343" s="6"/>
      <c r="AA343" s="6"/>
      <c r="AB343" s="6"/>
      <c r="AC343" s="6"/>
      <c r="AD343" s="6"/>
      <c r="AE343" s="6"/>
    </row>
    <row r="344" spans="22:31" ht="11.25" customHeight="1" x14ac:dyDescent="0.25">
      <c r="V344" s="6"/>
      <c r="W344" s="6"/>
      <c r="X344" s="6"/>
      <c r="Y344" s="6"/>
      <c r="Z344" s="6"/>
      <c r="AA344" s="6"/>
      <c r="AB344" s="6"/>
      <c r="AC344" s="6"/>
      <c r="AD344" s="6"/>
      <c r="AE344" s="6"/>
    </row>
    <row r="345" spans="22:31" ht="11.25" customHeight="1" x14ac:dyDescent="0.25">
      <c r="V345" s="6"/>
      <c r="W345" s="6"/>
      <c r="X345" s="6"/>
      <c r="Y345" s="6"/>
      <c r="Z345" s="6"/>
      <c r="AA345" s="6"/>
      <c r="AB345" s="6"/>
      <c r="AC345" s="6"/>
      <c r="AD345" s="6"/>
      <c r="AE345" s="6"/>
    </row>
    <row r="346" spans="22:31" ht="11.25" customHeight="1" x14ac:dyDescent="0.25">
      <c r="V346" s="6"/>
      <c r="W346" s="6"/>
      <c r="X346" s="6"/>
      <c r="Y346" s="6"/>
      <c r="Z346" s="6"/>
      <c r="AA346" s="6"/>
      <c r="AB346" s="6"/>
      <c r="AC346" s="6"/>
      <c r="AD346" s="6"/>
      <c r="AE346" s="6"/>
    </row>
    <row r="347" spans="22:31" ht="11.25" customHeight="1" x14ac:dyDescent="0.25">
      <c r="V347" s="6"/>
      <c r="W347" s="6"/>
      <c r="X347" s="6"/>
      <c r="Y347" s="6"/>
      <c r="Z347" s="6"/>
      <c r="AA347" s="6"/>
      <c r="AB347" s="6"/>
      <c r="AC347" s="6"/>
      <c r="AD347" s="6"/>
      <c r="AE347" s="6"/>
    </row>
    <row r="348" spans="22:31" ht="11.25" customHeight="1" x14ac:dyDescent="0.25">
      <c r="V348" s="6"/>
      <c r="W348" s="6"/>
      <c r="X348" s="6"/>
      <c r="Y348" s="6"/>
      <c r="Z348" s="6"/>
      <c r="AA348" s="6"/>
      <c r="AB348" s="6"/>
      <c r="AC348" s="6"/>
      <c r="AD348" s="6"/>
      <c r="AE348" s="6"/>
    </row>
    <row r="349" spans="22:31" ht="11.25" customHeight="1" x14ac:dyDescent="0.25">
      <c r="V349" s="6"/>
      <c r="W349" s="6"/>
      <c r="X349" s="6"/>
      <c r="Y349" s="6"/>
      <c r="Z349" s="6"/>
      <c r="AA349" s="6"/>
      <c r="AB349" s="6"/>
      <c r="AC349" s="6"/>
      <c r="AD349" s="6"/>
      <c r="AE349" s="6"/>
    </row>
    <row r="350" spans="22:31" ht="11.25" customHeight="1" x14ac:dyDescent="0.25">
      <c r="V350" s="6"/>
      <c r="W350" s="6"/>
      <c r="X350" s="6"/>
      <c r="Y350" s="6"/>
      <c r="Z350" s="6"/>
      <c r="AA350" s="6"/>
      <c r="AB350" s="6"/>
      <c r="AC350" s="6"/>
      <c r="AD350" s="6"/>
      <c r="AE350" s="6"/>
    </row>
    <row r="351" spans="22:31" ht="11.25" customHeight="1" x14ac:dyDescent="0.25">
      <c r="V351" s="6"/>
      <c r="W351" s="6"/>
      <c r="X351" s="6"/>
      <c r="Y351" s="6"/>
      <c r="Z351" s="6"/>
      <c r="AA351" s="6"/>
      <c r="AB351" s="6"/>
      <c r="AC351" s="6"/>
      <c r="AD351" s="6"/>
      <c r="AE351" s="6"/>
    </row>
    <row r="352" spans="22:31" ht="11.25" customHeight="1" x14ac:dyDescent="0.25">
      <c r="V352" s="6"/>
      <c r="W352" s="6"/>
      <c r="X352" s="6"/>
      <c r="Y352" s="6"/>
      <c r="Z352" s="6"/>
      <c r="AA352" s="6"/>
      <c r="AB352" s="6"/>
      <c r="AC352" s="6"/>
      <c r="AD352" s="6"/>
      <c r="AE352" s="6"/>
    </row>
    <row r="353" spans="22:31" ht="11.25" customHeight="1" x14ac:dyDescent="0.25">
      <c r="V353" s="6"/>
      <c r="W353" s="6"/>
      <c r="X353" s="6"/>
      <c r="Y353" s="6"/>
      <c r="Z353" s="6"/>
      <c r="AA353" s="6"/>
      <c r="AB353" s="6"/>
      <c r="AC353" s="6"/>
      <c r="AD353" s="6"/>
      <c r="AE353" s="6"/>
    </row>
    <row r="354" spans="22:31" ht="11.25" customHeight="1" x14ac:dyDescent="0.25">
      <c r="V354" s="6"/>
      <c r="W354" s="6"/>
      <c r="X354" s="6"/>
      <c r="Y354" s="6"/>
      <c r="Z354" s="6"/>
      <c r="AA354" s="6"/>
      <c r="AB354" s="6"/>
      <c r="AC354" s="6"/>
      <c r="AD354" s="6"/>
      <c r="AE354" s="6"/>
    </row>
    <row r="355" spans="22:31" ht="11.25" customHeight="1" x14ac:dyDescent="0.25">
      <c r="V355" s="6"/>
      <c r="W355" s="6"/>
      <c r="X355" s="6"/>
      <c r="Y355" s="6"/>
      <c r="Z355" s="6"/>
      <c r="AA355" s="6"/>
      <c r="AB355" s="6"/>
      <c r="AC355" s="6"/>
      <c r="AD355" s="6"/>
      <c r="AE355" s="6"/>
    </row>
    <row r="356" spans="22:31" ht="11.25" customHeight="1" x14ac:dyDescent="0.25">
      <c r="V356" s="6"/>
      <c r="W356" s="6"/>
      <c r="X356" s="6"/>
      <c r="Y356" s="6"/>
      <c r="Z356" s="6"/>
      <c r="AA356" s="6"/>
      <c r="AB356" s="6"/>
      <c r="AC356" s="6"/>
      <c r="AD356" s="6"/>
      <c r="AE356" s="6"/>
    </row>
    <row r="357" spans="22:31" ht="11.25" customHeight="1" x14ac:dyDescent="0.25">
      <c r="V357" s="6"/>
      <c r="W357" s="6"/>
      <c r="X357" s="6"/>
      <c r="Y357" s="6"/>
      <c r="Z357" s="6"/>
      <c r="AA357" s="6"/>
      <c r="AB357" s="6"/>
      <c r="AC357" s="6"/>
      <c r="AD357" s="6"/>
      <c r="AE357" s="6"/>
    </row>
    <row r="358" spans="22:31" ht="11.25" customHeight="1" x14ac:dyDescent="0.25">
      <c r="V358" s="6"/>
      <c r="W358" s="6"/>
      <c r="X358" s="6"/>
      <c r="Y358" s="6"/>
      <c r="Z358" s="6"/>
      <c r="AA358" s="6"/>
      <c r="AB358" s="6"/>
      <c r="AC358" s="6"/>
      <c r="AD358" s="6"/>
      <c r="AE358" s="6"/>
    </row>
    <row r="359" spans="22:31" ht="11.25" customHeight="1" x14ac:dyDescent="0.25">
      <c r="V359" s="6"/>
      <c r="W359" s="6"/>
      <c r="X359" s="6"/>
      <c r="Y359" s="6"/>
      <c r="Z359" s="6"/>
      <c r="AA359" s="6"/>
      <c r="AB359" s="6"/>
      <c r="AC359" s="6"/>
      <c r="AD359" s="6"/>
      <c r="AE359" s="6"/>
    </row>
    <row r="360" spans="22:31" ht="11.25" customHeight="1" x14ac:dyDescent="0.25">
      <c r="V360" s="6"/>
      <c r="W360" s="6"/>
      <c r="X360" s="6"/>
      <c r="Y360" s="6"/>
      <c r="Z360" s="6"/>
      <c r="AA360" s="6"/>
      <c r="AB360" s="6"/>
      <c r="AC360" s="6"/>
      <c r="AD360" s="6"/>
      <c r="AE360" s="6"/>
    </row>
    <row r="361" spans="22:31" ht="11.25" customHeight="1" x14ac:dyDescent="0.25">
      <c r="V361" s="6"/>
      <c r="W361" s="6"/>
      <c r="X361" s="6"/>
      <c r="Y361" s="6"/>
      <c r="Z361" s="6"/>
      <c r="AA361" s="6"/>
      <c r="AB361" s="6"/>
      <c r="AC361" s="6"/>
      <c r="AD361" s="6"/>
      <c r="AE361" s="6"/>
    </row>
    <row r="362" spans="22:31" ht="11.25" customHeight="1" x14ac:dyDescent="0.25">
      <c r="V362" s="6"/>
      <c r="W362" s="6"/>
      <c r="X362" s="6"/>
      <c r="Y362" s="6"/>
      <c r="Z362" s="6"/>
      <c r="AA362" s="6"/>
      <c r="AB362" s="6"/>
      <c r="AC362" s="6"/>
      <c r="AD362" s="6"/>
      <c r="AE362" s="6"/>
    </row>
    <row r="363" spans="22:31" ht="11.25" customHeight="1" x14ac:dyDescent="0.25">
      <c r="V363" s="6"/>
      <c r="W363" s="6"/>
      <c r="X363" s="6"/>
      <c r="Y363" s="6"/>
      <c r="Z363" s="6"/>
      <c r="AA363" s="6"/>
      <c r="AB363" s="6"/>
      <c r="AC363" s="6"/>
      <c r="AD363" s="6"/>
      <c r="AE363" s="6"/>
    </row>
    <row r="364" spans="22:31" ht="11.25" customHeight="1" x14ac:dyDescent="0.25">
      <c r="V364" s="6"/>
      <c r="W364" s="6"/>
      <c r="X364" s="6"/>
      <c r="Y364" s="6"/>
      <c r="Z364" s="6"/>
      <c r="AA364" s="6"/>
      <c r="AB364" s="6"/>
      <c r="AC364" s="6"/>
      <c r="AD364" s="6"/>
      <c r="AE364" s="6"/>
    </row>
    <row r="365" spans="22:31" ht="11.25" customHeight="1" x14ac:dyDescent="0.25">
      <c r="V365" s="6"/>
      <c r="W365" s="6"/>
      <c r="X365" s="6"/>
      <c r="Y365" s="6"/>
      <c r="Z365" s="6"/>
      <c r="AA365" s="6"/>
      <c r="AB365" s="6"/>
      <c r="AC365" s="6"/>
      <c r="AD365" s="6"/>
      <c r="AE365" s="6"/>
    </row>
    <row r="366" spans="22:31" ht="11.25" customHeight="1" x14ac:dyDescent="0.25">
      <c r="V366" s="6"/>
      <c r="W366" s="6"/>
      <c r="X366" s="6"/>
      <c r="Y366" s="6"/>
      <c r="Z366" s="6"/>
      <c r="AA366" s="6"/>
      <c r="AB366" s="6"/>
      <c r="AC366" s="6"/>
      <c r="AD366" s="6"/>
      <c r="AE366" s="6"/>
    </row>
    <row r="367" spans="22:31" ht="11.25" customHeight="1" x14ac:dyDescent="0.25">
      <c r="V367" s="6"/>
      <c r="W367" s="6"/>
      <c r="X367" s="6"/>
      <c r="Y367" s="6"/>
      <c r="Z367" s="6"/>
      <c r="AA367" s="6"/>
      <c r="AB367" s="6"/>
      <c r="AC367" s="6"/>
      <c r="AD367" s="6"/>
      <c r="AE367" s="6"/>
    </row>
    <row r="368" spans="22:31" ht="11.25" customHeight="1" x14ac:dyDescent="0.25">
      <c r="V368" s="6"/>
      <c r="W368" s="6"/>
      <c r="X368" s="6"/>
      <c r="Y368" s="6"/>
      <c r="Z368" s="6"/>
      <c r="AA368" s="6"/>
      <c r="AB368" s="6"/>
      <c r="AC368" s="6"/>
      <c r="AD368" s="6"/>
      <c r="AE368" s="6"/>
    </row>
    <row r="369" spans="22:31" ht="11.25" customHeight="1" x14ac:dyDescent="0.25">
      <c r="V369" s="6"/>
      <c r="W369" s="6"/>
      <c r="X369" s="6"/>
      <c r="Y369" s="6"/>
      <c r="Z369" s="6"/>
      <c r="AA369" s="6"/>
      <c r="AB369" s="6"/>
      <c r="AC369" s="6"/>
      <c r="AD369" s="6"/>
      <c r="AE369" s="6"/>
    </row>
    <row r="370" spans="22:31" ht="11.25" customHeight="1" x14ac:dyDescent="0.25">
      <c r="V370" s="6"/>
      <c r="W370" s="6"/>
      <c r="X370" s="6"/>
      <c r="Y370" s="6"/>
      <c r="Z370" s="6"/>
      <c r="AA370" s="6"/>
      <c r="AB370" s="6"/>
      <c r="AC370" s="6"/>
      <c r="AD370" s="6"/>
      <c r="AE370" s="6"/>
    </row>
    <row r="371" spans="22:31" ht="11.25" customHeight="1" x14ac:dyDescent="0.25">
      <c r="V371" s="6"/>
      <c r="W371" s="6"/>
      <c r="X371" s="6"/>
      <c r="Y371" s="6"/>
      <c r="Z371" s="6"/>
      <c r="AA371" s="6"/>
      <c r="AB371" s="6"/>
      <c r="AC371" s="6"/>
      <c r="AD371" s="6"/>
      <c r="AE371" s="6"/>
    </row>
    <row r="372" spans="22:31" ht="11.25" customHeight="1" x14ac:dyDescent="0.25">
      <c r="V372" s="6"/>
      <c r="W372" s="6"/>
      <c r="X372" s="6"/>
      <c r="Y372" s="6"/>
      <c r="Z372" s="6"/>
      <c r="AA372" s="6"/>
      <c r="AB372" s="6"/>
      <c r="AC372" s="6"/>
      <c r="AD372" s="6"/>
      <c r="AE372" s="6"/>
    </row>
    <row r="373" spans="22:31" ht="11.25" customHeight="1" x14ac:dyDescent="0.25">
      <c r="V373" s="6"/>
      <c r="W373" s="6"/>
      <c r="X373" s="6"/>
      <c r="Y373" s="6"/>
      <c r="Z373" s="6"/>
      <c r="AA373" s="6"/>
      <c r="AB373" s="6"/>
      <c r="AC373" s="6"/>
      <c r="AD373" s="6"/>
      <c r="AE373" s="6"/>
    </row>
    <row r="374" spans="22:31" ht="11.25" customHeight="1" x14ac:dyDescent="0.25">
      <c r="V374" s="6"/>
      <c r="W374" s="6"/>
      <c r="X374" s="6"/>
      <c r="Y374" s="6"/>
      <c r="Z374" s="6"/>
      <c r="AA374" s="6"/>
      <c r="AB374" s="6"/>
      <c r="AC374" s="6"/>
      <c r="AD374" s="6"/>
      <c r="AE374" s="6"/>
    </row>
    <row r="375" spans="22:31" ht="11.25" customHeight="1" x14ac:dyDescent="0.25">
      <c r="V375" s="6"/>
      <c r="W375" s="6"/>
      <c r="X375" s="6"/>
      <c r="Y375" s="6"/>
      <c r="Z375" s="6"/>
      <c r="AA375" s="6"/>
      <c r="AB375" s="6"/>
      <c r="AC375" s="6"/>
      <c r="AD375" s="6"/>
      <c r="AE375" s="6"/>
    </row>
    <row r="376" spans="22:31" ht="11.25" customHeight="1" x14ac:dyDescent="0.25">
      <c r="V376" s="6"/>
      <c r="W376" s="6"/>
      <c r="X376" s="6"/>
      <c r="Y376" s="6"/>
      <c r="Z376" s="6"/>
      <c r="AA376" s="6"/>
      <c r="AB376" s="6"/>
      <c r="AC376" s="6"/>
      <c r="AD376" s="6"/>
      <c r="AE376" s="6"/>
    </row>
    <row r="377" spans="22:31" ht="11.25" customHeight="1" x14ac:dyDescent="0.25">
      <c r="V377" s="6"/>
      <c r="W377" s="6"/>
      <c r="X377" s="6"/>
      <c r="Y377" s="6"/>
      <c r="Z377" s="6"/>
      <c r="AA377" s="6"/>
      <c r="AB377" s="6"/>
      <c r="AC377" s="6"/>
      <c r="AD377" s="6"/>
      <c r="AE377" s="6"/>
    </row>
    <row r="378" spans="22:31" ht="11.25" customHeight="1" x14ac:dyDescent="0.25">
      <c r="V378" s="6"/>
      <c r="W378" s="6"/>
      <c r="X378" s="6"/>
      <c r="Y378" s="6"/>
      <c r="Z378" s="6"/>
      <c r="AA378" s="6"/>
      <c r="AB378" s="6"/>
      <c r="AC378" s="6"/>
      <c r="AD378" s="6"/>
      <c r="AE378" s="6"/>
    </row>
    <row r="379" spans="22:31" ht="11.25" customHeight="1" x14ac:dyDescent="0.25">
      <c r="V379" s="6"/>
      <c r="W379" s="6"/>
      <c r="X379" s="6"/>
      <c r="Y379" s="6"/>
      <c r="Z379" s="6"/>
      <c r="AA379" s="6"/>
      <c r="AB379" s="6"/>
      <c r="AC379" s="6"/>
      <c r="AD379" s="6"/>
      <c r="AE379" s="6"/>
    </row>
    <row r="380" spans="22:31" ht="11.25" customHeight="1" x14ac:dyDescent="0.25">
      <c r="V380" s="6"/>
      <c r="W380" s="6"/>
      <c r="X380" s="6"/>
      <c r="Y380" s="6"/>
      <c r="Z380" s="6"/>
      <c r="AA380" s="6"/>
      <c r="AB380" s="6"/>
      <c r="AC380" s="6"/>
      <c r="AD380" s="6"/>
      <c r="AE380" s="6"/>
    </row>
    <row r="381" spans="22:31" ht="11.25" customHeight="1" x14ac:dyDescent="0.25">
      <c r="V381" s="6"/>
      <c r="W381" s="6"/>
      <c r="X381" s="6"/>
      <c r="Y381" s="6"/>
      <c r="Z381" s="6"/>
      <c r="AA381" s="6"/>
      <c r="AB381" s="6"/>
      <c r="AC381" s="6"/>
      <c r="AD381" s="6"/>
      <c r="AE381" s="6"/>
    </row>
    <row r="382" spans="22:31" ht="11.25" customHeight="1" x14ac:dyDescent="0.25">
      <c r="V382" s="6"/>
      <c r="W382" s="6"/>
      <c r="X382" s="6"/>
      <c r="Y382" s="6"/>
      <c r="Z382" s="6"/>
      <c r="AA382" s="6"/>
      <c r="AB382" s="6"/>
      <c r="AC382" s="6"/>
      <c r="AD382" s="6"/>
      <c r="AE382" s="6"/>
    </row>
    <row r="383" spans="22:31" ht="11.25" customHeight="1" x14ac:dyDescent="0.25">
      <c r="V383" s="6"/>
      <c r="W383" s="6"/>
      <c r="X383" s="6"/>
      <c r="Y383" s="6"/>
      <c r="Z383" s="6"/>
      <c r="AA383" s="6"/>
      <c r="AB383" s="6"/>
      <c r="AC383" s="6"/>
      <c r="AD383" s="6"/>
      <c r="AE383" s="6"/>
    </row>
    <row r="384" spans="22:31" ht="11.25" customHeight="1" x14ac:dyDescent="0.25">
      <c r="V384" s="6"/>
      <c r="W384" s="6"/>
      <c r="X384" s="6"/>
      <c r="Y384" s="6"/>
      <c r="Z384" s="6"/>
      <c r="AA384" s="6"/>
      <c r="AB384" s="6"/>
      <c r="AC384" s="6"/>
      <c r="AD384" s="6"/>
      <c r="AE384" s="6"/>
    </row>
    <row r="385" spans="22:31" ht="11.25" customHeight="1" x14ac:dyDescent="0.25">
      <c r="V385" s="6"/>
      <c r="W385" s="6"/>
      <c r="X385" s="6"/>
      <c r="Y385" s="6"/>
      <c r="Z385" s="6"/>
      <c r="AA385" s="6"/>
      <c r="AB385" s="6"/>
      <c r="AC385" s="6"/>
      <c r="AD385" s="6"/>
      <c r="AE385" s="6"/>
    </row>
    <row r="386" spans="22:31" ht="11.25" customHeight="1" x14ac:dyDescent="0.25">
      <c r="V386" s="6"/>
      <c r="W386" s="6"/>
      <c r="X386" s="6"/>
      <c r="Y386" s="6"/>
      <c r="Z386" s="6"/>
      <c r="AA386" s="6"/>
      <c r="AB386" s="6"/>
      <c r="AC386" s="6"/>
      <c r="AD386" s="6"/>
      <c r="AE386" s="6"/>
    </row>
    <row r="387" spans="22:31" ht="11.25" customHeight="1" x14ac:dyDescent="0.25">
      <c r="V387" s="6"/>
      <c r="W387" s="6"/>
      <c r="X387" s="6"/>
      <c r="Y387" s="6"/>
      <c r="Z387" s="6"/>
      <c r="AA387" s="6"/>
      <c r="AB387" s="6"/>
      <c r="AC387" s="6"/>
      <c r="AD387" s="6"/>
      <c r="AE387" s="6"/>
    </row>
    <row r="388" spans="22:31" ht="11.25" customHeight="1" x14ac:dyDescent="0.25">
      <c r="V388" s="6"/>
      <c r="W388" s="6"/>
      <c r="X388" s="6"/>
      <c r="Y388" s="6"/>
      <c r="Z388" s="6"/>
      <c r="AA388" s="6"/>
      <c r="AB388" s="6"/>
      <c r="AC388" s="6"/>
      <c r="AD388" s="6"/>
      <c r="AE388" s="6"/>
    </row>
    <row r="389" spans="22:31" ht="11.25" customHeight="1" x14ac:dyDescent="0.25">
      <c r="V389" s="6"/>
      <c r="W389" s="6"/>
      <c r="X389" s="6"/>
      <c r="Y389" s="6"/>
      <c r="Z389" s="6"/>
      <c r="AA389" s="6"/>
      <c r="AB389" s="6"/>
      <c r="AC389" s="6"/>
      <c r="AD389" s="6"/>
      <c r="AE389" s="6"/>
    </row>
    <row r="390" spans="22:31" ht="11.25" customHeight="1" x14ac:dyDescent="0.25">
      <c r="V390" s="6"/>
      <c r="W390" s="6"/>
      <c r="X390" s="6"/>
      <c r="Y390" s="6"/>
      <c r="Z390" s="6"/>
      <c r="AA390" s="6"/>
      <c r="AB390" s="6"/>
      <c r="AC390" s="6"/>
      <c r="AD390" s="6"/>
      <c r="AE390" s="6"/>
    </row>
    <row r="391" spans="22:31" ht="11.25" customHeight="1" x14ac:dyDescent="0.25">
      <c r="V391" s="6"/>
      <c r="W391" s="6"/>
      <c r="X391" s="6"/>
      <c r="Y391" s="6"/>
      <c r="Z391" s="6"/>
      <c r="AA391" s="6"/>
      <c r="AB391" s="6"/>
      <c r="AC391" s="6"/>
      <c r="AD391" s="6"/>
      <c r="AE391" s="6"/>
    </row>
    <row r="392" spans="22:31" ht="11.25" customHeight="1" x14ac:dyDescent="0.25">
      <c r="V392" s="6"/>
      <c r="W392" s="6"/>
      <c r="X392" s="6"/>
      <c r="Y392" s="6"/>
      <c r="Z392" s="6"/>
      <c r="AA392" s="6"/>
      <c r="AB392" s="6"/>
      <c r="AC392" s="6"/>
      <c r="AD392" s="6"/>
      <c r="AE392" s="6"/>
    </row>
    <row r="393" spans="22:31" ht="11.25" customHeight="1" x14ac:dyDescent="0.25">
      <c r="V393" s="6"/>
      <c r="W393" s="6"/>
      <c r="X393" s="6"/>
      <c r="Y393" s="6"/>
      <c r="Z393" s="6"/>
      <c r="AA393" s="6"/>
      <c r="AB393" s="6"/>
      <c r="AC393" s="6"/>
      <c r="AD393" s="6"/>
      <c r="AE393" s="6"/>
    </row>
    <row r="394" spans="22:31" ht="11.25" customHeight="1" x14ac:dyDescent="0.25">
      <c r="V394" s="6"/>
      <c r="W394" s="6"/>
      <c r="X394" s="6"/>
      <c r="Y394" s="6"/>
      <c r="Z394" s="6"/>
      <c r="AA394" s="6"/>
      <c r="AB394" s="6"/>
      <c r="AC394" s="6"/>
      <c r="AD394" s="6"/>
      <c r="AE394" s="6"/>
    </row>
    <row r="395" spans="22:31" ht="11.25" customHeight="1" x14ac:dyDescent="0.25">
      <c r="V395" s="6"/>
      <c r="W395" s="6"/>
      <c r="X395" s="6"/>
      <c r="Y395" s="6"/>
      <c r="Z395" s="6"/>
      <c r="AA395" s="6"/>
      <c r="AB395" s="6"/>
      <c r="AC395" s="6"/>
      <c r="AD395" s="6"/>
      <c r="AE395" s="6"/>
    </row>
    <row r="396" spans="22:31" ht="11.25" customHeight="1" x14ac:dyDescent="0.25">
      <c r="V396" s="6"/>
      <c r="W396" s="6"/>
      <c r="X396" s="6"/>
      <c r="Y396" s="6"/>
      <c r="Z396" s="6"/>
      <c r="AA396" s="6"/>
      <c r="AB396" s="6"/>
      <c r="AC396" s="6"/>
      <c r="AD396" s="6"/>
      <c r="AE396" s="6"/>
    </row>
    <row r="397" spans="22:31" ht="11.25" customHeight="1" x14ac:dyDescent="0.25">
      <c r="V397" s="6"/>
      <c r="W397" s="6"/>
      <c r="X397" s="6"/>
      <c r="Y397" s="6"/>
      <c r="Z397" s="6"/>
      <c r="AA397" s="6"/>
      <c r="AB397" s="6"/>
      <c r="AC397" s="6"/>
      <c r="AD397" s="6"/>
      <c r="AE397" s="6"/>
    </row>
    <row r="398" spans="22:31" ht="11.25" customHeight="1" x14ac:dyDescent="0.25">
      <c r="V398" s="6"/>
      <c r="W398" s="6"/>
      <c r="X398" s="6"/>
      <c r="Y398" s="6"/>
      <c r="Z398" s="6"/>
      <c r="AA398" s="6"/>
      <c r="AB398" s="6"/>
      <c r="AC398" s="6"/>
      <c r="AD398" s="6"/>
      <c r="AE398" s="6"/>
    </row>
    <row r="399" spans="22:31" ht="11.25" customHeight="1" x14ac:dyDescent="0.25">
      <c r="V399" s="6"/>
      <c r="W399" s="6"/>
      <c r="X399" s="6"/>
      <c r="Y399" s="6"/>
      <c r="Z399" s="6"/>
      <c r="AA399" s="6"/>
      <c r="AB399" s="6"/>
      <c r="AC399" s="6"/>
      <c r="AD399" s="6"/>
      <c r="AE399" s="6"/>
    </row>
    <row r="400" spans="22:31" ht="11.25" customHeight="1" x14ac:dyDescent="0.25">
      <c r="V400" s="6"/>
      <c r="W400" s="6"/>
      <c r="X400" s="6"/>
      <c r="Y400" s="6"/>
      <c r="Z400" s="6"/>
      <c r="AA400" s="6"/>
      <c r="AB400" s="6"/>
      <c r="AC400" s="6"/>
      <c r="AD400" s="6"/>
      <c r="AE400" s="6"/>
    </row>
    <row r="401" spans="22:31" ht="11.25" customHeight="1" x14ac:dyDescent="0.25">
      <c r="V401" s="6"/>
      <c r="W401" s="6"/>
      <c r="X401" s="6"/>
      <c r="Y401" s="6"/>
      <c r="Z401" s="6"/>
      <c r="AA401" s="6"/>
      <c r="AB401" s="6"/>
      <c r="AC401" s="6"/>
      <c r="AD401" s="6"/>
      <c r="AE401" s="6"/>
    </row>
    <row r="402" spans="22:31" ht="11.25" customHeight="1" x14ac:dyDescent="0.25">
      <c r="V402" s="6"/>
      <c r="W402" s="6"/>
      <c r="X402" s="6"/>
      <c r="Y402" s="6"/>
      <c r="Z402" s="6"/>
      <c r="AA402" s="6"/>
      <c r="AB402" s="6"/>
      <c r="AC402" s="6"/>
      <c r="AD402" s="6"/>
      <c r="AE402" s="6"/>
    </row>
    <row r="403" spans="22:31" ht="11.25" customHeight="1" x14ac:dyDescent="0.25">
      <c r="V403" s="6"/>
      <c r="W403" s="6"/>
      <c r="X403" s="6"/>
      <c r="Y403" s="6"/>
      <c r="Z403" s="6"/>
      <c r="AA403" s="6"/>
      <c r="AB403" s="6"/>
      <c r="AC403" s="6"/>
      <c r="AD403" s="6"/>
      <c r="AE403" s="6"/>
    </row>
    <row r="404" spans="22:31" ht="11.25" customHeight="1" x14ac:dyDescent="0.25">
      <c r="V404" s="6"/>
      <c r="W404" s="6"/>
      <c r="X404" s="6"/>
      <c r="Y404" s="6"/>
      <c r="Z404" s="6"/>
      <c r="AA404" s="6"/>
      <c r="AB404" s="6"/>
      <c r="AC404" s="6"/>
      <c r="AD404" s="6"/>
      <c r="AE404" s="6"/>
    </row>
    <row r="405" spans="22:31" ht="11.25" customHeight="1" x14ac:dyDescent="0.25">
      <c r="V405" s="6"/>
      <c r="W405" s="6"/>
      <c r="X405" s="6"/>
      <c r="Y405" s="6"/>
      <c r="Z405" s="6"/>
      <c r="AA405" s="6"/>
      <c r="AB405" s="6"/>
      <c r="AC405" s="6"/>
      <c r="AD405" s="6"/>
      <c r="AE405" s="6"/>
    </row>
    <row r="406" spans="22:31" ht="11.25" customHeight="1" x14ac:dyDescent="0.25">
      <c r="V406" s="6"/>
      <c r="W406" s="6"/>
      <c r="X406" s="6"/>
      <c r="Y406" s="6"/>
      <c r="Z406" s="6"/>
      <c r="AA406" s="6"/>
      <c r="AB406" s="6"/>
      <c r="AC406" s="6"/>
      <c r="AD406" s="6"/>
      <c r="AE406" s="6"/>
    </row>
    <row r="407" spans="22:31" ht="11.25" customHeight="1" x14ac:dyDescent="0.25">
      <c r="V407" s="6"/>
      <c r="W407" s="6"/>
      <c r="X407" s="6"/>
      <c r="Y407" s="6"/>
      <c r="Z407" s="6"/>
      <c r="AA407" s="6"/>
      <c r="AB407" s="6"/>
      <c r="AC407" s="6"/>
      <c r="AD407" s="6"/>
      <c r="AE407" s="6"/>
    </row>
    <row r="408" spans="22:31" ht="11.25" customHeight="1" x14ac:dyDescent="0.25">
      <c r="V408" s="6"/>
      <c r="W408" s="6"/>
      <c r="X408" s="6"/>
      <c r="Y408" s="6"/>
      <c r="Z408" s="6"/>
      <c r="AA408" s="6"/>
      <c r="AB408" s="6"/>
      <c r="AC408" s="6"/>
      <c r="AD408" s="6"/>
      <c r="AE408" s="6"/>
    </row>
    <row r="409" spans="22:31" ht="11.25" customHeight="1" x14ac:dyDescent="0.25">
      <c r="V409" s="6"/>
      <c r="W409" s="6"/>
      <c r="X409" s="6"/>
      <c r="Y409" s="6"/>
      <c r="Z409" s="6"/>
      <c r="AA409" s="6"/>
      <c r="AB409" s="6"/>
      <c r="AC409" s="6"/>
      <c r="AD409" s="6"/>
      <c r="AE409" s="6"/>
    </row>
    <row r="410" spans="22:31" ht="11.25" customHeight="1" x14ac:dyDescent="0.25">
      <c r="V410" s="6"/>
      <c r="W410" s="6"/>
      <c r="X410" s="6"/>
      <c r="Y410" s="6"/>
      <c r="Z410" s="6"/>
      <c r="AA410" s="6"/>
      <c r="AB410" s="6"/>
      <c r="AC410" s="6"/>
      <c r="AD410" s="6"/>
      <c r="AE410" s="6"/>
    </row>
    <row r="411" spans="22:31" ht="11.25" customHeight="1" x14ac:dyDescent="0.25">
      <c r="V411" s="6"/>
      <c r="W411" s="6"/>
      <c r="X411" s="6"/>
      <c r="Y411" s="6"/>
      <c r="Z411" s="6"/>
      <c r="AA411" s="6"/>
      <c r="AB411" s="6"/>
      <c r="AC411" s="6"/>
      <c r="AD411" s="6"/>
      <c r="AE411" s="6"/>
    </row>
    <row r="412" spans="22:31" ht="11.25" customHeight="1" x14ac:dyDescent="0.25">
      <c r="V412" s="6"/>
      <c r="W412" s="6"/>
      <c r="X412" s="6"/>
      <c r="Y412" s="6"/>
      <c r="Z412" s="6"/>
      <c r="AA412" s="6"/>
      <c r="AB412" s="6"/>
      <c r="AC412" s="6"/>
      <c r="AD412" s="6"/>
      <c r="AE412" s="6"/>
    </row>
    <row r="413" spans="22:31" ht="11.25" customHeight="1" x14ac:dyDescent="0.25">
      <c r="V413" s="6"/>
      <c r="W413" s="6"/>
      <c r="X413" s="6"/>
      <c r="Y413" s="6"/>
      <c r="Z413" s="6"/>
      <c r="AA413" s="6"/>
      <c r="AB413" s="6"/>
      <c r="AC413" s="6"/>
      <c r="AD413" s="6"/>
      <c r="AE413" s="6"/>
    </row>
    <row r="414" spans="22:31" ht="11.25" customHeight="1" x14ac:dyDescent="0.25">
      <c r="V414" s="6"/>
      <c r="W414" s="6"/>
      <c r="X414" s="6"/>
      <c r="Y414" s="6"/>
      <c r="Z414" s="6"/>
      <c r="AA414" s="6"/>
      <c r="AB414" s="6"/>
      <c r="AC414" s="6"/>
      <c r="AD414" s="6"/>
      <c r="AE414" s="6"/>
    </row>
    <row r="415" spans="22:31" ht="11.25" customHeight="1" x14ac:dyDescent="0.25">
      <c r="V415" s="6"/>
      <c r="W415" s="6"/>
      <c r="X415" s="6"/>
      <c r="Y415" s="6"/>
      <c r="Z415" s="6"/>
      <c r="AA415" s="6"/>
      <c r="AB415" s="6"/>
      <c r="AC415" s="6"/>
      <c r="AD415" s="6"/>
      <c r="AE415" s="6"/>
    </row>
    <row r="416" spans="22:31" ht="11.25" customHeight="1" x14ac:dyDescent="0.25">
      <c r="V416" s="6"/>
      <c r="W416" s="6"/>
      <c r="X416" s="6"/>
      <c r="Y416" s="6"/>
      <c r="Z416" s="6"/>
      <c r="AA416" s="6"/>
      <c r="AB416" s="6"/>
      <c r="AC416" s="6"/>
      <c r="AD416" s="6"/>
      <c r="AE416" s="6"/>
    </row>
    <row r="417" spans="22:31" ht="11.25" customHeight="1" x14ac:dyDescent="0.25">
      <c r="V417" s="6"/>
      <c r="W417" s="6"/>
      <c r="X417" s="6"/>
      <c r="Y417" s="6"/>
      <c r="Z417" s="6"/>
      <c r="AA417" s="6"/>
      <c r="AB417" s="6"/>
      <c r="AC417" s="6"/>
      <c r="AD417" s="6"/>
      <c r="AE417" s="6"/>
    </row>
    <row r="418" spans="22:31" ht="11.25" customHeight="1" x14ac:dyDescent="0.25">
      <c r="V418" s="6"/>
      <c r="W418" s="6"/>
      <c r="X418" s="6"/>
      <c r="Y418" s="6"/>
      <c r="Z418" s="6"/>
      <c r="AA418" s="6"/>
      <c r="AB418" s="6"/>
      <c r="AC418" s="6"/>
      <c r="AD418" s="6"/>
      <c r="AE418" s="6"/>
    </row>
    <row r="419" spans="22:31" ht="11.25" customHeight="1" x14ac:dyDescent="0.25">
      <c r="V419" s="6"/>
      <c r="W419" s="6"/>
      <c r="X419" s="6"/>
      <c r="Y419" s="6"/>
      <c r="Z419" s="6"/>
      <c r="AA419" s="6"/>
      <c r="AB419" s="6"/>
      <c r="AC419" s="6"/>
      <c r="AD419" s="6"/>
      <c r="AE419" s="6"/>
    </row>
    <row r="420" spans="22:31" ht="11.25" customHeight="1" x14ac:dyDescent="0.25">
      <c r="V420" s="6"/>
      <c r="W420" s="6"/>
      <c r="X420" s="6"/>
      <c r="Y420" s="6"/>
      <c r="Z420" s="6"/>
      <c r="AA420" s="6"/>
      <c r="AB420" s="6"/>
      <c r="AC420" s="6"/>
      <c r="AD420" s="6"/>
      <c r="AE420" s="6"/>
    </row>
    <row r="421" spans="22:31" ht="11.25" customHeight="1" x14ac:dyDescent="0.25">
      <c r="V421" s="6"/>
      <c r="W421" s="6"/>
      <c r="X421" s="6"/>
      <c r="Y421" s="6"/>
      <c r="Z421" s="6"/>
      <c r="AA421" s="6"/>
      <c r="AB421" s="6"/>
      <c r="AC421" s="6"/>
      <c r="AD421" s="6"/>
      <c r="AE421" s="6"/>
    </row>
    <row r="422" spans="22:31" ht="11.25" customHeight="1" x14ac:dyDescent="0.25">
      <c r="V422" s="6"/>
      <c r="W422" s="6"/>
      <c r="X422" s="6"/>
      <c r="Y422" s="6"/>
      <c r="Z422" s="6"/>
      <c r="AA422" s="6"/>
      <c r="AB422" s="6"/>
      <c r="AC422" s="6"/>
      <c r="AD422" s="6"/>
      <c r="AE422" s="6"/>
    </row>
    <row r="423" spans="22:31" ht="11.25" customHeight="1" x14ac:dyDescent="0.25">
      <c r="V423" s="6"/>
      <c r="W423" s="6"/>
      <c r="X423" s="6"/>
      <c r="Y423" s="6"/>
      <c r="Z423" s="6"/>
      <c r="AA423" s="6"/>
      <c r="AB423" s="6"/>
      <c r="AC423" s="6"/>
      <c r="AD423" s="6"/>
      <c r="AE423" s="6"/>
    </row>
    <row r="424" spans="22:31" ht="11.25" customHeight="1" x14ac:dyDescent="0.25">
      <c r="V424" s="6"/>
      <c r="W424" s="6"/>
      <c r="X424" s="6"/>
      <c r="Y424" s="6"/>
      <c r="Z424" s="6"/>
      <c r="AA424" s="6"/>
      <c r="AB424" s="6"/>
      <c r="AC424" s="6"/>
      <c r="AD424" s="6"/>
      <c r="AE424" s="6"/>
    </row>
    <row r="425" spans="22:31" ht="11.25" customHeight="1" x14ac:dyDescent="0.25">
      <c r="V425" s="6"/>
      <c r="W425" s="6"/>
      <c r="X425" s="6"/>
      <c r="Y425" s="6"/>
      <c r="Z425" s="6"/>
      <c r="AA425" s="6"/>
      <c r="AB425" s="6"/>
      <c r="AC425" s="6"/>
      <c r="AD425" s="6"/>
      <c r="AE425" s="6"/>
    </row>
    <row r="426" spans="22:31" ht="11.25" customHeight="1" x14ac:dyDescent="0.25">
      <c r="V426" s="6"/>
      <c r="W426" s="6"/>
      <c r="X426" s="6"/>
      <c r="Y426" s="6"/>
      <c r="Z426" s="6"/>
      <c r="AA426" s="6"/>
      <c r="AB426" s="6"/>
      <c r="AC426" s="6"/>
      <c r="AD426" s="6"/>
      <c r="AE426" s="6"/>
    </row>
    <row r="427" spans="22:31" ht="11.25" customHeight="1" x14ac:dyDescent="0.25">
      <c r="V427" s="6"/>
      <c r="W427" s="6"/>
      <c r="X427" s="6"/>
      <c r="Y427" s="6"/>
      <c r="Z427" s="6"/>
      <c r="AA427" s="6"/>
      <c r="AB427" s="6"/>
      <c r="AC427" s="6"/>
      <c r="AD427" s="6"/>
      <c r="AE427" s="6"/>
    </row>
    <row r="428" spans="22:31" ht="11.25" customHeight="1" x14ac:dyDescent="0.25">
      <c r="V428" s="6"/>
      <c r="W428" s="6"/>
      <c r="X428" s="6"/>
      <c r="Y428" s="6"/>
      <c r="Z428" s="6"/>
      <c r="AA428" s="6"/>
      <c r="AB428" s="6"/>
      <c r="AC428" s="6"/>
      <c r="AD428" s="6"/>
      <c r="AE428" s="6"/>
    </row>
    <row r="429" spans="22:31" ht="11.25" customHeight="1" x14ac:dyDescent="0.25">
      <c r="V429" s="6"/>
      <c r="W429" s="6"/>
      <c r="X429" s="6"/>
      <c r="Y429" s="6"/>
      <c r="Z429" s="6"/>
      <c r="AA429" s="6"/>
      <c r="AB429" s="6"/>
      <c r="AC429" s="6"/>
      <c r="AD429" s="6"/>
      <c r="AE429" s="6"/>
    </row>
    <row r="430" spans="22:31" ht="11.25" customHeight="1" x14ac:dyDescent="0.25">
      <c r="V430" s="6"/>
      <c r="W430" s="6"/>
      <c r="X430" s="6"/>
      <c r="Y430" s="6"/>
      <c r="Z430" s="6"/>
      <c r="AA430" s="6"/>
      <c r="AB430" s="6"/>
      <c r="AC430" s="6"/>
      <c r="AD430" s="6"/>
      <c r="AE430" s="6"/>
    </row>
    <row r="431" spans="22:31" ht="11.25" customHeight="1" x14ac:dyDescent="0.25">
      <c r="V431" s="6"/>
      <c r="W431" s="6"/>
      <c r="X431" s="6"/>
      <c r="Y431" s="6"/>
      <c r="Z431" s="6"/>
      <c r="AA431" s="6"/>
      <c r="AB431" s="6"/>
      <c r="AC431" s="6"/>
      <c r="AD431" s="6"/>
      <c r="AE431" s="6"/>
    </row>
    <row r="432" spans="22:31" ht="11.25" customHeight="1" x14ac:dyDescent="0.25">
      <c r="V432" s="6"/>
      <c r="W432" s="6"/>
      <c r="X432" s="6"/>
      <c r="Y432" s="6"/>
      <c r="Z432" s="6"/>
      <c r="AA432" s="6"/>
      <c r="AB432" s="6"/>
      <c r="AC432" s="6"/>
      <c r="AD432" s="6"/>
      <c r="AE432" s="6"/>
    </row>
    <row r="433" spans="22:31" ht="11.25" customHeight="1" x14ac:dyDescent="0.25">
      <c r="V433" s="6"/>
      <c r="W433" s="6"/>
      <c r="X433" s="6"/>
      <c r="Y433" s="6"/>
      <c r="Z433" s="6"/>
      <c r="AA433" s="6"/>
      <c r="AB433" s="6"/>
      <c r="AC433" s="6"/>
      <c r="AD433" s="6"/>
      <c r="AE433" s="6"/>
    </row>
    <row r="434" spans="22:31" ht="11.25" customHeight="1" x14ac:dyDescent="0.25">
      <c r="V434" s="6"/>
      <c r="W434" s="6"/>
      <c r="X434" s="6"/>
      <c r="Y434" s="6"/>
      <c r="Z434" s="6"/>
      <c r="AA434" s="6"/>
      <c r="AB434" s="6"/>
      <c r="AC434" s="6"/>
      <c r="AD434" s="6"/>
      <c r="AE434" s="6"/>
    </row>
    <row r="435" spans="22:31" ht="11.25" customHeight="1" x14ac:dyDescent="0.25">
      <c r="V435" s="6"/>
      <c r="W435" s="6"/>
      <c r="X435" s="6"/>
      <c r="Y435" s="6"/>
      <c r="Z435" s="6"/>
      <c r="AA435" s="6"/>
      <c r="AB435" s="6"/>
      <c r="AC435" s="6"/>
      <c r="AD435" s="6"/>
      <c r="AE435" s="6"/>
    </row>
    <row r="436" spans="22:31" ht="11.25" customHeight="1" x14ac:dyDescent="0.25">
      <c r="V436" s="6"/>
      <c r="W436" s="6"/>
      <c r="X436" s="6"/>
      <c r="Y436" s="6"/>
      <c r="Z436" s="6"/>
      <c r="AA436" s="6"/>
      <c r="AB436" s="6"/>
      <c r="AC436" s="6"/>
      <c r="AD436" s="6"/>
      <c r="AE436" s="6"/>
    </row>
    <row r="437" spans="22:31" ht="11.25" customHeight="1" x14ac:dyDescent="0.25">
      <c r="V437" s="6"/>
      <c r="W437" s="6"/>
      <c r="X437" s="6"/>
      <c r="Y437" s="6"/>
      <c r="Z437" s="6"/>
      <c r="AA437" s="6"/>
      <c r="AB437" s="6"/>
      <c r="AC437" s="6"/>
      <c r="AD437" s="6"/>
      <c r="AE437" s="6"/>
    </row>
    <row r="438" spans="22:31" ht="11.25" customHeight="1" x14ac:dyDescent="0.25">
      <c r="V438" s="6"/>
      <c r="W438" s="6"/>
      <c r="X438" s="6"/>
      <c r="Y438" s="6"/>
      <c r="Z438" s="6"/>
      <c r="AA438" s="6"/>
      <c r="AB438" s="6"/>
      <c r="AC438" s="6"/>
      <c r="AD438" s="6"/>
      <c r="AE438" s="6"/>
    </row>
    <row r="439" spans="22:31" ht="11.25" customHeight="1" x14ac:dyDescent="0.25">
      <c r="V439" s="6"/>
      <c r="W439" s="6"/>
      <c r="X439" s="6"/>
      <c r="Y439" s="6"/>
      <c r="Z439" s="6"/>
      <c r="AA439" s="6"/>
      <c r="AB439" s="6"/>
      <c r="AC439" s="6"/>
      <c r="AD439" s="6"/>
      <c r="AE439" s="6"/>
    </row>
    <row r="440" spans="22:31" ht="11.25" customHeight="1" x14ac:dyDescent="0.25">
      <c r="V440" s="6"/>
      <c r="W440" s="6"/>
      <c r="X440" s="6"/>
      <c r="Y440" s="6"/>
      <c r="Z440" s="6"/>
      <c r="AA440" s="6"/>
      <c r="AB440" s="6"/>
      <c r="AC440" s="6"/>
      <c r="AD440" s="6"/>
      <c r="AE440" s="6"/>
    </row>
    <row r="441" spans="22:31" ht="11.25" customHeight="1" x14ac:dyDescent="0.25">
      <c r="V441" s="6"/>
      <c r="W441" s="6"/>
      <c r="X441" s="6"/>
      <c r="Y441" s="6"/>
      <c r="Z441" s="6"/>
      <c r="AA441" s="6"/>
      <c r="AB441" s="6"/>
      <c r="AC441" s="6"/>
      <c r="AD441" s="6"/>
      <c r="AE441" s="6"/>
    </row>
    <row r="442" spans="22:31" ht="11.25" customHeight="1" x14ac:dyDescent="0.25">
      <c r="V442" s="6"/>
      <c r="W442" s="6"/>
      <c r="X442" s="6"/>
      <c r="Y442" s="6"/>
      <c r="Z442" s="6"/>
      <c r="AA442" s="6"/>
      <c r="AB442" s="6"/>
      <c r="AC442" s="6"/>
      <c r="AD442" s="6"/>
      <c r="AE442" s="6"/>
    </row>
    <row r="443" spans="22:31" ht="11.25" customHeight="1" x14ac:dyDescent="0.25">
      <c r="V443" s="6"/>
      <c r="W443" s="6"/>
      <c r="X443" s="6"/>
      <c r="Y443" s="6"/>
      <c r="Z443" s="6"/>
      <c r="AA443" s="6"/>
      <c r="AB443" s="6"/>
      <c r="AC443" s="6"/>
      <c r="AD443" s="6"/>
      <c r="AE443" s="6"/>
    </row>
    <row r="444" spans="22:31" ht="11.25" customHeight="1" x14ac:dyDescent="0.25">
      <c r="V444" s="6"/>
      <c r="W444" s="6"/>
      <c r="X444" s="6"/>
      <c r="Y444" s="6"/>
      <c r="Z444" s="6"/>
      <c r="AA444" s="6"/>
      <c r="AB444" s="6"/>
      <c r="AC444" s="6"/>
      <c r="AD444" s="6"/>
      <c r="AE444" s="6"/>
    </row>
    <row r="445" spans="22:31" ht="11.25" customHeight="1" x14ac:dyDescent="0.25">
      <c r="V445" s="6"/>
      <c r="W445" s="6"/>
      <c r="X445" s="6"/>
      <c r="Y445" s="6"/>
      <c r="Z445" s="6"/>
      <c r="AA445" s="6"/>
      <c r="AB445" s="6"/>
      <c r="AC445" s="6"/>
      <c r="AD445" s="6"/>
      <c r="AE445" s="6"/>
    </row>
    <row r="446" spans="22:31" ht="11.25" customHeight="1" x14ac:dyDescent="0.25">
      <c r="V446" s="6"/>
      <c r="W446" s="6"/>
      <c r="X446" s="6"/>
      <c r="Y446" s="6"/>
      <c r="Z446" s="6"/>
      <c r="AA446" s="6"/>
      <c r="AB446" s="6"/>
      <c r="AC446" s="6"/>
      <c r="AD446" s="6"/>
      <c r="AE446" s="6"/>
    </row>
    <row r="447" spans="22:31" ht="11.25" customHeight="1" x14ac:dyDescent="0.25">
      <c r="V447" s="6"/>
      <c r="W447" s="6"/>
      <c r="X447" s="6"/>
      <c r="Y447" s="6"/>
      <c r="Z447" s="6"/>
      <c r="AA447" s="6"/>
      <c r="AB447" s="6"/>
      <c r="AC447" s="6"/>
      <c r="AD447" s="6"/>
      <c r="AE447" s="6"/>
    </row>
    <row r="448" spans="22:31" ht="11.25" customHeight="1" x14ac:dyDescent="0.25">
      <c r="V448" s="6"/>
      <c r="W448" s="6"/>
      <c r="X448" s="6"/>
      <c r="Y448" s="6"/>
      <c r="Z448" s="6"/>
      <c r="AA448" s="6"/>
      <c r="AB448" s="6"/>
      <c r="AC448" s="6"/>
      <c r="AD448" s="6"/>
      <c r="AE448" s="6"/>
    </row>
    <row r="449" spans="22:31" ht="11.25" customHeight="1" x14ac:dyDescent="0.25">
      <c r="V449" s="6"/>
      <c r="W449" s="6"/>
      <c r="X449" s="6"/>
      <c r="Y449" s="6"/>
      <c r="Z449" s="6"/>
      <c r="AA449" s="6"/>
      <c r="AB449" s="6"/>
      <c r="AC449" s="6"/>
      <c r="AD449" s="6"/>
      <c r="AE449" s="6"/>
    </row>
    <row r="450" spans="22:31" ht="11.25" customHeight="1" x14ac:dyDescent="0.25">
      <c r="V450" s="6"/>
      <c r="W450" s="6"/>
      <c r="X450" s="6"/>
      <c r="Y450" s="6"/>
      <c r="Z450" s="6"/>
      <c r="AA450" s="6"/>
      <c r="AB450" s="6"/>
      <c r="AC450" s="6"/>
      <c r="AD450" s="6"/>
      <c r="AE450" s="6"/>
    </row>
    <row r="451" spans="22:31" ht="11.25" customHeight="1" x14ac:dyDescent="0.25">
      <c r="V451" s="6"/>
      <c r="W451" s="6"/>
      <c r="X451" s="6"/>
      <c r="Y451" s="6"/>
      <c r="Z451" s="6"/>
      <c r="AA451" s="6"/>
      <c r="AB451" s="6"/>
      <c r="AC451" s="6"/>
      <c r="AD451" s="6"/>
      <c r="AE451" s="6"/>
    </row>
    <row r="452" spans="22:31" ht="11.25" customHeight="1" x14ac:dyDescent="0.25">
      <c r="V452" s="6"/>
      <c r="W452" s="6"/>
      <c r="X452" s="6"/>
      <c r="Y452" s="6"/>
      <c r="Z452" s="6"/>
      <c r="AA452" s="6"/>
      <c r="AB452" s="6"/>
      <c r="AC452" s="6"/>
      <c r="AD452" s="6"/>
      <c r="AE452" s="6"/>
    </row>
    <row r="453" spans="22:31" ht="11.25" customHeight="1" x14ac:dyDescent="0.25">
      <c r="V453" s="6"/>
      <c r="W453" s="6"/>
      <c r="X453" s="6"/>
      <c r="Y453" s="6"/>
      <c r="Z453" s="6"/>
      <c r="AA453" s="6"/>
      <c r="AB453" s="6"/>
      <c r="AC453" s="6"/>
      <c r="AD453" s="6"/>
      <c r="AE453" s="6"/>
    </row>
    <row r="454" spans="22:31" ht="11.25" customHeight="1" x14ac:dyDescent="0.25">
      <c r="V454" s="6"/>
      <c r="W454" s="6"/>
      <c r="X454" s="6"/>
      <c r="Y454" s="6"/>
      <c r="Z454" s="6"/>
      <c r="AA454" s="6"/>
      <c r="AB454" s="6"/>
      <c r="AC454" s="6"/>
      <c r="AD454" s="6"/>
      <c r="AE454" s="6"/>
    </row>
    <row r="455" spans="22:31" ht="11.25" customHeight="1" x14ac:dyDescent="0.25">
      <c r="V455" s="6"/>
      <c r="W455" s="6"/>
      <c r="X455" s="6"/>
      <c r="Y455" s="6"/>
      <c r="Z455" s="6"/>
      <c r="AA455" s="6"/>
      <c r="AB455" s="6"/>
      <c r="AC455" s="6"/>
      <c r="AD455" s="6"/>
      <c r="AE455" s="6"/>
    </row>
    <row r="456" spans="22:31" ht="11.25" customHeight="1" x14ac:dyDescent="0.25">
      <c r="V456" s="6"/>
      <c r="W456" s="6"/>
      <c r="X456" s="6"/>
      <c r="Y456" s="6"/>
      <c r="Z456" s="6"/>
      <c r="AA456" s="6"/>
      <c r="AB456" s="6"/>
      <c r="AC456" s="6"/>
      <c r="AD456" s="6"/>
      <c r="AE456" s="6"/>
    </row>
    <row r="457" spans="22:31" ht="11.25" customHeight="1" x14ac:dyDescent="0.25">
      <c r="V457" s="6"/>
      <c r="W457" s="6"/>
      <c r="X457" s="6"/>
      <c r="Y457" s="6"/>
      <c r="Z457" s="6"/>
      <c r="AA457" s="6"/>
      <c r="AB457" s="6"/>
      <c r="AC457" s="6"/>
      <c r="AD457" s="6"/>
      <c r="AE457" s="6"/>
    </row>
    <row r="458" spans="22:31" ht="11.25" customHeight="1" x14ac:dyDescent="0.25">
      <c r="V458" s="6"/>
      <c r="W458" s="6"/>
      <c r="X458" s="6"/>
      <c r="Y458" s="6"/>
      <c r="Z458" s="6"/>
      <c r="AA458" s="6"/>
      <c r="AB458" s="6"/>
      <c r="AC458" s="6"/>
      <c r="AD458" s="6"/>
      <c r="AE458" s="6"/>
    </row>
    <row r="459" spans="22:31" ht="11.25" customHeight="1" x14ac:dyDescent="0.25">
      <c r="V459" s="6"/>
      <c r="W459" s="6"/>
      <c r="X459" s="6"/>
      <c r="Y459" s="6"/>
      <c r="Z459" s="6"/>
      <c r="AA459" s="6"/>
      <c r="AB459" s="6"/>
      <c r="AC459" s="6"/>
      <c r="AD459" s="6"/>
      <c r="AE459" s="6"/>
    </row>
    <row r="460" spans="22:31" ht="11.25" customHeight="1" x14ac:dyDescent="0.25">
      <c r="V460" s="6"/>
      <c r="W460" s="6"/>
      <c r="X460" s="6"/>
      <c r="Y460" s="6"/>
      <c r="Z460" s="6"/>
      <c r="AA460" s="6"/>
      <c r="AB460" s="6"/>
      <c r="AC460" s="6"/>
      <c r="AD460" s="6"/>
      <c r="AE460" s="6"/>
    </row>
    <row r="461" spans="22:31" ht="11.25" customHeight="1" x14ac:dyDescent="0.25">
      <c r="V461" s="6"/>
      <c r="W461" s="6"/>
      <c r="X461" s="6"/>
      <c r="Y461" s="6"/>
      <c r="Z461" s="6"/>
      <c r="AA461" s="6"/>
      <c r="AB461" s="6"/>
      <c r="AC461" s="6"/>
      <c r="AD461" s="6"/>
      <c r="AE461" s="6"/>
    </row>
    <row r="462" spans="22:31" ht="11.25" customHeight="1" x14ac:dyDescent="0.25">
      <c r="V462" s="6"/>
      <c r="W462" s="6"/>
      <c r="X462" s="6"/>
      <c r="Y462" s="6"/>
      <c r="Z462" s="6"/>
      <c r="AA462" s="6"/>
      <c r="AB462" s="6"/>
      <c r="AC462" s="6"/>
      <c r="AD462" s="6"/>
      <c r="AE462" s="6"/>
    </row>
    <row r="463" spans="22:31" ht="11.25" customHeight="1" x14ac:dyDescent="0.25">
      <c r="V463" s="6"/>
      <c r="W463" s="6"/>
      <c r="X463" s="6"/>
      <c r="Y463" s="6"/>
      <c r="Z463" s="6"/>
      <c r="AA463" s="6"/>
      <c r="AB463" s="6"/>
      <c r="AC463" s="6"/>
      <c r="AD463" s="6"/>
      <c r="AE463" s="6"/>
    </row>
    <row r="464" spans="22:31" ht="11.25" customHeight="1" x14ac:dyDescent="0.25">
      <c r="V464" s="6"/>
      <c r="W464" s="6"/>
      <c r="X464" s="6"/>
      <c r="Y464" s="6"/>
      <c r="Z464" s="6"/>
      <c r="AA464" s="6"/>
      <c r="AB464" s="6"/>
      <c r="AC464" s="6"/>
      <c r="AD464" s="6"/>
      <c r="AE464" s="6"/>
    </row>
    <row r="465" spans="22:31" ht="11.25" customHeight="1" x14ac:dyDescent="0.25">
      <c r="V465" s="6"/>
      <c r="W465" s="6"/>
      <c r="X465" s="6"/>
      <c r="Y465" s="6"/>
      <c r="Z465" s="6"/>
      <c r="AA465" s="6"/>
      <c r="AB465" s="6"/>
      <c r="AC465" s="6"/>
      <c r="AD465" s="6"/>
      <c r="AE465" s="6"/>
    </row>
    <row r="466" spans="22:31" ht="11.25" customHeight="1" x14ac:dyDescent="0.25">
      <c r="V466" s="6"/>
      <c r="W466" s="6"/>
      <c r="X466" s="6"/>
      <c r="Y466" s="6"/>
      <c r="Z466" s="6"/>
      <c r="AA466" s="6"/>
      <c r="AB466" s="6"/>
      <c r="AC466" s="6"/>
      <c r="AD466" s="6"/>
      <c r="AE466" s="6"/>
    </row>
    <row r="467" spans="22:31" ht="11.25" customHeight="1" x14ac:dyDescent="0.25">
      <c r="V467" s="6"/>
      <c r="W467" s="6"/>
      <c r="X467" s="6"/>
      <c r="Y467" s="6"/>
      <c r="Z467" s="6"/>
      <c r="AA467" s="6"/>
      <c r="AB467" s="6"/>
      <c r="AC467" s="6"/>
      <c r="AD467" s="6"/>
      <c r="AE467" s="6"/>
    </row>
    <row r="468" spans="22:31" ht="11.25" customHeight="1" x14ac:dyDescent="0.25">
      <c r="V468" s="6"/>
      <c r="W468" s="6"/>
      <c r="X468" s="6"/>
      <c r="Y468" s="6"/>
      <c r="Z468" s="6"/>
      <c r="AA468" s="6"/>
      <c r="AB468" s="6"/>
      <c r="AC468" s="6"/>
      <c r="AD468" s="6"/>
      <c r="AE468" s="6"/>
    </row>
    <row r="469" spans="22:31" ht="11.25" customHeight="1" x14ac:dyDescent="0.25">
      <c r="V469" s="6"/>
      <c r="W469" s="6"/>
      <c r="X469" s="6"/>
      <c r="Y469" s="6"/>
      <c r="Z469" s="6"/>
      <c r="AA469" s="6"/>
      <c r="AB469" s="6"/>
      <c r="AC469" s="6"/>
      <c r="AD469" s="6"/>
      <c r="AE469" s="6"/>
    </row>
    <row r="470" spans="22:31" ht="11.25" customHeight="1" x14ac:dyDescent="0.25">
      <c r="V470" s="6"/>
      <c r="W470" s="6"/>
      <c r="X470" s="6"/>
      <c r="Y470" s="6"/>
      <c r="Z470" s="6"/>
      <c r="AA470" s="6"/>
      <c r="AB470" s="6"/>
      <c r="AC470" s="6"/>
      <c r="AD470" s="6"/>
      <c r="AE470" s="6"/>
    </row>
    <row r="471" spans="22:31" ht="11.25" customHeight="1" x14ac:dyDescent="0.25">
      <c r="V471" s="6"/>
      <c r="W471" s="6"/>
      <c r="X471" s="6"/>
      <c r="Y471" s="6"/>
      <c r="Z471" s="6"/>
      <c r="AA471" s="6"/>
      <c r="AB471" s="6"/>
      <c r="AC471" s="6"/>
      <c r="AD471" s="6"/>
      <c r="AE471" s="6"/>
    </row>
    <row r="472" spans="22:31" ht="11.25" customHeight="1" x14ac:dyDescent="0.25">
      <c r="V472" s="6"/>
      <c r="W472" s="6"/>
      <c r="X472" s="6"/>
      <c r="Y472" s="6"/>
      <c r="Z472" s="6"/>
      <c r="AA472" s="6"/>
      <c r="AB472" s="6"/>
      <c r="AC472" s="6"/>
      <c r="AD472" s="6"/>
      <c r="AE472" s="6"/>
    </row>
    <row r="473" spans="22:31" ht="11.25" customHeight="1" x14ac:dyDescent="0.25">
      <c r="V473" s="6"/>
      <c r="W473" s="6"/>
      <c r="X473" s="6"/>
      <c r="Y473" s="6"/>
      <c r="Z473" s="6"/>
      <c r="AA473" s="6"/>
      <c r="AB473" s="6"/>
      <c r="AC473" s="6"/>
      <c r="AD473" s="6"/>
      <c r="AE473" s="6"/>
    </row>
    <row r="474" spans="22:31" ht="11.25" customHeight="1" x14ac:dyDescent="0.25">
      <c r="V474" s="6"/>
      <c r="W474" s="6"/>
      <c r="X474" s="6"/>
      <c r="Y474" s="6"/>
      <c r="Z474" s="6"/>
      <c r="AA474" s="6"/>
      <c r="AB474" s="6"/>
      <c r="AC474" s="6"/>
      <c r="AD474" s="6"/>
      <c r="AE474" s="6"/>
    </row>
    <row r="475" spans="22:31" ht="11.25" customHeight="1" x14ac:dyDescent="0.25">
      <c r="V475" s="6"/>
      <c r="W475" s="6"/>
      <c r="X475" s="6"/>
      <c r="Y475" s="6"/>
      <c r="Z475" s="6"/>
      <c r="AA475" s="6"/>
      <c r="AB475" s="6"/>
      <c r="AC475" s="6"/>
      <c r="AD475" s="6"/>
      <c r="AE475" s="6"/>
    </row>
    <row r="476" spans="22:31" ht="11.25" customHeight="1" x14ac:dyDescent="0.25">
      <c r="V476" s="6"/>
      <c r="W476" s="6"/>
      <c r="X476" s="6"/>
      <c r="Y476" s="6"/>
      <c r="Z476" s="6"/>
      <c r="AA476" s="6"/>
      <c r="AB476" s="6"/>
      <c r="AC476" s="6"/>
      <c r="AD476" s="6"/>
      <c r="AE476" s="6"/>
    </row>
    <row r="477" spans="22:31" ht="11.25" customHeight="1" x14ac:dyDescent="0.25">
      <c r="V477" s="6"/>
      <c r="W477" s="6"/>
      <c r="X477" s="6"/>
      <c r="Y477" s="6"/>
      <c r="Z477" s="6"/>
      <c r="AA477" s="6"/>
      <c r="AB477" s="6"/>
      <c r="AC477" s="6"/>
      <c r="AD477" s="6"/>
      <c r="AE477" s="6"/>
    </row>
    <row r="478" spans="22:31" ht="11.25" customHeight="1" x14ac:dyDescent="0.25">
      <c r="V478" s="6"/>
      <c r="W478" s="6"/>
      <c r="X478" s="6"/>
      <c r="Y478" s="6"/>
      <c r="Z478" s="6"/>
      <c r="AA478" s="6"/>
      <c r="AB478" s="6"/>
      <c r="AC478" s="6"/>
      <c r="AD478" s="6"/>
      <c r="AE478" s="6"/>
    </row>
    <row r="479" spans="22:31" ht="11.25" customHeight="1" x14ac:dyDescent="0.25">
      <c r="V479" s="6"/>
      <c r="W479" s="6"/>
      <c r="X479" s="6"/>
      <c r="Y479" s="6"/>
      <c r="Z479" s="6"/>
      <c r="AA479" s="6"/>
      <c r="AB479" s="6"/>
      <c r="AC479" s="6"/>
      <c r="AD479" s="6"/>
      <c r="AE479" s="6"/>
    </row>
    <row r="480" spans="22:31" ht="11.25" customHeight="1" x14ac:dyDescent="0.25">
      <c r="V480" s="6"/>
      <c r="W480" s="6"/>
      <c r="X480" s="6"/>
      <c r="Y480" s="6"/>
      <c r="Z480" s="6"/>
      <c r="AA480" s="6"/>
      <c r="AB480" s="6"/>
      <c r="AC480" s="6"/>
      <c r="AD480" s="6"/>
      <c r="AE480" s="6"/>
    </row>
    <row r="481" spans="22:31" ht="11.25" customHeight="1" x14ac:dyDescent="0.25">
      <c r="V481" s="6"/>
      <c r="W481" s="6"/>
      <c r="X481" s="6"/>
      <c r="Y481" s="6"/>
      <c r="Z481" s="6"/>
      <c r="AA481" s="6"/>
      <c r="AB481" s="6"/>
      <c r="AC481" s="6"/>
      <c r="AD481" s="6"/>
      <c r="AE481" s="6"/>
    </row>
    <row r="482" spans="22:31" ht="11.25" customHeight="1" x14ac:dyDescent="0.25">
      <c r="V482" s="6"/>
      <c r="W482" s="6"/>
      <c r="X482" s="6"/>
      <c r="Y482" s="6"/>
      <c r="Z482" s="6"/>
      <c r="AA482" s="6"/>
      <c r="AB482" s="6"/>
      <c r="AC482" s="6"/>
      <c r="AD482" s="6"/>
      <c r="AE482" s="6"/>
    </row>
    <row r="483" spans="22:31" ht="11.25" customHeight="1" x14ac:dyDescent="0.25">
      <c r="V483" s="6"/>
      <c r="W483" s="6"/>
      <c r="X483" s="6"/>
      <c r="Y483" s="6"/>
      <c r="Z483" s="6"/>
      <c r="AA483" s="6"/>
      <c r="AB483" s="6"/>
      <c r="AC483" s="6"/>
      <c r="AD483" s="6"/>
      <c r="AE483" s="6"/>
    </row>
    <row r="484" spans="22:31" ht="11.25" customHeight="1" x14ac:dyDescent="0.25">
      <c r="V484" s="6"/>
      <c r="W484" s="6"/>
      <c r="X484" s="6"/>
      <c r="Y484" s="6"/>
      <c r="Z484" s="6"/>
      <c r="AA484" s="6"/>
      <c r="AB484" s="6"/>
      <c r="AC484" s="6"/>
      <c r="AD484" s="6"/>
      <c r="AE484" s="6"/>
    </row>
    <row r="485" spans="22:31" ht="11.25" customHeight="1" x14ac:dyDescent="0.25">
      <c r="V485" s="6"/>
      <c r="W485" s="6"/>
      <c r="X485" s="6"/>
      <c r="Y485" s="6"/>
      <c r="Z485" s="6"/>
      <c r="AA485" s="6"/>
      <c r="AB485" s="6"/>
      <c r="AC485" s="6"/>
      <c r="AD485" s="6"/>
      <c r="AE485" s="6"/>
    </row>
    <row r="486" spans="22:31" ht="11.25" customHeight="1" x14ac:dyDescent="0.25">
      <c r="V486" s="6"/>
      <c r="W486" s="6"/>
      <c r="X486" s="6"/>
      <c r="Y486" s="6"/>
      <c r="Z486" s="6"/>
      <c r="AA486" s="6"/>
      <c r="AB486" s="6"/>
      <c r="AC486" s="6"/>
      <c r="AD486" s="6"/>
      <c r="AE486" s="6"/>
    </row>
    <row r="487" spans="22:31" ht="11.25" customHeight="1" x14ac:dyDescent="0.25">
      <c r="V487" s="6"/>
      <c r="W487" s="6"/>
      <c r="X487" s="6"/>
      <c r="Y487" s="6"/>
      <c r="Z487" s="6"/>
      <c r="AA487" s="6"/>
      <c r="AB487" s="6"/>
      <c r="AC487" s="6"/>
      <c r="AD487" s="6"/>
      <c r="AE487" s="6"/>
    </row>
    <row r="488" spans="22:31" ht="11.25" customHeight="1" x14ac:dyDescent="0.25">
      <c r="V488" s="6"/>
      <c r="W488" s="6"/>
      <c r="X488" s="6"/>
      <c r="Y488" s="6"/>
      <c r="Z488" s="6"/>
      <c r="AA488" s="6"/>
      <c r="AB488" s="6"/>
      <c r="AC488" s="6"/>
      <c r="AD488" s="6"/>
      <c r="AE488" s="6"/>
    </row>
    <row r="489" spans="22:31" ht="11.25" customHeight="1" x14ac:dyDescent="0.25">
      <c r="V489" s="6"/>
      <c r="W489" s="6"/>
      <c r="X489" s="6"/>
      <c r="Y489" s="6"/>
      <c r="Z489" s="6"/>
      <c r="AA489" s="6"/>
      <c r="AB489" s="6"/>
      <c r="AC489" s="6"/>
      <c r="AD489" s="6"/>
      <c r="AE489" s="6"/>
    </row>
    <row r="490" spans="22:31" ht="11.25" customHeight="1" x14ac:dyDescent="0.25">
      <c r="V490" s="6"/>
      <c r="W490" s="6"/>
      <c r="X490" s="6"/>
      <c r="Y490" s="6"/>
      <c r="Z490" s="6"/>
      <c r="AA490" s="6"/>
      <c r="AB490" s="6"/>
      <c r="AC490" s="6"/>
      <c r="AD490" s="6"/>
      <c r="AE490" s="6"/>
    </row>
    <row r="491" spans="22:31" ht="11.25" customHeight="1" x14ac:dyDescent="0.25">
      <c r="V491" s="6"/>
      <c r="W491" s="6"/>
      <c r="X491" s="6"/>
      <c r="Y491" s="6"/>
      <c r="Z491" s="6"/>
      <c r="AA491" s="6"/>
      <c r="AB491" s="6"/>
      <c r="AC491" s="6"/>
      <c r="AD491" s="6"/>
      <c r="AE491" s="6"/>
    </row>
    <row r="492" spans="22:31" ht="11.25" customHeight="1" x14ac:dyDescent="0.25">
      <c r="V492" s="6"/>
      <c r="W492" s="6"/>
      <c r="X492" s="6"/>
      <c r="Y492" s="6"/>
      <c r="Z492" s="6"/>
      <c r="AA492" s="6"/>
      <c r="AB492" s="6"/>
      <c r="AC492" s="6"/>
      <c r="AD492" s="6"/>
      <c r="AE492" s="6"/>
    </row>
    <row r="493" spans="22:31" ht="11.25" customHeight="1" x14ac:dyDescent="0.25">
      <c r="V493" s="6"/>
      <c r="W493" s="6"/>
      <c r="X493" s="6"/>
      <c r="Y493" s="6"/>
      <c r="Z493" s="6"/>
      <c r="AA493" s="6"/>
      <c r="AB493" s="6"/>
      <c r="AC493" s="6"/>
      <c r="AD493" s="6"/>
      <c r="AE493" s="6"/>
    </row>
    <row r="494" spans="22:31" ht="11.25" customHeight="1" x14ac:dyDescent="0.25">
      <c r="V494" s="6"/>
      <c r="W494" s="6"/>
      <c r="X494" s="6"/>
      <c r="Y494" s="6"/>
      <c r="Z494" s="6"/>
      <c r="AA494" s="6"/>
      <c r="AB494" s="6"/>
      <c r="AC494" s="6"/>
      <c r="AD494" s="6"/>
      <c r="AE494" s="6"/>
    </row>
    <row r="495" spans="22:31" ht="11.25" customHeight="1" x14ac:dyDescent="0.25">
      <c r="V495" s="6"/>
      <c r="W495" s="6"/>
      <c r="X495" s="6"/>
      <c r="Y495" s="6"/>
      <c r="Z495" s="6"/>
      <c r="AA495" s="6"/>
      <c r="AB495" s="6"/>
      <c r="AC495" s="6"/>
      <c r="AD495" s="6"/>
      <c r="AE495" s="6"/>
    </row>
    <row r="496" spans="22:31" ht="11.25" customHeight="1" x14ac:dyDescent="0.25">
      <c r="V496" s="6"/>
      <c r="W496" s="6"/>
      <c r="X496" s="6"/>
      <c r="Y496" s="6"/>
      <c r="Z496" s="6"/>
      <c r="AA496" s="6"/>
      <c r="AB496" s="6"/>
      <c r="AC496" s="6"/>
      <c r="AD496" s="6"/>
      <c r="AE496" s="6"/>
    </row>
    <row r="497" spans="22:31" ht="11.25" customHeight="1" x14ac:dyDescent="0.25">
      <c r="V497" s="6"/>
      <c r="W497" s="6"/>
      <c r="X497" s="6"/>
      <c r="Y497" s="6"/>
      <c r="Z497" s="6"/>
      <c r="AA497" s="6"/>
      <c r="AB497" s="6"/>
      <c r="AC497" s="6"/>
      <c r="AD497" s="6"/>
      <c r="AE497" s="6"/>
    </row>
    <row r="498" spans="22:31" ht="11.25" customHeight="1" x14ac:dyDescent="0.25">
      <c r="V498" s="6"/>
      <c r="W498" s="6"/>
      <c r="X498" s="6"/>
      <c r="Y498" s="6"/>
      <c r="Z498" s="6"/>
      <c r="AA498" s="6"/>
      <c r="AB498" s="6"/>
      <c r="AC498" s="6"/>
      <c r="AD498" s="6"/>
      <c r="AE498" s="6"/>
    </row>
    <row r="499" spans="22:31" ht="11.25" customHeight="1" x14ac:dyDescent="0.25">
      <c r="V499" s="6"/>
      <c r="W499" s="6"/>
      <c r="X499" s="6"/>
      <c r="Y499" s="6"/>
      <c r="Z499" s="6"/>
      <c r="AA499" s="6"/>
      <c r="AB499" s="6"/>
      <c r="AC499" s="6"/>
      <c r="AD499" s="6"/>
      <c r="AE499" s="6"/>
    </row>
    <row r="500" spans="22:31" ht="11.25" customHeight="1" x14ac:dyDescent="0.25">
      <c r="V500" s="6"/>
      <c r="W500" s="6"/>
      <c r="X500" s="6"/>
      <c r="Y500" s="6"/>
      <c r="Z500" s="6"/>
      <c r="AA500" s="6"/>
      <c r="AB500" s="6"/>
      <c r="AC500" s="6"/>
      <c r="AD500" s="6"/>
      <c r="AE500" s="6"/>
    </row>
    <row r="501" spans="22:31" ht="11.25" customHeight="1" x14ac:dyDescent="0.25">
      <c r="V501" s="6"/>
      <c r="W501" s="6"/>
      <c r="X501" s="6"/>
      <c r="Y501" s="6"/>
      <c r="Z501" s="6"/>
      <c r="AA501" s="6"/>
      <c r="AB501" s="6"/>
      <c r="AC501" s="6"/>
      <c r="AD501" s="6"/>
      <c r="AE501" s="6"/>
    </row>
    <row r="502" spans="22:31" ht="11.25" customHeight="1" x14ac:dyDescent="0.25">
      <c r="V502" s="6"/>
      <c r="W502" s="6"/>
      <c r="X502" s="6"/>
      <c r="Y502" s="6"/>
      <c r="Z502" s="6"/>
      <c r="AA502" s="6"/>
      <c r="AB502" s="6"/>
      <c r="AC502" s="6"/>
      <c r="AD502" s="6"/>
      <c r="AE502" s="6"/>
    </row>
    <row r="503" spans="22:31" ht="11.25" customHeight="1" x14ac:dyDescent="0.25">
      <c r="V503" s="6"/>
      <c r="W503" s="6"/>
      <c r="X503" s="6"/>
      <c r="Y503" s="6"/>
      <c r="Z503" s="6"/>
      <c r="AA503" s="6"/>
      <c r="AB503" s="6"/>
      <c r="AC503" s="6"/>
      <c r="AD503" s="6"/>
      <c r="AE503" s="6"/>
    </row>
    <row r="504" spans="22:31" ht="11.25" customHeight="1" x14ac:dyDescent="0.25">
      <c r="V504" s="6"/>
      <c r="W504" s="6"/>
      <c r="X504" s="6"/>
      <c r="Y504" s="6"/>
      <c r="Z504" s="6"/>
      <c r="AA504" s="6"/>
      <c r="AB504" s="6"/>
      <c r="AC504" s="6"/>
      <c r="AD504" s="6"/>
      <c r="AE504" s="6"/>
    </row>
    <row r="505" spans="22:31" ht="11.25" customHeight="1" x14ac:dyDescent="0.25">
      <c r="V505" s="6"/>
      <c r="W505" s="6"/>
      <c r="X505" s="6"/>
      <c r="Y505" s="6"/>
      <c r="Z505" s="6"/>
      <c r="AA505" s="6"/>
      <c r="AB505" s="6"/>
      <c r="AC505" s="6"/>
      <c r="AD505" s="6"/>
      <c r="AE505" s="6"/>
    </row>
    <row r="506" spans="22:31" ht="11.25" customHeight="1" x14ac:dyDescent="0.25">
      <c r="V506" s="6"/>
      <c r="W506" s="6"/>
      <c r="X506" s="6"/>
      <c r="Y506" s="6"/>
      <c r="Z506" s="6"/>
      <c r="AA506" s="6"/>
      <c r="AB506" s="6"/>
      <c r="AC506" s="6"/>
      <c r="AD506" s="6"/>
      <c r="AE506" s="6"/>
    </row>
    <row r="507" spans="22:31" ht="11.25" customHeight="1" x14ac:dyDescent="0.25">
      <c r="V507" s="6"/>
      <c r="W507" s="6"/>
      <c r="X507" s="6"/>
      <c r="Y507" s="6"/>
      <c r="Z507" s="6"/>
      <c r="AA507" s="6"/>
      <c r="AB507" s="6"/>
      <c r="AC507" s="6"/>
      <c r="AD507" s="6"/>
      <c r="AE507" s="6"/>
    </row>
    <row r="508" spans="22:31" ht="11.25" customHeight="1" x14ac:dyDescent="0.25">
      <c r="V508" s="6"/>
      <c r="W508" s="6"/>
      <c r="X508" s="6"/>
      <c r="Y508" s="6"/>
      <c r="Z508" s="6"/>
      <c r="AA508" s="6"/>
      <c r="AB508" s="6"/>
      <c r="AC508" s="6"/>
      <c r="AD508" s="6"/>
      <c r="AE508" s="6"/>
    </row>
    <row r="509" spans="22:31" ht="11.25" customHeight="1" x14ac:dyDescent="0.25">
      <c r="V509" s="6"/>
      <c r="W509" s="6"/>
      <c r="X509" s="6"/>
      <c r="Y509" s="6"/>
      <c r="Z509" s="6"/>
      <c r="AA509" s="6"/>
      <c r="AB509" s="6"/>
      <c r="AC509" s="6"/>
      <c r="AD509" s="6"/>
      <c r="AE509" s="6"/>
    </row>
    <row r="510" spans="22:31" ht="11.25" customHeight="1" x14ac:dyDescent="0.25">
      <c r="V510" s="6"/>
      <c r="W510" s="6"/>
      <c r="X510" s="6"/>
      <c r="Y510" s="6"/>
      <c r="Z510" s="6"/>
      <c r="AA510" s="6"/>
      <c r="AB510" s="6"/>
      <c r="AC510" s="6"/>
      <c r="AD510" s="6"/>
      <c r="AE510" s="6"/>
    </row>
    <row r="511" spans="22:31" ht="11.25" customHeight="1" x14ac:dyDescent="0.25">
      <c r="V511" s="6"/>
      <c r="W511" s="6"/>
      <c r="X511" s="6"/>
      <c r="Y511" s="6"/>
      <c r="Z511" s="6"/>
      <c r="AA511" s="6"/>
      <c r="AB511" s="6"/>
      <c r="AC511" s="6"/>
      <c r="AD511" s="6"/>
      <c r="AE511" s="6"/>
    </row>
    <row r="512" spans="22:31" ht="11.25" customHeight="1" x14ac:dyDescent="0.25">
      <c r="V512" s="6"/>
      <c r="W512" s="6"/>
      <c r="X512" s="6"/>
      <c r="Y512" s="6"/>
      <c r="Z512" s="6"/>
      <c r="AA512" s="6"/>
      <c r="AB512" s="6"/>
      <c r="AC512" s="6"/>
      <c r="AD512" s="6"/>
      <c r="AE512" s="6"/>
    </row>
    <row r="513" spans="22:31" ht="11.25" customHeight="1" x14ac:dyDescent="0.25">
      <c r="V513" s="6"/>
      <c r="W513" s="6"/>
      <c r="X513" s="6"/>
      <c r="Y513" s="6"/>
      <c r="Z513" s="6"/>
      <c r="AA513" s="6"/>
      <c r="AB513" s="6"/>
      <c r="AC513" s="6"/>
      <c r="AD513" s="6"/>
      <c r="AE513" s="6"/>
    </row>
    <row r="514" spans="22:31" ht="11.25" customHeight="1" x14ac:dyDescent="0.25">
      <c r="V514" s="6"/>
      <c r="W514" s="6"/>
      <c r="X514" s="6"/>
      <c r="Y514" s="6"/>
      <c r="Z514" s="6"/>
      <c r="AA514" s="6"/>
      <c r="AB514" s="6"/>
      <c r="AC514" s="6"/>
      <c r="AD514" s="6"/>
      <c r="AE514" s="6"/>
    </row>
    <row r="515" spans="22:31" ht="11.25" customHeight="1" x14ac:dyDescent="0.25">
      <c r="V515" s="6"/>
      <c r="W515" s="6"/>
      <c r="X515" s="6"/>
      <c r="Y515" s="6"/>
      <c r="Z515" s="6"/>
      <c r="AA515" s="6"/>
      <c r="AB515" s="6"/>
      <c r="AC515" s="6"/>
      <c r="AD515" s="6"/>
      <c r="AE515" s="6"/>
    </row>
    <row r="516" spans="22:31" ht="11.25" customHeight="1" x14ac:dyDescent="0.25">
      <c r="V516" s="6"/>
      <c r="W516" s="6"/>
      <c r="X516" s="6"/>
      <c r="Y516" s="6"/>
      <c r="Z516" s="6"/>
      <c r="AA516" s="6"/>
      <c r="AB516" s="6"/>
      <c r="AC516" s="6"/>
      <c r="AD516" s="6"/>
      <c r="AE516" s="6"/>
    </row>
    <row r="517" spans="22:31" ht="11.25" customHeight="1" x14ac:dyDescent="0.25">
      <c r="V517" s="6"/>
      <c r="W517" s="6"/>
      <c r="X517" s="6"/>
      <c r="Y517" s="6"/>
      <c r="Z517" s="6"/>
      <c r="AA517" s="6"/>
      <c r="AB517" s="6"/>
      <c r="AC517" s="6"/>
      <c r="AD517" s="6"/>
      <c r="AE517" s="6"/>
    </row>
    <row r="518" spans="22:31" ht="11.25" customHeight="1" x14ac:dyDescent="0.25">
      <c r="V518" s="6"/>
      <c r="W518" s="6"/>
      <c r="X518" s="6"/>
      <c r="Y518" s="6"/>
      <c r="Z518" s="6"/>
      <c r="AA518" s="6"/>
      <c r="AB518" s="6"/>
      <c r="AC518" s="6"/>
      <c r="AD518" s="6"/>
      <c r="AE518" s="6"/>
    </row>
    <row r="519" spans="22:31" ht="11.25" customHeight="1" x14ac:dyDescent="0.25">
      <c r="V519" s="6"/>
      <c r="W519" s="6"/>
      <c r="X519" s="6"/>
      <c r="Y519" s="6"/>
      <c r="Z519" s="6"/>
      <c r="AA519" s="6"/>
      <c r="AB519" s="6"/>
      <c r="AC519" s="6"/>
      <c r="AD519" s="6"/>
      <c r="AE519" s="6"/>
    </row>
    <row r="520" spans="22:31" ht="11.25" customHeight="1" x14ac:dyDescent="0.25">
      <c r="V520" s="6"/>
      <c r="W520" s="6"/>
      <c r="X520" s="6"/>
      <c r="Y520" s="6"/>
      <c r="Z520" s="6"/>
      <c r="AA520" s="6"/>
      <c r="AB520" s="6"/>
      <c r="AC520" s="6"/>
      <c r="AD520" s="6"/>
      <c r="AE520" s="6"/>
    </row>
    <row r="521" spans="22:31" ht="11.25" customHeight="1" x14ac:dyDescent="0.25">
      <c r="V521" s="6"/>
      <c r="W521" s="6"/>
      <c r="X521" s="6"/>
      <c r="Y521" s="6"/>
      <c r="Z521" s="6"/>
      <c r="AA521" s="6"/>
      <c r="AB521" s="6"/>
      <c r="AC521" s="6"/>
      <c r="AD521" s="6"/>
      <c r="AE521" s="6"/>
    </row>
    <row r="522" spans="22:31" ht="11.25" customHeight="1" x14ac:dyDescent="0.25">
      <c r="V522" s="6"/>
      <c r="W522" s="6"/>
      <c r="X522" s="6"/>
      <c r="Y522" s="6"/>
      <c r="Z522" s="6"/>
      <c r="AA522" s="6"/>
      <c r="AB522" s="6"/>
      <c r="AC522" s="6"/>
      <c r="AD522" s="6"/>
      <c r="AE522" s="6"/>
    </row>
    <row r="523" spans="22:31" ht="11.25" customHeight="1" x14ac:dyDescent="0.25">
      <c r="V523" s="6"/>
      <c r="W523" s="6"/>
      <c r="X523" s="6"/>
      <c r="Y523" s="6"/>
      <c r="Z523" s="6"/>
      <c r="AA523" s="6"/>
      <c r="AB523" s="6"/>
      <c r="AC523" s="6"/>
      <c r="AD523" s="6"/>
      <c r="AE523" s="6"/>
    </row>
    <row r="524" spans="22:31" ht="11.25" customHeight="1" x14ac:dyDescent="0.25">
      <c r="V524" s="6"/>
      <c r="W524" s="6"/>
      <c r="X524" s="6"/>
      <c r="Y524" s="6"/>
      <c r="Z524" s="6"/>
      <c r="AA524" s="6"/>
      <c r="AB524" s="6"/>
      <c r="AC524" s="6"/>
      <c r="AD524" s="6"/>
      <c r="AE524" s="6"/>
    </row>
    <row r="525" spans="22:31" ht="11.25" customHeight="1" x14ac:dyDescent="0.25">
      <c r="V525" s="6"/>
      <c r="W525" s="6"/>
      <c r="X525" s="6"/>
      <c r="Y525" s="6"/>
      <c r="Z525" s="6"/>
      <c r="AA525" s="6"/>
      <c r="AB525" s="6"/>
      <c r="AC525" s="6"/>
      <c r="AD525" s="6"/>
      <c r="AE525" s="6"/>
    </row>
    <row r="526" spans="22:31" ht="11.25" customHeight="1" x14ac:dyDescent="0.25">
      <c r="V526" s="6"/>
      <c r="W526" s="6"/>
      <c r="X526" s="6"/>
      <c r="Y526" s="6"/>
      <c r="Z526" s="6"/>
      <c r="AA526" s="6"/>
      <c r="AB526" s="6"/>
      <c r="AC526" s="6"/>
      <c r="AD526" s="6"/>
      <c r="AE526" s="6"/>
    </row>
    <row r="527" spans="22:31" ht="11.25" customHeight="1" x14ac:dyDescent="0.25">
      <c r="V527" s="6"/>
      <c r="W527" s="6"/>
      <c r="X527" s="6"/>
      <c r="Y527" s="6"/>
      <c r="Z527" s="6"/>
      <c r="AA527" s="6"/>
      <c r="AB527" s="6"/>
      <c r="AC527" s="6"/>
      <c r="AD527" s="6"/>
      <c r="AE527" s="6"/>
    </row>
    <row r="528" spans="22:31" ht="11.25" customHeight="1" x14ac:dyDescent="0.25">
      <c r="V528" s="6"/>
      <c r="W528" s="6"/>
      <c r="X528" s="6"/>
      <c r="Y528" s="6"/>
      <c r="Z528" s="6"/>
      <c r="AA528" s="6"/>
      <c r="AB528" s="6"/>
      <c r="AC528" s="6"/>
      <c r="AD528" s="6"/>
      <c r="AE528" s="6"/>
    </row>
    <row r="529" spans="22:31" ht="11.25" customHeight="1" x14ac:dyDescent="0.25">
      <c r="V529" s="6"/>
      <c r="W529" s="6"/>
      <c r="X529" s="6"/>
      <c r="Y529" s="6"/>
      <c r="Z529" s="6"/>
      <c r="AA529" s="6"/>
      <c r="AB529" s="6"/>
      <c r="AC529" s="6"/>
      <c r="AD529" s="6"/>
      <c r="AE529" s="6"/>
    </row>
    <row r="530" spans="22:31" ht="11.25" customHeight="1" x14ac:dyDescent="0.25">
      <c r="V530" s="6"/>
      <c r="W530" s="6"/>
      <c r="X530" s="6"/>
      <c r="Y530" s="6"/>
      <c r="Z530" s="6"/>
      <c r="AA530" s="6"/>
      <c r="AB530" s="6"/>
      <c r="AC530" s="6"/>
      <c r="AD530" s="6"/>
      <c r="AE530" s="6"/>
    </row>
    <row r="531" spans="22:31" ht="11.25" customHeight="1" x14ac:dyDescent="0.25">
      <c r="V531" s="6"/>
      <c r="W531" s="6"/>
      <c r="X531" s="6"/>
      <c r="Y531" s="6"/>
      <c r="Z531" s="6"/>
      <c r="AA531" s="6"/>
      <c r="AB531" s="6"/>
      <c r="AC531" s="6"/>
      <c r="AD531" s="6"/>
      <c r="AE531" s="6"/>
    </row>
    <row r="532" spans="22:31" ht="11.25" customHeight="1" x14ac:dyDescent="0.25">
      <c r="V532" s="6"/>
      <c r="W532" s="6"/>
      <c r="X532" s="6"/>
      <c r="Y532" s="6"/>
      <c r="Z532" s="6"/>
      <c r="AA532" s="6"/>
      <c r="AB532" s="6"/>
      <c r="AC532" s="6"/>
      <c r="AD532" s="6"/>
      <c r="AE532" s="6"/>
    </row>
    <row r="533" spans="22:31" ht="11.25" customHeight="1" x14ac:dyDescent="0.25">
      <c r="V533" s="6"/>
      <c r="W533" s="6"/>
      <c r="X533" s="6"/>
      <c r="Y533" s="6"/>
      <c r="Z533" s="6"/>
      <c r="AA533" s="6"/>
      <c r="AB533" s="6"/>
      <c r="AC533" s="6"/>
      <c r="AD533" s="6"/>
      <c r="AE533" s="6"/>
    </row>
    <row r="534" spans="22:31" ht="11.25" customHeight="1" x14ac:dyDescent="0.25">
      <c r="V534" s="6"/>
      <c r="W534" s="6"/>
      <c r="X534" s="6"/>
      <c r="Y534" s="6"/>
      <c r="Z534" s="6"/>
      <c r="AA534" s="6"/>
      <c r="AB534" s="6"/>
      <c r="AC534" s="6"/>
      <c r="AD534" s="6"/>
      <c r="AE534" s="6"/>
    </row>
    <row r="535" spans="22:31" ht="11.25" customHeight="1" x14ac:dyDescent="0.25">
      <c r="V535" s="6"/>
      <c r="W535" s="6"/>
      <c r="X535" s="6"/>
      <c r="Y535" s="6"/>
      <c r="Z535" s="6"/>
      <c r="AA535" s="6"/>
      <c r="AB535" s="6"/>
      <c r="AC535" s="6"/>
      <c r="AD535" s="6"/>
      <c r="AE535" s="6"/>
    </row>
    <row r="536" spans="22:31" ht="11.25" customHeight="1" x14ac:dyDescent="0.25">
      <c r="V536" s="6"/>
      <c r="W536" s="6"/>
      <c r="X536" s="6"/>
      <c r="Y536" s="6"/>
      <c r="Z536" s="6"/>
      <c r="AA536" s="6"/>
      <c r="AB536" s="6"/>
      <c r="AC536" s="6"/>
      <c r="AD536" s="6"/>
      <c r="AE536" s="6"/>
    </row>
    <row r="537" spans="22:31" ht="11.25" customHeight="1" x14ac:dyDescent="0.25">
      <c r="V537" s="6"/>
      <c r="W537" s="6"/>
      <c r="X537" s="6"/>
      <c r="Y537" s="6"/>
      <c r="Z537" s="6"/>
      <c r="AA537" s="6"/>
      <c r="AB537" s="6"/>
      <c r="AC537" s="6"/>
      <c r="AD537" s="6"/>
      <c r="AE537" s="6"/>
    </row>
    <row r="538" spans="22:31" ht="11.25" customHeight="1" x14ac:dyDescent="0.25">
      <c r="V538" s="6"/>
      <c r="W538" s="6"/>
      <c r="X538" s="6"/>
      <c r="Y538" s="6"/>
      <c r="Z538" s="6"/>
      <c r="AA538" s="6"/>
      <c r="AB538" s="6"/>
      <c r="AC538" s="6"/>
      <c r="AD538" s="6"/>
      <c r="AE538" s="6"/>
    </row>
    <row r="539" spans="22:31" ht="11.25" customHeight="1" x14ac:dyDescent="0.25">
      <c r="V539" s="6"/>
      <c r="W539" s="6"/>
      <c r="X539" s="6"/>
      <c r="Y539" s="6"/>
      <c r="Z539" s="6"/>
      <c r="AA539" s="6"/>
      <c r="AB539" s="6"/>
      <c r="AC539" s="6"/>
      <c r="AD539" s="6"/>
      <c r="AE539" s="6"/>
    </row>
    <row r="540" spans="22:31" ht="11.25" customHeight="1" x14ac:dyDescent="0.25">
      <c r="V540" s="6"/>
      <c r="W540" s="6"/>
      <c r="X540" s="6"/>
      <c r="Y540" s="6"/>
      <c r="Z540" s="6"/>
      <c r="AA540" s="6"/>
      <c r="AB540" s="6"/>
      <c r="AC540" s="6"/>
      <c r="AD540" s="6"/>
      <c r="AE540" s="6"/>
    </row>
    <row r="541" spans="22:31" ht="11.25" customHeight="1" x14ac:dyDescent="0.25">
      <c r="V541" s="6"/>
      <c r="W541" s="6"/>
      <c r="X541" s="6"/>
      <c r="Y541" s="6"/>
      <c r="Z541" s="6"/>
      <c r="AA541" s="6"/>
      <c r="AB541" s="6"/>
      <c r="AC541" s="6"/>
      <c r="AD541" s="6"/>
      <c r="AE541" s="6"/>
    </row>
    <row r="542" spans="22:31" ht="11.25" customHeight="1" x14ac:dyDescent="0.25">
      <c r="V542" s="6"/>
      <c r="W542" s="6"/>
      <c r="X542" s="6"/>
      <c r="Y542" s="6"/>
      <c r="Z542" s="6"/>
      <c r="AA542" s="6"/>
      <c r="AB542" s="6"/>
      <c r="AC542" s="6"/>
      <c r="AD542" s="6"/>
      <c r="AE542" s="6"/>
    </row>
    <row r="543" spans="22:31" ht="11.25" customHeight="1" x14ac:dyDescent="0.25">
      <c r="V543" s="6"/>
      <c r="W543" s="6"/>
      <c r="X543" s="6"/>
      <c r="Y543" s="6"/>
      <c r="Z543" s="6"/>
      <c r="AA543" s="6"/>
      <c r="AB543" s="6"/>
      <c r="AC543" s="6"/>
      <c r="AD543" s="6"/>
      <c r="AE543" s="6"/>
    </row>
    <row r="544" spans="22:31" ht="11.25" customHeight="1" x14ac:dyDescent="0.25">
      <c r="V544" s="6"/>
      <c r="W544" s="6"/>
      <c r="X544" s="6"/>
      <c r="Y544" s="6"/>
      <c r="Z544" s="6"/>
      <c r="AA544" s="6"/>
      <c r="AB544" s="6"/>
      <c r="AC544" s="6"/>
      <c r="AD544" s="6"/>
      <c r="AE544" s="6"/>
    </row>
    <row r="545" spans="22:31" ht="11.25" customHeight="1" x14ac:dyDescent="0.25">
      <c r="V545" s="6"/>
      <c r="W545" s="6"/>
      <c r="X545" s="6"/>
      <c r="Y545" s="6"/>
      <c r="Z545" s="6"/>
      <c r="AA545" s="6"/>
      <c r="AB545" s="6"/>
      <c r="AC545" s="6"/>
      <c r="AD545" s="6"/>
      <c r="AE545" s="6"/>
    </row>
    <row r="546" spans="22:31" ht="11.25" customHeight="1" x14ac:dyDescent="0.25">
      <c r="V546" s="6"/>
      <c r="W546" s="6"/>
      <c r="X546" s="6"/>
      <c r="Y546" s="6"/>
      <c r="Z546" s="6"/>
      <c r="AA546" s="6"/>
      <c r="AB546" s="6"/>
      <c r="AC546" s="6"/>
      <c r="AD546" s="6"/>
      <c r="AE546" s="6"/>
    </row>
    <row r="547" spans="22:31" ht="11.25" customHeight="1" x14ac:dyDescent="0.25">
      <c r="V547" s="6"/>
      <c r="W547" s="6"/>
      <c r="X547" s="6"/>
      <c r="Y547" s="6"/>
      <c r="Z547" s="6"/>
      <c r="AA547" s="6"/>
      <c r="AB547" s="6"/>
      <c r="AC547" s="6"/>
      <c r="AD547" s="6"/>
      <c r="AE547" s="6"/>
    </row>
    <row r="548" spans="22:31" ht="11.25" customHeight="1" x14ac:dyDescent="0.25">
      <c r="V548" s="6"/>
      <c r="W548" s="6"/>
      <c r="X548" s="6"/>
      <c r="Y548" s="6"/>
      <c r="Z548" s="6"/>
      <c r="AA548" s="6"/>
      <c r="AB548" s="6"/>
      <c r="AC548" s="6"/>
      <c r="AD548" s="6"/>
      <c r="AE548" s="6"/>
    </row>
    <row r="549" spans="22:31" ht="11.25" customHeight="1" x14ac:dyDescent="0.25">
      <c r="V549" s="6"/>
      <c r="W549" s="6"/>
      <c r="X549" s="6"/>
      <c r="Y549" s="6"/>
      <c r="Z549" s="6"/>
      <c r="AA549" s="6"/>
      <c r="AB549" s="6"/>
      <c r="AC549" s="6"/>
      <c r="AD549" s="6"/>
      <c r="AE549" s="6"/>
    </row>
    <row r="550" spans="22:31" ht="11.25" customHeight="1" x14ac:dyDescent="0.25">
      <c r="V550" s="6"/>
      <c r="W550" s="6"/>
      <c r="X550" s="6"/>
      <c r="Y550" s="6"/>
      <c r="Z550" s="6"/>
      <c r="AA550" s="6"/>
      <c r="AB550" s="6"/>
      <c r="AC550" s="6"/>
      <c r="AD550" s="6"/>
      <c r="AE550" s="6"/>
    </row>
    <row r="551" spans="22:31" ht="11.25" customHeight="1" x14ac:dyDescent="0.25">
      <c r="V551" s="6"/>
      <c r="W551" s="6"/>
      <c r="X551" s="6"/>
      <c r="Y551" s="6"/>
      <c r="Z551" s="6"/>
      <c r="AA551" s="6"/>
      <c r="AB551" s="6"/>
      <c r="AC551" s="6"/>
      <c r="AD551" s="6"/>
      <c r="AE551" s="6"/>
    </row>
    <row r="552" spans="22:31" ht="11.25" customHeight="1" x14ac:dyDescent="0.25">
      <c r="V552" s="6"/>
      <c r="W552" s="6"/>
      <c r="X552" s="6"/>
      <c r="Y552" s="6"/>
      <c r="Z552" s="6"/>
      <c r="AA552" s="6"/>
      <c r="AB552" s="6"/>
      <c r="AC552" s="6"/>
      <c r="AD552" s="6"/>
      <c r="AE552" s="6"/>
    </row>
    <row r="553" spans="22:31" ht="11.25" customHeight="1" x14ac:dyDescent="0.25">
      <c r="V553" s="6"/>
      <c r="W553" s="6"/>
      <c r="X553" s="6"/>
      <c r="Y553" s="6"/>
      <c r="Z553" s="6"/>
      <c r="AA553" s="6"/>
      <c r="AB553" s="6"/>
      <c r="AC553" s="6"/>
      <c r="AD553" s="6"/>
      <c r="AE553" s="6"/>
    </row>
    <row r="554" spans="22:31" ht="11.25" customHeight="1" x14ac:dyDescent="0.25">
      <c r="V554" s="6"/>
      <c r="W554" s="6"/>
      <c r="X554" s="6"/>
      <c r="Y554" s="6"/>
      <c r="Z554" s="6"/>
      <c r="AA554" s="6"/>
      <c r="AB554" s="6"/>
      <c r="AC554" s="6"/>
      <c r="AD554" s="6"/>
      <c r="AE554" s="6"/>
    </row>
    <row r="555" spans="22:31" ht="11.25" customHeight="1" x14ac:dyDescent="0.25">
      <c r="V555" s="6"/>
      <c r="W555" s="6"/>
      <c r="X555" s="6"/>
      <c r="Y555" s="6"/>
      <c r="Z555" s="6"/>
      <c r="AA555" s="6"/>
      <c r="AB555" s="6"/>
      <c r="AC555" s="6"/>
      <c r="AD555" s="6"/>
      <c r="AE555" s="6"/>
    </row>
    <row r="556" spans="22:31" ht="11.25" customHeight="1" x14ac:dyDescent="0.25">
      <c r="V556" s="6"/>
      <c r="W556" s="6"/>
      <c r="X556" s="6"/>
      <c r="Y556" s="6"/>
      <c r="Z556" s="6"/>
      <c r="AA556" s="6"/>
      <c r="AB556" s="6"/>
      <c r="AC556" s="6"/>
      <c r="AD556" s="6"/>
      <c r="AE556" s="6"/>
    </row>
    <row r="557" spans="22:31" ht="11.25" customHeight="1" x14ac:dyDescent="0.25">
      <c r="V557" s="6"/>
      <c r="W557" s="6"/>
      <c r="X557" s="6"/>
      <c r="Y557" s="6"/>
      <c r="Z557" s="6"/>
      <c r="AA557" s="6"/>
      <c r="AB557" s="6"/>
      <c r="AC557" s="6"/>
      <c r="AD557" s="6"/>
      <c r="AE557" s="6"/>
    </row>
    <row r="558" spans="22:31" ht="11.25" customHeight="1" x14ac:dyDescent="0.25">
      <c r="V558" s="6"/>
      <c r="W558" s="6"/>
      <c r="X558" s="6"/>
      <c r="Y558" s="6"/>
      <c r="Z558" s="6"/>
      <c r="AA558" s="6"/>
      <c r="AB558" s="6"/>
      <c r="AC558" s="6"/>
      <c r="AD558" s="6"/>
      <c r="AE558" s="6"/>
    </row>
    <row r="559" spans="22:31" ht="11.25" customHeight="1" x14ac:dyDescent="0.25">
      <c r="V559" s="6"/>
      <c r="W559" s="6"/>
      <c r="X559" s="6"/>
      <c r="Y559" s="6"/>
      <c r="Z559" s="6"/>
      <c r="AA559" s="6"/>
      <c r="AB559" s="6"/>
      <c r="AC559" s="6"/>
      <c r="AD559" s="6"/>
      <c r="AE559" s="6"/>
    </row>
    <row r="560" spans="22:31" ht="11.25" customHeight="1" x14ac:dyDescent="0.25">
      <c r="V560" s="6"/>
      <c r="W560" s="6"/>
      <c r="X560" s="6"/>
      <c r="Y560" s="6"/>
      <c r="Z560" s="6"/>
      <c r="AA560" s="6"/>
      <c r="AB560" s="6"/>
      <c r="AC560" s="6"/>
      <c r="AD560" s="6"/>
      <c r="AE560" s="6"/>
    </row>
    <row r="561" spans="22:31" ht="11.25" customHeight="1" x14ac:dyDescent="0.25">
      <c r="V561" s="6"/>
      <c r="W561" s="6"/>
      <c r="X561" s="6"/>
      <c r="Y561" s="6"/>
      <c r="Z561" s="6"/>
      <c r="AA561" s="6"/>
      <c r="AB561" s="6"/>
      <c r="AC561" s="6"/>
      <c r="AD561" s="6"/>
      <c r="AE561" s="6"/>
    </row>
    <row r="562" spans="22:31" ht="11.25" customHeight="1" x14ac:dyDescent="0.25">
      <c r="V562" s="6"/>
      <c r="W562" s="6"/>
      <c r="X562" s="6"/>
      <c r="Y562" s="6"/>
      <c r="Z562" s="6"/>
      <c r="AA562" s="6"/>
      <c r="AB562" s="6"/>
      <c r="AC562" s="6"/>
      <c r="AD562" s="6"/>
      <c r="AE562" s="6"/>
    </row>
    <row r="563" spans="22:31" ht="11.25" customHeight="1" x14ac:dyDescent="0.25">
      <c r="V563" s="6"/>
      <c r="W563" s="6"/>
      <c r="X563" s="6"/>
      <c r="Y563" s="6"/>
      <c r="Z563" s="6"/>
      <c r="AA563" s="6"/>
      <c r="AB563" s="6"/>
      <c r="AC563" s="6"/>
      <c r="AD563" s="6"/>
      <c r="AE563" s="6"/>
    </row>
    <row r="564" spans="22:31" ht="11.25" customHeight="1" x14ac:dyDescent="0.25">
      <c r="V564" s="6"/>
      <c r="W564" s="6"/>
      <c r="X564" s="6"/>
      <c r="Y564" s="6"/>
      <c r="Z564" s="6"/>
      <c r="AA564" s="6"/>
      <c r="AB564" s="6"/>
      <c r="AC564" s="6"/>
      <c r="AD564" s="6"/>
      <c r="AE564" s="6"/>
    </row>
    <row r="565" spans="22:31" ht="11.25" customHeight="1" x14ac:dyDescent="0.25">
      <c r="V565" s="6"/>
      <c r="W565" s="6"/>
      <c r="X565" s="6"/>
      <c r="Y565" s="6"/>
      <c r="Z565" s="6"/>
      <c r="AA565" s="6"/>
      <c r="AB565" s="6"/>
      <c r="AC565" s="6"/>
      <c r="AD565" s="6"/>
      <c r="AE565" s="6"/>
    </row>
    <row r="566" spans="22:31" ht="11.25" customHeight="1" x14ac:dyDescent="0.25">
      <c r="V566" s="6"/>
      <c r="W566" s="6"/>
      <c r="X566" s="6"/>
      <c r="Y566" s="6"/>
      <c r="Z566" s="6"/>
      <c r="AA566" s="6"/>
      <c r="AB566" s="6"/>
      <c r="AC566" s="6"/>
      <c r="AD566" s="6"/>
      <c r="AE566" s="6"/>
    </row>
    <row r="567" spans="22:31" ht="11.25" customHeight="1" x14ac:dyDescent="0.25">
      <c r="V567" s="6"/>
      <c r="W567" s="6"/>
      <c r="X567" s="6"/>
      <c r="Y567" s="6"/>
      <c r="Z567" s="6"/>
      <c r="AA567" s="6"/>
      <c r="AB567" s="6"/>
      <c r="AC567" s="6"/>
      <c r="AD567" s="6"/>
      <c r="AE567" s="6"/>
    </row>
    <row r="568" spans="22:31" ht="11.25" customHeight="1" x14ac:dyDescent="0.25">
      <c r="V568" s="6"/>
      <c r="W568" s="6"/>
      <c r="X568" s="6"/>
      <c r="Y568" s="6"/>
      <c r="Z568" s="6"/>
      <c r="AA568" s="6"/>
      <c r="AB568" s="6"/>
      <c r="AC568" s="6"/>
      <c r="AD568" s="6"/>
      <c r="AE568" s="6"/>
    </row>
    <row r="569" spans="22:31" ht="11.25" customHeight="1" x14ac:dyDescent="0.25">
      <c r="V569" s="6"/>
      <c r="W569" s="6"/>
      <c r="X569" s="6"/>
      <c r="Y569" s="6"/>
      <c r="Z569" s="6"/>
      <c r="AA569" s="6"/>
      <c r="AB569" s="6"/>
      <c r="AC569" s="6"/>
      <c r="AD569" s="6"/>
      <c r="AE569" s="6"/>
    </row>
    <row r="570" spans="22:31" ht="11.25" customHeight="1" x14ac:dyDescent="0.25">
      <c r="V570" s="6"/>
      <c r="W570" s="6"/>
      <c r="X570" s="6"/>
      <c r="Y570" s="6"/>
      <c r="Z570" s="6"/>
      <c r="AA570" s="6"/>
      <c r="AB570" s="6"/>
      <c r="AC570" s="6"/>
      <c r="AD570" s="6"/>
      <c r="AE570" s="6"/>
    </row>
    <row r="571" spans="22:31" ht="11.25" customHeight="1" x14ac:dyDescent="0.25">
      <c r="V571" s="6"/>
      <c r="W571" s="6"/>
      <c r="X571" s="6"/>
      <c r="Y571" s="6"/>
      <c r="Z571" s="6"/>
      <c r="AA571" s="6"/>
      <c r="AB571" s="6"/>
      <c r="AC571" s="6"/>
      <c r="AD571" s="6"/>
      <c r="AE571" s="6"/>
    </row>
    <row r="572" spans="22:31" ht="11.25" customHeight="1" x14ac:dyDescent="0.25">
      <c r="V572" s="6"/>
      <c r="W572" s="6"/>
      <c r="X572" s="6"/>
      <c r="Y572" s="6"/>
      <c r="Z572" s="6"/>
      <c r="AA572" s="6"/>
      <c r="AB572" s="6"/>
      <c r="AC572" s="6"/>
      <c r="AD572" s="6"/>
      <c r="AE572" s="6"/>
    </row>
    <row r="573" spans="22:31" ht="11.25" customHeight="1" x14ac:dyDescent="0.25">
      <c r="V573" s="6"/>
      <c r="W573" s="6"/>
      <c r="X573" s="6"/>
      <c r="Y573" s="6"/>
      <c r="Z573" s="6"/>
      <c r="AA573" s="6"/>
      <c r="AB573" s="6"/>
      <c r="AC573" s="6"/>
      <c r="AD573" s="6"/>
      <c r="AE573" s="6"/>
    </row>
    <row r="574" spans="22:31" ht="11.25" customHeight="1" x14ac:dyDescent="0.25">
      <c r="V574" s="6"/>
      <c r="W574" s="6"/>
      <c r="X574" s="6"/>
      <c r="Y574" s="6"/>
      <c r="Z574" s="6"/>
      <c r="AA574" s="6"/>
      <c r="AB574" s="6"/>
      <c r="AC574" s="6"/>
      <c r="AD574" s="6"/>
      <c r="AE574" s="6"/>
    </row>
    <row r="575" spans="22:31" ht="11.25" customHeight="1" x14ac:dyDescent="0.25">
      <c r="V575" s="6"/>
      <c r="W575" s="6"/>
      <c r="X575" s="6"/>
      <c r="Y575" s="6"/>
      <c r="Z575" s="6"/>
      <c r="AA575" s="6"/>
      <c r="AB575" s="6"/>
      <c r="AC575" s="6"/>
      <c r="AD575" s="6"/>
      <c r="AE575" s="6"/>
    </row>
    <row r="576" spans="22:31" ht="11.25" customHeight="1" x14ac:dyDescent="0.25">
      <c r="V576" s="6"/>
      <c r="W576" s="6"/>
      <c r="X576" s="6"/>
      <c r="Y576" s="6"/>
      <c r="Z576" s="6"/>
      <c r="AA576" s="6"/>
      <c r="AB576" s="6"/>
      <c r="AC576" s="6"/>
      <c r="AD576" s="6"/>
      <c r="AE576" s="6"/>
    </row>
    <row r="577" spans="22:31" ht="11.25" customHeight="1" x14ac:dyDescent="0.25">
      <c r="V577" s="6"/>
      <c r="W577" s="6"/>
      <c r="X577" s="6"/>
      <c r="Y577" s="6"/>
      <c r="Z577" s="6"/>
      <c r="AA577" s="6"/>
      <c r="AB577" s="6"/>
      <c r="AC577" s="6"/>
      <c r="AD577" s="6"/>
      <c r="AE577" s="6"/>
    </row>
    <row r="578" spans="22:31" ht="11.25" customHeight="1" x14ac:dyDescent="0.25">
      <c r="V578" s="6"/>
      <c r="W578" s="6"/>
      <c r="X578" s="6"/>
      <c r="Y578" s="6"/>
      <c r="Z578" s="6"/>
      <c r="AA578" s="6"/>
      <c r="AB578" s="6"/>
      <c r="AC578" s="6"/>
      <c r="AD578" s="6"/>
      <c r="AE578" s="6"/>
    </row>
    <row r="579" spans="22:31" ht="11.25" customHeight="1" x14ac:dyDescent="0.25">
      <c r="V579" s="6"/>
      <c r="W579" s="6"/>
      <c r="X579" s="6"/>
      <c r="Y579" s="6"/>
      <c r="Z579" s="6"/>
      <c r="AA579" s="6"/>
      <c r="AB579" s="6"/>
      <c r="AC579" s="6"/>
      <c r="AD579" s="6"/>
      <c r="AE579" s="6"/>
    </row>
    <row r="580" spans="22:31" ht="11.25" customHeight="1" x14ac:dyDescent="0.25">
      <c r="V580" s="6"/>
      <c r="W580" s="6"/>
      <c r="X580" s="6"/>
      <c r="Y580" s="6"/>
      <c r="Z580" s="6"/>
      <c r="AA580" s="6"/>
      <c r="AB580" s="6"/>
      <c r="AC580" s="6"/>
      <c r="AD580" s="6"/>
      <c r="AE580" s="6"/>
    </row>
    <row r="581" spans="22:31" ht="11.25" customHeight="1" x14ac:dyDescent="0.25">
      <c r="V581" s="6"/>
      <c r="W581" s="6"/>
      <c r="X581" s="6"/>
      <c r="Y581" s="6"/>
      <c r="Z581" s="6"/>
      <c r="AA581" s="6"/>
      <c r="AB581" s="6"/>
      <c r="AC581" s="6"/>
      <c r="AD581" s="6"/>
      <c r="AE581" s="6"/>
    </row>
    <row r="582" spans="22:31" ht="11.25" customHeight="1" x14ac:dyDescent="0.25">
      <c r="V582" s="6"/>
      <c r="W582" s="6"/>
      <c r="X582" s="6"/>
      <c r="Y582" s="6"/>
      <c r="Z582" s="6"/>
      <c r="AA582" s="6"/>
      <c r="AB582" s="6"/>
      <c r="AC582" s="6"/>
      <c r="AD582" s="6"/>
      <c r="AE582" s="6"/>
    </row>
    <row r="583" spans="22:31" ht="11.25" customHeight="1" x14ac:dyDescent="0.25">
      <c r="V583" s="6"/>
      <c r="W583" s="6"/>
      <c r="X583" s="6"/>
      <c r="Y583" s="6"/>
      <c r="Z583" s="6"/>
      <c r="AA583" s="6"/>
      <c r="AB583" s="6"/>
      <c r="AC583" s="6"/>
      <c r="AD583" s="6"/>
      <c r="AE583" s="6"/>
    </row>
    <row r="584" spans="22:31" ht="11.25" customHeight="1" x14ac:dyDescent="0.25">
      <c r="V584" s="6"/>
      <c r="W584" s="6"/>
      <c r="X584" s="6"/>
      <c r="Y584" s="6"/>
      <c r="Z584" s="6"/>
      <c r="AA584" s="6"/>
      <c r="AB584" s="6"/>
      <c r="AC584" s="6"/>
      <c r="AD584" s="6"/>
      <c r="AE584" s="6"/>
    </row>
    <row r="585" spans="22:31" ht="11.25" customHeight="1" x14ac:dyDescent="0.25">
      <c r="V585" s="6"/>
      <c r="W585" s="6"/>
      <c r="X585" s="6"/>
      <c r="Y585" s="6"/>
      <c r="Z585" s="6"/>
      <c r="AA585" s="6"/>
      <c r="AB585" s="6"/>
      <c r="AC585" s="6"/>
      <c r="AD585" s="6"/>
      <c r="AE585" s="6"/>
    </row>
    <row r="586" spans="22:31" ht="11.25" customHeight="1" x14ac:dyDescent="0.25">
      <c r="V586" s="6"/>
      <c r="W586" s="6"/>
      <c r="X586" s="6"/>
      <c r="Y586" s="6"/>
      <c r="Z586" s="6"/>
      <c r="AA586" s="6"/>
      <c r="AB586" s="6"/>
      <c r="AC586" s="6"/>
      <c r="AD586" s="6"/>
      <c r="AE586" s="6"/>
    </row>
    <row r="587" spans="22:31" ht="11.25" customHeight="1" x14ac:dyDescent="0.25">
      <c r="V587" s="6"/>
      <c r="W587" s="6"/>
      <c r="X587" s="6"/>
      <c r="Y587" s="6"/>
      <c r="Z587" s="6"/>
      <c r="AA587" s="6"/>
      <c r="AB587" s="6"/>
      <c r="AC587" s="6"/>
      <c r="AD587" s="6"/>
      <c r="AE587" s="6"/>
    </row>
    <row r="588" spans="22:31" ht="11.25" customHeight="1" x14ac:dyDescent="0.25">
      <c r="V588" s="6"/>
      <c r="W588" s="6"/>
      <c r="X588" s="6"/>
      <c r="Y588" s="6"/>
      <c r="Z588" s="6"/>
      <c r="AA588" s="6"/>
      <c r="AB588" s="6"/>
      <c r="AC588" s="6"/>
      <c r="AD588" s="6"/>
      <c r="AE588" s="6"/>
    </row>
    <row r="589" spans="22:31" ht="11.25" customHeight="1" x14ac:dyDescent="0.25">
      <c r="V589" s="6"/>
      <c r="W589" s="6"/>
      <c r="X589" s="6"/>
      <c r="Y589" s="6"/>
      <c r="Z589" s="6"/>
      <c r="AA589" s="6"/>
      <c r="AB589" s="6"/>
      <c r="AC589" s="6"/>
      <c r="AD589" s="6"/>
      <c r="AE589" s="6"/>
    </row>
    <row r="590" spans="22:31" ht="11.25" customHeight="1" x14ac:dyDescent="0.25">
      <c r="V590" s="6"/>
      <c r="W590" s="6"/>
      <c r="X590" s="6"/>
      <c r="Y590" s="6"/>
      <c r="Z590" s="6"/>
      <c r="AA590" s="6"/>
      <c r="AB590" s="6"/>
      <c r="AC590" s="6"/>
      <c r="AD590" s="6"/>
      <c r="AE590" s="6"/>
    </row>
    <row r="591" spans="22:31" ht="11.25" customHeight="1" x14ac:dyDescent="0.25">
      <c r="V591" s="6"/>
      <c r="W591" s="6"/>
      <c r="X591" s="6"/>
      <c r="Y591" s="6"/>
      <c r="Z591" s="6"/>
      <c r="AA591" s="6"/>
      <c r="AB591" s="6"/>
      <c r="AC591" s="6"/>
      <c r="AD591" s="6"/>
      <c r="AE591" s="6"/>
    </row>
    <row r="592" spans="22:31" ht="11.25" customHeight="1" x14ac:dyDescent="0.25">
      <c r="V592" s="6"/>
      <c r="W592" s="6"/>
      <c r="X592" s="6"/>
      <c r="Y592" s="6"/>
      <c r="Z592" s="6"/>
      <c r="AA592" s="6"/>
      <c r="AB592" s="6"/>
      <c r="AC592" s="6"/>
      <c r="AD592" s="6"/>
      <c r="AE592" s="6"/>
    </row>
    <row r="593" spans="22:31" ht="11.25" customHeight="1" x14ac:dyDescent="0.25">
      <c r="V593" s="6"/>
      <c r="W593" s="6"/>
      <c r="X593" s="6"/>
      <c r="Y593" s="6"/>
      <c r="Z593" s="6"/>
      <c r="AA593" s="6"/>
      <c r="AB593" s="6"/>
      <c r="AC593" s="6"/>
      <c r="AD593" s="6"/>
      <c r="AE593" s="6"/>
    </row>
    <row r="594" spans="22:31" ht="11.25" customHeight="1" x14ac:dyDescent="0.25">
      <c r="V594" s="6"/>
      <c r="W594" s="6"/>
      <c r="X594" s="6"/>
      <c r="Y594" s="6"/>
      <c r="Z594" s="6"/>
      <c r="AA594" s="6"/>
      <c r="AB594" s="6"/>
      <c r="AC594" s="6"/>
      <c r="AD594" s="6"/>
      <c r="AE594" s="6"/>
    </row>
    <row r="595" spans="22:31" ht="11.25" customHeight="1" x14ac:dyDescent="0.25">
      <c r="V595" s="6"/>
      <c r="W595" s="6"/>
      <c r="X595" s="6"/>
      <c r="Y595" s="6"/>
      <c r="Z595" s="6"/>
      <c r="AA595" s="6"/>
      <c r="AB595" s="6"/>
      <c r="AC595" s="6"/>
      <c r="AD595" s="6"/>
      <c r="AE595" s="6"/>
    </row>
    <row r="596" spans="22:31" ht="11.25" customHeight="1" x14ac:dyDescent="0.25">
      <c r="V596" s="6"/>
      <c r="W596" s="6"/>
      <c r="X596" s="6"/>
      <c r="Y596" s="6"/>
      <c r="Z596" s="6"/>
      <c r="AA596" s="6"/>
      <c r="AB596" s="6"/>
      <c r="AC596" s="6"/>
      <c r="AD596" s="6"/>
      <c r="AE596" s="6"/>
    </row>
    <row r="597" spans="22:31" ht="11.25" customHeight="1" x14ac:dyDescent="0.25">
      <c r="V597" s="6"/>
      <c r="W597" s="6"/>
      <c r="X597" s="6"/>
      <c r="Y597" s="6"/>
      <c r="Z597" s="6"/>
      <c r="AA597" s="6"/>
      <c r="AB597" s="6"/>
      <c r="AC597" s="6"/>
      <c r="AD597" s="6"/>
      <c r="AE597" s="6"/>
    </row>
    <row r="598" spans="22:31" ht="11.25" customHeight="1" x14ac:dyDescent="0.25">
      <c r="V598" s="6"/>
      <c r="W598" s="6"/>
      <c r="X598" s="6"/>
      <c r="Y598" s="6"/>
      <c r="Z598" s="6"/>
      <c r="AA598" s="6"/>
      <c r="AB598" s="6"/>
      <c r="AC598" s="6"/>
      <c r="AD598" s="6"/>
      <c r="AE598" s="6"/>
    </row>
    <row r="599" spans="22:31" ht="11.25" customHeight="1" x14ac:dyDescent="0.25">
      <c r="V599" s="6"/>
      <c r="W599" s="6"/>
      <c r="X599" s="6"/>
      <c r="Y599" s="6"/>
      <c r="Z599" s="6"/>
      <c r="AA599" s="6"/>
      <c r="AB599" s="6"/>
      <c r="AC599" s="6"/>
      <c r="AD599" s="6"/>
      <c r="AE599" s="6"/>
    </row>
    <row r="600" spans="22:31" ht="11.25" customHeight="1" x14ac:dyDescent="0.25">
      <c r="V600" s="6"/>
      <c r="W600" s="6"/>
      <c r="X600" s="6"/>
      <c r="Y600" s="6"/>
      <c r="Z600" s="6"/>
      <c r="AA600" s="6"/>
      <c r="AB600" s="6"/>
      <c r="AC600" s="6"/>
      <c r="AD600" s="6"/>
      <c r="AE600" s="6"/>
    </row>
    <row r="601" spans="22:31" ht="11.25" customHeight="1" x14ac:dyDescent="0.25">
      <c r="V601" s="6"/>
      <c r="W601" s="6"/>
      <c r="X601" s="6"/>
      <c r="Y601" s="6"/>
      <c r="Z601" s="6"/>
      <c r="AA601" s="6"/>
      <c r="AB601" s="6"/>
      <c r="AC601" s="6"/>
      <c r="AD601" s="6"/>
      <c r="AE601" s="6"/>
    </row>
    <row r="602" spans="22:31" ht="11.25" customHeight="1" x14ac:dyDescent="0.25">
      <c r="V602" s="6"/>
      <c r="W602" s="6"/>
      <c r="X602" s="6"/>
      <c r="Y602" s="6"/>
      <c r="Z602" s="6"/>
      <c r="AA602" s="6"/>
      <c r="AB602" s="6"/>
      <c r="AC602" s="6"/>
      <c r="AD602" s="6"/>
      <c r="AE602" s="6"/>
    </row>
    <row r="603" spans="22:31" ht="11.25" customHeight="1" x14ac:dyDescent="0.25">
      <c r="V603" s="6"/>
      <c r="W603" s="6"/>
      <c r="X603" s="6"/>
      <c r="Y603" s="6"/>
      <c r="Z603" s="6"/>
      <c r="AA603" s="6"/>
      <c r="AB603" s="6"/>
      <c r="AC603" s="6"/>
      <c r="AD603" s="6"/>
      <c r="AE603" s="6"/>
    </row>
    <row r="604" spans="22:31" ht="11.25" customHeight="1" x14ac:dyDescent="0.25">
      <c r="V604" s="6"/>
      <c r="W604" s="6"/>
      <c r="X604" s="6"/>
      <c r="Y604" s="6"/>
      <c r="Z604" s="6"/>
      <c r="AA604" s="6"/>
      <c r="AB604" s="6"/>
      <c r="AC604" s="6"/>
      <c r="AD604" s="6"/>
      <c r="AE604" s="6"/>
    </row>
    <row r="605" spans="22:31" ht="11.25" customHeight="1" x14ac:dyDescent="0.25">
      <c r="V605" s="6"/>
      <c r="W605" s="6"/>
      <c r="X605" s="6"/>
      <c r="Y605" s="6"/>
      <c r="Z605" s="6"/>
      <c r="AA605" s="6"/>
      <c r="AB605" s="6"/>
      <c r="AC605" s="6"/>
      <c r="AD605" s="6"/>
      <c r="AE605" s="6"/>
    </row>
    <row r="606" spans="22:31" ht="11.25" customHeight="1" x14ac:dyDescent="0.25">
      <c r="V606" s="6"/>
      <c r="W606" s="6"/>
      <c r="X606" s="6"/>
      <c r="Y606" s="6"/>
      <c r="Z606" s="6"/>
      <c r="AA606" s="6"/>
      <c r="AB606" s="6"/>
      <c r="AC606" s="6"/>
      <c r="AD606" s="6"/>
      <c r="AE606" s="6"/>
    </row>
    <row r="607" spans="22:31" ht="11.25" customHeight="1" x14ac:dyDescent="0.25">
      <c r="V607" s="6"/>
      <c r="W607" s="6"/>
      <c r="X607" s="6"/>
      <c r="Y607" s="6"/>
      <c r="Z607" s="6"/>
      <c r="AA607" s="6"/>
      <c r="AB607" s="6"/>
      <c r="AC607" s="6"/>
      <c r="AD607" s="6"/>
      <c r="AE607" s="6"/>
    </row>
    <row r="608" spans="22:31" ht="11.25" customHeight="1" x14ac:dyDescent="0.25">
      <c r="V608" s="6"/>
      <c r="W608" s="6"/>
      <c r="X608" s="6"/>
      <c r="Y608" s="6"/>
      <c r="Z608" s="6"/>
      <c r="AA608" s="6"/>
      <c r="AB608" s="6"/>
      <c r="AC608" s="6"/>
      <c r="AD608" s="6"/>
      <c r="AE608" s="6"/>
    </row>
    <row r="609" spans="22:31" ht="11.25" customHeight="1" x14ac:dyDescent="0.25">
      <c r="V609" s="6"/>
      <c r="W609" s="6"/>
      <c r="X609" s="6"/>
      <c r="Y609" s="6"/>
      <c r="Z609" s="6"/>
      <c r="AA609" s="6"/>
      <c r="AB609" s="6"/>
      <c r="AC609" s="6"/>
      <c r="AD609" s="6"/>
      <c r="AE609" s="6"/>
    </row>
    <row r="610" spans="22:31" ht="11.25" customHeight="1" x14ac:dyDescent="0.25">
      <c r="V610" s="6"/>
      <c r="W610" s="6"/>
      <c r="X610" s="6"/>
      <c r="Y610" s="6"/>
      <c r="Z610" s="6"/>
      <c r="AA610" s="6"/>
      <c r="AB610" s="6"/>
      <c r="AC610" s="6"/>
      <c r="AD610" s="6"/>
      <c r="AE610" s="6"/>
    </row>
    <row r="611" spans="22:31" ht="11.25" customHeight="1" x14ac:dyDescent="0.25">
      <c r="V611" s="6"/>
      <c r="W611" s="6"/>
      <c r="X611" s="6"/>
      <c r="Y611" s="6"/>
      <c r="Z611" s="6"/>
      <c r="AA611" s="6"/>
      <c r="AB611" s="6"/>
      <c r="AC611" s="6"/>
      <c r="AD611" s="6"/>
      <c r="AE611" s="6"/>
    </row>
    <row r="612" spans="22:31" ht="11.25" customHeight="1" x14ac:dyDescent="0.25">
      <c r="V612" s="6"/>
      <c r="W612" s="6"/>
      <c r="X612" s="6"/>
      <c r="Y612" s="6"/>
      <c r="Z612" s="6"/>
      <c r="AA612" s="6"/>
      <c r="AB612" s="6"/>
      <c r="AC612" s="6"/>
      <c r="AD612" s="6"/>
      <c r="AE612" s="6"/>
    </row>
    <row r="613" spans="22:31" ht="11.25" customHeight="1" x14ac:dyDescent="0.25">
      <c r="V613" s="6"/>
      <c r="W613" s="6"/>
      <c r="X613" s="6"/>
      <c r="Y613" s="6"/>
      <c r="Z613" s="6"/>
      <c r="AA613" s="6"/>
      <c r="AB613" s="6"/>
      <c r="AC613" s="6"/>
      <c r="AD613" s="6"/>
      <c r="AE613" s="6"/>
    </row>
    <row r="614" spans="22:31" ht="11.25" customHeight="1" x14ac:dyDescent="0.25">
      <c r="V614" s="6"/>
      <c r="W614" s="6"/>
      <c r="X614" s="6"/>
      <c r="Y614" s="6"/>
      <c r="Z614" s="6"/>
      <c r="AA614" s="6"/>
      <c r="AB614" s="6"/>
      <c r="AC614" s="6"/>
      <c r="AD614" s="6"/>
      <c r="AE614" s="6"/>
    </row>
    <row r="615" spans="22:31" ht="11.25" customHeight="1" x14ac:dyDescent="0.25">
      <c r="V615" s="6"/>
      <c r="W615" s="6"/>
      <c r="X615" s="6"/>
      <c r="Y615" s="6"/>
      <c r="Z615" s="6"/>
      <c r="AA615" s="6"/>
      <c r="AB615" s="6"/>
      <c r="AC615" s="6"/>
      <c r="AD615" s="6"/>
      <c r="AE615" s="6"/>
    </row>
    <row r="616" spans="22:31" ht="11.25" customHeight="1" x14ac:dyDescent="0.25">
      <c r="V616" s="6"/>
      <c r="W616" s="6"/>
      <c r="X616" s="6"/>
      <c r="Y616" s="6"/>
      <c r="Z616" s="6"/>
      <c r="AA616" s="6"/>
      <c r="AB616" s="6"/>
      <c r="AC616" s="6"/>
      <c r="AD616" s="6"/>
      <c r="AE616" s="6"/>
    </row>
    <row r="617" spans="22:31" ht="11.25" customHeight="1" x14ac:dyDescent="0.25">
      <c r="V617" s="6"/>
      <c r="W617" s="6"/>
      <c r="X617" s="6"/>
      <c r="Y617" s="6"/>
      <c r="Z617" s="6"/>
      <c r="AA617" s="6"/>
      <c r="AB617" s="6"/>
      <c r="AC617" s="6"/>
      <c r="AD617" s="6"/>
      <c r="AE617" s="6"/>
    </row>
    <row r="618" spans="22:31" ht="11.25" customHeight="1" x14ac:dyDescent="0.25">
      <c r="V618" s="6"/>
      <c r="W618" s="6"/>
      <c r="X618" s="6"/>
      <c r="Y618" s="6"/>
      <c r="Z618" s="6"/>
      <c r="AA618" s="6"/>
      <c r="AB618" s="6"/>
      <c r="AC618" s="6"/>
      <c r="AD618" s="6"/>
      <c r="AE618" s="6"/>
    </row>
    <row r="619" spans="22:31" ht="11.25" customHeight="1" x14ac:dyDescent="0.25">
      <c r="V619" s="6"/>
      <c r="W619" s="6"/>
      <c r="X619" s="6"/>
      <c r="Y619" s="6"/>
      <c r="Z619" s="6"/>
      <c r="AA619" s="6"/>
      <c r="AB619" s="6"/>
      <c r="AC619" s="6"/>
      <c r="AD619" s="6"/>
      <c r="AE619" s="6"/>
    </row>
    <row r="620" spans="22:31" ht="11.25" customHeight="1" x14ac:dyDescent="0.25">
      <c r="V620" s="6"/>
      <c r="W620" s="6"/>
      <c r="X620" s="6"/>
      <c r="Y620" s="6"/>
      <c r="Z620" s="6"/>
      <c r="AA620" s="6"/>
      <c r="AB620" s="6"/>
      <c r="AC620" s="6"/>
      <c r="AD620" s="6"/>
      <c r="AE620" s="6"/>
    </row>
    <row r="621" spans="22:31" ht="11.25" customHeight="1" x14ac:dyDescent="0.25">
      <c r="V621" s="6"/>
      <c r="W621" s="6"/>
      <c r="X621" s="6"/>
      <c r="Y621" s="6"/>
      <c r="Z621" s="6"/>
      <c r="AA621" s="6"/>
      <c r="AB621" s="6"/>
      <c r="AC621" s="6"/>
      <c r="AD621" s="6"/>
      <c r="AE621" s="6"/>
    </row>
    <row r="622" spans="22:31" ht="11.25" customHeight="1" x14ac:dyDescent="0.25">
      <c r="V622" s="6"/>
      <c r="W622" s="6"/>
      <c r="X622" s="6"/>
      <c r="Y622" s="6"/>
      <c r="Z622" s="6"/>
      <c r="AA622" s="6"/>
      <c r="AB622" s="6"/>
      <c r="AC622" s="6"/>
      <c r="AD622" s="6"/>
      <c r="AE622" s="6"/>
    </row>
    <row r="623" spans="22:31" ht="11.25" customHeight="1" x14ac:dyDescent="0.25">
      <c r="V623" s="6"/>
      <c r="W623" s="6"/>
      <c r="X623" s="6"/>
      <c r="Y623" s="6"/>
      <c r="Z623" s="6"/>
      <c r="AA623" s="6"/>
      <c r="AB623" s="6"/>
      <c r="AC623" s="6"/>
      <c r="AD623" s="6"/>
      <c r="AE623" s="6"/>
    </row>
    <row r="624" spans="22:31" ht="11.25" customHeight="1" x14ac:dyDescent="0.25">
      <c r="V624" s="6"/>
      <c r="W624" s="6"/>
      <c r="X624" s="6"/>
      <c r="Y624" s="6"/>
      <c r="Z624" s="6"/>
      <c r="AA624" s="6"/>
      <c r="AB624" s="6"/>
      <c r="AC624" s="6"/>
      <c r="AD624" s="6"/>
      <c r="AE624" s="6"/>
    </row>
    <row r="625" spans="22:31" ht="11.25" customHeight="1" x14ac:dyDescent="0.25">
      <c r="V625" s="6"/>
      <c r="W625" s="6"/>
      <c r="X625" s="6"/>
      <c r="Y625" s="6"/>
      <c r="Z625" s="6"/>
      <c r="AA625" s="6"/>
      <c r="AB625" s="6"/>
      <c r="AC625" s="6"/>
      <c r="AD625" s="6"/>
      <c r="AE625" s="6"/>
    </row>
    <row r="626" spans="22:31" ht="11.25" customHeight="1" x14ac:dyDescent="0.25">
      <c r="V626" s="6"/>
      <c r="W626" s="6"/>
      <c r="X626" s="6"/>
      <c r="Y626" s="6"/>
      <c r="Z626" s="6"/>
      <c r="AA626" s="6"/>
      <c r="AB626" s="6"/>
      <c r="AC626" s="6"/>
      <c r="AD626" s="6"/>
      <c r="AE626" s="6"/>
    </row>
    <row r="627" spans="22:31" ht="11.25" customHeight="1" x14ac:dyDescent="0.25">
      <c r="V627" s="6"/>
      <c r="W627" s="6"/>
      <c r="X627" s="6"/>
      <c r="Y627" s="6"/>
      <c r="Z627" s="6"/>
      <c r="AA627" s="6"/>
      <c r="AB627" s="6"/>
      <c r="AC627" s="6"/>
      <c r="AD627" s="6"/>
      <c r="AE627" s="6"/>
    </row>
    <row r="628" spans="22:31" ht="11.25" customHeight="1" x14ac:dyDescent="0.25">
      <c r="V628" s="6"/>
      <c r="W628" s="6"/>
      <c r="X628" s="6"/>
      <c r="Y628" s="6"/>
      <c r="Z628" s="6"/>
      <c r="AA628" s="6"/>
      <c r="AB628" s="6"/>
      <c r="AC628" s="6"/>
      <c r="AD628" s="6"/>
      <c r="AE628" s="6"/>
    </row>
    <row r="629" spans="22:31" ht="11.25" customHeight="1" x14ac:dyDescent="0.25">
      <c r="V629" s="6"/>
      <c r="W629" s="6"/>
      <c r="X629" s="6"/>
      <c r="Y629" s="6"/>
      <c r="Z629" s="6"/>
      <c r="AA629" s="6"/>
      <c r="AB629" s="6"/>
      <c r="AC629" s="6"/>
      <c r="AD629" s="6"/>
      <c r="AE629" s="6"/>
    </row>
    <row r="630" spans="22:31" ht="11.25" customHeight="1" x14ac:dyDescent="0.25">
      <c r="V630" s="6"/>
      <c r="W630" s="6"/>
      <c r="X630" s="6"/>
      <c r="Y630" s="6"/>
      <c r="Z630" s="6"/>
      <c r="AA630" s="6"/>
      <c r="AB630" s="6"/>
      <c r="AC630" s="6"/>
      <c r="AD630" s="6"/>
      <c r="AE630" s="6"/>
    </row>
    <row r="631" spans="22:31" ht="11.25" customHeight="1" x14ac:dyDescent="0.25">
      <c r="V631" s="6"/>
      <c r="W631" s="6"/>
      <c r="X631" s="6"/>
      <c r="Y631" s="6"/>
      <c r="Z631" s="6"/>
      <c r="AA631" s="6"/>
      <c r="AB631" s="6"/>
      <c r="AC631" s="6"/>
      <c r="AD631" s="6"/>
      <c r="AE631" s="6"/>
    </row>
    <row r="632" spans="22:31" ht="11.25" customHeight="1" x14ac:dyDescent="0.25">
      <c r="V632" s="6"/>
      <c r="W632" s="6"/>
      <c r="X632" s="6"/>
      <c r="Y632" s="6"/>
      <c r="Z632" s="6"/>
      <c r="AA632" s="6"/>
      <c r="AB632" s="6"/>
      <c r="AC632" s="6"/>
      <c r="AD632" s="6"/>
      <c r="AE632" s="6"/>
    </row>
    <row r="633" spans="22:31" ht="11.25" customHeight="1" x14ac:dyDescent="0.25">
      <c r="V633" s="6"/>
      <c r="W633" s="6"/>
      <c r="X633" s="6"/>
      <c r="Y633" s="6"/>
      <c r="Z633" s="6"/>
      <c r="AA633" s="6"/>
      <c r="AB633" s="6"/>
      <c r="AC633" s="6"/>
      <c r="AD633" s="6"/>
      <c r="AE633" s="6"/>
    </row>
    <row r="634" spans="22:31" ht="11.25" customHeight="1" x14ac:dyDescent="0.25">
      <c r="V634" s="6"/>
      <c r="W634" s="6"/>
      <c r="X634" s="6"/>
      <c r="Y634" s="6"/>
      <c r="Z634" s="6"/>
      <c r="AA634" s="6"/>
      <c r="AB634" s="6"/>
      <c r="AC634" s="6"/>
      <c r="AD634" s="6"/>
      <c r="AE634" s="6"/>
    </row>
    <row r="635" spans="22:31" ht="11.25" customHeight="1" x14ac:dyDescent="0.25">
      <c r="V635" s="6"/>
      <c r="W635" s="6"/>
      <c r="X635" s="6"/>
      <c r="Y635" s="6"/>
      <c r="Z635" s="6"/>
      <c r="AA635" s="6"/>
      <c r="AB635" s="6"/>
      <c r="AC635" s="6"/>
      <c r="AD635" s="6"/>
      <c r="AE635" s="6"/>
    </row>
    <row r="636" spans="22:31" ht="11.25" customHeight="1" x14ac:dyDescent="0.25">
      <c r="V636" s="6"/>
      <c r="W636" s="6"/>
      <c r="X636" s="6"/>
      <c r="Y636" s="6"/>
      <c r="Z636" s="6"/>
      <c r="AA636" s="6"/>
      <c r="AB636" s="6"/>
      <c r="AC636" s="6"/>
      <c r="AD636" s="6"/>
      <c r="AE636" s="6"/>
    </row>
    <row r="637" spans="22:31" ht="11.25" customHeight="1" x14ac:dyDescent="0.25">
      <c r="V637" s="6"/>
      <c r="W637" s="6"/>
      <c r="X637" s="6"/>
      <c r="Y637" s="6"/>
      <c r="Z637" s="6"/>
      <c r="AA637" s="6"/>
      <c r="AB637" s="6"/>
      <c r="AC637" s="6"/>
      <c r="AD637" s="6"/>
      <c r="AE637" s="6"/>
    </row>
    <row r="638" spans="22:31" ht="11.25" customHeight="1" x14ac:dyDescent="0.25">
      <c r="V638" s="6"/>
      <c r="W638" s="6"/>
      <c r="X638" s="6"/>
      <c r="Y638" s="6"/>
      <c r="Z638" s="6"/>
      <c r="AA638" s="6"/>
      <c r="AB638" s="6"/>
      <c r="AC638" s="6"/>
      <c r="AD638" s="6"/>
      <c r="AE638" s="6"/>
    </row>
    <row r="639" spans="22:31" ht="11.25" customHeight="1" x14ac:dyDescent="0.25">
      <c r="V639" s="6"/>
      <c r="W639" s="6"/>
      <c r="X639" s="6"/>
      <c r="Y639" s="6"/>
      <c r="Z639" s="6"/>
      <c r="AA639" s="6"/>
      <c r="AB639" s="6"/>
      <c r="AC639" s="6"/>
      <c r="AD639" s="6"/>
      <c r="AE639" s="6"/>
    </row>
    <row r="640" spans="22:31" ht="11.25" customHeight="1" x14ac:dyDescent="0.25">
      <c r="V640" s="6"/>
      <c r="W640" s="6"/>
      <c r="X640" s="6"/>
      <c r="Y640" s="6"/>
      <c r="Z640" s="6"/>
      <c r="AA640" s="6"/>
      <c r="AB640" s="6"/>
      <c r="AC640" s="6"/>
      <c r="AD640" s="6"/>
      <c r="AE640" s="6"/>
    </row>
    <row r="641" spans="22:31" ht="11.25" customHeight="1" x14ac:dyDescent="0.25">
      <c r="V641" s="6"/>
      <c r="W641" s="6"/>
      <c r="X641" s="6"/>
      <c r="Y641" s="6"/>
      <c r="Z641" s="6"/>
      <c r="AA641" s="6"/>
      <c r="AB641" s="6"/>
      <c r="AC641" s="6"/>
      <c r="AD641" s="6"/>
      <c r="AE641" s="6"/>
    </row>
    <row r="642" spans="22:31" ht="11.25" customHeight="1" x14ac:dyDescent="0.25">
      <c r="V642" s="6"/>
      <c r="W642" s="6"/>
      <c r="X642" s="6"/>
      <c r="Y642" s="6"/>
      <c r="Z642" s="6"/>
      <c r="AA642" s="6"/>
      <c r="AB642" s="6"/>
      <c r="AC642" s="6"/>
      <c r="AD642" s="6"/>
      <c r="AE642" s="6"/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9397D-CD4A-4D1C-A528-46E32608E6F3}">
  <dimension ref="A1:J580"/>
  <sheetViews>
    <sheetView showGridLines="0" workbookViewId="0"/>
  </sheetViews>
  <sheetFormatPr defaultRowHeight="11.25" customHeight="1" x14ac:dyDescent="0.2"/>
  <cols>
    <col min="1" max="1" width="34.7109375" style="14" bestFit="1" customWidth="1"/>
    <col min="2" max="2" width="24.5703125" style="18" bestFit="1" customWidth="1"/>
    <col min="3" max="3" width="25.5703125" style="18" bestFit="1" customWidth="1"/>
    <col min="4" max="4" width="26" style="18" bestFit="1" customWidth="1"/>
    <col min="5" max="5" width="26.85546875" style="18" bestFit="1" customWidth="1"/>
    <col min="6" max="6" width="23.7109375" style="18" bestFit="1" customWidth="1"/>
    <col min="7" max="7" width="24.5703125" style="18" bestFit="1" customWidth="1"/>
    <col min="8" max="8" width="18.28515625" style="19" bestFit="1" customWidth="1"/>
    <col min="9" max="9" width="16" style="19" bestFit="1" customWidth="1"/>
    <col min="10" max="10" width="13.85546875" style="19" bestFit="1" customWidth="1"/>
    <col min="11" max="16384" width="9.140625" style="14"/>
  </cols>
  <sheetData>
    <row r="1" spans="1:10" ht="11.25" customHeight="1" x14ac:dyDescent="0.2">
      <c r="A1" s="17" t="s">
        <v>636</v>
      </c>
      <c r="B1" s="18" t="s">
        <v>637</v>
      </c>
      <c r="C1" s="18" t="s">
        <v>638</v>
      </c>
      <c r="D1" s="18" t="s">
        <v>639</v>
      </c>
      <c r="E1" s="18" t="s">
        <v>640</v>
      </c>
      <c r="F1" s="18" t="s">
        <v>641</v>
      </c>
      <c r="G1" s="18" t="s">
        <v>642</v>
      </c>
      <c r="H1" s="19" t="s">
        <v>643</v>
      </c>
      <c r="I1" s="19" t="s">
        <v>644</v>
      </c>
      <c r="J1" s="19" t="s">
        <v>645</v>
      </c>
    </row>
    <row r="2" spans="1:10" ht="11.25" customHeight="1" x14ac:dyDescent="0.2">
      <c r="A2" s="20" t="s">
        <v>26</v>
      </c>
      <c r="B2" s="18">
        <v>6978370.629999999</v>
      </c>
      <c r="C2" s="18">
        <v>6623034.5683975862</v>
      </c>
      <c r="D2" s="18">
        <v>50377032.269041628</v>
      </c>
      <c r="E2" s="18">
        <v>63072612.446671523</v>
      </c>
      <c r="F2" s="18">
        <v>43662725.946673185</v>
      </c>
      <c r="G2" s="18">
        <v>45944500.278003901</v>
      </c>
      <c r="H2" s="19">
        <v>0.21515399582754391</v>
      </c>
      <c r="I2" s="19">
        <v>5.2259090147451559E-2</v>
      </c>
      <c r="J2" s="19">
        <v>0.14474647881956315</v>
      </c>
    </row>
    <row r="3" spans="1:10" ht="11.25" customHeight="1" x14ac:dyDescent="0.2">
      <c r="A3" s="21" t="s">
        <v>35</v>
      </c>
      <c r="B3" s="18">
        <v>6978370.629999999</v>
      </c>
      <c r="C3" s="18">
        <v>6623034.5683975862</v>
      </c>
      <c r="D3" s="18">
        <v>11205319.497317199</v>
      </c>
      <c r="E3" s="18">
        <v>14548783.098439416</v>
      </c>
      <c r="F3" s="18">
        <v>17637399.056862801</v>
      </c>
      <c r="G3" s="18">
        <v>18518770.060727365</v>
      </c>
      <c r="H3" s="19">
        <v>0.16433009573952062</v>
      </c>
      <c r="I3" s="19">
        <v>4.9971710739379116E-2</v>
      </c>
      <c r="J3" s="19">
        <v>0.10802291698861222</v>
      </c>
    </row>
    <row r="4" spans="1:10" ht="11.25" customHeight="1" x14ac:dyDescent="0.2">
      <c r="A4" s="22" t="s">
        <v>36</v>
      </c>
      <c r="B4" s="18">
        <v>149221.94</v>
      </c>
      <c r="C4" s="18">
        <v>141685.80605974232</v>
      </c>
      <c r="D4" s="18">
        <v>65387.360479999996</v>
      </c>
      <c r="E4" s="18">
        <v>105270.54171091996</v>
      </c>
      <c r="F4" s="18">
        <v>201895.27403999999</v>
      </c>
      <c r="G4" s="18">
        <v>211299.65053278001</v>
      </c>
      <c r="H4" s="19">
        <v>0.15072528179493694</v>
      </c>
      <c r="I4" s="19">
        <v>4.658046869842436E-2</v>
      </c>
      <c r="J4" s="19">
        <v>0.10024241349944019</v>
      </c>
    </row>
    <row r="5" spans="1:10" ht="11.25" customHeight="1" x14ac:dyDescent="0.2">
      <c r="A5" s="23" t="s">
        <v>34</v>
      </c>
      <c r="B5" s="18">
        <v>149221.94</v>
      </c>
      <c r="C5" s="18">
        <v>141685.80605974232</v>
      </c>
      <c r="D5" s="18">
        <v>65387.360479999996</v>
      </c>
      <c r="E5" s="18">
        <v>105270.54171091996</v>
      </c>
      <c r="F5" s="18">
        <v>201895.27403999999</v>
      </c>
      <c r="G5" s="18">
        <v>211299.65053278001</v>
      </c>
      <c r="H5" s="19">
        <v>0.15072528179493694</v>
      </c>
      <c r="I5" s="19">
        <v>4.658046869842436E-2</v>
      </c>
      <c r="J5" s="19">
        <v>0.10024241349944019</v>
      </c>
    </row>
    <row r="6" spans="1:10" ht="11.25" customHeight="1" x14ac:dyDescent="0.2">
      <c r="A6" s="24" t="s">
        <v>25</v>
      </c>
      <c r="B6" s="18">
        <v>149221.94</v>
      </c>
      <c r="C6" s="18">
        <v>141685.80605974232</v>
      </c>
      <c r="D6" s="18">
        <v>65387.360479999996</v>
      </c>
      <c r="E6" s="18">
        <v>105270.54171091996</v>
      </c>
      <c r="F6" s="18">
        <v>201895.27403999999</v>
      </c>
      <c r="G6" s="18">
        <v>211299.65053278001</v>
      </c>
      <c r="H6" s="19">
        <v>0.15072528179493694</v>
      </c>
      <c r="I6" s="19">
        <v>4.658046869842436E-2</v>
      </c>
      <c r="J6" s="19">
        <v>0.10024241349944019</v>
      </c>
    </row>
    <row r="7" spans="1:10" ht="11.25" customHeight="1" x14ac:dyDescent="0.2">
      <c r="A7" s="25" t="s">
        <v>25</v>
      </c>
      <c r="B7" s="18">
        <v>149221.94</v>
      </c>
      <c r="C7" s="18">
        <v>141685.80605974232</v>
      </c>
      <c r="D7" s="18">
        <v>65387.360479999996</v>
      </c>
      <c r="E7" s="18">
        <v>105270.54171091996</v>
      </c>
      <c r="F7" s="18">
        <v>201895.27403999999</v>
      </c>
      <c r="G7" s="18">
        <v>211299.65053278001</v>
      </c>
      <c r="H7" s="19">
        <v>0.15072528179493694</v>
      </c>
      <c r="I7" s="19">
        <v>4.658046869842436E-2</v>
      </c>
      <c r="J7" s="19">
        <v>0.10024241349944019</v>
      </c>
    </row>
    <row r="8" spans="1:10" ht="11.25" customHeight="1" x14ac:dyDescent="0.2">
      <c r="A8" s="26" t="s">
        <v>25</v>
      </c>
      <c r="B8" s="18">
        <v>149221.94</v>
      </c>
      <c r="C8" s="18">
        <v>141685.80605974232</v>
      </c>
      <c r="D8" s="18">
        <v>65387.360479999996</v>
      </c>
      <c r="E8" s="18">
        <v>105270.54171091996</v>
      </c>
      <c r="F8" s="18">
        <v>201895.27403999999</v>
      </c>
      <c r="G8" s="18">
        <v>211299.65053278001</v>
      </c>
      <c r="H8" s="19">
        <v>0.15072528179493694</v>
      </c>
      <c r="I8" s="19">
        <v>4.658046869842436E-2</v>
      </c>
      <c r="J8" s="19">
        <v>0.10024241349944019</v>
      </c>
    </row>
    <row r="9" spans="1:10" ht="11.25" customHeight="1" x14ac:dyDescent="0.2">
      <c r="A9" s="27" t="s">
        <v>38</v>
      </c>
      <c r="B9" s="18">
        <v>52761.599999999991</v>
      </c>
      <c r="C9" s="18">
        <v>50074.518271905472</v>
      </c>
      <c r="D9" s="18">
        <v>59063.305339999999</v>
      </c>
      <c r="E9" s="18">
        <v>95089.113595295756</v>
      </c>
      <c r="F9" s="18">
        <v>170847.00606000001</v>
      </c>
      <c r="G9" s="18">
        <v>179957.08353142545</v>
      </c>
      <c r="H9" s="19">
        <v>0.29813328637154601</v>
      </c>
      <c r="I9" s="19">
        <v>5.3323015026824905E-2</v>
      </c>
      <c r="J9" s="19">
        <v>0.15016986933151188</v>
      </c>
    </row>
    <row r="10" spans="1:10" ht="11.25" customHeight="1" x14ac:dyDescent="0.2">
      <c r="A10" s="28">
        <v>44409</v>
      </c>
      <c r="B10" s="18">
        <v>4396.7999999999993</v>
      </c>
      <c r="C10" s="18">
        <v>4172.8765226587893</v>
      </c>
      <c r="D10" s="18">
        <v>5084.5824899999998</v>
      </c>
      <c r="E10" s="18">
        <v>8185.9360764360108</v>
      </c>
      <c r="F10" s="18">
        <v>14707.70541</v>
      </c>
      <c r="G10" s="18">
        <v>15491.964606587546</v>
      </c>
      <c r="H10" s="19">
        <v>0.30348212532609242</v>
      </c>
      <c r="I10" s="19">
        <v>5.3323015026824905E-2</v>
      </c>
      <c r="J10" s="19">
        <v>0.15137773366321716</v>
      </c>
    </row>
    <row r="11" spans="1:10" ht="11.25" customHeight="1" x14ac:dyDescent="0.2">
      <c r="A11" s="28">
        <v>44440</v>
      </c>
      <c r="B11" s="18">
        <v>4259.3999999999996</v>
      </c>
      <c r="C11" s="18">
        <v>4042.4741313257027</v>
      </c>
      <c r="D11" s="18">
        <v>4785.0890100000006</v>
      </c>
      <c r="E11" s="18">
        <v>7703.7658122282674</v>
      </c>
      <c r="F11" s="18">
        <v>13841.388090000002</v>
      </c>
      <c r="G11" s="18">
        <v>14579.452635115187</v>
      </c>
      <c r="H11" s="19">
        <v>0.29871791878643328</v>
      </c>
      <c r="I11" s="19">
        <v>5.3323015026824905E-2</v>
      </c>
      <c r="J11" s="19">
        <v>0.15030297784257307</v>
      </c>
    </row>
    <row r="12" spans="1:10" ht="11.25" customHeight="1" x14ac:dyDescent="0.2">
      <c r="A12" s="28">
        <v>44470</v>
      </c>
      <c r="B12" s="18">
        <v>4373.8999999999996</v>
      </c>
      <c r="C12" s="18">
        <v>4151.1427907699417</v>
      </c>
      <c r="D12" s="18">
        <v>5111.5896000000002</v>
      </c>
      <c r="E12" s="18">
        <v>8229.416239557384</v>
      </c>
      <c r="F12" s="18">
        <v>14785.826400000002</v>
      </c>
      <c r="G12" s="18">
        <v>15574.251243311226</v>
      </c>
      <c r="H12" s="19">
        <v>0.30521033203466108</v>
      </c>
      <c r="I12" s="19">
        <v>5.3323015026824905E-2</v>
      </c>
      <c r="J12" s="19">
        <v>0.15176326959933073</v>
      </c>
    </row>
    <row r="13" spans="1:10" ht="11.25" customHeight="1" x14ac:dyDescent="0.2">
      <c r="A13" s="28">
        <v>44501</v>
      </c>
      <c r="B13" s="18">
        <v>4259.3999999999996</v>
      </c>
      <c r="C13" s="18">
        <v>4042.4741313257027</v>
      </c>
      <c r="D13" s="18">
        <v>5037.3017499999996</v>
      </c>
      <c r="E13" s="18">
        <v>8109.8163328685132</v>
      </c>
      <c r="F13" s="18">
        <v>14570.940750000002</v>
      </c>
      <c r="G13" s="18">
        <v>15347.907242567226</v>
      </c>
      <c r="H13" s="19">
        <v>0.30716148489911643</v>
      </c>
      <c r="I13" s="19">
        <v>5.3323015026824905E-2</v>
      </c>
      <c r="J13" s="19">
        <v>0.15219581099228541</v>
      </c>
    </row>
    <row r="14" spans="1:10" ht="11.25" customHeight="1" x14ac:dyDescent="0.2">
      <c r="A14" s="28">
        <v>44531</v>
      </c>
      <c r="B14" s="18">
        <v>4305.2</v>
      </c>
      <c r="C14" s="18">
        <v>4085.9415951033984</v>
      </c>
      <c r="D14" s="18">
        <v>3951.0157699999995</v>
      </c>
      <c r="E14" s="18">
        <v>6360.9475495421848</v>
      </c>
      <c r="F14" s="18">
        <v>11428.74093</v>
      </c>
      <c r="G14" s="18">
        <v>12038.155854348079</v>
      </c>
      <c r="H14" s="19">
        <v>0.26533625521339599</v>
      </c>
      <c r="I14" s="19">
        <v>5.3323015026824905E-2</v>
      </c>
      <c r="J14" s="19">
        <v>0.14224508296701832</v>
      </c>
    </row>
    <row r="15" spans="1:10" ht="11.25" customHeight="1" x14ac:dyDescent="0.2">
      <c r="A15" s="28">
        <v>44562</v>
      </c>
      <c r="B15" s="18">
        <v>4419.7</v>
      </c>
      <c r="C15" s="18">
        <v>4194.6102545476379</v>
      </c>
      <c r="D15" s="18">
        <v>3865.3102799999997</v>
      </c>
      <c r="E15" s="18">
        <v>6222.9657852735472</v>
      </c>
      <c r="F15" s="18">
        <v>11180.828519999999</v>
      </c>
      <c r="G15" s="18">
        <v>11777.024007184313</v>
      </c>
      <c r="H15" s="19">
        <v>0.2574004965291592</v>
      </c>
      <c r="I15" s="19">
        <v>5.3323015026824905E-2</v>
      </c>
      <c r="J15" s="19">
        <v>0.14018205303362019</v>
      </c>
    </row>
    <row r="16" spans="1:10" ht="11.25" customHeight="1" x14ac:dyDescent="0.2">
      <c r="A16" s="28">
        <v>44593</v>
      </c>
      <c r="B16" s="18">
        <v>4442.5999999999995</v>
      </c>
      <c r="C16" s="18">
        <v>4216.3439864364855</v>
      </c>
      <c r="D16" s="18">
        <v>4712.1185800000003</v>
      </c>
      <c r="E16" s="18">
        <v>7586.2868891062926</v>
      </c>
      <c r="F16" s="18">
        <v>13630.313220000002</v>
      </c>
      <c r="G16" s="18">
        <v>14357.122616650391</v>
      </c>
      <c r="H16" s="19">
        <v>0.28924016313593515</v>
      </c>
      <c r="I16" s="19">
        <v>5.3323015026824905E-2</v>
      </c>
      <c r="J16" s="19">
        <v>0.14811134440431917</v>
      </c>
    </row>
    <row r="17" spans="1:10" ht="11.25" customHeight="1" x14ac:dyDescent="0.2">
      <c r="A17" s="28">
        <v>44621</v>
      </c>
      <c r="B17" s="18">
        <v>4557.0999999999995</v>
      </c>
      <c r="C17" s="18">
        <v>4325.0126458807244</v>
      </c>
      <c r="D17" s="18">
        <v>5412.1077399999995</v>
      </c>
      <c r="E17" s="18">
        <v>8713.23615765049</v>
      </c>
      <c r="F17" s="18">
        <v>15655.10766</v>
      </c>
      <c r="G17" s="18">
        <v>16489.885201000743</v>
      </c>
      <c r="H17" s="19">
        <v>0.30785205239701585</v>
      </c>
      <c r="I17" s="19">
        <v>5.3323015026825127E-2</v>
      </c>
      <c r="J17" s="19">
        <v>0.15234821081432526</v>
      </c>
    </row>
    <row r="18" spans="1:10" ht="11.25" customHeight="1" x14ac:dyDescent="0.2">
      <c r="A18" s="28">
        <v>44652</v>
      </c>
      <c r="B18" s="18">
        <v>4465.5</v>
      </c>
      <c r="C18" s="18">
        <v>4238.0777183253331</v>
      </c>
      <c r="D18" s="18">
        <v>5217.7882899999995</v>
      </c>
      <c r="E18" s="18">
        <v>8400.3910815332965</v>
      </c>
      <c r="F18" s="18">
        <v>15093.017610000001</v>
      </c>
      <c r="G18" s="18">
        <v>15897.822814818162</v>
      </c>
      <c r="H18" s="19">
        <v>0.30518357208371727</v>
      </c>
      <c r="I18" s="19">
        <v>5.3323015026824905E-2</v>
      </c>
      <c r="J18" s="19">
        <v>0.15175731724707164</v>
      </c>
    </row>
    <row r="19" spans="1:10" ht="11.25" customHeight="1" x14ac:dyDescent="0.2">
      <c r="A19" s="28">
        <v>44682</v>
      </c>
      <c r="B19" s="18">
        <v>4442.5999999999995</v>
      </c>
      <c r="C19" s="18">
        <v>4216.3439864364855</v>
      </c>
      <c r="D19" s="18">
        <v>5261.9950499999995</v>
      </c>
      <c r="E19" s="18">
        <v>8471.5618634447019</v>
      </c>
      <c r="F19" s="18">
        <v>15220.890449999999</v>
      </c>
      <c r="G19" s="18">
        <v>16032.514220187006</v>
      </c>
      <c r="H19" s="19">
        <v>0.30741218819647576</v>
      </c>
      <c r="I19" s="19">
        <v>5.3323015026824905E-2</v>
      </c>
      <c r="J19" s="19">
        <v>0.1522511796236905</v>
      </c>
    </row>
    <row r="20" spans="1:10" ht="11.25" customHeight="1" x14ac:dyDescent="0.2">
      <c r="A20" s="28">
        <v>44713</v>
      </c>
      <c r="B20" s="18">
        <v>4419.7</v>
      </c>
      <c r="C20" s="18">
        <v>4194.6102545476379</v>
      </c>
      <c r="D20" s="18">
        <v>5312.2033899999997</v>
      </c>
      <c r="E20" s="18">
        <v>8552.3949038275259</v>
      </c>
      <c r="F20" s="18">
        <v>15366.123510000001</v>
      </c>
      <c r="G20" s="18">
        <v>16185.491544827779</v>
      </c>
      <c r="H20" s="19">
        <v>0.30981624534757768</v>
      </c>
      <c r="I20" s="19">
        <v>5.3323015026824905E-2</v>
      </c>
      <c r="J20" s="19">
        <v>0.15277973119085875</v>
      </c>
    </row>
    <row r="21" spans="1:10" ht="11.25" customHeight="1" x14ac:dyDescent="0.2">
      <c r="A21" s="28">
        <v>44743</v>
      </c>
      <c r="B21" s="18">
        <v>4419.7</v>
      </c>
      <c r="C21" s="18">
        <v>4194.6102545476379</v>
      </c>
      <c r="D21" s="18">
        <v>5312.2033899999997</v>
      </c>
      <c r="E21" s="18">
        <v>8552.3949038275259</v>
      </c>
      <c r="F21" s="18">
        <v>15366.123510000001</v>
      </c>
      <c r="G21" s="18">
        <v>16185.491544827779</v>
      </c>
      <c r="H21" s="19">
        <v>0.30981624534757768</v>
      </c>
      <c r="I21" s="19">
        <v>5.3323015026824905E-2</v>
      </c>
      <c r="J21" s="19">
        <v>0.15277973119085875</v>
      </c>
    </row>
    <row r="22" spans="1:10" ht="11.25" customHeight="1" x14ac:dyDescent="0.2">
      <c r="A22" s="27" t="s">
        <v>37</v>
      </c>
      <c r="B22" s="18">
        <v>96460.34</v>
      </c>
      <c r="C22" s="18">
        <v>91611.28778783686</v>
      </c>
      <c r="D22" s="18">
        <v>6324.0551399999995</v>
      </c>
      <c r="E22" s="18">
        <v>10181.428115624218</v>
      </c>
      <c r="F22" s="18">
        <v>31048.267979999997</v>
      </c>
      <c r="G22" s="18">
        <v>31342.567001354593</v>
      </c>
      <c r="H22" s="19">
        <v>-9.6481497525784388E-3</v>
      </c>
      <c r="I22" s="19">
        <v>9.4787580918900272E-3</v>
      </c>
      <c r="J22" s="19">
        <v>-5.2108371672989762E-3</v>
      </c>
    </row>
    <row r="23" spans="1:10" ht="11.25" customHeight="1" x14ac:dyDescent="0.2">
      <c r="A23" s="28">
        <v>44409</v>
      </c>
      <c r="B23" s="18">
        <v>8087.92</v>
      </c>
      <c r="C23" s="18">
        <v>7681.3410229012425</v>
      </c>
      <c r="D23" s="18">
        <v>586.69103999999993</v>
      </c>
      <c r="E23" s="18">
        <v>944.54468179112234</v>
      </c>
      <c r="F23" s="18">
        <v>2880.3892799999999</v>
      </c>
      <c r="G23" s="18">
        <v>2907.6917931955936</v>
      </c>
      <c r="H23" s="19">
        <v>-5.6170051986141889E-3</v>
      </c>
      <c r="I23" s="19">
        <v>9.4787580918902492E-3</v>
      </c>
      <c r="J23" s="19">
        <v>-1.8539871500445892E-3</v>
      </c>
    </row>
    <row r="24" spans="1:10" ht="11.25" customHeight="1" x14ac:dyDescent="0.2">
      <c r="A24" s="28">
        <v>44440</v>
      </c>
      <c r="B24" s="18">
        <v>7731.0999999999995</v>
      </c>
      <c r="C24" s="18">
        <v>7342.458330714423</v>
      </c>
      <c r="D24" s="18">
        <v>523.30849999999998</v>
      </c>
      <c r="E24" s="18">
        <v>842.50180573933699</v>
      </c>
      <c r="F24" s="18">
        <v>2569.2094999999999</v>
      </c>
      <c r="G24" s="18">
        <v>2593.5624153378858</v>
      </c>
      <c r="H24" s="19">
        <v>-8.413487598322722E-3</v>
      </c>
      <c r="I24" s="19">
        <v>9.4787580918900272E-3</v>
      </c>
      <c r="J24" s="19">
        <v>-4.166393179097061E-3</v>
      </c>
    </row>
    <row r="25" spans="1:10" ht="11.25" customHeight="1" x14ac:dyDescent="0.2">
      <c r="A25" s="28">
        <v>44470</v>
      </c>
      <c r="B25" s="18">
        <v>8028.45</v>
      </c>
      <c r="C25" s="18">
        <v>7624.8605742034397</v>
      </c>
      <c r="D25" s="18">
        <v>523.16211999999996</v>
      </c>
      <c r="E25" s="18">
        <v>842.2661408985706</v>
      </c>
      <c r="F25" s="18">
        <v>2568.4908399999999</v>
      </c>
      <c r="G25" s="18">
        <v>2592.8369433335956</v>
      </c>
      <c r="H25" s="19">
        <v>-9.8794711116982903E-3</v>
      </c>
      <c r="I25" s="19">
        <v>9.4787580918900272E-3</v>
      </c>
      <c r="J25" s="19">
        <v>-5.4081604982183507E-3</v>
      </c>
    </row>
    <row r="26" spans="1:10" ht="11.25" customHeight="1" x14ac:dyDescent="0.2">
      <c r="A26" s="28">
        <v>44501</v>
      </c>
      <c r="B26" s="18">
        <v>7731.0999999999995</v>
      </c>
      <c r="C26" s="18">
        <v>7342.458330714423</v>
      </c>
      <c r="D26" s="18">
        <v>507.79221999999999</v>
      </c>
      <c r="E26" s="18">
        <v>817.52133261811457</v>
      </c>
      <c r="F26" s="18">
        <v>2493.0315399999999</v>
      </c>
      <c r="G26" s="18">
        <v>2516.6623828831121</v>
      </c>
      <c r="H26" s="19">
        <v>-9.5780542529614321E-3</v>
      </c>
      <c r="I26" s="19">
        <v>9.4787580918900272E-3</v>
      </c>
      <c r="J26" s="19">
        <v>-5.1511467114960796E-3</v>
      </c>
    </row>
    <row r="27" spans="1:10" ht="11.25" customHeight="1" x14ac:dyDescent="0.2">
      <c r="A27" s="28">
        <v>44531</v>
      </c>
      <c r="B27" s="18">
        <v>7968.98</v>
      </c>
      <c r="C27" s="18">
        <v>7568.380125505636</v>
      </c>
      <c r="D27" s="18">
        <v>432.40652</v>
      </c>
      <c r="E27" s="18">
        <v>696.15393962349685</v>
      </c>
      <c r="F27" s="18">
        <v>2122.92164</v>
      </c>
      <c r="G27" s="18">
        <v>2143.0443006735986</v>
      </c>
      <c r="H27" s="19">
        <v>-1.628927017523607E-2</v>
      </c>
      <c r="I27" s="19">
        <v>9.4787580918900272E-3</v>
      </c>
      <c r="J27" s="19">
        <v>-1.1091445862534299E-2</v>
      </c>
    </row>
    <row r="28" spans="1:10" ht="11.25" customHeight="1" x14ac:dyDescent="0.2">
      <c r="A28" s="28">
        <v>44562</v>
      </c>
      <c r="B28" s="18">
        <v>7909.51</v>
      </c>
      <c r="C28" s="18">
        <v>7511.8996768078332</v>
      </c>
      <c r="D28" s="18">
        <v>427.28321999999997</v>
      </c>
      <c r="E28" s="18">
        <v>687.90567019667822</v>
      </c>
      <c r="F28" s="18">
        <v>2097.76854</v>
      </c>
      <c r="G28" s="18">
        <v>2117.6527805234373</v>
      </c>
      <c r="H28" s="19">
        <v>-1.6431722531734971E-2</v>
      </c>
      <c r="I28" s="19">
        <v>9.4787580918900272E-3</v>
      </c>
      <c r="J28" s="19">
        <v>-1.1222668969286143E-2</v>
      </c>
    </row>
    <row r="29" spans="1:10" ht="11.25" customHeight="1" x14ac:dyDescent="0.2">
      <c r="A29" s="28">
        <v>44593</v>
      </c>
      <c r="B29" s="18">
        <v>8087.92</v>
      </c>
      <c r="C29" s="18">
        <v>7681.3410229012425</v>
      </c>
      <c r="D29" s="18">
        <v>530.18835999999999</v>
      </c>
      <c r="E29" s="18">
        <v>853.5780532553506</v>
      </c>
      <c r="F29" s="18">
        <v>2602.9865199999999</v>
      </c>
      <c r="G29" s="18">
        <v>2627.6595995395305</v>
      </c>
      <c r="H29" s="19">
        <v>-9.6528472802129839E-3</v>
      </c>
      <c r="I29" s="19">
        <v>9.4787580918900272E-3</v>
      </c>
      <c r="J29" s="19">
        <v>-5.2148390981144876E-3</v>
      </c>
    </row>
    <row r="30" spans="1:10" ht="11.25" customHeight="1" x14ac:dyDescent="0.2">
      <c r="A30" s="28">
        <v>44621</v>
      </c>
      <c r="B30" s="18">
        <v>8325.7999999999993</v>
      </c>
      <c r="C30" s="18">
        <v>7907.2628176924554</v>
      </c>
      <c r="D30" s="18">
        <v>602.42688999999996</v>
      </c>
      <c r="E30" s="18">
        <v>969.87865217349395</v>
      </c>
      <c r="F30" s="18">
        <v>2957.6452299999996</v>
      </c>
      <c r="G30" s="18">
        <v>2985.6800336568026</v>
      </c>
      <c r="H30" s="19">
        <v>-5.7217878491940821E-3</v>
      </c>
      <c r="I30" s="19">
        <v>9.4787580918902492E-3</v>
      </c>
      <c r="J30" s="19">
        <v>-1.9393289987076345E-3</v>
      </c>
    </row>
    <row r="31" spans="1:10" ht="11.25" customHeight="1" x14ac:dyDescent="0.2">
      <c r="A31" s="28">
        <v>44652</v>
      </c>
      <c r="B31" s="18">
        <v>8206.86</v>
      </c>
      <c r="C31" s="18">
        <v>7794.3019202968489</v>
      </c>
      <c r="D31" s="18">
        <v>500.47321999999997</v>
      </c>
      <c r="E31" s="18">
        <v>805.73809057980225</v>
      </c>
      <c r="F31" s="18">
        <v>2457.09854</v>
      </c>
      <c r="G31" s="18">
        <v>2480.3887826685964</v>
      </c>
      <c r="H31" s="19">
        <v>-1.232216643287587E-2</v>
      </c>
      <c r="I31" s="19">
        <v>9.4787580918900272E-3</v>
      </c>
      <c r="J31" s="19">
        <v>-7.5241596044069992E-3</v>
      </c>
    </row>
    <row r="32" spans="1:10" ht="11.25" customHeight="1" x14ac:dyDescent="0.2">
      <c r="A32" s="28">
        <v>44682</v>
      </c>
      <c r="B32" s="18">
        <v>8206.86</v>
      </c>
      <c r="C32" s="18">
        <v>7794.3019202968489</v>
      </c>
      <c r="D32" s="18">
        <v>577.39590999999996</v>
      </c>
      <c r="E32" s="18">
        <v>929.57996440246563</v>
      </c>
      <c r="F32" s="18">
        <v>2834.7543700000001</v>
      </c>
      <c r="G32" s="18">
        <v>2861.6243209231584</v>
      </c>
      <c r="H32" s="19">
        <v>-6.8729811516483608E-3</v>
      </c>
      <c r="I32" s="19">
        <v>9.4787580918900272E-3</v>
      </c>
      <c r="J32" s="19">
        <v>-2.883556651567698E-3</v>
      </c>
    </row>
    <row r="33" spans="1:10" ht="11.25" customHeight="1" x14ac:dyDescent="0.2">
      <c r="A33" s="28">
        <v>44713</v>
      </c>
      <c r="B33" s="18">
        <v>8087.92</v>
      </c>
      <c r="C33" s="18">
        <v>7681.3410229012425</v>
      </c>
      <c r="D33" s="18">
        <v>556.46357</v>
      </c>
      <c r="E33" s="18">
        <v>895.87989217289214</v>
      </c>
      <c r="F33" s="18">
        <v>2731.9859899999997</v>
      </c>
      <c r="G33" s="18">
        <v>2757.881824309643</v>
      </c>
      <c r="H33" s="19">
        <v>-7.7695135092050727E-3</v>
      </c>
      <c r="I33" s="19">
        <v>9.4787580918902492E-3</v>
      </c>
      <c r="J33" s="19">
        <v>-3.6274156178363048E-3</v>
      </c>
    </row>
    <row r="34" spans="1:10" ht="11.25" customHeight="1" x14ac:dyDescent="0.2">
      <c r="A34" s="28">
        <v>44743</v>
      </c>
      <c r="B34" s="18">
        <v>8087.92</v>
      </c>
      <c r="C34" s="18">
        <v>7681.3410229012425</v>
      </c>
      <c r="D34" s="18">
        <v>556.46357</v>
      </c>
      <c r="E34" s="18">
        <v>895.87989217289214</v>
      </c>
      <c r="F34" s="18">
        <v>2731.9859899999997</v>
      </c>
      <c r="G34" s="18">
        <v>2757.881824309643</v>
      </c>
      <c r="H34" s="19">
        <v>-7.7695135092050727E-3</v>
      </c>
      <c r="I34" s="19">
        <v>9.4787580918902492E-3</v>
      </c>
      <c r="J34" s="19">
        <v>-3.6274156178363048E-3</v>
      </c>
    </row>
    <row r="35" spans="1:10" ht="11.25" customHeight="1" x14ac:dyDescent="0.2">
      <c r="A35" s="22" t="s">
        <v>39</v>
      </c>
      <c r="B35" s="18">
        <v>6829148.6899999985</v>
      </c>
      <c r="C35" s="18">
        <v>6481348.7623378439</v>
      </c>
      <c r="D35" s="18">
        <v>11139932.136837196</v>
      </c>
      <c r="E35" s="18">
        <v>14443512.556728495</v>
      </c>
      <c r="F35" s="18">
        <v>17435503.782822803</v>
      </c>
      <c r="G35" s="18">
        <v>18307470.410194583</v>
      </c>
      <c r="H35" s="19">
        <v>0.164492581491126</v>
      </c>
      <c r="I35" s="19">
        <v>5.0010979793472909E-2</v>
      </c>
      <c r="J35" s="19">
        <v>0.10811444793950598</v>
      </c>
    </row>
    <row r="36" spans="1:10" ht="11.25" customHeight="1" x14ac:dyDescent="0.2">
      <c r="A36" s="23" t="s">
        <v>40</v>
      </c>
      <c r="B36" s="18">
        <v>2542220.6</v>
      </c>
      <c r="C36" s="18">
        <v>2412748.5119085568</v>
      </c>
      <c r="D36" s="18">
        <v>4625717.9488200005</v>
      </c>
      <c r="E36" s="18">
        <v>5846883.970375197</v>
      </c>
      <c r="F36" s="18">
        <v>6601956.6189800017</v>
      </c>
      <c r="G36" s="18">
        <v>6927523.0528619448</v>
      </c>
      <c r="H36" s="19">
        <v>0.15230235667177583</v>
      </c>
      <c r="I36" s="19">
        <v>4.9313628166833379E-2</v>
      </c>
      <c r="J36" s="19">
        <v>0.10292455752748708</v>
      </c>
    </row>
    <row r="37" spans="1:10" ht="11.25" customHeight="1" x14ac:dyDescent="0.2">
      <c r="A37" s="24" t="s">
        <v>25</v>
      </c>
      <c r="B37" s="18">
        <v>2542220.6</v>
      </c>
      <c r="C37" s="18">
        <v>2412748.5119085568</v>
      </c>
      <c r="D37" s="18">
        <v>4625717.9488200005</v>
      </c>
      <c r="E37" s="18">
        <v>5846883.970375197</v>
      </c>
      <c r="F37" s="18">
        <v>6601956.6189800017</v>
      </c>
      <c r="G37" s="18">
        <v>6927523.0528619448</v>
      </c>
      <c r="H37" s="19">
        <v>0.15230235667177583</v>
      </c>
      <c r="I37" s="19">
        <v>4.9313628166833379E-2</v>
      </c>
      <c r="J37" s="19">
        <v>0.10292455752748708</v>
      </c>
    </row>
    <row r="38" spans="1:10" ht="11.25" customHeight="1" x14ac:dyDescent="0.2">
      <c r="A38" s="25" t="s">
        <v>25</v>
      </c>
      <c r="B38" s="18">
        <v>2542220.6</v>
      </c>
      <c r="C38" s="18">
        <v>2412748.5119085568</v>
      </c>
      <c r="D38" s="18">
        <v>4625717.9488200005</v>
      </c>
      <c r="E38" s="18">
        <v>5846883.970375197</v>
      </c>
      <c r="F38" s="18">
        <v>6601956.6189800017</v>
      </c>
      <c r="G38" s="18">
        <v>6927523.0528619448</v>
      </c>
      <c r="H38" s="19">
        <v>0.15230235667177583</v>
      </c>
      <c r="I38" s="19">
        <v>4.9313628166833379E-2</v>
      </c>
      <c r="J38" s="19">
        <v>0.10292455752748708</v>
      </c>
    </row>
    <row r="39" spans="1:10" ht="11.25" customHeight="1" x14ac:dyDescent="0.2">
      <c r="A39" s="26" t="s">
        <v>25</v>
      </c>
      <c r="B39" s="18">
        <v>2542220.6</v>
      </c>
      <c r="C39" s="18">
        <v>2412748.5119085568</v>
      </c>
      <c r="D39" s="18">
        <v>4625717.9488200005</v>
      </c>
      <c r="E39" s="18">
        <v>5846883.970375197</v>
      </c>
      <c r="F39" s="18">
        <v>6601956.6189800017</v>
      </c>
      <c r="G39" s="18">
        <v>6927523.0528619448</v>
      </c>
      <c r="H39" s="19">
        <v>0.15230235667177583</v>
      </c>
      <c r="I39" s="19">
        <v>4.9313628166833379E-2</v>
      </c>
      <c r="J39" s="19">
        <v>0.10292455752748708</v>
      </c>
    </row>
    <row r="40" spans="1:10" ht="11.25" customHeight="1" x14ac:dyDescent="0.2">
      <c r="A40" s="27" t="s">
        <v>38</v>
      </c>
      <c r="B40" s="18">
        <v>0</v>
      </c>
      <c r="C40" s="18">
        <v>0</v>
      </c>
      <c r="D40" s="18">
        <v>2073641.7689</v>
      </c>
      <c r="E40" s="18">
        <v>3338464.6623449889</v>
      </c>
      <c r="F40" s="18">
        <v>5998233.3501000013</v>
      </c>
      <c r="G40" s="18">
        <v>6318077.2371617863</v>
      </c>
      <c r="H40" s="19">
        <v>0.60995245775548668</v>
      </c>
      <c r="I40" s="19">
        <v>5.3323015026825349E-2</v>
      </c>
      <c r="J40" s="19">
        <v>0.19631953630906729</v>
      </c>
    </row>
    <row r="41" spans="1:10" ht="11.25" customHeight="1" x14ac:dyDescent="0.2">
      <c r="A41" s="28">
        <v>44409</v>
      </c>
      <c r="B41" s="18">
        <v>0</v>
      </c>
      <c r="C41" s="18">
        <v>0</v>
      </c>
      <c r="D41" s="18">
        <v>148954.23868000001</v>
      </c>
      <c r="E41" s="18">
        <v>239809.24265596335</v>
      </c>
      <c r="F41" s="18">
        <v>430866.26412000001</v>
      </c>
      <c r="G41" s="18">
        <v>453841.3523962227</v>
      </c>
      <c r="H41" s="19">
        <v>0.60995245775548645</v>
      </c>
      <c r="I41" s="19">
        <v>5.3323015026824905E-2</v>
      </c>
      <c r="J41" s="19">
        <v>0.19631953630906684</v>
      </c>
    </row>
    <row r="42" spans="1:10" ht="11.25" customHeight="1" x14ac:dyDescent="0.2">
      <c r="A42" s="28">
        <v>44440</v>
      </c>
      <c r="B42" s="18">
        <v>0</v>
      </c>
      <c r="C42" s="18">
        <v>0</v>
      </c>
      <c r="D42" s="18">
        <v>161831.87279999998</v>
      </c>
      <c r="E42" s="18">
        <v>260541.62135753324</v>
      </c>
      <c r="F42" s="18">
        <v>468116.21519999998</v>
      </c>
      <c r="G42" s="18">
        <v>493077.58317741001</v>
      </c>
      <c r="H42" s="19">
        <v>0.60995245775548645</v>
      </c>
      <c r="I42" s="19">
        <v>5.3323015026824905E-2</v>
      </c>
      <c r="J42" s="19">
        <v>0.19631953630906684</v>
      </c>
    </row>
    <row r="43" spans="1:10" ht="11.25" customHeight="1" x14ac:dyDescent="0.2">
      <c r="A43" s="28">
        <v>44470</v>
      </c>
      <c r="B43" s="18">
        <v>0</v>
      </c>
      <c r="C43" s="18">
        <v>0</v>
      </c>
      <c r="D43" s="18">
        <v>157010.55473999999</v>
      </c>
      <c r="E43" s="18">
        <v>252779.52849721533</v>
      </c>
      <c r="F43" s="18">
        <v>454170.03066000005</v>
      </c>
      <c r="G43" s="18">
        <v>478387.74602961674</v>
      </c>
      <c r="H43" s="19">
        <v>0.60995245775548645</v>
      </c>
      <c r="I43" s="19">
        <v>5.3323015026824905E-2</v>
      </c>
      <c r="J43" s="19">
        <v>0.19631953630906684</v>
      </c>
    </row>
    <row r="44" spans="1:10" ht="11.25" customHeight="1" x14ac:dyDescent="0.2">
      <c r="A44" s="28">
        <v>44501</v>
      </c>
      <c r="B44" s="18">
        <v>0</v>
      </c>
      <c r="C44" s="18">
        <v>0</v>
      </c>
      <c r="D44" s="18">
        <v>179279.85647</v>
      </c>
      <c r="E44" s="18">
        <v>288632.04554992734</v>
      </c>
      <c r="F44" s="18">
        <v>518586.39723</v>
      </c>
      <c r="G44" s="18">
        <v>546238.98748220224</v>
      </c>
      <c r="H44" s="19">
        <v>0.60995245775548645</v>
      </c>
      <c r="I44" s="19">
        <v>5.3323015026824905E-2</v>
      </c>
      <c r="J44" s="19">
        <v>0.19631953630906662</v>
      </c>
    </row>
    <row r="45" spans="1:10" ht="11.25" customHeight="1" x14ac:dyDescent="0.2">
      <c r="A45" s="28">
        <v>44531</v>
      </c>
      <c r="B45" s="18">
        <v>0</v>
      </c>
      <c r="C45" s="18">
        <v>0</v>
      </c>
      <c r="D45" s="18">
        <v>204267.72756</v>
      </c>
      <c r="E45" s="18">
        <v>328861.33002535009</v>
      </c>
      <c r="F45" s="18">
        <v>590866.52003999997</v>
      </c>
      <c r="G45" s="18">
        <v>622373.30436694075</v>
      </c>
      <c r="H45" s="19">
        <v>0.60995245775548645</v>
      </c>
      <c r="I45" s="19">
        <v>5.3323015026825127E-2</v>
      </c>
      <c r="J45" s="19">
        <v>0.19631953630906707</v>
      </c>
    </row>
    <row r="46" spans="1:10" ht="11.25" customHeight="1" x14ac:dyDescent="0.2">
      <c r="A46" s="28">
        <v>44562</v>
      </c>
      <c r="B46" s="18">
        <v>0</v>
      </c>
      <c r="C46" s="18">
        <v>0</v>
      </c>
      <c r="D46" s="18">
        <v>202789.36275</v>
      </c>
      <c r="E46" s="18">
        <v>326481.23296603141</v>
      </c>
      <c r="F46" s="18">
        <v>586590.18975000002</v>
      </c>
      <c r="G46" s="18">
        <v>617868.94725262735</v>
      </c>
      <c r="H46" s="19">
        <v>0.60995245775548645</v>
      </c>
      <c r="I46" s="19">
        <v>5.3323015026824905E-2</v>
      </c>
      <c r="J46" s="19">
        <v>0.19631953630906684</v>
      </c>
    </row>
    <row r="47" spans="1:10" ht="11.25" customHeight="1" x14ac:dyDescent="0.2">
      <c r="A47" s="28">
        <v>44593</v>
      </c>
      <c r="B47" s="18">
        <v>0</v>
      </c>
      <c r="C47" s="18">
        <v>0</v>
      </c>
      <c r="D47" s="18">
        <v>194850.29707</v>
      </c>
      <c r="E47" s="18">
        <v>313699.71466223313</v>
      </c>
      <c r="F47" s="18">
        <v>563625.58263000008</v>
      </c>
      <c r="G47" s="18">
        <v>593679.79804208246</v>
      </c>
      <c r="H47" s="19">
        <v>0.60995245775548623</v>
      </c>
      <c r="I47" s="19">
        <v>5.3323015026824905E-2</v>
      </c>
      <c r="J47" s="19">
        <v>0.19631953630906684</v>
      </c>
    </row>
    <row r="48" spans="1:10" ht="11.25" customHeight="1" x14ac:dyDescent="0.2">
      <c r="A48" s="28">
        <v>44621</v>
      </c>
      <c r="B48" s="18">
        <v>0</v>
      </c>
      <c r="C48" s="18">
        <v>0</v>
      </c>
      <c r="D48" s="18">
        <v>206670.40887999997</v>
      </c>
      <c r="E48" s="18">
        <v>332729.53272168728</v>
      </c>
      <c r="F48" s="18">
        <v>597816.53591999994</v>
      </c>
      <c r="G48" s="18">
        <v>629693.91604814655</v>
      </c>
      <c r="H48" s="19">
        <v>0.60995245775548645</v>
      </c>
      <c r="I48" s="19">
        <v>5.3323015026824905E-2</v>
      </c>
      <c r="J48" s="19">
        <v>0.19631953630906707</v>
      </c>
    </row>
    <row r="49" spans="1:10" ht="11.25" customHeight="1" x14ac:dyDescent="0.2">
      <c r="A49" s="28">
        <v>44652</v>
      </c>
      <c r="B49" s="18">
        <v>0</v>
      </c>
      <c r="C49" s="18">
        <v>0</v>
      </c>
      <c r="D49" s="18">
        <v>167428.63891000001</v>
      </c>
      <c r="E49" s="18">
        <v>269552.14871181035</v>
      </c>
      <c r="F49" s="18">
        <v>484305.46719</v>
      </c>
      <c r="G49" s="18">
        <v>510130.09489454585</v>
      </c>
      <c r="H49" s="19">
        <v>0.60995245775548623</v>
      </c>
      <c r="I49" s="19">
        <v>5.3323015026824905E-2</v>
      </c>
      <c r="J49" s="19">
        <v>0.19631953630906684</v>
      </c>
    </row>
    <row r="50" spans="1:10" ht="11.25" customHeight="1" x14ac:dyDescent="0.2">
      <c r="A50" s="28">
        <v>44682</v>
      </c>
      <c r="B50" s="18">
        <v>0</v>
      </c>
      <c r="C50" s="18">
        <v>0</v>
      </c>
      <c r="D50" s="18">
        <v>155937.73572000003</v>
      </c>
      <c r="E50" s="18">
        <v>251052.34087923952</v>
      </c>
      <c r="F50" s="18">
        <v>451066.78548000008</v>
      </c>
      <c r="G50" s="18">
        <v>475119.02646025171</v>
      </c>
      <c r="H50" s="19">
        <v>0.60995245775548623</v>
      </c>
      <c r="I50" s="19">
        <v>5.3323015026824905E-2</v>
      </c>
      <c r="J50" s="19">
        <v>0.19631953630906684</v>
      </c>
    </row>
    <row r="51" spans="1:10" ht="11.25" customHeight="1" x14ac:dyDescent="0.2">
      <c r="A51" s="28">
        <v>44713</v>
      </c>
      <c r="B51" s="18">
        <v>0</v>
      </c>
      <c r="C51" s="18">
        <v>0</v>
      </c>
      <c r="D51" s="18">
        <v>147310.53766</v>
      </c>
      <c r="E51" s="18">
        <v>237162.96215899911</v>
      </c>
      <c r="F51" s="18">
        <v>426111.68094000005</v>
      </c>
      <c r="G51" s="18">
        <v>448833.24050586927</v>
      </c>
      <c r="H51" s="19">
        <v>0.60995245775548623</v>
      </c>
      <c r="I51" s="19">
        <v>5.3323015026824905E-2</v>
      </c>
      <c r="J51" s="19">
        <v>0.19631953630906684</v>
      </c>
    </row>
    <row r="52" spans="1:10" ht="11.25" customHeight="1" x14ac:dyDescent="0.2">
      <c r="A52" s="28">
        <v>44743</v>
      </c>
      <c r="B52" s="18">
        <v>0</v>
      </c>
      <c r="C52" s="18">
        <v>0</v>
      </c>
      <c r="D52" s="18">
        <v>147310.53766</v>
      </c>
      <c r="E52" s="18">
        <v>237162.96215899911</v>
      </c>
      <c r="F52" s="18">
        <v>426111.68094000005</v>
      </c>
      <c r="G52" s="18">
        <v>448833.24050586927</v>
      </c>
      <c r="H52" s="19">
        <v>0.60995245775548623</v>
      </c>
      <c r="I52" s="19">
        <v>5.3323015026824905E-2</v>
      </c>
      <c r="J52" s="19">
        <v>0.19631953630906684</v>
      </c>
    </row>
    <row r="53" spans="1:10" ht="11.25" customHeight="1" x14ac:dyDescent="0.2">
      <c r="A53" s="27" t="s">
        <v>25</v>
      </c>
      <c r="B53" s="18">
        <v>2542220.6</v>
      </c>
      <c r="C53" s="18">
        <v>2412748.5119085568</v>
      </c>
      <c r="D53" s="18">
        <v>0</v>
      </c>
      <c r="E53" s="18">
        <v>0</v>
      </c>
      <c r="F53" s="18">
        <v>0</v>
      </c>
      <c r="G53" s="18">
        <v>0</v>
      </c>
      <c r="H53" s="19">
        <v>-5.0928738478259072E-2</v>
      </c>
      <c r="I53" s="19">
        <v>0</v>
      </c>
      <c r="J53" s="19">
        <v>-5.0928738478259072E-2</v>
      </c>
    </row>
    <row r="54" spans="1:10" ht="11.25" customHeight="1" x14ac:dyDescent="0.2">
      <c r="A54" s="28">
        <v>44409</v>
      </c>
      <c r="B54" s="18">
        <v>191283.69999999998</v>
      </c>
      <c r="C54" s="18">
        <v>181541.86246754619</v>
      </c>
      <c r="D54" s="18">
        <v>0</v>
      </c>
      <c r="E54" s="18">
        <v>0</v>
      </c>
      <c r="F54" s="18">
        <v>0</v>
      </c>
      <c r="G54" s="18">
        <v>0</v>
      </c>
      <c r="H54" s="19">
        <v>-5.0928738478259183E-2</v>
      </c>
      <c r="I54" s="19">
        <v>0</v>
      </c>
      <c r="J54" s="19">
        <v>-5.0928738478259183E-2</v>
      </c>
    </row>
    <row r="55" spans="1:10" ht="11.25" customHeight="1" x14ac:dyDescent="0.2">
      <c r="A55" s="28">
        <v>44440</v>
      </c>
      <c r="B55" s="18">
        <v>194672.9</v>
      </c>
      <c r="C55" s="18">
        <v>184758.45478709569</v>
      </c>
      <c r="D55" s="18">
        <v>0</v>
      </c>
      <c r="E55" s="18">
        <v>0</v>
      </c>
      <c r="F55" s="18">
        <v>0</v>
      </c>
      <c r="G55" s="18">
        <v>0</v>
      </c>
      <c r="H55" s="19">
        <v>-5.0928738478259183E-2</v>
      </c>
      <c r="I55" s="19">
        <v>0</v>
      </c>
      <c r="J55" s="19">
        <v>-5.0928738478259183E-2</v>
      </c>
    </row>
    <row r="56" spans="1:10" ht="11.25" customHeight="1" x14ac:dyDescent="0.2">
      <c r="A56" s="28">
        <v>44470</v>
      </c>
      <c r="B56" s="18">
        <v>208344.19999999998</v>
      </c>
      <c r="C56" s="18">
        <v>197733.49272473785</v>
      </c>
      <c r="D56" s="18">
        <v>0</v>
      </c>
      <c r="E56" s="18">
        <v>0</v>
      </c>
      <c r="F56" s="18">
        <v>0</v>
      </c>
      <c r="G56" s="18">
        <v>0</v>
      </c>
      <c r="H56" s="19">
        <v>-5.0928738478259183E-2</v>
      </c>
      <c r="I56" s="19">
        <v>0</v>
      </c>
      <c r="J56" s="19">
        <v>-5.0928738478259183E-2</v>
      </c>
    </row>
    <row r="57" spans="1:10" ht="11.25" customHeight="1" x14ac:dyDescent="0.2">
      <c r="A57" s="28">
        <v>44501</v>
      </c>
      <c r="B57" s="18">
        <v>209878.5</v>
      </c>
      <c r="C57" s="18">
        <v>199189.65276129066</v>
      </c>
      <c r="D57" s="18">
        <v>0</v>
      </c>
      <c r="E57" s="18">
        <v>0</v>
      </c>
      <c r="F57" s="18">
        <v>0</v>
      </c>
      <c r="G57" s="18">
        <v>0</v>
      </c>
      <c r="H57" s="19">
        <v>-5.0928738478259294E-2</v>
      </c>
      <c r="I57" s="19">
        <v>0</v>
      </c>
      <c r="J57" s="19">
        <v>-5.0928738478259294E-2</v>
      </c>
    </row>
    <row r="58" spans="1:10" ht="11.25" customHeight="1" x14ac:dyDescent="0.2">
      <c r="A58" s="28">
        <v>44531</v>
      </c>
      <c r="B58" s="18">
        <v>216221.8</v>
      </c>
      <c r="C58" s="18">
        <v>205209.89649450153</v>
      </c>
      <c r="D58" s="18">
        <v>0</v>
      </c>
      <c r="E58" s="18">
        <v>0</v>
      </c>
      <c r="F58" s="18">
        <v>0</v>
      </c>
      <c r="G58" s="18">
        <v>0</v>
      </c>
      <c r="H58" s="19">
        <v>-5.0928738478259183E-2</v>
      </c>
      <c r="I58" s="19">
        <v>0</v>
      </c>
      <c r="J58" s="19">
        <v>-5.0928738478259183E-2</v>
      </c>
    </row>
    <row r="59" spans="1:10" ht="11.25" customHeight="1" x14ac:dyDescent="0.2">
      <c r="A59" s="28">
        <v>44562</v>
      </c>
      <c r="B59" s="18">
        <v>216153.09999999998</v>
      </c>
      <c r="C59" s="18">
        <v>205144.69529883499</v>
      </c>
      <c r="D59" s="18">
        <v>0</v>
      </c>
      <c r="E59" s="18">
        <v>0</v>
      </c>
      <c r="F59" s="18">
        <v>0</v>
      </c>
      <c r="G59" s="18">
        <v>0</v>
      </c>
      <c r="H59" s="19">
        <v>-5.0928738478259072E-2</v>
      </c>
      <c r="I59" s="19">
        <v>0</v>
      </c>
      <c r="J59" s="19">
        <v>-5.0928738478259072E-2</v>
      </c>
    </row>
    <row r="60" spans="1:10" ht="11.25" customHeight="1" x14ac:dyDescent="0.2">
      <c r="A60" s="28">
        <v>44593</v>
      </c>
      <c r="B60" s="18">
        <v>214801.99999999997</v>
      </c>
      <c r="C60" s="18">
        <v>203862.40511739295</v>
      </c>
      <c r="D60" s="18">
        <v>0</v>
      </c>
      <c r="E60" s="18">
        <v>0</v>
      </c>
      <c r="F60" s="18">
        <v>0</v>
      </c>
      <c r="G60" s="18">
        <v>0</v>
      </c>
      <c r="H60" s="19">
        <v>-5.0928738478259183E-2</v>
      </c>
      <c r="I60" s="19">
        <v>0</v>
      </c>
      <c r="J60" s="19">
        <v>-5.0928738478259183E-2</v>
      </c>
    </row>
    <row r="61" spans="1:10" ht="11.25" customHeight="1" x14ac:dyDescent="0.2">
      <c r="A61" s="28">
        <v>44621</v>
      </c>
      <c r="B61" s="18">
        <v>218695</v>
      </c>
      <c r="C61" s="18">
        <v>207557.13953849711</v>
      </c>
      <c r="D61" s="18">
        <v>0</v>
      </c>
      <c r="E61" s="18">
        <v>0</v>
      </c>
      <c r="F61" s="18">
        <v>0</v>
      </c>
      <c r="G61" s="18">
        <v>0</v>
      </c>
      <c r="H61" s="19">
        <v>-5.0928738478259183E-2</v>
      </c>
      <c r="I61" s="19">
        <v>0</v>
      </c>
      <c r="J61" s="19">
        <v>-5.0928738478259183E-2</v>
      </c>
    </row>
    <row r="62" spans="1:10" ht="11.25" customHeight="1" x14ac:dyDescent="0.2">
      <c r="A62" s="28">
        <v>44652</v>
      </c>
      <c r="B62" s="18">
        <v>214847.8</v>
      </c>
      <c r="C62" s="18">
        <v>203905.87258117067</v>
      </c>
      <c r="D62" s="18">
        <v>0</v>
      </c>
      <c r="E62" s="18">
        <v>0</v>
      </c>
      <c r="F62" s="18">
        <v>0</v>
      </c>
      <c r="G62" s="18">
        <v>0</v>
      </c>
      <c r="H62" s="19">
        <v>-5.0928738478259072E-2</v>
      </c>
      <c r="I62" s="19">
        <v>0</v>
      </c>
      <c r="J62" s="19">
        <v>-5.0928738478259072E-2</v>
      </c>
    </row>
    <row r="63" spans="1:10" ht="11.25" customHeight="1" x14ac:dyDescent="0.2">
      <c r="A63" s="28">
        <v>44682</v>
      </c>
      <c r="B63" s="18">
        <v>218878.19999999998</v>
      </c>
      <c r="C63" s="18">
        <v>207731.00939360788</v>
      </c>
      <c r="D63" s="18">
        <v>0</v>
      </c>
      <c r="E63" s="18">
        <v>0</v>
      </c>
      <c r="F63" s="18">
        <v>0</v>
      </c>
      <c r="G63" s="18">
        <v>0</v>
      </c>
      <c r="H63" s="19">
        <v>-5.0928738478259183E-2</v>
      </c>
      <c r="I63" s="19">
        <v>0</v>
      </c>
      <c r="J63" s="19">
        <v>-5.0928738478259183E-2</v>
      </c>
    </row>
    <row r="64" spans="1:10" ht="11.25" customHeight="1" x14ac:dyDescent="0.2">
      <c r="A64" s="28">
        <v>44713</v>
      </c>
      <c r="B64" s="18">
        <v>219221.69999999998</v>
      </c>
      <c r="C64" s="18">
        <v>208057.01537194059</v>
      </c>
      <c r="D64" s="18">
        <v>0</v>
      </c>
      <c r="E64" s="18">
        <v>0</v>
      </c>
      <c r="F64" s="18">
        <v>0</v>
      </c>
      <c r="G64" s="18">
        <v>0</v>
      </c>
      <c r="H64" s="19">
        <v>-5.0928738478259183E-2</v>
      </c>
      <c r="I64" s="19">
        <v>0</v>
      </c>
      <c r="J64" s="19">
        <v>-5.0928738478259183E-2</v>
      </c>
    </row>
    <row r="65" spans="1:10" ht="11.25" customHeight="1" x14ac:dyDescent="0.2">
      <c r="A65" s="28">
        <v>44743</v>
      </c>
      <c r="B65" s="18">
        <v>219221.69999999998</v>
      </c>
      <c r="C65" s="18">
        <v>208057.01537194059</v>
      </c>
      <c r="D65" s="18">
        <v>0</v>
      </c>
      <c r="E65" s="18">
        <v>0</v>
      </c>
      <c r="F65" s="18">
        <v>0</v>
      </c>
      <c r="G65" s="18">
        <v>0</v>
      </c>
      <c r="H65" s="19">
        <v>-5.0928738478259183E-2</v>
      </c>
      <c r="I65" s="19">
        <v>0</v>
      </c>
      <c r="J65" s="19">
        <v>-5.0928738478259183E-2</v>
      </c>
    </row>
    <row r="66" spans="1:10" ht="11.25" customHeight="1" x14ac:dyDescent="0.2">
      <c r="A66" s="27" t="s">
        <v>37</v>
      </c>
      <c r="B66" s="18">
        <v>0</v>
      </c>
      <c r="C66" s="18">
        <v>0</v>
      </c>
      <c r="D66" s="18">
        <v>2552076.1799199996</v>
      </c>
      <c r="E66" s="18">
        <v>2508419.3080302081</v>
      </c>
      <c r="F66" s="18">
        <v>603723.26887999987</v>
      </c>
      <c r="G66" s="18">
        <v>609445.81570015859</v>
      </c>
      <c r="H66" s="19">
        <v>-1.7106414077012522E-2</v>
      </c>
      <c r="I66" s="19">
        <v>9.4787580918902492E-3</v>
      </c>
      <c r="J66" s="19">
        <v>-1.2020511976468584E-2</v>
      </c>
    </row>
    <row r="67" spans="1:10" ht="11.25" customHeight="1" x14ac:dyDescent="0.2">
      <c r="A67" s="28">
        <v>44409</v>
      </c>
      <c r="B67" s="18">
        <v>0</v>
      </c>
      <c r="C67" s="18">
        <v>0</v>
      </c>
      <c r="D67" s="18">
        <v>168777.31361000001</v>
      </c>
      <c r="E67" s="18">
        <v>165890.13899658155</v>
      </c>
      <c r="F67" s="18">
        <v>39926.23429</v>
      </c>
      <c r="G67" s="18">
        <v>40304.685406355035</v>
      </c>
      <c r="H67" s="19">
        <v>-1.7106414077012522E-2</v>
      </c>
      <c r="I67" s="19">
        <v>9.4787580918900272E-3</v>
      </c>
      <c r="J67" s="19">
        <v>-1.2020511976468473E-2</v>
      </c>
    </row>
    <row r="68" spans="1:10" ht="11.25" customHeight="1" x14ac:dyDescent="0.2">
      <c r="A68" s="28">
        <v>44440</v>
      </c>
      <c r="B68" s="18">
        <v>0</v>
      </c>
      <c r="C68" s="18">
        <v>0</v>
      </c>
      <c r="D68" s="18">
        <v>210005.19735</v>
      </c>
      <c r="E68" s="18">
        <v>206412.76148580617</v>
      </c>
      <c r="F68" s="18">
        <v>49679.169149999994</v>
      </c>
      <c r="G68" s="18">
        <v>50150.065976578939</v>
      </c>
      <c r="H68" s="19">
        <v>-1.7106414077012522E-2</v>
      </c>
      <c r="I68" s="19">
        <v>9.4787580918902492E-3</v>
      </c>
      <c r="J68" s="19">
        <v>-1.2020511976468473E-2</v>
      </c>
    </row>
    <row r="69" spans="1:10" ht="11.25" customHeight="1" x14ac:dyDescent="0.2">
      <c r="A69" s="28">
        <v>44470</v>
      </c>
      <c r="B69" s="18">
        <v>0</v>
      </c>
      <c r="C69" s="18">
        <v>0</v>
      </c>
      <c r="D69" s="18">
        <v>207100.92671</v>
      </c>
      <c r="E69" s="18">
        <v>203558.17250196572</v>
      </c>
      <c r="F69" s="18">
        <v>48992.130189999996</v>
      </c>
      <c r="G69" s="18">
        <v>49456.514740477389</v>
      </c>
      <c r="H69" s="19">
        <v>-1.7106414077012522E-2</v>
      </c>
      <c r="I69" s="19">
        <v>9.4787580918900272E-3</v>
      </c>
      <c r="J69" s="19">
        <v>-1.2020511976468584E-2</v>
      </c>
    </row>
    <row r="70" spans="1:10" ht="11.25" customHeight="1" x14ac:dyDescent="0.2">
      <c r="A70" s="28">
        <v>44501</v>
      </c>
      <c r="B70" s="18">
        <v>0</v>
      </c>
      <c r="C70" s="18">
        <v>0</v>
      </c>
      <c r="D70" s="18">
        <v>253689.25558000003</v>
      </c>
      <c r="E70" s="18">
        <v>249349.54212715951</v>
      </c>
      <c r="F70" s="18">
        <v>60013.140619999998</v>
      </c>
      <c r="G70" s="18">
        <v>60581.990662271564</v>
      </c>
      <c r="H70" s="19">
        <v>-1.7106414077012411E-2</v>
      </c>
      <c r="I70" s="19">
        <v>9.4787580918902492E-3</v>
      </c>
      <c r="J70" s="19">
        <v>-1.2020511976468473E-2</v>
      </c>
    </row>
    <row r="71" spans="1:10" ht="11.25" customHeight="1" x14ac:dyDescent="0.2">
      <c r="A71" s="28">
        <v>44531</v>
      </c>
      <c r="B71" s="18">
        <v>0</v>
      </c>
      <c r="C71" s="18">
        <v>0</v>
      </c>
      <c r="D71" s="18">
        <v>335119.71831000003</v>
      </c>
      <c r="E71" s="18">
        <v>329387.02164321742</v>
      </c>
      <c r="F71" s="18">
        <v>79276.46259000001</v>
      </c>
      <c r="G71" s="18">
        <v>80027.9050012714</v>
      </c>
      <c r="H71" s="19">
        <v>-1.7106414077012411E-2</v>
      </c>
      <c r="I71" s="19">
        <v>9.4787580918902492E-3</v>
      </c>
      <c r="J71" s="19">
        <v>-1.2020511976468362E-2</v>
      </c>
    </row>
    <row r="72" spans="1:10" ht="11.25" customHeight="1" x14ac:dyDescent="0.2">
      <c r="A72" s="28">
        <v>44562</v>
      </c>
      <c r="B72" s="18">
        <v>0</v>
      </c>
      <c r="C72" s="18">
        <v>0</v>
      </c>
      <c r="D72" s="18">
        <v>253219.89384999999</v>
      </c>
      <c r="E72" s="18">
        <v>248888.20949326476</v>
      </c>
      <c r="F72" s="18">
        <v>59902.107649999991</v>
      </c>
      <c r="G72" s="18">
        <v>60469.905237608706</v>
      </c>
      <c r="H72" s="19">
        <v>-1.7106414077012411E-2</v>
      </c>
      <c r="I72" s="19">
        <v>9.4787580918902492E-3</v>
      </c>
      <c r="J72" s="19">
        <v>-1.2020511976468473E-2</v>
      </c>
    </row>
    <row r="73" spans="1:10" ht="11.25" customHeight="1" x14ac:dyDescent="0.2">
      <c r="A73" s="28">
        <v>44593</v>
      </c>
      <c r="B73" s="18">
        <v>0</v>
      </c>
      <c r="C73" s="18">
        <v>0</v>
      </c>
      <c r="D73" s="18">
        <v>211591.00203</v>
      </c>
      <c r="E73" s="18">
        <v>207971.43873430486</v>
      </c>
      <c r="F73" s="18">
        <v>50054.309669999995</v>
      </c>
      <c r="G73" s="18">
        <v>50528.762362818481</v>
      </c>
      <c r="H73" s="19">
        <v>-1.7106414077012411E-2</v>
      </c>
      <c r="I73" s="19">
        <v>9.4787580918900272E-3</v>
      </c>
      <c r="J73" s="19">
        <v>-1.2020511976468473E-2</v>
      </c>
    </row>
    <row r="74" spans="1:10" ht="11.25" customHeight="1" x14ac:dyDescent="0.2">
      <c r="A74" s="28">
        <v>44621</v>
      </c>
      <c r="B74" s="18">
        <v>0</v>
      </c>
      <c r="C74" s="18">
        <v>0</v>
      </c>
      <c r="D74" s="18">
        <v>253057.36405999999</v>
      </c>
      <c r="E74" s="18">
        <v>248728.46000515233</v>
      </c>
      <c r="F74" s="18">
        <v>59863.659339999991</v>
      </c>
      <c r="G74" s="18">
        <v>60431.092485379173</v>
      </c>
      <c r="H74" s="19">
        <v>-1.7106414077012522E-2</v>
      </c>
      <c r="I74" s="19">
        <v>9.4787580918902492E-3</v>
      </c>
      <c r="J74" s="19">
        <v>-1.2020511976468473E-2</v>
      </c>
    </row>
    <row r="75" spans="1:10" ht="11.25" customHeight="1" x14ac:dyDescent="0.2">
      <c r="A75" s="28">
        <v>44652</v>
      </c>
      <c r="B75" s="18">
        <v>0</v>
      </c>
      <c r="C75" s="18">
        <v>0</v>
      </c>
      <c r="D75" s="18">
        <v>168663.39086000001</v>
      </c>
      <c r="E75" s="18">
        <v>165778.16505631583</v>
      </c>
      <c r="F75" s="18">
        <v>39899.284539999993</v>
      </c>
      <c r="G75" s="18">
        <v>40277.480206194152</v>
      </c>
      <c r="H75" s="19">
        <v>-1.7106414077012633E-2</v>
      </c>
      <c r="I75" s="19">
        <v>9.4787580918902492E-3</v>
      </c>
      <c r="J75" s="19">
        <v>-1.2020511976468473E-2</v>
      </c>
    </row>
    <row r="76" spans="1:10" ht="11.25" customHeight="1" x14ac:dyDescent="0.2">
      <c r="A76" s="28">
        <v>44682</v>
      </c>
      <c r="B76" s="18">
        <v>0</v>
      </c>
      <c r="C76" s="18">
        <v>0</v>
      </c>
      <c r="D76" s="18">
        <v>176877.98062000002</v>
      </c>
      <c r="E76" s="18">
        <v>173852.23264240852</v>
      </c>
      <c r="F76" s="18">
        <v>41842.54118</v>
      </c>
      <c r="G76" s="18">
        <v>42239.156505795167</v>
      </c>
      <c r="H76" s="19">
        <v>-1.7106414077012411E-2</v>
      </c>
      <c r="I76" s="19">
        <v>9.4787580918900272E-3</v>
      </c>
      <c r="J76" s="19">
        <v>-1.2020511976468473E-2</v>
      </c>
    </row>
    <row r="77" spans="1:10" ht="11.25" customHeight="1" x14ac:dyDescent="0.2">
      <c r="A77" s="28">
        <v>44713</v>
      </c>
      <c r="B77" s="18">
        <v>0</v>
      </c>
      <c r="C77" s="18">
        <v>0</v>
      </c>
      <c r="D77" s="18">
        <v>156987.06847</v>
      </c>
      <c r="E77" s="18">
        <v>154301.58267201588</v>
      </c>
      <c r="F77" s="18">
        <v>37137.114830000006</v>
      </c>
      <c r="G77" s="18">
        <v>37489.128557704316</v>
      </c>
      <c r="H77" s="19">
        <v>-1.7106414077012411E-2</v>
      </c>
      <c r="I77" s="19">
        <v>9.4787580918900272E-3</v>
      </c>
      <c r="J77" s="19">
        <v>-1.2020511976468362E-2</v>
      </c>
    </row>
    <row r="78" spans="1:10" ht="11.25" customHeight="1" x14ac:dyDescent="0.2">
      <c r="A78" s="28">
        <v>44743</v>
      </c>
      <c r="B78" s="18">
        <v>0</v>
      </c>
      <c r="C78" s="18">
        <v>0</v>
      </c>
      <c r="D78" s="18">
        <v>156987.06847</v>
      </c>
      <c r="E78" s="18">
        <v>154301.58267201588</v>
      </c>
      <c r="F78" s="18">
        <v>37137.114830000006</v>
      </c>
      <c r="G78" s="18">
        <v>37489.128557704316</v>
      </c>
      <c r="H78" s="19">
        <v>-1.7106414077012411E-2</v>
      </c>
      <c r="I78" s="19">
        <v>9.4787580918900272E-3</v>
      </c>
      <c r="J78" s="19">
        <v>-1.2020511976468362E-2</v>
      </c>
    </row>
    <row r="79" spans="1:10" ht="11.25" customHeight="1" x14ac:dyDescent="0.2">
      <c r="A79" s="23" t="s">
        <v>34</v>
      </c>
      <c r="B79" s="18">
        <v>4128686.8</v>
      </c>
      <c r="C79" s="18">
        <v>3918417.9897041591</v>
      </c>
      <c r="D79" s="18">
        <v>6025735.3503899993</v>
      </c>
      <c r="E79" s="18">
        <v>8017008.7716644201</v>
      </c>
      <c r="F79" s="18">
        <v>10296549.834510004</v>
      </c>
      <c r="G79" s="18">
        <v>10817736.417602764</v>
      </c>
      <c r="H79" s="19">
        <v>0.17539201981179953</v>
      </c>
      <c r="I79" s="19">
        <v>5.0617594385446329E-2</v>
      </c>
      <c r="J79" s="19">
        <v>0.11257123601612506</v>
      </c>
    </row>
    <row r="80" spans="1:10" ht="11.25" customHeight="1" x14ac:dyDescent="0.2">
      <c r="A80" s="24" t="s">
        <v>25</v>
      </c>
      <c r="B80" s="18">
        <v>4128686.8</v>
      </c>
      <c r="C80" s="18">
        <v>3918417.9897041591</v>
      </c>
      <c r="D80" s="18">
        <v>6025735.3503899993</v>
      </c>
      <c r="E80" s="18">
        <v>8017008.7716644201</v>
      </c>
      <c r="F80" s="18">
        <v>10296549.834510004</v>
      </c>
      <c r="G80" s="18">
        <v>10817736.417602764</v>
      </c>
      <c r="H80" s="19">
        <v>0.17539201981179953</v>
      </c>
      <c r="I80" s="19">
        <v>5.0617594385446329E-2</v>
      </c>
      <c r="J80" s="19">
        <v>0.11257123601612506</v>
      </c>
    </row>
    <row r="81" spans="1:10" ht="11.25" customHeight="1" x14ac:dyDescent="0.2">
      <c r="A81" s="25" t="s">
        <v>25</v>
      </c>
      <c r="B81" s="18">
        <v>4128686.8</v>
      </c>
      <c r="C81" s="18">
        <v>3918417.9897041591</v>
      </c>
      <c r="D81" s="18">
        <v>6025735.3503899993</v>
      </c>
      <c r="E81" s="18">
        <v>8017008.7716644201</v>
      </c>
      <c r="F81" s="18">
        <v>10296549.834510004</v>
      </c>
      <c r="G81" s="18">
        <v>10817736.417602764</v>
      </c>
      <c r="H81" s="19">
        <v>0.17539201981179953</v>
      </c>
      <c r="I81" s="19">
        <v>5.0617594385446329E-2</v>
      </c>
      <c r="J81" s="19">
        <v>0.11257123601612506</v>
      </c>
    </row>
    <row r="82" spans="1:10" ht="11.25" customHeight="1" x14ac:dyDescent="0.2">
      <c r="A82" s="26" t="s">
        <v>25</v>
      </c>
      <c r="B82" s="18">
        <v>4128686.8</v>
      </c>
      <c r="C82" s="18">
        <v>3918417.9897041591</v>
      </c>
      <c r="D82" s="18">
        <v>6025735.3503899993</v>
      </c>
      <c r="E82" s="18">
        <v>8017008.7716644201</v>
      </c>
      <c r="F82" s="18">
        <v>10296549.834510004</v>
      </c>
      <c r="G82" s="18">
        <v>10817736.417602764</v>
      </c>
      <c r="H82" s="19">
        <v>0.17539201981179953</v>
      </c>
      <c r="I82" s="19">
        <v>5.0617594385446329E-2</v>
      </c>
      <c r="J82" s="19">
        <v>0.11257123601612506</v>
      </c>
    </row>
    <row r="83" spans="1:10" ht="11.25" customHeight="1" x14ac:dyDescent="0.2">
      <c r="A83" s="27" t="s">
        <v>38</v>
      </c>
      <c r="B83" s="18">
        <v>0</v>
      </c>
      <c r="C83" s="18">
        <v>0</v>
      </c>
      <c r="D83" s="18">
        <v>3339960.95004</v>
      </c>
      <c r="E83" s="18">
        <v>5377178.3403242482</v>
      </c>
      <c r="F83" s="18">
        <v>9661198.6983600017</v>
      </c>
      <c r="G83" s="18">
        <v>10176362.941729791</v>
      </c>
      <c r="H83" s="19">
        <v>0.60995245775548557</v>
      </c>
      <c r="I83" s="19">
        <v>5.3323015026824683E-2</v>
      </c>
      <c r="J83" s="19">
        <v>0.19631953630906662</v>
      </c>
    </row>
    <row r="84" spans="1:10" ht="11.25" customHeight="1" x14ac:dyDescent="0.2">
      <c r="A84" s="28">
        <v>44409</v>
      </c>
      <c r="B84" s="18">
        <v>0</v>
      </c>
      <c r="C84" s="18">
        <v>0</v>
      </c>
      <c r="D84" s="18">
        <v>283703.4694</v>
      </c>
      <c r="E84" s="18">
        <v>456749.09783428843</v>
      </c>
      <c r="F84" s="18">
        <v>820643.0046000001</v>
      </c>
      <c r="G84" s="18">
        <v>864402.1638659446</v>
      </c>
      <c r="H84" s="19">
        <v>0.60995245775548645</v>
      </c>
      <c r="I84" s="19">
        <v>5.3323015026824905E-2</v>
      </c>
      <c r="J84" s="19">
        <v>0.19631953630906662</v>
      </c>
    </row>
    <row r="85" spans="1:10" ht="11.25" customHeight="1" x14ac:dyDescent="0.2">
      <c r="A85" s="28">
        <v>44440</v>
      </c>
      <c r="B85" s="18">
        <v>0</v>
      </c>
      <c r="C85" s="18">
        <v>0</v>
      </c>
      <c r="D85" s="18">
        <v>270215.43067999999</v>
      </c>
      <c r="E85" s="18">
        <v>435033.99674672325</v>
      </c>
      <c r="F85" s="18">
        <v>781627.39211999997</v>
      </c>
      <c r="G85" s="18">
        <v>823306.12129539275</v>
      </c>
      <c r="H85" s="19">
        <v>0.60995245775548645</v>
      </c>
      <c r="I85" s="19">
        <v>5.3323015026824905E-2</v>
      </c>
      <c r="J85" s="19">
        <v>0.19631953630906707</v>
      </c>
    </row>
    <row r="86" spans="1:10" ht="11.25" customHeight="1" x14ac:dyDescent="0.2">
      <c r="A86" s="28">
        <v>44470</v>
      </c>
      <c r="B86" s="18">
        <v>0</v>
      </c>
      <c r="C86" s="18">
        <v>0</v>
      </c>
      <c r="D86" s="18">
        <v>274858.67747</v>
      </c>
      <c r="E86" s="18">
        <v>442509.40332824906</v>
      </c>
      <c r="F86" s="18">
        <v>795058.48623000004</v>
      </c>
      <c r="G86" s="18">
        <v>837453.40183844697</v>
      </c>
      <c r="H86" s="19">
        <v>0.60995245775548645</v>
      </c>
      <c r="I86" s="19">
        <v>5.3323015026824905E-2</v>
      </c>
      <c r="J86" s="19">
        <v>0.19631953630906684</v>
      </c>
    </row>
    <row r="87" spans="1:10" ht="11.25" customHeight="1" x14ac:dyDescent="0.2">
      <c r="A87" s="28">
        <v>44501</v>
      </c>
      <c r="B87" s="18">
        <v>0</v>
      </c>
      <c r="C87" s="18">
        <v>0</v>
      </c>
      <c r="D87" s="18">
        <v>286502.32818999997</v>
      </c>
      <c r="E87" s="18">
        <v>461255.12742215942</v>
      </c>
      <c r="F87" s="18">
        <v>828739.00670999999</v>
      </c>
      <c r="G87" s="18">
        <v>872929.86921811325</v>
      </c>
      <c r="H87" s="19">
        <v>0.60995245775548645</v>
      </c>
      <c r="I87" s="19">
        <v>5.3323015026824905E-2</v>
      </c>
      <c r="J87" s="19">
        <v>0.19631953630906684</v>
      </c>
    </row>
    <row r="88" spans="1:10" ht="11.25" customHeight="1" x14ac:dyDescent="0.2">
      <c r="A88" s="28">
        <v>44531</v>
      </c>
      <c r="B88" s="18">
        <v>0</v>
      </c>
      <c r="C88" s="18">
        <v>0</v>
      </c>
      <c r="D88" s="18">
        <v>262224.40009999997</v>
      </c>
      <c r="E88" s="18">
        <v>422168.81742445298</v>
      </c>
      <c r="F88" s="18">
        <v>758512.47090000007</v>
      </c>
      <c r="G88" s="18">
        <v>798958.64278383483</v>
      </c>
      <c r="H88" s="19">
        <v>0.60995245775548645</v>
      </c>
      <c r="I88" s="19">
        <v>5.3323015026824905E-2</v>
      </c>
      <c r="J88" s="19">
        <v>0.19631953630906684</v>
      </c>
    </row>
    <row r="89" spans="1:10" ht="11.25" customHeight="1" x14ac:dyDescent="0.2">
      <c r="A89" s="28">
        <v>44562</v>
      </c>
      <c r="B89" s="18">
        <v>0</v>
      </c>
      <c r="C89" s="18">
        <v>0</v>
      </c>
      <c r="D89" s="18">
        <v>272314.00754999998</v>
      </c>
      <c r="E89" s="18">
        <v>438412.60573636857</v>
      </c>
      <c r="F89" s="18">
        <v>787697.75294999999</v>
      </c>
      <c r="G89" s="18">
        <v>829700.17206714908</v>
      </c>
      <c r="H89" s="19">
        <v>0.60995245775548645</v>
      </c>
      <c r="I89" s="19">
        <v>5.3323015026824905E-2</v>
      </c>
      <c r="J89" s="19">
        <v>0.19631953630906707</v>
      </c>
    </row>
    <row r="90" spans="1:10" ht="11.25" customHeight="1" x14ac:dyDescent="0.2">
      <c r="A90" s="28">
        <v>44593</v>
      </c>
      <c r="B90" s="18">
        <v>0</v>
      </c>
      <c r="C90" s="18">
        <v>0</v>
      </c>
      <c r="D90" s="18">
        <v>267975.45072999998</v>
      </c>
      <c r="E90" s="18">
        <v>431427.73552089772</v>
      </c>
      <c r="F90" s="18">
        <v>775148.00757000002</v>
      </c>
      <c r="G90" s="18">
        <v>816481.23642566847</v>
      </c>
      <c r="H90" s="19">
        <v>0.60995245775548645</v>
      </c>
      <c r="I90" s="19">
        <v>5.3323015026824905E-2</v>
      </c>
      <c r="J90" s="19">
        <v>0.19631953630906662</v>
      </c>
    </row>
    <row r="91" spans="1:10" ht="11.25" customHeight="1" x14ac:dyDescent="0.2">
      <c r="A91" s="28">
        <v>44621</v>
      </c>
      <c r="B91" s="18">
        <v>0</v>
      </c>
      <c r="C91" s="18">
        <v>0</v>
      </c>
      <c r="D91" s="18">
        <v>301186.21831999999</v>
      </c>
      <c r="E91" s="18">
        <v>484895.49242636445</v>
      </c>
      <c r="F91" s="18">
        <v>871213.74888000009</v>
      </c>
      <c r="G91" s="18">
        <v>917669.49270310474</v>
      </c>
      <c r="H91" s="19">
        <v>0.60995245775548623</v>
      </c>
      <c r="I91" s="19">
        <v>5.3323015026824905E-2</v>
      </c>
      <c r="J91" s="19">
        <v>0.19631953630906662</v>
      </c>
    </row>
    <row r="92" spans="1:10" ht="11.25" customHeight="1" x14ac:dyDescent="0.2">
      <c r="A92" s="28">
        <v>44652</v>
      </c>
      <c r="B92" s="18">
        <v>0</v>
      </c>
      <c r="C92" s="18">
        <v>0</v>
      </c>
      <c r="D92" s="18">
        <v>272191.12153999996</v>
      </c>
      <c r="E92" s="18">
        <v>438214.76510254532</v>
      </c>
      <c r="F92" s="18">
        <v>787342.29186000011</v>
      </c>
      <c r="G92" s="18">
        <v>829325.75672010565</v>
      </c>
      <c r="H92" s="19">
        <v>0.60995245775548668</v>
      </c>
      <c r="I92" s="19">
        <v>5.3323015026824905E-2</v>
      </c>
      <c r="J92" s="19">
        <v>0.19631953630906707</v>
      </c>
    </row>
    <row r="93" spans="1:10" ht="11.25" customHeight="1" x14ac:dyDescent="0.2">
      <c r="A93" s="28">
        <v>44682</v>
      </c>
      <c r="B93" s="18">
        <v>0</v>
      </c>
      <c r="C93" s="18">
        <v>0</v>
      </c>
      <c r="D93" s="18">
        <v>290049.92068000004</v>
      </c>
      <c r="E93" s="18">
        <v>466966.58267054992</v>
      </c>
      <c r="F93" s="18">
        <v>839000.80212000012</v>
      </c>
      <c r="G93" s="18">
        <v>883738.85449896287</v>
      </c>
      <c r="H93" s="19">
        <v>0.60995245775548623</v>
      </c>
      <c r="I93" s="19">
        <v>5.3323015026824683E-2</v>
      </c>
      <c r="J93" s="19">
        <v>0.19631953630906662</v>
      </c>
    </row>
    <row r="94" spans="1:10" ht="11.25" customHeight="1" x14ac:dyDescent="0.2">
      <c r="A94" s="28">
        <v>44713</v>
      </c>
      <c r="B94" s="18">
        <v>0</v>
      </c>
      <c r="C94" s="18">
        <v>0</v>
      </c>
      <c r="D94" s="18">
        <v>279369.96268999996</v>
      </c>
      <c r="E94" s="18">
        <v>449772.35805582401</v>
      </c>
      <c r="F94" s="18">
        <v>808107.86720999994</v>
      </c>
      <c r="G94" s="18">
        <v>851198.61515653424</v>
      </c>
      <c r="H94" s="19">
        <v>0.60995245775548645</v>
      </c>
      <c r="I94" s="19">
        <v>5.3323015026824905E-2</v>
      </c>
      <c r="J94" s="19">
        <v>0.19631953630906707</v>
      </c>
    </row>
    <row r="95" spans="1:10" ht="11.25" customHeight="1" x14ac:dyDescent="0.2">
      <c r="A95" s="28">
        <v>44743</v>
      </c>
      <c r="B95" s="18">
        <v>0</v>
      </c>
      <c r="C95" s="18">
        <v>0</v>
      </c>
      <c r="D95" s="18">
        <v>279369.96268999996</v>
      </c>
      <c r="E95" s="18">
        <v>449772.35805582401</v>
      </c>
      <c r="F95" s="18">
        <v>808107.86720999994</v>
      </c>
      <c r="G95" s="18">
        <v>851198.61515653424</v>
      </c>
      <c r="H95" s="19">
        <v>0.60995245775548645</v>
      </c>
      <c r="I95" s="19">
        <v>5.3323015026824905E-2</v>
      </c>
      <c r="J95" s="19">
        <v>0.19631953630906707</v>
      </c>
    </row>
    <row r="96" spans="1:10" ht="11.25" customHeight="1" x14ac:dyDescent="0.2">
      <c r="A96" s="27" t="s">
        <v>25</v>
      </c>
      <c r="B96" s="18">
        <v>4128686.8</v>
      </c>
      <c r="C96" s="18">
        <v>3918417.9897041591</v>
      </c>
      <c r="D96" s="18">
        <v>0</v>
      </c>
      <c r="E96" s="18">
        <v>0</v>
      </c>
      <c r="F96" s="18">
        <v>0</v>
      </c>
      <c r="G96" s="18">
        <v>0</v>
      </c>
      <c r="H96" s="19">
        <v>-5.0928738478259183E-2</v>
      </c>
      <c r="I96" s="19">
        <v>0</v>
      </c>
      <c r="J96" s="19">
        <v>-5.0928738478259183E-2</v>
      </c>
    </row>
    <row r="97" spans="1:10" ht="11.25" customHeight="1" x14ac:dyDescent="0.2">
      <c r="A97" s="28">
        <v>44409</v>
      </c>
      <c r="B97" s="18">
        <v>334958.3</v>
      </c>
      <c r="C97" s="18">
        <v>317899.29633817769</v>
      </c>
      <c r="D97" s="18">
        <v>0</v>
      </c>
      <c r="E97" s="18">
        <v>0</v>
      </c>
      <c r="F97" s="18">
        <v>0</v>
      </c>
      <c r="G97" s="18">
        <v>0</v>
      </c>
      <c r="H97" s="19">
        <v>-5.0928738478259183E-2</v>
      </c>
      <c r="I97" s="19">
        <v>0</v>
      </c>
      <c r="J97" s="19">
        <v>-5.0928738478259183E-2</v>
      </c>
    </row>
    <row r="98" spans="1:10" ht="11.25" customHeight="1" x14ac:dyDescent="0.2">
      <c r="A98" s="28">
        <v>44440</v>
      </c>
      <c r="B98" s="18">
        <v>334912.49999999994</v>
      </c>
      <c r="C98" s="18">
        <v>317855.8288744</v>
      </c>
      <c r="D98" s="18">
        <v>0</v>
      </c>
      <c r="E98" s="18">
        <v>0</v>
      </c>
      <c r="F98" s="18">
        <v>0</v>
      </c>
      <c r="G98" s="18">
        <v>0</v>
      </c>
      <c r="H98" s="19">
        <v>-5.0928738478259072E-2</v>
      </c>
      <c r="I98" s="19">
        <v>0</v>
      </c>
      <c r="J98" s="19">
        <v>-5.0928738478259072E-2</v>
      </c>
    </row>
    <row r="99" spans="1:10" ht="11.25" customHeight="1" x14ac:dyDescent="0.2">
      <c r="A99" s="28">
        <v>44470</v>
      </c>
      <c r="B99" s="18">
        <v>340156.6</v>
      </c>
      <c r="C99" s="18">
        <v>322832.85347694613</v>
      </c>
      <c r="D99" s="18">
        <v>0</v>
      </c>
      <c r="E99" s="18">
        <v>0</v>
      </c>
      <c r="F99" s="18">
        <v>0</v>
      </c>
      <c r="G99" s="18">
        <v>0</v>
      </c>
      <c r="H99" s="19">
        <v>-5.0928738478259294E-2</v>
      </c>
      <c r="I99" s="19">
        <v>0</v>
      </c>
      <c r="J99" s="19">
        <v>-5.0928738478259294E-2</v>
      </c>
    </row>
    <row r="100" spans="1:10" ht="11.25" customHeight="1" x14ac:dyDescent="0.2">
      <c r="A100" s="28">
        <v>44501</v>
      </c>
      <c r="B100" s="18">
        <v>342881.69999999995</v>
      </c>
      <c r="C100" s="18">
        <v>325419.16757171904</v>
      </c>
      <c r="D100" s="18">
        <v>0</v>
      </c>
      <c r="E100" s="18">
        <v>0</v>
      </c>
      <c r="F100" s="18">
        <v>0</v>
      </c>
      <c r="G100" s="18">
        <v>0</v>
      </c>
      <c r="H100" s="19">
        <v>-5.0928738478259183E-2</v>
      </c>
      <c r="I100" s="19">
        <v>0</v>
      </c>
      <c r="J100" s="19">
        <v>-5.0928738478259183E-2</v>
      </c>
    </row>
    <row r="101" spans="1:10" ht="11.25" customHeight="1" x14ac:dyDescent="0.2">
      <c r="A101" s="28">
        <v>44531</v>
      </c>
      <c r="B101" s="18">
        <v>350965.39999999997</v>
      </c>
      <c r="C101" s="18">
        <v>333091.17492848233</v>
      </c>
      <c r="D101" s="18">
        <v>0</v>
      </c>
      <c r="E101" s="18">
        <v>0</v>
      </c>
      <c r="F101" s="18">
        <v>0</v>
      </c>
      <c r="G101" s="18">
        <v>0</v>
      </c>
      <c r="H101" s="19">
        <v>-5.0928738478259183E-2</v>
      </c>
      <c r="I101" s="19">
        <v>0</v>
      </c>
      <c r="J101" s="19">
        <v>-5.0928738478259183E-2</v>
      </c>
    </row>
    <row r="102" spans="1:10" ht="11.25" customHeight="1" x14ac:dyDescent="0.2">
      <c r="A102" s="28">
        <v>44562</v>
      </c>
      <c r="B102" s="18">
        <v>345789.99999999994</v>
      </c>
      <c r="C102" s="18">
        <v>328179.35152160277</v>
      </c>
      <c r="D102" s="18">
        <v>0</v>
      </c>
      <c r="E102" s="18">
        <v>0</v>
      </c>
      <c r="F102" s="18">
        <v>0</v>
      </c>
      <c r="G102" s="18">
        <v>0</v>
      </c>
      <c r="H102" s="19">
        <v>-5.0928738478258961E-2</v>
      </c>
      <c r="I102" s="19">
        <v>0</v>
      </c>
      <c r="J102" s="19">
        <v>-5.0928738478258961E-2</v>
      </c>
    </row>
    <row r="103" spans="1:10" ht="11.25" customHeight="1" x14ac:dyDescent="0.2">
      <c r="A103" s="28">
        <v>44593</v>
      </c>
      <c r="B103" s="18">
        <v>348217.4</v>
      </c>
      <c r="C103" s="18">
        <v>330483.1271018206</v>
      </c>
      <c r="D103" s="18">
        <v>0</v>
      </c>
      <c r="E103" s="18">
        <v>0</v>
      </c>
      <c r="F103" s="18">
        <v>0</v>
      </c>
      <c r="G103" s="18">
        <v>0</v>
      </c>
      <c r="H103" s="19">
        <v>-5.0928738478259294E-2</v>
      </c>
      <c r="I103" s="19">
        <v>0</v>
      </c>
      <c r="J103" s="19">
        <v>-5.0928738478259294E-2</v>
      </c>
    </row>
    <row r="104" spans="1:10" ht="11.25" customHeight="1" x14ac:dyDescent="0.2">
      <c r="A104" s="28">
        <v>44621</v>
      </c>
      <c r="B104" s="18">
        <v>345492.29999999993</v>
      </c>
      <c r="C104" s="18">
        <v>327896.81300704769</v>
      </c>
      <c r="D104" s="18">
        <v>0</v>
      </c>
      <c r="E104" s="18">
        <v>0</v>
      </c>
      <c r="F104" s="18">
        <v>0</v>
      </c>
      <c r="G104" s="18">
        <v>0</v>
      </c>
      <c r="H104" s="19">
        <v>-5.0928738478259072E-2</v>
      </c>
      <c r="I104" s="19">
        <v>0</v>
      </c>
      <c r="J104" s="19">
        <v>-5.0928738478259072E-2</v>
      </c>
    </row>
    <row r="105" spans="1:10" ht="11.25" customHeight="1" x14ac:dyDescent="0.2">
      <c r="A105" s="28">
        <v>44652</v>
      </c>
      <c r="B105" s="18">
        <v>344874</v>
      </c>
      <c r="C105" s="18">
        <v>327310.00224604883</v>
      </c>
      <c r="D105" s="18">
        <v>0</v>
      </c>
      <c r="E105" s="18">
        <v>0</v>
      </c>
      <c r="F105" s="18">
        <v>0</v>
      </c>
      <c r="G105" s="18">
        <v>0</v>
      </c>
      <c r="H105" s="19">
        <v>-5.0928738478259183E-2</v>
      </c>
      <c r="I105" s="19">
        <v>0</v>
      </c>
      <c r="J105" s="19">
        <v>-5.0928738478259183E-2</v>
      </c>
    </row>
    <row r="106" spans="1:10" ht="11.25" customHeight="1" x14ac:dyDescent="0.2">
      <c r="A106" s="28">
        <v>44682</v>
      </c>
      <c r="B106" s="18">
        <v>343179.39999999997</v>
      </c>
      <c r="C106" s="18">
        <v>325701.70608627406</v>
      </c>
      <c r="D106" s="18">
        <v>0</v>
      </c>
      <c r="E106" s="18">
        <v>0</v>
      </c>
      <c r="F106" s="18">
        <v>0</v>
      </c>
      <c r="G106" s="18">
        <v>0</v>
      </c>
      <c r="H106" s="19">
        <v>-5.0928738478259183E-2</v>
      </c>
      <c r="I106" s="19">
        <v>0</v>
      </c>
      <c r="J106" s="19">
        <v>-5.0928738478259183E-2</v>
      </c>
    </row>
    <row r="107" spans="1:10" ht="11.25" customHeight="1" x14ac:dyDescent="0.2">
      <c r="A107" s="28">
        <v>44713</v>
      </c>
      <c r="B107" s="18">
        <v>348629.6</v>
      </c>
      <c r="C107" s="18">
        <v>330874.33427581989</v>
      </c>
      <c r="D107" s="18">
        <v>0</v>
      </c>
      <c r="E107" s="18">
        <v>0</v>
      </c>
      <c r="F107" s="18">
        <v>0</v>
      </c>
      <c r="G107" s="18">
        <v>0</v>
      </c>
      <c r="H107" s="19">
        <v>-5.0928738478259183E-2</v>
      </c>
      <c r="I107" s="19">
        <v>0</v>
      </c>
      <c r="J107" s="19">
        <v>-5.0928738478259183E-2</v>
      </c>
    </row>
    <row r="108" spans="1:10" ht="11.25" customHeight="1" x14ac:dyDescent="0.2">
      <c r="A108" s="28">
        <v>44743</v>
      </c>
      <c r="B108" s="18">
        <v>348629.6</v>
      </c>
      <c r="C108" s="18">
        <v>330874.33427581989</v>
      </c>
      <c r="D108" s="18">
        <v>0</v>
      </c>
      <c r="E108" s="18">
        <v>0</v>
      </c>
      <c r="F108" s="18">
        <v>0</v>
      </c>
      <c r="G108" s="18">
        <v>0</v>
      </c>
      <c r="H108" s="19">
        <v>-5.0928738478259183E-2</v>
      </c>
      <c r="I108" s="19">
        <v>0</v>
      </c>
      <c r="J108" s="19">
        <v>-5.0928738478259183E-2</v>
      </c>
    </row>
    <row r="109" spans="1:10" ht="11.25" customHeight="1" x14ac:dyDescent="0.2">
      <c r="A109" s="27" t="s">
        <v>37</v>
      </c>
      <c r="B109" s="18">
        <v>0</v>
      </c>
      <c r="C109" s="18">
        <v>0</v>
      </c>
      <c r="D109" s="18">
        <v>2685774.4003500002</v>
      </c>
      <c r="E109" s="18">
        <v>2639830.4313401729</v>
      </c>
      <c r="F109" s="18">
        <v>635351.13614999992</v>
      </c>
      <c r="G109" s="18">
        <v>641373.47587297333</v>
      </c>
      <c r="H109" s="19">
        <v>-1.71064140770123E-2</v>
      </c>
      <c r="I109" s="19">
        <v>9.4787580918902492E-3</v>
      </c>
      <c r="J109" s="19">
        <v>-1.2020511976468362E-2</v>
      </c>
    </row>
    <row r="110" spans="1:10" ht="11.25" customHeight="1" x14ac:dyDescent="0.2">
      <c r="A110" s="28">
        <v>44409</v>
      </c>
      <c r="B110" s="18">
        <v>0</v>
      </c>
      <c r="C110" s="18">
        <v>0</v>
      </c>
      <c r="D110" s="18">
        <v>177822.77995999999</v>
      </c>
      <c r="E110" s="18">
        <v>174780.86985367877</v>
      </c>
      <c r="F110" s="18">
        <v>42066.044439999998</v>
      </c>
      <c r="G110" s="18">
        <v>42464.778299129459</v>
      </c>
      <c r="H110" s="19">
        <v>-1.7106414077012411E-2</v>
      </c>
      <c r="I110" s="19">
        <v>9.4787580918902492E-3</v>
      </c>
      <c r="J110" s="19">
        <v>-1.2020511976468473E-2</v>
      </c>
    </row>
    <row r="111" spans="1:10" ht="11.25" customHeight="1" x14ac:dyDescent="0.2">
      <c r="A111" s="28">
        <v>44440</v>
      </c>
      <c r="B111" s="18">
        <v>0</v>
      </c>
      <c r="C111" s="18">
        <v>0</v>
      </c>
      <c r="D111" s="18">
        <v>187086.97799000001</v>
      </c>
      <c r="E111" s="18">
        <v>183886.59067608614</v>
      </c>
      <c r="F111" s="18">
        <v>44257.598110000006</v>
      </c>
      <c r="G111" s="18">
        <v>44677.105176212783</v>
      </c>
      <c r="H111" s="19">
        <v>-1.7106414077012522E-2</v>
      </c>
      <c r="I111" s="19">
        <v>9.4787580918900272E-3</v>
      </c>
      <c r="J111" s="19">
        <v>-1.2020511976468473E-2</v>
      </c>
    </row>
    <row r="112" spans="1:10" ht="11.25" customHeight="1" x14ac:dyDescent="0.2">
      <c r="A112" s="28">
        <v>44470</v>
      </c>
      <c r="B112" s="18">
        <v>0</v>
      </c>
      <c r="C112" s="18">
        <v>0</v>
      </c>
      <c r="D112" s="18">
        <v>154158.74632999999</v>
      </c>
      <c r="E112" s="18">
        <v>151521.6429816859</v>
      </c>
      <c r="F112" s="18">
        <v>36468.042369999996</v>
      </c>
      <c r="G112" s="18">
        <v>36813.714121710029</v>
      </c>
      <c r="H112" s="19">
        <v>-1.7106414077012411E-2</v>
      </c>
      <c r="I112" s="19">
        <v>9.4787580918902492E-3</v>
      </c>
      <c r="J112" s="19">
        <v>-1.2020511976468362E-2</v>
      </c>
    </row>
    <row r="113" spans="1:10" ht="11.25" customHeight="1" x14ac:dyDescent="0.2">
      <c r="A113" s="28">
        <v>44501</v>
      </c>
      <c r="B113" s="18">
        <v>0</v>
      </c>
      <c r="C113" s="18">
        <v>0</v>
      </c>
      <c r="D113" s="18">
        <v>184844.97826999999</v>
      </c>
      <c r="E113" s="18">
        <v>181682.94353165702</v>
      </c>
      <c r="F113" s="18">
        <v>43727.227029999995</v>
      </c>
      <c r="G113" s="18">
        <v>44141.706837046528</v>
      </c>
      <c r="H113" s="19">
        <v>-1.7106414077012411E-2</v>
      </c>
      <c r="I113" s="19">
        <v>9.4787580918902492E-3</v>
      </c>
      <c r="J113" s="19">
        <v>-1.2020511976468362E-2</v>
      </c>
    </row>
    <row r="114" spans="1:10" ht="11.25" customHeight="1" x14ac:dyDescent="0.2">
      <c r="A114" s="28">
        <v>44531</v>
      </c>
      <c r="B114" s="18">
        <v>0</v>
      </c>
      <c r="C114" s="18">
        <v>0</v>
      </c>
      <c r="D114" s="18">
        <v>206396.12463000001</v>
      </c>
      <c r="E114" s="18">
        <v>202865.42705818856</v>
      </c>
      <c r="F114" s="18">
        <v>48825.401069999993</v>
      </c>
      <c r="G114" s="18">
        <v>49288.205235482041</v>
      </c>
      <c r="H114" s="19">
        <v>-1.7106414077012411E-2</v>
      </c>
      <c r="I114" s="19">
        <v>9.4787580918902492E-3</v>
      </c>
      <c r="J114" s="19">
        <v>-1.2020511976468362E-2</v>
      </c>
    </row>
    <row r="115" spans="1:10" ht="11.25" customHeight="1" x14ac:dyDescent="0.2">
      <c r="A115" s="28">
        <v>44562</v>
      </c>
      <c r="B115" s="18">
        <v>0</v>
      </c>
      <c r="C115" s="18">
        <v>0</v>
      </c>
      <c r="D115" s="18">
        <v>215496.2739</v>
      </c>
      <c r="E115" s="18">
        <v>211809.90540661331</v>
      </c>
      <c r="F115" s="18">
        <v>50978.147099999995</v>
      </c>
      <c r="G115" s="18">
        <v>51461.35662433369</v>
      </c>
      <c r="H115" s="19">
        <v>-1.7106414077012411E-2</v>
      </c>
      <c r="I115" s="19">
        <v>9.4787580918902492E-3</v>
      </c>
      <c r="J115" s="19">
        <v>-1.2020511976468251E-2</v>
      </c>
    </row>
    <row r="116" spans="1:10" ht="11.25" customHeight="1" x14ac:dyDescent="0.2">
      <c r="A116" s="28">
        <v>44593</v>
      </c>
      <c r="B116" s="18">
        <v>0</v>
      </c>
      <c r="C116" s="18">
        <v>0</v>
      </c>
      <c r="D116" s="18">
        <v>241024.08372</v>
      </c>
      <c r="E116" s="18">
        <v>236901.02594135317</v>
      </c>
      <c r="F116" s="18">
        <v>57017.047079999997</v>
      </c>
      <c r="G116" s="18">
        <v>57557.497876385227</v>
      </c>
      <c r="H116" s="19">
        <v>-1.7106414077012411E-2</v>
      </c>
      <c r="I116" s="19">
        <v>9.4787580918900272E-3</v>
      </c>
      <c r="J116" s="19">
        <v>-1.2020511976468362E-2</v>
      </c>
    </row>
    <row r="117" spans="1:10" ht="11.25" customHeight="1" x14ac:dyDescent="0.2">
      <c r="A117" s="28">
        <v>44621</v>
      </c>
      <c r="B117" s="18">
        <v>0</v>
      </c>
      <c r="C117" s="18">
        <v>0</v>
      </c>
      <c r="D117" s="18">
        <v>264542.29623000004</v>
      </c>
      <c r="E117" s="18">
        <v>260016.92616980593</v>
      </c>
      <c r="F117" s="18">
        <v>62580.553469999999</v>
      </c>
      <c r="G117" s="18">
        <v>63173.739397598722</v>
      </c>
      <c r="H117" s="19">
        <v>-1.7106414077012633E-2</v>
      </c>
      <c r="I117" s="19">
        <v>9.4787580918900272E-3</v>
      </c>
      <c r="J117" s="19">
        <v>-1.2020511976468584E-2</v>
      </c>
    </row>
    <row r="118" spans="1:10" ht="11.25" customHeight="1" x14ac:dyDescent="0.2">
      <c r="A118" s="28">
        <v>44652</v>
      </c>
      <c r="B118" s="18">
        <v>0</v>
      </c>
      <c r="C118" s="18">
        <v>0</v>
      </c>
      <c r="D118" s="18">
        <v>233948.72146</v>
      </c>
      <c r="E118" s="18">
        <v>229946.6977579176</v>
      </c>
      <c r="F118" s="18">
        <v>55343.287939999995</v>
      </c>
      <c r="G118" s="18">
        <v>55867.873578393075</v>
      </c>
      <c r="H118" s="19">
        <v>-1.7106414077012411E-2</v>
      </c>
      <c r="I118" s="19">
        <v>9.4787580918900272E-3</v>
      </c>
      <c r="J118" s="19">
        <v>-1.2020511976468251E-2</v>
      </c>
    </row>
    <row r="119" spans="1:10" ht="11.25" customHeight="1" x14ac:dyDescent="0.2">
      <c r="A119" s="28">
        <v>44682</v>
      </c>
      <c r="B119" s="18">
        <v>0</v>
      </c>
      <c r="C119" s="18">
        <v>0</v>
      </c>
      <c r="D119" s="18">
        <v>267991.87709999998</v>
      </c>
      <c r="E119" s="18">
        <v>263407.49708105158</v>
      </c>
      <c r="F119" s="18">
        <v>63396.591899999992</v>
      </c>
      <c r="G119" s="18">
        <v>63997.512858470378</v>
      </c>
      <c r="H119" s="19">
        <v>-1.71064140770123E-2</v>
      </c>
      <c r="I119" s="19">
        <v>9.4787580918902492E-3</v>
      </c>
      <c r="J119" s="19">
        <v>-1.2020511976468362E-2</v>
      </c>
    </row>
    <row r="120" spans="1:10" ht="11.25" customHeight="1" x14ac:dyDescent="0.2">
      <c r="A120" s="28">
        <v>44713</v>
      </c>
      <c r="B120" s="18">
        <v>0</v>
      </c>
      <c r="C120" s="18">
        <v>0</v>
      </c>
      <c r="D120" s="18">
        <v>276230.77038</v>
      </c>
      <c r="E120" s="18">
        <v>271505.45244106755</v>
      </c>
      <c r="F120" s="18">
        <v>65345.597819999995</v>
      </c>
      <c r="G120" s="18">
        <v>65964.992934105714</v>
      </c>
      <c r="H120" s="19">
        <v>-1.7106414077012522E-2</v>
      </c>
      <c r="I120" s="19">
        <v>9.4787580918900272E-3</v>
      </c>
      <c r="J120" s="19">
        <v>-1.2020511976468695E-2</v>
      </c>
    </row>
    <row r="121" spans="1:10" ht="11.25" customHeight="1" x14ac:dyDescent="0.2">
      <c r="A121" s="28">
        <v>44743</v>
      </c>
      <c r="B121" s="18">
        <v>0</v>
      </c>
      <c r="C121" s="18">
        <v>0</v>
      </c>
      <c r="D121" s="18">
        <v>276230.77038</v>
      </c>
      <c r="E121" s="18">
        <v>271505.45244106755</v>
      </c>
      <c r="F121" s="18">
        <v>65345.597819999995</v>
      </c>
      <c r="G121" s="18">
        <v>65964.992934105714</v>
      </c>
      <c r="H121" s="19">
        <v>-1.7106414077012522E-2</v>
      </c>
      <c r="I121" s="19">
        <v>9.4787580918900272E-3</v>
      </c>
      <c r="J121" s="19">
        <v>-1.2020511976468695E-2</v>
      </c>
    </row>
    <row r="122" spans="1:10" ht="11.25" customHeight="1" x14ac:dyDescent="0.2">
      <c r="A122" s="23" t="s">
        <v>43</v>
      </c>
      <c r="B122" s="18">
        <v>60410.2</v>
      </c>
      <c r="C122" s="18">
        <v>57333.584722780666</v>
      </c>
      <c r="D122" s="18">
        <v>56225.489490000007</v>
      </c>
      <c r="E122" s="18">
        <v>69675.261088560685</v>
      </c>
      <c r="F122" s="18">
        <v>74344.264410000003</v>
      </c>
      <c r="G122" s="18">
        <v>77963.736261752289</v>
      </c>
      <c r="H122" s="19">
        <v>8.8936382737555553E-2</v>
      </c>
      <c r="I122" s="19">
        <v>4.8685287028887192E-2</v>
      </c>
      <c r="J122" s="19">
        <v>7.3267523042865657E-2</v>
      </c>
    </row>
    <row r="123" spans="1:10" ht="11.25" customHeight="1" x14ac:dyDescent="0.2">
      <c r="A123" s="24" t="s">
        <v>25</v>
      </c>
      <c r="B123" s="18">
        <v>60410.2</v>
      </c>
      <c r="C123" s="18">
        <v>57333.584722780666</v>
      </c>
      <c r="D123" s="18">
        <v>56225.489490000007</v>
      </c>
      <c r="E123" s="18">
        <v>69675.261088560685</v>
      </c>
      <c r="F123" s="18">
        <v>74344.264410000003</v>
      </c>
      <c r="G123" s="18">
        <v>77963.736261752289</v>
      </c>
      <c r="H123" s="19">
        <v>8.8936382737555553E-2</v>
      </c>
      <c r="I123" s="19">
        <v>4.8685287028887192E-2</v>
      </c>
      <c r="J123" s="19">
        <v>7.3267523042865657E-2</v>
      </c>
    </row>
    <row r="124" spans="1:10" ht="11.25" customHeight="1" x14ac:dyDescent="0.2">
      <c r="A124" s="25" t="s">
        <v>25</v>
      </c>
      <c r="B124" s="18">
        <v>60410.2</v>
      </c>
      <c r="C124" s="18">
        <v>57333.584722780666</v>
      </c>
      <c r="D124" s="18">
        <v>56225.489490000007</v>
      </c>
      <c r="E124" s="18">
        <v>69675.261088560685</v>
      </c>
      <c r="F124" s="18">
        <v>74344.264410000003</v>
      </c>
      <c r="G124" s="18">
        <v>77963.736261752289</v>
      </c>
      <c r="H124" s="19">
        <v>8.8936382737555553E-2</v>
      </c>
      <c r="I124" s="19">
        <v>4.8685287028887192E-2</v>
      </c>
      <c r="J124" s="19">
        <v>7.3267523042865657E-2</v>
      </c>
    </row>
    <row r="125" spans="1:10" ht="11.25" customHeight="1" x14ac:dyDescent="0.2">
      <c r="A125" s="26" t="s">
        <v>25</v>
      </c>
      <c r="B125" s="18">
        <v>60410.2</v>
      </c>
      <c r="C125" s="18">
        <v>57333.584722780666</v>
      </c>
      <c r="D125" s="18">
        <v>56225.489490000007</v>
      </c>
      <c r="E125" s="18">
        <v>69675.261088560685</v>
      </c>
      <c r="F125" s="18">
        <v>74344.264410000003</v>
      </c>
      <c r="G125" s="18">
        <v>77963.736261752289</v>
      </c>
      <c r="H125" s="19">
        <v>8.8936382737555553E-2</v>
      </c>
      <c r="I125" s="19">
        <v>4.8685287028887192E-2</v>
      </c>
      <c r="J125" s="19">
        <v>7.3267523042865657E-2</v>
      </c>
    </row>
    <row r="126" spans="1:10" ht="11.25" customHeight="1" x14ac:dyDescent="0.2">
      <c r="A126" s="27" t="s">
        <v>38</v>
      </c>
      <c r="B126" s="18">
        <v>0</v>
      </c>
      <c r="C126" s="18">
        <v>0</v>
      </c>
      <c r="D126" s="18">
        <v>22982.831040000005</v>
      </c>
      <c r="E126" s="18">
        <v>37001.265319027072</v>
      </c>
      <c r="F126" s="18">
        <v>66480.327359999996</v>
      </c>
      <c r="G126" s="18">
        <v>70025.258854805521</v>
      </c>
      <c r="H126" s="19">
        <v>0.60995245775548645</v>
      </c>
      <c r="I126" s="19">
        <v>5.3323015026824683E-2</v>
      </c>
      <c r="J126" s="19">
        <v>0.19631953630906684</v>
      </c>
    </row>
    <row r="127" spans="1:10" ht="11.25" customHeight="1" x14ac:dyDescent="0.2">
      <c r="A127" s="28">
        <v>44409</v>
      </c>
      <c r="B127" s="18">
        <v>0</v>
      </c>
      <c r="C127" s="18">
        <v>0</v>
      </c>
      <c r="D127" s="18">
        <v>1619.3287499999999</v>
      </c>
      <c r="E127" s="18">
        <v>2607.0423009766196</v>
      </c>
      <c r="F127" s="18">
        <v>4684.0837499999998</v>
      </c>
      <c r="G127" s="18">
        <v>4933.8532181881565</v>
      </c>
      <c r="H127" s="19">
        <v>0.60995245775548645</v>
      </c>
      <c r="I127" s="19">
        <v>5.3323015026824905E-2</v>
      </c>
      <c r="J127" s="19">
        <v>0.19631953630906707</v>
      </c>
    </row>
    <row r="128" spans="1:10" ht="11.25" customHeight="1" x14ac:dyDescent="0.2">
      <c r="A128" s="28">
        <v>44440</v>
      </c>
      <c r="B128" s="18">
        <v>0</v>
      </c>
      <c r="C128" s="18">
        <v>0</v>
      </c>
      <c r="D128" s="18">
        <v>1870.2972599999998</v>
      </c>
      <c r="E128" s="18">
        <v>3011.0896704703518</v>
      </c>
      <c r="F128" s="18">
        <v>5410.0373399999999</v>
      </c>
      <c r="G128" s="18">
        <v>5698.5168423765035</v>
      </c>
      <c r="H128" s="19">
        <v>0.60995245775548645</v>
      </c>
      <c r="I128" s="19">
        <v>5.3323015026824905E-2</v>
      </c>
      <c r="J128" s="19">
        <v>0.19631953630906662</v>
      </c>
    </row>
    <row r="129" spans="1:10" ht="11.25" customHeight="1" x14ac:dyDescent="0.2">
      <c r="A129" s="28">
        <v>44470</v>
      </c>
      <c r="B129" s="18">
        <v>0</v>
      </c>
      <c r="C129" s="18">
        <v>0</v>
      </c>
      <c r="D129" s="18">
        <v>2253.9592399999997</v>
      </c>
      <c r="E129" s="18">
        <v>3628.7672181186881</v>
      </c>
      <c r="F129" s="18">
        <v>6519.8211600000004</v>
      </c>
      <c r="G129" s="18">
        <v>6867.4776816868907</v>
      </c>
      <c r="H129" s="19">
        <v>0.60995245775548668</v>
      </c>
      <c r="I129" s="19">
        <v>5.3323015026824905E-2</v>
      </c>
      <c r="J129" s="19">
        <v>0.19631953630906684</v>
      </c>
    </row>
    <row r="130" spans="1:10" ht="11.25" customHeight="1" x14ac:dyDescent="0.2">
      <c r="A130" s="28">
        <v>44501</v>
      </c>
      <c r="B130" s="18">
        <v>0</v>
      </c>
      <c r="C130" s="18">
        <v>0</v>
      </c>
      <c r="D130" s="18">
        <v>2600.5138899999997</v>
      </c>
      <c r="E130" s="18">
        <v>4186.7037286327804</v>
      </c>
      <c r="F130" s="18">
        <v>7522.2680099999998</v>
      </c>
      <c r="G130" s="18">
        <v>7923.3780201330346</v>
      </c>
      <c r="H130" s="19">
        <v>0.60995245775548645</v>
      </c>
      <c r="I130" s="19">
        <v>5.3323015026824905E-2</v>
      </c>
      <c r="J130" s="19">
        <v>0.19631953630906684</v>
      </c>
    </row>
    <row r="131" spans="1:10" ht="11.25" customHeight="1" x14ac:dyDescent="0.2">
      <c r="A131" s="28">
        <v>44531</v>
      </c>
      <c r="B131" s="18">
        <v>0</v>
      </c>
      <c r="C131" s="18">
        <v>0</v>
      </c>
      <c r="D131" s="18">
        <v>2140.2951699999999</v>
      </c>
      <c r="E131" s="18">
        <v>3445.7734692636964</v>
      </c>
      <c r="F131" s="18">
        <v>6191.0355300000001</v>
      </c>
      <c r="G131" s="18">
        <v>6521.1602105977963</v>
      </c>
      <c r="H131" s="19">
        <v>0.60995245775548645</v>
      </c>
      <c r="I131" s="19">
        <v>5.3323015026824905E-2</v>
      </c>
      <c r="J131" s="19">
        <v>0.19631953630906684</v>
      </c>
    </row>
    <row r="132" spans="1:10" ht="11.25" customHeight="1" x14ac:dyDescent="0.2">
      <c r="A132" s="28">
        <v>44562</v>
      </c>
      <c r="B132" s="18">
        <v>0</v>
      </c>
      <c r="C132" s="18">
        <v>0</v>
      </c>
      <c r="D132" s="18">
        <v>2495.9253799999997</v>
      </c>
      <c r="E132" s="18">
        <v>4018.321199905296</v>
      </c>
      <c r="F132" s="18">
        <v>7219.7344199999998</v>
      </c>
      <c r="G132" s="18">
        <v>7604.7124269673459</v>
      </c>
      <c r="H132" s="19">
        <v>0.60995245775548645</v>
      </c>
      <c r="I132" s="19">
        <v>5.3323015026825127E-2</v>
      </c>
      <c r="J132" s="19">
        <v>0.19631953630906707</v>
      </c>
    </row>
    <row r="133" spans="1:10" ht="11.25" customHeight="1" x14ac:dyDescent="0.2">
      <c r="A133" s="28">
        <v>44593</v>
      </c>
      <c r="B133" s="18">
        <v>0</v>
      </c>
      <c r="C133" s="18">
        <v>0</v>
      </c>
      <c r="D133" s="18">
        <v>2258.71659</v>
      </c>
      <c r="E133" s="18">
        <v>3636.4263254435914</v>
      </c>
      <c r="F133" s="18">
        <v>6533.5823100000007</v>
      </c>
      <c r="G133" s="18">
        <v>6881.9726176951281</v>
      </c>
      <c r="H133" s="19">
        <v>0.60995245775548645</v>
      </c>
      <c r="I133" s="19">
        <v>5.3323015026824905E-2</v>
      </c>
      <c r="J133" s="19">
        <v>0.19631953630906684</v>
      </c>
    </row>
    <row r="134" spans="1:10" ht="11.25" customHeight="1" x14ac:dyDescent="0.2">
      <c r="A134" s="28">
        <v>44621</v>
      </c>
      <c r="B134" s="18">
        <v>0</v>
      </c>
      <c r="C134" s="18">
        <v>0</v>
      </c>
      <c r="D134" s="18">
        <v>2326.3441499999999</v>
      </c>
      <c r="E134" s="18">
        <v>3745.3034818775977</v>
      </c>
      <c r="F134" s="18">
        <v>6729.2023500000005</v>
      </c>
      <c r="G134" s="18">
        <v>7088.0237080275947</v>
      </c>
      <c r="H134" s="19">
        <v>0.60995245775548645</v>
      </c>
      <c r="I134" s="19">
        <v>5.3323015026824683E-2</v>
      </c>
      <c r="J134" s="19">
        <v>0.19631953630906662</v>
      </c>
    </row>
    <row r="135" spans="1:10" ht="11.25" customHeight="1" x14ac:dyDescent="0.2">
      <c r="A135" s="28">
        <v>44652</v>
      </c>
      <c r="B135" s="18">
        <v>0</v>
      </c>
      <c r="C135" s="18">
        <v>0</v>
      </c>
      <c r="D135" s="18">
        <v>1603.5929000000001</v>
      </c>
      <c r="E135" s="18">
        <v>2581.7083305942479</v>
      </c>
      <c r="F135" s="18">
        <v>4638.5661</v>
      </c>
      <c r="G135" s="18">
        <v>4885.9084298532207</v>
      </c>
      <c r="H135" s="19">
        <v>0.60995245775548623</v>
      </c>
      <c r="I135" s="19">
        <v>5.3323015026824905E-2</v>
      </c>
      <c r="J135" s="19">
        <v>0.19631953630906684</v>
      </c>
    </row>
    <row r="136" spans="1:10" ht="11.25" customHeight="1" x14ac:dyDescent="0.2">
      <c r="A136" s="28">
        <v>44682</v>
      </c>
      <c r="B136" s="18">
        <v>0</v>
      </c>
      <c r="C136" s="18">
        <v>0</v>
      </c>
      <c r="D136" s="18">
        <v>1357.3085499999997</v>
      </c>
      <c r="E136" s="18">
        <v>2185.202236005035</v>
      </c>
      <c r="F136" s="18">
        <v>3926.1619500000002</v>
      </c>
      <c r="G136" s="18">
        <v>4135.5167426575981</v>
      </c>
      <c r="H136" s="19">
        <v>0.60995245775548645</v>
      </c>
      <c r="I136" s="19">
        <v>5.3323015026824905E-2</v>
      </c>
      <c r="J136" s="19">
        <v>0.19631953630906684</v>
      </c>
    </row>
    <row r="137" spans="1:10" ht="11.25" customHeight="1" x14ac:dyDescent="0.2">
      <c r="A137" s="28">
        <v>44713</v>
      </c>
      <c r="B137" s="18">
        <v>0</v>
      </c>
      <c r="C137" s="18">
        <v>0</v>
      </c>
      <c r="D137" s="18">
        <v>1228.27458</v>
      </c>
      <c r="E137" s="18">
        <v>1977.4636788695877</v>
      </c>
      <c r="F137" s="18">
        <v>3552.9172200000003</v>
      </c>
      <c r="G137" s="18">
        <v>3742.369478311125</v>
      </c>
      <c r="H137" s="19">
        <v>0.60995245775548623</v>
      </c>
      <c r="I137" s="19">
        <v>5.3323015026824905E-2</v>
      </c>
      <c r="J137" s="19">
        <v>0.19631953630906684</v>
      </c>
    </row>
    <row r="138" spans="1:10" ht="11.25" customHeight="1" x14ac:dyDescent="0.2">
      <c r="A138" s="28">
        <v>44743</v>
      </c>
      <c r="B138" s="18">
        <v>0</v>
      </c>
      <c r="C138" s="18">
        <v>0</v>
      </c>
      <c r="D138" s="18">
        <v>1228.27458</v>
      </c>
      <c r="E138" s="18">
        <v>1977.4636788695877</v>
      </c>
      <c r="F138" s="18">
        <v>3552.9172200000003</v>
      </c>
      <c r="G138" s="18">
        <v>3742.369478311125</v>
      </c>
      <c r="H138" s="19">
        <v>0.60995245775548623</v>
      </c>
      <c r="I138" s="19">
        <v>5.3323015026824905E-2</v>
      </c>
      <c r="J138" s="19">
        <v>0.19631953630906684</v>
      </c>
    </row>
    <row r="139" spans="1:10" ht="11.25" customHeight="1" x14ac:dyDescent="0.2">
      <c r="A139" s="27" t="s">
        <v>25</v>
      </c>
      <c r="B139" s="18">
        <v>60410.2</v>
      </c>
      <c r="C139" s="18">
        <v>57333.584722780666</v>
      </c>
      <c r="D139" s="18">
        <v>0</v>
      </c>
      <c r="E139" s="18">
        <v>0</v>
      </c>
      <c r="F139" s="18">
        <v>0</v>
      </c>
      <c r="G139" s="18">
        <v>0</v>
      </c>
      <c r="H139" s="19">
        <v>-5.0928738478259294E-2</v>
      </c>
      <c r="I139" s="19">
        <v>0</v>
      </c>
      <c r="J139" s="19">
        <v>-5.0928738478259294E-2</v>
      </c>
    </row>
    <row r="140" spans="1:10" ht="11.25" customHeight="1" x14ac:dyDescent="0.2">
      <c r="A140" s="28">
        <v>44409</v>
      </c>
      <c r="B140" s="18">
        <v>5198.2999999999993</v>
      </c>
      <c r="C140" s="18">
        <v>4933.5571387684649</v>
      </c>
      <c r="D140" s="18">
        <v>0</v>
      </c>
      <c r="E140" s="18">
        <v>0</v>
      </c>
      <c r="F140" s="18">
        <v>0</v>
      </c>
      <c r="G140" s="18">
        <v>0</v>
      </c>
      <c r="H140" s="19">
        <v>-5.0928738478259072E-2</v>
      </c>
      <c r="I140" s="19">
        <v>0</v>
      </c>
      <c r="J140" s="19">
        <v>-5.0928738478259072E-2</v>
      </c>
    </row>
    <row r="141" spans="1:10" ht="11.25" customHeight="1" x14ac:dyDescent="0.2">
      <c r="A141" s="28">
        <v>44440</v>
      </c>
      <c r="B141" s="18">
        <v>4786.0999999999995</v>
      </c>
      <c r="C141" s="18">
        <v>4542.3499647692033</v>
      </c>
      <c r="D141" s="18">
        <v>0</v>
      </c>
      <c r="E141" s="18">
        <v>0</v>
      </c>
      <c r="F141" s="18">
        <v>0</v>
      </c>
      <c r="G141" s="18">
        <v>0</v>
      </c>
      <c r="H141" s="19">
        <v>-5.0928738478259183E-2</v>
      </c>
      <c r="I141" s="19">
        <v>0</v>
      </c>
      <c r="J141" s="19">
        <v>-5.0928738478259183E-2</v>
      </c>
    </row>
    <row r="142" spans="1:10" ht="11.25" customHeight="1" x14ac:dyDescent="0.2">
      <c r="A142" s="28">
        <v>44470</v>
      </c>
      <c r="B142" s="18">
        <v>4969.2999999999993</v>
      </c>
      <c r="C142" s="18">
        <v>4716.2198198799861</v>
      </c>
      <c r="D142" s="18">
        <v>0</v>
      </c>
      <c r="E142" s="18">
        <v>0</v>
      </c>
      <c r="F142" s="18">
        <v>0</v>
      </c>
      <c r="G142" s="18">
        <v>0</v>
      </c>
      <c r="H142" s="19">
        <v>-5.0928738478259183E-2</v>
      </c>
      <c r="I142" s="19">
        <v>0</v>
      </c>
      <c r="J142" s="19">
        <v>-5.0928738478259183E-2</v>
      </c>
    </row>
    <row r="143" spans="1:10" ht="11.25" customHeight="1" x14ac:dyDescent="0.2">
      <c r="A143" s="28">
        <v>44501</v>
      </c>
      <c r="B143" s="18">
        <v>5839.5</v>
      </c>
      <c r="C143" s="18">
        <v>5542.1016316562054</v>
      </c>
      <c r="D143" s="18">
        <v>0</v>
      </c>
      <c r="E143" s="18">
        <v>0</v>
      </c>
      <c r="F143" s="18">
        <v>0</v>
      </c>
      <c r="G143" s="18">
        <v>0</v>
      </c>
      <c r="H143" s="19">
        <v>-5.0928738478259183E-2</v>
      </c>
      <c r="I143" s="19">
        <v>0</v>
      </c>
      <c r="J143" s="19">
        <v>-5.0928738478259183E-2</v>
      </c>
    </row>
    <row r="144" spans="1:10" ht="11.25" customHeight="1" x14ac:dyDescent="0.2">
      <c r="A144" s="28">
        <v>44531</v>
      </c>
      <c r="B144" s="18">
        <v>5381.5</v>
      </c>
      <c r="C144" s="18">
        <v>5107.4269938792477</v>
      </c>
      <c r="D144" s="18">
        <v>0</v>
      </c>
      <c r="E144" s="18">
        <v>0</v>
      </c>
      <c r="F144" s="18">
        <v>0</v>
      </c>
      <c r="G144" s="18">
        <v>0</v>
      </c>
      <c r="H144" s="19">
        <v>-5.0928738478259294E-2</v>
      </c>
      <c r="I144" s="19">
        <v>0</v>
      </c>
      <c r="J144" s="19">
        <v>-5.0928738478259294E-2</v>
      </c>
    </row>
    <row r="145" spans="1:10" ht="11.25" customHeight="1" x14ac:dyDescent="0.2">
      <c r="A145" s="28">
        <v>44562</v>
      </c>
      <c r="B145" s="18">
        <v>5679.2</v>
      </c>
      <c r="C145" s="18">
        <v>5389.9655084342703</v>
      </c>
      <c r="D145" s="18">
        <v>0</v>
      </c>
      <c r="E145" s="18">
        <v>0</v>
      </c>
      <c r="F145" s="18">
        <v>0</v>
      </c>
      <c r="G145" s="18">
        <v>0</v>
      </c>
      <c r="H145" s="19">
        <v>-5.0928738478259183E-2</v>
      </c>
      <c r="I145" s="19">
        <v>0</v>
      </c>
      <c r="J145" s="19">
        <v>-5.0928738478259183E-2</v>
      </c>
    </row>
    <row r="146" spans="1:10" ht="11.25" customHeight="1" x14ac:dyDescent="0.2">
      <c r="A146" s="28">
        <v>44593</v>
      </c>
      <c r="B146" s="18">
        <v>5587.5999999999995</v>
      </c>
      <c r="C146" s="18">
        <v>5303.0305808788789</v>
      </c>
      <c r="D146" s="18">
        <v>0</v>
      </c>
      <c r="E146" s="18">
        <v>0</v>
      </c>
      <c r="F146" s="18">
        <v>0</v>
      </c>
      <c r="G146" s="18">
        <v>0</v>
      </c>
      <c r="H146" s="19">
        <v>-5.0928738478259072E-2</v>
      </c>
      <c r="I146" s="19">
        <v>0</v>
      </c>
      <c r="J146" s="19">
        <v>-5.0928738478259072E-2</v>
      </c>
    </row>
    <row r="147" spans="1:10" ht="11.25" customHeight="1" x14ac:dyDescent="0.2">
      <c r="A147" s="28">
        <v>44621</v>
      </c>
      <c r="B147" s="18">
        <v>6412</v>
      </c>
      <c r="C147" s="18">
        <v>6085.4449288774013</v>
      </c>
      <c r="D147" s="18">
        <v>0</v>
      </c>
      <c r="E147" s="18">
        <v>0</v>
      </c>
      <c r="F147" s="18">
        <v>0</v>
      </c>
      <c r="G147" s="18">
        <v>0</v>
      </c>
      <c r="H147" s="19">
        <v>-5.0928738478259294E-2</v>
      </c>
      <c r="I147" s="19">
        <v>0</v>
      </c>
      <c r="J147" s="19">
        <v>-5.0928738478259294E-2</v>
      </c>
    </row>
    <row r="148" spans="1:10" ht="11.25" customHeight="1" x14ac:dyDescent="0.2">
      <c r="A148" s="28">
        <v>44652</v>
      </c>
      <c r="B148" s="18">
        <v>5564.7</v>
      </c>
      <c r="C148" s="18">
        <v>5281.2968489900304</v>
      </c>
      <c r="D148" s="18">
        <v>0</v>
      </c>
      <c r="E148" s="18">
        <v>0</v>
      </c>
      <c r="F148" s="18">
        <v>0</v>
      </c>
      <c r="G148" s="18">
        <v>0</v>
      </c>
      <c r="H148" s="19">
        <v>-5.0928738478259294E-2</v>
      </c>
      <c r="I148" s="19">
        <v>0</v>
      </c>
      <c r="J148" s="19">
        <v>-5.0928738478259294E-2</v>
      </c>
    </row>
    <row r="149" spans="1:10" ht="11.25" customHeight="1" x14ac:dyDescent="0.2">
      <c r="A149" s="28">
        <v>44682</v>
      </c>
      <c r="B149" s="18">
        <v>3664</v>
      </c>
      <c r="C149" s="18">
        <v>3477.3971022156584</v>
      </c>
      <c r="D149" s="18">
        <v>0</v>
      </c>
      <c r="E149" s="18">
        <v>0</v>
      </c>
      <c r="F149" s="18">
        <v>0</v>
      </c>
      <c r="G149" s="18">
        <v>0</v>
      </c>
      <c r="H149" s="19">
        <v>-5.0928738478259183E-2</v>
      </c>
      <c r="I149" s="19">
        <v>0</v>
      </c>
      <c r="J149" s="19">
        <v>-5.0928738478259183E-2</v>
      </c>
    </row>
    <row r="150" spans="1:10" ht="11.25" customHeight="1" x14ac:dyDescent="0.2">
      <c r="A150" s="28">
        <v>44713</v>
      </c>
      <c r="B150" s="18">
        <v>3664</v>
      </c>
      <c r="C150" s="18">
        <v>3477.3971022156584</v>
      </c>
      <c r="D150" s="18">
        <v>0</v>
      </c>
      <c r="E150" s="18">
        <v>0</v>
      </c>
      <c r="F150" s="18">
        <v>0</v>
      </c>
      <c r="G150" s="18">
        <v>0</v>
      </c>
      <c r="H150" s="19">
        <v>-5.0928738478259183E-2</v>
      </c>
      <c r="I150" s="19">
        <v>0</v>
      </c>
      <c r="J150" s="19">
        <v>-5.0928738478259183E-2</v>
      </c>
    </row>
    <row r="151" spans="1:10" ht="11.25" customHeight="1" x14ac:dyDescent="0.2">
      <c r="A151" s="28">
        <v>44743</v>
      </c>
      <c r="B151" s="18">
        <v>3664</v>
      </c>
      <c r="C151" s="18">
        <v>3477.3971022156584</v>
      </c>
      <c r="D151" s="18">
        <v>0</v>
      </c>
      <c r="E151" s="18">
        <v>0</v>
      </c>
      <c r="F151" s="18">
        <v>0</v>
      </c>
      <c r="G151" s="18">
        <v>0</v>
      </c>
      <c r="H151" s="19">
        <v>-5.0928738478259183E-2</v>
      </c>
      <c r="I151" s="19">
        <v>0</v>
      </c>
      <c r="J151" s="19">
        <v>-5.0928738478259183E-2</v>
      </c>
    </row>
    <row r="152" spans="1:10" ht="11.25" customHeight="1" x14ac:dyDescent="0.2">
      <c r="A152" s="27" t="s">
        <v>37</v>
      </c>
      <c r="B152" s="18">
        <v>0</v>
      </c>
      <c r="C152" s="18">
        <v>0</v>
      </c>
      <c r="D152" s="18">
        <v>33242.658450000003</v>
      </c>
      <c r="E152" s="18">
        <v>32673.995769533609</v>
      </c>
      <c r="F152" s="18">
        <v>7863.9370499999995</v>
      </c>
      <c r="G152" s="18">
        <v>7938.4774069468021</v>
      </c>
      <c r="H152" s="19">
        <v>-1.7106414077012411E-2</v>
      </c>
      <c r="I152" s="19">
        <v>9.4787580918900272E-3</v>
      </c>
      <c r="J152" s="19">
        <v>-1.2020511976468473E-2</v>
      </c>
    </row>
    <row r="153" spans="1:10" ht="11.25" customHeight="1" x14ac:dyDescent="0.2">
      <c r="A153" s="28">
        <v>44409</v>
      </c>
      <c r="B153" s="18">
        <v>0</v>
      </c>
      <c r="C153" s="18">
        <v>0</v>
      </c>
      <c r="D153" s="18">
        <v>2535.16093</v>
      </c>
      <c r="E153" s="18">
        <v>2491.7934173795561</v>
      </c>
      <c r="F153" s="18">
        <v>599.72176999999999</v>
      </c>
      <c r="G153" s="18">
        <v>605.40638758027012</v>
      </c>
      <c r="H153" s="19">
        <v>-1.7106414077012411E-2</v>
      </c>
      <c r="I153" s="19">
        <v>9.4787580918900272E-3</v>
      </c>
      <c r="J153" s="19">
        <v>-1.2020511976468584E-2</v>
      </c>
    </row>
    <row r="154" spans="1:10" ht="11.25" customHeight="1" x14ac:dyDescent="0.2">
      <c r="A154" s="28">
        <v>44440</v>
      </c>
      <c r="B154" s="18">
        <v>0</v>
      </c>
      <c r="C154" s="18">
        <v>0</v>
      </c>
      <c r="D154" s="18">
        <v>2688.5769</v>
      </c>
      <c r="E154" s="18">
        <v>2642.5849902707096</v>
      </c>
      <c r="F154" s="18">
        <v>636.01409999999998</v>
      </c>
      <c r="G154" s="18">
        <v>642.04272379693123</v>
      </c>
      <c r="H154" s="19">
        <v>-1.7106414077012411E-2</v>
      </c>
      <c r="I154" s="19">
        <v>9.4787580918902492E-3</v>
      </c>
      <c r="J154" s="19">
        <v>-1.2020511976468473E-2</v>
      </c>
    </row>
    <row r="155" spans="1:10" ht="11.25" customHeight="1" x14ac:dyDescent="0.2">
      <c r="A155" s="28">
        <v>44470</v>
      </c>
      <c r="B155" s="18">
        <v>0</v>
      </c>
      <c r="C155" s="18">
        <v>0</v>
      </c>
      <c r="D155" s="18">
        <v>2390.85878</v>
      </c>
      <c r="E155" s="18">
        <v>2349.9597597096595</v>
      </c>
      <c r="F155" s="18">
        <v>565.58542</v>
      </c>
      <c r="G155" s="18">
        <v>570.94646737648009</v>
      </c>
      <c r="H155" s="19">
        <v>-1.71064140770123E-2</v>
      </c>
      <c r="I155" s="19">
        <v>9.4787580918902492E-3</v>
      </c>
      <c r="J155" s="19">
        <v>-1.2020511976468362E-2</v>
      </c>
    </row>
    <row r="156" spans="1:10" ht="11.25" customHeight="1" x14ac:dyDescent="0.2">
      <c r="A156" s="28">
        <v>44501</v>
      </c>
      <c r="B156" s="18">
        <v>0</v>
      </c>
      <c r="C156" s="18">
        <v>0</v>
      </c>
      <c r="D156" s="18">
        <v>2811.6134700000002</v>
      </c>
      <c r="E156" s="18">
        <v>2763.5168457576742</v>
      </c>
      <c r="F156" s="18">
        <v>665.11982999999998</v>
      </c>
      <c r="G156" s="18">
        <v>671.42433997068906</v>
      </c>
      <c r="H156" s="19">
        <v>-1.7106414077012522E-2</v>
      </c>
      <c r="I156" s="19">
        <v>9.4787580918900272E-3</v>
      </c>
      <c r="J156" s="19">
        <v>-1.2020511976468584E-2</v>
      </c>
    </row>
    <row r="157" spans="1:10" ht="11.25" customHeight="1" x14ac:dyDescent="0.2">
      <c r="A157" s="28">
        <v>44531</v>
      </c>
      <c r="B157" s="18">
        <v>0</v>
      </c>
      <c r="C157" s="18">
        <v>0</v>
      </c>
      <c r="D157" s="18">
        <v>3238.4440399999999</v>
      </c>
      <c r="E157" s="18">
        <v>3183.045875286527</v>
      </c>
      <c r="F157" s="18">
        <v>766.09155999999996</v>
      </c>
      <c r="G157" s="18">
        <v>773.35315657347871</v>
      </c>
      <c r="H157" s="19">
        <v>-1.7106414077012411E-2</v>
      </c>
      <c r="I157" s="19">
        <v>9.4787580918902492E-3</v>
      </c>
      <c r="J157" s="19">
        <v>-1.2020511976468362E-2</v>
      </c>
    </row>
    <row r="158" spans="1:10" ht="11.25" customHeight="1" x14ac:dyDescent="0.2">
      <c r="A158" s="28">
        <v>44562</v>
      </c>
      <c r="B158" s="18">
        <v>0</v>
      </c>
      <c r="C158" s="18">
        <v>0</v>
      </c>
      <c r="D158" s="18">
        <v>2778.1961300000003</v>
      </c>
      <c r="E158" s="18">
        <v>2730.6711566130666</v>
      </c>
      <c r="F158" s="18">
        <v>657.21456999999998</v>
      </c>
      <c r="G158" s="18">
        <v>663.44414792349551</v>
      </c>
      <c r="H158" s="19">
        <v>-1.7106414077012522E-2</v>
      </c>
      <c r="I158" s="19">
        <v>9.4787580918900272E-3</v>
      </c>
      <c r="J158" s="19">
        <v>-1.2020511976468473E-2</v>
      </c>
    </row>
    <row r="159" spans="1:10" ht="11.25" customHeight="1" x14ac:dyDescent="0.2">
      <c r="A159" s="28">
        <v>44593</v>
      </c>
      <c r="B159" s="18">
        <v>0</v>
      </c>
      <c r="C159" s="18">
        <v>0</v>
      </c>
      <c r="D159" s="18">
        <v>3185.2800900000002</v>
      </c>
      <c r="E159" s="18">
        <v>3130.7913698291964</v>
      </c>
      <c r="F159" s="18">
        <v>753.51501000000007</v>
      </c>
      <c r="G159" s="18">
        <v>760.65739649839816</v>
      </c>
      <c r="H159" s="19">
        <v>-1.7106414077012522E-2</v>
      </c>
      <c r="I159" s="19">
        <v>9.4787580918900272E-3</v>
      </c>
      <c r="J159" s="19">
        <v>-1.2020511976468584E-2</v>
      </c>
    </row>
    <row r="160" spans="1:10" ht="11.25" customHeight="1" x14ac:dyDescent="0.2">
      <c r="A160" s="28">
        <v>44621</v>
      </c>
      <c r="B160" s="18">
        <v>0</v>
      </c>
      <c r="C160" s="18">
        <v>0</v>
      </c>
      <c r="D160" s="18">
        <v>2808.5755300000001</v>
      </c>
      <c r="E160" s="18">
        <v>2760.5308740172554</v>
      </c>
      <c r="F160" s="18">
        <v>664.40116999999998</v>
      </c>
      <c r="G160" s="18">
        <v>670.69886796639878</v>
      </c>
      <c r="H160" s="19">
        <v>-1.7106414077012411E-2</v>
      </c>
      <c r="I160" s="19">
        <v>9.4787580918902492E-3</v>
      </c>
      <c r="J160" s="19">
        <v>-1.2020511976468473E-2</v>
      </c>
    </row>
    <row r="161" spans="1:10" ht="11.25" customHeight="1" x14ac:dyDescent="0.2">
      <c r="A161" s="28">
        <v>44652</v>
      </c>
      <c r="B161" s="18">
        <v>0</v>
      </c>
      <c r="C161" s="18">
        <v>0</v>
      </c>
      <c r="D161" s="18">
        <v>2601.9956099999999</v>
      </c>
      <c r="E161" s="18">
        <v>2557.4847956687718</v>
      </c>
      <c r="F161" s="18">
        <v>615.53228999999999</v>
      </c>
      <c r="G161" s="18">
        <v>621.36677167465723</v>
      </c>
      <c r="H161" s="19">
        <v>-1.71064140770123E-2</v>
      </c>
      <c r="I161" s="19">
        <v>9.4787580918902492E-3</v>
      </c>
      <c r="J161" s="19">
        <v>-1.2020511976468362E-2</v>
      </c>
    </row>
    <row r="162" spans="1:10" ht="11.25" customHeight="1" x14ac:dyDescent="0.2">
      <c r="A162" s="28">
        <v>44682</v>
      </c>
      <c r="B162" s="18">
        <v>0</v>
      </c>
      <c r="C162" s="18">
        <v>0</v>
      </c>
      <c r="D162" s="18">
        <v>2793.3858300000002</v>
      </c>
      <c r="E162" s="18">
        <v>2745.601015315161</v>
      </c>
      <c r="F162" s="18">
        <v>660.80786999999998</v>
      </c>
      <c r="G162" s="18">
        <v>667.07150794494714</v>
      </c>
      <c r="H162" s="19">
        <v>-1.7106414077012411E-2</v>
      </c>
      <c r="I162" s="19">
        <v>9.4787580918900272E-3</v>
      </c>
      <c r="J162" s="19">
        <v>-1.2020511976468473E-2</v>
      </c>
    </row>
    <row r="163" spans="1:10" ht="11.25" customHeight="1" x14ac:dyDescent="0.2">
      <c r="A163" s="28">
        <v>44713</v>
      </c>
      <c r="B163" s="18">
        <v>0</v>
      </c>
      <c r="C163" s="18">
        <v>0</v>
      </c>
      <c r="D163" s="18">
        <v>2705.28557</v>
      </c>
      <c r="E163" s="18">
        <v>2659.0078348430134</v>
      </c>
      <c r="F163" s="18">
        <v>639.96672999999998</v>
      </c>
      <c r="G163" s="18">
        <v>646.03281982052795</v>
      </c>
      <c r="H163" s="19">
        <v>-1.7106414077012411E-2</v>
      </c>
      <c r="I163" s="19">
        <v>9.4787580918900272E-3</v>
      </c>
      <c r="J163" s="19">
        <v>-1.2020511976468473E-2</v>
      </c>
    </row>
    <row r="164" spans="1:10" ht="11.25" customHeight="1" x14ac:dyDescent="0.2">
      <c r="A164" s="28">
        <v>44743</v>
      </c>
      <c r="B164" s="18">
        <v>0</v>
      </c>
      <c r="C164" s="18">
        <v>0</v>
      </c>
      <c r="D164" s="18">
        <v>2705.28557</v>
      </c>
      <c r="E164" s="18">
        <v>2659.0078348430134</v>
      </c>
      <c r="F164" s="18">
        <v>639.96672999999998</v>
      </c>
      <c r="G164" s="18">
        <v>646.03281982052795</v>
      </c>
      <c r="H164" s="19">
        <v>-1.7106414077012411E-2</v>
      </c>
      <c r="I164" s="19">
        <v>9.4787580918900272E-3</v>
      </c>
      <c r="J164" s="19">
        <v>-1.2020511976468473E-2</v>
      </c>
    </row>
    <row r="165" spans="1:10" ht="11.25" customHeight="1" x14ac:dyDescent="0.2">
      <c r="A165" s="23" t="s">
        <v>47</v>
      </c>
      <c r="B165" s="18">
        <v>97831.09</v>
      </c>
      <c r="C165" s="18">
        <v>92848.67600234694</v>
      </c>
      <c r="D165" s="18">
        <v>432253.34813719994</v>
      </c>
      <c r="E165" s="18">
        <v>509944.55360032024</v>
      </c>
      <c r="F165" s="18">
        <v>462653.06492280005</v>
      </c>
      <c r="G165" s="18">
        <v>484247.20346812526</v>
      </c>
      <c r="H165" s="19">
        <v>0.13716454631450281</v>
      </c>
      <c r="I165" s="19">
        <v>4.6674582278901422E-2</v>
      </c>
      <c r="J165" s="19">
        <v>9.4992815039337541E-2</v>
      </c>
    </row>
    <row r="166" spans="1:10" ht="11.25" customHeight="1" x14ac:dyDescent="0.2">
      <c r="A166" s="24" t="s">
        <v>48</v>
      </c>
      <c r="B166" s="18">
        <v>97831.09</v>
      </c>
      <c r="C166" s="18">
        <v>92848.67600234694</v>
      </c>
      <c r="D166" s="18">
        <v>432253.34813719994</v>
      </c>
      <c r="E166" s="18">
        <v>509944.55360032024</v>
      </c>
      <c r="F166" s="18">
        <v>462653.06492280005</v>
      </c>
      <c r="G166" s="18">
        <v>484247.20346812526</v>
      </c>
      <c r="H166" s="19">
        <v>0.13716454631450281</v>
      </c>
      <c r="I166" s="19">
        <v>4.6674582278901422E-2</v>
      </c>
      <c r="J166" s="19">
        <v>9.4992815039337541E-2</v>
      </c>
    </row>
    <row r="167" spans="1:10" ht="11.25" customHeight="1" x14ac:dyDescent="0.2">
      <c r="A167" s="25" t="s">
        <v>25</v>
      </c>
      <c r="B167" s="18">
        <v>97831.09</v>
      </c>
      <c r="C167" s="18">
        <v>92848.67600234694</v>
      </c>
      <c r="D167" s="18">
        <v>432253.34813719994</v>
      </c>
      <c r="E167" s="18">
        <v>509944.55360032024</v>
      </c>
      <c r="F167" s="18">
        <v>462653.06492280005</v>
      </c>
      <c r="G167" s="18">
        <v>484247.20346812526</v>
      </c>
      <c r="H167" s="19">
        <v>0.13716454631450281</v>
      </c>
      <c r="I167" s="19">
        <v>4.6674582278901422E-2</v>
      </c>
      <c r="J167" s="19">
        <v>9.4992815039337541E-2</v>
      </c>
    </row>
    <row r="168" spans="1:10" ht="11.25" customHeight="1" x14ac:dyDescent="0.2">
      <c r="A168" s="26" t="s">
        <v>25</v>
      </c>
      <c r="B168" s="18">
        <v>97831.09</v>
      </c>
      <c r="C168" s="18">
        <v>92848.67600234694</v>
      </c>
      <c r="D168" s="18">
        <v>432253.34813719994</v>
      </c>
      <c r="E168" s="18">
        <v>509944.55360032024</v>
      </c>
      <c r="F168" s="18">
        <v>462653.06492280005</v>
      </c>
      <c r="G168" s="18">
        <v>484247.20346812526</v>
      </c>
      <c r="H168" s="19">
        <v>0.13716454631450281</v>
      </c>
      <c r="I168" s="19">
        <v>4.6674582278901422E-2</v>
      </c>
      <c r="J168" s="19">
        <v>9.4992815039337541E-2</v>
      </c>
    </row>
    <row r="169" spans="1:10" ht="11.25" customHeight="1" x14ac:dyDescent="0.2">
      <c r="A169" s="27" t="s">
        <v>38</v>
      </c>
      <c r="B169" s="18">
        <v>0</v>
      </c>
      <c r="C169" s="18">
        <v>0</v>
      </c>
      <c r="D169" s="18">
        <v>135689.82761360001</v>
      </c>
      <c r="E169" s="18">
        <v>218454.17145893362</v>
      </c>
      <c r="F169" s="18">
        <v>392497.51884240005</v>
      </c>
      <c r="G169" s="18">
        <v>413426.66993762477</v>
      </c>
      <c r="H169" s="19">
        <v>0.60995245775548668</v>
      </c>
      <c r="I169" s="19">
        <v>5.3323015026824683E-2</v>
      </c>
      <c r="J169" s="19">
        <v>0.19631953630906662</v>
      </c>
    </row>
    <row r="170" spans="1:10" ht="11.25" customHeight="1" x14ac:dyDescent="0.2">
      <c r="A170" s="28">
        <v>44409</v>
      </c>
      <c r="B170" s="18">
        <v>0</v>
      </c>
      <c r="C170" s="18">
        <v>0</v>
      </c>
      <c r="D170" s="18">
        <v>9953.2998577999988</v>
      </c>
      <c r="E170" s="18">
        <v>16024.339568842441</v>
      </c>
      <c r="F170" s="18">
        <v>28790.997580199997</v>
      </c>
      <c r="G170" s="18">
        <v>30326.220376806283</v>
      </c>
      <c r="H170" s="19">
        <v>0.60995245775548623</v>
      </c>
      <c r="I170" s="19">
        <v>5.3323015026824905E-2</v>
      </c>
      <c r="J170" s="19">
        <v>0.19631953630906707</v>
      </c>
    </row>
    <row r="171" spans="1:10" ht="11.25" customHeight="1" x14ac:dyDescent="0.2">
      <c r="A171" s="28">
        <v>44440</v>
      </c>
      <c r="B171" s="18">
        <v>0</v>
      </c>
      <c r="C171" s="18">
        <v>0</v>
      </c>
      <c r="D171" s="18">
        <v>9558.2582965999991</v>
      </c>
      <c r="E171" s="18">
        <v>15388.341436472936</v>
      </c>
      <c r="F171" s="18">
        <v>27648.297089399999</v>
      </c>
      <c r="G171" s="18">
        <v>29122.587650564194</v>
      </c>
      <c r="H171" s="19">
        <v>0.60995245775548623</v>
      </c>
      <c r="I171" s="19">
        <v>5.3323015026824905E-2</v>
      </c>
      <c r="J171" s="19">
        <v>0.19631953630906684</v>
      </c>
    </row>
    <row r="172" spans="1:10" ht="11.25" customHeight="1" x14ac:dyDescent="0.2">
      <c r="A172" s="28">
        <v>44470</v>
      </c>
      <c r="B172" s="18">
        <v>0</v>
      </c>
      <c r="C172" s="18">
        <v>0</v>
      </c>
      <c r="D172" s="18">
        <v>10124.1267816</v>
      </c>
      <c r="E172" s="18">
        <v>16299.362794665061</v>
      </c>
      <c r="F172" s="18">
        <v>29285.1329544</v>
      </c>
      <c r="G172" s="18">
        <v>30846.704538990038</v>
      </c>
      <c r="H172" s="19">
        <v>0.60995245775548623</v>
      </c>
      <c r="I172" s="19">
        <v>5.3323015026824905E-2</v>
      </c>
      <c r="J172" s="19">
        <v>0.19631953630906684</v>
      </c>
    </row>
    <row r="173" spans="1:10" ht="11.25" customHeight="1" x14ac:dyDescent="0.2">
      <c r="A173" s="28">
        <v>44501</v>
      </c>
      <c r="B173" s="18">
        <v>0</v>
      </c>
      <c r="C173" s="18">
        <v>0</v>
      </c>
      <c r="D173" s="18">
        <v>10338.778413600001</v>
      </c>
      <c r="E173" s="18">
        <v>16644.941717164689</v>
      </c>
      <c r="F173" s="18">
        <v>29906.036042400003</v>
      </c>
      <c r="G173" s="18">
        <v>31500.716051681666</v>
      </c>
      <c r="H173" s="19">
        <v>0.60995245775548623</v>
      </c>
      <c r="I173" s="19">
        <v>5.3323015026824905E-2</v>
      </c>
      <c r="J173" s="19">
        <v>0.19631953630906684</v>
      </c>
    </row>
    <row r="174" spans="1:10" ht="11.25" customHeight="1" x14ac:dyDescent="0.2">
      <c r="A174" s="28">
        <v>44531</v>
      </c>
      <c r="B174" s="18">
        <v>0</v>
      </c>
      <c r="C174" s="18">
        <v>0</v>
      </c>
      <c r="D174" s="18">
        <v>12319.5589062</v>
      </c>
      <c r="E174" s="18">
        <v>19833.90413950018</v>
      </c>
      <c r="F174" s="18">
        <v>35635.658095800005</v>
      </c>
      <c r="G174" s="18">
        <v>37535.858827933138</v>
      </c>
      <c r="H174" s="19">
        <v>0.60995245775548623</v>
      </c>
      <c r="I174" s="19">
        <v>5.3323015026824683E-2</v>
      </c>
      <c r="J174" s="19">
        <v>0.19631953630906662</v>
      </c>
    </row>
    <row r="175" spans="1:10" ht="11.25" customHeight="1" x14ac:dyDescent="0.2">
      <c r="A175" s="28">
        <v>44562</v>
      </c>
      <c r="B175" s="18">
        <v>0</v>
      </c>
      <c r="C175" s="18">
        <v>0</v>
      </c>
      <c r="D175" s="18">
        <v>15103.2190608</v>
      </c>
      <c r="E175" s="18">
        <v>24315.464646954468</v>
      </c>
      <c r="F175" s="18">
        <v>43687.696507200002</v>
      </c>
      <c r="G175" s="18">
        <v>46017.256204540798</v>
      </c>
      <c r="H175" s="19">
        <v>0.60995245775548623</v>
      </c>
      <c r="I175" s="19">
        <v>5.3323015026824905E-2</v>
      </c>
      <c r="J175" s="19">
        <v>0.19631953630906684</v>
      </c>
    </row>
    <row r="176" spans="1:10" ht="11.25" customHeight="1" x14ac:dyDescent="0.2">
      <c r="A176" s="28">
        <v>44593</v>
      </c>
      <c r="B176" s="18">
        <v>0</v>
      </c>
      <c r="C176" s="18">
        <v>0</v>
      </c>
      <c r="D176" s="18">
        <v>12216.498603399999</v>
      </c>
      <c r="E176" s="18">
        <v>19667.981951710295</v>
      </c>
      <c r="F176" s="18">
        <v>35337.545010599999</v>
      </c>
      <c r="G176" s="18">
        <v>37221.849454211326</v>
      </c>
      <c r="H176" s="19">
        <v>0.60995245775548623</v>
      </c>
      <c r="I176" s="19">
        <v>5.3323015026824905E-2</v>
      </c>
      <c r="J176" s="19">
        <v>0.19631953630906707</v>
      </c>
    </row>
    <row r="177" spans="1:10" ht="11.25" customHeight="1" x14ac:dyDescent="0.2">
      <c r="A177" s="28">
        <v>44621</v>
      </c>
      <c r="B177" s="18">
        <v>0</v>
      </c>
      <c r="C177" s="18">
        <v>0</v>
      </c>
      <c r="D177" s="18">
        <v>11738.485930599998</v>
      </c>
      <c r="E177" s="18">
        <v>18898.404274297667</v>
      </c>
      <c r="F177" s="18">
        <v>33954.841595400001</v>
      </c>
      <c r="G177" s="18">
        <v>35765.416124024974</v>
      </c>
      <c r="H177" s="19">
        <v>0.60995245775548668</v>
      </c>
      <c r="I177" s="19">
        <v>5.3323015026824905E-2</v>
      </c>
      <c r="J177" s="19">
        <v>0.19631953630906684</v>
      </c>
    </row>
    <row r="178" spans="1:10" ht="11.25" customHeight="1" x14ac:dyDescent="0.2">
      <c r="A178" s="28">
        <v>44652</v>
      </c>
      <c r="B178" s="18">
        <v>0</v>
      </c>
      <c r="C178" s="18">
        <v>0</v>
      </c>
      <c r="D178" s="18">
        <v>11300.307647200001</v>
      </c>
      <c r="E178" s="18">
        <v>18192.958070002758</v>
      </c>
      <c r="F178" s="18">
        <v>32687.363464800004</v>
      </c>
      <c r="G178" s="18">
        <v>34430.352238020823</v>
      </c>
      <c r="H178" s="19">
        <v>0.60995245775548623</v>
      </c>
      <c r="I178" s="19">
        <v>5.3323015026824905E-2</v>
      </c>
      <c r="J178" s="19">
        <v>0.19631953630906684</v>
      </c>
    </row>
    <row r="179" spans="1:10" ht="11.25" customHeight="1" x14ac:dyDescent="0.2">
      <c r="A179" s="28">
        <v>44682</v>
      </c>
      <c r="B179" s="18">
        <v>0</v>
      </c>
      <c r="C179" s="18">
        <v>0</v>
      </c>
      <c r="D179" s="18">
        <v>11018.164588600001</v>
      </c>
      <c r="E179" s="18">
        <v>17738.721159371038</v>
      </c>
      <c r="F179" s="18">
        <v>31871.234117400003</v>
      </c>
      <c r="G179" s="18">
        <v>33570.704413165578</v>
      </c>
      <c r="H179" s="19">
        <v>0.60995245775548645</v>
      </c>
      <c r="I179" s="19">
        <v>5.3323015026824905E-2</v>
      </c>
      <c r="J179" s="19">
        <v>0.19631953630906684</v>
      </c>
    </row>
    <row r="180" spans="1:10" ht="11.25" customHeight="1" x14ac:dyDescent="0.2">
      <c r="A180" s="28">
        <v>44713</v>
      </c>
      <c r="B180" s="18">
        <v>0</v>
      </c>
      <c r="C180" s="18">
        <v>0</v>
      </c>
      <c r="D180" s="18">
        <v>11009.564763599999</v>
      </c>
      <c r="E180" s="18">
        <v>17724.875849976019</v>
      </c>
      <c r="F180" s="18">
        <v>31846.358192400003</v>
      </c>
      <c r="G180" s="18">
        <v>33544.502028842995</v>
      </c>
      <c r="H180" s="19">
        <v>0.60995245775548623</v>
      </c>
      <c r="I180" s="19">
        <v>5.3323015026824905E-2</v>
      </c>
      <c r="J180" s="19">
        <v>0.19631953630906662</v>
      </c>
    </row>
    <row r="181" spans="1:10" ht="11.25" customHeight="1" x14ac:dyDescent="0.2">
      <c r="A181" s="28">
        <v>44743</v>
      </c>
      <c r="B181" s="18">
        <v>0</v>
      </c>
      <c r="C181" s="18">
        <v>0</v>
      </c>
      <c r="D181" s="18">
        <v>11009.564763599999</v>
      </c>
      <c r="E181" s="18">
        <v>17724.875849976019</v>
      </c>
      <c r="F181" s="18">
        <v>31846.358192400003</v>
      </c>
      <c r="G181" s="18">
        <v>33544.502028842995</v>
      </c>
      <c r="H181" s="19">
        <v>0.60995245775548623</v>
      </c>
      <c r="I181" s="19">
        <v>5.3323015026824905E-2</v>
      </c>
      <c r="J181" s="19">
        <v>0.19631953630906662</v>
      </c>
    </row>
    <row r="182" spans="1:10" ht="11.25" customHeight="1" x14ac:dyDescent="0.2">
      <c r="A182" s="27" t="s">
        <v>25</v>
      </c>
      <c r="B182" s="18">
        <v>97831.09</v>
      </c>
      <c r="C182" s="18">
        <v>92848.67600234694</v>
      </c>
      <c r="D182" s="18">
        <v>0</v>
      </c>
      <c r="E182" s="18">
        <v>0</v>
      </c>
      <c r="F182" s="18">
        <v>0</v>
      </c>
      <c r="G182" s="18">
        <v>0</v>
      </c>
      <c r="H182" s="19">
        <v>-5.0928738478259405E-2</v>
      </c>
      <c r="I182" s="19">
        <v>0</v>
      </c>
      <c r="J182" s="19">
        <v>-5.0928738478259405E-2</v>
      </c>
    </row>
    <row r="183" spans="1:10" ht="11.25" customHeight="1" x14ac:dyDescent="0.2">
      <c r="A183" s="28">
        <v>44409</v>
      </c>
      <c r="B183" s="18">
        <v>7785.9999999999991</v>
      </c>
      <c r="C183" s="18">
        <v>7389.4688422082736</v>
      </c>
      <c r="D183" s="18">
        <v>0</v>
      </c>
      <c r="E183" s="18">
        <v>0</v>
      </c>
      <c r="F183" s="18">
        <v>0</v>
      </c>
      <c r="G183" s="18">
        <v>0</v>
      </c>
      <c r="H183" s="19">
        <v>-5.0928738478259072E-2</v>
      </c>
      <c r="I183" s="19">
        <v>0</v>
      </c>
      <c r="J183" s="19">
        <v>-5.0928738478259072E-2</v>
      </c>
    </row>
    <row r="184" spans="1:10" ht="11.25" customHeight="1" x14ac:dyDescent="0.2">
      <c r="A184" s="28">
        <v>44440</v>
      </c>
      <c r="B184" s="18">
        <v>7785.9999999999991</v>
      </c>
      <c r="C184" s="18">
        <v>7389.4688422082736</v>
      </c>
      <c r="D184" s="18">
        <v>0</v>
      </c>
      <c r="E184" s="18">
        <v>0</v>
      </c>
      <c r="F184" s="18">
        <v>0</v>
      </c>
      <c r="G184" s="18">
        <v>0</v>
      </c>
      <c r="H184" s="19">
        <v>-5.0928738478259072E-2</v>
      </c>
      <c r="I184" s="19">
        <v>0</v>
      </c>
      <c r="J184" s="19">
        <v>-5.0928738478259072E-2</v>
      </c>
    </row>
    <row r="185" spans="1:10" ht="11.25" customHeight="1" x14ac:dyDescent="0.2">
      <c r="A185" s="28">
        <v>44470</v>
      </c>
      <c r="B185" s="18">
        <v>7785.9999999999991</v>
      </c>
      <c r="C185" s="18">
        <v>7389.4688422082736</v>
      </c>
      <c r="D185" s="18">
        <v>0</v>
      </c>
      <c r="E185" s="18">
        <v>0</v>
      </c>
      <c r="F185" s="18">
        <v>0</v>
      </c>
      <c r="G185" s="18">
        <v>0</v>
      </c>
      <c r="H185" s="19">
        <v>-5.0928738478259072E-2</v>
      </c>
      <c r="I185" s="19">
        <v>0</v>
      </c>
      <c r="J185" s="19">
        <v>-5.0928738478259072E-2</v>
      </c>
    </row>
    <row r="186" spans="1:10" ht="11.25" customHeight="1" x14ac:dyDescent="0.2">
      <c r="A186" s="28">
        <v>44501</v>
      </c>
      <c r="B186" s="18">
        <v>7785.9999999999991</v>
      </c>
      <c r="C186" s="18">
        <v>7389.4688422082736</v>
      </c>
      <c r="D186" s="18">
        <v>0</v>
      </c>
      <c r="E186" s="18">
        <v>0</v>
      </c>
      <c r="F186" s="18">
        <v>0</v>
      </c>
      <c r="G186" s="18">
        <v>0</v>
      </c>
      <c r="H186" s="19">
        <v>-5.0928738478259072E-2</v>
      </c>
      <c r="I186" s="19">
        <v>0</v>
      </c>
      <c r="J186" s="19">
        <v>-5.0928738478259072E-2</v>
      </c>
    </row>
    <row r="187" spans="1:10" ht="11.25" customHeight="1" x14ac:dyDescent="0.2">
      <c r="A187" s="28">
        <v>44531</v>
      </c>
      <c r="B187" s="18">
        <v>9421.06</v>
      </c>
      <c r="C187" s="18">
        <v>8941.2572990720109</v>
      </c>
      <c r="D187" s="18">
        <v>0</v>
      </c>
      <c r="E187" s="18">
        <v>0</v>
      </c>
      <c r="F187" s="18">
        <v>0</v>
      </c>
      <c r="G187" s="18">
        <v>0</v>
      </c>
      <c r="H187" s="19">
        <v>-5.0928738478259183E-2</v>
      </c>
      <c r="I187" s="19">
        <v>0</v>
      </c>
      <c r="J187" s="19">
        <v>-5.0928738478259183E-2</v>
      </c>
    </row>
    <row r="188" spans="1:10" ht="11.25" customHeight="1" x14ac:dyDescent="0.2">
      <c r="A188" s="28">
        <v>44562</v>
      </c>
      <c r="B188" s="18">
        <v>9537.8499999999985</v>
      </c>
      <c r="C188" s="18">
        <v>9052.0993317051343</v>
      </c>
      <c r="D188" s="18">
        <v>0</v>
      </c>
      <c r="E188" s="18">
        <v>0</v>
      </c>
      <c r="F188" s="18">
        <v>0</v>
      </c>
      <c r="G188" s="18">
        <v>0</v>
      </c>
      <c r="H188" s="19">
        <v>-5.0928738478259183E-2</v>
      </c>
      <c r="I188" s="19">
        <v>0</v>
      </c>
      <c r="J188" s="19">
        <v>-5.0928738478259183E-2</v>
      </c>
    </row>
    <row r="189" spans="1:10" ht="11.25" customHeight="1" x14ac:dyDescent="0.2">
      <c r="A189" s="28">
        <v>44593</v>
      </c>
      <c r="B189" s="18">
        <v>8194.7649999999994</v>
      </c>
      <c r="C189" s="18">
        <v>7777.4159564242073</v>
      </c>
      <c r="D189" s="18">
        <v>0</v>
      </c>
      <c r="E189" s="18">
        <v>0</v>
      </c>
      <c r="F189" s="18">
        <v>0</v>
      </c>
      <c r="G189" s="18">
        <v>0</v>
      </c>
      <c r="H189" s="19">
        <v>-5.0928738478259294E-2</v>
      </c>
      <c r="I189" s="19">
        <v>0</v>
      </c>
      <c r="J189" s="19">
        <v>-5.0928738478259294E-2</v>
      </c>
    </row>
    <row r="190" spans="1:10" ht="11.25" customHeight="1" x14ac:dyDescent="0.2">
      <c r="A190" s="28">
        <v>44621</v>
      </c>
      <c r="B190" s="18">
        <v>8292.0899999999983</v>
      </c>
      <c r="C190" s="18">
        <v>7869.784316951811</v>
      </c>
      <c r="D190" s="18">
        <v>0</v>
      </c>
      <c r="E190" s="18">
        <v>0</v>
      </c>
      <c r="F190" s="18">
        <v>0</v>
      </c>
      <c r="G190" s="18">
        <v>0</v>
      </c>
      <c r="H190" s="19">
        <v>-5.0928738478259072E-2</v>
      </c>
      <c r="I190" s="19">
        <v>0</v>
      </c>
      <c r="J190" s="19">
        <v>-5.0928738478259072E-2</v>
      </c>
    </row>
    <row r="191" spans="1:10" ht="11.25" customHeight="1" x14ac:dyDescent="0.2">
      <c r="A191" s="28">
        <v>44652</v>
      </c>
      <c r="B191" s="18">
        <v>7883.3249999999998</v>
      </c>
      <c r="C191" s="18">
        <v>7481.8372027358773</v>
      </c>
      <c r="D191" s="18">
        <v>0</v>
      </c>
      <c r="E191" s="18">
        <v>0</v>
      </c>
      <c r="F191" s="18">
        <v>0</v>
      </c>
      <c r="G191" s="18">
        <v>0</v>
      </c>
      <c r="H191" s="19">
        <v>-5.0928738478259183E-2</v>
      </c>
      <c r="I191" s="19">
        <v>0</v>
      </c>
      <c r="J191" s="19">
        <v>-5.0928738478259183E-2</v>
      </c>
    </row>
    <row r="192" spans="1:10" ht="11.25" customHeight="1" x14ac:dyDescent="0.2">
      <c r="A192" s="28">
        <v>44682</v>
      </c>
      <c r="B192" s="18">
        <v>7785.9999999999991</v>
      </c>
      <c r="C192" s="18">
        <v>7389.4688422082736</v>
      </c>
      <c r="D192" s="18">
        <v>0</v>
      </c>
      <c r="E192" s="18">
        <v>0</v>
      </c>
      <c r="F192" s="18">
        <v>0</v>
      </c>
      <c r="G192" s="18">
        <v>0</v>
      </c>
      <c r="H192" s="19">
        <v>-5.0928738478259072E-2</v>
      </c>
      <c r="I192" s="19">
        <v>0</v>
      </c>
      <c r="J192" s="19">
        <v>-5.0928738478259072E-2</v>
      </c>
    </row>
    <row r="193" spans="1:10" ht="11.25" customHeight="1" x14ac:dyDescent="0.2">
      <c r="A193" s="28">
        <v>44713</v>
      </c>
      <c r="B193" s="18">
        <v>7785.9999999999991</v>
      </c>
      <c r="C193" s="18">
        <v>7389.4688422082736</v>
      </c>
      <c r="D193" s="18">
        <v>0</v>
      </c>
      <c r="E193" s="18">
        <v>0</v>
      </c>
      <c r="F193" s="18">
        <v>0</v>
      </c>
      <c r="G193" s="18">
        <v>0</v>
      </c>
      <c r="H193" s="19">
        <v>-5.0928738478259072E-2</v>
      </c>
      <c r="I193" s="19">
        <v>0</v>
      </c>
      <c r="J193" s="19">
        <v>-5.0928738478259072E-2</v>
      </c>
    </row>
    <row r="194" spans="1:10" ht="11.25" customHeight="1" x14ac:dyDescent="0.2">
      <c r="A194" s="28">
        <v>44743</v>
      </c>
      <c r="B194" s="18">
        <v>7785.9999999999991</v>
      </c>
      <c r="C194" s="18">
        <v>7389.4688422082736</v>
      </c>
      <c r="D194" s="18">
        <v>0</v>
      </c>
      <c r="E194" s="18">
        <v>0</v>
      </c>
      <c r="F194" s="18">
        <v>0</v>
      </c>
      <c r="G194" s="18">
        <v>0</v>
      </c>
      <c r="H194" s="19">
        <v>-5.0928738478259072E-2</v>
      </c>
      <c r="I194" s="19">
        <v>0</v>
      </c>
      <c r="J194" s="19">
        <v>-5.0928738478259072E-2</v>
      </c>
    </row>
    <row r="195" spans="1:10" ht="11.25" customHeight="1" x14ac:dyDescent="0.2">
      <c r="A195" s="27" t="s">
        <v>37</v>
      </c>
      <c r="B195" s="18">
        <v>0</v>
      </c>
      <c r="C195" s="18">
        <v>0</v>
      </c>
      <c r="D195" s="18">
        <v>296563.52052359999</v>
      </c>
      <c r="E195" s="18">
        <v>291490.38214138674</v>
      </c>
      <c r="F195" s="18">
        <v>70155.546080399989</v>
      </c>
      <c r="G195" s="18">
        <v>70820.533530500572</v>
      </c>
      <c r="H195" s="19">
        <v>-1.71064140770123E-2</v>
      </c>
      <c r="I195" s="19">
        <v>9.4787580918904712E-3</v>
      </c>
      <c r="J195" s="19">
        <v>-1.2020511976468251E-2</v>
      </c>
    </row>
    <row r="196" spans="1:10" ht="11.25" customHeight="1" x14ac:dyDescent="0.2">
      <c r="A196" s="28">
        <v>44409</v>
      </c>
      <c r="B196" s="18">
        <v>0</v>
      </c>
      <c r="C196" s="18">
        <v>0</v>
      </c>
      <c r="D196" s="18">
        <v>20603.612873999999</v>
      </c>
      <c r="E196" s="18">
        <v>20251.158940694891</v>
      </c>
      <c r="F196" s="18">
        <v>4874.0239859999992</v>
      </c>
      <c r="G196" s="18">
        <v>4920.2236802973639</v>
      </c>
      <c r="H196" s="19">
        <v>-1.7106414077012411E-2</v>
      </c>
      <c r="I196" s="19">
        <v>9.4787580918902492E-3</v>
      </c>
      <c r="J196" s="19">
        <v>-1.2020511976468473E-2</v>
      </c>
    </row>
    <row r="197" spans="1:10" ht="11.25" customHeight="1" x14ac:dyDescent="0.2">
      <c r="A197" s="28">
        <v>44440</v>
      </c>
      <c r="B197" s="18">
        <v>0</v>
      </c>
      <c r="C197" s="18">
        <v>0</v>
      </c>
      <c r="D197" s="18">
        <v>19671.238708599998</v>
      </c>
      <c r="E197" s="18">
        <v>19334.734353842934</v>
      </c>
      <c r="F197" s="18">
        <v>4653.4600453999992</v>
      </c>
      <c r="G197" s="18">
        <v>4697.5690674606221</v>
      </c>
      <c r="H197" s="19">
        <v>-1.71064140770123E-2</v>
      </c>
      <c r="I197" s="19">
        <v>9.4787580918902492E-3</v>
      </c>
      <c r="J197" s="19">
        <v>-1.2020511976468251E-2</v>
      </c>
    </row>
    <row r="198" spans="1:10" ht="11.25" customHeight="1" x14ac:dyDescent="0.2">
      <c r="A198" s="28">
        <v>44470</v>
      </c>
      <c r="B198" s="18">
        <v>0</v>
      </c>
      <c r="C198" s="18">
        <v>0</v>
      </c>
      <c r="D198" s="18">
        <v>18548.962913799998</v>
      </c>
      <c r="E198" s="18">
        <v>18231.656673497389</v>
      </c>
      <c r="F198" s="18">
        <v>4387.9726681999991</v>
      </c>
      <c r="G198" s="18">
        <v>4429.5651996356928</v>
      </c>
      <c r="H198" s="19">
        <v>-1.7106414077012411E-2</v>
      </c>
      <c r="I198" s="19">
        <v>9.4787580918902492E-3</v>
      </c>
      <c r="J198" s="19">
        <v>-1.2020511976468362E-2</v>
      </c>
    </row>
    <row r="199" spans="1:10" ht="11.25" customHeight="1" x14ac:dyDescent="0.2">
      <c r="A199" s="28">
        <v>44501</v>
      </c>
      <c r="B199" s="18">
        <v>0</v>
      </c>
      <c r="C199" s="18">
        <v>0</v>
      </c>
      <c r="D199" s="18">
        <v>20056.753294599999</v>
      </c>
      <c r="E199" s="18">
        <v>19713.654167702087</v>
      </c>
      <c r="F199" s="18">
        <v>4744.6579993999994</v>
      </c>
      <c r="G199" s="18">
        <v>4789.6314648050638</v>
      </c>
      <c r="H199" s="19">
        <v>-1.7106414077012522E-2</v>
      </c>
      <c r="I199" s="19">
        <v>9.4787580918902492E-3</v>
      </c>
      <c r="J199" s="19">
        <v>-1.2020511976468473E-2</v>
      </c>
    </row>
    <row r="200" spans="1:10" ht="11.25" customHeight="1" x14ac:dyDescent="0.2">
      <c r="A200" s="28">
        <v>44531</v>
      </c>
      <c r="B200" s="18">
        <v>0</v>
      </c>
      <c r="C200" s="18">
        <v>0</v>
      </c>
      <c r="D200" s="18">
        <v>30421.384330800003</v>
      </c>
      <c r="E200" s="18">
        <v>29900.9835336414</v>
      </c>
      <c r="F200" s="18">
        <v>7196.5318812000005</v>
      </c>
      <c r="G200" s="18">
        <v>7264.7460660024699</v>
      </c>
      <c r="H200" s="19">
        <v>-1.7106414077012411E-2</v>
      </c>
      <c r="I200" s="19">
        <v>9.4787580918900272E-3</v>
      </c>
      <c r="J200" s="19">
        <v>-1.2020511976468473E-2</v>
      </c>
    </row>
    <row r="201" spans="1:10" ht="11.25" customHeight="1" x14ac:dyDescent="0.2">
      <c r="A201" s="28">
        <v>44562</v>
      </c>
      <c r="B201" s="18">
        <v>0</v>
      </c>
      <c r="C201" s="18">
        <v>0</v>
      </c>
      <c r="D201" s="18">
        <v>32493.168272600004</v>
      </c>
      <c r="E201" s="18">
        <v>31937.326681454862</v>
      </c>
      <c r="F201" s="18">
        <v>7686.6364414</v>
      </c>
      <c r="G201" s="18">
        <v>7759.496208768338</v>
      </c>
      <c r="H201" s="19">
        <v>-1.7106414077012522E-2</v>
      </c>
      <c r="I201" s="19">
        <v>9.4787580918902492E-3</v>
      </c>
      <c r="J201" s="19">
        <v>-1.2020511976468584E-2</v>
      </c>
    </row>
    <row r="202" spans="1:10" ht="11.25" customHeight="1" x14ac:dyDescent="0.2">
      <c r="A202" s="28">
        <v>44593</v>
      </c>
      <c r="B202" s="18">
        <v>0</v>
      </c>
      <c r="C202" s="18">
        <v>0</v>
      </c>
      <c r="D202" s="18">
        <v>27006.010665200003</v>
      </c>
      <c r="E202" s="18">
        <v>26544.034664192877</v>
      </c>
      <c r="F202" s="18">
        <v>6388.5855627999999</v>
      </c>
      <c r="G202" s="18">
        <v>6449.1414198991233</v>
      </c>
      <c r="H202" s="19">
        <v>-1.7106414077012411E-2</v>
      </c>
      <c r="I202" s="19">
        <v>9.4787580918902492E-3</v>
      </c>
      <c r="J202" s="19">
        <v>-1.2020511976468362E-2</v>
      </c>
    </row>
    <row r="203" spans="1:10" ht="11.25" customHeight="1" x14ac:dyDescent="0.2">
      <c r="A203" s="28">
        <v>44621</v>
      </c>
      <c r="B203" s="18">
        <v>0</v>
      </c>
      <c r="C203" s="18">
        <v>0</v>
      </c>
      <c r="D203" s="18">
        <v>27245.886407600003</v>
      </c>
      <c r="E203" s="18">
        <v>26779.806992816353</v>
      </c>
      <c r="F203" s="18">
        <v>6445.3309564000001</v>
      </c>
      <c r="G203" s="18">
        <v>6506.4246893578866</v>
      </c>
      <c r="H203" s="19">
        <v>-1.7106414077012411E-2</v>
      </c>
      <c r="I203" s="19">
        <v>9.4787580918900272E-3</v>
      </c>
      <c r="J203" s="19">
        <v>-1.2020511976468362E-2</v>
      </c>
    </row>
    <row r="204" spans="1:10" ht="11.25" customHeight="1" x14ac:dyDescent="0.2">
      <c r="A204" s="28">
        <v>44652</v>
      </c>
      <c r="B204" s="18">
        <v>0</v>
      </c>
      <c r="C204" s="18">
        <v>0</v>
      </c>
      <c r="D204" s="18">
        <v>23502.111428</v>
      </c>
      <c r="E204" s="18">
        <v>23100.074578228548</v>
      </c>
      <c r="F204" s="18">
        <v>5559.6974920000002</v>
      </c>
      <c r="G204" s="18">
        <v>5612.3965195907558</v>
      </c>
      <c r="H204" s="19">
        <v>-1.71064140770123E-2</v>
      </c>
      <c r="I204" s="19">
        <v>9.4787580918900272E-3</v>
      </c>
      <c r="J204" s="19">
        <v>-1.2020511976468362E-2</v>
      </c>
    </row>
    <row r="205" spans="1:10" ht="11.25" customHeight="1" x14ac:dyDescent="0.2">
      <c r="A205" s="28">
        <v>44682</v>
      </c>
      <c r="B205" s="18">
        <v>0</v>
      </c>
      <c r="C205" s="18">
        <v>0</v>
      </c>
      <c r="D205" s="18">
        <v>25609.591164799996</v>
      </c>
      <c r="E205" s="18">
        <v>25171.502893991932</v>
      </c>
      <c r="F205" s="18">
        <v>6058.2463071999991</v>
      </c>
      <c r="G205" s="18">
        <v>6115.670958407035</v>
      </c>
      <c r="H205" s="19">
        <v>-1.71064140770123E-2</v>
      </c>
      <c r="I205" s="19">
        <v>9.4787580918902492E-3</v>
      </c>
      <c r="J205" s="19">
        <v>-1.2020511976468362E-2</v>
      </c>
    </row>
    <row r="206" spans="1:10" ht="11.25" customHeight="1" x14ac:dyDescent="0.2">
      <c r="A206" s="28">
        <v>44713</v>
      </c>
      <c r="B206" s="18">
        <v>0</v>
      </c>
      <c r="C206" s="18">
        <v>0</v>
      </c>
      <c r="D206" s="18">
        <v>25702.400231800002</v>
      </c>
      <c r="E206" s="18">
        <v>25262.724330661731</v>
      </c>
      <c r="F206" s="18">
        <v>6080.2013702000004</v>
      </c>
      <c r="G206" s="18">
        <v>6137.8341281381054</v>
      </c>
      <c r="H206" s="19">
        <v>-1.7106414077012411E-2</v>
      </c>
      <c r="I206" s="19">
        <v>9.4787580918902492E-3</v>
      </c>
      <c r="J206" s="19">
        <v>-1.2020511976468362E-2</v>
      </c>
    </row>
    <row r="207" spans="1:10" ht="11.25" customHeight="1" x14ac:dyDescent="0.2">
      <c r="A207" s="28">
        <v>44743</v>
      </c>
      <c r="B207" s="18">
        <v>0</v>
      </c>
      <c r="C207" s="18">
        <v>0</v>
      </c>
      <c r="D207" s="18">
        <v>25702.400231800002</v>
      </c>
      <c r="E207" s="18">
        <v>25262.724330661731</v>
      </c>
      <c r="F207" s="18">
        <v>6080.2013702000004</v>
      </c>
      <c r="G207" s="18">
        <v>6137.8341281381054</v>
      </c>
      <c r="H207" s="19">
        <v>-1.7106414077012411E-2</v>
      </c>
      <c r="I207" s="19">
        <v>9.4787580918902492E-3</v>
      </c>
      <c r="J207" s="19">
        <v>-1.2020511976468362E-2</v>
      </c>
    </row>
    <row r="208" spans="1:10" ht="11.25" customHeight="1" x14ac:dyDescent="0.2">
      <c r="A208" s="21" t="s">
        <v>22</v>
      </c>
      <c r="B208" s="18">
        <v>0</v>
      </c>
      <c r="C208" s="18">
        <v>0</v>
      </c>
      <c r="D208" s="18">
        <v>23609288.987567976</v>
      </c>
      <c r="E208" s="18">
        <v>29032799.78388593</v>
      </c>
      <c r="F208" s="18">
        <v>15726759.511889996</v>
      </c>
      <c r="G208" s="18">
        <v>16473316.967885928</v>
      </c>
      <c r="H208" s="19">
        <v>0.2297193616958908</v>
      </c>
      <c r="I208" s="19">
        <v>4.7470520257623106E-2</v>
      </c>
      <c r="J208" s="19">
        <v>0.15685531434096389</v>
      </c>
    </row>
    <row r="209" spans="1:10" ht="11.25" customHeight="1" x14ac:dyDescent="0.2">
      <c r="A209" s="22" t="s">
        <v>23</v>
      </c>
      <c r="B209" s="18">
        <v>0</v>
      </c>
      <c r="C209" s="18">
        <v>0</v>
      </c>
      <c r="D209" s="18">
        <v>23609288.987567976</v>
      </c>
      <c r="E209" s="18">
        <v>29032799.78388593</v>
      </c>
      <c r="F209" s="18">
        <v>15726759.511889996</v>
      </c>
      <c r="G209" s="18">
        <v>16473316.967885928</v>
      </c>
      <c r="H209" s="19">
        <v>0.2297193616958908</v>
      </c>
      <c r="I209" s="19">
        <v>4.7470520257623106E-2</v>
      </c>
      <c r="J209" s="19">
        <v>0.15685531434096389</v>
      </c>
    </row>
    <row r="210" spans="1:10" ht="11.25" customHeight="1" x14ac:dyDescent="0.2">
      <c r="A210" s="23" t="s">
        <v>24</v>
      </c>
      <c r="B210" s="18">
        <v>0</v>
      </c>
      <c r="C210" s="18">
        <v>0</v>
      </c>
      <c r="D210" s="18">
        <v>23609288.987567976</v>
      </c>
      <c r="E210" s="18">
        <v>29032799.78388593</v>
      </c>
      <c r="F210" s="18">
        <v>15726759.511889996</v>
      </c>
      <c r="G210" s="18">
        <v>16473316.967885928</v>
      </c>
      <c r="H210" s="19">
        <v>0.2297193616958908</v>
      </c>
      <c r="I210" s="19">
        <v>4.7470520257623106E-2</v>
      </c>
      <c r="J210" s="19">
        <v>0.15685531434096389</v>
      </c>
    </row>
    <row r="211" spans="1:10" ht="11.25" customHeight="1" x14ac:dyDescent="0.2">
      <c r="A211" s="24" t="s">
        <v>24</v>
      </c>
      <c r="B211" s="18">
        <v>0</v>
      </c>
      <c r="C211" s="18">
        <v>0</v>
      </c>
      <c r="D211" s="18">
        <v>22992888.923099995</v>
      </c>
      <c r="E211" s="18">
        <v>28364190.307737809</v>
      </c>
      <c r="F211" s="18">
        <v>15215612.678100003</v>
      </c>
      <c r="G211" s="18">
        <v>15937898.470619304</v>
      </c>
      <c r="H211" s="19">
        <v>0.2336070688029761</v>
      </c>
      <c r="I211" s="19">
        <v>4.747004329039628E-2</v>
      </c>
      <c r="J211" s="19">
        <v>0.15948249530323744</v>
      </c>
    </row>
    <row r="212" spans="1:10" ht="11.25" customHeight="1" x14ac:dyDescent="0.2">
      <c r="A212" s="25" t="s">
        <v>25</v>
      </c>
      <c r="B212" s="18">
        <v>0</v>
      </c>
      <c r="C212" s="18">
        <v>0</v>
      </c>
      <c r="D212" s="18">
        <v>22992888.923099995</v>
      </c>
      <c r="E212" s="18">
        <v>28364190.307737809</v>
      </c>
      <c r="F212" s="18">
        <v>15215612.678100003</v>
      </c>
      <c r="G212" s="18">
        <v>15937898.470619304</v>
      </c>
      <c r="H212" s="19">
        <v>0.2336070688029761</v>
      </c>
      <c r="I212" s="19">
        <v>4.747004329039628E-2</v>
      </c>
      <c r="J212" s="19">
        <v>0.15948249530323744</v>
      </c>
    </row>
    <row r="213" spans="1:10" ht="11.25" customHeight="1" x14ac:dyDescent="0.2">
      <c r="A213" s="26" t="s">
        <v>25</v>
      </c>
      <c r="B213" s="18">
        <v>0</v>
      </c>
      <c r="C213" s="18">
        <v>0</v>
      </c>
      <c r="D213" s="18">
        <v>22992888.923099995</v>
      </c>
      <c r="E213" s="18">
        <v>28364190.307737809</v>
      </c>
      <c r="F213" s="18">
        <v>15215612.678100003</v>
      </c>
      <c r="G213" s="18">
        <v>15937898.470619304</v>
      </c>
      <c r="H213" s="19">
        <v>0.2336070688029761</v>
      </c>
      <c r="I213" s="19">
        <v>4.747004329039628E-2</v>
      </c>
      <c r="J213" s="19">
        <v>0.15948249530323744</v>
      </c>
    </row>
    <row r="214" spans="1:10" ht="11.25" customHeight="1" x14ac:dyDescent="0.2">
      <c r="A214" s="27" t="s">
        <v>25</v>
      </c>
      <c r="B214" s="18">
        <v>0</v>
      </c>
      <c r="C214" s="18">
        <v>0</v>
      </c>
      <c r="D214" s="18">
        <v>22992888.923099995</v>
      </c>
      <c r="E214" s="18">
        <v>28364190.307737809</v>
      </c>
      <c r="F214" s="18">
        <v>15215612.678100003</v>
      </c>
      <c r="G214" s="18">
        <v>15937898.470619304</v>
      </c>
      <c r="H214" s="19">
        <v>0.2336070688029761</v>
      </c>
      <c r="I214" s="19">
        <v>4.747004329039628E-2</v>
      </c>
      <c r="J214" s="19">
        <v>0.15948249530323744</v>
      </c>
    </row>
    <row r="215" spans="1:10" ht="11.25" customHeight="1" x14ac:dyDescent="0.2">
      <c r="A215" s="28">
        <v>44409</v>
      </c>
      <c r="B215" s="18">
        <v>0</v>
      </c>
      <c r="C215" s="18">
        <v>0</v>
      </c>
      <c r="D215" s="18">
        <v>1670869.4500299997</v>
      </c>
      <c r="E215" s="18">
        <v>2061196.3646039485</v>
      </c>
      <c r="F215" s="18">
        <v>1105702.8315299999</v>
      </c>
      <c r="G215" s="18">
        <v>1158190.5928090424</v>
      </c>
      <c r="H215" s="19">
        <v>0.2336070688029761</v>
      </c>
      <c r="I215" s="19">
        <v>4.7470043290396058E-2</v>
      </c>
      <c r="J215" s="19">
        <v>0.15948249530323722</v>
      </c>
    </row>
    <row r="216" spans="1:10" ht="11.25" customHeight="1" x14ac:dyDescent="0.2">
      <c r="A216" s="28">
        <v>44440</v>
      </c>
      <c r="B216" s="18">
        <v>0</v>
      </c>
      <c r="C216" s="18">
        <v>0</v>
      </c>
      <c r="D216" s="18">
        <v>1767364.7721199999</v>
      </c>
      <c r="E216" s="18">
        <v>2180233.6760405931</v>
      </c>
      <c r="F216" s="18">
        <v>1169558.89812</v>
      </c>
      <c r="G216" s="18">
        <v>1225077.9096444242</v>
      </c>
      <c r="H216" s="19">
        <v>0.23360706880297633</v>
      </c>
      <c r="I216" s="19">
        <v>4.7470043290396058E-2</v>
      </c>
      <c r="J216" s="19">
        <v>0.15948249530323744</v>
      </c>
    </row>
    <row r="217" spans="1:10" ht="11.25" customHeight="1" x14ac:dyDescent="0.2">
      <c r="A217" s="28">
        <v>44470</v>
      </c>
      <c r="B217" s="18">
        <v>0</v>
      </c>
      <c r="C217" s="18">
        <v>0</v>
      </c>
      <c r="D217" s="18">
        <v>1671207.62152</v>
      </c>
      <c r="E217" s="18">
        <v>2061613.5353444803</v>
      </c>
      <c r="F217" s="18">
        <v>1105926.6175200001</v>
      </c>
      <c r="G217" s="18">
        <v>1158425.0019296757</v>
      </c>
      <c r="H217" s="19">
        <v>0.23360706880297588</v>
      </c>
      <c r="I217" s="19">
        <v>4.7470043290396058E-2</v>
      </c>
      <c r="J217" s="19">
        <v>0.15948249530323699</v>
      </c>
    </row>
    <row r="218" spans="1:10" ht="11.25" customHeight="1" x14ac:dyDescent="0.2">
      <c r="A218" s="28">
        <v>44501</v>
      </c>
      <c r="B218" s="18">
        <v>0</v>
      </c>
      <c r="C218" s="18">
        <v>0</v>
      </c>
      <c r="D218" s="18">
        <v>1737748.1937099998</v>
      </c>
      <c r="E218" s="18">
        <v>2143698.4555602591</v>
      </c>
      <c r="F218" s="18">
        <v>1149960.0392100001</v>
      </c>
      <c r="G218" s="18">
        <v>1204548.6920535241</v>
      </c>
      <c r="H218" s="19">
        <v>0.2336070688029761</v>
      </c>
      <c r="I218" s="19">
        <v>4.7470043290395836E-2</v>
      </c>
      <c r="J218" s="19">
        <v>0.15948249530323722</v>
      </c>
    </row>
    <row r="219" spans="1:10" ht="11.25" customHeight="1" x14ac:dyDescent="0.2">
      <c r="A219" s="28">
        <v>44531</v>
      </c>
      <c r="B219" s="18">
        <v>0</v>
      </c>
      <c r="C219" s="18">
        <v>0</v>
      </c>
      <c r="D219" s="18">
        <v>1774108.2298300001</v>
      </c>
      <c r="E219" s="18">
        <v>2188552.4531398225</v>
      </c>
      <c r="F219" s="18">
        <v>1174021.4013299998</v>
      </c>
      <c r="G219" s="18">
        <v>1229752.2480749865</v>
      </c>
      <c r="H219" s="19">
        <v>0.23360706880297588</v>
      </c>
      <c r="I219" s="19">
        <v>4.747004329039628E-2</v>
      </c>
      <c r="J219" s="19">
        <v>0.15948249530323722</v>
      </c>
    </row>
    <row r="220" spans="1:10" ht="11.25" customHeight="1" x14ac:dyDescent="0.2">
      <c r="A220" s="28">
        <v>44562</v>
      </c>
      <c r="B220" s="18">
        <v>0</v>
      </c>
      <c r="C220" s="18">
        <v>0</v>
      </c>
      <c r="D220" s="18">
        <v>2662063.2891099998</v>
      </c>
      <c r="E220" s="18">
        <v>3283940.0910469959</v>
      </c>
      <c r="F220" s="18">
        <v>1761628.30461</v>
      </c>
      <c r="G220" s="18">
        <v>1845252.8764914235</v>
      </c>
      <c r="H220" s="19">
        <v>0.23360706880297588</v>
      </c>
      <c r="I220" s="19">
        <v>4.7470043290395836E-2</v>
      </c>
      <c r="J220" s="19">
        <v>0.15948249530323699</v>
      </c>
    </row>
    <row r="221" spans="1:10" ht="11.25" customHeight="1" x14ac:dyDescent="0.2">
      <c r="A221" s="28">
        <v>44593</v>
      </c>
      <c r="B221" s="18">
        <v>0</v>
      </c>
      <c r="C221" s="18">
        <v>0</v>
      </c>
      <c r="D221" s="18">
        <v>2539161.81745</v>
      </c>
      <c r="E221" s="18">
        <v>3132327.9668409317</v>
      </c>
      <c r="F221" s="18">
        <v>1680297.88995</v>
      </c>
      <c r="G221" s="18">
        <v>1760061.7035266876</v>
      </c>
      <c r="H221" s="19">
        <v>0.23360706880297588</v>
      </c>
      <c r="I221" s="19">
        <v>4.7470043290396058E-2</v>
      </c>
      <c r="J221" s="19">
        <v>0.15948249530323722</v>
      </c>
    </row>
    <row r="222" spans="1:10" ht="11.25" customHeight="1" x14ac:dyDescent="0.2">
      <c r="A222" s="28">
        <v>44621</v>
      </c>
      <c r="B222" s="18">
        <v>0</v>
      </c>
      <c r="C222" s="18">
        <v>0</v>
      </c>
      <c r="D222" s="18">
        <v>2243966.5415199995</v>
      </c>
      <c r="E222" s="18">
        <v>2768172.9877764382</v>
      </c>
      <c r="F222" s="18">
        <v>1484951.53752</v>
      </c>
      <c r="G222" s="18">
        <v>1555442.2512902145</v>
      </c>
      <c r="H222" s="19">
        <v>0.2336070688029761</v>
      </c>
      <c r="I222" s="19">
        <v>4.7470043290396058E-2</v>
      </c>
      <c r="J222" s="19">
        <v>0.15948249530323744</v>
      </c>
    </row>
    <row r="223" spans="1:10" ht="11.25" customHeight="1" x14ac:dyDescent="0.2">
      <c r="A223" s="28">
        <v>44652</v>
      </c>
      <c r="B223" s="18">
        <v>0</v>
      </c>
      <c r="C223" s="18">
        <v>0</v>
      </c>
      <c r="D223" s="18">
        <v>1937319.1337799998</v>
      </c>
      <c r="E223" s="18">
        <v>2389890.5779582663</v>
      </c>
      <c r="F223" s="18">
        <v>1282026.7027799999</v>
      </c>
      <c r="G223" s="18">
        <v>1342884.56586041</v>
      </c>
      <c r="H223" s="19">
        <v>0.2336070688029761</v>
      </c>
      <c r="I223" s="19">
        <v>4.7470043290395836E-2</v>
      </c>
      <c r="J223" s="19">
        <v>0.15948249530323722</v>
      </c>
    </row>
    <row r="224" spans="1:10" ht="11.25" customHeight="1" x14ac:dyDescent="0.2">
      <c r="A224" s="28">
        <v>44682</v>
      </c>
      <c r="B224" s="18">
        <v>0</v>
      </c>
      <c r="C224" s="18">
        <v>0</v>
      </c>
      <c r="D224" s="18">
        <v>1801596.5958699996</v>
      </c>
      <c r="E224" s="18">
        <v>2222462.2957966099</v>
      </c>
      <c r="F224" s="18">
        <v>1192211.9093699998</v>
      </c>
      <c r="G224" s="18">
        <v>1248806.2603191193</v>
      </c>
      <c r="H224" s="19">
        <v>0.2336070688029761</v>
      </c>
      <c r="I224" s="19">
        <v>4.7470043290396058E-2</v>
      </c>
      <c r="J224" s="19">
        <v>0.15948249530323722</v>
      </c>
    </row>
    <row r="225" spans="1:10" ht="11.25" customHeight="1" x14ac:dyDescent="0.2">
      <c r="A225" s="28">
        <v>44713</v>
      </c>
      <c r="B225" s="18">
        <v>0</v>
      </c>
      <c r="C225" s="18">
        <v>0</v>
      </c>
      <c r="D225" s="18">
        <v>1593741.6390799999</v>
      </c>
      <c r="E225" s="18">
        <v>1966050.9518147293</v>
      </c>
      <c r="F225" s="18">
        <v>1054663.27308</v>
      </c>
      <c r="G225" s="18">
        <v>1104728.1843098984</v>
      </c>
      <c r="H225" s="19">
        <v>0.2336070688029761</v>
      </c>
      <c r="I225" s="19">
        <v>4.7470043290396058E-2</v>
      </c>
      <c r="J225" s="19">
        <v>0.15948249530323722</v>
      </c>
    </row>
    <row r="226" spans="1:10" ht="11.25" customHeight="1" x14ac:dyDescent="0.2">
      <c r="A226" s="28">
        <v>44743</v>
      </c>
      <c r="B226" s="18">
        <v>0</v>
      </c>
      <c r="C226" s="18">
        <v>0</v>
      </c>
      <c r="D226" s="18">
        <v>1593741.6390799999</v>
      </c>
      <c r="E226" s="18">
        <v>1966050.9518147293</v>
      </c>
      <c r="F226" s="18">
        <v>1054663.27308</v>
      </c>
      <c r="G226" s="18">
        <v>1104728.1843098984</v>
      </c>
      <c r="H226" s="19">
        <v>0.2336070688029761</v>
      </c>
      <c r="I226" s="19">
        <v>4.7470043290396058E-2</v>
      </c>
      <c r="J226" s="19">
        <v>0.15948249530323722</v>
      </c>
    </row>
    <row r="227" spans="1:10" ht="11.25" customHeight="1" x14ac:dyDescent="0.2">
      <c r="A227" s="24" t="s">
        <v>29</v>
      </c>
      <c r="B227" s="18">
        <v>0</v>
      </c>
      <c r="C227" s="18">
        <v>0</v>
      </c>
      <c r="D227" s="18">
        <v>48728.328050000004</v>
      </c>
      <c r="E227" s="18">
        <v>52853.797393483546</v>
      </c>
      <c r="F227" s="18">
        <v>40405.0864</v>
      </c>
      <c r="G227" s="18">
        <v>42325.007025453066</v>
      </c>
      <c r="H227" s="19">
        <v>8.4662649193512296E-2</v>
      </c>
      <c r="I227" s="19">
        <v>4.7516805345900082E-2</v>
      </c>
      <c r="J227" s="19">
        <v>6.7824059094334421E-2</v>
      </c>
    </row>
    <row r="228" spans="1:10" ht="11.25" customHeight="1" x14ac:dyDescent="0.2">
      <c r="A228" s="25" t="s">
        <v>25</v>
      </c>
      <c r="B228" s="18">
        <v>0</v>
      </c>
      <c r="C228" s="18">
        <v>0</v>
      </c>
      <c r="D228" s="18">
        <v>48728.328050000004</v>
      </c>
      <c r="E228" s="18">
        <v>52853.797393483546</v>
      </c>
      <c r="F228" s="18">
        <v>40405.0864</v>
      </c>
      <c r="G228" s="18">
        <v>42325.007025453066</v>
      </c>
      <c r="H228" s="19">
        <v>8.4662649193512296E-2</v>
      </c>
      <c r="I228" s="19">
        <v>4.7516805345900082E-2</v>
      </c>
      <c r="J228" s="19">
        <v>6.7824059094334421E-2</v>
      </c>
    </row>
    <row r="229" spans="1:10" ht="11.25" customHeight="1" x14ac:dyDescent="0.2">
      <c r="A229" s="26" t="s">
        <v>25</v>
      </c>
      <c r="B229" s="18">
        <v>0</v>
      </c>
      <c r="C229" s="18">
        <v>0</v>
      </c>
      <c r="D229" s="18">
        <v>48728.328050000004</v>
      </c>
      <c r="E229" s="18">
        <v>52853.797393483546</v>
      </c>
      <c r="F229" s="18">
        <v>40405.0864</v>
      </c>
      <c r="G229" s="18">
        <v>42325.007025453066</v>
      </c>
      <c r="H229" s="19">
        <v>8.4662649193512296E-2</v>
      </c>
      <c r="I229" s="19">
        <v>4.7516805345900082E-2</v>
      </c>
      <c r="J229" s="19">
        <v>6.7824059094334421E-2</v>
      </c>
    </row>
    <row r="230" spans="1:10" ht="11.25" customHeight="1" x14ac:dyDescent="0.2">
      <c r="A230" s="27" t="s">
        <v>25</v>
      </c>
      <c r="B230" s="18">
        <v>0</v>
      </c>
      <c r="C230" s="18">
        <v>0</v>
      </c>
      <c r="D230" s="18">
        <v>48728.328050000004</v>
      </c>
      <c r="E230" s="18">
        <v>52853.797393483546</v>
      </c>
      <c r="F230" s="18">
        <v>40405.0864</v>
      </c>
      <c r="G230" s="18">
        <v>42325.007025453066</v>
      </c>
      <c r="H230" s="19">
        <v>8.4662649193512296E-2</v>
      </c>
      <c r="I230" s="19">
        <v>4.7516805345900082E-2</v>
      </c>
      <c r="J230" s="19">
        <v>6.7824059094334421E-2</v>
      </c>
    </row>
    <row r="231" spans="1:10" ht="11.25" customHeight="1" x14ac:dyDescent="0.2">
      <c r="A231" s="28">
        <v>44409</v>
      </c>
      <c r="B231" s="18">
        <v>0</v>
      </c>
      <c r="C231" s="18">
        <v>0</v>
      </c>
      <c r="D231" s="18">
        <v>3748.5293000000001</v>
      </c>
      <c r="E231" s="18">
        <v>4065.8897211175026</v>
      </c>
      <c r="F231" s="18">
        <v>3108.2464000000004</v>
      </c>
      <c r="G231" s="18">
        <v>3255.9403391558944</v>
      </c>
      <c r="H231" s="19">
        <v>8.4662649193512296E-2</v>
      </c>
      <c r="I231" s="19">
        <v>4.751680534589986E-2</v>
      </c>
      <c r="J231" s="19">
        <v>6.7824059094334421E-2</v>
      </c>
    </row>
    <row r="232" spans="1:10" ht="11.25" customHeight="1" x14ac:dyDescent="0.2">
      <c r="A232" s="28">
        <v>44440</v>
      </c>
      <c r="B232" s="18">
        <v>0</v>
      </c>
      <c r="C232" s="18">
        <v>0</v>
      </c>
      <c r="D232" s="18">
        <v>3784.3637499999995</v>
      </c>
      <c r="E232" s="18">
        <v>4104.7580105868947</v>
      </c>
      <c r="F232" s="18">
        <v>3137.96</v>
      </c>
      <c r="G232" s="18">
        <v>3287.0658345032202</v>
      </c>
      <c r="H232" s="19">
        <v>8.4662649193512518E-2</v>
      </c>
      <c r="I232" s="19">
        <v>4.751680534589986E-2</v>
      </c>
      <c r="J232" s="19">
        <v>6.7824059094334643E-2</v>
      </c>
    </row>
    <row r="233" spans="1:10" ht="11.25" customHeight="1" x14ac:dyDescent="0.2">
      <c r="A233" s="28">
        <v>44470</v>
      </c>
      <c r="B233" s="18">
        <v>0</v>
      </c>
      <c r="C233" s="18">
        <v>0</v>
      </c>
      <c r="D233" s="18">
        <v>3843.5520500000002</v>
      </c>
      <c r="E233" s="18">
        <v>4168.9573488661554</v>
      </c>
      <c r="F233" s="18">
        <v>3187.0384000000004</v>
      </c>
      <c r="G233" s="18">
        <v>3338.4762832827087</v>
      </c>
      <c r="H233" s="19">
        <v>8.4662649193512296E-2</v>
      </c>
      <c r="I233" s="19">
        <v>4.751680534589986E-2</v>
      </c>
      <c r="J233" s="19">
        <v>6.7824059094334421E-2</v>
      </c>
    </row>
    <row r="234" spans="1:10" ht="11.25" customHeight="1" x14ac:dyDescent="0.2">
      <c r="A234" s="28">
        <v>44501</v>
      </c>
      <c r="B234" s="18">
        <v>0</v>
      </c>
      <c r="C234" s="18">
        <v>0</v>
      </c>
      <c r="D234" s="18">
        <v>3857.6399999999994</v>
      </c>
      <c r="E234" s="18">
        <v>4184.2380220348605</v>
      </c>
      <c r="F234" s="18">
        <v>3198.72</v>
      </c>
      <c r="G234" s="18">
        <v>3350.7129555960369</v>
      </c>
      <c r="H234" s="19">
        <v>8.4662649193512296E-2</v>
      </c>
      <c r="I234" s="19">
        <v>4.751680534589986E-2</v>
      </c>
      <c r="J234" s="19">
        <v>6.7824059094334421E-2</v>
      </c>
    </row>
    <row r="235" spans="1:10" ht="11.25" customHeight="1" x14ac:dyDescent="0.2">
      <c r="A235" s="28">
        <v>44531</v>
      </c>
      <c r="B235" s="18">
        <v>0</v>
      </c>
      <c r="C235" s="18">
        <v>0</v>
      </c>
      <c r="D235" s="18">
        <v>3895.3654499999998</v>
      </c>
      <c r="E235" s="18">
        <v>4225.1574085738785</v>
      </c>
      <c r="F235" s="18">
        <v>3230.0016000000001</v>
      </c>
      <c r="G235" s="18">
        <v>3383.4809572941454</v>
      </c>
      <c r="H235" s="19">
        <v>8.4662649193512518E-2</v>
      </c>
      <c r="I235" s="19">
        <v>4.751680534589986E-2</v>
      </c>
      <c r="J235" s="19">
        <v>6.7824059094334643E-2</v>
      </c>
    </row>
    <row r="236" spans="1:10" ht="11.25" customHeight="1" x14ac:dyDescent="0.2">
      <c r="A236" s="28">
        <v>44562</v>
      </c>
      <c r="B236" s="18">
        <v>0</v>
      </c>
      <c r="C236" s="18">
        <v>0</v>
      </c>
      <c r="D236" s="18">
        <v>3885.4376999999999</v>
      </c>
      <c r="E236" s="18">
        <v>4214.3891489583475</v>
      </c>
      <c r="F236" s="18">
        <v>3221.7696000000005</v>
      </c>
      <c r="G236" s="18">
        <v>3374.8577989525379</v>
      </c>
      <c r="H236" s="19">
        <v>8.4662649193512296E-2</v>
      </c>
      <c r="I236" s="19">
        <v>4.751680534589986E-2</v>
      </c>
      <c r="J236" s="19">
        <v>6.7824059094334643E-2</v>
      </c>
    </row>
    <row r="237" spans="1:10" ht="11.25" customHeight="1" x14ac:dyDescent="0.2">
      <c r="A237" s="28">
        <v>44593</v>
      </c>
      <c r="B237" s="18">
        <v>0</v>
      </c>
      <c r="C237" s="18">
        <v>0</v>
      </c>
      <c r="D237" s="18">
        <v>3959.0921499999995</v>
      </c>
      <c r="E237" s="18">
        <v>4294.2793798202383</v>
      </c>
      <c r="F237" s="18">
        <v>3282.8432000000003</v>
      </c>
      <c r="G237" s="18">
        <v>3438.8334213155113</v>
      </c>
      <c r="H237" s="19">
        <v>8.4662649193512518E-2</v>
      </c>
      <c r="I237" s="19">
        <v>4.751680534589986E-2</v>
      </c>
      <c r="J237" s="19">
        <v>6.7824059094334421E-2</v>
      </c>
    </row>
    <row r="238" spans="1:10" ht="11.25" customHeight="1" x14ac:dyDescent="0.2">
      <c r="A238" s="28">
        <v>44621</v>
      </c>
      <c r="B238" s="18">
        <v>0</v>
      </c>
      <c r="C238" s="18">
        <v>0</v>
      </c>
      <c r="D238" s="18">
        <v>4016.9567499999998</v>
      </c>
      <c r="E238" s="18">
        <v>4357.0429501507615</v>
      </c>
      <c r="F238" s="18">
        <v>3330.8240000000001</v>
      </c>
      <c r="G238" s="18">
        <v>3489.0941156494519</v>
      </c>
      <c r="H238" s="19">
        <v>8.4662649193512296E-2</v>
      </c>
      <c r="I238" s="19">
        <v>4.751680534589986E-2</v>
      </c>
      <c r="J238" s="19">
        <v>6.7824059094334421E-2</v>
      </c>
    </row>
    <row r="239" spans="1:10" ht="11.25" customHeight="1" x14ac:dyDescent="0.2">
      <c r="A239" s="28">
        <v>44652</v>
      </c>
      <c r="B239" s="18">
        <v>0</v>
      </c>
      <c r="C239" s="18">
        <v>0</v>
      </c>
      <c r="D239" s="18">
        <v>4064.7990499999996</v>
      </c>
      <c r="E239" s="18">
        <v>4408.935706012272</v>
      </c>
      <c r="F239" s="18">
        <v>3370.4944</v>
      </c>
      <c r="G239" s="18">
        <v>3530.6495263242459</v>
      </c>
      <c r="H239" s="19">
        <v>8.4662649193512296E-2</v>
      </c>
      <c r="I239" s="19">
        <v>4.751680534589986E-2</v>
      </c>
      <c r="J239" s="19">
        <v>6.7824059094334643E-2</v>
      </c>
    </row>
    <row r="240" spans="1:10" ht="11.25" customHeight="1" x14ac:dyDescent="0.2">
      <c r="A240" s="28">
        <v>44682</v>
      </c>
      <c r="B240" s="18">
        <v>0</v>
      </c>
      <c r="C240" s="18">
        <v>0</v>
      </c>
      <c r="D240" s="18">
        <v>4236.1236499999995</v>
      </c>
      <c r="E240" s="18">
        <v>4594.7651005202906</v>
      </c>
      <c r="F240" s="18">
        <v>3512.5552000000002</v>
      </c>
      <c r="G240" s="18">
        <v>3679.4606017051283</v>
      </c>
      <c r="H240" s="19">
        <v>8.4662649193512296E-2</v>
      </c>
      <c r="I240" s="19">
        <v>4.751680534589986E-2</v>
      </c>
      <c r="J240" s="19">
        <v>6.7824059094334421E-2</v>
      </c>
    </row>
    <row r="241" spans="1:10" ht="11.25" customHeight="1" x14ac:dyDescent="0.2">
      <c r="A241" s="28">
        <v>44713</v>
      </c>
      <c r="B241" s="18">
        <v>0</v>
      </c>
      <c r="C241" s="18">
        <v>0</v>
      </c>
      <c r="D241" s="18">
        <v>4718.2340999999997</v>
      </c>
      <c r="E241" s="18">
        <v>5117.6922984211678</v>
      </c>
      <c r="F241" s="18">
        <v>3912.3168000000005</v>
      </c>
      <c r="G241" s="18">
        <v>4098.2175958370944</v>
      </c>
      <c r="H241" s="19">
        <v>8.4662649193512518E-2</v>
      </c>
      <c r="I241" s="19">
        <v>4.751680534589986E-2</v>
      </c>
      <c r="J241" s="19">
        <v>6.7824059094334643E-2</v>
      </c>
    </row>
    <row r="242" spans="1:10" ht="11.25" customHeight="1" x14ac:dyDescent="0.2">
      <c r="A242" s="28">
        <v>44743</v>
      </c>
      <c r="B242" s="18">
        <v>0</v>
      </c>
      <c r="C242" s="18">
        <v>0</v>
      </c>
      <c r="D242" s="18">
        <v>4718.2340999999997</v>
      </c>
      <c r="E242" s="18">
        <v>5117.6922984211678</v>
      </c>
      <c r="F242" s="18">
        <v>3912.3168000000005</v>
      </c>
      <c r="G242" s="18">
        <v>4098.2175958370944</v>
      </c>
      <c r="H242" s="19">
        <v>8.4662649193512518E-2</v>
      </c>
      <c r="I242" s="19">
        <v>4.751680534589986E-2</v>
      </c>
      <c r="J242" s="19">
        <v>6.7824059094334643E-2</v>
      </c>
    </row>
    <row r="243" spans="1:10" ht="11.25" customHeight="1" x14ac:dyDescent="0.2">
      <c r="A243" s="24" t="s">
        <v>30</v>
      </c>
      <c r="B243" s="18">
        <v>0</v>
      </c>
      <c r="C243" s="18">
        <v>0</v>
      </c>
      <c r="D243" s="18">
        <v>174756.21196799999</v>
      </c>
      <c r="E243" s="18">
        <v>189558.21865726885</v>
      </c>
      <c r="F243" s="18">
        <v>144911.37024000002</v>
      </c>
      <c r="G243" s="18">
        <v>151797.09561210175</v>
      </c>
      <c r="H243" s="19">
        <v>8.4700890014595132E-2</v>
      </c>
      <c r="I243" s="19">
        <v>4.7516805345899416E-2</v>
      </c>
      <c r="J243" s="19">
        <v>6.7844640083831953E-2</v>
      </c>
    </row>
    <row r="244" spans="1:10" ht="11.25" customHeight="1" x14ac:dyDescent="0.2">
      <c r="A244" s="25" t="s">
        <v>25</v>
      </c>
      <c r="B244" s="18">
        <v>0</v>
      </c>
      <c r="C244" s="18">
        <v>0</v>
      </c>
      <c r="D244" s="18">
        <v>174756.21196799999</v>
      </c>
      <c r="E244" s="18">
        <v>189558.21865726885</v>
      </c>
      <c r="F244" s="18">
        <v>144911.37024000002</v>
      </c>
      <c r="G244" s="18">
        <v>151797.09561210175</v>
      </c>
      <c r="H244" s="19">
        <v>8.4700890014595132E-2</v>
      </c>
      <c r="I244" s="19">
        <v>4.7516805345899416E-2</v>
      </c>
      <c r="J244" s="19">
        <v>6.7844640083831953E-2</v>
      </c>
    </row>
    <row r="245" spans="1:10" ht="11.25" customHeight="1" x14ac:dyDescent="0.2">
      <c r="A245" s="26" t="s">
        <v>25</v>
      </c>
      <c r="B245" s="18">
        <v>0</v>
      </c>
      <c r="C245" s="18">
        <v>0</v>
      </c>
      <c r="D245" s="18">
        <v>174756.21196799999</v>
      </c>
      <c r="E245" s="18">
        <v>189558.21865726885</v>
      </c>
      <c r="F245" s="18">
        <v>144911.37024000002</v>
      </c>
      <c r="G245" s="18">
        <v>151797.09561210175</v>
      </c>
      <c r="H245" s="19">
        <v>8.4700890014595132E-2</v>
      </c>
      <c r="I245" s="19">
        <v>4.7516805345899416E-2</v>
      </c>
      <c r="J245" s="19">
        <v>6.7844640083831953E-2</v>
      </c>
    </row>
    <row r="246" spans="1:10" ht="11.25" customHeight="1" x14ac:dyDescent="0.2">
      <c r="A246" s="27" t="s">
        <v>25</v>
      </c>
      <c r="B246" s="18">
        <v>0</v>
      </c>
      <c r="C246" s="18">
        <v>0</v>
      </c>
      <c r="D246" s="18">
        <v>174756.21196799999</v>
      </c>
      <c r="E246" s="18">
        <v>189558.21865726885</v>
      </c>
      <c r="F246" s="18">
        <v>144911.37024000002</v>
      </c>
      <c r="G246" s="18">
        <v>151797.09561210175</v>
      </c>
      <c r="H246" s="19">
        <v>8.4700890014595132E-2</v>
      </c>
      <c r="I246" s="19">
        <v>4.7516805345899416E-2</v>
      </c>
      <c r="J246" s="19">
        <v>6.7844640083831953E-2</v>
      </c>
    </row>
    <row r="247" spans="1:10" ht="11.25" customHeight="1" x14ac:dyDescent="0.2">
      <c r="A247" s="28">
        <v>44409</v>
      </c>
      <c r="B247" s="18">
        <v>0</v>
      </c>
      <c r="C247" s="18">
        <v>0</v>
      </c>
      <c r="D247" s="18">
        <v>12966.075840000001</v>
      </c>
      <c r="E247" s="18">
        <v>14064.314003644742</v>
      </c>
      <c r="F247" s="18">
        <v>10751.731200000002</v>
      </c>
      <c r="G247" s="18">
        <v>11262.619118561841</v>
      </c>
      <c r="H247" s="19">
        <v>8.4700890014595354E-2</v>
      </c>
      <c r="I247" s="19">
        <v>4.751680534589986E-2</v>
      </c>
      <c r="J247" s="19">
        <v>6.7844640083831953E-2</v>
      </c>
    </row>
    <row r="248" spans="1:10" ht="11.25" customHeight="1" x14ac:dyDescent="0.2">
      <c r="A248" s="28">
        <v>44440</v>
      </c>
      <c r="B248" s="18">
        <v>0</v>
      </c>
      <c r="C248" s="18">
        <v>0</v>
      </c>
      <c r="D248" s="18">
        <v>13520.227360000001</v>
      </c>
      <c r="E248" s="18">
        <v>14665.402650591681</v>
      </c>
      <c r="F248" s="18">
        <v>11211.2448</v>
      </c>
      <c r="G248" s="18">
        <v>11743.967336846834</v>
      </c>
      <c r="H248" s="19">
        <v>8.4700890014595132E-2</v>
      </c>
      <c r="I248" s="19">
        <v>4.7516805345900082E-2</v>
      </c>
      <c r="J248" s="19">
        <v>6.7844640083831953E-2</v>
      </c>
    </row>
    <row r="249" spans="1:10" ht="11.25" customHeight="1" x14ac:dyDescent="0.2">
      <c r="A249" s="28">
        <v>44470</v>
      </c>
      <c r="B249" s="18">
        <v>0</v>
      </c>
      <c r="C249" s="18">
        <v>0</v>
      </c>
      <c r="D249" s="18">
        <v>13493.48416</v>
      </c>
      <c r="E249" s="18">
        <v>14636.394277749843</v>
      </c>
      <c r="F249" s="18">
        <v>11189.068799999999</v>
      </c>
      <c r="G249" s="18">
        <v>11720.737604171482</v>
      </c>
      <c r="H249" s="19">
        <v>8.4700890014595354E-2</v>
      </c>
      <c r="I249" s="19">
        <v>4.751680534589986E-2</v>
      </c>
      <c r="J249" s="19">
        <v>6.7844640083832175E-2</v>
      </c>
    </row>
    <row r="250" spans="1:10" ht="11.25" customHeight="1" x14ac:dyDescent="0.2">
      <c r="A250" s="28">
        <v>44501</v>
      </c>
      <c r="B250" s="18">
        <v>0</v>
      </c>
      <c r="C250" s="18">
        <v>0</v>
      </c>
      <c r="D250" s="18">
        <v>13696.24624</v>
      </c>
      <c r="E250" s="18">
        <v>14856.330486387054</v>
      </c>
      <c r="F250" s="18">
        <v>11357.2032</v>
      </c>
      <c r="G250" s="18">
        <v>11896.861213728233</v>
      </c>
      <c r="H250" s="19">
        <v>8.4700890014595354E-2</v>
      </c>
      <c r="I250" s="19">
        <v>4.7516805345900082E-2</v>
      </c>
      <c r="J250" s="19">
        <v>6.7844640083832175E-2</v>
      </c>
    </row>
    <row r="251" spans="1:10" ht="11.25" customHeight="1" x14ac:dyDescent="0.2">
      <c r="A251" s="28">
        <v>44531</v>
      </c>
      <c r="B251" s="18">
        <v>0</v>
      </c>
      <c r="C251" s="18">
        <v>0</v>
      </c>
      <c r="D251" s="18">
        <v>13896.577120000002</v>
      </c>
      <c r="E251" s="18">
        <v>15073.629570220461</v>
      </c>
      <c r="F251" s="18">
        <v>11523.321600000001</v>
      </c>
      <c r="G251" s="18">
        <v>12070.873029405404</v>
      </c>
      <c r="H251" s="19">
        <v>8.4700890014595132E-2</v>
      </c>
      <c r="I251" s="19">
        <v>4.751680534589986E-2</v>
      </c>
      <c r="J251" s="19">
        <v>6.7844640083831953E-2</v>
      </c>
    </row>
    <row r="252" spans="1:10" ht="11.25" customHeight="1" x14ac:dyDescent="0.2">
      <c r="A252" s="28">
        <v>44562</v>
      </c>
      <c r="B252" s="18">
        <v>0</v>
      </c>
      <c r="C252" s="18">
        <v>0</v>
      </c>
      <c r="D252" s="18">
        <v>14441.814240000002</v>
      </c>
      <c r="E252" s="18">
        <v>15665.048759553456</v>
      </c>
      <c r="F252" s="18">
        <v>11975.443200000002</v>
      </c>
      <c r="G252" s="18">
        <v>12544.478003465283</v>
      </c>
      <c r="H252" s="19">
        <v>8.4700890014595132E-2</v>
      </c>
      <c r="I252" s="19">
        <v>4.7516805345900082E-2</v>
      </c>
      <c r="J252" s="19">
        <v>6.7844640083832175E-2</v>
      </c>
    </row>
    <row r="253" spans="1:10" ht="11.25" customHeight="1" x14ac:dyDescent="0.2">
      <c r="A253" s="28">
        <v>44593</v>
      </c>
      <c r="B253" s="18">
        <v>0</v>
      </c>
      <c r="C253" s="18">
        <v>0</v>
      </c>
      <c r="D253" s="18">
        <v>14688.175840000002</v>
      </c>
      <c r="E253" s="18">
        <v>15932.277406338875</v>
      </c>
      <c r="F253" s="18">
        <v>12179.731200000002</v>
      </c>
      <c r="G253" s="18">
        <v>12758.473116595786</v>
      </c>
      <c r="H253" s="19">
        <v>8.4700890014595132E-2</v>
      </c>
      <c r="I253" s="19">
        <v>4.751680534589986E-2</v>
      </c>
      <c r="J253" s="19">
        <v>6.7844640083831953E-2</v>
      </c>
    </row>
    <row r="254" spans="1:10" ht="11.25" customHeight="1" x14ac:dyDescent="0.2">
      <c r="A254" s="28">
        <v>44621</v>
      </c>
      <c r="B254" s="18">
        <v>0</v>
      </c>
      <c r="C254" s="18">
        <v>0</v>
      </c>
      <c r="D254" s="18">
        <v>14874.729920000002</v>
      </c>
      <c r="E254" s="18">
        <v>16134.63278295073</v>
      </c>
      <c r="F254" s="18">
        <v>12334.4256</v>
      </c>
      <c r="G254" s="18">
        <v>12920.518100288686</v>
      </c>
      <c r="H254" s="19">
        <v>8.4700890014595132E-2</v>
      </c>
      <c r="I254" s="19">
        <v>4.751680534589986E-2</v>
      </c>
      <c r="J254" s="19">
        <v>6.7844640083832175E-2</v>
      </c>
    </row>
    <row r="255" spans="1:10" ht="11.25" customHeight="1" x14ac:dyDescent="0.2">
      <c r="A255" s="28">
        <v>44652</v>
      </c>
      <c r="B255" s="18">
        <v>0</v>
      </c>
      <c r="C255" s="18">
        <v>0</v>
      </c>
      <c r="D255" s="18">
        <v>14973.11248</v>
      </c>
      <c r="E255" s="18">
        <v>16241.348433344641</v>
      </c>
      <c r="F255" s="18">
        <v>12416.0064</v>
      </c>
      <c r="G255" s="18">
        <v>13005.975359282247</v>
      </c>
      <c r="H255" s="19">
        <v>8.4700890014595132E-2</v>
      </c>
      <c r="I255" s="19">
        <v>4.751680534589986E-2</v>
      </c>
      <c r="J255" s="19">
        <v>6.7844640083831953E-2</v>
      </c>
    </row>
    <row r="256" spans="1:10" ht="11.25" customHeight="1" x14ac:dyDescent="0.2">
      <c r="A256" s="28">
        <v>44682</v>
      </c>
      <c r="B256" s="18">
        <v>0</v>
      </c>
      <c r="C256" s="18">
        <v>0</v>
      </c>
      <c r="D256" s="18">
        <v>15172.957120000003</v>
      </c>
      <c r="E256" s="18">
        <v>16458.12009221729</v>
      </c>
      <c r="F256" s="18">
        <v>12581.721600000001</v>
      </c>
      <c r="G256" s="18">
        <v>13179.564816183505</v>
      </c>
      <c r="H256" s="19">
        <v>8.4700890014595132E-2</v>
      </c>
      <c r="I256" s="19">
        <v>4.751680534589986E-2</v>
      </c>
      <c r="J256" s="19">
        <v>6.7844640083831953E-2</v>
      </c>
    </row>
    <row r="257" spans="1:10" ht="11.25" customHeight="1" x14ac:dyDescent="0.2">
      <c r="A257" s="28">
        <v>44713</v>
      </c>
      <c r="B257" s="18">
        <v>0</v>
      </c>
      <c r="C257" s="18">
        <v>0</v>
      </c>
      <c r="D257" s="18">
        <v>16516.405824000001</v>
      </c>
      <c r="E257" s="18">
        <v>17915.360097135046</v>
      </c>
      <c r="F257" s="18">
        <v>13695.73632</v>
      </c>
      <c r="G257" s="18">
        <v>14346.513956786213</v>
      </c>
      <c r="H257" s="19">
        <v>8.4700890014595354E-2</v>
      </c>
      <c r="I257" s="19">
        <v>4.7516805345900082E-2</v>
      </c>
      <c r="J257" s="19">
        <v>6.7844640083832175E-2</v>
      </c>
    </row>
    <row r="258" spans="1:10" ht="11.25" customHeight="1" x14ac:dyDescent="0.2">
      <c r="A258" s="28">
        <v>44743</v>
      </c>
      <c r="B258" s="18">
        <v>0</v>
      </c>
      <c r="C258" s="18">
        <v>0</v>
      </c>
      <c r="D258" s="18">
        <v>16516.405824000001</v>
      </c>
      <c r="E258" s="18">
        <v>17915.360097135046</v>
      </c>
      <c r="F258" s="18">
        <v>13695.73632</v>
      </c>
      <c r="G258" s="18">
        <v>14346.513956786213</v>
      </c>
      <c r="H258" s="19">
        <v>8.4700890014595354E-2</v>
      </c>
      <c r="I258" s="19">
        <v>4.7516805345900082E-2</v>
      </c>
      <c r="J258" s="19">
        <v>6.7844640083832175E-2</v>
      </c>
    </row>
    <row r="259" spans="1:10" ht="11.25" customHeight="1" x14ac:dyDescent="0.2">
      <c r="A259" s="24" t="s">
        <v>31</v>
      </c>
      <c r="B259" s="18">
        <v>0</v>
      </c>
      <c r="C259" s="18">
        <v>0</v>
      </c>
      <c r="D259" s="18">
        <v>270312.97200000001</v>
      </c>
      <c r="E259" s="18">
        <v>293208.72131089045</v>
      </c>
      <c r="F259" s="18">
        <v>224160.0785</v>
      </c>
      <c r="G259" s="18">
        <v>234799.80250080593</v>
      </c>
      <c r="H259" s="19">
        <v>8.4700890014595576E-2</v>
      </c>
      <c r="I259" s="19">
        <v>4.7464847764165707E-2</v>
      </c>
      <c r="J259" s="19">
        <v>6.7820629006547728E-2</v>
      </c>
    </row>
    <row r="260" spans="1:10" ht="11.25" customHeight="1" x14ac:dyDescent="0.2">
      <c r="A260" s="25" t="s">
        <v>25</v>
      </c>
      <c r="B260" s="18">
        <v>0</v>
      </c>
      <c r="C260" s="18">
        <v>0</v>
      </c>
      <c r="D260" s="18">
        <v>270312.97200000001</v>
      </c>
      <c r="E260" s="18">
        <v>293208.72131089045</v>
      </c>
      <c r="F260" s="18">
        <v>224160.0785</v>
      </c>
      <c r="G260" s="18">
        <v>234799.80250080593</v>
      </c>
      <c r="H260" s="19">
        <v>8.4700890014595576E-2</v>
      </c>
      <c r="I260" s="19">
        <v>4.7464847764165707E-2</v>
      </c>
      <c r="J260" s="19">
        <v>6.7820629006547728E-2</v>
      </c>
    </row>
    <row r="261" spans="1:10" ht="11.25" customHeight="1" x14ac:dyDescent="0.2">
      <c r="A261" s="26" t="s">
        <v>25</v>
      </c>
      <c r="B261" s="18">
        <v>0</v>
      </c>
      <c r="C261" s="18">
        <v>0</v>
      </c>
      <c r="D261" s="18">
        <v>270312.97200000001</v>
      </c>
      <c r="E261" s="18">
        <v>293208.72131089045</v>
      </c>
      <c r="F261" s="18">
        <v>224160.0785</v>
      </c>
      <c r="G261" s="18">
        <v>234799.80250080593</v>
      </c>
      <c r="H261" s="19">
        <v>8.4700890014595576E-2</v>
      </c>
      <c r="I261" s="19">
        <v>4.7464847764165707E-2</v>
      </c>
      <c r="J261" s="19">
        <v>6.7820629006547728E-2</v>
      </c>
    </row>
    <row r="262" spans="1:10" ht="11.25" customHeight="1" x14ac:dyDescent="0.2">
      <c r="A262" s="27" t="s">
        <v>25</v>
      </c>
      <c r="B262" s="18">
        <v>0</v>
      </c>
      <c r="C262" s="18">
        <v>0</v>
      </c>
      <c r="D262" s="18">
        <v>270312.97200000001</v>
      </c>
      <c r="E262" s="18">
        <v>293208.72131089045</v>
      </c>
      <c r="F262" s="18">
        <v>224160.0785</v>
      </c>
      <c r="G262" s="18">
        <v>234799.80250080593</v>
      </c>
      <c r="H262" s="19">
        <v>8.4700890014595576E-2</v>
      </c>
      <c r="I262" s="19">
        <v>4.7464847764165707E-2</v>
      </c>
      <c r="J262" s="19">
        <v>6.7820629006547728E-2</v>
      </c>
    </row>
    <row r="263" spans="1:10" ht="11.25" customHeight="1" x14ac:dyDescent="0.2">
      <c r="A263" s="28">
        <v>44409</v>
      </c>
      <c r="B263" s="18">
        <v>0</v>
      </c>
      <c r="C263" s="18">
        <v>0</v>
      </c>
      <c r="D263" s="18">
        <v>18711.00144</v>
      </c>
      <c r="E263" s="18">
        <v>20295.839915032378</v>
      </c>
      <c r="F263" s="18">
        <v>15516.30882</v>
      </c>
      <c r="G263" s="18">
        <v>16252.788056003081</v>
      </c>
      <c r="H263" s="19">
        <v>8.4700890014595576E-2</v>
      </c>
      <c r="I263" s="19">
        <v>4.7464847764165707E-2</v>
      </c>
      <c r="J263" s="19">
        <v>6.7820629006547506E-2</v>
      </c>
    </row>
    <row r="264" spans="1:10" ht="11.25" customHeight="1" x14ac:dyDescent="0.2">
      <c r="A264" s="28">
        <v>44440</v>
      </c>
      <c r="B264" s="18">
        <v>0</v>
      </c>
      <c r="C264" s="18">
        <v>0</v>
      </c>
      <c r="D264" s="18">
        <v>20681.48904</v>
      </c>
      <c r="E264" s="18">
        <v>22433.2295685151</v>
      </c>
      <c r="F264" s="18">
        <v>17150.357870000003</v>
      </c>
      <c r="G264" s="18">
        <v>17964.396995400508</v>
      </c>
      <c r="H264" s="19">
        <v>8.4700890014595354E-2</v>
      </c>
      <c r="I264" s="19">
        <v>4.7464847764165263E-2</v>
      </c>
      <c r="J264" s="19">
        <v>6.7820629006547062E-2</v>
      </c>
    </row>
    <row r="265" spans="1:10" ht="11.25" customHeight="1" x14ac:dyDescent="0.2">
      <c r="A265" s="28">
        <v>44470</v>
      </c>
      <c r="B265" s="18">
        <v>0</v>
      </c>
      <c r="C265" s="18">
        <v>0</v>
      </c>
      <c r="D265" s="18">
        <v>19327.067520000001</v>
      </c>
      <c r="E265" s="18">
        <v>20964.087340316182</v>
      </c>
      <c r="F265" s="18">
        <v>16027.188560000002</v>
      </c>
      <c r="G265" s="18">
        <v>16787.916625087979</v>
      </c>
      <c r="H265" s="19">
        <v>8.4700890014595576E-2</v>
      </c>
      <c r="I265" s="19">
        <v>4.7464847764165707E-2</v>
      </c>
      <c r="J265" s="19">
        <v>6.7820629006547506E-2</v>
      </c>
    </row>
    <row r="266" spans="1:10" ht="11.25" customHeight="1" x14ac:dyDescent="0.2">
      <c r="A266" s="28">
        <v>44501</v>
      </c>
      <c r="B266" s="18">
        <v>0</v>
      </c>
      <c r="C266" s="18">
        <v>0</v>
      </c>
      <c r="D266" s="18">
        <v>20110.400160000001</v>
      </c>
      <c r="E266" s="18">
        <v>21813.768952101662</v>
      </c>
      <c r="F266" s="18">
        <v>16676.775980000002</v>
      </c>
      <c r="G266" s="18">
        <v>17468.336613087795</v>
      </c>
      <c r="H266" s="19">
        <v>8.4700890014595354E-2</v>
      </c>
      <c r="I266" s="19">
        <v>4.7464847764165485E-2</v>
      </c>
      <c r="J266" s="19">
        <v>6.7820629006547506E-2</v>
      </c>
    </row>
    <row r="267" spans="1:10" ht="11.25" customHeight="1" x14ac:dyDescent="0.2">
      <c r="A267" s="28">
        <v>44531</v>
      </c>
      <c r="B267" s="18">
        <v>0</v>
      </c>
      <c r="C267" s="18">
        <v>0</v>
      </c>
      <c r="D267" s="18">
        <v>19999.294320000001</v>
      </c>
      <c r="E267" s="18">
        <v>21693.252348567843</v>
      </c>
      <c r="F267" s="18">
        <v>16584.640210000001</v>
      </c>
      <c r="G267" s="18">
        <v>17371.827632791112</v>
      </c>
      <c r="H267" s="19">
        <v>8.4700890014595354E-2</v>
      </c>
      <c r="I267" s="19">
        <v>4.7464847764165707E-2</v>
      </c>
      <c r="J267" s="19">
        <v>6.7820629006547506E-2</v>
      </c>
    </row>
    <row r="268" spans="1:10" ht="11.25" customHeight="1" x14ac:dyDescent="0.2">
      <c r="A268" s="28">
        <v>44562</v>
      </c>
      <c r="B268" s="18">
        <v>0</v>
      </c>
      <c r="C268" s="18">
        <v>0</v>
      </c>
      <c r="D268" s="18">
        <v>25365.682079999999</v>
      </c>
      <c r="E268" s="18">
        <v>27514.177928003275</v>
      </c>
      <c r="F268" s="18">
        <v>21034.777739999998</v>
      </c>
      <c r="G268" s="18">
        <v>22033.190263182161</v>
      </c>
      <c r="H268" s="19">
        <v>8.4700890014595576E-2</v>
      </c>
      <c r="I268" s="19">
        <v>4.7464847764165707E-2</v>
      </c>
      <c r="J268" s="19">
        <v>6.7820629006547728E-2</v>
      </c>
    </row>
    <row r="269" spans="1:10" ht="11.25" customHeight="1" x14ac:dyDescent="0.2">
      <c r="A269" s="28">
        <v>44593</v>
      </c>
      <c r="B269" s="18">
        <v>0</v>
      </c>
      <c r="C269" s="18">
        <v>0</v>
      </c>
      <c r="D269" s="18">
        <v>25749.082320000001</v>
      </c>
      <c r="E269" s="18">
        <v>27930.052509563084</v>
      </c>
      <c r="F269" s="18">
        <v>21352.716710000001</v>
      </c>
      <c r="G269" s="18">
        <v>22366.220157991505</v>
      </c>
      <c r="H269" s="19">
        <v>8.4700890014595354E-2</v>
      </c>
      <c r="I269" s="19">
        <v>4.7464847764165485E-2</v>
      </c>
      <c r="J269" s="19">
        <v>6.7820629006547284E-2</v>
      </c>
    </row>
    <row r="270" spans="1:10" ht="11.25" customHeight="1" x14ac:dyDescent="0.2">
      <c r="A270" s="28">
        <v>44621</v>
      </c>
      <c r="B270" s="18">
        <v>0</v>
      </c>
      <c r="C270" s="18">
        <v>0</v>
      </c>
      <c r="D270" s="18">
        <v>25208.86968</v>
      </c>
      <c r="E270" s="18">
        <v>27344.083378157953</v>
      </c>
      <c r="F270" s="18">
        <v>20904.739290000001</v>
      </c>
      <c r="G270" s="18">
        <v>21896.97955794942</v>
      </c>
      <c r="H270" s="19">
        <v>8.4700890014595576E-2</v>
      </c>
      <c r="I270" s="19">
        <v>4.7464847764165485E-2</v>
      </c>
      <c r="J270" s="19">
        <v>6.7820629006547506E-2</v>
      </c>
    </row>
    <row r="271" spans="1:10" ht="11.25" customHeight="1" x14ac:dyDescent="0.2">
      <c r="A271" s="28">
        <v>44652</v>
      </c>
      <c r="B271" s="18">
        <v>0</v>
      </c>
      <c r="C271" s="18">
        <v>0</v>
      </c>
      <c r="D271" s="18">
        <v>24574.812720000002</v>
      </c>
      <c r="E271" s="18">
        <v>26656.321229326004</v>
      </c>
      <c r="F271" s="18">
        <v>20378.940410000003</v>
      </c>
      <c r="G271" s="18">
        <v>21346.223714155658</v>
      </c>
      <c r="H271" s="19">
        <v>8.4700890014595576E-2</v>
      </c>
      <c r="I271" s="19">
        <v>4.7464847764165707E-2</v>
      </c>
      <c r="J271" s="19">
        <v>6.7820629006547506E-2</v>
      </c>
    </row>
    <row r="272" spans="1:10" ht="11.25" customHeight="1" x14ac:dyDescent="0.2">
      <c r="A272" s="28">
        <v>44682</v>
      </c>
      <c r="B272" s="18">
        <v>0</v>
      </c>
      <c r="C272" s="18">
        <v>0</v>
      </c>
      <c r="D272" s="18">
        <v>22130.484240000002</v>
      </c>
      <c r="E272" s="18">
        <v>24004.955951581978</v>
      </c>
      <c r="F272" s="18">
        <v>18351.95347</v>
      </c>
      <c r="G272" s="18">
        <v>19223.026147628603</v>
      </c>
      <c r="H272" s="19">
        <v>8.4700890014595354E-2</v>
      </c>
      <c r="I272" s="19">
        <v>4.7464847764165707E-2</v>
      </c>
      <c r="J272" s="19">
        <v>6.7820629006547728E-2</v>
      </c>
    </row>
    <row r="273" spans="1:10" ht="11.25" customHeight="1" x14ac:dyDescent="0.2">
      <c r="A273" s="28">
        <v>44713</v>
      </c>
      <c r="B273" s="18">
        <v>0</v>
      </c>
      <c r="C273" s="18">
        <v>0</v>
      </c>
      <c r="D273" s="18">
        <v>24227.394240000001</v>
      </c>
      <c r="E273" s="18">
        <v>26279.476094862483</v>
      </c>
      <c r="F273" s="18">
        <v>20090.83972</v>
      </c>
      <c r="G273" s="18">
        <v>21044.448368764053</v>
      </c>
      <c r="H273" s="19">
        <v>8.4700890014595354E-2</v>
      </c>
      <c r="I273" s="19">
        <v>4.7464847764165707E-2</v>
      </c>
      <c r="J273" s="19">
        <v>6.7820629006547506E-2</v>
      </c>
    </row>
    <row r="274" spans="1:10" ht="11.25" customHeight="1" x14ac:dyDescent="0.2">
      <c r="A274" s="28">
        <v>44743</v>
      </c>
      <c r="B274" s="18">
        <v>0</v>
      </c>
      <c r="C274" s="18">
        <v>0</v>
      </c>
      <c r="D274" s="18">
        <v>24227.394240000001</v>
      </c>
      <c r="E274" s="18">
        <v>26279.476094862483</v>
      </c>
      <c r="F274" s="18">
        <v>20090.83972</v>
      </c>
      <c r="G274" s="18">
        <v>21044.448368764053</v>
      </c>
      <c r="H274" s="19">
        <v>8.4700890014595354E-2</v>
      </c>
      <c r="I274" s="19">
        <v>4.7464847764165707E-2</v>
      </c>
      <c r="J274" s="19">
        <v>6.7820629006547506E-2</v>
      </c>
    </row>
    <row r="275" spans="1:10" ht="11.25" customHeight="1" x14ac:dyDescent="0.2">
      <c r="A275" s="24" t="s">
        <v>32</v>
      </c>
      <c r="B275" s="18">
        <v>0</v>
      </c>
      <c r="C275" s="18">
        <v>0</v>
      </c>
      <c r="D275" s="18">
        <v>122602.55245</v>
      </c>
      <c r="E275" s="18">
        <v>132988.73878647425</v>
      </c>
      <c r="F275" s="18">
        <v>101670.29864999998</v>
      </c>
      <c r="G275" s="18">
        <v>106496.59212826297</v>
      </c>
      <c r="H275" s="19">
        <v>8.4714274939014622E-2</v>
      </c>
      <c r="I275" s="19">
        <v>4.7470043290396058E-2</v>
      </c>
      <c r="J275" s="19">
        <v>6.7830233307883736E-2</v>
      </c>
    </row>
    <row r="276" spans="1:10" ht="11.25" customHeight="1" x14ac:dyDescent="0.2">
      <c r="A276" s="25" t="s">
        <v>25</v>
      </c>
      <c r="B276" s="18">
        <v>0</v>
      </c>
      <c r="C276" s="18">
        <v>0</v>
      </c>
      <c r="D276" s="18">
        <v>122602.55245</v>
      </c>
      <c r="E276" s="18">
        <v>132988.73878647425</v>
      </c>
      <c r="F276" s="18">
        <v>101670.29864999998</v>
      </c>
      <c r="G276" s="18">
        <v>106496.59212826297</v>
      </c>
      <c r="H276" s="19">
        <v>8.4714274939014622E-2</v>
      </c>
      <c r="I276" s="19">
        <v>4.7470043290396058E-2</v>
      </c>
      <c r="J276" s="19">
        <v>6.7830233307883736E-2</v>
      </c>
    </row>
    <row r="277" spans="1:10" ht="11.25" customHeight="1" x14ac:dyDescent="0.2">
      <c r="A277" s="26" t="s">
        <v>25</v>
      </c>
      <c r="B277" s="18">
        <v>0</v>
      </c>
      <c r="C277" s="18">
        <v>0</v>
      </c>
      <c r="D277" s="18">
        <v>122602.55245</v>
      </c>
      <c r="E277" s="18">
        <v>132988.73878647425</v>
      </c>
      <c r="F277" s="18">
        <v>101670.29864999998</v>
      </c>
      <c r="G277" s="18">
        <v>106496.59212826297</v>
      </c>
      <c r="H277" s="19">
        <v>8.4714274939014622E-2</v>
      </c>
      <c r="I277" s="19">
        <v>4.7470043290396058E-2</v>
      </c>
      <c r="J277" s="19">
        <v>6.7830233307883736E-2</v>
      </c>
    </row>
    <row r="278" spans="1:10" ht="11.25" customHeight="1" x14ac:dyDescent="0.2">
      <c r="A278" s="27" t="s">
        <v>25</v>
      </c>
      <c r="B278" s="18">
        <v>0</v>
      </c>
      <c r="C278" s="18">
        <v>0</v>
      </c>
      <c r="D278" s="18">
        <v>122602.55245</v>
      </c>
      <c r="E278" s="18">
        <v>132988.73878647425</v>
      </c>
      <c r="F278" s="18">
        <v>101670.29864999998</v>
      </c>
      <c r="G278" s="18">
        <v>106496.59212826297</v>
      </c>
      <c r="H278" s="19">
        <v>8.4714274939014622E-2</v>
      </c>
      <c r="I278" s="19">
        <v>4.7470043290396058E-2</v>
      </c>
      <c r="J278" s="19">
        <v>6.7830233307883736E-2</v>
      </c>
    </row>
    <row r="279" spans="1:10" ht="11.25" customHeight="1" x14ac:dyDescent="0.2">
      <c r="A279" s="28">
        <v>44409</v>
      </c>
      <c r="B279" s="18">
        <v>0</v>
      </c>
      <c r="C279" s="18">
        <v>0</v>
      </c>
      <c r="D279" s="18">
        <v>6900.7409799999996</v>
      </c>
      <c r="E279" s="18">
        <v>7485.3322486626439</v>
      </c>
      <c r="F279" s="18">
        <v>5722.5594599999986</v>
      </c>
      <c r="G279" s="18">
        <v>5994.2096052980642</v>
      </c>
      <c r="H279" s="19">
        <v>8.47142749390144E-2</v>
      </c>
      <c r="I279" s="19">
        <v>4.7470043290396058E-2</v>
      </c>
      <c r="J279" s="19">
        <v>6.7830233307883514E-2</v>
      </c>
    </row>
    <row r="280" spans="1:10" ht="11.25" customHeight="1" x14ac:dyDescent="0.2">
      <c r="A280" s="28">
        <v>44440</v>
      </c>
      <c r="B280" s="18">
        <v>0</v>
      </c>
      <c r="C280" s="18">
        <v>0</v>
      </c>
      <c r="D280" s="18">
        <v>8930.4977999999992</v>
      </c>
      <c r="E280" s="18">
        <v>9687.0384459714624</v>
      </c>
      <c r="F280" s="18">
        <v>7405.7705999999989</v>
      </c>
      <c r="G280" s="18">
        <v>7757.3228509807404</v>
      </c>
      <c r="H280" s="19">
        <v>8.47142749390144E-2</v>
      </c>
      <c r="I280" s="19">
        <v>4.7470043290396058E-2</v>
      </c>
      <c r="J280" s="19">
        <v>6.7830233307883514E-2</v>
      </c>
    </row>
    <row r="281" spans="1:10" ht="11.25" customHeight="1" x14ac:dyDescent="0.2">
      <c r="A281" s="28">
        <v>44470</v>
      </c>
      <c r="B281" s="18">
        <v>0</v>
      </c>
      <c r="C281" s="18">
        <v>0</v>
      </c>
      <c r="D281" s="18">
        <v>6821.0526299999992</v>
      </c>
      <c r="E281" s="18">
        <v>7398.8931578713082</v>
      </c>
      <c r="F281" s="18">
        <v>5656.4765099999995</v>
      </c>
      <c r="G281" s="18">
        <v>5924.9896948008072</v>
      </c>
      <c r="H281" s="19">
        <v>8.4714274939014622E-2</v>
      </c>
      <c r="I281" s="19">
        <v>4.7470043290395836E-2</v>
      </c>
      <c r="J281" s="19">
        <v>6.7830233307883736E-2</v>
      </c>
    </row>
    <row r="282" spans="1:10" ht="11.25" customHeight="1" x14ac:dyDescent="0.2">
      <c r="A282" s="28">
        <v>44501</v>
      </c>
      <c r="B282" s="18">
        <v>0</v>
      </c>
      <c r="C282" s="18">
        <v>0</v>
      </c>
      <c r="D282" s="18">
        <v>6745.9564899999996</v>
      </c>
      <c r="E282" s="18">
        <v>7317.4353028204905</v>
      </c>
      <c r="F282" s="18">
        <v>5594.2017299999998</v>
      </c>
      <c r="G282" s="18">
        <v>5859.7587282983077</v>
      </c>
      <c r="H282" s="19">
        <v>8.4714274939014844E-2</v>
      </c>
      <c r="I282" s="19">
        <v>4.7470043290396058E-2</v>
      </c>
      <c r="J282" s="19">
        <v>6.7830233307883736E-2</v>
      </c>
    </row>
    <row r="283" spans="1:10" ht="11.25" customHeight="1" x14ac:dyDescent="0.2">
      <c r="A283" s="28">
        <v>44531</v>
      </c>
      <c r="B283" s="18">
        <v>0</v>
      </c>
      <c r="C283" s="18">
        <v>0</v>
      </c>
      <c r="D283" s="18">
        <v>6480.6888300000001</v>
      </c>
      <c r="E283" s="18">
        <v>7029.695685338821</v>
      </c>
      <c r="F283" s="18">
        <v>5374.2239099999997</v>
      </c>
      <c r="G283" s="18">
        <v>5629.3385516599801</v>
      </c>
      <c r="H283" s="19">
        <v>8.4714274939014622E-2</v>
      </c>
      <c r="I283" s="19">
        <v>4.7470043290395836E-2</v>
      </c>
      <c r="J283" s="19">
        <v>6.7830233307883514E-2</v>
      </c>
    </row>
    <row r="284" spans="1:10" ht="11.25" customHeight="1" x14ac:dyDescent="0.2">
      <c r="A284" s="28">
        <v>44562</v>
      </c>
      <c r="B284" s="18">
        <v>0</v>
      </c>
      <c r="C284" s="18">
        <v>0</v>
      </c>
      <c r="D284" s="18">
        <v>14626.188849999999</v>
      </c>
      <c r="E284" s="18">
        <v>15865.23583354885</v>
      </c>
      <c r="F284" s="18">
        <v>12129.021449999998</v>
      </c>
      <c r="G284" s="18">
        <v>12704.786623301641</v>
      </c>
      <c r="H284" s="19">
        <v>8.4714274939014622E-2</v>
      </c>
      <c r="I284" s="19">
        <v>4.7470043290396058E-2</v>
      </c>
      <c r="J284" s="19">
        <v>6.7830233307883736E-2</v>
      </c>
    </row>
    <row r="285" spans="1:10" ht="11.25" customHeight="1" x14ac:dyDescent="0.2">
      <c r="A285" s="28">
        <v>44593</v>
      </c>
      <c r="B285" s="18">
        <v>0</v>
      </c>
      <c r="C285" s="18">
        <v>0</v>
      </c>
      <c r="D285" s="18">
        <v>17164.600460000001</v>
      </c>
      <c r="E285" s="18">
        <v>18618.687142586776</v>
      </c>
      <c r="F285" s="18">
        <v>14234.04342</v>
      </c>
      <c r="G285" s="18">
        <v>14909.734077344776</v>
      </c>
      <c r="H285" s="19">
        <v>8.47142749390144E-2</v>
      </c>
      <c r="I285" s="19">
        <v>4.7470043290396058E-2</v>
      </c>
      <c r="J285" s="19">
        <v>6.7830233307883514E-2</v>
      </c>
    </row>
    <row r="286" spans="1:10" ht="11.25" customHeight="1" x14ac:dyDescent="0.2">
      <c r="A286" s="28">
        <v>44621</v>
      </c>
      <c r="B286" s="18">
        <v>0</v>
      </c>
      <c r="C286" s="18">
        <v>0</v>
      </c>
      <c r="D286" s="18">
        <v>14882.001960000001</v>
      </c>
      <c r="E286" s="18">
        <v>16142.719965682396</v>
      </c>
      <c r="F286" s="18">
        <v>12341.15892</v>
      </c>
      <c r="G286" s="18">
        <v>12926.994268186058</v>
      </c>
      <c r="H286" s="19">
        <v>8.4714274939014622E-2</v>
      </c>
      <c r="I286" s="19">
        <v>4.7470043290396058E-2</v>
      </c>
      <c r="J286" s="19">
        <v>6.7830233307883514E-2</v>
      </c>
    </row>
    <row r="287" spans="1:10" ht="11.25" customHeight="1" x14ac:dyDescent="0.2">
      <c r="A287" s="28">
        <v>44652</v>
      </c>
      <c r="B287" s="18">
        <v>0</v>
      </c>
      <c r="C287" s="18">
        <v>0</v>
      </c>
      <c r="D287" s="18">
        <v>11276.84698</v>
      </c>
      <c r="E287" s="18">
        <v>12232.156895508917</v>
      </c>
      <c r="F287" s="18">
        <v>9351.5214599999999</v>
      </c>
      <c r="G287" s="18">
        <v>9795.4385885372667</v>
      </c>
      <c r="H287" s="19">
        <v>8.4714274939014622E-2</v>
      </c>
      <c r="I287" s="19">
        <v>4.7470043290396058E-2</v>
      </c>
      <c r="J287" s="19">
        <v>6.7830233307883736E-2</v>
      </c>
    </row>
    <row r="288" spans="1:10" ht="11.25" customHeight="1" x14ac:dyDescent="0.2">
      <c r="A288" s="28">
        <v>44682</v>
      </c>
      <c r="B288" s="18">
        <v>0</v>
      </c>
      <c r="C288" s="18">
        <v>0</v>
      </c>
      <c r="D288" s="18">
        <v>7852.4089699999995</v>
      </c>
      <c r="E288" s="18">
        <v>8517.6201024181646</v>
      </c>
      <c r="F288" s="18">
        <v>6511.7466899999999</v>
      </c>
      <c r="G288" s="18">
        <v>6820.8595872703918</v>
      </c>
      <c r="H288" s="19">
        <v>8.4714274939014622E-2</v>
      </c>
      <c r="I288" s="19">
        <v>4.7470043290395836E-2</v>
      </c>
      <c r="J288" s="19">
        <v>6.7830233307883514E-2</v>
      </c>
    </row>
    <row r="289" spans="1:10" ht="11.25" customHeight="1" x14ac:dyDescent="0.2">
      <c r="A289" s="28">
        <v>44713</v>
      </c>
      <c r="B289" s="18">
        <v>0</v>
      </c>
      <c r="C289" s="18">
        <v>0</v>
      </c>
      <c r="D289" s="18">
        <v>10460.784250000001</v>
      </c>
      <c r="E289" s="18">
        <v>11346.962003032213</v>
      </c>
      <c r="F289" s="18">
        <v>8674.7872499999994</v>
      </c>
      <c r="G289" s="18">
        <v>9086.5797762924758</v>
      </c>
      <c r="H289" s="19">
        <v>8.47142749390144E-2</v>
      </c>
      <c r="I289" s="19">
        <v>4.7470043290396058E-2</v>
      </c>
      <c r="J289" s="19">
        <v>6.7830233307883736E-2</v>
      </c>
    </row>
    <row r="290" spans="1:10" ht="11.25" customHeight="1" x14ac:dyDescent="0.2">
      <c r="A290" s="28">
        <v>44743</v>
      </c>
      <c r="B290" s="18">
        <v>0</v>
      </c>
      <c r="C290" s="18">
        <v>0</v>
      </c>
      <c r="D290" s="18">
        <v>10460.784250000001</v>
      </c>
      <c r="E290" s="18">
        <v>11346.962003032213</v>
      </c>
      <c r="F290" s="18">
        <v>8674.7872499999994</v>
      </c>
      <c r="G290" s="18">
        <v>9086.5797762924758</v>
      </c>
      <c r="H290" s="19">
        <v>8.47142749390144E-2</v>
      </c>
      <c r="I290" s="19">
        <v>4.7470043290396058E-2</v>
      </c>
      <c r="J290" s="19">
        <v>6.7830233307883736E-2</v>
      </c>
    </row>
    <row r="291" spans="1:10" ht="11.25" customHeight="1" x14ac:dyDescent="0.2">
      <c r="A291" s="21" t="s">
        <v>41</v>
      </c>
      <c r="B291" s="18">
        <v>0</v>
      </c>
      <c r="C291" s="18">
        <v>0</v>
      </c>
      <c r="D291" s="18">
        <v>3489104.4247639994</v>
      </c>
      <c r="E291" s="18">
        <v>4597632.4441892682</v>
      </c>
      <c r="F291" s="18">
        <v>2308929.9917879999</v>
      </c>
      <c r="G291" s="18">
        <v>2583419.3857007031</v>
      </c>
      <c r="H291" s="19">
        <v>0.31771133347499259</v>
      </c>
      <c r="I291" s="19">
        <v>0.11888164426334225</v>
      </c>
      <c r="J291" s="19">
        <v>0.23853211519231188</v>
      </c>
    </row>
    <row r="292" spans="1:10" ht="11.25" customHeight="1" x14ac:dyDescent="0.2">
      <c r="A292" s="22" t="s">
        <v>23</v>
      </c>
      <c r="B292" s="18">
        <v>0</v>
      </c>
      <c r="C292" s="18">
        <v>0</v>
      </c>
      <c r="D292" s="18">
        <v>3489104.4247639994</v>
      </c>
      <c r="E292" s="18">
        <v>4597632.4441892682</v>
      </c>
      <c r="F292" s="18">
        <v>2308929.9917879999</v>
      </c>
      <c r="G292" s="18">
        <v>2583419.3857007031</v>
      </c>
      <c r="H292" s="19">
        <v>0.31771133347499259</v>
      </c>
      <c r="I292" s="19">
        <v>0.11888164426334225</v>
      </c>
      <c r="J292" s="19">
        <v>0.23853211519231188</v>
      </c>
    </row>
    <row r="293" spans="1:10" ht="11.25" customHeight="1" x14ac:dyDescent="0.2">
      <c r="A293" s="23" t="s">
        <v>42</v>
      </c>
      <c r="B293" s="18">
        <v>0</v>
      </c>
      <c r="C293" s="18">
        <v>0</v>
      </c>
      <c r="D293" s="18">
        <v>3489104.4247639994</v>
      </c>
      <c r="E293" s="18">
        <v>4597632.4441892682</v>
      </c>
      <c r="F293" s="18">
        <v>2308929.9917879999</v>
      </c>
      <c r="G293" s="18">
        <v>2583419.3857007031</v>
      </c>
      <c r="H293" s="19">
        <v>0.31771133347499259</v>
      </c>
      <c r="I293" s="19">
        <v>0.11888164426334225</v>
      </c>
      <c r="J293" s="19">
        <v>0.23853211519231188</v>
      </c>
    </row>
    <row r="294" spans="1:10" ht="11.25" customHeight="1" x14ac:dyDescent="0.2">
      <c r="A294" s="24" t="s">
        <v>52</v>
      </c>
      <c r="B294" s="18">
        <v>0</v>
      </c>
      <c r="C294" s="18">
        <v>0</v>
      </c>
      <c r="D294" s="18">
        <v>9939.8743639999993</v>
      </c>
      <c r="E294" s="18">
        <v>13097.885102760334</v>
      </c>
      <c r="F294" s="18">
        <v>6577.7549879999979</v>
      </c>
      <c r="G294" s="18">
        <v>7359.729316534841</v>
      </c>
      <c r="H294" s="19">
        <v>0.31771133347499303</v>
      </c>
      <c r="I294" s="19">
        <v>0.11888164426334269</v>
      </c>
      <c r="J294" s="19">
        <v>0.2385321151923121</v>
      </c>
    </row>
    <row r="295" spans="1:10" ht="11.25" customHeight="1" x14ac:dyDescent="0.2">
      <c r="A295" s="25" t="s">
        <v>53</v>
      </c>
      <c r="B295" s="18">
        <v>0</v>
      </c>
      <c r="C295" s="18">
        <v>0</v>
      </c>
      <c r="D295" s="18">
        <v>8164.5691200000001</v>
      </c>
      <c r="E295" s="18">
        <v>10758.545262363948</v>
      </c>
      <c r="F295" s="18">
        <v>5402.9390399999993</v>
      </c>
      <c r="G295" s="18">
        <v>6045.2493169298041</v>
      </c>
      <c r="H295" s="19">
        <v>0.31771133347499325</v>
      </c>
      <c r="I295" s="19">
        <v>0.11888164426334247</v>
      </c>
      <c r="J295" s="19">
        <v>0.23853211519231232</v>
      </c>
    </row>
    <row r="296" spans="1:10" ht="11.25" customHeight="1" x14ac:dyDescent="0.2">
      <c r="A296" s="26" t="s">
        <v>25</v>
      </c>
      <c r="B296" s="18">
        <v>0</v>
      </c>
      <c r="C296" s="18">
        <v>0</v>
      </c>
      <c r="D296" s="18">
        <v>8164.5691200000001</v>
      </c>
      <c r="E296" s="18">
        <v>10758.545262363948</v>
      </c>
      <c r="F296" s="18">
        <v>5402.9390399999993</v>
      </c>
      <c r="G296" s="18">
        <v>6045.2493169298041</v>
      </c>
      <c r="H296" s="19">
        <v>0.31771133347499325</v>
      </c>
      <c r="I296" s="19">
        <v>0.11888164426334247</v>
      </c>
      <c r="J296" s="19">
        <v>0.23853211519231232</v>
      </c>
    </row>
    <row r="297" spans="1:10" ht="11.25" customHeight="1" x14ac:dyDescent="0.2">
      <c r="A297" s="27" t="s">
        <v>25</v>
      </c>
      <c r="B297" s="18">
        <v>0</v>
      </c>
      <c r="C297" s="18">
        <v>0</v>
      </c>
      <c r="D297" s="18">
        <v>8164.5691200000001</v>
      </c>
      <c r="E297" s="18">
        <v>10758.545262363948</v>
      </c>
      <c r="F297" s="18">
        <v>5402.9390399999993</v>
      </c>
      <c r="G297" s="18">
        <v>6045.2493169298041</v>
      </c>
      <c r="H297" s="19">
        <v>0.31771133347499325</v>
      </c>
      <c r="I297" s="19">
        <v>0.11888164426334247</v>
      </c>
      <c r="J297" s="19">
        <v>0.23853211519231232</v>
      </c>
    </row>
    <row r="298" spans="1:10" ht="11.25" customHeight="1" x14ac:dyDescent="0.2">
      <c r="A298" s="28">
        <v>44409</v>
      </c>
      <c r="B298" s="18">
        <v>0</v>
      </c>
      <c r="C298" s="18">
        <v>0</v>
      </c>
      <c r="D298" s="18">
        <v>736.38407999999993</v>
      </c>
      <c r="E298" s="18">
        <v>970.34164800655583</v>
      </c>
      <c r="F298" s="18">
        <v>487.30536000000001</v>
      </c>
      <c r="G298" s="18">
        <v>545.23702245513994</v>
      </c>
      <c r="H298" s="19">
        <v>0.31771133347499303</v>
      </c>
      <c r="I298" s="19">
        <v>0.11888164426334225</v>
      </c>
      <c r="J298" s="19">
        <v>0.2385321151923121</v>
      </c>
    </row>
    <row r="299" spans="1:10" ht="11.25" customHeight="1" x14ac:dyDescent="0.2">
      <c r="A299" s="28">
        <v>44440</v>
      </c>
      <c r="B299" s="18">
        <v>0</v>
      </c>
      <c r="C299" s="18">
        <v>0</v>
      </c>
      <c r="D299" s="18">
        <v>1098.9162099999999</v>
      </c>
      <c r="E299" s="18">
        <v>1448.0543444563853</v>
      </c>
      <c r="F299" s="18">
        <v>727.21257000000003</v>
      </c>
      <c r="G299" s="18">
        <v>813.664796050571</v>
      </c>
      <c r="H299" s="19">
        <v>0.31771133347499303</v>
      </c>
      <c r="I299" s="19">
        <v>0.11888164426334247</v>
      </c>
      <c r="J299" s="19">
        <v>0.23853211519231188</v>
      </c>
    </row>
    <row r="300" spans="1:10" ht="11.25" customHeight="1" x14ac:dyDescent="0.2">
      <c r="A300" s="28">
        <v>44470</v>
      </c>
      <c r="B300" s="18">
        <v>0</v>
      </c>
      <c r="C300" s="18">
        <v>0</v>
      </c>
      <c r="D300" s="18">
        <v>458.15481999999997</v>
      </c>
      <c r="E300" s="18">
        <v>603.71579880019533</v>
      </c>
      <c r="F300" s="18">
        <v>303.18594000000002</v>
      </c>
      <c r="G300" s="18">
        <v>339.22918306472707</v>
      </c>
      <c r="H300" s="19">
        <v>0.31771133347499303</v>
      </c>
      <c r="I300" s="19">
        <v>0.11888164426334225</v>
      </c>
      <c r="J300" s="19">
        <v>0.23853211519231188</v>
      </c>
    </row>
    <row r="301" spans="1:10" ht="11.25" customHeight="1" x14ac:dyDescent="0.2">
      <c r="A301" s="28">
        <v>44501</v>
      </c>
      <c r="B301" s="18">
        <v>0</v>
      </c>
      <c r="C301" s="18">
        <v>0</v>
      </c>
      <c r="D301" s="18">
        <v>812.34602999999993</v>
      </c>
      <c r="E301" s="18">
        <v>1070.4375704344166</v>
      </c>
      <c r="F301" s="18">
        <v>537.57350999999994</v>
      </c>
      <c r="G301" s="18">
        <v>601.48113278121627</v>
      </c>
      <c r="H301" s="19">
        <v>0.31771133347499303</v>
      </c>
      <c r="I301" s="19">
        <v>0.11888164426334247</v>
      </c>
      <c r="J301" s="19">
        <v>0.2385321151923121</v>
      </c>
    </row>
    <row r="302" spans="1:10" ht="11.25" customHeight="1" x14ac:dyDescent="0.2">
      <c r="A302" s="28">
        <v>44531</v>
      </c>
      <c r="B302" s="18">
        <v>0</v>
      </c>
      <c r="C302" s="18">
        <v>0</v>
      </c>
      <c r="D302" s="18">
        <v>2192.76829</v>
      </c>
      <c r="E302" s="18">
        <v>2889.4356274175802</v>
      </c>
      <c r="F302" s="18">
        <v>1451.07393</v>
      </c>
      <c r="G302" s="18">
        <v>1623.5799847460701</v>
      </c>
      <c r="H302" s="19">
        <v>0.31771133347499303</v>
      </c>
      <c r="I302" s="19">
        <v>0.11888164426334225</v>
      </c>
      <c r="J302" s="19">
        <v>0.2385321151923121</v>
      </c>
    </row>
    <row r="303" spans="1:10" ht="11.25" customHeight="1" x14ac:dyDescent="0.2">
      <c r="A303" s="28">
        <v>44562</v>
      </c>
      <c r="B303" s="18">
        <v>0</v>
      </c>
      <c r="C303" s="18">
        <v>0</v>
      </c>
      <c r="D303" s="18">
        <v>737.27774999999997</v>
      </c>
      <c r="E303" s="18">
        <v>971.51924709394257</v>
      </c>
      <c r="F303" s="18">
        <v>487.89675</v>
      </c>
      <c r="G303" s="18">
        <v>545.89871787074082</v>
      </c>
      <c r="H303" s="19">
        <v>0.31771133347499303</v>
      </c>
      <c r="I303" s="19">
        <v>0.11888164426334225</v>
      </c>
      <c r="J303" s="19">
        <v>0.2385321151923121</v>
      </c>
    </row>
    <row r="304" spans="1:10" ht="11.25" customHeight="1" x14ac:dyDescent="0.2">
      <c r="A304" s="28">
        <v>44593</v>
      </c>
      <c r="B304" s="18">
        <v>0</v>
      </c>
      <c r="C304" s="18">
        <v>0</v>
      </c>
      <c r="D304" s="18">
        <v>1226.4131299999999</v>
      </c>
      <c r="E304" s="18">
        <v>1616.0584809235397</v>
      </c>
      <c r="F304" s="18">
        <v>811.58420999999998</v>
      </c>
      <c r="G304" s="18">
        <v>908.06667534296571</v>
      </c>
      <c r="H304" s="19">
        <v>0.31771133347499281</v>
      </c>
      <c r="I304" s="19">
        <v>0.11888164426334225</v>
      </c>
      <c r="J304" s="19">
        <v>0.2385321151923121</v>
      </c>
    </row>
    <row r="305" spans="1:10" ht="11.25" customHeight="1" x14ac:dyDescent="0.2">
      <c r="A305" s="28">
        <v>44621</v>
      </c>
      <c r="B305" s="18">
        <v>0</v>
      </c>
      <c r="C305" s="18">
        <v>0</v>
      </c>
      <c r="D305" s="18">
        <v>462.02738999999997</v>
      </c>
      <c r="E305" s="18">
        <v>608.81872817887051</v>
      </c>
      <c r="F305" s="18">
        <v>305.74862999999999</v>
      </c>
      <c r="G305" s="18">
        <v>342.09652986566425</v>
      </c>
      <c r="H305" s="19">
        <v>0.31771133347499281</v>
      </c>
      <c r="I305" s="19">
        <v>0.11888164426334225</v>
      </c>
      <c r="J305" s="19">
        <v>0.23853211519231188</v>
      </c>
    </row>
    <row r="306" spans="1:10" ht="11.25" customHeight="1" x14ac:dyDescent="0.2">
      <c r="A306" s="28">
        <v>44652</v>
      </c>
      <c r="B306" s="18">
        <v>0</v>
      </c>
      <c r="C306" s="18">
        <v>0</v>
      </c>
      <c r="D306" s="18">
        <v>353.59543000000002</v>
      </c>
      <c r="E306" s="18">
        <v>465.93670557596352</v>
      </c>
      <c r="F306" s="18">
        <v>233.99331000000001</v>
      </c>
      <c r="G306" s="18">
        <v>261.810819439422</v>
      </c>
      <c r="H306" s="19">
        <v>0.31771133347499281</v>
      </c>
      <c r="I306" s="19">
        <v>0.11888164426334247</v>
      </c>
      <c r="J306" s="19">
        <v>0.23853211519231188</v>
      </c>
    </row>
    <row r="307" spans="1:10" ht="11.25" customHeight="1" x14ac:dyDescent="0.2">
      <c r="A307" s="28">
        <v>44682</v>
      </c>
      <c r="B307" s="18">
        <v>0</v>
      </c>
      <c r="C307" s="18">
        <v>0</v>
      </c>
      <c r="D307" s="18">
        <v>-18.767070000000004</v>
      </c>
      <c r="E307" s="18">
        <v>-24.72958083511854</v>
      </c>
      <c r="F307" s="18">
        <v>-12.41919</v>
      </c>
      <c r="G307" s="18">
        <v>-13.895603727618862</v>
      </c>
      <c r="H307" s="19">
        <v>0.31771133347499281</v>
      </c>
      <c r="I307" s="19">
        <v>0.11888164426334269</v>
      </c>
      <c r="J307" s="19">
        <v>0.2385321151923121</v>
      </c>
    </row>
    <row r="308" spans="1:10" ht="11.25" customHeight="1" x14ac:dyDescent="0.2">
      <c r="A308" s="28">
        <v>44713</v>
      </c>
      <c r="B308" s="18">
        <v>0</v>
      </c>
      <c r="C308" s="18">
        <v>0</v>
      </c>
      <c r="D308" s="18">
        <v>52.726529999999997</v>
      </c>
      <c r="E308" s="18">
        <v>69.478346155809206</v>
      </c>
      <c r="F308" s="18">
        <v>34.892009999999999</v>
      </c>
      <c r="G308" s="18">
        <v>39.040029520452983</v>
      </c>
      <c r="H308" s="19">
        <v>0.31771133347499281</v>
      </c>
      <c r="I308" s="19">
        <v>0.11888164426334225</v>
      </c>
      <c r="J308" s="19">
        <v>0.2385321151923121</v>
      </c>
    </row>
    <row r="309" spans="1:10" ht="11.25" customHeight="1" x14ac:dyDescent="0.2">
      <c r="A309" s="28">
        <v>44743</v>
      </c>
      <c r="B309" s="18">
        <v>0</v>
      </c>
      <c r="C309" s="18">
        <v>0</v>
      </c>
      <c r="D309" s="18">
        <v>52.726529999999997</v>
      </c>
      <c r="E309" s="18">
        <v>69.478346155809206</v>
      </c>
      <c r="F309" s="18">
        <v>34.892009999999999</v>
      </c>
      <c r="G309" s="18">
        <v>39.040029520452983</v>
      </c>
      <c r="H309" s="19">
        <v>0.31771133347499281</v>
      </c>
      <c r="I309" s="19">
        <v>0.11888164426334225</v>
      </c>
      <c r="J309" s="19">
        <v>0.2385321151923121</v>
      </c>
    </row>
    <row r="310" spans="1:10" ht="11.25" customHeight="1" x14ac:dyDescent="0.2">
      <c r="A310" s="25" t="s">
        <v>54</v>
      </c>
      <c r="B310" s="18">
        <v>0</v>
      </c>
      <c r="C310" s="18">
        <v>0</v>
      </c>
      <c r="D310" s="18">
        <v>1775.3052439999997</v>
      </c>
      <c r="E310" s="18">
        <v>2339.3398403963874</v>
      </c>
      <c r="F310" s="18">
        <v>1174.8159479999999</v>
      </c>
      <c r="G310" s="18">
        <v>1314.4799996050374</v>
      </c>
      <c r="H310" s="19">
        <v>0.31771133347499303</v>
      </c>
      <c r="I310" s="19">
        <v>0.11888164426334225</v>
      </c>
      <c r="J310" s="19">
        <v>0.2385321151923121</v>
      </c>
    </row>
    <row r="311" spans="1:10" ht="11.25" customHeight="1" x14ac:dyDescent="0.2">
      <c r="A311" s="26" t="s">
        <v>25</v>
      </c>
      <c r="B311" s="18">
        <v>0</v>
      </c>
      <c r="C311" s="18">
        <v>0</v>
      </c>
      <c r="D311" s="18">
        <v>1775.3052439999997</v>
      </c>
      <c r="E311" s="18">
        <v>2339.3398403963874</v>
      </c>
      <c r="F311" s="18">
        <v>1174.8159479999999</v>
      </c>
      <c r="G311" s="18">
        <v>1314.4799996050374</v>
      </c>
      <c r="H311" s="19">
        <v>0.31771133347499303</v>
      </c>
      <c r="I311" s="19">
        <v>0.11888164426334225</v>
      </c>
      <c r="J311" s="19">
        <v>0.2385321151923121</v>
      </c>
    </row>
    <row r="312" spans="1:10" ht="11.25" customHeight="1" x14ac:dyDescent="0.2">
      <c r="A312" s="27" t="s">
        <v>25</v>
      </c>
      <c r="B312" s="18">
        <v>0</v>
      </c>
      <c r="C312" s="18">
        <v>0</v>
      </c>
      <c r="D312" s="18">
        <v>1775.3052439999997</v>
      </c>
      <c r="E312" s="18">
        <v>2339.3398403963874</v>
      </c>
      <c r="F312" s="18">
        <v>1174.8159479999999</v>
      </c>
      <c r="G312" s="18">
        <v>1314.4799996050374</v>
      </c>
      <c r="H312" s="19">
        <v>0.31771133347499303</v>
      </c>
      <c r="I312" s="19">
        <v>0.11888164426334225</v>
      </c>
      <c r="J312" s="19">
        <v>0.2385321151923121</v>
      </c>
    </row>
    <row r="313" spans="1:10" ht="11.25" customHeight="1" x14ac:dyDescent="0.2">
      <c r="A313" s="28">
        <v>44409</v>
      </c>
      <c r="B313" s="18">
        <v>0</v>
      </c>
      <c r="C313" s="18">
        <v>0</v>
      </c>
      <c r="D313" s="18">
        <v>156.45182800000001</v>
      </c>
      <c r="E313" s="18">
        <v>206.15834689848023</v>
      </c>
      <c r="F313" s="18">
        <v>103.532676</v>
      </c>
      <c r="G313" s="18">
        <v>115.84081075786388</v>
      </c>
      <c r="H313" s="19">
        <v>0.31771133347499281</v>
      </c>
      <c r="I313" s="19">
        <v>0.11888164426334247</v>
      </c>
      <c r="J313" s="19">
        <v>0.23853211519231188</v>
      </c>
    </row>
    <row r="314" spans="1:10" ht="11.25" customHeight="1" x14ac:dyDescent="0.2">
      <c r="A314" s="28">
        <v>44440</v>
      </c>
      <c r="B314" s="18">
        <v>0</v>
      </c>
      <c r="C314" s="18">
        <v>0</v>
      </c>
      <c r="D314" s="18">
        <v>209.83371600000001</v>
      </c>
      <c r="E314" s="18">
        <v>276.50026571837293</v>
      </c>
      <c r="F314" s="18">
        <v>138.858372</v>
      </c>
      <c r="G314" s="18">
        <v>155.36608358309087</v>
      </c>
      <c r="H314" s="19">
        <v>0.31771133347499281</v>
      </c>
      <c r="I314" s="19">
        <v>0.11888164426334247</v>
      </c>
      <c r="J314" s="19">
        <v>0.23853211519231188</v>
      </c>
    </row>
    <row r="315" spans="1:10" ht="11.25" customHeight="1" x14ac:dyDescent="0.2">
      <c r="A315" s="28">
        <v>44470</v>
      </c>
      <c r="B315" s="18">
        <v>0</v>
      </c>
      <c r="C315" s="18">
        <v>0</v>
      </c>
      <c r="D315" s="18">
        <v>98.42285600000001</v>
      </c>
      <c r="E315" s="18">
        <v>129.6929128241772</v>
      </c>
      <c r="F315" s="18">
        <v>65.131752000000006</v>
      </c>
      <c r="G315" s="18">
        <v>72.874721771512242</v>
      </c>
      <c r="H315" s="19">
        <v>0.31771133347499281</v>
      </c>
      <c r="I315" s="19">
        <v>0.11888164426334225</v>
      </c>
      <c r="J315" s="19">
        <v>0.23853211519231188</v>
      </c>
    </row>
    <row r="316" spans="1:10" ht="11.25" customHeight="1" x14ac:dyDescent="0.2">
      <c r="A316" s="28">
        <v>44501</v>
      </c>
      <c r="B316" s="18">
        <v>0</v>
      </c>
      <c r="C316" s="18">
        <v>0</v>
      </c>
      <c r="D316" s="18">
        <v>188.147324</v>
      </c>
      <c r="E316" s="18">
        <v>247.92386119779155</v>
      </c>
      <c r="F316" s="18">
        <v>124.50730800000001</v>
      </c>
      <c r="G316" s="18">
        <v>139.3089414978424</v>
      </c>
      <c r="H316" s="19">
        <v>0.31771133347499303</v>
      </c>
      <c r="I316" s="19">
        <v>0.11888164426334225</v>
      </c>
      <c r="J316" s="19">
        <v>0.2385321151923121</v>
      </c>
    </row>
    <row r="317" spans="1:10" ht="11.25" customHeight="1" x14ac:dyDescent="0.2">
      <c r="A317" s="28">
        <v>44531</v>
      </c>
      <c r="B317" s="18">
        <v>0</v>
      </c>
      <c r="C317" s="18">
        <v>0</v>
      </c>
      <c r="D317" s="18">
        <v>391.06999200000001</v>
      </c>
      <c r="E317" s="18">
        <v>515.31736064037477</v>
      </c>
      <c r="F317" s="18">
        <v>258.79226399999999</v>
      </c>
      <c r="G317" s="18">
        <v>289.55791386695296</v>
      </c>
      <c r="H317" s="19">
        <v>0.31771133347499281</v>
      </c>
      <c r="I317" s="19">
        <v>0.11888164426334225</v>
      </c>
      <c r="J317" s="19">
        <v>0.23853211519231188</v>
      </c>
    </row>
    <row r="318" spans="1:10" ht="11.25" customHeight="1" x14ac:dyDescent="0.2">
      <c r="A318" s="28">
        <v>44562</v>
      </c>
      <c r="B318" s="18">
        <v>0</v>
      </c>
      <c r="C318" s="18">
        <v>0</v>
      </c>
      <c r="D318" s="18">
        <v>359.25533999999999</v>
      </c>
      <c r="E318" s="18">
        <v>473.39483312941195</v>
      </c>
      <c r="F318" s="18">
        <v>237.73877999999999</v>
      </c>
      <c r="G318" s="18">
        <v>266.00155707156102</v>
      </c>
      <c r="H318" s="19">
        <v>0.31771133347499303</v>
      </c>
      <c r="I318" s="19">
        <v>0.11888164426334247</v>
      </c>
      <c r="J318" s="19">
        <v>0.2385321151923121</v>
      </c>
    </row>
    <row r="319" spans="1:10" ht="11.25" customHeight="1" x14ac:dyDescent="0.2">
      <c r="A319" s="28">
        <v>44593</v>
      </c>
      <c r="B319" s="18">
        <v>0</v>
      </c>
      <c r="C319" s="18">
        <v>0</v>
      </c>
      <c r="D319" s="18">
        <v>305.87345199999999</v>
      </c>
      <c r="E319" s="18">
        <v>403.05291430951917</v>
      </c>
      <c r="F319" s="18">
        <v>202.41308399999997</v>
      </c>
      <c r="G319" s="18">
        <v>226.47628424633402</v>
      </c>
      <c r="H319" s="19">
        <v>0.31771133347499281</v>
      </c>
      <c r="I319" s="19">
        <v>0.11888164426334247</v>
      </c>
      <c r="J319" s="19">
        <v>0.2385321151923121</v>
      </c>
    </row>
    <row r="320" spans="1:10" ht="11.25" customHeight="1" x14ac:dyDescent="0.2">
      <c r="A320" s="28">
        <v>44621</v>
      </c>
      <c r="B320" s="18">
        <v>0</v>
      </c>
      <c r="C320" s="18">
        <v>0</v>
      </c>
      <c r="D320" s="18">
        <v>43.372784000000003</v>
      </c>
      <c r="E320" s="18">
        <v>57.15280904116284</v>
      </c>
      <c r="F320" s="18">
        <v>28.702128000000002</v>
      </c>
      <c r="G320" s="18">
        <v>32.114284170496923</v>
      </c>
      <c r="H320" s="19">
        <v>0.31771133347499281</v>
      </c>
      <c r="I320" s="19">
        <v>0.11888164426334247</v>
      </c>
      <c r="J320" s="19">
        <v>0.23853211519231188</v>
      </c>
    </row>
    <row r="321" spans="1:10" ht="11.25" customHeight="1" x14ac:dyDescent="0.2">
      <c r="A321" s="28">
        <v>44652</v>
      </c>
      <c r="B321" s="18">
        <v>0</v>
      </c>
      <c r="C321" s="18">
        <v>0</v>
      </c>
      <c r="D321" s="18">
        <v>3.4555239999999996</v>
      </c>
      <c r="E321" s="18">
        <v>4.5533831378948406</v>
      </c>
      <c r="F321" s="18">
        <v>2.286708</v>
      </c>
      <c r="G321" s="18">
        <v>2.5585556069901387</v>
      </c>
      <c r="H321" s="19">
        <v>0.31771133347499281</v>
      </c>
      <c r="I321" s="19">
        <v>0.11888164426334225</v>
      </c>
      <c r="J321" s="19">
        <v>0.23853211519231188</v>
      </c>
    </row>
    <row r="322" spans="1:10" ht="11.25" customHeight="1" x14ac:dyDescent="0.2">
      <c r="A322" s="28">
        <v>44682</v>
      </c>
      <c r="B322" s="18">
        <v>0</v>
      </c>
      <c r="C322" s="18">
        <v>0</v>
      </c>
      <c r="D322" s="18">
        <v>13.941251999999999</v>
      </c>
      <c r="E322" s="18">
        <v>18.370545763230911</v>
      </c>
      <c r="F322" s="18">
        <v>9.2256839999999993</v>
      </c>
      <c r="G322" s="18">
        <v>10.322448483374009</v>
      </c>
      <c r="H322" s="19">
        <v>0.31771133347499303</v>
      </c>
      <c r="I322" s="19">
        <v>0.11888164426334247</v>
      </c>
      <c r="J322" s="19">
        <v>0.23853211519231188</v>
      </c>
    </row>
    <row r="323" spans="1:10" ht="11.25" customHeight="1" x14ac:dyDescent="0.2">
      <c r="A323" s="28">
        <v>44713</v>
      </c>
      <c r="B323" s="18">
        <v>0</v>
      </c>
      <c r="C323" s="18">
        <v>0</v>
      </c>
      <c r="D323" s="18">
        <v>2.7405879999999998</v>
      </c>
      <c r="E323" s="18">
        <v>3.6113038679855638</v>
      </c>
      <c r="F323" s="18">
        <v>1.813596</v>
      </c>
      <c r="G323" s="18">
        <v>2.0291992745094207</v>
      </c>
      <c r="H323" s="19">
        <v>0.31771133347499303</v>
      </c>
      <c r="I323" s="19">
        <v>0.11888164426334247</v>
      </c>
      <c r="J323" s="19">
        <v>0.23853211519231232</v>
      </c>
    </row>
    <row r="324" spans="1:10" ht="11.25" customHeight="1" x14ac:dyDescent="0.2">
      <c r="A324" s="28">
        <v>44743</v>
      </c>
      <c r="B324" s="18">
        <v>0</v>
      </c>
      <c r="C324" s="18">
        <v>0</v>
      </c>
      <c r="D324" s="18">
        <v>2.7405879999999998</v>
      </c>
      <c r="E324" s="18">
        <v>3.6113038679855638</v>
      </c>
      <c r="F324" s="18">
        <v>1.813596</v>
      </c>
      <c r="G324" s="18">
        <v>2.0291992745094207</v>
      </c>
      <c r="H324" s="19">
        <v>0.31771133347499303</v>
      </c>
      <c r="I324" s="19">
        <v>0.11888164426334247</v>
      </c>
      <c r="J324" s="19">
        <v>0.23853211519231232</v>
      </c>
    </row>
    <row r="325" spans="1:10" ht="11.25" customHeight="1" x14ac:dyDescent="0.2">
      <c r="A325" s="24" t="s">
        <v>25</v>
      </c>
      <c r="B325" s="18">
        <v>0</v>
      </c>
      <c r="C325" s="18">
        <v>0</v>
      </c>
      <c r="D325" s="18">
        <v>3479164.5503999996</v>
      </c>
      <c r="E325" s="18">
        <v>4584534.5590865081</v>
      </c>
      <c r="F325" s="18">
        <v>2302352.2368000001</v>
      </c>
      <c r="G325" s="18">
        <v>2576059.6563841687</v>
      </c>
      <c r="H325" s="19">
        <v>0.31771133347499259</v>
      </c>
      <c r="I325" s="19">
        <v>0.11888164426334202</v>
      </c>
      <c r="J325" s="19">
        <v>0.23853211519231188</v>
      </c>
    </row>
    <row r="326" spans="1:10" ht="11.25" customHeight="1" x14ac:dyDescent="0.2">
      <c r="A326" s="25" t="s">
        <v>25</v>
      </c>
      <c r="B326" s="18">
        <v>0</v>
      </c>
      <c r="C326" s="18">
        <v>0</v>
      </c>
      <c r="D326" s="18">
        <v>3479164.5503999996</v>
      </c>
      <c r="E326" s="18">
        <v>4584534.5590865081</v>
      </c>
      <c r="F326" s="18">
        <v>2302352.2368000001</v>
      </c>
      <c r="G326" s="18">
        <v>2576059.6563841687</v>
      </c>
      <c r="H326" s="19">
        <v>0.31771133347499259</v>
      </c>
      <c r="I326" s="19">
        <v>0.11888164426334202</v>
      </c>
      <c r="J326" s="19">
        <v>0.23853211519231188</v>
      </c>
    </row>
    <row r="327" spans="1:10" ht="11.25" customHeight="1" x14ac:dyDescent="0.2">
      <c r="A327" s="26" t="s">
        <v>25</v>
      </c>
      <c r="B327" s="18">
        <v>0</v>
      </c>
      <c r="C327" s="18">
        <v>0</v>
      </c>
      <c r="D327" s="18">
        <v>3479164.5503999996</v>
      </c>
      <c r="E327" s="18">
        <v>4584534.5590865081</v>
      </c>
      <c r="F327" s="18">
        <v>2302352.2368000001</v>
      </c>
      <c r="G327" s="18">
        <v>2576059.6563841687</v>
      </c>
      <c r="H327" s="19">
        <v>0.31771133347499259</v>
      </c>
      <c r="I327" s="19">
        <v>0.11888164426334202</v>
      </c>
      <c r="J327" s="19">
        <v>0.23853211519231188</v>
      </c>
    </row>
    <row r="328" spans="1:10" ht="11.25" customHeight="1" x14ac:dyDescent="0.2">
      <c r="A328" s="27" t="s">
        <v>25</v>
      </c>
      <c r="B328" s="18">
        <v>0</v>
      </c>
      <c r="C328" s="18">
        <v>0</v>
      </c>
      <c r="D328" s="18">
        <v>3479164.5503999996</v>
      </c>
      <c r="E328" s="18">
        <v>4584534.5590865081</v>
      </c>
      <c r="F328" s="18">
        <v>2302352.2368000001</v>
      </c>
      <c r="G328" s="18">
        <v>2576059.6563841687</v>
      </c>
      <c r="H328" s="19">
        <v>0.31771133347499259</v>
      </c>
      <c r="I328" s="19">
        <v>0.11888164426334202</v>
      </c>
      <c r="J328" s="19">
        <v>0.23853211519231188</v>
      </c>
    </row>
    <row r="329" spans="1:10" ht="11.25" customHeight="1" x14ac:dyDescent="0.2">
      <c r="A329" s="28">
        <v>44409</v>
      </c>
      <c r="B329" s="18">
        <v>0</v>
      </c>
      <c r="C329" s="18">
        <v>0</v>
      </c>
      <c r="D329" s="18">
        <v>225259.05598</v>
      </c>
      <c r="E329" s="18">
        <v>296826.4110327239</v>
      </c>
      <c r="F329" s="18">
        <v>149066.15766</v>
      </c>
      <c r="G329" s="18">
        <v>166787.38758663944</v>
      </c>
      <c r="H329" s="19">
        <v>0.31771133347499303</v>
      </c>
      <c r="I329" s="19">
        <v>0.11888164426334247</v>
      </c>
      <c r="J329" s="19">
        <v>0.23853211519231232</v>
      </c>
    </row>
    <row r="330" spans="1:10" ht="11.25" customHeight="1" x14ac:dyDescent="0.2">
      <c r="A330" s="28">
        <v>44440</v>
      </c>
      <c r="B330" s="18">
        <v>0</v>
      </c>
      <c r="C330" s="18">
        <v>0</v>
      </c>
      <c r="D330" s="18">
        <v>277113.66194999998</v>
      </c>
      <c r="E330" s="18">
        <v>365155.81301227288</v>
      </c>
      <c r="F330" s="18">
        <v>183381.16815000001</v>
      </c>
      <c r="G330" s="18">
        <v>205181.82294660446</v>
      </c>
      <c r="H330" s="19">
        <v>0.31771133347499281</v>
      </c>
      <c r="I330" s="19">
        <v>0.11888164426334225</v>
      </c>
      <c r="J330" s="19">
        <v>0.2385321151923121</v>
      </c>
    </row>
    <row r="331" spans="1:10" ht="11.25" customHeight="1" x14ac:dyDescent="0.2">
      <c r="A331" s="28">
        <v>44470</v>
      </c>
      <c r="B331" s="18">
        <v>0</v>
      </c>
      <c r="C331" s="18">
        <v>0</v>
      </c>
      <c r="D331" s="18">
        <v>347246.50042999996</v>
      </c>
      <c r="E331" s="18">
        <v>457570.64912613994</v>
      </c>
      <c r="F331" s="18">
        <v>229791.87830999997</v>
      </c>
      <c r="G331" s="18">
        <v>257109.91464185464</v>
      </c>
      <c r="H331" s="19">
        <v>0.31771133347499281</v>
      </c>
      <c r="I331" s="19">
        <v>0.11888164426334247</v>
      </c>
      <c r="J331" s="19">
        <v>0.23853211519231188</v>
      </c>
    </row>
    <row r="332" spans="1:10" ht="11.25" customHeight="1" x14ac:dyDescent="0.2">
      <c r="A332" s="28">
        <v>44501</v>
      </c>
      <c r="B332" s="18">
        <v>0</v>
      </c>
      <c r="C332" s="18">
        <v>0</v>
      </c>
      <c r="D332" s="18">
        <v>452067.73573999992</v>
      </c>
      <c r="E332" s="18">
        <v>595694.77888297592</v>
      </c>
      <c r="F332" s="18">
        <v>299157.78557999997</v>
      </c>
      <c r="G332" s="18">
        <v>334722.15502393083</v>
      </c>
      <c r="H332" s="19">
        <v>0.31771133347499281</v>
      </c>
      <c r="I332" s="19">
        <v>0.11888164426334247</v>
      </c>
      <c r="J332" s="19">
        <v>0.2385321151923121</v>
      </c>
    </row>
    <row r="333" spans="1:10" ht="11.25" customHeight="1" x14ac:dyDescent="0.2">
      <c r="A333" s="28">
        <v>44531</v>
      </c>
      <c r="B333" s="18">
        <v>0</v>
      </c>
      <c r="C333" s="18">
        <v>0</v>
      </c>
      <c r="D333" s="18">
        <v>426545.11631999997</v>
      </c>
      <c r="E333" s="18">
        <v>562063.33401327312</v>
      </c>
      <c r="F333" s="18">
        <v>282268.08144000004</v>
      </c>
      <c r="G333" s="18">
        <v>315824.57508464629</v>
      </c>
      <c r="H333" s="19">
        <v>0.31771133347499281</v>
      </c>
      <c r="I333" s="19">
        <v>0.11888164426334247</v>
      </c>
      <c r="J333" s="19">
        <v>0.2385321151923121</v>
      </c>
    </row>
    <row r="334" spans="1:10" ht="11.25" customHeight="1" x14ac:dyDescent="0.2">
      <c r="A334" s="28">
        <v>44562</v>
      </c>
      <c r="B334" s="18">
        <v>0</v>
      </c>
      <c r="C334" s="18">
        <v>0</v>
      </c>
      <c r="D334" s="18">
        <v>308999.21176999999</v>
      </c>
      <c r="E334" s="18">
        <v>407171.76338416839</v>
      </c>
      <c r="F334" s="18">
        <v>204481.56909</v>
      </c>
      <c r="G334" s="18">
        <v>228790.67424496743</v>
      </c>
      <c r="H334" s="19">
        <v>0.31771133347499281</v>
      </c>
      <c r="I334" s="19">
        <v>0.11888164426334225</v>
      </c>
      <c r="J334" s="19">
        <v>0.23853211519231188</v>
      </c>
    </row>
    <row r="335" spans="1:10" ht="11.25" customHeight="1" x14ac:dyDescent="0.2">
      <c r="A335" s="28">
        <v>44593</v>
      </c>
      <c r="B335" s="18">
        <v>0</v>
      </c>
      <c r="C335" s="18">
        <v>0</v>
      </c>
      <c r="D335" s="18">
        <v>302849.57060999994</v>
      </c>
      <c r="E335" s="18">
        <v>399068.31153083214</v>
      </c>
      <c r="F335" s="18">
        <v>200412.01736999999</v>
      </c>
      <c r="G335" s="18">
        <v>224237.3275250791</v>
      </c>
      <c r="H335" s="19">
        <v>0.31771133347499325</v>
      </c>
      <c r="I335" s="19">
        <v>0.11888164426334225</v>
      </c>
      <c r="J335" s="19">
        <v>0.2385321151923121</v>
      </c>
    </row>
    <row r="336" spans="1:10" ht="11.25" customHeight="1" x14ac:dyDescent="0.2">
      <c r="A336" s="28">
        <v>44621</v>
      </c>
      <c r="B336" s="18">
        <v>0</v>
      </c>
      <c r="C336" s="18">
        <v>0</v>
      </c>
      <c r="D336" s="18">
        <v>262345.76520000002</v>
      </c>
      <c r="E336" s="18">
        <v>345695.98809320939</v>
      </c>
      <c r="F336" s="18">
        <v>173608.44839999999</v>
      </c>
      <c r="G336" s="18">
        <v>194247.30620379964</v>
      </c>
      <c r="H336" s="19">
        <v>0.31771133347499281</v>
      </c>
      <c r="I336" s="19">
        <v>0.11888164426334247</v>
      </c>
      <c r="J336" s="19">
        <v>0.2385321151923121</v>
      </c>
    </row>
    <row r="337" spans="1:10" ht="11.25" customHeight="1" x14ac:dyDescent="0.2">
      <c r="A337" s="28">
        <v>44652</v>
      </c>
      <c r="B337" s="18">
        <v>0</v>
      </c>
      <c r="C337" s="18">
        <v>0</v>
      </c>
      <c r="D337" s="18">
        <v>231305.62719999999</v>
      </c>
      <c r="E337" s="18">
        <v>304794.04645798157</v>
      </c>
      <c r="F337" s="18">
        <v>153067.5024</v>
      </c>
      <c r="G337" s="18">
        <v>171264.41876859509</v>
      </c>
      <c r="H337" s="19">
        <v>0.31771133347499281</v>
      </c>
      <c r="I337" s="19">
        <v>0.11888164426334225</v>
      </c>
      <c r="J337" s="19">
        <v>0.2385321151923121</v>
      </c>
    </row>
    <row r="338" spans="1:10" ht="11.25" customHeight="1" x14ac:dyDescent="0.2">
      <c r="A338" s="28">
        <v>44682</v>
      </c>
      <c r="B338" s="18">
        <v>0</v>
      </c>
      <c r="C338" s="18">
        <v>0</v>
      </c>
      <c r="D338" s="18">
        <v>229900.77796000001</v>
      </c>
      <c r="E338" s="18">
        <v>302942.8606926098</v>
      </c>
      <c r="F338" s="18">
        <v>152137.83731999999</v>
      </c>
      <c r="G338" s="18">
        <v>170224.23357527051</v>
      </c>
      <c r="H338" s="19">
        <v>0.31771133347499259</v>
      </c>
      <c r="I338" s="19">
        <v>0.11888164426334247</v>
      </c>
      <c r="J338" s="19">
        <v>0.23853211519231188</v>
      </c>
    </row>
    <row r="339" spans="1:10" ht="11.25" customHeight="1" x14ac:dyDescent="0.2">
      <c r="A339" s="28">
        <v>44713</v>
      </c>
      <c r="B339" s="18">
        <v>0</v>
      </c>
      <c r="C339" s="18">
        <v>0</v>
      </c>
      <c r="D339" s="18">
        <v>207765.76361999998</v>
      </c>
      <c r="E339" s="18">
        <v>273775.3014301603</v>
      </c>
      <c r="F339" s="18">
        <v>137489.89554</v>
      </c>
      <c r="G339" s="18">
        <v>153834.92039139036</v>
      </c>
      <c r="H339" s="19">
        <v>0.31771133347499259</v>
      </c>
      <c r="I339" s="19">
        <v>0.11888164426334225</v>
      </c>
      <c r="J339" s="19">
        <v>0.23853211519231188</v>
      </c>
    </row>
    <row r="340" spans="1:10" ht="11.25" customHeight="1" x14ac:dyDescent="0.2">
      <c r="A340" s="28">
        <v>44743</v>
      </c>
      <c r="B340" s="18">
        <v>0</v>
      </c>
      <c r="C340" s="18">
        <v>0</v>
      </c>
      <c r="D340" s="18">
        <v>207765.76361999998</v>
      </c>
      <c r="E340" s="18">
        <v>273775.3014301603</v>
      </c>
      <c r="F340" s="18">
        <v>137489.89554</v>
      </c>
      <c r="G340" s="18">
        <v>153834.92039139036</v>
      </c>
      <c r="H340" s="19">
        <v>0.31771133347499259</v>
      </c>
      <c r="I340" s="19">
        <v>0.11888164426334225</v>
      </c>
      <c r="J340" s="19">
        <v>0.23853211519231188</v>
      </c>
    </row>
    <row r="341" spans="1:10" ht="11.25" customHeight="1" x14ac:dyDescent="0.2">
      <c r="A341" s="21" t="s">
        <v>33</v>
      </c>
      <c r="B341" s="18">
        <v>0</v>
      </c>
      <c r="C341" s="18">
        <v>0</v>
      </c>
      <c r="D341" s="18">
        <v>9875419.4038323946</v>
      </c>
      <c r="E341" s="18">
        <v>12182044.916941399</v>
      </c>
      <c r="F341" s="18">
        <v>6535231.5717324009</v>
      </c>
      <c r="G341" s="18">
        <v>6845479.3313131314</v>
      </c>
      <c r="H341" s="19">
        <v>0.23357241032354148</v>
      </c>
      <c r="I341" s="19">
        <v>4.7473108821832755E-2</v>
      </c>
      <c r="J341" s="19">
        <v>0.1594618809812125</v>
      </c>
    </row>
    <row r="342" spans="1:10" ht="11.25" customHeight="1" x14ac:dyDescent="0.2">
      <c r="A342" s="22" t="s">
        <v>50</v>
      </c>
      <c r="B342" s="18">
        <v>0</v>
      </c>
      <c r="C342" s="18">
        <v>0</v>
      </c>
      <c r="D342" s="18">
        <v>9592.7639899999976</v>
      </c>
      <c r="E342" s="18">
        <v>11491.434447098862</v>
      </c>
      <c r="F342" s="18">
        <v>6491.4293700000007</v>
      </c>
      <c r="G342" s="18">
        <v>6819.6117610394331</v>
      </c>
      <c r="H342" s="19">
        <v>0.197927360568668</v>
      </c>
      <c r="I342" s="19">
        <v>5.055626000586555E-2</v>
      </c>
      <c r="J342" s="19">
        <v>0.13844976855825974</v>
      </c>
    </row>
    <row r="343" spans="1:10" ht="11.25" customHeight="1" x14ac:dyDescent="0.2">
      <c r="A343" s="23" t="s">
        <v>49</v>
      </c>
      <c r="B343" s="18">
        <v>0</v>
      </c>
      <c r="C343" s="18">
        <v>0</v>
      </c>
      <c r="D343" s="18">
        <v>9592.7639899999976</v>
      </c>
      <c r="E343" s="18">
        <v>11491.434447098862</v>
      </c>
      <c r="F343" s="18">
        <v>6491.4293700000007</v>
      </c>
      <c r="G343" s="18">
        <v>6819.6117610394331</v>
      </c>
      <c r="H343" s="19">
        <v>0.197927360568668</v>
      </c>
      <c r="I343" s="19">
        <v>5.055626000586555E-2</v>
      </c>
      <c r="J343" s="19">
        <v>0.13844976855825974</v>
      </c>
    </row>
    <row r="344" spans="1:10" ht="11.25" customHeight="1" x14ac:dyDescent="0.2">
      <c r="A344" s="24" t="s">
        <v>25</v>
      </c>
      <c r="B344" s="18">
        <v>0</v>
      </c>
      <c r="C344" s="18">
        <v>0</v>
      </c>
      <c r="D344" s="18">
        <v>9592.7639899999976</v>
      </c>
      <c r="E344" s="18">
        <v>11491.434447098862</v>
      </c>
      <c r="F344" s="18">
        <v>6491.4293700000007</v>
      </c>
      <c r="G344" s="18">
        <v>6819.6117610394331</v>
      </c>
      <c r="H344" s="19">
        <v>0.197927360568668</v>
      </c>
      <c r="I344" s="19">
        <v>5.055626000586555E-2</v>
      </c>
      <c r="J344" s="19">
        <v>0.13844976855825974</v>
      </c>
    </row>
    <row r="345" spans="1:10" ht="11.25" customHeight="1" x14ac:dyDescent="0.2">
      <c r="A345" s="25" t="s">
        <v>25</v>
      </c>
      <c r="B345" s="18">
        <v>0</v>
      </c>
      <c r="C345" s="18">
        <v>0</v>
      </c>
      <c r="D345" s="18">
        <v>9592.7639899999976</v>
      </c>
      <c r="E345" s="18">
        <v>11491.434447098862</v>
      </c>
      <c r="F345" s="18">
        <v>6491.4293700000007</v>
      </c>
      <c r="G345" s="18">
        <v>6819.6117610394331</v>
      </c>
      <c r="H345" s="19">
        <v>0.197927360568668</v>
      </c>
      <c r="I345" s="19">
        <v>5.055626000586555E-2</v>
      </c>
      <c r="J345" s="19">
        <v>0.13844976855825974</v>
      </c>
    </row>
    <row r="346" spans="1:10" ht="11.25" customHeight="1" x14ac:dyDescent="0.2">
      <c r="A346" s="26" t="s">
        <v>25</v>
      </c>
      <c r="B346" s="18">
        <v>0</v>
      </c>
      <c r="C346" s="18">
        <v>0</v>
      </c>
      <c r="D346" s="18">
        <v>9592.7639899999976</v>
      </c>
      <c r="E346" s="18">
        <v>11491.434447098862</v>
      </c>
      <c r="F346" s="18">
        <v>6491.4293700000007</v>
      </c>
      <c r="G346" s="18">
        <v>6819.6117610394331</v>
      </c>
      <c r="H346" s="19">
        <v>0.197927360568668</v>
      </c>
      <c r="I346" s="19">
        <v>5.055626000586555E-2</v>
      </c>
      <c r="J346" s="19">
        <v>0.13844976855825974</v>
      </c>
    </row>
    <row r="347" spans="1:10" ht="11.25" customHeight="1" x14ac:dyDescent="0.2">
      <c r="A347" s="27" t="s">
        <v>38</v>
      </c>
      <c r="B347" s="18">
        <v>0</v>
      </c>
      <c r="C347" s="18">
        <v>0</v>
      </c>
      <c r="D347" s="18">
        <v>7479.4346500000011</v>
      </c>
      <c r="E347" s="18">
        <v>9145.7658369671408</v>
      </c>
      <c r="F347" s="18">
        <v>5757.030029999999</v>
      </c>
      <c r="G347" s="18">
        <v>6064.0122287995728</v>
      </c>
      <c r="H347" s="19">
        <v>0.22278838775162502</v>
      </c>
      <c r="I347" s="19">
        <v>5.3323015026825127E-2</v>
      </c>
      <c r="J347" s="19">
        <v>0.14908160399871306</v>
      </c>
    </row>
    <row r="348" spans="1:10" ht="11.25" customHeight="1" x14ac:dyDescent="0.2">
      <c r="A348" s="28">
        <v>44409</v>
      </c>
      <c r="B348" s="18">
        <v>0</v>
      </c>
      <c r="C348" s="18">
        <v>0</v>
      </c>
      <c r="D348" s="18">
        <v>368.56700000000006</v>
      </c>
      <c r="E348" s="18">
        <v>450.67944770845327</v>
      </c>
      <c r="F348" s="18">
        <v>283.69140000000004</v>
      </c>
      <c r="G348" s="18">
        <v>298.81868078518102</v>
      </c>
      <c r="H348" s="19">
        <v>0.22278838775162502</v>
      </c>
      <c r="I348" s="19">
        <v>5.3323015026824905E-2</v>
      </c>
      <c r="J348" s="19">
        <v>0.14908160399871306</v>
      </c>
    </row>
    <row r="349" spans="1:10" ht="11.25" customHeight="1" x14ac:dyDescent="0.2">
      <c r="A349" s="28">
        <v>44440</v>
      </c>
      <c r="B349" s="18">
        <v>0</v>
      </c>
      <c r="C349" s="18">
        <v>0</v>
      </c>
      <c r="D349" s="18">
        <v>408.17419999999998</v>
      </c>
      <c r="E349" s="18">
        <v>499.11067193980938</v>
      </c>
      <c r="F349" s="18">
        <v>314.17764</v>
      </c>
      <c r="G349" s="18">
        <v>330.9305390188124</v>
      </c>
      <c r="H349" s="19">
        <v>0.22278838775162524</v>
      </c>
      <c r="I349" s="19">
        <v>5.3323015026824905E-2</v>
      </c>
      <c r="J349" s="19">
        <v>0.14908160399871306</v>
      </c>
    </row>
    <row r="350" spans="1:10" ht="11.25" customHeight="1" x14ac:dyDescent="0.2">
      <c r="A350" s="28">
        <v>44470</v>
      </c>
      <c r="B350" s="18">
        <v>0</v>
      </c>
      <c r="C350" s="18">
        <v>0</v>
      </c>
      <c r="D350" s="18">
        <v>380.66919999999999</v>
      </c>
      <c r="E350" s="18">
        <v>465.47787733470091</v>
      </c>
      <c r="F350" s="18">
        <v>293.00664</v>
      </c>
      <c r="G350" s="18">
        <v>308.63063746767943</v>
      </c>
      <c r="H350" s="19">
        <v>0.22278838775162502</v>
      </c>
      <c r="I350" s="19">
        <v>5.3323015026824683E-2</v>
      </c>
      <c r="J350" s="19">
        <v>0.14908160399871306</v>
      </c>
    </row>
    <row r="351" spans="1:10" ht="11.25" customHeight="1" x14ac:dyDescent="0.2">
      <c r="A351" s="28">
        <v>44501</v>
      </c>
      <c r="B351" s="18">
        <v>0</v>
      </c>
      <c r="C351" s="18">
        <v>0</v>
      </c>
      <c r="D351" s="18">
        <v>439.25485000000003</v>
      </c>
      <c r="E351" s="18">
        <v>537.1157298435819</v>
      </c>
      <c r="F351" s="18">
        <v>338.10086999999999</v>
      </c>
      <c r="G351" s="18">
        <v>356.12942777159259</v>
      </c>
      <c r="H351" s="19">
        <v>0.22278838775162502</v>
      </c>
      <c r="I351" s="19">
        <v>5.3323015026824905E-2</v>
      </c>
      <c r="J351" s="19">
        <v>0.14908160399871306</v>
      </c>
    </row>
    <row r="352" spans="1:10" ht="11.25" customHeight="1" x14ac:dyDescent="0.2">
      <c r="A352" s="28">
        <v>44531</v>
      </c>
      <c r="B352" s="18">
        <v>0</v>
      </c>
      <c r="C352" s="18">
        <v>0</v>
      </c>
      <c r="D352" s="18">
        <v>622.71319999999992</v>
      </c>
      <c r="E352" s="18">
        <v>761.44646985965528</v>
      </c>
      <c r="F352" s="18">
        <v>479.31143999999995</v>
      </c>
      <c r="G352" s="18">
        <v>504.86977111764907</v>
      </c>
      <c r="H352" s="19">
        <v>0.22278838775162524</v>
      </c>
      <c r="I352" s="19">
        <v>5.3323015026824905E-2</v>
      </c>
      <c r="J352" s="19">
        <v>0.14908160399871329</v>
      </c>
    </row>
    <row r="353" spans="1:10" ht="11.25" customHeight="1" x14ac:dyDescent="0.2">
      <c r="A353" s="28">
        <v>44562</v>
      </c>
      <c r="B353" s="18">
        <v>0</v>
      </c>
      <c r="C353" s="18">
        <v>0</v>
      </c>
      <c r="D353" s="18">
        <v>891.16200000000015</v>
      </c>
      <c r="E353" s="18">
        <v>1089.7025452055138</v>
      </c>
      <c r="F353" s="18">
        <v>685.94040000000007</v>
      </c>
      <c r="G353" s="18">
        <v>722.51681025670632</v>
      </c>
      <c r="H353" s="19">
        <v>0.22278838775162502</v>
      </c>
      <c r="I353" s="19">
        <v>5.3323015026824905E-2</v>
      </c>
      <c r="J353" s="19">
        <v>0.14908160399871306</v>
      </c>
    </row>
    <row r="354" spans="1:10" ht="11.25" customHeight="1" x14ac:dyDescent="0.2">
      <c r="A354" s="28">
        <v>44593</v>
      </c>
      <c r="B354" s="18">
        <v>0</v>
      </c>
      <c r="C354" s="18">
        <v>0</v>
      </c>
      <c r="D354" s="18">
        <v>1315.8391999999999</v>
      </c>
      <c r="E354" s="18">
        <v>1608.9928939083882</v>
      </c>
      <c r="F354" s="18">
        <v>1012.82064</v>
      </c>
      <c r="G354" s="18">
        <v>1066.8272902061983</v>
      </c>
      <c r="H354" s="19">
        <v>0.22278838775162524</v>
      </c>
      <c r="I354" s="19">
        <v>5.3323015026824683E-2</v>
      </c>
      <c r="J354" s="19">
        <v>0.14908160399871306</v>
      </c>
    </row>
    <row r="355" spans="1:10" ht="11.25" customHeight="1" x14ac:dyDescent="0.2">
      <c r="A355" s="28">
        <v>44621</v>
      </c>
      <c r="B355" s="18">
        <v>0</v>
      </c>
      <c r="C355" s="18">
        <v>0</v>
      </c>
      <c r="D355" s="18">
        <v>940.94605000000001</v>
      </c>
      <c r="E355" s="18">
        <v>1150.5779034407601</v>
      </c>
      <c r="F355" s="18">
        <v>724.25990999999999</v>
      </c>
      <c r="G355" s="18">
        <v>762.87963206425684</v>
      </c>
      <c r="H355" s="19">
        <v>0.22278838775162524</v>
      </c>
      <c r="I355" s="19">
        <v>5.3323015026824905E-2</v>
      </c>
      <c r="J355" s="19">
        <v>0.14908160399871306</v>
      </c>
    </row>
    <row r="356" spans="1:10" ht="11.25" customHeight="1" x14ac:dyDescent="0.2">
      <c r="A356" s="28">
        <v>44652</v>
      </c>
      <c r="B356" s="18">
        <v>0</v>
      </c>
      <c r="C356" s="18">
        <v>0</v>
      </c>
      <c r="D356" s="18">
        <v>863.93205</v>
      </c>
      <c r="E356" s="18">
        <v>1056.4060785464565</v>
      </c>
      <c r="F356" s="18">
        <v>664.98111000000006</v>
      </c>
      <c r="G356" s="18">
        <v>700.43990772108475</v>
      </c>
      <c r="H356" s="19">
        <v>0.22278838775162524</v>
      </c>
      <c r="I356" s="19">
        <v>5.3323015026824905E-2</v>
      </c>
      <c r="J356" s="19">
        <v>0.14908160399871329</v>
      </c>
    </row>
    <row r="357" spans="1:10" ht="11.25" customHeight="1" x14ac:dyDescent="0.2">
      <c r="A357" s="28">
        <v>44682</v>
      </c>
      <c r="B357" s="18">
        <v>0</v>
      </c>
      <c r="C357" s="18">
        <v>0</v>
      </c>
      <c r="D357" s="18">
        <v>512.1431</v>
      </c>
      <c r="E357" s="18">
        <v>626.24263554711933</v>
      </c>
      <c r="F357" s="18">
        <v>394.20402000000001</v>
      </c>
      <c r="G357" s="18">
        <v>415.22416688209483</v>
      </c>
      <c r="H357" s="19">
        <v>0.22278838775162524</v>
      </c>
      <c r="I357" s="19">
        <v>5.3323015026824905E-2</v>
      </c>
      <c r="J357" s="19">
        <v>0.14908160399871306</v>
      </c>
    </row>
    <row r="358" spans="1:10" ht="11.25" customHeight="1" x14ac:dyDescent="0.2">
      <c r="A358" s="28">
        <v>44713</v>
      </c>
      <c r="B358" s="18">
        <v>0</v>
      </c>
      <c r="C358" s="18">
        <v>0</v>
      </c>
      <c r="D358" s="18">
        <v>368.01690000000002</v>
      </c>
      <c r="E358" s="18">
        <v>450.0067918163511</v>
      </c>
      <c r="F358" s="18">
        <v>283.26798000000002</v>
      </c>
      <c r="G358" s="18">
        <v>298.37268275415835</v>
      </c>
      <c r="H358" s="19">
        <v>0.22278838775162524</v>
      </c>
      <c r="I358" s="19">
        <v>5.3323015026824905E-2</v>
      </c>
      <c r="J358" s="19">
        <v>0.14908160399871329</v>
      </c>
    </row>
    <row r="359" spans="1:10" ht="11.25" customHeight="1" x14ac:dyDescent="0.2">
      <c r="A359" s="28">
        <v>44743</v>
      </c>
      <c r="B359" s="18">
        <v>0</v>
      </c>
      <c r="C359" s="18">
        <v>0</v>
      </c>
      <c r="D359" s="18">
        <v>368.01690000000002</v>
      </c>
      <c r="E359" s="18">
        <v>450.0067918163511</v>
      </c>
      <c r="F359" s="18">
        <v>283.26798000000002</v>
      </c>
      <c r="G359" s="18">
        <v>298.37268275415835</v>
      </c>
      <c r="H359" s="19">
        <v>0.22278838775162524</v>
      </c>
      <c r="I359" s="19">
        <v>5.3323015026824905E-2</v>
      </c>
      <c r="J359" s="19">
        <v>0.14908160399871329</v>
      </c>
    </row>
    <row r="360" spans="1:10" ht="11.25" customHeight="1" x14ac:dyDescent="0.2">
      <c r="A360" s="27" t="s">
        <v>51</v>
      </c>
      <c r="B360" s="18">
        <v>0</v>
      </c>
      <c r="C360" s="18">
        <v>0</v>
      </c>
      <c r="D360" s="18">
        <v>976.09953999999993</v>
      </c>
      <c r="E360" s="18">
        <v>1097.6435045523926</v>
      </c>
      <c r="F360" s="18">
        <v>324.76313999999996</v>
      </c>
      <c r="G360" s="18">
        <v>342.08048979437888</v>
      </c>
      <c r="H360" s="19">
        <v>0.12452005105175301</v>
      </c>
      <c r="I360" s="19">
        <v>5.3323015026825127E-2</v>
      </c>
      <c r="J360" s="19">
        <v>0.1067455592982125</v>
      </c>
    </row>
    <row r="361" spans="1:10" ht="11.25" customHeight="1" x14ac:dyDescent="0.2">
      <c r="A361" s="28">
        <v>44409</v>
      </c>
      <c r="B361" s="18">
        <v>0</v>
      </c>
      <c r="C361" s="18">
        <v>0</v>
      </c>
      <c r="D361" s="18">
        <v>55.995279999999994</v>
      </c>
      <c r="E361" s="18">
        <v>62.967815124257193</v>
      </c>
      <c r="F361" s="18">
        <v>18.630479999999999</v>
      </c>
      <c r="G361" s="18">
        <v>19.623913364996959</v>
      </c>
      <c r="H361" s="19">
        <v>0.12452005105175301</v>
      </c>
      <c r="I361" s="19">
        <v>5.3323015026824905E-2</v>
      </c>
      <c r="J361" s="19">
        <v>0.1067455592982125</v>
      </c>
    </row>
    <row r="362" spans="1:10" ht="11.25" customHeight="1" x14ac:dyDescent="0.2">
      <c r="A362" s="28">
        <v>44440</v>
      </c>
      <c r="B362" s="18">
        <v>0</v>
      </c>
      <c r="C362" s="18">
        <v>0</v>
      </c>
      <c r="D362" s="18">
        <v>64.267309999999995</v>
      </c>
      <c r="E362" s="18">
        <v>72.269878722158836</v>
      </c>
      <c r="F362" s="18">
        <v>21.382710000000003</v>
      </c>
      <c r="G362" s="18">
        <v>22.522900566644243</v>
      </c>
      <c r="H362" s="19">
        <v>0.12452005105175301</v>
      </c>
      <c r="I362" s="19">
        <v>5.3323015026824905E-2</v>
      </c>
      <c r="J362" s="19">
        <v>0.1067455592982125</v>
      </c>
    </row>
    <row r="363" spans="1:10" ht="11.25" customHeight="1" x14ac:dyDescent="0.2">
      <c r="A363" s="28">
        <v>44470</v>
      </c>
      <c r="B363" s="18">
        <v>0</v>
      </c>
      <c r="C363" s="18">
        <v>0</v>
      </c>
      <c r="D363" s="18">
        <v>57.904209999999992</v>
      </c>
      <c r="E363" s="18">
        <v>65.114445185311411</v>
      </c>
      <c r="F363" s="18">
        <v>19.265609999999999</v>
      </c>
      <c r="G363" s="18">
        <v>20.292910411530947</v>
      </c>
      <c r="H363" s="19">
        <v>0.12452005105175279</v>
      </c>
      <c r="I363" s="19">
        <v>5.3323015026824905E-2</v>
      </c>
      <c r="J363" s="19">
        <v>0.1067455592982125</v>
      </c>
    </row>
    <row r="364" spans="1:10" ht="11.25" customHeight="1" x14ac:dyDescent="0.2">
      <c r="A364" s="28">
        <v>44501</v>
      </c>
      <c r="B364" s="18">
        <v>0</v>
      </c>
      <c r="C364" s="18">
        <v>0</v>
      </c>
      <c r="D364" s="18">
        <v>62.358379999999997</v>
      </c>
      <c r="E364" s="18">
        <v>70.123248661104611</v>
      </c>
      <c r="F364" s="18">
        <v>20.747580000000003</v>
      </c>
      <c r="G364" s="18">
        <v>21.853903520110254</v>
      </c>
      <c r="H364" s="19">
        <v>0.12452005105175301</v>
      </c>
      <c r="I364" s="19">
        <v>5.3323015026824905E-2</v>
      </c>
      <c r="J364" s="19">
        <v>0.10674555929821228</v>
      </c>
    </row>
    <row r="365" spans="1:10" ht="11.25" customHeight="1" x14ac:dyDescent="0.2">
      <c r="A365" s="28">
        <v>44531</v>
      </c>
      <c r="B365" s="18">
        <v>0</v>
      </c>
      <c r="C365" s="18">
        <v>0</v>
      </c>
      <c r="D365" s="18">
        <v>68.085169999999991</v>
      </c>
      <c r="E365" s="18">
        <v>76.563138844267272</v>
      </c>
      <c r="F365" s="18">
        <v>22.65297</v>
      </c>
      <c r="G365" s="18">
        <v>23.860894659712212</v>
      </c>
      <c r="H365" s="19">
        <v>0.12452005105175301</v>
      </c>
      <c r="I365" s="19">
        <v>5.3323015026824905E-2</v>
      </c>
      <c r="J365" s="19">
        <v>0.1067455592982125</v>
      </c>
    </row>
    <row r="366" spans="1:10" ht="11.25" customHeight="1" x14ac:dyDescent="0.2">
      <c r="A366" s="28">
        <v>44562</v>
      </c>
      <c r="B366" s="18">
        <v>0</v>
      </c>
      <c r="C366" s="18">
        <v>0</v>
      </c>
      <c r="D366" s="18">
        <v>102.44591</v>
      </c>
      <c r="E366" s="18">
        <v>115.20247994324328</v>
      </c>
      <c r="F366" s="18">
        <v>34.08531</v>
      </c>
      <c r="G366" s="18">
        <v>35.90284149732399</v>
      </c>
      <c r="H366" s="19">
        <v>0.12452005105175279</v>
      </c>
      <c r="I366" s="19">
        <v>5.3323015026825127E-2</v>
      </c>
      <c r="J366" s="19">
        <v>0.10674555929821228</v>
      </c>
    </row>
    <row r="367" spans="1:10" ht="11.25" customHeight="1" x14ac:dyDescent="0.2">
      <c r="A367" s="28">
        <v>44593</v>
      </c>
      <c r="B367" s="18">
        <v>0</v>
      </c>
      <c r="C367" s="18">
        <v>0</v>
      </c>
      <c r="D367" s="18">
        <v>144.44236999999998</v>
      </c>
      <c r="E367" s="18">
        <v>162.42834128643617</v>
      </c>
      <c r="F367" s="18">
        <v>48.058170000000004</v>
      </c>
      <c r="G367" s="18">
        <v>50.620776521071711</v>
      </c>
      <c r="H367" s="19">
        <v>0.12452005105175301</v>
      </c>
      <c r="I367" s="19">
        <v>5.3323015026824905E-2</v>
      </c>
      <c r="J367" s="19">
        <v>0.10674555929821228</v>
      </c>
    </row>
    <row r="368" spans="1:10" ht="11.25" customHeight="1" x14ac:dyDescent="0.2">
      <c r="A368" s="28">
        <v>44621</v>
      </c>
      <c r="B368" s="18">
        <v>0</v>
      </c>
      <c r="C368" s="18">
        <v>0</v>
      </c>
      <c r="D368" s="18">
        <v>113.89948999999999</v>
      </c>
      <c r="E368" s="18">
        <v>128.0822603095686</v>
      </c>
      <c r="F368" s="18">
        <v>37.896090000000001</v>
      </c>
      <c r="G368" s="18">
        <v>39.916823776527906</v>
      </c>
      <c r="H368" s="19">
        <v>0.12452005105175279</v>
      </c>
      <c r="I368" s="19">
        <v>5.3323015026824905E-2</v>
      </c>
      <c r="J368" s="19">
        <v>0.10674555929821228</v>
      </c>
    </row>
    <row r="369" spans="1:10" ht="11.25" customHeight="1" x14ac:dyDescent="0.2">
      <c r="A369" s="28">
        <v>44652</v>
      </c>
      <c r="B369" s="18">
        <v>0</v>
      </c>
      <c r="C369" s="18">
        <v>0</v>
      </c>
      <c r="D369" s="18">
        <v>120.8989</v>
      </c>
      <c r="E369" s="18">
        <v>135.95323720010077</v>
      </c>
      <c r="F369" s="18">
        <v>40.224900000000005</v>
      </c>
      <c r="G369" s="18">
        <v>42.369812947152532</v>
      </c>
      <c r="H369" s="19">
        <v>0.12452005105175301</v>
      </c>
      <c r="I369" s="19">
        <v>5.3323015026824905E-2</v>
      </c>
      <c r="J369" s="19">
        <v>0.10674555929821228</v>
      </c>
    </row>
    <row r="370" spans="1:10" ht="11.25" customHeight="1" x14ac:dyDescent="0.2">
      <c r="A370" s="28">
        <v>44682</v>
      </c>
      <c r="B370" s="18">
        <v>0</v>
      </c>
      <c r="C370" s="18">
        <v>0</v>
      </c>
      <c r="D370" s="18">
        <v>73.811959999999999</v>
      </c>
      <c r="E370" s="18">
        <v>83.003029027429946</v>
      </c>
      <c r="F370" s="18">
        <v>24.55836</v>
      </c>
      <c r="G370" s="18">
        <v>25.867885799314177</v>
      </c>
      <c r="H370" s="19">
        <v>0.12452005105175301</v>
      </c>
      <c r="I370" s="19">
        <v>5.3323015026824905E-2</v>
      </c>
      <c r="J370" s="19">
        <v>0.1067455592982125</v>
      </c>
    </row>
    <row r="371" spans="1:10" ht="11.25" customHeight="1" x14ac:dyDescent="0.2">
      <c r="A371" s="28">
        <v>44713</v>
      </c>
      <c r="B371" s="18">
        <v>0</v>
      </c>
      <c r="C371" s="18">
        <v>0</v>
      </c>
      <c r="D371" s="18">
        <v>55.995279999999994</v>
      </c>
      <c r="E371" s="18">
        <v>62.967815124257193</v>
      </c>
      <c r="F371" s="18">
        <v>18.630479999999999</v>
      </c>
      <c r="G371" s="18">
        <v>19.623913364996959</v>
      </c>
      <c r="H371" s="19">
        <v>0.12452005105175301</v>
      </c>
      <c r="I371" s="19">
        <v>5.3323015026824905E-2</v>
      </c>
      <c r="J371" s="19">
        <v>0.1067455592982125</v>
      </c>
    </row>
    <row r="372" spans="1:10" ht="11.25" customHeight="1" x14ac:dyDescent="0.2">
      <c r="A372" s="28">
        <v>44743</v>
      </c>
      <c r="B372" s="18">
        <v>0</v>
      </c>
      <c r="C372" s="18">
        <v>0</v>
      </c>
      <c r="D372" s="18">
        <v>55.995279999999994</v>
      </c>
      <c r="E372" s="18">
        <v>62.967815124257193</v>
      </c>
      <c r="F372" s="18">
        <v>18.630479999999999</v>
      </c>
      <c r="G372" s="18">
        <v>19.623913364996959</v>
      </c>
      <c r="H372" s="19">
        <v>0.12452005105175301</v>
      </c>
      <c r="I372" s="19">
        <v>5.3323015026824905E-2</v>
      </c>
      <c r="J372" s="19">
        <v>0.1067455592982125</v>
      </c>
    </row>
    <row r="373" spans="1:10" ht="11.25" customHeight="1" x14ac:dyDescent="0.2">
      <c r="A373" s="27" t="s">
        <v>37</v>
      </c>
      <c r="B373" s="18">
        <v>0</v>
      </c>
      <c r="C373" s="18">
        <v>0</v>
      </c>
      <c r="D373" s="18">
        <v>1137.2297999999998</v>
      </c>
      <c r="E373" s="18">
        <v>1248.025105579329</v>
      </c>
      <c r="F373" s="18">
        <v>409.63619999999992</v>
      </c>
      <c r="G373" s="18">
        <v>413.51904244548103</v>
      </c>
      <c r="H373" s="19">
        <v>9.7425608772588657E-2</v>
      </c>
      <c r="I373" s="19">
        <v>9.4787580918900272E-3</v>
      </c>
      <c r="J373" s="19">
        <v>7.4135799755641552E-2</v>
      </c>
    </row>
    <row r="374" spans="1:10" ht="11.25" customHeight="1" x14ac:dyDescent="0.2">
      <c r="A374" s="28">
        <v>44409</v>
      </c>
      <c r="B374" s="18">
        <v>0</v>
      </c>
      <c r="C374" s="18">
        <v>0</v>
      </c>
      <c r="D374" s="18">
        <v>70.827469999999991</v>
      </c>
      <c r="E374" s="18">
        <v>77.727879382572226</v>
      </c>
      <c r="F374" s="18">
        <v>25.512429999999995</v>
      </c>
      <c r="G374" s="18">
        <v>25.754256152306276</v>
      </c>
      <c r="H374" s="19">
        <v>9.7425608772588213E-2</v>
      </c>
      <c r="I374" s="19">
        <v>9.4787580918902492E-3</v>
      </c>
      <c r="J374" s="19">
        <v>7.413579975564133E-2</v>
      </c>
    </row>
    <row r="375" spans="1:10" ht="11.25" customHeight="1" x14ac:dyDescent="0.2">
      <c r="A375" s="28">
        <v>44440</v>
      </c>
      <c r="B375" s="18">
        <v>0</v>
      </c>
      <c r="C375" s="18">
        <v>0</v>
      </c>
      <c r="D375" s="18">
        <v>85.791020000000003</v>
      </c>
      <c r="E375" s="18">
        <v>94.149262350721287</v>
      </c>
      <c r="F375" s="18">
        <v>30.902379999999997</v>
      </c>
      <c r="G375" s="18">
        <v>31.195296184483659</v>
      </c>
      <c r="H375" s="19">
        <v>9.7425608772588213E-2</v>
      </c>
      <c r="I375" s="19">
        <v>9.4787580918900272E-3</v>
      </c>
      <c r="J375" s="19">
        <v>7.413579975564133E-2</v>
      </c>
    </row>
    <row r="376" spans="1:10" ht="11.25" customHeight="1" x14ac:dyDescent="0.2">
      <c r="A376" s="28">
        <v>44470</v>
      </c>
      <c r="B376" s="18">
        <v>0</v>
      </c>
      <c r="C376" s="18">
        <v>0</v>
      </c>
      <c r="D376" s="18">
        <v>87.786159999999995</v>
      </c>
      <c r="E376" s="18">
        <v>96.338780079807833</v>
      </c>
      <c r="F376" s="18">
        <v>31.621039999999997</v>
      </c>
      <c r="G376" s="18">
        <v>31.920768188773977</v>
      </c>
      <c r="H376" s="19">
        <v>9.7425608772588213E-2</v>
      </c>
      <c r="I376" s="19">
        <v>9.4787580918900272E-3</v>
      </c>
      <c r="J376" s="19">
        <v>7.413579975564133E-2</v>
      </c>
    </row>
    <row r="377" spans="1:10" ht="11.25" customHeight="1" x14ac:dyDescent="0.2">
      <c r="A377" s="28">
        <v>44501</v>
      </c>
      <c r="B377" s="18">
        <v>0</v>
      </c>
      <c r="C377" s="18">
        <v>0</v>
      </c>
      <c r="D377" s="18">
        <v>63.844480000000004</v>
      </c>
      <c r="E377" s="18">
        <v>70.064567330769336</v>
      </c>
      <c r="F377" s="18">
        <v>22.997119999999999</v>
      </c>
      <c r="G377" s="18">
        <v>23.215104137290169</v>
      </c>
      <c r="H377" s="19">
        <v>9.7425608772588213E-2</v>
      </c>
      <c r="I377" s="19">
        <v>9.4787580918902492E-3</v>
      </c>
      <c r="J377" s="19">
        <v>7.413579975564133E-2</v>
      </c>
    </row>
    <row r="378" spans="1:10" ht="11.25" customHeight="1" x14ac:dyDescent="0.2">
      <c r="A378" s="28">
        <v>44531</v>
      </c>
      <c r="B378" s="18">
        <v>0</v>
      </c>
      <c r="C378" s="18">
        <v>0</v>
      </c>
      <c r="D378" s="18">
        <v>71.825040000000001</v>
      </c>
      <c r="E378" s="18">
        <v>78.822638247115492</v>
      </c>
      <c r="F378" s="18">
        <v>25.871759999999998</v>
      </c>
      <c r="G378" s="18">
        <v>26.116992154451435</v>
      </c>
      <c r="H378" s="19">
        <v>9.742560877258799E-2</v>
      </c>
      <c r="I378" s="19">
        <v>9.4787580918900272E-3</v>
      </c>
      <c r="J378" s="19">
        <v>7.413579975564133E-2</v>
      </c>
    </row>
    <row r="379" spans="1:10" ht="11.25" customHeight="1" x14ac:dyDescent="0.2">
      <c r="A379" s="28">
        <v>44562</v>
      </c>
      <c r="B379" s="18">
        <v>0</v>
      </c>
      <c r="C379" s="18">
        <v>0</v>
      </c>
      <c r="D379" s="18">
        <v>134.67195000000001</v>
      </c>
      <c r="E379" s="18">
        <v>147.79244671334158</v>
      </c>
      <c r="F379" s="18">
        <v>48.509550000000004</v>
      </c>
      <c r="G379" s="18">
        <v>48.969360289596452</v>
      </c>
      <c r="H379" s="19">
        <v>9.7425608772588213E-2</v>
      </c>
      <c r="I379" s="19">
        <v>9.4787580918900272E-3</v>
      </c>
      <c r="J379" s="19">
        <v>7.413579975564133E-2</v>
      </c>
    </row>
    <row r="380" spans="1:10" ht="11.25" customHeight="1" x14ac:dyDescent="0.2">
      <c r="A380" s="28">
        <v>44593</v>
      </c>
      <c r="B380" s="18">
        <v>0</v>
      </c>
      <c r="C380" s="18">
        <v>0</v>
      </c>
      <c r="D380" s="18">
        <v>106.73999000000001</v>
      </c>
      <c r="E380" s="18">
        <v>117.13919850612999</v>
      </c>
      <c r="F380" s="18">
        <v>38.448309999999999</v>
      </c>
      <c r="G380" s="18">
        <v>38.812752229531995</v>
      </c>
      <c r="H380" s="19">
        <v>9.7425608772588213E-2</v>
      </c>
      <c r="I380" s="19">
        <v>9.4787580918900272E-3</v>
      </c>
      <c r="J380" s="19">
        <v>7.413579975564133E-2</v>
      </c>
    </row>
    <row r="381" spans="1:10" ht="11.25" customHeight="1" x14ac:dyDescent="0.2">
      <c r="A381" s="28">
        <v>44621</v>
      </c>
      <c r="B381" s="18">
        <v>0</v>
      </c>
      <c r="C381" s="18">
        <v>0</v>
      </c>
      <c r="D381" s="18">
        <v>121.70354</v>
      </c>
      <c r="E381" s="18">
        <v>133.56058147427905</v>
      </c>
      <c r="F381" s="18">
        <v>43.838259999999998</v>
      </c>
      <c r="G381" s="18">
        <v>44.253792261709378</v>
      </c>
      <c r="H381" s="19">
        <v>9.7425608772588213E-2</v>
      </c>
      <c r="I381" s="19">
        <v>9.4787580918900272E-3</v>
      </c>
      <c r="J381" s="19">
        <v>7.413579975564133E-2</v>
      </c>
    </row>
    <row r="382" spans="1:10" ht="11.25" customHeight="1" x14ac:dyDescent="0.2">
      <c r="A382" s="28">
        <v>44652</v>
      </c>
      <c r="B382" s="18">
        <v>0</v>
      </c>
      <c r="C382" s="18">
        <v>0</v>
      </c>
      <c r="D382" s="18">
        <v>148.63793000000001</v>
      </c>
      <c r="E382" s="18">
        <v>163.11907081694736</v>
      </c>
      <c r="F382" s="18">
        <v>53.540169999999996</v>
      </c>
      <c r="G382" s="18">
        <v>54.047664319628666</v>
      </c>
      <c r="H382" s="19">
        <v>9.7425608772588213E-2</v>
      </c>
      <c r="I382" s="19">
        <v>9.4787580918900272E-3</v>
      </c>
      <c r="J382" s="19">
        <v>7.413579975564133E-2</v>
      </c>
    </row>
    <row r="383" spans="1:10" ht="11.25" customHeight="1" x14ac:dyDescent="0.2">
      <c r="A383" s="28">
        <v>44682</v>
      </c>
      <c r="B383" s="18">
        <v>0</v>
      </c>
      <c r="C383" s="18">
        <v>0</v>
      </c>
      <c r="D383" s="18">
        <v>91.776440000000008</v>
      </c>
      <c r="E383" s="18">
        <v>100.71781553798093</v>
      </c>
      <c r="F383" s="18">
        <v>33.05836</v>
      </c>
      <c r="G383" s="18">
        <v>33.371712197354611</v>
      </c>
      <c r="H383" s="19">
        <v>9.7425608772588213E-2</v>
      </c>
      <c r="I383" s="19">
        <v>9.4787580918900272E-3</v>
      </c>
      <c r="J383" s="19">
        <v>7.413579975564133E-2</v>
      </c>
    </row>
    <row r="384" spans="1:10" ht="11.25" customHeight="1" x14ac:dyDescent="0.2">
      <c r="A384" s="28">
        <v>44713</v>
      </c>
      <c r="B384" s="18">
        <v>0</v>
      </c>
      <c r="C384" s="18">
        <v>0</v>
      </c>
      <c r="D384" s="18">
        <v>76.812889999999996</v>
      </c>
      <c r="E384" s="18">
        <v>84.29643256983185</v>
      </c>
      <c r="F384" s="18">
        <v>27.668409999999998</v>
      </c>
      <c r="G384" s="18">
        <v>27.930672165177231</v>
      </c>
      <c r="H384" s="19">
        <v>9.7425608772588213E-2</v>
      </c>
      <c r="I384" s="19">
        <v>9.4787580918900272E-3</v>
      </c>
      <c r="J384" s="19">
        <v>7.413579975564133E-2</v>
      </c>
    </row>
    <row r="385" spans="1:10" ht="11.25" customHeight="1" x14ac:dyDescent="0.2">
      <c r="A385" s="28">
        <v>44743</v>
      </c>
      <c r="B385" s="18">
        <v>0</v>
      </c>
      <c r="C385" s="18">
        <v>0</v>
      </c>
      <c r="D385" s="18">
        <v>76.812889999999996</v>
      </c>
      <c r="E385" s="18">
        <v>84.29643256983185</v>
      </c>
      <c r="F385" s="18">
        <v>27.668409999999998</v>
      </c>
      <c r="G385" s="18">
        <v>27.930672165177231</v>
      </c>
      <c r="H385" s="19">
        <v>9.7425608772588213E-2</v>
      </c>
      <c r="I385" s="19">
        <v>9.4787580918900272E-3</v>
      </c>
      <c r="J385" s="19">
        <v>7.413579975564133E-2</v>
      </c>
    </row>
    <row r="386" spans="1:10" ht="11.25" customHeight="1" x14ac:dyDescent="0.2">
      <c r="A386" s="22" t="s">
        <v>23</v>
      </c>
      <c r="B386" s="18">
        <v>0</v>
      </c>
      <c r="C386" s="18">
        <v>0</v>
      </c>
      <c r="D386" s="18">
        <v>9865826.6398423947</v>
      </c>
      <c r="E386" s="18">
        <v>12170553.482494298</v>
      </c>
      <c r="F386" s="18">
        <v>6528740.1423624009</v>
      </c>
      <c r="G386" s="18">
        <v>6838659.7195520923</v>
      </c>
      <c r="H386" s="19">
        <v>0.23360706880297699</v>
      </c>
      <c r="I386" s="19">
        <v>4.747004329039628E-2</v>
      </c>
      <c r="J386" s="19">
        <v>0.15948249530323788</v>
      </c>
    </row>
    <row r="387" spans="1:10" ht="11.25" customHeight="1" x14ac:dyDescent="0.2">
      <c r="A387" s="23" t="s">
        <v>40</v>
      </c>
      <c r="B387" s="18">
        <v>0</v>
      </c>
      <c r="C387" s="18">
        <v>0</v>
      </c>
      <c r="D387" s="18">
        <v>7901790.8615799984</v>
      </c>
      <c r="E387" s="18">
        <v>9747705.0630478431</v>
      </c>
      <c r="F387" s="18">
        <v>5229033.6205799989</v>
      </c>
      <c r="G387" s="18">
        <v>5477256.0729158688</v>
      </c>
      <c r="H387" s="19">
        <v>0.23360706880297633</v>
      </c>
      <c r="I387" s="19">
        <v>4.747004329039628E-2</v>
      </c>
      <c r="J387" s="19">
        <v>0.15948249530323766</v>
      </c>
    </row>
    <row r="388" spans="1:10" ht="11.25" customHeight="1" x14ac:dyDescent="0.2">
      <c r="A388" s="24" t="s">
        <v>25</v>
      </c>
      <c r="B388" s="18">
        <v>0</v>
      </c>
      <c r="C388" s="18">
        <v>0</v>
      </c>
      <c r="D388" s="18">
        <v>7901790.8615799984</v>
      </c>
      <c r="E388" s="18">
        <v>9747705.0630478431</v>
      </c>
      <c r="F388" s="18">
        <v>5229033.6205799989</v>
      </c>
      <c r="G388" s="18">
        <v>5477256.0729158688</v>
      </c>
      <c r="H388" s="19">
        <v>0.23360706880297633</v>
      </c>
      <c r="I388" s="19">
        <v>4.747004329039628E-2</v>
      </c>
      <c r="J388" s="19">
        <v>0.15948249530323766</v>
      </c>
    </row>
    <row r="389" spans="1:10" ht="11.25" customHeight="1" x14ac:dyDescent="0.2">
      <c r="A389" s="25" t="s">
        <v>25</v>
      </c>
      <c r="B389" s="18">
        <v>0</v>
      </c>
      <c r="C389" s="18">
        <v>0</v>
      </c>
      <c r="D389" s="18">
        <v>7901790.8615799984</v>
      </c>
      <c r="E389" s="18">
        <v>9747705.0630478431</v>
      </c>
      <c r="F389" s="18">
        <v>5229033.6205799989</v>
      </c>
      <c r="G389" s="18">
        <v>5477256.0729158688</v>
      </c>
      <c r="H389" s="19">
        <v>0.23360706880297633</v>
      </c>
      <c r="I389" s="19">
        <v>4.747004329039628E-2</v>
      </c>
      <c r="J389" s="19">
        <v>0.15948249530323766</v>
      </c>
    </row>
    <row r="390" spans="1:10" ht="11.25" customHeight="1" x14ac:dyDescent="0.2">
      <c r="A390" s="26" t="s">
        <v>25</v>
      </c>
      <c r="B390" s="18">
        <v>0</v>
      </c>
      <c r="C390" s="18">
        <v>0</v>
      </c>
      <c r="D390" s="18">
        <v>7901790.8615799984</v>
      </c>
      <c r="E390" s="18">
        <v>9747705.0630478431</v>
      </c>
      <c r="F390" s="18">
        <v>5229033.6205799989</v>
      </c>
      <c r="G390" s="18">
        <v>5477256.0729158688</v>
      </c>
      <c r="H390" s="19">
        <v>0.23360706880297633</v>
      </c>
      <c r="I390" s="19">
        <v>4.747004329039628E-2</v>
      </c>
      <c r="J390" s="19">
        <v>0.15948249530323766</v>
      </c>
    </row>
    <row r="391" spans="1:10" ht="11.25" customHeight="1" x14ac:dyDescent="0.2">
      <c r="A391" s="27" t="s">
        <v>25</v>
      </c>
      <c r="B391" s="18">
        <v>0</v>
      </c>
      <c r="C391" s="18">
        <v>0</v>
      </c>
      <c r="D391" s="18">
        <v>7901790.8615799984</v>
      </c>
      <c r="E391" s="18">
        <v>9747705.0630478431</v>
      </c>
      <c r="F391" s="18">
        <v>5229033.6205799989</v>
      </c>
      <c r="G391" s="18">
        <v>5477256.0729158688</v>
      </c>
      <c r="H391" s="19">
        <v>0.23360706880297633</v>
      </c>
      <c r="I391" s="19">
        <v>4.747004329039628E-2</v>
      </c>
      <c r="J391" s="19">
        <v>0.15948249530323766</v>
      </c>
    </row>
    <row r="392" spans="1:10" ht="11.25" customHeight="1" x14ac:dyDescent="0.2">
      <c r="A392" s="28">
        <v>44409</v>
      </c>
      <c r="B392" s="18">
        <v>0</v>
      </c>
      <c r="C392" s="18">
        <v>0</v>
      </c>
      <c r="D392" s="18">
        <v>511664.29668999999</v>
      </c>
      <c r="E392" s="18">
        <v>631192.6932508871</v>
      </c>
      <c r="F392" s="18">
        <v>338595.37118999998</v>
      </c>
      <c r="G392" s="18">
        <v>354668.508118317</v>
      </c>
      <c r="H392" s="19">
        <v>0.23360706880297588</v>
      </c>
      <c r="I392" s="19">
        <v>4.7470043290396058E-2</v>
      </c>
      <c r="J392" s="19">
        <v>0.15948249530323722</v>
      </c>
    </row>
    <row r="393" spans="1:10" ht="11.25" customHeight="1" x14ac:dyDescent="0.2">
      <c r="A393" s="28">
        <v>44440</v>
      </c>
      <c r="B393" s="18">
        <v>0</v>
      </c>
      <c r="C393" s="18">
        <v>0</v>
      </c>
      <c r="D393" s="18">
        <v>574742.25008999999</v>
      </c>
      <c r="E393" s="18">
        <v>709006.1024507517</v>
      </c>
      <c r="F393" s="18">
        <v>380337.39458999998</v>
      </c>
      <c r="G393" s="18">
        <v>398392.02717614366</v>
      </c>
      <c r="H393" s="19">
        <v>0.23360706880297566</v>
      </c>
      <c r="I393" s="19">
        <v>4.7470043290395836E-2</v>
      </c>
      <c r="J393" s="19">
        <v>0.15948249530323699</v>
      </c>
    </row>
    <row r="394" spans="1:10" ht="11.25" customHeight="1" x14ac:dyDescent="0.2">
      <c r="A394" s="28">
        <v>44470</v>
      </c>
      <c r="B394" s="18">
        <v>0</v>
      </c>
      <c r="C394" s="18">
        <v>0</v>
      </c>
      <c r="D394" s="18">
        <v>545373.46100000001</v>
      </c>
      <c r="E394" s="18">
        <v>672776.55662714411</v>
      </c>
      <c r="F394" s="18">
        <v>360902.511</v>
      </c>
      <c r="G394" s="18">
        <v>378034.56882078259</v>
      </c>
      <c r="H394" s="19">
        <v>0.23360706880297588</v>
      </c>
      <c r="I394" s="19">
        <v>4.7470043290395836E-2</v>
      </c>
      <c r="J394" s="19">
        <v>0.15948249530323699</v>
      </c>
    </row>
    <row r="395" spans="1:10" ht="11.25" customHeight="1" x14ac:dyDescent="0.2">
      <c r="A395" s="28">
        <v>44501</v>
      </c>
      <c r="B395" s="18">
        <v>0</v>
      </c>
      <c r="C395" s="18">
        <v>0</v>
      </c>
      <c r="D395" s="18">
        <v>667079.31533999997</v>
      </c>
      <c r="E395" s="18">
        <v>822913.75885567337</v>
      </c>
      <c r="F395" s="18">
        <v>441441.72233999998</v>
      </c>
      <c r="G395" s="18">
        <v>462396.9800096667</v>
      </c>
      <c r="H395" s="19">
        <v>0.23360706880297588</v>
      </c>
      <c r="I395" s="19">
        <v>4.7470043290395836E-2</v>
      </c>
      <c r="J395" s="19">
        <v>0.15948249530323699</v>
      </c>
    </row>
    <row r="396" spans="1:10" ht="11.25" customHeight="1" x14ac:dyDescent="0.2">
      <c r="A396" s="28">
        <v>44531</v>
      </c>
      <c r="B396" s="18">
        <v>0</v>
      </c>
      <c r="C396" s="18">
        <v>0</v>
      </c>
      <c r="D396" s="18">
        <v>669506.77055000002</v>
      </c>
      <c r="E396" s="18">
        <v>825908.2847619321</v>
      </c>
      <c r="F396" s="18">
        <v>443048.09804999997</v>
      </c>
      <c r="G396" s="18">
        <v>464079.61044416111</v>
      </c>
      <c r="H396" s="19">
        <v>0.23360706880297588</v>
      </c>
      <c r="I396" s="19">
        <v>4.7470043290396058E-2</v>
      </c>
      <c r="J396" s="19">
        <v>0.15948249530323744</v>
      </c>
    </row>
    <row r="397" spans="1:10" ht="11.25" customHeight="1" x14ac:dyDescent="0.2">
      <c r="A397" s="28">
        <v>44562</v>
      </c>
      <c r="B397" s="18">
        <v>0</v>
      </c>
      <c r="C397" s="18">
        <v>0</v>
      </c>
      <c r="D397" s="18">
        <v>821784.47852000012</v>
      </c>
      <c r="E397" s="18">
        <v>1013759.1417348394</v>
      </c>
      <c r="F397" s="18">
        <v>543818.32452000002</v>
      </c>
      <c r="G397" s="18">
        <v>569633.40392707498</v>
      </c>
      <c r="H397" s="19">
        <v>0.23360706880297588</v>
      </c>
      <c r="I397" s="19">
        <v>4.7470043290395836E-2</v>
      </c>
      <c r="J397" s="19">
        <v>0.15948249530323722</v>
      </c>
    </row>
    <row r="398" spans="1:10" ht="11.25" customHeight="1" x14ac:dyDescent="0.2">
      <c r="A398" s="28">
        <v>44593</v>
      </c>
      <c r="B398" s="18">
        <v>0</v>
      </c>
      <c r="C398" s="18">
        <v>0</v>
      </c>
      <c r="D398" s="18">
        <v>854387.05363999994</v>
      </c>
      <c r="E398" s="18">
        <v>1053977.9088640513</v>
      </c>
      <c r="F398" s="18">
        <v>565393.17563999991</v>
      </c>
      <c r="G398" s="18">
        <v>592232.41416372522</v>
      </c>
      <c r="H398" s="19">
        <v>0.23360706880297588</v>
      </c>
      <c r="I398" s="19">
        <v>4.7470043290396058E-2</v>
      </c>
      <c r="J398" s="19">
        <v>0.15948249530323722</v>
      </c>
    </row>
    <row r="399" spans="1:10" ht="11.25" customHeight="1" x14ac:dyDescent="0.2">
      <c r="A399" s="28">
        <v>44621</v>
      </c>
      <c r="B399" s="18">
        <v>0</v>
      </c>
      <c r="C399" s="18">
        <v>0</v>
      </c>
      <c r="D399" s="18">
        <v>790308.80318999989</v>
      </c>
      <c r="E399" s="18">
        <v>974930.52615240379</v>
      </c>
      <c r="F399" s="18">
        <v>522989.20268999995</v>
      </c>
      <c r="G399" s="18">
        <v>547815.52278210386</v>
      </c>
      <c r="H399" s="19">
        <v>0.23360706880297588</v>
      </c>
      <c r="I399" s="19">
        <v>4.7470043290395836E-2</v>
      </c>
      <c r="J399" s="19">
        <v>0.15948249530323722</v>
      </c>
    </row>
    <row r="400" spans="1:10" ht="11.25" customHeight="1" x14ac:dyDescent="0.2">
      <c r="A400" s="28">
        <v>44652</v>
      </c>
      <c r="B400" s="18">
        <v>0</v>
      </c>
      <c r="C400" s="18">
        <v>0</v>
      </c>
      <c r="D400" s="18">
        <v>718559.91613999999</v>
      </c>
      <c r="E400" s="18">
        <v>886420.5919087776</v>
      </c>
      <c r="F400" s="18">
        <v>475509.16314000002</v>
      </c>
      <c r="G400" s="18">
        <v>498081.60369923571</v>
      </c>
      <c r="H400" s="19">
        <v>0.23360706880297588</v>
      </c>
      <c r="I400" s="19">
        <v>4.7470043290395836E-2</v>
      </c>
      <c r="J400" s="19">
        <v>0.15948249530323722</v>
      </c>
    </row>
    <row r="401" spans="1:10" ht="11.25" customHeight="1" x14ac:dyDescent="0.2">
      <c r="A401" s="28">
        <v>44682</v>
      </c>
      <c r="B401" s="18">
        <v>0</v>
      </c>
      <c r="C401" s="18">
        <v>0</v>
      </c>
      <c r="D401" s="18">
        <v>611957.70097999997</v>
      </c>
      <c r="E401" s="18">
        <v>754915.34573734575</v>
      </c>
      <c r="F401" s="18">
        <v>404964.82998000004</v>
      </c>
      <c r="G401" s="18">
        <v>424188.52799023845</v>
      </c>
      <c r="H401" s="19">
        <v>0.23360706880297588</v>
      </c>
      <c r="I401" s="19">
        <v>4.7470043290395836E-2</v>
      </c>
      <c r="J401" s="19">
        <v>0.15948249530323722</v>
      </c>
    </row>
    <row r="402" spans="1:10" ht="11.25" customHeight="1" x14ac:dyDescent="0.2">
      <c r="A402" s="28">
        <v>44713</v>
      </c>
      <c r="B402" s="18">
        <v>0</v>
      </c>
      <c r="C402" s="18">
        <v>0</v>
      </c>
      <c r="D402" s="18">
        <v>568213.4077199999</v>
      </c>
      <c r="E402" s="18">
        <v>700952.07635201945</v>
      </c>
      <c r="F402" s="18">
        <v>376016.91371999995</v>
      </c>
      <c r="G402" s="18">
        <v>393866.45289220946</v>
      </c>
      <c r="H402" s="19">
        <v>0.2336070688029761</v>
      </c>
      <c r="I402" s="19">
        <v>4.7470043290396058E-2</v>
      </c>
      <c r="J402" s="19">
        <v>0.15948249530323744</v>
      </c>
    </row>
    <row r="403" spans="1:10" ht="11.25" customHeight="1" x14ac:dyDescent="0.2">
      <c r="A403" s="28">
        <v>44743</v>
      </c>
      <c r="B403" s="18">
        <v>0</v>
      </c>
      <c r="C403" s="18">
        <v>0</v>
      </c>
      <c r="D403" s="18">
        <v>568213.4077199999</v>
      </c>
      <c r="E403" s="18">
        <v>700952.07635201945</v>
      </c>
      <c r="F403" s="18">
        <v>376016.91371999995</v>
      </c>
      <c r="G403" s="18">
        <v>393866.45289220946</v>
      </c>
      <c r="H403" s="19">
        <v>0.2336070688029761</v>
      </c>
      <c r="I403" s="19">
        <v>4.7470043290396058E-2</v>
      </c>
      <c r="J403" s="19">
        <v>0.15948249530323744</v>
      </c>
    </row>
    <row r="404" spans="1:10" ht="11.25" customHeight="1" x14ac:dyDescent="0.2">
      <c r="A404" s="23" t="s">
        <v>49</v>
      </c>
      <c r="B404" s="18">
        <v>0</v>
      </c>
      <c r="C404" s="18">
        <v>0</v>
      </c>
      <c r="D404" s="18">
        <v>30360.623390000001</v>
      </c>
      <c r="E404" s="18">
        <v>37453.079627168961</v>
      </c>
      <c r="F404" s="18">
        <v>20091.232889999996</v>
      </c>
      <c r="G404" s="18">
        <v>21044.964585045724</v>
      </c>
      <c r="H404" s="19">
        <v>0.23360706880297566</v>
      </c>
      <c r="I404" s="19">
        <v>4.7470043290396058E-2</v>
      </c>
      <c r="J404" s="19">
        <v>0.15948249530323722</v>
      </c>
    </row>
    <row r="405" spans="1:10" ht="11.25" customHeight="1" x14ac:dyDescent="0.2">
      <c r="A405" s="24" t="s">
        <v>25</v>
      </c>
      <c r="B405" s="18">
        <v>0</v>
      </c>
      <c r="C405" s="18">
        <v>0</v>
      </c>
      <c r="D405" s="18">
        <v>30360.623390000001</v>
      </c>
      <c r="E405" s="18">
        <v>37453.079627168961</v>
      </c>
      <c r="F405" s="18">
        <v>20091.232889999996</v>
      </c>
      <c r="G405" s="18">
        <v>21044.964585045724</v>
      </c>
      <c r="H405" s="19">
        <v>0.23360706880297566</v>
      </c>
      <c r="I405" s="19">
        <v>4.7470043290396058E-2</v>
      </c>
      <c r="J405" s="19">
        <v>0.15948249530323722</v>
      </c>
    </row>
    <row r="406" spans="1:10" ht="11.25" customHeight="1" x14ac:dyDescent="0.2">
      <c r="A406" s="25" t="s">
        <v>25</v>
      </c>
      <c r="B406" s="18">
        <v>0</v>
      </c>
      <c r="C406" s="18">
        <v>0</v>
      </c>
      <c r="D406" s="18">
        <v>30360.623390000001</v>
      </c>
      <c r="E406" s="18">
        <v>37453.079627168961</v>
      </c>
      <c r="F406" s="18">
        <v>20091.232889999996</v>
      </c>
      <c r="G406" s="18">
        <v>21044.964585045724</v>
      </c>
      <c r="H406" s="19">
        <v>0.23360706880297566</v>
      </c>
      <c r="I406" s="19">
        <v>4.7470043290396058E-2</v>
      </c>
      <c r="J406" s="19">
        <v>0.15948249530323722</v>
      </c>
    </row>
    <row r="407" spans="1:10" ht="11.25" customHeight="1" x14ac:dyDescent="0.2">
      <c r="A407" s="26" t="s">
        <v>25</v>
      </c>
      <c r="B407" s="18">
        <v>0</v>
      </c>
      <c r="C407" s="18">
        <v>0</v>
      </c>
      <c r="D407" s="18">
        <v>30360.623390000001</v>
      </c>
      <c r="E407" s="18">
        <v>37453.079627168961</v>
      </c>
      <c r="F407" s="18">
        <v>20091.232889999996</v>
      </c>
      <c r="G407" s="18">
        <v>21044.964585045724</v>
      </c>
      <c r="H407" s="19">
        <v>0.23360706880297566</v>
      </c>
      <c r="I407" s="19">
        <v>4.7470043290396058E-2</v>
      </c>
      <c r="J407" s="19">
        <v>0.15948249530323722</v>
      </c>
    </row>
    <row r="408" spans="1:10" ht="11.25" customHeight="1" x14ac:dyDescent="0.2">
      <c r="A408" s="27" t="s">
        <v>25</v>
      </c>
      <c r="B408" s="18">
        <v>0</v>
      </c>
      <c r="C408" s="18">
        <v>0</v>
      </c>
      <c r="D408" s="18">
        <v>30360.623390000001</v>
      </c>
      <c r="E408" s="18">
        <v>37453.079627168961</v>
      </c>
      <c r="F408" s="18">
        <v>20091.232889999996</v>
      </c>
      <c r="G408" s="18">
        <v>21044.964585045724</v>
      </c>
      <c r="H408" s="19">
        <v>0.23360706880297566</v>
      </c>
      <c r="I408" s="19">
        <v>4.7470043290396058E-2</v>
      </c>
      <c r="J408" s="19">
        <v>0.15948249530323722</v>
      </c>
    </row>
    <row r="409" spans="1:10" ht="11.25" customHeight="1" x14ac:dyDescent="0.2">
      <c r="A409" s="28">
        <v>44409</v>
      </c>
      <c r="B409" s="18">
        <v>0</v>
      </c>
      <c r="C409" s="18">
        <v>0</v>
      </c>
      <c r="D409" s="18">
        <v>1880.4230499999999</v>
      </c>
      <c r="E409" s="18">
        <v>2319.7031668200516</v>
      </c>
      <c r="F409" s="18">
        <v>1244.37555</v>
      </c>
      <c r="G409" s="18">
        <v>1303.4461112280101</v>
      </c>
      <c r="H409" s="19">
        <v>0.23360706880297588</v>
      </c>
      <c r="I409" s="19">
        <v>4.7470043290395836E-2</v>
      </c>
      <c r="J409" s="19">
        <v>0.15948249530323699</v>
      </c>
    </row>
    <row r="410" spans="1:10" ht="11.25" customHeight="1" x14ac:dyDescent="0.2">
      <c r="A410" s="28">
        <v>44440</v>
      </c>
      <c r="B410" s="18">
        <v>0</v>
      </c>
      <c r="C410" s="18">
        <v>0</v>
      </c>
      <c r="D410" s="18">
        <v>1928.4914699999999</v>
      </c>
      <c r="E410" s="18">
        <v>2379.0007095182423</v>
      </c>
      <c r="F410" s="18">
        <v>1276.18497</v>
      </c>
      <c r="G410" s="18">
        <v>1336.7655257724525</v>
      </c>
      <c r="H410" s="19">
        <v>0.2336070688029761</v>
      </c>
      <c r="I410" s="19">
        <v>4.7470043290395836E-2</v>
      </c>
      <c r="J410" s="19">
        <v>0.15948249530323699</v>
      </c>
    </row>
    <row r="411" spans="1:10" ht="11.25" customHeight="1" x14ac:dyDescent="0.2">
      <c r="A411" s="28">
        <v>44470</v>
      </c>
      <c r="B411" s="18">
        <v>0</v>
      </c>
      <c r="C411" s="18">
        <v>0</v>
      </c>
      <c r="D411" s="18">
        <v>1955.9107799999997</v>
      </c>
      <c r="E411" s="18">
        <v>2412.8253641559422</v>
      </c>
      <c r="F411" s="18">
        <v>1294.3297799999998</v>
      </c>
      <c r="G411" s="18">
        <v>1355.7716706886486</v>
      </c>
      <c r="H411" s="19">
        <v>0.2336070688029761</v>
      </c>
      <c r="I411" s="19">
        <v>4.7470043290396058E-2</v>
      </c>
      <c r="J411" s="19">
        <v>0.15948249530323744</v>
      </c>
    </row>
    <row r="412" spans="1:10" ht="11.25" customHeight="1" x14ac:dyDescent="0.2">
      <c r="A412" s="28">
        <v>44501</v>
      </c>
      <c r="B412" s="18">
        <v>0</v>
      </c>
      <c r="C412" s="18">
        <v>0</v>
      </c>
      <c r="D412" s="18">
        <v>2116.7030300000001</v>
      </c>
      <c r="E412" s="18">
        <v>2611.1798203646777</v>
      </c>
      <c r="F412" s="18">
        <v>1400.7345299999999</v>
      </c>
      <c r="G412" s="18">
        <v>1467.2274587774525</v>
      </c>
      <c r="H412" s="19">
        <v>0.23360706880297588</v>
      </c>
      <c r="I412" s="19">
        <v>4.7470043290396058E-2</v>
      </c>
      <c r="J412" s="19">
        <v>0.15948249530323722</v>
      </c>
    </row>
    <row r="413" spans="1:10" ht="11.25" customHeight="1" x14ac:dyDescent="0.2">
      <c r="A413" s="28">
        <v>44531</v>
      </c>
      <c r="B413" s="18">
        <v>0</v>
      </c>
      <c r="C413" s="18">
        <v>0</v>
      </c>
      <c r="D413" s="18">
        <v>2427.1167</v>
      </c>
      <c r="E413" s="18">
        <v>2994.108317929752</v>
      </c>
      <c r="F413" s="18">
        <v>1606.1516999999999</v>
      </c>
      <c r="G413" s="18">
        <v>1682.395790729943</v>
      </c>
      <c r="H413" s="19">
        <v>0.23360706880297588</v>
      </c>
      <c r="I413" s="19">
        <v>4.7470043290396058E-2</v>
      </c>
      <c r="J413" s="19">
        <v>0.15948249530323722</v>
      </c>
    </row>
    <row r="414" spans="1:10" ht="11.25" customHeight="1" x14ac:dyDescent="0.2">
      <c r="A414" s="28">
        <v>44562</v>
      </c>
      <c r="B414" s="18">
        <v>0</v>
      </c>
      <c r="C414" s="18">
        <v>0</v>
      </c>
      <c r="D414" s="18">
        <v>3420.6435500000002</v>
      </c>
      <c r="E414" s="18">
        <v>4219.7300631353064</v>
      </c>
      <c r="F414" s="18">
        <v>2263.6210500000002</v>
      </c>
      <c r="G414" s="18">
        <v>2371.0752392365516</v>
      </c>
      <c r="H414" s="19">
        <v>0.2336070688029761</v>
      </c>
      <c r="I414" s="19">
        <v>4.7470043290395836E-2</v>
      </c>
      <c r="J414" s="19">
        <v>0.15948249530323722</v>
      </c>
    </row>
    <row r="415" spans="1:10" ht="11.25" customHeight="1" x14ac:dyDescent="0.2">
      <c r="A415" s="28">
        <v>44593</v>
      </c>
      <c r="B415" s="18">
        <v>0</v>
      </c>
      <c r="C415" s="18">
        <v>0</v>
      </c>
      <c r="D415" s="18">
        <v>3892.5264900000002</v>
      </c>
      <c r="E415" s="18">
        <v>4801.8481935668369</v>
      </c>
      <c r="F415" s="18">
        <v>2575.8909899999999</v>
      </c>
      <c r="G415" s="18">
        <v>2698.1686468066409</v>
      </c>
      <c r="H415" s="19">
        <v>0.2336070688029761</v>
      </c>
      <c r="I415" s="19">
        <v>4.7470043290396058E-2</v>
      </c>
      <c r="J415" s="19">
        <v>0.15948249530323722</v>
      </c>
    </row>
    <row r="416" spans="1:10" ht="11.25" customHeight="1" x14ac:dyDescent="0.2">
      <c r="A416" s="28">
        <v>44621</v>
      </c>
      <c r="B416" s="18">
        <v>0</v>
      </c>
      <c r="C416" s="18">
        <v>0</v>
      </c>
      <c r="D416" s="18">
        <v>3798.0822000000003</v>
      </c>
      <c r="E416" s="18">
        <v>4685.3410498147587</v>
      </c>
      <c r="F416" s="18">
        <v>2513.3922000000002</v>
      </c>
      <c r="G416" s="18">
        <v>2632.7030365397436</v>
      </c>
      <c r="H416" s="19">
        <v>0.23360706880297588</v>
      </c>
      <c r="I416" s="19">
        <v>4.7470043290395836E-2</v>
      </c>
      <c r="J416" s="19">
        <v>0.15948249530323722</v>
      </c>
    </row>
    <row r="417" spans="1:10" ht="11.25" customHeight="1" x14ac:dyDescent="0.2">
      <c r="A417" s="28">
        <v>44652</v>
      </c>
      <c r="B417" s="18">
        <v>0</v>
      </c>
      <c r="C417" s="18">
        <v>0</v>
      </c>
      <c r="D417" s="18">
        <v>3168.4535999999998</v>
      </c>
      <c r="E417" s="18">
        <v>3908.6267581342363</v>
      </c>
      <c r="F417" s="18">
        <v>2096.7335999999996</v>
      </c>
      <c r="G417" s="18">
        <v>2196.2656347604275</v>
      </c>
      <c r="H417" s="19">
        <v>0.23360706880297588</v>
      </c>
      <c r="I417" s="19">
        <v>4.7470043290396058E-2</v>
      </c>
      <c r="J417" s="19">
        <v>0.15948249530323722</v>
      </c>
    </row>
    <row r="418" spans="1:10" ht="11.25" customHeight="1" x14ac:dyDescent="0.2">
      <c r="A418" s="28">
        <v>44682</v>
      </c>
      <c r="B418" s="18">
        <v>0</v>
      </c>
      <c r="C418" s="18">
        <v>0</v>
      </c>
      <c r="D418" s="18">
        <v>2134.6440600000001</v>
      </c>
      <c r="E418" s="18">
        <v>2633.3120017942838</v>
      </c>
      <c r="F418" s="18">
        <v>1412.60706</v>
      </c>
      <c r="G418" s="18">
        <v>1479.6635782905189</v>
      </c>
      <c r="H418" s="19">
        <v>0.23360706880297588</v>
      </c>
      <c r="I418" s="19">
        <v>4.7470043290395836E-2</v>
      </c>
      <c r="J418" s="19">
        <v>0.15948249530323722</v>
      </c>
    </row>
    <row r="419" spans="1:10" ht="11.25" customHeight="1" x14ac:dyDescent="0.2">
      <c r="A419" s="28">
        <v>44713</v>
      </c>
      <c r="B419" s="18">
        <v>0</v>
      </c>
      <c r="C419" s="18">
        <v>0</v>
      </c>
      <c r="D419" s="18">
        <v>1818.81423</v>
      </c>
      <c r="E419" s="18">
        <v>2243.7020909674416</v>
      </c>
      <c r="F419" s="18">
        <v>1203.60573</v>
      </c>
      <c r="G419" s="18">
        <v>1260.7409461076686</v>
      </c>
      <c r="H419" s="19">
        <v>0.23360706880297588</v>
      </c>
      <c r="I419" s="19">
        <v>4.7470043290395836E-2</v>
      </c>
      <c r="J419" s="19">
        <v>0.15948249530323699</v>
      </c>
    </row>
    <row r="420" spans="1:10" ht="11.25" customHeight="1" x14ac:dyDescent="0.2">
      <c r="A420" s="28">
        <v>44743</v>
      </c>
      <c r="B420" s="18">
        <v>0</v>
      </c>
      <c r="C420" s="18">
        <v>0</v>
      </c>
      <c r="D420" s="18">
        <v>1818.81423</v>
      </c>
      <c r="E420" s="18">
        <v>2243.7020909674416</v>
      </c>
      <c r="F420" s="18">
        <v>1203.60573</v>
      </c>
      <c r="G420" s="18">
        <v>1260.7409461076686</v>
      </c>
      <c r="H420" s="19">
        <v>0.23360706880297588</v>
      </c>
      <c r="I420" s="19">
        <v>4.7470043290395836E-2</v>
      </c>
      <c r="J420" s="19">
        <v>0.15948249530323699</v>
      </c>
    </row>
    <row r="421" spans="1:10" ht="11.25" customHeight="1" x14ac:dyDescent="0.2">
      <c r="A421" s="23" t="s">
        <v>34</v>
      </c>
      <c r="B421" s="18">
        <v>0</v>
      </c>
      <c r="C421" s="18">
        <v>0</v>
      </c>
      <c r="D421" s="18">
        <v>1193654.3005099997</v>
      </c>
      <c r="E421" s="18">
        <v>1472500.3828162078</v>
      </c>
      <c r="F421" s="18">
        <v>789904.28601000004</v>
      </c>
      <c r="G421" s="18">
        <v>827401.07666216407</v>
      </c>
      <c r="H421" s="19">
        <v>0.23360706880297588</v>
      </c>
      <c r="I421" s="19">
        <v>4.7470043290396058E-2</v>
      </c>
      <c r="J421" s="19">
        <v>0.15948249530323722</v>
      </c>
    </row>
    <row r="422" spans="1:10" ht="11.25" customHeight="1" x14ac:dyDescent="0.2">
      <c r="A422" s="24" t="s">
        <v>25</v>
      </c>
      <c r="B422" s="18">
        <v>0</v>
      </c>
      <c r="C422" s="18">
        <v>0</v>
      </c>
      <c r="D422" s="18">
        <v>1193654.3005099997</v>
      </c>
      <c r="E422" s="18">
        <v>1472500.3828162078</v>
      </c>
      <c r="F422" s="18">
        <v>789904.28601000004</v>
      </c>
      <c r="G422" s="18">
        <v>827401.07666216407</v>
      </c>
      <c r="H422" s="19">
        <v>0.23360706880297588</v>
      </c>
      <c r="I422" s="19">
        <v>4.7470043290396058E-2</v>
      </c>
      <c r="J422" s="19">
        <v>0.15948249530323722</v>
      </c>
    </row>
    <row r="423" spans="1:10" ht="11.25" customHeight="1" x14ac:dyDescent="0.2">
      <c r="A423" s="25" t="s">
        <v>25</v>
      </c>
      <c r="B423" s="18">
        <v>0</v>
      </c>
      <c r="C423" s="18">
        <v>0</v>
      </c>
      <c r="D423" s="18">
        <v>1193654.3005099997</v>
      </c>
      <c r="E423" s="18">
        <v>1472500.3828162078</v>
      </c>
      <c r="F423" s="18">
        <v>789904.28601000004</v>
      </c>
      <c r="G423" s="18">
        <v>827401.07666216407</v>
      </c>
      <c r="H423" s="19">
        <v>0.23360706880297588</v>
      </c>
      <c r="I423" s="19">
        <v>4.7470043290396058E-2</v>
      </c>
      <c r="J423" s="19">
        <v>0.15948249530323722</v>
      </c>
    </row>
    <row r="424" spans="1:10" ht="11.25" customHeight="1" x14ac:dyDescent="0.2">
      <c r="A424" s="26" t="s">
        <v>25</v>
      </c>
      <c r="B424" s="18">
        <v>0</v>
      </c>
      <c r="C424" s="18">
        <v>0</v>
      </c>
      <c r="D424" s="18">
        <v>1193654.3005099997</v>
      </c>
      <c r="E424" s="18">
        <v>1472500.3828162078</v>
      </c>
      <c r="F424" s="18">
        <v>789904.28601000004</v>
      </c>
      <c r="G424" s="18">
        <v>827401.07666216407</v>
      </c>
      <c r="H424" s="19">
        <v>0.23360706880297588</v>
      </c>
      <c r="I424" s="19">
        <v>4.7470043290396058E-2</v>
      </c>
      <c r="J424" s="19">
        <v>0.15948249530323722</v>
      </c>
    </row>
    <row r="425" spans="1:10" ht="11.25" customHeight="1" x14ac:dyDescent="0.2">
      <c r="A425" s="27" t="s">
        <v>25</v>
      </c>
      <c r="B425" s="18">
        <v>0</v>
      </c>
      <c r="C425" s="18">
        <v>0</v>
      </c>
      <c r="D425" s="18">
        <v>1193654.3005099997</v>
      </c>
      <c r="E425" s="18">
        <v>1472500.3828162078</v>
      </c>
      <c r="F425" s="18">
        <v>789904.28601000004</v>
      </c>
      <c r="G425" s="18">
        <v>827401.07666216407</v>
      </c>
      <c r="H425" s="19">
        <v>0.23360706880297588</v>
      </c>
      <c r="I425" s="19">
        <v>4.7470043290396058E-2</v>
      </c>
      <c r="J425" s="19">
        <v>0.15948249530323722</v>
      </c>
    </row>
    <row r="426" spans="1:10" ht="11.25" customHeight="1" x14ac:dyDescent="0.2">
      <c r="A426" s="28">
        <v>44409</v>
      </c>
      <c r="B426" s="18">
        <v>0</v>
      </c>
      <c r="C426" s="18">
        <v>0</v>
      </c>
      <c r="D426" s="18">
        <v>103826.43315999999</v>
      </c>
      <c r="E426" s="18">
        <v>128081.02187477569</v>
      </c>
      <c r="F426" s="18">
        <v>68707.451159999997</v>
      </c>
      <c r="G426" s="18">
        <v>71968.996840937965</v>
      </c>
      <c r="H426" s="19">
        <v>0.23360706880297588</v>
      </c>
      <c r="I426" s="19">
        <v>4.7470043290396058E-2</v>
      </c>
      <c r="J426" s="19">
        <v>0.15948249530323722</v>
      </c>
    </row>
    <row r="427" spans="1:10" ht="11.25" customHeight="1" x14ac:dyDescent="0.2">
      <c r="A427" s="28">
        <v>44440</v>
      </c>
      <c r="B427" s="18">
        <v>0</v>
      </c>
      <c r="C427" s="18">
        <v>0</v>
      </c>
      <c r="D427" s="18">
        <v>112275.64275999999</v>
      </c>
      <c r="E427" s="18">
        <v>138504.02656313364</v>
      </c>
      <c r="F427" s="18">
        <v>74298.740759999986</v>
      </c>
      <c r="G427" s="18">
        <v>77825.705200299097</v>
      </c>
      <c r="H427" s="19">
        <v>0.23360706880297588</v>
      </c>
      <c r="I427" s="19">
        <v>4.7470043290396058E-2</v>
      </c>
      <c r="J427" s="19">
        <v>0.15948249530323722</v>
      </c>
    </row>
    <row r="428" spans="1:10" ht="11.25" customHeight="1" x14ac:dyDescent="0.2">
      <c r="A428" s="28">
        <v>44470</v>
      </c>
      <c r="B428" s="18">
        <v>0</v>
      </c>
      <c r="C428" s="18">
        <v>0</v>
      </c>
      <c r="D428" s="18">
        <v>102744.89371</v>
      </c>
      <c r="E428" s="18">
        <v>126746.82716406642</v>
      </c>
      <c r="F428" s="18">
        <v>67991.73921</v>
      </c>
      <c r="G428" s="18">
        <v>71219.310013688009</v>
      </c>
      <c r="H428" s="19">
        <v>0.23360706880297588</v>
      </c>
      <c r="I428" s="19">
        <v>4.7470043290395836E-2</v>
      </c>
      <c r="J428" s="19">
        <v>0.15948249530323722</v>
      </c>
    </row>
    <row r="429" spans="1:10" ht="11.25" customHeight="1" x14ac:dyDescent="0.2">
      <c r="A429" s="28">
        <v>44501</v>
      </c>
      <c r="B429" s="18">
        <v>0</v>
      </c>
      <c r="C429" s="18">
        <v>0</v>
      </c>
      <c r="D429" s="18">
        <v>103951.34335000001</v>
      </c>
      <c r="E429" s="18">
        <v>128235.11196812523</v>
      </c>
      <c r="F429" s="18">
        <v>68790.110849999997</v>
      </c>
      <c r="G429" s="18">
        <v>72055.580390000643</v>
      </c>
      <c r="H429" s="19">
        <v>0.23360706880297588</v>
      </c>
      <c r="I429" s="19">
        <v>4.7470043290396058E-2</v>
      </c>
      <c r="J429" s="19">
        <v>0.15948249530323722</v>
      </c>
    </row>
    <row r="430" spans="1:10" ht="11.25" customHeight="1" x14ac:dyDescent="0.2">
      <c r="A430" s="28">
        <v>44531</v>
      </c>
      <c r="B430" s="18">
        <v>0</v>
      </c>
      <c r="C430" s="18">
        <v>0</v>
      </c>
      <c r="D430" s="18">
        <v>98444.124160000007</v>
      </c>
      <c r="E430" s="18">
        <v>121441.36744589383</v>
      </c>
      <c r="F430" s="18">
        <v>65145.692160000006</v>
      </c>
      <c r="G430" s="18">
        <v>68238.160987018011</v>
      </c>
      <c r="H430" s="19">
        <v>0.23360706880297588</v>
      </c>
      <c r="I430" s="19">
        <v>4.7470043290395836E-2</v>
      </c>
      <c r="J430" s="19">
        <v>0.15948249530323722</v>
      </c>
    </row>
    <row r="431" spans="1:10" ht="11.25" customHeight="1" x14ac:dyDescent="0.2">
      <c r="A431" s="28">
        <v>44562</v>
      </c>
      <c r="B431" s="18">
        <v>0</v>
      </c>
      <c r="C431" s="18">
        <v>0</v>
      </c>
      <c r="D431" s="18">
        <v>89892.346030000001</v>
      </c>
      <c r="E431" s="18">
        <v>110891.83349389113</v>
      </c>
      <c r="F431" s="18">
        <v>59486.527529999999</v>
      </c>
      <c r="G431" s="18">
        <v>62310.355567044433</v>
      </c>
      <c r="H431" s="19">
        <v>0.23360706880297588</v>
      </c>
      <c r="I431" s="19">
        <v>4.7470043290396058E-2</v>
      </c>
      <c r="J431" s="19">
        <v>0.15948249530323722</v>
      </c>
    </row>
    <row r="432" spans="1:10" ht="11.25" customHeight="1" x14ac:dyDescent="0.2">
      <c r="A432" s="28">
        <v>44593</v>
      </c>
      <c r="B432" s="18">
        <v>0</v>
      </c>
      <c r="C432" s="18">
        <v>0</v>
      </c>
      <c r="D432" s="18">
        <v>106689.88924999999</v>
      </c>
      <c r="E432" s="18">
        <v>131613.40154860663</v>
      </c>
      <c r="F432" s="18">
        <v>70602.351750000002</v>
      </c>
      <c r="G432" s="18">
        <v>73953.848443976269</v>
      </c>
      <c r="H432" s="19">
        <v>0.2336070688029761</v>
      </c>
      <c r="I432" s="19">
        <v>4.7470043290396058E-2</v>
      </c>
      <c r="J432" s="19">
        <v>0.15948249530323722</v>
      </c>
    </row>
    <row r="433" spans="1:10" ht="11.25" customHeight="1" x14ac:dyDescent="0.2">
      <c r="A433" s="28">
        <v>44621</v>
      </c>
      <c r="B433" s="18">
        <v>0</v>
      </c>
      <c r="C433" s="18">
        <v>0</v>
      </c>
      <c r="D433" s="18">
        <v>103177.848</v>
      </c>
      <c r="E433" s="18">
        <v>127280.922636679</v>
      </c>
      <c r="F433" s="18">
        <v>68278.248000000007</v>
      </c>
      <c r="G433" s="18">
        <v>71519.419388352399</v>
      </c>
      <c r="H433" s="19">
        <v>0.23360706880297588</v>
      </c>
      <c r="I433" s="19">
        <v>4.7470043290396058E-2</v>
      </c>
      <c r="J433" s="19">
        <v>0.15948249530323722</v>
      </c>
    </row>
    <row r="434" spans="1:10" ht="11.25" customHeight="1" x14ac:dyDescent="0.2">
      <c r="A434" s="28">
        <v>44652</v>
      </c>
      <c r="B434" s="18">
        <v>0</v>
      </c>
      <c r="C434" s="18">
        <v>0</v>
      </c>
      <c r="D434" s="18">
        <v>99638.387440000006</v>
      </c>
      <c r="E434" s="18">
        <v>122914.61907011365</v>
      </c>
      <c r="F434" s="18">
        <v>65935.99944</v>
      </c>
      <c r="G434" s="18">
        <v>69065.984187812326</v>
      </c>
      <c r="H434" s="19">
        <v>0.23360706880297588</v>
      </c>
      <c r="I434" s="19">
        <v>4.7470043290396058E-2</v>
      </c>
      <c r="J434" s="19">
        <v>0.15948249530323722</v>
      </c>
    </row>
    <row r="435" spans="1:10" ht="11.25" customHeight="1" x14ac:dyDescent="0.2">
      <c r="A435" s="28">
        <v>44682</v>
      </c>
      <c r="B435" s="18">
        <v>0</v>
      </c>
      <c r="C435" s="18">
        <v>0</v>
      </c>
      <c r="D435" s="18">
        <v>96370.073390000005</v>
      </c>
      <c r="E435" s="18">
        <v>118882.80375496559</v>
      </c>
      <c r="F435" s="18">
        <v>63773.182890000004</v>
      </c>
      <c r="G435" s="18">
        <v>66800.498642554638</v>
      </c>
      <c r="H435" s="19">
        <v>0.2336070688029761</v>
      </c>
      <c r="I435" s="19">
        <v>4.7470043290395836E-2</v>
      </c>
      <c r="J435" s="19">
        <v>0.15948249530323722</v>
      </c>
    </row>
    <row r="436" spans="1:10" ht="11.25" customHeight="1" x14ac:dyDescent="0.2">
      <c r="A436" s="28">
        <v>44713</v>
      </c>
      <c r="B436" s="18">
        <v>0</v>
      </c>
      <c r="C436" s="18">
        <v>0</v>
      </c>
      <c r="D436" s="18">
        <v>88321.659629999995</v>
      </c>
      <c r="E436" s="18">
        <v>108954.22364797843</v>
      </c>
      <c r="F436" s="18">
        <v>58447.12113</v>
      </c>
      <c r="G436" s="18">
        <v>61221.608500240116</v>
      </c>
      <c r="H436" s="19">
        <v>0.2336070688029761</v>
      </c>
      <c r="I436" s="19">
        <v>4.7470043290396058E-2</v>
      </c>
      <c r="J436" s="19">
        <v>0.15948249530323722</v>
      </c>
    </row>
    <row r="437" spans="1:10" ht="11.25" customHeight="1" x14ac:dyDescent="0.2">
      <c r="A437" s="28">
        <v>44743</v>
      </c>
      <c r="B437" s="18">
        <v>0</v>
      </c>
      <c r="C437" s="18">
        <v>0</v>
      </c>
      <c r="D437" s="18">
        <v>88321.659629999995</v>
      </c>
      <c r="E437" s="18">
        <v>108954.22364797843</v>
      </c>
      <c r="F437" s="18">
        <v>58447.12113</v>
      </c>
      <c r="G437" s="18">
        <v>61221.608500240116</v>
      </c>
      <c r="H437" s="19">
        <v>0.2336070688029761</v>
      </c>
      <c r="I437" s="19">
        <v>4.7470043290396058E-2</v>
      </c>
      <c r="J437" s="19">
        <v>0.15948249530323722</v>
      </c>
    </row>
    <row r="438" spans="1:10" ht="11.25" customHeight="1" x14ac:dyDescent="0.2">
      <c r="A438" s="23" t="s">
        <v>43</v>
      </c>
      <c r="B438" s="18">
        <v>0</v>
      </c>
      <c r="C438" s="18">
        <v>0</v>
      </c>
      <c r="D438" s="18">
        <v>549659.33611000003</v>
      </c>
      <c r="E438" s="18">
        <v>678063.64245884691</v>
      </c>
      <c r="F438" s="18">
        <v>363738.70160999999</v>
      </c>
      <c r="G438" s="18">
        <v>381005.39352181909</v>
      </c>
      <c r="H438" s="19">
        <v>0.23360706880297588</v>
      </c>
      <c r="I438" s="19">
        <v>4.7470043290395836E-2</v>
      </c>
      <c r="J438" s="19">
        <v>0.15948249530323722</v>
      </c>
    </row>
    <row r="439" spans="1:10" ht="11.25" customHeight="1" x14ac:dyDescent="0.2">
      <c r="A439" s="24" t="s">
        <v>25</v>
      </c>
      <c r="B439" s="18">
        <v>0</v>
      </c>
      <c r="C439" s="18">
        <v>0</v>
      </c>
      <c r="D439" s="18">
        <v>549659.33611000003</v>
      </c>
      <c r="E439" s="18">
        <v>678063.64245884691</v>
      </c>
      <c r="F439" s="18">
        <v>363738.70160999999</v>
      </c>
      <c r="G439" s="18">
        <v>381005.39352181909</v>
      </c>
      <c r="H439" s="19">
        <v>0.23360706880297588</v>
      </c>
      <c r="I439" s="19">
        <v>4.7470043290395836E-2</v>
      </c>
      <c r="J439" s="19">
        <v>0.15948249530323722</v>
      </c>
    </row>
    <row r="440" spans="1:10" ht="11.25" customHeight="1" x14ac:dyDescent="0.2">
      <c r="A440" s="25" t="s">
        <v>25</v>
      </c>
      <c r="B440" s="18">
        <v>0</v>
      </c>
      <c r="C440" s="18">
        <v>0</v>
      </c>
      <c r="D440" s="18">
        <v>549659.33611000003</v>
      </c>
      <c r="E440" s="18">
        <v>678063.64245884691</v>
      </c>
      <c r="F440" s="18">
        <v>363738.70160999999</v>
      </c>
      <c r="G440" s="18">
        <v>381005.39352181909</v>
      </c>
      <c r="H440" s="19">
        <v>0.23360706880297588</v>
      </c>
      <c r="I440" s="19">
        <v>4.7470043290395836E-2</v>
      </c>
      <c r="J440" s="19">
        <v>0.15948249530323722</v>
      </c>
    </row>
    <row r="441" spans="1:10" ht="11.25" customHeight="1" x14ac:dyDescent="0.2">
      <c r="A441" s="26" t="s">
        <v>25</v>
      </c>
      <c r="B441" s="18">
        <v>0</v>
      </c>
      <c r="C441" s="18">
        <v>0</v>
      </c>
      <c r="D441" s="18">
        <v>549659.33611000003</v>
      </c>
      <c r="E441" s="18">
        <v>678063.64245884691</v>
      </c>
      <c r="F441" s="18">
        <v>363738.70160999999</v>
      </c>
      <c r="G441" s="18">
        <v>381005.39352181909</v>
      </c>
      <c r="H441" s="19">
        <v>0.23360706880297588</v>
      </c>
      <c r="I441" s="19">
        <v>4.7470043290395836E-2</v>
      </c>
      <c r="J441" s="19">
        <v>0.15948249530323722</v>
      </c>
    </row>
    <row r="442" spans="1:10" ht="11.25" customHeight="1" x14ac:dyDescent="0.2">
      <c r="A442" s="27" t="s">
        <v>25</v>
      </c>
      <c r="B442" s="18">
        <v>0</v>
      </c>
      <c r="C442" s="18">
        <v>0</v>
      </c>
      <c r="D442" s="18">
        <v>549659.33611000003</v>
      </c>
      <c r="E442" s="18">
        <v>678063.64245884691</v>
      </c>
      <c r="F442" s="18">
        <v>363738.70160999999</v>
      </c>
      <c r="G442" s="18">
        <v>381005.39352181909</v>
      </c>
      <c r="H442" s="19">
        <v>0.23360706880297588</v>
      </c>
      <c r="I442" s="19">
        <v>4.7470043290395836E-2</v>
      </c>
      <c r="J442" s="19">
        <v>0.15948249530323722</v>
      </c>
    </row>
    <row r="443" spans="1:10" ht="11.25" customHeight="1" x14ac:dyDescent="0.2">
      <c r="A443" s="28">
        <v>44409</v>
      </c>
      <c r="B443" s="18">
        <v>0</v>
      </c>
      <c r="C443" s="18">
        <v>0</v>
      </c>
      <c r="D443" s="18">
        <v>30773.267079999998</v>
      </c>
      <c r="E443" s="18">
        <v>37962.119800049913</v>
      </c>
      <c r="F443" s="18">
        <v>20364.301079999997</v>
      </c>
      <c r="G443" s="18">
        <v>21330.995333846255</v>
      </c>
      <c r="H443" s="19">
        <v>0.2336070688029761</v>
      </c>
      <c r="I443" s="19">
        <v>4.7470043290396058E-2</v>
      </c>
      <c r="J443" s="19">
        <v>0.15948249530323722</v>
      </c>
    </row>
    <row r="444" spans="1:10" ht="11.25" customHeight="1" x14ac:dyDescent="0.2">
      <c r="A444" s="28">
        <v>44440</v>
      </c>
      <c r="B444" s="18">
        <v>0</v>
      </c>
      <c r="C444" s="18">
        <v>0</v>
      </c>
      <c r="D444" s="18">
        <v>36776.403419999995</v>
      </c>
      <c r="E444" s="18">
        <v>45367.631224061937</v>
      </c>
      <c r="F444" s="18">
        <v>24336.894419999997</v>
      </c>
      <c r="G444" s="18">
        <v>25492.167851671195</v>
      </c>
      <c r="H444" s="19">
        <v>0.2336070688029761</v>
      </c>
      <c r="I444" s="19">
        <v>4.7470043290396058E-2</v>
      </c>
      <c r="J444" s="19">
        <v>0.15948249530323722</v>
      </c>
    </row>
    <row r="445" spans="1:10" ht="11.25" customHeight="1" x14ac:dyDescent="0.2">
      <c r="A445" s="28">
        <v>44470</v>
      </c>
      <c r="B445" s="18">
        <v>0</v>
      </c>
      <c r="C445" s="18">
        <v>0</v>
      </c>
      <c r="D445" s="18">
        <v>34261.274120000002</v>
      </c>
      <c r="E445" s="18">
        <v>42264.949940628459</v>
      </c>
      <c r="F445" s="18">
        <v>22672.500120000001</v>
      </c>
      <c r="G445" s="18">
        <v>23748.764682197907</v>
      </c>
      <c r="H445" s="19">
        <v>0.23360706880297588</v>
      </c>
      <c r="I445" s="19">
        <v>4.7470043290395836E-2</v>
      </c>
      <c r="J445" s="19">
        <v>0.15948249530323744</v>
      </c>
    </row>
    <row r="446" spans="1:10" ht="11.25" customHeight="1" x14ac:dyDescent="0.2">
      <c r="A446" s="28">
        <v>44501</v>
      </c>
      <c r="B446" s="18">
        <v>0</v>
      </c>
      <c r="C446" s="18">
        <v>0</v>
      </c>
      <c r="D446" s="18">
        <v>41085.297209999997</v>
      </c>
      <c r="E446" s="18">
        <v>50683.11306212718</v>
      </c>
      <c r="F446" s="18">
        <v>27188.317709999999</v>
      </c>
      <c r="G446" s="18">
        <v>28478.948328686736</v>
      </c>
      <c r="H446" s="19">
        <v>0.23360706880297588</v>
      </c>
      <c r="I446" s="19">
        <v>4.7470043290395836E-2</v>
      </c>
      <c r="J446" s="19">
        <v>0.15948249530323722</v>
      </c>
    </row>
    <row r="447" spans="1:10" ht="11.25" customHeight="1" x14ac:dyDescent="0.2">
      <c r="A447" s="28">
        <v>44531</v>
      </c>
      <c r="B447" s="18">
        <v>0</v>
      </c>
      <c r="C447" s="18">
        <v>0</v>
      </c>
      <c r="D447" s="18">
        <v>48088.392090000001</v>
      </c>
      <c r="E447" s="18">
        <v>59322.180409593115</v>
      </c>
      <c r="F447" s="18">
        <v>31822.636589999998</v>
      </c>
      <c r="G447" s="18">
        <v>33333.258526541838</v>
      </c>
      <c r="H447" s="19">
        <v>0.23360706880297588</v>
      </c>
      <c r="I447" s="19">
        <v>4.7470043290396058E-2</v>
      </c>
      <c r="J447" s="19">
        <v>0.15948249530323699</v>
      </c>
    </row>
    <row r="448" spans="1:10" ht="11.25" customHeight="1" x14ac:dyDescent="0.2">
      <c r="A448" s="28">
        <v>44562</v>
      </c>
      <c r="B448" s="18">
        <v>0</v>
      </c>
      <c r="C448" s="18">
        <v>0</v>
      </c>
      <c r="D448" s="18">
        <v>45339.690889999998</v>
      </c>
      <c r="E448" s="18">
        <v>55931.363179245891</v>
      </c>
      <c r="F448" s="18">
        <v>30003.675389999997</v>
      </c>
      <c r="G448" s="18">
        <v>31427.951159634285</v>
      </c>
      <c r="H448" s="19">
        <v>0.23360706880297588</v>
      </c>
      <c r="I448" s="19">
        <v>4.7470043290396058E-2</v>
      </c>
      <c r="J448" s="19">
        <v>0.15948249530323744</v>
      </c>
    </row>
    <row r="449" spans="1:10" ht="11.25" customHeight="1" x14ac:dyDescent="0.2">
      <c r="A449" s="28">
        <v>44593</v>
      </c>
      <c r="B449" s="18">
        <v>0</v>
      </c>
      <c r="C449" s="18">
        <v>0</v>
      </c>
      <c r="D449" s="18">
        <v>53738.801010000003</v>
      </c>
      <c r="E449" s="18">
        <v>66292.564794932507</v>
      </c>
      <c r="F449" s="18">
        <v>35561.81151</v>
      </c>
      <c r="G449" s="18">
        <v>37249.932241864604</v>
      </c>
      <c r="H449" s="19">
        <v>0.23360706880297588</v>
      </c>
      <c r="I449" s="19">
        <v>4.7470043290396058E-2</v>
      </c>
      <c r="J449" s="19">
        <v>0.15948249530323744</v>
      </c>
    </row>
    <row r="450" spans="1:10" ht="11.25" customHeight="1" x14ac:dyDescent="0.2">
      <c r="A450" s="28">
        <v>44621</v>
      </c>
      <c r="B450" s="18">
        <v>0</v>
      </c>
      <c r="C450" s="18">
        <v>0</v>
      </c>
      <c r="D450" s="18">
        <v>76921.658360000001</v>
      </c>
      <c r="E450" s="18">
        <v>94891.10149694352</v>
      </c>
      <c r="F450" s="18">
        <v>50903.136359999997</v>
      </c>
      <c r="G450" s="18">
        <v>53319.510446626125</v>
      </c>
      <c r="H450" s="19">
        <v>0.23360706880297588</v>
      </c>
      <c r="I450" s="19">
        <v>4.7470043290396058E-2</v>
      </c>
      <c r="J450" s="19">
        <v>0.15948249530323699</v>
      </c>
    </row>
    <row r="451" spans="1:10" ht="11.25" customHeight="1" x14ac:dyDescent="0.2">
      <c r="A451" s="28">
        <v>44652</v>
      </c>
      <c r="B451" s="18">
        <v>0</v>
      </c>
      <c r="C451" s="18">
        <v>0</v>
      </c>
      <c r="D451" s="18">
        <v>61466.645800000006</v>
      </c>
      <c r="E451" s="18">
        <v>75825.688754488758</v>
      </c>
      <c r="F451" s="18">
        <v>40675.735800000002</v>
      </c>
      <c r="G451" s="18">
        <v>42606.61473929471</v>
      </c>
      <c r="H451" s="19">
        <v>0.23360706880297588</v>
      </c>
      <c r="I451" s="19">
        <v>4.7470043290395836E-2</v>
      </c>
      <c r="J451" s="19">
        <v>0.15948249530323699</v>
      </c>
    </row>
    <row r="452" spans="1:10" ht="11.25" customHeight="1" x14ac:dyDescent="0.2">
      <c r="A452" s="28">
        <v>44682</v>
      </c>
      <c r="B452" s="18">
        <v>0</v>
      </c>
      <c r="C452" s="18">
        <v>0</v>
      </c>
      <c r="D452" s="18">
        <v>44022.886989999999</v>
      </c>
      <c r="E452" s="18">
        <v>54306.944579978568</v>
      </c>
      <c r="F452" s="18">
        <v>29132.27649</v>
      </c>
      <c r="G452" s="18">
        <v>30515.186916128085</v>
      </c>
      <c r="H452" s="19">
        <v>0.2336070688029761</v>
      </c>
      <c r="I452" s="19">
        <v>4.7470043290396058E-2</v>
      </c>
      <c r="J452" s="19">
        <v>0.15948249530323722</v>
      </c>
    </row>
    <row r="453" spans="1:10" ht="11.25" customHeight="1" x14ac:dyDescent="0.2">
      <c r="A453" s="28">
        <v>44713</v>
      </c>
      <c r="B453" s="18">
        <v>0</v>
      </c>
      <c r="C453" s="18">
        <v>0</v>
      </c>
      <c r="D453" s="18">
        <v>38592.509570000002</v>
      </c>
      <c r="E453" s="18">
        <v>47607.992608398497</v>
      </c>
      <c r="F453" s="18">
        <v>25538.708070000001</v>
      </c>
      <c r="G453" s="18">
        <v>26751.031647663684</v>
      </c>
      <c r="H453" s="19">
        <v>0.23360706880297588</v>
      </c>
      <c r="I453" s="19">
        <v>4.7470043290395836E-2</v>
      </c>
      <c r="J453" s="19">
        <v>0.15948249530323722</v>
      </c>
    </row>
    <row r="454" spans="1:10" ht="11.25" customHeight="1" x14ac:dyDescent="0.2">
      <c r="A454" s="28">
        <v>44743</v>
      </c>
      <c r="B454" s="18">
        <v>0</v>
      </c>
      <c r="C454" s="18">
        <v>0</v>
      </c>
      <c r="D454" s="18">
        <v>38592.509570000002</v>
      </c>
      <c r="E454" s="18">
        <v>47607.992608398497</v>
      </c>
      <c r="F454" s="18">
        <v>25538.708070000001</v>
      </c>
      <c r="G454" s="18">
        <v>26751.031647663684</v>
      </c>
      <c r="H454" s="19">
        <v>0.23360706880297588</v>
      </c>
      <c r="I454" s="19">
        <v>4.7470043290395836E-2</v>
      </c>
      <c r="J454" s="19">
        <v>0.15948249530323722</v>
      </c>
    </row>
    <row r="455" spans="1:10" ht="11.25" customHeight="1" x14ac:dyDescent="0.2">
      <c r="A455" s="23" t="s">
        <v>47</v>
      </c>
      <c r="B455" s="18">
        <v>0</v>
      </c>
      <c r="C455" s="18">
        <v>0</v>
      </c>
      <c r="D455" s="18">
        <v>190361.51825239995</v>
      </c>
      <c r="E455" s="18">
        <v>234831.31454422735</v>
      </c>
      <c r="F455" s="18">
        <v>125972.30127239999</v>
      </c>
      <c r="G455" s="18">
        <v>131952.21186719163</v>
      </c>
      <c r="H455" s="19">
        <v>0.2336070688029761</v>
      </c>
      <c r="I455" s="19">
        <v>4.7470043290396058E-2</v>
      </c>
      <c r="J455" s="19">
        <v>0.15948249530323744</v>
      </c>
    </row>
    <row r="456" spans="1:10" ht="11.25" customHeight="1" x14ac:dyDescent="0.2">
      <c r="A456" s="24" t="s">
        <v>48</v>
      </c>
      <c r="B456" s="18">
        <v>0</v>
      </c>
      <c r="C456" s="18">
        <v>0</v>
      </c>
      <c r="D456" s="18">
        <v>190361.51825239995</v>
      </c>
      <c r="E456" s="18">
        <v>234831.31454422735</v>
      </c>
      <c r="F456" s="18">
        <v>125972.30127239999</v>
      </c>
      <c r="G456" s="18">
        <v>131952.21186719163</v>
      </c>
      <c r="H456" s="19">
        <v>0.2336070688029761</v>
      </c>
      <c r="I456" s="19">
        <v>4.7470043290396058E-2</v>
      </c>
      <c r="J456" s="19">
        <v>0.15948249530323744</v>
      </c>
    </row>
    <row r="457" spans="1:10" ht="11.25" customHeight="1" x14ac:dyDescent="0.2">
      <c r="A457" s="25" t="s">
        <v>25</v>
      </c>
      <c r="B457" s="18">
        <v>0</v>
      </c>
      <c r="C457" s="18">
        <v>0</v>
      </c>
      <c r="D457" s="18">
        <v>190361.51825239995</v>
      </c>
      <c r="E457" s="18">
        <v>234831.31454422735</v>
      </c>
      <c r="F457" s="18">
        <v>125972.30127239999</v>
      </c>
      <c r="G457" s="18">
        <v>131952.21186719163</v>
      </c>
      <c r="H457" s="19">
        <v>0.2336070688029761</v>
      </c>
      <c r="I457" s="19">
        <v>4.7470043290396058E-2</v>
      </c>
      <c r="J457" s="19">
        <v>0.15948249530323744</v>
      </c>
    </row>
    <row r="458" spans="1:10" ht="11.25" customHeight="1" x14ac:dyDescent="0.2">
      <c r="A458" s="26" t="s">
        <v>25</v>
      </c>
      <c r="B458" s="18">
        <v>0</v>
      </c>
      <c r="C458" s="18">
        <v>0</v>
      </c>
      <c r="D458" s="18">
        <v>190361.51825239995</v>
      </c>
      <c r="E458" s="18">
        <v>234831.31454422735</v>
      </c>
      <c r="F458" s="18">
        <v>125972.30127239999</v>
      </c>
      <c r="G458" s="18">
        <v>131952.21186719163</v>
      </c>
      <c r="H458" s="19">
        <v>0.2336070688029761</v>
      </c>
      <c r="I458" s="19">
        <v>4.7470043290396058E-2</v>
      </c>
      <c r="J458" s="19">
        <v>0.15948249530323744</v>
      </c>
    </row>
    <row r="459" spans="1:10" ht="11.25" customHeight="1" x14ac:dyDescent="0.2">
      <c r="A459" s="27" t="s">
        <v>25</v>
      </c>
      <c r="B459" s="18">
        <v>0</v>
      </c>
      <c r="C459" s="18">
        <v>0</v>
      </c>
      <c r="D459" s="18">
        <v>190361.51825239995</v>
      </c>
      <c r="E459" s="18">
        <v>234831.31454422735</v>
      </c>
      <c r="F459" s="18">
        <v>125972.30127239999</v>
      </c>
      <c r="G459" s="18">
        <v>131952.21186719163</v>
      </c>
      <c r="H459" s="19">
        <v>0.2336070688029761</v>
      </c>
      <c r="I459" s="19">
        <v>4.7470043290396058E-2</v>
      </c>
      <c r="J459" s="19">
        <v>0.15948249530323744</v>
      </c>
    </row>
    <row r="460" spans="1:10" ht="11.25" customHeight="1" x14ac:dyDescent="0.2">
      <c r="A460" s="28">
        <v>44409</v>
      </c>
      <c r="B460" s="18">
        <v>0</v>
      </c>
      <c r="C460" s="18">
        <v>0</v>
      </c>
      <c r="D460" s="18">
        <v>14908.278288799998</v>
      </c>
      <c r="E460" s="18">
        <v>18390.957480745612</v>
      </c>
      <c r="F460" s="18">
        <v>9865.5975287999991</v>
      </c>
      <c r="G460" s="18">
        <v>10333.917870577758</v>
      </c>
      <c r="H460" s="19">
        <v>0.23360706880297588</v>
      </c>
      <c r="I460" s="19">
        <v>4.7470043290395836E-2</v>
      </c>
      <c r="J460" s="19">
        <v>0.15948249530323699</v>
      </c>
    </row>
    <row r="461" spans="1:10" ht="11.25" customHeight="1" x14ac:dyDescent="0.2">
      <c r="A461" s="28">
        <v>44440</v>
      </c>
      <c r="B461" s="18">
        <v>0</v>
      </c>
      <c r="C461" s="18">
        <v>0</v>
      </c>
      <c r="D461" s="18">
        <v>15686.275821799996</v>
      </c>
      <c r="E461" s="18">
        <v>19350.700736965686</v>
      </c>
      <c r="F461" s="18">
        <v>10380.439711799998</v>
      </c>
      <c r="G461" s="18">
        <v>10873.199634292489</v>
      </c>
      <c r="H461" s="19">
        <v>0.23360706880297588</v>
      </c>
      <c r="I461" s="19">
        <v>4.7470043290395836E-2</v>
      </c>
      <c r="J461" s="19">
        <v>0.15948249530323722</v>
      </c>
    </row>
    <row r="462" spans="1:10" ht="11.25" customHeight="1" x14ac:dyDescent="0.2">
      <c r="A462" s="28">
        <v>44470</v>
      </c>
      <c r="B462" s="18">
        <v>0</v>
      </c>
      <c r="C462" s="18">
        <v>0</v>
      </c>
      <c r="D462" s="18">
        <v>14498.1192622</v>
      </c>
      <c r="E462" s="18">
        <v>17884.982406198505</v>
      </c>
      <c r="F462" s="18">
        <v>9594.1735721999994</v>
      </c>
      <c r="G462" s="18">
        <v>10049.609407007907</v>
      </c>
      <c r="H462" s="19">
        <v>0.23360706880297588</v>
      </c>
      <c r="I462" s="19">
        <v>4.7470043290396058E-2</v>
      </c>
      <c r="J462" s="19">
        <v>0.15948249530323722</v>
      </c>
    </row>
    <row r="463" spans="1:10" ht="11.25" customHeight="1" x14ac:dyDescent="0.2">
      <c r="A463" s="28">
        <v>44501</v>
      </c>
      <c r="B463" s="18">
        <v>0</v>
      </c>
      <c r="C463" s="18">
        <v>0</v>
      </c>
      <c r="D463" s="18">
        <v>15090.2883456</v>
      </c>
      <c r="E463" s="18">
        <v>18615.486373407326</v>
      </c>
      <c r="F463" s="18">
        <v>9986.0432256000004</v>
      </c>
      <c r="G463" s="18">
        <v>10460.081129818998</v>
      </c>
      <c r="H463" s="19">
        <v>0.2336070688029761</v>
      </c>
      <c r="I463" s="19">
        <v>4.7470043290396058E-2</v>
      </c>
      <c r="J463" s="19">
        <v>0.15948249530323722</v>
      </c>
    </row>
    <row r="464" spans="1:10" ht="11.25" customHeight="1" x14ac:dyDescent="0.2">
      <c r="A464" s="28">
        <v>44531</v>
      </c>
      <c r="B464" s="18">
        <v>0</v>
      </c>
      <c r="C464" s="18">
        <v>0</v>
      </c>
      <c r="D464" s="18">
        <v>13986.772826399998</v>
      </c>
      <c r="E464" s="18">
        <v>17254.181828388417</v>
      </c>
      <c r="F464" s="18">
        <v>9255.7885463999992</v>
      </c>
      <c r="G464" s="18">
        <v>9695.1612293843591</v>
      </c>
      <c r="H464" s="19">
        <v>0.23360706880297588</v>
      </c>
      <c r="I464" s="19">
        <v>4.7470043290396058E-2</v>
      </c>
      <c r="J464" s="19">
        <v>0.15948249530323744</v>
      </c>
    </row>
    <row r="465" spans="1:10" ht="11.25" customHeight="1" x14ac:dyDescent="0.2">
      <c r="A465" s="28">
        <v>44562</v>
      </c>
      <c r="B465" s="18">
        <v>0</v>
      </c>
      <c r="C465" s="18">
        <v>0</v>
      </c>
      <c r="D465" s="18">
        <v>19284.7928364</v>
      </c>
      <c r="E465" s="18">
        <v>23789.856763384032</v>
      </c>
      <c r="F465" s="18">
        <v>12761.769056399999</v>
      </c>
      <c r="G465" s="18">
        <v>13367.570785969343</v>
      </c>
      <c r="H465" s="19">
        <v>0.23360706880297588</v>
      </c>
      <c r="I465" s="19">
        <v>4.7470043290396058E-2</v>
      </c>
      <c r="J465" s="19">
        <v>0.15948249530323744</v>
      </c>
    </row>
    <row r="466" spans="1:10" ht="11.25" customHeight="1" x14ac:dyDescent="0.2">
      <c r="A466" s="28">
        <v>44593</v>
      </c>
      <c r="B466" s="18">
        <v>0</v>
      </c>
      <c r="C466" s="18">
        <v>0</v>
      </c>
      <c r="D466" s="18">
        <v>15236.978268999999</v>
      </c>
      <c r="E466" s="18">
        <v>18796.444099835731</v>
      </c>
      <c r="F466" s="18">
        <v>10083.115718999999</v>
      </c>
      <c r="G466" s="18">
        <v>10561.761658683001</v>
      </c>
      <c r="H466" s="19">
        <v>0.23360706880297588</v>
      </c>
      <c r="I466" s="19">
        <v>4.7470043290395836E-2</v>
      </c>
      <c r="J466" s="19">
        <v>0.15948249530323699</v>
      </c>
    </row>
    <row r="467" spans="1:10" ht="11.25" customHeight="1" x14ac:dyDescent="0.2">
      <c r="A467" s="28">
        <v>44621</v>
      </c>
      <c r="B467" s="18">
        <v>0</v>
      </c>
      <c r="C467" s="18">
        <v>0</v>
      </c>
      <c r="D467" s="18">
        <v>21003.387795799998</v>
      </c>
      <c r="E467" s="18">
        <v>25909.927653709034</v>
      </c>
      <c r="F467" s="18">
        <v>13899.054385799998</v>
      </c>
      <c r="G467" s="18">
        <v>14558.843099189493</v>
      </c>
      <c r="H467" s="19">
        <v>0.23360706880297588</v>
      </c>
      <c r="I467" s="19">
        <v>4.7470043290396058E-2</v>
      </c>
      <c r="J467" s="19">
        <v>0.15948249530323722</v>
      </c>
    </row>
    <row r="468" spans="1:10" ht="11.25" customHeight="1" x14ac:dyDescent="0.2">
      <c r="A468" s="28">
        <v>44652</v>
      </c>
      <c r="B468" s="18">
        <v>0</v>
      </c>
      <c r="C468" s="18">
        <v>0</v>
      </c>
      <c r="D468" s="18">
        <v>15886.741443799998</v>
      </c>
      <c r="E468" s="18">
        <v>19597.996545316873</v>
      </c>
      <c r="F468" s="18">
        <v>10513.0984338</v>
      </c>
      <c r="G468" s="18">
        <v>11012.155671568678</v>
      </c>
      <c r="H468" s="19">
        <v>0.23360706880297588</v>
      </c>
      <c r="I468" s="19">
        <v>4.7470043290395836E-2</v>
      </c>
      <c r="J468" s="19">
        <v>0.15948249530323722</v>
      </c>
    </row>
    <row r="469" spans="1:10" ht="11.25" customHeight="1" x14ac:dyDescent="0.2">
      <c r="A469" s="28">
        <v>44682</v>
      </c>
      <c r="B469" s="18">
        <v>0</v>
      </c>
      <c r="C469" s="18">
        <v>0</v>
      </c>
      <c r="D469" s="18">
        <v>16021.021590599999</v>
      </c>
      <c r="E469" s="18">
        <v>19763.645483609256</v>
      </c>
      <c r="F469" s="18">
        <v>10601.9587206</v>
      </c>
      <c r="G469" s="18">
        <v>11105.234160029873</v>
      </c>
      <c r="H469" s="19">
        <v>0.23360706880297588</v>
      </c>
      <c r="I469" s="19">
        <v>4.7470043290396058E-2</v>
      </c>
      <c r="J469" s="19">
        <v>0.15948249530323699</v>
      </c>
    </row>
    <row r="470" spans="1:10" ht="11.25" customHeight="1" x14ac:dyDescent="0.2">
      <c r="A470" s="28">
        <v>44713</v>
      </c>
      <c r="B470" s="18">
        <v>0</v>
      </c>
      <c r="C470" s="18">
        <v>0</v>
      </c>
      <c r="D470" s="18">
        <v>14379.430886</v>
      </c>
      <c r="E470" s="18">
        <v>17738.56758633344</v>
      </c>
      <c r="F470" s="18">
        <v>9515.6311860000005</v>
      </c>
      <c r="G470" s="18">
        <v>9967.3386103348621</v>
      </c>
      <c r="H470" s="19">
        <v>0.23360706880297588</v>
      </c>
      <c r="I470" s="19">
        <v>4.7470043290395836E-2</v>
      </c>
      <c r="J470" s="19">
        <v>0.15948249530323722</v>
      </c>
    </row>
    <row r="471" spans="1:10" ht="11.25" customHeight="1" x14ac:dyDescent="0.2">
      <c r="A471" s="28">
        <v>44743</v>
      </c>
      <c r="B471" s="18">
        <v>0</v>
      </c>
      <c r="C471" s="18">
        <v>0</v>
      </c>
      <c r="D471" s="18">
        <v>14379.430886</v>
      </c>
      <c r="E471" s="18">
        <v>17738.56758633344</v>
      </c>
      <c r="F471" s="18">
        <v>9515.6311860000005</v>
      </c>
      <c r="G471" s="18">
        <v>9967.3386103348621</v>
      </c>
      <c r="H471" s="19">
        <v>0.23360706880297588</v>
      </c>
      <c r="I471" s="19">
        <v>4.7470043290395836E-2</v>
      </c>
      <c r="J471" s="19">
        <v>0.15948249530323722</v>
      </c>
    </row>
    <row r="472" spans="1:10" ht="11.25" customHeight="1" x14ac:dyDescent="0.2">
      <c r="A472" s="21" t="s">
        <v>44</v>
      </c>
      <c r="B472" s="18">
        <v>0</v>
      </c>
      <c r="C472" s="18">
        <v>0</v>
      </c>
      <c r="D472" s="18">
        <v>2197899.9555600001</v>
      </c>
      <c r="E472" s="18">
        <v>2711352.203215553</v>
      </c>
      <c r="F472" s="18">
        <v>1454405.8144</v>
      </c>
      <c r="G472" s="18">
        <v>1523514.5323767902</v>
      </c>
      <c r="H472" s="19">
        <v>0.23361038174493753</v>
      </c>
      <c r="I472" s="19">
        <v>4.7516805345900082E-2</v>
      </c>
      <c r="J472" s="19">
        <v>0.15950498187306006</v>
      </c>
    </row>
    <row r="473" spans="1:10" ht="11.25" customHeight="1" x14ac:dyDescent="0.2">
      <c r="A473" s="22" t="s">
        <v>23</v>
      </c>
      <c r="B473" s="18">
        <v>0</v>
      </c>
      <c r="C473" s="18">
        <v>0</v>
      </c>
      <c r="D473" s="18">
        <v>2197899.9555600001</v>
      </c>
      <c r="E473" s="18">
        <v>2711352.203215553</v>
      </c>
      <c r="F473" s="18">
        <v>1454405.8144</v>
      </c>
      <c r="G473" s="18">
        <v>1523514.5323767902</v>
      </c>
      <c r="H473" s="19">
        <v>0.23361038174493753</v>
      </c>
      <c r="I473" s="19">
        <v>4.7516805345900082E-2</v>
      </c>
      <c r="J473" s="19">
        <v>0.15950498187306006</v>
      </c>
    </row>
    <row r="474" spans="1:10" ht="11.25" customHeight="1" x14ac:dyDescent="0.2">
      <c r="A474" s="23" t="s">
        <v>45</v>
      </c>
      <c r="B474" s="18">
        <v>0</v>
      </c>
      <c r="C474" s="18">
        <v>0</v>
      </c>
      <c r="D474" s="18">
        <v>2197899.9555600001</v>
      </c>
      <c r="E474" s="18">
        <v>2711352.203215553</v>
      </c>
      <c r="F474" s="18">
        <v>1454405.8144</v>
      </c>
      <c r="G474" s="18">
        <v>1523514.5323767902</v>
      </c>
      <c r="H474" s="19">
        <v>0.23361038174493753</v>
      </c>
      <c r="I474" s="19">
        <v>4.7516805345900082E-2</v>
      </c>
      <c r="J474" s="19">
        <v>0.15950498187306006</v>
      </c>
    </row>
    <row r="475" spans="1:10" ht="11.25" customHeight="1" x14ac:dyDescent="0.2">
      <c r="A475" s="24" t="s">
        <v>46</v>
      </c>
      <c r="B475" s="18">
        <v>0</v>
      </c>
      <c r="C475" s="18">
        <v>0</v>
      </c>
      <c r="D475" s="18">
        <v>2197899.9555600001</v>
      </c>
      <c r="E475" s="18">
        <v>2711352.203215553</v>
      </c>
      <c r="F475" s="18">
        <v>1454405.8144</v>
      </c>
      <c r="G475" s="18">
        <v>1523514.5323767902</v>
      </c>
      <c r="H475" s="19">
        <v>0.23361038174493753</v>
      </c>
      <c r="I475" s="19">
        <v>4.7516805345900082E-2</v>
      </c>
      <c r="J475" s="19">
        <v>0.15950498187306006</v>
      </c>
    </row>
    <row r="476" spans="1:10" ht="11.25" customHeight="1" x14ac:dyDescent="0.2">
      <c r="A476" s="25" t="s">
        <v>25</v>
      </c>
      <c r="B476" s="18">
        <v>0</v>
      </c>
      <c r="C476" s="18">
        <v>0</v>
      </c>
      <c r="D476" s="18">
        <v>2197899.9555600001</v>
      </c>
      <c r="E476" s="18">
        <v>2711352.203215553</v>
      </c>
      <c r="F476" s="18">
        <v>1454405.8144</v>
      </c>
      <c r="G476" s="18">
        <v>1523514.5323767902</v>
      </c>
      <c r="H476" s="19">
        <v>0.23361038174493753</v>
      </c>
      <c r="I476" s="19">
        <v>4.7516805345900082E-2</v>
      </c>
      <c r="J476" s="19">
        <v>0.15950498187306006</v>
      </c>
    </row>
    <row r="477" spans="1:10" ht="11.25" customHeight="1" x14ac:dyDescent="0.2">
      <c r="A477" s="26" t="s">
        <v>25</v>
      </c>
      <c r="B477" s="18">
        <v>0</v>
      </c>
      <c r="C477" s="18">
        <v>0</v>
      </c>
      <c r="D477" s="18">
        <v>2197899.9555600001</v>
      </c>
      <c r="E477" s="18">
        <v>2711352.203215553</v>
      </c>
      <c r="F477" s="18">
        <v>1454405.8144</v>
      </c>
      <c r="G477" s="18">
        <v>1523514.5323767902</v>
      </c>
      <c r="H477" s="19">
        <v>0.23361038174493753</v>
      </c>
      <c r="I477" s="19">
        <v>4.7516805345900082E-2</v>
      </c>
      <c r="J477" s="19">
        <v>0.15950498187306006</v>
      </c>
    </row>
    <row r="478" spans="1:10" ht="11.25" customHeight="1" x14ac:dyDescent="0.2">
      <c r="A478" s="27" t="s">
        <v>25</v>
      </c>
      <c r="B478" s="18">
        <v>0</v>
      </c>
      <c r="C478" s="18">
        <v>0</v>
      </c>
      <c r="D478" s="18">
        <v>2197899.9555600001</v>
      </c>
      <c r="E478" s="18">
        <v>2711352.203215553</v>
      </c>
      <c r="F478" s="18">
        <v>1454405.8144</v>
      </c>
      <c r="G478" s="18">
        <v>1523514.5323767902</v>
      </c>
      <c r="H478" s="19">
        <v>0.23361038174493753</v>
      </c>
      <c r="I478" s="19">
        <v>4.7516805345900082E-2</v>
      </c>
      <c r="J478" s="19">
        <v>0.15950498187306006</v>
      </c>
    </row>
    <row r="479" spans="1:10" ht="11.25" customHeight="1" x14ac:dyDescent="0.2">
      <c r="A479" s="28">
        <v>44409</v>
      </c>
      <c r="B479" s="18">
        <v>0</v>
      </c>
      <c r="C479" s="18">
        <v>0</v>
      </c>
      <c r="D479" s="18">
        <v>207036.06977999999</v>
      </c>
      <c r="E479" s="18">
        <v>255401.84507627736</v>
      </c>
      <c r="F479" s="18">
        <v>137000.9872</v>
      </c>
      <c r="G479" s="18">
        <v>143510.83644097854</v>
      </c>
      <c r="H479" s="19">
        <v>0.23361038174493776</v>
      </c>
      <c r="I479" s="19">
        <v>4.7516805345900082E-2</v>
      </c>
      <c r="J479" s="19">
        <v>0.15950498187306028</v>
      </c>
    </row>
    <row r="480" spans="1:10" ht="11.25" customHeight="1" x14ac:dyDescent="0.2">
      <c r="A480" s="28">
        <v>44440</v>
      </c>
      <c r="B480" s="18">
        <v>0</v>
      </c>
      <c r="C480" s="18">
        <v>0</v>
      </c>
      <c r="D480" s="18">
        <v>188781.86550000001</v>
      </c>
      <c r="E480" s="18">
        <v>232883.2691659765</v>
      </c>
      <c r="F480" s="18">
        <v>124921.72</v>
      </c>
      <c r="G480" s="18">
        <v>130857.60105271504</v>
      </c>
      <c r="H480" s="19">
        <v>0.23361038174493776</v>
      </c>
      <c r="I480" s="19">
        <v>4.7516805345900082E-2</v>
      </c>
      <c r="J480" s="19">
        <v>0.15950498187306006</v>
      </c>
    </row>
    <row r="481" spans="1:10" ht="11.25" customHeight="1" x14ac:dyDescent="0.2">
      <c r="A481" s="28">
        <v>44470</v>
      </c>
      <c r="B481" s="18">
        <v>0</v>
      </c>
      <c r="C481" s="18">
        <v>0</v>
      </c>
      <c r="D481" s="18">
        <v>179634.09738000002</v>
      </c>
      <c r="E481" s="18">
        <v>221598.48744334912</v>
      </c>
      <c r="F481" s="18">
        <v>118868.4112</v>
      </c>
      <c r="G481" s="18">
        <v>124516.6583567668</v>
      </c>
      <c r="H481" s="19">
        <v>0.23361038174493753</v>
      </c>
      <c r="I481" s="19">
        <v>4.7516805345900082E-2</v>
      </c>
      <c r="J481" s="19">
        <v>0.15950498187306006</v>
      </c>
    </row>
    <row r="482" spans="1:10" ht="11.25" customHeight="1" x14ac:dyDescent="0.2">
      <c r="A482" s="28">
        <v>44501</v>
      </c>
      <c r="B482" s="18">
        <v>0</v>
      </c>
      <c r="C482" s="18">
        <v>0</v>
      </c>
      <c r="D482" s="18">
        <v>165782.30538000001</v>
      </c>
      <c r="E482" s="18">
        <v>204510.77302637763</v>
      </c>
      <c r="F482" s="18">
        <v>109702.3312</v>
      </c>
      <c r="G482" s="18">
        <v>114915.03551762186</v>
      </c>
      <c r="H482" s="19">
        <v>0.23361038174493753</v>
      </c>
      <c r="I482" s="19">
        <v>4.7516805345900082E-2</v>
      </c>
      <c r="J482" s="19">
        <v>0.15950498187306028</v>
      </c>
    </row>
    <row r="483" spans="1:10" ht="11.25" customHeight="1" x14ac:dyDescent="0.2">
      <c r="A483" s="28">
        <v>44531</v>
      </c>
      <c r="B483" s="18">
        <v>0</v>
      </c>
      <c r="C483" s="18">
        <v>0</v>
      </c>
      <c r="D483" s="18">
        <v>169432.17809999999</v>
      </c>
      <c r="E483" s="18">
        <v>209013.29390581726</v>
      </c>
      <c r="F483" s="18">
        <v>112117.54399999999</v>
      </c>
      <c r="G483" s="18">
        <v>117445.01151410838</v>
      </c>
      <c r="H483" s="19">
        <v>0.23361038174493776</v>
      </c>
      <c r="I483" s="19">
        <v>4.7516805345900082E-2</v>
      </c>
      <c r="J483" s="19">
        <v>0.15950498187306028</v>
      </c>
    </row>
    <row r="484" spans="1:10" ht="11.25" customHeight="1" x14ac:dyDescent="0.2">
      <c r="A484" s="28">
        <v>44562</v>
      </c>
      <c r="B484" s="18">
        <v>0</v>
      </c>
      <c r="C484" s="18">
        <v>0</v>
      </c>
      <c r="D484" s="18">
        <v>169154.39754000001</v>
      </c>
      <c r="E484" s="18">
        <v>208670.62092315435</v>
      </c>
      <c r="F484" s="18">
        <v>111933.72960000001</v>
      </c>
      <c r="G484" s="18">
        <v>117252.4628410438</v>
      </c>
      <c r="H484" s="19">
        <v>0.23361038174493753</v>
      </c>
      <c r="I484" s="19">
        <v>4.751680534589986E-2</v>
      </c>
      <c r="J484" s="19">
        <v>0.15950498187306006</v>
      </c>
    </row>
    <row r="485" spans="1:10" ht="11.25" customHeight="1" x14ac:dyDescent="0.2">
      <c r="A485" s="28">
        <v>44593</v>
      </c>
      <c r="B485" s="18">
        <v>0</v>
      </c>
      <c r="C485" s="18">
        <v>0</v>
      </c>
      <c r="D485" s="18">
        <v>160835.31660000002</v>
      </c>
      <c r="E485" s="18">
        <v>198408.11630899392</v>
      </c>
      <c r="F485" s="18">
        <v>106428.784</v>
      </c>
      <c r="G485" s="18">
        <v>111485.93981252884</v>
      </c>
      <c r="H485" s="19">
        <v>0.23361038174493753</v>
      </c>
      <c r="I485" s="19">
        <v>4.7516805345900082E-2</v>
      </c>
      <c r="J485" s="19">
        <v>0.15950498187306028</v>
      </c>
    </row>
    <row r="486" spans="1:10" ht="11.25" customHeight="1" x14ac:dyDescent="0.2">
      <c r="A486" s="28">
        <v>44621</v>
      </c>
      <c r="B486" s="18">
        <v>0</v>
      </c>
      <c r="C486" s="18">
        <v>0</v>
      </c>
      <c r="D486" s="18">
        <v>175667.71866000001</v>
      </c>
      <c r="E486" s="18">
        <v>216705.52147642491</v>
      </c>
      <c r="F486" s="18">
        <v>116243.75840000001</v>
      </c>
      <c r="G486" s="18">
        <v>121767.29044056864</v>
      </c>
      <c r="H486" s="19">
        <v>0.23361038174493753</v>
      </c>
      <c r="I486" s="19">
        <v>4.7516805345900082E-2</v>
      </c>
      <c r="J486" s="19">
        <v>0.15950498187306028</v>
      </c>
    </row>
    <row r="487" spans="1:10" ht="11.25" customHeight="1" x14ac:dyDescent="0.2">
      <c r="A487" s="28">
        <v>44652</v>
      </c>
      <c r="B487" s="18">
        <v>0</v>
      </c>
      <c r="C487" s="18">
        <v>0</v>
      </c>
      <c r="D487" s="18">
        <v>183328.28094</v>
      </c>
      <c r="E487" s="18">
        <v>226155.67063503657</v>
      </c>
      <c r="F487" s="18">
        <v>121312.94560000001</v>
      </c>
      <c r="G487" s="18">
        <v>127077.34922201296</v>
      </c>
      <c r="H487" s="19">
        <v>0.23361038174493753</v>
      </c>
      <c r="I487" s="19">
        <v>4.751680534589986E-2</v>
      </c>
      <c r="J487" s="19">
        <v>0.15950498187306006</v>
      </c>
    </row>
    <row r="488" spans="1:10" ht="11.25" customHeight="1" x14ac:dyDescent="0.2">
      <c r="A488" s="28">
        <v>44682</v>
      </c>
      <c r="B488" s="18">
        <v>0</v>
      </c>
      <c r="C488" s="18">
        <v>0</v>
      </c>
      <c r="D488" s="18">
        <v>200370.63960000002</v>
      </c>
      <c r="E488" s="18">
        <v>247179.30120743334</v>
      </c>
      <c r="F488" s="18">
        <v>132590.304</v>
      </c>
      <c r="G488" s="18">
        <v>138890.57166592171</v>
      </c>
      <c r="H488" s="19">
        <v>0.23361038174493753</v>
      </c>
      <c r="I488" s="19">
        <v>4.7516805345900082E-2</v>
      </c>
      <c r="J488" s="19">
        <v>0.15950498187306028</v>
      </c>
    </row>
    <row r="489" spans="1:10" ht="11.25" customHeight="1" x14ac:dyDescent="0.2">
      <c r="A489" s="28">
        <v>44713</v>
      </c>
      <c r="B489" s="18">
        <v>0</v>
      </c>
      <c r="C489" s="18">
        <v>0</v>
      </c>
      <c r="D489" s="18">
        <v>198938.54304000002</v>
      </c>
      <c r="E489" s="18">
        <v>245412.65202335612</v>
      </c>
      <c r="F489" s="18">
        <v>131642.6496</v>
      </c>
      <c r="G489" s="18">
        <v>137897.88775626174</v>
      </c>
      <c r="H489" s="19">
        <v>0.23361038174493753</v>
      </c>
      <c r="I489" s="19">
        <v>4.7516805345900082E-2</v>
      </c>
      <c r="J489" s="19">
        <v>0.15950498187306028</v>
      </c>
    </row>
    <row r="490" spans="1:10" ht="11.25" customHeight="1" x14ac:dyDescent="0.2">
      <c r="A490" s="28">
        <v>44743</v>
      </c>
      <c r="B490" s="18">
        <v>0</v>
      </c>
      <c r="C490" s="18">
        <v>0</v>
      </c>
      <c r="D490" s="18">
        <v>198938.54304000002</v>
      </c>
      <c r="E490" s="18">
        <v>245412.65202335612</v>
      </c>
      <c r="F490" s="18">
        <v>131642.6496</v>
      </c>
      <c r="G490" s="18">
        <v>137897.88775626174</v>
      </c>
      <c r="H490" s="19">
        <v>0.23361038174493753</v>
      </c>
      <c r="I490" s="19">
        <v>4.7516805345900082E-2</v>
      </c>
      <c r="J490" s="19">
        <v>0.15950498187306028</v>
      </c>
    </row>
    <row r="491" spans="1:10" ht="11.25" customHeight="1" x14ac:dyDescent="0.2">
      <c r="A491" s="20" t="s">
        <v>57</v>
      </c>
      <c r="B491" s="18">
        <v>1758993.9332699995</v>
      </c>
      <c r="C491" s="18">
        <v>1669436.9207385185</v>
      </c>
      <c r="D491" s="18">
        <v>5172127.5248542381</v>
      </c>
      <c r="E491" s="18">
        <v>7071377.4832080342</v>
      </c>
      <c r="F491" s="18">
        <v>0</v>
      </c>
      <c r="G491" s="18">
        <v>0</v>
      </c>
      <c r="H491" s="19">
        <v>0.26109670083779934</v>
      </c>
      <c r="I491" s="19">
        <v>0</v>
      </c>
      <c r="J491" s="19">
        <v>0.26109670083779934</v>
      </c>
    </row>
    <row r="492" spans="1:10" ht="11.25" customHeight="1" x14ac:dyDescent="0.2">
      <c r="A492" s="21" t="s">
        <v>35</v>
      </c>
      <c r="B492" s="18">
        <v>1758993.9332699995</v>
      </c>
      <c r="C492" s="18">
        <v>1669436.9207385185</v>
      </c>
      <c r="D492" s="18">
        <v>5172127.5248542381</v>
      </c>
      <c r="E492" s="18">
        <v>7071377.4832080342</v>
      </c>
      <c r="F492" s="18">
        <v>0</v>
      </c>
      <c r="G492" s="18">
        <v>0</v>
      </c>
      <c r="H492" s="19">
        <v>0.26109670083779934</v>
      </c>
      <c r="I492" s="19">
        <v>0</v>
      </c>
      <c r="J492" s="19">
        <v>0.26109670083779934</v>
      </c>
    </row>
    <row r="493" spans="1:10" ht="11.25" customHeight="1" x14ac:dyDescent="0.2">
      <c r="A493" s="22" t="s">
        <v>36</v>
      </c>
      <c r="B493" s="18">
        <v>378700.63999999978</v>
      </c>
      <c r="C493" s="18">
        <v>359440.22362476157</v>
      </c>
      <c r="D493" s="18">
        <v>818036.87186000007</v>
      </c>
      <c r="E493" s="18">
        <v>1317000.472385617</v>
      </c>
      <c r="F493" s="18">
        <v>0</v>
      </c>
      <c r="G493" s="18">
        <v>0</v>
      </c>
      <c r="H493" s="19">
        <v>0.40084243988041424</v>
      </c>
      <c r="I493" s="19">
        <v>0</v>
      </c>
      <c r="J493" s="19">
        <v>0.40084243988041424</v>
      </c>
    </row>
    <row r="494" spans="1:10" ht="11.25" customHeight="1" x14ac:dyDescent="0.2">
      <c r="A494" s="23" t="s">
        <v>34</v>
      </c>
      <c r="B494" s="18">
        <v>378700.63999999978</v>
      </c>
      <c r="C494" s="18">
        <v>359440.22362476157</v>
      </c>
      <c r="D494" s="18">
        <v>818036.87186000007</v>
      </c>
      <c r="E494" s="18">
        <v>1317000.472385617</v>
      </c>
      <c r="F494" s="18">
        <v>0</v>
      </c>
      <c r="G494" s="18">
        <v>0</v>
      </c>
      <c r="H494" s="19">
        <v>0.40084243988041424</v>
      </c>
      <c r="I494" s="19">
        <v>0</v>
      </c>
      <c r="J494" s="19">
        <v>0.40084243988041424</v>
      </c>
    </row>
    <row r="495" spans="1:10" ht="11.25" customHeight="1" x14ac:dyDescent="0.2">
      <c r="A495" s="24" t="s">
        <v>25</v>
      </c>
      <c r="B495" s="18">
        <v>378700.63999999978</v>
      </c>
      <c r="C495" s="18">
        <v>359440.22362476157</v>
      </c>
      <c r="D495" s="18">
        <v>818036.87186000007</v>
      </c>
      <c r="E495" s="18">
        <v>1317000.472385617</v>
      </c>
      <c r="F495" s="18">
        <v>0</v>
      </c>
      <c r="G495" s="18">
        <v>0</v>
      </c>
      <c r="H495" s="19">
        <v>0.40084243988041424</v>
      </c>
      <c r="I495" s="19">
        <v>0</v>
      </c>
      <c r="J495" s="19">
        <v>0.40084243988041424</v>
      </c>
    </row>
    <row r="496" spans="1:10" ht="11.25" customHeight="1" x14ac:dyDescent="0.2">
      <c r="A496" s="25" t="s">
        <v>56</v>
      </c>
      <c r="B496" s="18">
        <v>378700.63999999978</v>
      </c>
      <c r="C496" s="18">
        <v>359440.22362476157</v>
      </c>
      <c r="D496" s="18">
        <v>818036.87186000007</v>
      </c>
      <c r="E496" s="18">
        <v>1317000.472385617</v>
      </c>
      <c r="F496" s="18">
        <v>0</v>
      </c>
      <c r="G496" s="18">
        <v>0</v>
      </c>
      <c r="H496" s="19">
        <v>0.40084243988041424</v>
      </c>
      <c r="I496" s="19">
        <v>0</v>
      </c>
      <c r="J496" s="19">
        <v>0.40084243988041424</v>
      </c>
    </row>
    <row r="497" spans="1:10" ht="11.25" customHeight="1" x14ac:dyDescent="0.2">
      <c r="A497" s="26" t="s">
        <v>25</v>
      </c>
      <c r="B497" s="18">
        <v>378700.63999999978</v>
      </c>
      <c r="C497" s="18">
        <v>359440.22362476157</v>
      </c>
      <c r="D497" s="18">
        <v>818036.87186000007</v>
      </c>
      <c r="E497" s="18">
        <v>1317000.472385617</v>
      </c>
      <c r="F497" s="18">
        <v>0</v>
      </c>
      <c r="G497" s="18">
        <v>0</v>
      </c>
      <c r="H497" s="19">
        <v>0.40084243988041424</v>
      </c>
      <c r="I497" s="19">
        <v>0</v>
      </c>
      <c r="J497" s="19">
        <v>0.40084243988041424</v>
      </c>
    </row>
    <row r="498" spans="1:10" ht="11.25" customHeight="1" x14ac:dyDescent="0.2">
      <c r="A498" s="27" t="s">
        <v>38</v>
      </c>
      <c r="B498" s="18">
        <v>338736.8</v>
      </c>
      <c r="C498" s="18">
        <v>321485.36209983751</v>
      </c>
      <c r="D498" s="18">
        <v>0</v>
      </c>
      <c r="E498" s="18">
        <v>0</v>
      </c>
      <c r="F498" s="18">
        <v>0</v>
      </c>
      <c r="G498" s="18">
        <v>0</v>
      </c>
      <c r="H498" s="19">
        <v>-5.0928738478259405E-2</v>
      </c>
      <c r="I498" s="19">
        <v>0</v>
      </c>
      <c r="J498" s="19">
        <v>-5.0928738478259405E-2</v>
      </c>
    </row>
    <row r="499" spans="1:10" ht="11.25" customHeight="1" x14ac:dyDescent="0.2">
      <c r="A499" s="28">
        <v>44409</v>
      </c>
      <c r="B499" s="18">
        <v>28785.3</v>
      </c>
      <c r="C499" s="18">
        <v>27319.300984281763</v>
      </c>
      <c r="D499" s="18">
        <v>0</v>
      </c>
      <c r="E499" s="18">
        <v>0</v>
      </c>
      <c r="F499" s="18">
        <v>0</v>
      </c>
      <c r="G499" s="18">
        <v>0</v>
      </c>
      <c r="H499" s="19">
        <v>-5.0928738478259294E-2</v>
      </c>
      <c r="I499" s="19">
        <v>0</v>
      </c>
      <c r="J499" s="19">
        <v>-5.0928738478259294E-2</v>
      </c>
    </row>
    <row r="500" spans="1:10" ht="11.25" customHeight="1" x14ac:dyDescent="0.2">
      <c r="A500" s="28">
        <v>44440</v>
      </c>
      <c r="B500" s="18">
        <v>27846.399999999998</v>
      </c>
      <c r="C500" s="18">
        <v>26428.217976839001</v>
      </c>
      <c r="D500" s="18">
        <v>0</v>
      </c>
      <c r="E500" s="18">
        <v>0</v>
      </c>
      <c r="F500" s="18">
        <v>0</v>
      </c>
      <c r="G500" s="18">
        <v>0</v>
      </c>
      <c r="H500" s="19">
        <v>-5.0928738478259183E-2</v>
      </c>
      <c r="I500" s="19">
        <v>0</v>
      </c>
      <c r="J500" s="19">
        <v>-5.0928738478259183E-2</v>
      </c>
    </row>
    <row r="501" spans="1:10" ht="11.25" customHeight="1" x14ac:dyDescent="0.2">
      <c r="A501" s="28">
        <v>44470</v>
      </c>
      <c r="B501" s="18">
        <v>28625</v>
      </c>
      <c r="C501" s="18">
        <v>27167.164861059828</v>
      </c>
      <c r="D501" s="18">
        <v>0</v>
      </c>
      <c r="E501" s="18">
        <v>0</v>
      </c>
      <c r="F501" s="18">
        <v>0</v>
      </c>
      <c r="G501" s="18">
        <v>0</v>
      </c>
      <c r="H501" s="19">
        <v>-5.0928738478259294E-2</v>
      </c>
      <c r="I501" s="19">
        <v>0</v>
      </c>
      <c r="J501" s="19">
        <v>-5.0928738478259294E-2</v>
      </c>
    </row>
    <row r="502" spans="1:10" ht="11.25" customHeight="1" x14ac:dyDescent="0.2">
      <c r="A502" s="28">
        <v>44501</v>
      </c>
      <c r="B502" s="18">
        <v>30033.35</v>
      </c>
      <c r="C502" s="18">
        <v>28503.789372223971</v>
      </c>
      <c r="D502" s="18">
        <v>0</v>
      </c>
      <c r="E502" s="18">
        <v>0</v>
      </c>
      <c r="F502" s="18">
        <v>0</v>
      </c>
      <c r="G502" s="18">
        <v>0</v>
      </c>
      <c r="H502" s="19">
        <v>-5.0928738478259294E-2</v>
      </c>
      <c r="I502" s="19">
        <v>0</v>
      </c>
      <c r="J502" s="19">
        <v>-5.0928738478259294E-2</v>
      </c>
    </row>
    <row r="503" spans="1:10" ht="11.25" customHeight="1" x14ac:dyDescent="0.2">
      <c r="A503" s="28">
        <v>44531</v>
      </c>
      <c r="B503" s="18">
        <v>29002.85</v>
      </c>
      <c r="C503" s="18">
        <v>27525.77143722582</v>
      </c>
      <c r="D503" s="18">
        <v>0</v>
      </c>
      <c r="E503" s="18">
        <v>0</v>
      </c>
      <c r="F503" s="18">
        <v>0</v>
      </c>
      <c r="G503" s="18">
        <v>0</v>
      </c>
      <c r="H503" s="19">
        <v>-5.0928738478259183E-2</v>
      </c>
      <c r="I503" s="19">
        <v>0</v>
      </c>
      <c r="J503" s="19">
        <v>-5.0928738478259183E-2</v>
      </c>
    </row>
    <row r="504" spans="1:10" ht="11.25" customHeight="1" x14ac:dyDescent="0.2">
      <c r="A504" s="28">
        <v>44562</v>
      </c>
      <c r="B504" s="18">
        <v>28625</v>
      </c>
      <c r="C504" s="18">
        <v>27167.164861059828</v>
      </c>
      <c r="D504" s="18">
        <v>0</v>
      </c>
      <c r="E504" s="18">
        <v>0</v>
      </c>
      <c r="F504" s="18">
        <v>0</v>
      </c>
      <c r="G504" s="18">
        <v>0</v>
      </c>
      <c r="H504" s="19">
        <v>-5.0928738478259294E-2</v>
      </c>
      <c r="I504" s="19">
        <v>0</v>
      </c>
      <c r="J504" s="19">
        <v>-5.0928738478259294E-2</v>
      </c>
    </row>
    <row r="505" spans="1:10" ht="11.25" customHeight="1" x14ac:dyDescent="0.2">
      <c r="A505" s="28">
        <v>44593</v>
      </c>
      <c r="B505" s="18">
        <v>28625</v>
      </c>
      <c r="C505" s="18">
        <v>27167.164861059828</v>
      </c>
      <c r="D505" s="18">
        <v>0</v>
      </c>
      <c r="E505" s="18">
        <v>0</v>
      </c>
      <c r="F505" s="18">
        <v>0</v>
      </c>
      <c r="G505" s="18">
        <v>0</v>
      </c>
      <c r="H505" s="19">
        <v>-5.0928738478259294E-2</v>
      </c>
      <c r="I505" s="19">
        <v>0</v>
      </c>
      <c r="J505" s="19">
        <v>-5.0928738478259294E-2</v>
      </c>
    </row>
    <row r="506" spans="1:10" ht="11.25" customHeight="1" x14ac:dyDescent="0.2">
      <c r="A506" s="28">
        <v>44621</v>
      </c>
      <c r="B506" s="18">
        <v>23598.449999999997</v>
      </c>
      <c r="C506" s="18">
        <v>22396.610711457724</v>
      </c>
      <c r="D506" s="18">
        <v>0</v>
      </c>
      <c r="E506" s="18">
        <v>0</v>
      </c>
      <c r="F506" s="18">
        <v>0</v>
      </c>
      <c r="G506" s="18">
        <v>0</v>
      </c>
      <c r="H506" s="19">
        <v>-5.0928738478259072E-2</v>
      </c>
      <c r="I506" s="19">
        <v>0</v>
      </c>
      <c r="J506" s="19">
        <v>-5.0928738478259072E-2</v>
      </c>
    </row>
    <row r="507" spans="1:10" ht="11.25" customHeight="1" x14ac:dyDescent="0.2">
      <c r="A507" s="28">
        <v>44652</v>
      </c>
      <c r="B507" s="18">
        <v>27720.449999999997</v>
      </c>
      <c r="C507" s="18">
        <v>26308.682451450339</v>
      </c>
      <c r="D507" s="18">
        <v>0</v>
      </c>
      <c r="E507" s="18">
        <v>0</v>
      </c>
      <c r="F507" s="18">
        <v>0</v>
      </c>
      <c r="G507" s="18">
        <v>0</v>
      </c>
      <c r="H507" s="19">
        <v>-5.0928738478259183E-2</v>
      </c>
      <c r="I507" s="19">
        <v>0</v>
      </c>
      <c r="J507" s="19">
        <v>-5.0928738478259183E-2</v>
      </c>
    </row>
    <row r="508" spans="1:10" ht="11.25" customHeight="1" x14ac:dyDescent="0.2">
      <c r="A508" s="28">
        <v>44682</v>
      </c>
      <c r="B508" s="18">
        <v>28625</v>
      </c>
      <c r="C508" s="18">
        <v>27167.164861059828</v>
      </c>
      <c r="D508" s="18">
        <v>0</v>
      </c>
      <c r="E508" s="18">
        <v>0</v>
      </c>
      <c r="F508" s="18">
        <v>0</v>
      </c>
      <c r="G508" s="18">
        <v>0</v>
      </c>
      <c r="H508" s="19">
        <v>-5.0928738478259294E-2</v>
      </c>
      <c r="I508" s="19">
        <v>0</v>
      </c>
      <c r="J508" s="19">
        <v>-5.0928738478259294E-2</v>
      </c>
    </row>
    <row r="509" spans="1:10" ht="11.25" customHeight="1" x14ac:dyDescent="0.2">
      <c r="A509" s="28">
        <v>44713</v>
      </c>
      <c r="B509" s="18">
        <v>28625</v>
      </c>
      <c r="C509" s="18">
        <v>27167.164861059828</v>
      </c>
      <c r="D509" s="18">
        <v>0</v>
      </c>
      <c r="E509" s="18">
        <v>0</v>
      </c>
      <c r="F509" s="18">
        <v>0</v>
      </c>
      <c r="G509" s="18">
        <v>0</v>
      </c>
      <c r="H509" s="19">
        <v>-5.0928738478259294E-2</v>
      </c>
      <c r="I509" s="19">
        <v>0</v>
      </c>
      <c r="J509" s="19">
        <v>-5.0928738478259294E-2</v>
      </c>
    </row>
    <row r="510" spans="1:10" ht="11.25" customHeight="1" x14ac:dyDescent="0.2">
      <c r="A510" s="28">
        <v>44743</v>
      </c>
      <c r="B510" s="18">
        <v>28625</v>
      </c>
      <c r="C510" s="18">
        <v>27167.164861059828</v>
      </c>
      <c r="D510" s="18">
        <v>0</v>
      </c>
      <c r="E510" s="18">
        <v>0</v>
      </c>
      <c r="F510" s="18">
        <v>0</v>
      </c>
      <c r="G510" s="18">
        <v>0</v>
      </c>
      <c r="H510" s="19">
        <v>-5.0928738478259294E-2</v>
      </c>
      <c r="I510" s="19">
        <v>0</v>
      </c>
      <c r="J510" s="19">
        <v>-5.0928738478259294E-2</v>
      </c>
    </row>
    <row r="511" spans="1:10" ht="11.25" customHeight="1" x14ac:dyDescent="0.2">
      <c r="A511" s="27" t="s">
        <v>25</v>
      </c>
      <c r="B511" s="18">
        <v>0</v>
      </c>
      <c r="C511" s="18">
        <v>0</v>
      </c>
      <c r="D511" s="18">
        <v>818036.87186000007</v>
      </c>
      <c r="E511" s="18">
        <v>1317000.472385617</v>
      </c>
      <c r="F511" s="18">
        <v>0</v>
      </c>
      <c r="G511" s="18">
        <v>0</v>
      </c>
      <c r="H511" s="19">
        <v>0.60995245775548645</v>
      </c>
      <c r="I511" s="19">
        <v>0</v>
      </c>
      <c r="J511" s="19">
        <v>0.60995245775548645</v>
      </c>
    </row>
    <row r="512" spans="1:10" ht="11.25" customHeight="1" x14ac:dyDescent="0.2">
      <c r="A512" s="28">
        <v>44409</v>
      </c>
      <c r="B512" s="18">
        <v>0</v>
      </c>
      <c r="C512" s="18">
        <v>0</v>
      </c>
      <c r="D512" s="18">
        <v>76689.653040000005</v>
      </c>
      <c r="E512" s="18">
        <v>123466.69539616352</v>
      </c>
      <c r="F512" s="18">
        <v>0</v>
      </c>
      <c r="G512" s="18">
        <v>0</v>
      </c>
      <c r="H512" s="19">
        <v>0.60995245775548645</v>
      </c>
      <c r="I512" s="19">
        <v>0</v>
      </c>
      <c r="J512" s="19">
        <v>0.60995245775548645</v>
      </c>
    </row>
    <row r="513" spans="1:10" ht="11.25" customHeight="1" x14ac:dyDescent="0.2">
      <c r="A513" s="28">
        <v>44440</v>
      </c>
      <c r="B513" s="18">
        <v>0</v>
      </c>
      <c r="C513" s="18">
        <v>0</v>
      </c>
      <c r="D513" s="18">
        <v>80731.13165000001</v>
      </c>
      <c r="E513" s="18">
        <v>129973.28381729923</v>
      </c>
      <c r="F513" s="18">
        <v>0</v>
      </c>
      <c r="G513" s="18">
        <v>0</v>
      </c>
      <c r="H513" s="19">
        <v>0.60995245775548623</v>
      </c>
      <c r="I513" s="19">
        <v>0</v>
      </c>
      <c r="J513" s="19">
        <v>0.60995245775548623</v>
      </c>
    </row>
    <row r="514" spans="1:10" ht="11.25" customHeight="1" x14ac:dyDescent="0.2">
      <c r="A514" s="28">
        <v>44470</v>
      </c>
      <c r="B514" s="18">
        <v>0</v>
      </c>
      <c r="C514" s="18">
        <v>0</v>
      </c>
      <c r="D514" s="18">
        <v>60987.324059999999</v>
      </c>
      <c r="E514" s="18">
        <v>98186.692262327313</v>
      </c>
      <c r="F514" s="18">
        <v>0</v>
      </c>
      <c r="G514" s="18">
        <v>0</v>
      </c>
      <c r="H514" s="19">
        <v>0.60995245775548645</v>
      </c>
      <c r="I514" s="19">
        <v>0</v>
      </c>
      <c r="J514" s="19">
        <v>0.60995245775548645</v>
      </c>
    </row>
    <row r="515" spans="1:10" ht="11.25" customHeight="1" x14ac:dyDescent="0.2">
      <c r="A515" s="28">
        <v>44501</v>
      </c>
      <c r="B515" s="18">
        <v>0</v>
      </c>
      <c r="C515" s="18">
        <v>0</v>
      </c>
      <c r="D515" s="18">
        <v>83647.972719999991</v>
      </c>
      <c r="E515" s="18">
        <v>134669.25926682787</v>
      </c>
      <c r="F515" s="18">
        <v>0</v>
      </c>
      <c r="G515" s="18">
        <v>0</v>
      </c>
      <c r="H515" s="19">
        <v>0.60995245775548645</v>
      </c>
      <c r="I515" s="19">
        <v>0</v>
      </c>
      <c r="J515" s="19">
        <v>0.60995245775548645</v>
      </c>
    </row>
    <row r="516" spans="1:10" ht="11.25" customHeight="1" x14ac:dyDescent="0.2">
      <c r="A516" s="28">
        <v>44531</v>
      </c>
      <c r="B516" s="18">
        <v>0</v>
      </c>
      <c r="C516" s="18">
        <v>0</v>
      </c>
      <c r="D516" s="18">
        <v>70834.453039999993</v>
      </c>
      <c r="E516" s="18">
        <v>114040.10176551358</v>
      </c>
      <c r="F516" s="18">
        <v>0</v>
      </c>
      <c r="G516" s="18">
        <v>0</v>
      </c>
      <c r="H516" s="19">
        <v>0.60995245775548645</v>
      </c>
      <c r="I516" s="19">
        <v>0</v>
      </c>
      <c r="J516" s="19">
        <v>0.60995245775548645</v>
      </c>
    </row>
    <row r="517" spans="1:10" ht="11.25" customHeight="1" x14ac:dyDescent="0.2">
      <c r="A517" s="28">
        <v>44562</v>
      </c>
      <c r="B517" s="18">
        <v>0</v>
      </c>
      <c r="C517" s="18">
        <v>0</v>
      </c>
      <c r="D517" s="18">
        <v>60677.803549999997</v>
      </c>
      <c r="E517" s="18">
        <v>97688.378956527071</v>
      </c>
      <c r="F517" s="18">
        <v>0</v>
      </c>
      <c r="G517" s="18">
        <v>0</v>
      </c>
      <c r="H517" s="19">
        <v>0.60995245775548645</v>
      </c>
      <c r="I517" s="19">
        <v>0</v>
      </c>
      <c r="J517" s="19">
        <v>0.60995245775548645</v>
      </c>
    </row>
    <row r="518" spans="1:10" ht="11.25" customHeight="1" x14ac:dyDescent="0.2">
      <c r="A518" s="28">
        <v>44593</v>
      </c>
      <c r="B518" s="18">
        <v>0</v>
      </c>
      <c r="C518" s="18">
        <v>0</v>
      </c>
      <c r="D518" s="18">
        <v>56374.011979999996</v>
      </c>
      <c r="E518" s="18">
        <v>90759.479140738229</v>
      </c>
      <c r="F518" s="18">
        <v>0</v>
      </c>
      <c r="G518" s="18">
        <v>0</v>
      </c>
      <c r="H518" s="19">
        <v>0.60995245775548645</v>
      </c>
      <c r="I518" s="19">
        <v>0</v>
      </c>
      <c r="J518" s="19">
        <v>0.60995245775548645</v>
      </c>
    </row>
    <row r="519" spans="1:10" ht="11.25" customHeight="1" x14ac:dyDescent="0.2">
      <c r="A519" s="28">
        <v>44621</v>
      </c>
      <c r="B519" s="18">
        <v>0</v>
      </c>
      <c r="C519" s="18">
        <v>0</v>
      </c>
      <c r="D519" s="18">
        <v>57845.570119999997</v>
      </c>
      <c r="E519" s="18">
        <v>93128.617784961316</v>
      </c>
      <c r="F519" s="18">
        <v>0</v>
      </c>
      <c r="G519" s="18">
        <v>0</v>
      </c>
      <c r="H519" s="19">
        <v>0.60995245775548623</v>
      </c>
      <c r="I519" s="19">
        <v>0</v>
      </c>
      <c r="J519" s="19">
        <v>0.60995245775548623</v>
      </c>
    </row>
    <row r="520" spans="1:10" ht="11.25" customHeight="1" x14ac:dyDescent="0.2">
      <c r="A520" s="28">
        <v>44652</v>
      </c>
      <c r="B520" s="18">
        <v>0</v>
      </c>
      <c r="C520" s="18">
        <v>0</v>
      </c>
      <c r="D520" s="18">
        <v>69209.195900000006</v>
      </c>
      <c r="E520" s="18">
        <v>111423.51503848593</v>
      </c>
      <c r="F520" s="18">
        <v>0</v>
      </c>
      <c r="G520" s="18">
        <v>0</v>
      </c>
      <c r="H520" s="19">
        <v>0.60995245775548623</v>
      </c>
      <c r="I520" s="19">
        <v>0</v>
      </c>
      <c r="J520" s="19">
        <v>0.60995245775548623</v>
      </c>
    </row>
    <row r="521" spans="1:10" ht="11.25" customHeight="1" x14ac:dyDescent="0.2">
      <c r="A521" s="28">
        <v>44682</v>
      </c>
      <c r="B521" s="18">
        <v>0</v>
      </c>
      <c r="C521" s="18">
        <v>0</v>
      </c>
      <c r="D521" s="18">
        <v>78312.275340000007</v>
      </c>
      <c r="E521" s="18">
        <v>126079.04015605738</v>
      </c>
      <c r="F521" s="18">
        <v>0</v>
      </c>
      <c r="G521" s="18">
        <v>0</v>
      </c>
      <c r="H521" s="19">
        <v>0.60995245775548645</v>
      </c>
      <c r="I521" s="19">
        <v>0</v>
      </c>
      <c r="J521" s="19">
        <v>0.60995245775548645</v>
      </c>
    </row>
    <row r="522" spans="1:10" ht="11.25" customHeight="1" x14ac:dyDescent="0.2">
      <c r="A522" s="28">
        <v>44713</v>
      </c>
      <c r="B522" s="18">
        <v>0</v>
      </c>
      <c r="C522" s="18">
        <v>0</v>
      </c>
      <c r="D522" s="18">
        <v>61363.740230000003</v>
      </c>
      <c r="E522" s="18">
        <v>98792.704400357718</v>
      </c>
      <c r="F522" s="18">
        <v>0</v>
      </c>
      <c r="G522" s="18">
        <v>0</v>
      </c>
      <c r="H522" s="19">
        <v>0.60995245775548623</v>
      </c>
      <c r="I522" s="19">
        <v>0</v>
      </c>
      <c r="J522" s="19">
        <v>0.60995245775548623</v>
      </c>
    </row>
    <row r="523" spans="1:10" ht="11.25" customHeight="1" x14ac:dyDescent="0.2">
      <c r="A523" s="28">
        <v>44743</v>
      </c>
      <c r="B523" s="18">
        <v>0</v>
      </c>
      <c r="C523" s="18">
        <v>0</v>
      </c>
      <c r="D523" s="18">
        <v>61363.740230000003</v>
      </c>
      <c r="E523" s="18">
        <v>98792.704400357718</v>
      </c>
      <c r="F523" s="18">
        <v>0</v>
      </c>
      <c r="G523" s="18">
        <v>0</v>
      </c>
      <c r="H523" s="19">
        <v>0.60995245775548623</v>
      </c>
      <c r="I523" s="19">
        <v>0</v>
      </c>
      <c r="J523" s="19">
        <v>0.60995245775548623</v>
      </c>
    </row>
    <row r="524" spans="1:10" ht="11.25" customHeight="1" x14ac:dyDescent="0.2">
      <c r="A524" s="27" t="s">
        <v>37</v>
      </c>
      <c r="B524" s="18">
        <v>39963.839999999989</v>
      </c>
      <c r="C524" s="18">
        <v>37954.861524923792</v>
      </c>
      <c r="D524" s="18">
        <v>0</v>
      </c>
      <c r="E524" s="18">
        <v>0</v>
      </c>
      <c r="F524" s="18">
        <v>0</v>
      </c>
      <c r="G524" s="18">
        <v>0</v>
      </c>
      <c r="H524" s="19">
        <v>-5.0269905871813014E-2</v>
      </c>
      <c r="I524" s="19">
        <v>0</v>
      </c>
      <c r="J524" s="19">
        <v>-5.0269905871813014E-2</v>
      </c>
    </row>
    <row r="525" spans="1:10" ht="11.25" customHeight="1" x14ac:dyDescent="0.2">
      <c r="A525" s="28">
        <v>44409</v>
      </c>
      <c r="B525" s="18">
        <v>3597.9349999999999</v>
      </c>
      <c r="C525" s="18">
        <v>3417.0671462170967</v>
      </c>
      <c r="D525" s="18">
        <v>0</v>
      </c>
      <c r="E525" s="18">
        <v>0</v>
      </c>
      <c r="F525" s="18">
        <v>0</v>
      </c>
      <c r="G525" s="18">
        <v>0</v>
      </c>
      <c r="H525" s="19">
        <v>-5.0269905871813458E-2</v>
      </c>
      <c r="I525" s="19">
        <v>0</v>
      </c>
      <c r="J525" s="19">
        <v>-5.0269905871813458E-2</v>
      </c>
    </row>
    <row r="526" spans="1:10" ht="11.25" customHeight="1" x14ac:dyDescent="0.2">
      <c r="A526" s="28">
        <v>44440</v>
      </c>
      <c r="B526" s="18">
        <v>3657.4049999999997</v>
      </c>
      <c r="C526" s="18">
        <v>3473.5475949148999</v>
      </c>
      <c r="D526" s="18">
        <v>0</v>
      </c>
      <c r="E526" s="18">
        <v>0</v>
      </c>
      <c r="F526" s="18">
        <v>0</v>
      </c>
      <c r="G526" s="18">
        <v>0</v>
      </c>
      <c r="H526" s="19">
        <v>-5.0269905871813458E-2</v>
      </c>
      <c r="I526" s="19">
        <v>0</v>
      </c>
      <c r="J526" s="19">
        <v>-5.0269905871813458E-2</v>
      </c>
    </row>
    <row r="527" spans="1:10" ht="11.25" customHeight="1" x14ac:dyDescent="0.2">
      <c r="A527" s="28">
        <v>44470</v>
      </c>
      <c r="B527" s="18">
        <v>3270.85</v>
      </c>
      <c r="C527" s="18">
        <v>3106.4246783791791</v>
      </c>
      <c r="D527" s="18">
        <v>0</v>
      </c>
      <c r="E527" s="18">
        <v>0</v>
      </c>
      <c r="F527" s="18">
        <v>0</v>
      </c>
      <c r="G527" s="18">
        <v>0</v>
      </c>
      <c r="H527" s="19">
        <v>-5.0269905871813347E-2</v>
      </c>
      <c r="I527" s="19">
        <v>0</v>
      </c>
      <c r="J527" s="19">
        <v>-5.0269905871813347E-2</v>
      </c>
    </row>
    <row r="528" spans="1:10" ht="11.25" customHeight="1" x14ac:dyDescent="0.2">
      <c r="A528" s="28">
        <v>44501</v>
      </c>
      <c r="B528" s="18">
        <v>3270.85</v>
      </c>
      <c r="C528" s="18">
        <v>3106.4246783791791</v>
      </c>
      <c r="D528" s="18">
        <v>0</v>
      </c>
      <c r="E528" s="18">
        <v>0</v>
      </c>
      <c r="F528" s="18">
        <v>0</v>
      </c>
      <c r="G528" s="18">
        <v>0</v>
      </c>
      <c r="H528" s="19">
        <v>-5.0269905871813347E-2</v>
      </c>
      <c r="I528" s="19">
        <v>0</v>
      </c>
      <c r="J528" s="19">
        <v>-5.0269905871813347E-2</v>
      </c>
    </row>
    <row r="529" spans="1:10" ht="11.25" customHeight="1" x14ac:dyDescent="0.2">
      <c r="A529" s="28">
        <v>44531</v>
      </c>
      <c r="B529" s="18">
        <v>3270.85</v>
      </c>
      <c r="C529" s="18">
        <v>3106.4246783791791</v>
      </c>
      <c r="D529" s="18">
        <v>0</v>
      </c>
      <c r="E529" s="18">
        <v>0</v>
      </c>
      <c r="F529" s="18">
        <v>0</v>
      </c>
      <c r="G529" s="18">
        <v>0</v>
      </c>
      <c r="H529" s="19">
        <v>-5.0269905871813347E-2</v>
      </c>
      <c r="I529" s="19">
        <v>0</v>
      </c>
      <c r="J529" s="19">
        <v>-5.0269905871813347E-2</v>
      </c>
    </row>
    <row r="530" spans="1:10" ht="11.25" customHeight="1" x14ac:dyDescent="0.2">
      <c r="A530" s="28">
        <v>44562</v>
      </c>
      <c r="B530" s="18">
        <v>3270.85</v>
      </c>
      <c r="C530" s="18">
        <v>3106.4246783791791</v>
      </c>
      <c r="D530" s="18">
        <v>0</v>
      </c>
      <c r="E530" s="18">
        <v>0</v>
      </c>
      <c r="F530" s="18">
        <v>0</v>
      </c>
      <c r="G530" s="18">
        <v>0</v>
      </c>
      <c r="H530" s="19">
        <v>-5.0269905871813347E-2</v>
      </c>
      <c r="I530" s="19">
        <v>0</v>
      </c>
      <c r="J530" s="19">
        <v>-5.0269905871813347E-2</v>
      </c>
    </row>
    <row r="531" spans="1:10" ht="11.25" customHeight="1" x14ac:dyDescent="0.2">
      <c r="A531" s="28">
        <v>44593</v>
      </c>
      <c r="B531" s="18">
        <v>3270.85</v>
      </c>
      <c r="C531" s="18">
        <v>3106.4246783791791</v>
      </c>
      <c r="D531" s="18">
        <v>0</v>
      </c>
      <c r="E531" s="18">
        <v>0</v>
      </c>
      <c r="F531" s="18">
        <v>0</v>
      </c>
      <c r="G531" s="18">
        <v>0</v>
      </c>
      <c r="H531" s="19">
        <v>-5.0269905871813347E-2</v>
      </c>
      <c r="I531" s="19">
        <v>0</v>
      </c>
      <c r="J531" s="19">
        <v>-5.0269905871813347E-2</v>
      </c>
    </row>
    <row r="532" spans="1:10" ht="11.25" customHeight="1" x14ac:dyDescent="0.2">
      <c r="A532" s="28">
        <v>44621</v>
      </c>
      <c r="B532" s="18">
        <v>3270.85</v>
      </c>
      <c r="C532" s="18">
        <v>3106.4246783791791</v>
      </c>
      <c r="D532" s="18">
        <v>0</v>
      </c>
      <c r="E532" s="18">
        <v>0</v>
      </c>
      <c r="F532" s="18">
        <v>0</v>
      </c>
      <c r="G532" s="18">
        <v>0</v>
      </c>
      <c r="H532" s="19">
        <v>-5.0269905871813347E-2</v>
      </c>
      <c r="I532" s="19">
        <v>0</v>
      </c>
      <c r="J532" s="19">
        <v>-5.0269905871813347E-2</v>
      </c>
    </row>
    <row r="533" spans="1:10" ht="11.25" customHeight="1" x14ac:dyDescent="0.2">
      <c r="A533" s="28">
        <v>44652</v>
      </c>
      <c r="B533" s="18">
        <v>3270.85</v>
      </c>
      <c r="C533" s="18">
        <v>3106.4246783791791</v>
      </c>
      <c r="D533" s="18">
        <v>0</v>
      </c>
      <c r="E533" s="18">
        <v>0</v>
      </c>
      <c r="F533" s="18">
        <v>0</v>
      </c>
      <c r="G533" s="18">
        <v>0</v>
      </c>
      <c r="H533" s="19">
        <v>-5.0269905871813347E-2</v>
      </c>
      <c r="I533" s="19">
        <v>0</v>
      </c>
      <c r="J533" s="19">
        <v>-5.0269905871813347E-2</v>
      </c>
    </row>
    <row r="534" spans="1:10" ht="11.25" customHeight="1" x14ac:dyDescent="0.2">
      <c r="A534" s="28">
        <v>44682</v>
      </c>
      <c r="B534" s="18">
        <v>3270.85</v>
      </c>
      <c r="C534" s="18">
        <v>3106.4246783791791</v>
      </c>
      <c r="D534" s="18">
        <v>0</v>
      </c>
      <c r="E534" s="18">
        <v>0</v>
      </c>
      <c r="F534" s="18">
        <v>0</v>
      </c>
      <c r="G534" s="18">
        <v>0</v>
      </c>
      <c r="H534" s="19">
        <v>-5.0269905871813347E-2</v>
      </c>
      <c r="I534" s="19">
        <v>0</v>
      </c>
      <c r="J534" s="19">
        <v>-5.0269905871813347E-2</v>
      </c>
    </row>
    <row r="535" spans="1:10" ht="11.25" customHeight="1" x14ac:dyDescent="0.2">
      <c r="A535" s="28">
        <v>44713</v>
      </c>
      <c r="B535" s="18">
        <v>3270.85</v>
      </c>
      <c r="C535" s="18">
        <v>3106.4246783791791</v>
      </c>
      <c r="D535" s="18">
        <v>0</v>
      </c>
      <c r="E535" s="18">
        <v>0</v>
      </c>
      <c r="F535" s="18">
        <v>0</v>
      </c>
      <c r="G535" s="18">
        <v>0</v>
      </c>
      <c r="H535" s="19">
        <v>-5.0269905871813347E-2</v>
      </c>
      <c r="I535" s="19">
        <v>0</v>
      </c>
      <c r="J535" s="19">
        <v>-5.0269905871813347E-2</v>
      </c>
    </row>
    <row r="536" spans="1:10" ht="11.25" customHeight="1" x14ac:dyDescent="0.2">
      <c r="A536" s="28">
        <v>44743</v>
      </c>
      <c r="B536" s="18">
        <v>3270.85</v>
      </c>
      <c r="C536" s="18">
        <v>3106.4246783791791</v>
      </c>
      <c r="D536" s="18">
        <v>0</v>
      </c>
      <c r="E536" s="18">
        <v>0</v>
      </c>
      <c r="F536" s="18">
        <v>0</v>
      </c>
      <c r="G536" s="18">
        <v>0</v>
      </c>
      <c r="H536" s="19">
        <v>-5.0269905871813347E-2</v>
      </c>
      <c r="I536" s="19">
        <v>0</v>
      </c>
      <c r="J536" s="19">
        <v>-5.0269905871813347E-2</v>
      </c>
    </row>
    <row r="537" spans="1:10" ht="11.25" customHeight="1" x14ac:dyDescent="0.2">
      <c r="A537" s="22" t="s">
        <v>39</v>
      </c>
      <c r="B537" s="18">
        <v>1380293.2932699998</v>
      </c>
      <c r="C537" s="18">
        <v>1309996.697113757</v>
      </c>
      <c r="D537" s="18">
        <v>4354090.6529942378</v>
      </c>
      <c r="E537" s="18">
        <v>5754377.0108224172</v>
      </c>
      <c r="F537" s="18">
        <v>0</v>
      </c>
      <c r="G537" s="18">
        <v>0</v>
      </c>
      <c r="H537" s="19">
        <v>0.23193245763363679</v>
      </c>
      <c r="I537" s="19">
        <v>0</v>
      </c>
      <c r="J537" s="19">
        <v>0.23193245763363679</v>
      </c>
    </row>
    <row r="538" spans="1:10" ht="11.25" customHeight="1" x14ac:dyDescent="0.2">
      <c r="A538" s="23" t="s">
        <v>34</v>
      </c>
      <c r="B538" s="18">
        <v>1380293.2932699998</v>
      </c>
      <c r="C538" s="18">
        <v>1309996.697113757</v>
      </c>
      <c r="D538" s="18">
        <v>4354090.6529942378</v>
      </c>
      <c r="E538" s="18">
        <v>5754377.0108224172</v>
      </c>
      <c r="F538" s="18">
        <v>0</v>
      </c>
      <c r="G538" s="18">
        <v>0</v>
      </c>
      <c r="H538" s="19">
        <v>0.23193245763363679</v>
      </c>
      <c r="I538" s="19">
        <v>0</v>
      </c>
      <c r="J538" s="19">
        <v>0.23193245763363679</v>
      </c>
    </row>
    <row r="539" spans="1:10" ht="11.25" customHeight="1" x14ac:dyDescent="0.2">
      <c r="A539" s="24" t="s">
        <v>25</v>
      </c>
      <c r="B539" s="18">
        <v>1380293.2932699998</v>
      </c>
      <c r="C539" s="18">
        <v>1309996.697113757</v>
      </c>
      <c r="D539" s="18">
        <v>4354090.6529942378</v>
      </c>
      <c r="E539" s="18">
        <v>5754377.0108224172</v>
      </c>
      <c r="F539" s="18">
        <v>0</v>
      </c>
      <c r="G539" s="18">
        <v>0</v>
      </c>
      <c r="H539" s="19">
        <v>0.23193245763363679</v>
      </c>
      <c r="I539" s="19">
        <v>0</v>
      </c>
      <c r="J539" s="19">
        <v>0.23193245763363679</v>
      </c>
    </row>
    <row r="540" spans="1:10" ht="11.25" customHeight="1" x14ac:dyDescent="0.2">
      <c r="A540" s="25" t="s">
        <v>56</v>
      </c>
      <c r="B540" s="18">
        <v>1380293.2932699998</v>
      </c>
      <c r="C540" s="18">
        <v>1309996.697113757</v>
      </c>
      <c r="D540" s="18">
        <v>4354090.6529942378</v>
      </c>
      <c r="E540" s="18">
        <v>5754377.0108224172</v>
      </c>
      <c r="F540" s="18">
        <v>0</v>
      </c>
      <c r="G540" s="18">
        <v>0</v>
      </c>
      <c r="H540" s="19">
        <v>0.23193245763363679</v>
      </c>
      <c r="I540" s="19">
        <v>0</v>
      </c>
      <c r="J540" s="19">
        <v>0.23193245763363679</v>
      </c>
    </row>
    <row r="541" spans="1:10" ht="11.25" customHeight="1" x14ac:dyDescent="0.2">
      <c r="A541" s="26" t="s">
        <v>25</v>
      </c>
      <c r="B541" s="18">
        <v>1380293.2932699998</v>
      </c>
      <c r="C541" s="18">
        <v>1309996.697113757</v>
      </c>
      <c r="D541" s="18">
        <v>4354090.6529942378</v>
      </c>
      <c r="E541" s="18">
        <v>5754377.0108224172</v>
      </c>
      <c r="F541" s="18">
        <v>0</v>
      </c>
      <c r="G541" s="18">
        <v>0</v>
      </c>
      <c r="H541" s="19">
        <v>0.23193245763363679</v>
      </c>
      <c r="I541" s="19">
        <v>0</v>
      </c>
      <c r="J541" s="19">
        <v>0.23193245763363679</v>
      </c>
    </row>
    <row r="542" spans="1:10" ht="11.25" customHeight="1" x14ac:dyDescent="0.2">
      <c r="A542" s="27" t="s">
        <v>38</v>
      </c>
      <c r="B542" s="18">
        <v>0</v>
      </c>
      <c r="C542" s="18">
        <v>0</v>
      </c>
      <c r="D542" s="18">
        <v>2351883.2149799997</v>
      </c>
      <c r="E542" s="18">
        <v>3786420.1623109258</v>
      </c>
      <c r="F542" s="18">
        <v>0</v>
      </c>
      <c r="G542" s="18">
        <v>0</v>
      </c>
      <c r="H542" s="19">
        <v>0.60995245775548645</v>
      </c>
      <c r="I542" s="19">
        <v>0</v>
      </c>
      <c r="J542" s="19">
        <v>0.60995245775548645</v>
      </c>
    </row>
    <row r="543" spans="1:10" ht="11.25" customHeight="1" x14ac:dyDescent="0.2">
      <c r="A543" s="28">
        <v>44409</v>
      </c>
      <c r="B543" s="18">
        <v>0</v>
      </c>
      <c r="C543" s="18">
        <v>0</v>
      </c>
      <c r="D543" s="18">
        <v>196552.03775999998</v>
      </c>
      <c r="E543" s="18">
        <v>316439.43626856117</v>
      </c>
      <c r="F543" s="18">
        <v>0</v>
      </c>
      <c r="G543" s="18">
        <v>0</v>
      </c>
      <c r="H543" s="19">
        <v>0.60995245775548668</v>
      </c>
      <c r="I543" s="19">
        <v>0</v>
      </c>
      <c r="J543" s="19">
        <v>0.60995245775548668</v>
      </c>
    </row>
    <row r="544" spans="1:10" ht="11.25" customHeight="1" x14ac:dyDescent="0.2">
      <c r="A544" s="28">
        <v>44440</v>
      </c>
      <c r="B544" s="18">
        <v>0</v>
      </c>
      <c r="C544" s="18">
        <v>0</v>
      </c>
      <c r="D544" s="18">
        <v>200062.23015999998</v>
      </c>
      <c r="E544" s="18">
        <v>322090.67915013578</v>
      </c>
      <c r="F544" s="18">
        <v>0</v>
      </c>
      <c r="G544" s="18">
        <v>0</v>
      </c>
      <c r="H544" s="19">
        <v>0.60995245775548645</v>
      </c>
      <c r="I544" s="19">
        <v>0</v>
      </c>
      <c r="J544" s="19">
        <v>0.60995245775548645</v>
      </c>
    </row>
    <row r="545" spans="1:10" ht="11.25" customHeight="1" x14ac:dyDescent="0.2">
      <c r="A545" s="28">
        <v>44470</v>
      </c>
      <c r="B545" s="18">
        <v>0</v>
      </c>
      <c r="C545" s="18">
        <v>0</v>
      </c>
      <c r="D545" s="18">
        <v>198551.36898999999</v>
      </c>
      <c r="E545" s="18">
        <v>319658.26449616696</v>
      </c>
      <c r="F545" s="18">
        <v>0</v>
      </c>
      <c r="G545" s="18">
        <v>0</v>
      </c>
      <c r="H545" s="19">
        <v>0.60995245775548645</v>
      </c>
      <c r="I545" s="19">
        <v>0</v>
      </c>
      <c r="J545" s="19">
        <v>0.60995245775548645</v>
      </c>
    </row>
    <row r="546" spans="1:10" ht="11.25" customHeight="1" x14ac:dyDescent="0.2">
      <c r="A546" s="28">
        <v>44501</v>
      </c>
      <c r="B546" s="18">
        <v>0</v>
      </c>
      <c r="C546" s="18">
        <v>0</v>
      </c>
      <c r="D546" s="18">
        <v>197949.08848000001</v>
      </c>
      <c r="E546" s="18">
        <v>318688.62150883424</v>
      </c>
      <c r="F546" s="18">
        <v>0</v>
      </c>
      <c r="G546" s="18">
        <v>0</v>
      </c>
      <c r="H546" s="19">
        <v>0.60995245775548645</v>
      </c>
      <c r="I546" s="19">
        <v>0</v>
      </c>
      <c r="J546" s="19">
        <v>0.60995245775548645</v>
      </c>
    </row>
    <row r="547" spans="1:10" ht="11.25" customHeight="1" x14ac:dyDescent="0.2">
      <c r="A547" s="28">
        <v>44531</v>
      </c>
      <c r="B547" s="18">
        <v>0</v>
      </c>
      <c r="C547" s="18">
        <v>0</v>
      </c>
      <c r="D547" s="18">
        <v>194456.24210999999</v>
      </c>
      <c r="E547" s="18">
        <v>313065.30491089041</v>
      </c>
      <c r="F547" s="18">
        <v>0</v>
      </c>
      <c r="G547" s="18">
        <v>0</v>
      </c>
      <c r="H547" s="19">
        <v>0.60995245775548645</v>
      </c>
      <c r="I547" s="19">
        <v>0</v>
      </c>
      <c r="J547" s="19">
        <v>0.60995245775548645</v>
      </c>
    </row>
    <row r="548" spans="1:10" ht="11.25" customHeight="1" x14ac:dyDescent="0.2">
      <c r="A548" s="28">
        <v>44562</v>
      </c>
      <c r="B548" s="18">
        <v>0</v>
      </c>
      <c r="C548" s="18">
        <v>0</v>
      </c>
      <c r="D548" s="18">
        <v>192855.50362</v>
      </c>
      <c r="E548" s="18">
        <v>310488.19204469112</v>
      </c>
      <c r="F548" s="18">
        <v>0</v>
      </c>
      <c r="G548" s="18">
        <v>0</v>
      </c>
      <c r="H548" s="19">
        <v>0.60995245775548645</v>
      </c>
      <c r="I548" s="19">
        <v>0</v>
      </c>
      <c r="J548" s="19">
        <v>0.60995245775548645</v>
      </c>
    </row>
    <row r="549" spans="1:10" ht="11.25" customHeight="1" x14ac:dyDescent="0.2">
      <c r="A549" s="28">
        <v>44593</v>
      </c>
      <c r="B549" s="18">
        <v>0</v>
      </c>
      <c r="C549" s="18">
        <v>0</v>
      </c>
      <c r="D549" s="18">
        <v>178362.27343999999</v>
      </c>
      <c r="E549" s="18">
        <v>287154.78049558413</v>
      </c>
      <c r="F549" s="18">
        <v>0</v>
      </c>
      <c r="G549" s="18">
        <v>0</v>
      </c>
      <c r="H549" s="19">
        <v>0.60995245775548668</v>
      </c>
      <c r="I549" s="19">
        <v>0</v>
      </c>
      <c r="J549" s="19">
        <v>0.60995245775548668</v>
      </c>
    </row>
    <row r="550" spans="1:10" ht="11.25" customHeight="1" x14ac:dyDescent="0.2">
      <c r="A550" s="28">
        <v>44621</v>
      </c>
      <c r="B550" s="18">
        <v>0</v>
      </c>
      <c r="C550" s="18">
        <v>0</v>
      </c>
      <c r="D550" s="18">
        <v>207993.83045999997</v>
      </c>
      <c r="E550" s="18">
        <v>334860.17854705494</v>
      </c>
      <c r="F550" s="18">
        <v>0</v>
      </c>
      <c r="G550" s="18">
        <v>0</v>
      </c>
      <c r="H550" s="19">
        <v>0.60995245775548668</v>
      </c>
      <c r="I550" s="19">
        <v>0</v>
      </c>
      <c r="J550" s="19">
        <v>0.60995245775548668</v>
      </c>
    </row>
    <row r="551" spans="1:10" ht="11.25" customHeight="1" x14ac:dyDescent="0.2">
      <c r="A551" s="28">
        <v>44652</v>
      </c>
      <c r="B551" s="18">
        <v>0</v>
      </c>
      <c r="C551" s="18">
        <v>0</v>
      </c>
      <c r="D551" s="18">
        <v>186160.81431999998</v>
      </c>
      <c r="E551" s="18">
        <v>299710.06055224669</v>
      </c>
      <c r="F551" s="18">
        <v>0</v>
      </c>
      <c r="G551" s="18">
        <v>0</v>
      </c>
      <c r="H551" s="19">
        <v>0.60995245775548623</v>
      </c>
      <c r="I551" s="19">
        <v>0</v>
      </c>
      <c r="J551" s="19">
        <v>0.60995245775548623</v>
      </c>
    </row>
    <row r="552" spans="1:10" ht="11.25" customHeight="1" x14ac:dyDescent="0.2">
      <c r="A552" s="28">
        <v>44682</v>
      </c>
      <c r="B552" s="18">
        <v>0</v>
      </c>
      <c r="C552" s="18">
        <v>0</v>
      </c>
      <c r="D552" s="18">
        <v>200785.20097999999</v>
      </c>
      <c r="E552" s="18">
        <v>323254.62779868027</v>
      </c>
      <c r="F552" s="18">
        <v>0</v>
      </c>
      <c r="G552" s="18">
        <v>0</v>
      </c>
      <c r="H552" s="19">
        <v>0.60995245775548623</v>
      </c>
      <c r="I552" s="19">
        <v>0</v>
      </c>
      <c r="J552" s="19">
        <v>0.60995245775548623</v>
      </c>
    </row>
    <row r="553" spans="1:10" ht="11.25" customHeight="1" x14ac:dyDescent="0.2">
      <c r="A553" s="28">
        <v>44713</v>
      </c>
      <c r="B553" s="18">
        <v>0</v>
      </c>
      <c r="C553" s="18">
        <v>0</v>
      </c>
      <c r="D553" s="18">
        <v>199077.31232999999</v>
      </c>
      <c r="E553" s="18">
        <v>320505.00826904009</v>
      </c>
      <c r="F553" s="18">
        <v>0</v>
      </c>
      <c r="G553" s="18">
        <v>0</v>
      </c>
      <c r="H553" s="19">
        <v>0.60995245775548645</v>
      </c>
      <c r="I553" s="19">
        <v>0</v>
      </c>
      <c r="J553" s="19">
        <v>0.60995245775548645</v>
      </c>
    </row>
    <row r="554" spans="1:10" ht="11.25" customHeight="1" x14ac:dyDescent="0.2">
      <c r="A554" s="28">
        <v>44743</v>
      </c>
      <c r="B554" s="18">
        <v>0</v>
      </c>
      <c r="C554" s="18">
        <v>0</v>
      </c>
      <c r="D554" s="18">
        <v>199077.31232999999</v>
      </c>
      <c r="E554" s="18">
        <v>320505.00826904009</v>
      </c>
      <c r="F554" s="18">
        <v>0</v>
      </c>
      <c r="G554" s="18">
        <v>0</v>
      </c>
      <c r="H554" s="19">
        <v>0.60995245775548645</v>
      </c>
      <c r="I554" s="19">
        <v>0</v>
      </c>
      <c r="J554" s="19">
        <v>0.60995245775548645</v>
      </c>
    </row>
    <row r="555" spans="1:10" ht="11.25" customHeight="1" x14ac:dyDescent="0.2">
      <c r="A555" s="27" t="s">
        <v>25</v>
      </c>
      <c r="B555" s="18">
        <v>1380293.2932699998</v>
      </c>
      <c r="C555" s="18">
        <v>1309996.697113757</v>
      </c>
      <c r="D555" s="18">
        <v>0</v>
      </c>
      <c r="E555" s="18">
        <v>0</v>
      </c>
      <c r="F555" s="18">
        <v>0</v>
      </c>
      <c r="G555" s="18">
        <v>0</v>
      </c>
      <c r="H555" s="19">
        <v>-5.0928738478259072E-2</v>
      </c>
      <c r="I555" s="19">
        <v>0</v>
      </c>
      <c r="J555" s="19">
        <v>-5.0928738478259072E-2</v>
      </c>
    </row>
    <row r="556" spans="1:10" ht="11.25" customHeight="1" x14ac:dyDescent="0.2">
      <c r="A556" s="28">
        <v>44409</v>
      </c>
      <c r="B556" s="18">
        <v>101309.81068000001</v>
      </c>
      <c r="C556" s="18">
        <v>96150.229826596333</v>
      </c>
      <c r="D556" s="18">
        <v>0</v>
      </c>
      <c r="E556" s="18">
        <v>0</v>
      </c>
      <c r="F556" s="18">
        <v>0</v>
      </c>
      <c r="G556" s="18">
        <v>0</v>
      </c>
      <c r="H556" s="19">
        <v>-5.0928738478259294E-2</v>
      </c>
      <c r="I556" s="19">
        <v>0</v>
      </c>
      <c r="J556" s="19">
        <v>-5.0928738478259294E-2</v>
      </c>
    </row>
    <row r="557" spans="1:10" ht="11.25" customHeight="1" x14ac:dyDescent="0.2">
      <c r="A557" s="28">
        <v>44440</v>
      </c>
      <c r="B557" s="18">
        <v>112268.72017999999</v>
      </c>
      <c r="C557" s="18">
        <v>106551.01589066391</v>
      </c>
      <c r="D557" s="18">
        <v>0</v>
      </c>
      <c r="E557" s="18">
        <v>0</v>
      </c>
      <c r="F557" s="18">
        <v>0</v>
      </c>
      <c r="G557" s="18">
        <v>0</v>
      </c>
      <c r="H557" s="19">
        <v>-5.0928738478259183E-2</v>
      </c>
      <c r="I557" s="19">
        <v>0</v>
      </c>
      <c r="J557" s="19">
        <v>-5.0928738478259183E-2</v>
      </c>
    </row>
    <row r="558" spans="1:10" ht="11.25" customHeight="1" x14ac:dyDescent="0.2">
      <c r="A558" s="28">
        <v>44470</v>
      </c>
      <c r="B558" s="18">
        <v>112433.96657999999</v>
      </c>
      <c r="C558" s="18">
        <v>106707.84649997385</v>
      </c>
      <c r="D558" s="18">
        <v>0</v>
      </c>
      <c r="E558" s="18">
        <v>0</v>
      </c>
      <c r="F558" s="18">
        <v>0</v>
      </c>
      <c r="G558" s="18">
        <v>0</v>
      </c>
      <c r="H558" s="19">
        <v>-5.0928738478259072E-2</v>
      </c>
      <c r="I558" s="19">
        <v>0</v>
      </c>
      <c r="J558" s="19">
        <v>-5.0928738478259072E-2</v>
      </c>
    </row>
    <row r="559" spans="1:10" ht="11.25" customHeight="1" x14ac:dyDescent="0.2">
      <c r="A559" s="28">
        <v>44501</v>
      </c>
      <c r="B559" s="18">
        <v>112706.36207999999</v>
      </c>
      <c r="C559" s="18">
        <v>106966.36924079168</v>
      </c>
      <c r="D559" s="18">
        <v>0</v>
      </c>
      <c r="E559" s="18">
        <v>0</v>
      </c>
      <c r="F559" s="18">
        <v>0</v>
      </c>
      <c r="G559" s="18">
        <v>0</v>
      </c>
      <c r="H559" s="19">
        <v>-5.0928738478259183E-2</v>
      </c>
      <c r="I559" s="19">
        <v>0</v>
      </c>
      <c r="J559" s="19">
        <v>-5.0928738478259183E-2</v>
      </c>
    </row>
    <row r="560" spans="1:10" ht="11.25" customHeight="1" x14ac:dyDescent="0.2">
      <c r="A560" s="28">
        <v>44531</v>
      </c>
      <c r="B560" s="18">
        <v>112739.04953999999</v>
      </c>
      <c r="C560" s="18">
        <v>106997.39196968984</v>
      </c>
      <c r="D560" s="18">
        <v>0</v>
      </c>
      <c r="E560" s="18">
        <v>0</v>
      </c>
      <c r="F560" s="18">
        <v>0</v>
      </c>
      <c r="G560" s="18">
        <v>0</v>
      </c>
      <c r="H560" s="19">
        <v>-5.0928738478259072E-2</v>
      </c>
      <c r="I560" s="19">
        <v>0</v>
      </c>
      <c r="J560" s="19">
        <v>-5.0928738478259072E-2</v>
      </c>
    </row>
    <row r="561" spans="1:10" ht="11.25" customHeight="1" x14ac:dyDescent="0.2">
      <c r="A561" s="28">
        <v>44562</v>
      </c>
      <c r="B561" s="18">
        <v>112684.57044</v>
      </c>
      <c r="C561" s="18">
        <v>106945.68742152627</v>
      </c>
      <c r="D561" s="18">
        <v>0</v>
      </c>
      <c r="E561" s="18">
        <v>0</v>
      </c>
      <c r="F561" s="18">
        <v>0</v>
      </c>
      <c r="G561" s="18">
        <v>0</v>
      </c>
      <c r="H561" s="19">
        <v>-5.0928738478259183E-2</v>
      </c>
      <c r="I561" s="19">
        <v>0</v>
      </c>
      <c r="J561" s="19">
        <v>-5.0928738478259183E-2</v>
      </c>
    </row>
    <row r="562" spans="1:10" ht="11.25" customHeight="1" x14ac:dyDescent="0.2">
      <c r="A562" s="28">
        <v>44593</v>
      </c>
      <c r="B562" s="18">
        <v>116726.7273</v>
      </c>
      <c r="C562" s="18">
        <v>110781.98233191522</v>
      </c>
      <c r="D562" s="18">
        <v>0</v>
      </c>
      <c r="E562" s="18">
        <v>0</v>
      </c>
      <c r="F562" s="18">
        <v>0</v>
      </c>
      <c r="G562" s="18">
        <v>0</v>
      </c>
      <c r="H562" s="19">
        <v>-5.0928738478259183E-2</v>
      </c>
      <c r="I562" s="19">
        <v>0</v>
      </c>
      <c r="J562" s="19">
        <v>-5.0928738478259183E-2</v>
      </c>
    </row>
    <row r="563" spans="1:10" ht="11.25" customHeight="1" x14ac:dyDescent="0.2">
      <c r="A563" s="28">
        <v>44621</v>
      </c>
      <c r="B563" s="18">
        <v>119220.03808</v>
      </c>
      <c r="C563" s="18">
        <v>113148.31193925558</v>
      </c>
      <c r="D563" s="18">
        <v>0</v>
      </c>
      <c r="E563" s="18">
        <v>0</v>
      </c>
      <c r="F563" s="18">
        <v>0</v>
      </c>
      <c r="G563" s="18">
        <v>0</v>
      </c>
      <c r="H563" s="19">
        <v>-5.0928738478259183E-2</v>
      </c>
      <c r="I563" s="19">
        <v>0</v>
      </c>
      <c r="J563" s="19">
        <v>-5.0928738478259183E-2</v>
      </c>
    </row>
    <row r="564" spans="1:10" ht="11.25" customHeight="1" x14ac:dyDescent="0.2">
      <c r="A564" s="28">
        <v>44652</v>
      </c>
      <c r="B564" s="18">
        <v>120559.77509999998</v>
      </c>
      <c r="C564" s="18">
        <v>114419.81784293434</v>
      </c>
      <c r="D564" s="18">
        <v>0</v>
      </c>
      <c r="E564" s="18">
        <v>0</v>
      </c>
      <c r="F564" s="18">
        <v>0</v>
      </c>
      <c r="G564" s="18">
        <v>0</v>
      </c>
      <c r="H564" s="19">
        <v>-5.0928738478259183E-2</v>
      </c>
      <c r="I564" s="19">
        <v>0</v>
      </c>
      <c r="J564" s="19">
        <v>-5.0928738478259183E-2</v>
      </c>
    </row>
    <row r="565" spans="1:10" ht="11.25" customHeight="1" x14ac:dyDescent="0.2">
      <c r="A565" s="28">
        <v>44682</v>
      </c>
      <c r="B565" s="18">
        <v>119471.32664999999</v>
      </c>
      <c r="C565" s="18">
        <v>113386.80269939147</v>
      </c>
      <c r="D565" s="18">
        <v>0</v>
      </c>
      <c r="E565" s="18">
        <v>0</v>
      </c>
      <c r="F565" s="18">
        <v>0</v>
      </c>
      <c r="G565" s="18">
        <v>0</v>
      </c>
      <c r="H565" s="19">
        <v>-5.0928738478259183E-2</v>
      </c>
      <c r="I565" s="19">
        <v>0</v>
      </c>
      <c r="J565" s="19">
        <v>-5.0928738478259183E-2</v>
      </c>
    </row>
    <row r="566" spans="1:10" ht="11.25" customHeight="1" x14ac:dyDescent="0.2">
      <c r="A566" s="28">
        <v>44713</v>
      </c>
      <c r="B566" s="18">
        <v>120086.47331999999</v>
      </c>
      <c r="C566" s="18">
        <v>113970.62072550926</v>
      </c>
      <c r="D566" s="18">
        <v>0</v>
      </c>
      <c r="E566" s="18">
        <v>0</v>
      </c>
      <c r="F566" s="18">
        <v>0</v>
      </c>
      <c r="G566" s="18">
        <v>0</v>
      </c>
      <c r="H566" s="19">
        <v>-5.0928738478259183E-2</v>
      </c>
      <c r="I566" s="19">
        <v>0</v>
      </c>
      <c r="J566" s="19">
        <v>-5.0928738478259183E-2</v>
      </c>
    </row>
    <row r="567" spans="1:10" ht="11.25" customHeight="1" x14ac:dyDescent="0.2">
      <c r="A567" s="28">
        <v>44743</v>
      </c>
      <c r="B567" s="18">
        <v>120086.47331999999</v>
      </c>
      <c r="C567" s="18">
        <v>113970.62072550926</v>
      </c>
      <c r="D567" s="18">
        <v>0</v>
      </c>
      <c r="E567" s="18">
        <v>0</v>
      </c>
      <c r="F567" s="18">
        <v>0</v>
      </c>
      <c r="G567" s="18">
        <v>0</v>
      </c>
      <c r="H567" s="19">
        <v>-5.0928738478259183E-2</v>
      </c>
      <c r="I567" s="19">
        <v>0</v>
      </c>
      <c r="J567" s="19">
        <v>-5.0928738478259183E-2</v>
      </c>
    </row>
    <row r="568" spans="1:10" ht="11.25" customHeight="1" x14ac:dyDescent="0.2">
      <c r="A568" s="27" t="s">
        <v>37</v>
      </c>
      <c r="B568" s="18">
        <v>0</v>
      </c>
      <c r="C568" s="18">
        <v>0</v>
      </c>
      <c r="D568" s="18">
        <v>2002207.4380142379</v>
      </c>
      <c r="E568" s="18">
        <v>1967956.8485114921</v>
      </c>
      <c r="F568" s="18">
        <v>0</v>
      </c>
      <c r="G568" s="18">
        <v>0</v>
      </c>
      <c r="H568" s="19">
        <v>-1.7106414077012411E-2</v>
      </c>
      <c r="I568" s="19">
        <v>0</v>
      </c>
      <c r="J568" s="19">
        <v>-1.7106414077012411E-2</v>
      </c>
    </row>
    <row r="569" spans="1:10" ht="11.25" customHeight="1" x14ac:dyDescent="0.2">
      <c r="A569" s="28">
        <v>44409</v>
      </c>
      <c r="B569" s="18">
        <v>0</v>
      </c>
      <c r="C569" s="18">
        <v>0</v>
      </c>
      <c r="D569" s="18">
        <v>144246.88409931402</v>
      </c>
      <c r="E569" s="18">
        <v>141779.33717059233</v>
      </c>
      <c r="F569" s="18">
        <v>0</v>
      </c>
      <c r="G569" s="18">
        <v>0</v>
      </c>
      <c r="H569" s="19">
        <v>-1.7106414077012411E-2</v>
      </c>
      <c r="I569" s="19">
        <v>0</v>
      </c>
      <c r="J569" s="19">
        <v>-1.7106414077012411E-2</v>
      </c>
    </row>
    <row r="570" spans="1:10" ht="11.25" customHeight="1" x14ac:dyDescent="0.2">
      <c r="A570" s="28">
        <v>44440</v>
      </c>
      <c r="B570" s="18">
        <v>0</v>
      </c>
      <c r="C570" s="18">
        <v>0</v>
      </c>
      <c r="D570" s="18">
        <v>176479.66415484002</v>
      </c>
      <c r="E570" s="18">
        <v>173460.72994363523</v>
      </c>
      <c r="F570" s="18">
        <v>0</v>
      </c>
      <c r="G570" s="18">
        <v>0</v>
      </c>
      <c r="H570" s="19">
        <v>-1.7106414077012522E-2</v>
      </c>
      <c r="I570" s="19">
        <v>0</v>
      </c>
      <c r="J570" s="19">
        <v>-1.7106414077012522E-2</v>
      </c>
    </row>
    <row r="571" spans="1:10" ht="11.25" customHeight="1" x14ac:dyDescent="0.2">
      <c r="A571" s="28">
        <v>44470</v>
      </c>
      <c r="B571" s="18">
        <v>0</v>
      </c>
      <c r="C571" s="18">
        <v>0</v>
      </c>
      <c r="D571" s="18">
        <v>170300.49844795599</v>
      </c>
      <c r="E571" s="18">
        <v>167387.26760398364</v>
      </c>
      <c r="F571" s="18">
        <v>0</v>
      </c>
      <c r="G571" s="18">
        <v>0</v>
      </c>
      <c r="H571" s="19">
        <v>-1.7106414077012522E-2</v>
      </c>
      <c r="I571" s="19">
        <v>0</v>
      </c>
      <c r="J571" s="19">
        <v>-1.7106414077012522E-2</v>
      </c>
    </row>
    <row r="572" spans="1:10" ht="11.25" customHeight="1" x14ac:dyDescent="0.2">
      <c r="A572" s="28">
        <v>44501</v>
      </c>
      <c r="B572" s="18">
        <v>0</v>
      </c>
      <c r="C572" s="18">
        <v>0</v>
      </c>
      <c r="D572" s="18">
        <v>172782.658109643</v>
      </c>
      <c r="E572" s="18">
        <v>169826.96641469258</v>
      </c>
      <c r="F572" s="18">
        <v>0</v>
      </c>
      <c r="G572" s="18">
        <v>0</v>
      </c>
      <c r="H572" s="19">
        <v>-1.7106414077012411E-2</v>
      </c>
      <c r="I572" s="19">
        <v>0</v>
      </c>
      <c r="J572" s="19">
        <v>-1.7106414077012411E-2</v>
      </c>
    </row>
    <row r="573" spans="1:10" ht="11.25" customHeight="1" x14ac:dyDescent="0.2">
      <c r="A573" s="28">
        <v>44531</v>
      </c>
      <c r="B573" s="18">
        <v>0</v>
      </c>
      <c r="C573" s="18">
        <v>0</v>
      </c>
      <c r="D573" s="18">
        <v>187256.57099050001</v>
      </c>
      <c r="E573" s="18">
        <v>184053.28254849504</v>
      </c>
      <c r="F573" s="18">
        <v>0</v>
      </c>
      <c r="G573" s="18">
        <v>0</v>
      </c>
      <c r="H573" s="19">
        <v>-1.7106414077012411E-2</v>
      </c>
      <c r="I573" s="19">
        <v>0</v>
      </c>
      <c r="J573" s="19">
        <v>-1.7106414077012411E-2</v>
      </c>
    </row>
    <row r="574" spans="1:10" ht="11.25" customHeight="1" x14ac:dyDescent="0.2">
      <c r="A574" s="28">
        <v>44562</v>
      </c>
      <c r="B574" s="18">
        <v>0</v>
      </c>
      <c r="C574" s="18">
        <v>0</v>
      </c>
      <c r="D574" s="18">
        <v>174254.79234056</v>
      </c>
      <c r="E574" s="18">
        <v>171273.91770787857</v>
      </c>
      <c r="F574" s="18">
        <v>0</v>
      </c>
      <c r="G574" s="18">
        <v>0</v>
      </c>
      <c r="H574" s="19">
        <v>-1.7106414077012411E-2</v>
      </c>
      <c r="I574" s="19">
        <v>0</v>
      </c>
      <c r="J574" s="19">
        <v>-1.7106414077012411E-2</v>
      </c>
    </row>
    <row r="575" spans="1:10" ht="11.25" customHeight="1" x14ac:dyDescent="0.2">
      <c r="A575" s="28">
        <v>44593</v>
      </c>
      <c r="B575" s="18">
        <v>0</v>
      </c>
      <c r="C575" s="18">
        <v>0</v>
      </c>
      <c r="D575" s="18">
        <v>163102.65434579999</v>
      </c>
      <c r="E575" s="18">
        <v>160312.5528035009</v>
      </c>
      <c r="F575" s="18">
        <v>0</v>
      </c>
      <c r="G575" s="18">
        <v>0</v>
      </c>
      <c r="H575" s="19">
        <v>-1.7106414077012411E-2</v>
      </c>
      <c r="I575" s="19">
        <v>0</v>
      </c>
      <c r="J575" s="19">
        <v>-1.7106414077012411E-2</v>
      </c>
    </row>
    <row r="576" spans="1:10" ht="11.25" customHeight="1" x14ac:dyDescent="0.2">
      <c r="A576" s="28">
        <v>44621</v>
      </c>
      <c r="B576" s="18">
        <v>0</v>
      </c>
      <c r="C576" s="18">
        <v>0</v>
      </c>
      <c r="D576" s="18">
        <v>172188.75375088802</v>
      </c>
      <c r="E576" s="18">
        <v>169243.22162982059</v>
      </c>
      <c r="F576" s="18">
        <v>0</v>
      </c>
      <c r="G576" s="18">
        <v>0</v>
      </c>
      <c r="H576" s="19">
        <v>-1.7106414077012522E-2</v>
      </c>
      <c r="I576" s="19">
        <v>0</v>
      </c>
      <c r="J576" s="19">
        <v>-1.7106414077012522E-2</v>
      </c>
    </row>
    <row r="577" spans="1:10" ht="11.25" customHeight="1" x14ac:dyDescent="0.2">
      <c r="A577" s="28">
        <v>44652</v>
      </c>
      <c r="B577" s="18">
        <v>0</v>
      </c>
      <c r="C577" s="18">
        <v>0</v>
      </c>
      <c r="D577" s="18">
        <v>152583.504719277</v>
      </c>
      <c r="E577" s="18">
        <v>149973.34810622726</v>
      </c>
      <c r="F577" s="18">
        <v>0</v>
      </c>
      <c r="G577" s="18">
        <v>0</v>
      </c>
      <c r="H577" s="19">
        <v>-1.7106414077012411E-2</v>
      </c>
      <c r="I577" s="19">
        <v>0</v>
      </c>
      <c r="J577" s="19">
        <v>-1.7106414077012411E-2</v>
      </c>
    </row>
    <row r="578" spans="1:10" ht="11.25" customHeight="1" x14ac:dyDescent="0.2">
      <c r="A578" s="28">
        <v>44682</v>
      </c>
      <c r="B578" s="18">
        <v>0</v>
      </c>
      <c r="C578" s="18">
        <v>0</v>
      </c>
      <c r="D578" s="18">
        <v>168306.04405368</v>
      </c>
      <c r="E578" s="18">
        <v>165426.93117243386</v>
      </c>
      <c r="F578" s="18">
        <v>0</v>
      </c>
      <c r="G578" s="18">
        <v>0</v>
      </c>
      <c r="H578" s="19">
        <v>-1.7106414077012411E-2</v>
      </c>
      <c r="I578" s="19">
        <v>0</v>
      </c>
      <c r="J578" s="19">
        <v>-1.7106414077012411E-2</v>
      </c>
    </row>
    <row r="579" spans="1:10" ht="11.25" customHeight="1" x14ac:dyDescent="0.2">
      <c r="A579" s="28">
        <v>44713</v>
      </c>
      <c r="B579" s="18">
        <v>0</v>
      </c>
      <c r="C579" s="18">
        <v>0</v>
      </c>
      <c r="D579" s="18">
        <v>160352.70650089</v>
      </c>
      <c r="E579" s="18">
        <v>157609.64670511615</v>
      </c>
      <c r="F579" s="18">
        <v>0</v>
      </c>
      <c r="G579" s="18">
        <v>0</v>
      </c>
      <c r="H579" s="19">
        <v>-1.71064140770123E-2</v>
      </c>
      <c r="I579" s="19">
        <v>0</v>
      </c>
      <c r="J579" s="19">
        <v>-1.71064140770123E-2</v>
      </c>
    </row>
    <row r="580" spans="1:10" ht="11.25" customHeight="1" x14ac:dyDescent="0.2">
      <c r="A580" s="28">
        <v>44743</v>
      </c>
      <c r="B580" s="18">
        <v>0</v>
      </c>
      <c r="C580" s="18">
        <v>0</v>
      </c>
      <c r="D580" s="18">
        <v>160352.70650089</v>
      </c>
      <c r="E580" s="18">
        <v>157609.64670511615</v>
      </c>
      <c r="F580" s="18">
        <v>0</v>
      </c>
      <c r="G580" s="18">
        <v>0</v>
      </c>
      <c r="H580" s="19">
        <v>-1.71064140770123E-2</v>
      </c>
      <c r="I580" s="19">
        <v>0</v>
      </c>
      <c r="J580" s="19">
        <v>-1.71064140770123E-2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AB5A8-F75B-4638-9747-10A533BE6B75}">
  <dimension ref="A1:G289"/>
  <sheetViews>
    <sheetView showGridLines="0" workbookViewId="0"/>
  </sheetViews>
  <sheetFormatPr defaultRowHeight="11.25" customHeight="1" x14ac:dyDescent="0.2"/>
  <cols>
    <col min="1" max="1" width="34.7109375" style="14" bestFit="1" customWidth="1"/>
    <col min="2" max="2" width="20.42578125" style="18" bestFit="1" customWidth="1"/>
    <col min="3" max="3" width="21.85546875" style="18" bestFit="1" customWidth="1"/>
    <col min="4" max="4" width="20.28515625" style="18" bestFit="1" customWidth="1"/>
    <col min="5" max="5" width="21.7109375" style="18" bestFit="1" customWidth="1"/>
    <col min="6" max="6" width="14.85546875" style="18" bestFit="1" customWidth="1"/>
    <col min="7" max="7" width="14.7109375" style="18" bestFit="1" customWidth="1"/>
    <col min="8" max="16384" width="9.140625" style="14"/>
  </cols>
  <sheetData>
    <row r="1" spans="1:7" ht="11.25" customHeight="1" x14ac:dyDescent="0.2">
      <c r="A1" s="17" t="s">
        <v>636</v>
      </c>
      <c r="B1" s="18" t="s">
        <v>661</v>
      </c>
      <c r="C1" s="18" t="s">
        <v>662</v>
      </c>
      <c r="D1" s="18" t="s">
        <v>663</v>
      </c>
      <c r="E1" s="18" t="s">
        <v>664</v>
      </c>
      <c r="F1" s="18" t="s">
        <v>665</v>
      </c>
      <c r="G1" s="18" t="s">
        <v>666</v>
      </c>
    </row>
    <row r="2" spans="1:7" ht="11.25" customHeight="1" x14ac:dyDescent="0.2">
      <c r="A2" s="20" t="s">
        <v>652</v>
      </c>
      <c r="B2" s="18">
        <v>17264.310000000001</v>
      </c>
      <c r="C2" s="18">
        <v>77313.20633520004</v>
      </c>
      <c r="D2" s="18">
        <v>16385.060471002409</v>
      </c>
      <c r="E2" s="18">
        <v>86870.762775310533</v>
      </c>
      <c r="F2" s="18">
        <v>94577.516335200038</v>
      </c>
      <c r="G2" s="18">
        <v>103255.82324631294</v>
      </c>
    </row>
    <row r="3" spans="1:7" ht="11.25" customHeight="1" x14ac:dyDescent="0.2">
      <c r="A3" s="21" t="s">
        <v>35</v>
      </c>
      <c r="B3" s="18">
        <v>17264.310000000001</v>
      </c>
      <c r="C3" s="18">
        <v>57121.685940000025</v>
      </c>
      <c r="D3" s="18">
        <v>16385.060471002409</v>
      </c>
      <c r="E3" s="18">
        <v>63459.048323517825</v>
      </c>
      <c r="F3" s="18">
        <v>74385.995940000023</v>
      </c>
      <c r="G3" s="18">
        <v>79844.108794520231</v>
      </c>
    </row>
    <row r="4" spans="1:7" ht="11.25" customHeight="1" x14ac:dyDescent="0.2">
      <c r="A4" s="22" t="s">
        <v>39</v>
      </c>
      <c r="B4" s="18">
        <v>17264.310000000001</v>
      </c>
      <c r="C4" s="18">
        <v>57121.685940000025</v>
      </c>
      <c r="D4" s="18">
        <v>16385.060471002409</v>
      </c>
      <c r="E4" s="18">
        <v>63459.048323517825</v>
      </c>
      <c r="F4" s="18">
        <v>74385.995940000023</v>
      </c>
      <c r="G4" s="18">
        <v>79844.108794520231</v>
      </c>
    </row>
    <row r="5" spans="1:7" ht="11.25" customHeight="1" x14ac:dyDescent="0.2">
      <c r="A5" s="23" t="s">
        <v>47</v>
      </c>
      <c r="B5" s="18">
        <v>17264.310000000001</v>
      </c>
      <c r="C5" s="18">
        <v>57121.685940000025</v>
      </c>
      <c r="D5" s="18">
        <v>16385.060471002409</v>
      </c>
      <c r="E5" s="18">
        <v>63459.048323517825</v>
      </c>
      <c r="F5" s="18">
        <v>74385.995940000023</v>
      </c>
      <c r="G5" s="18">
        <v>79844.108794520231</v>
      </c>
    </row>
    <row r="6" spans="1:7" ht="11.25" customHeight="1" x14ac:dyDescent="0.2">
      <c r="A6" s="24" t="s">
        <v>48</v>
      </c>
      <c r="B6" s="18">
        <v>17264.310000000001</v>
      </c>
      <c r="C6" s="18">
        <v>57121.685940000025</v>
      </c>
      <c r="D6" s="18">
        <v>16385.060471002409</v>
      </c>
      <c r="E6" s="18">
        <v>63459.048323517825</v>
      </c>
      <c r="F6" s="18">
        <v>74385.995940000023</v>
      </c>
      <c r="G6" s="18">
        <v>79844.108794520231</v>
      </c>
    </row>
    <row r="7" spans="1:7" ht="11.25" customHeight="1" x14ac:dyDescent="0.2">
      <c r="A7" s="25" t="s">
        <v>25</v>
      </c>
      <c r="B7" s="18">
        <v>17264.310000000001</v>
      </c>
      <c r="C7" s="18">
        <v>57121.685940000025</v>
      </c>
      <c r="D7" s="18">
        <v>16385.060471002409</v>
      </c>
      <c r="E7" s="18">
        <v>63459.048323517825</v>
      </c>
      <c r="F7" s="18">
        <v>74385.995940000023</v>
      </c>
      <c r="G7" s="18">
        <v>79844.108794520231</v>
      </c>
    </row>
    <row r="8" spans="1:7" ht="11.25" customHeight="1" x14ac:dyDescent="0.2">
      <c r="A8" s="26" t="s">
        <v>25</v>
      </c>
      <c r="B8" s="18">
        <v>17264.310000000001</v>
      </c>
      <c r="C8" s="18">
        <v>57121.685940000025</v>
      </c>
      <c r="D8" s="18">
        <v>16385.060471002409</v>
      </c>
      <c r="E8" s="18">
        <v>63459.048323517825</v>
      </c>
      <c r="F8" s="18">
        <v>74385.995940000023</v>
      </c>
      <c r="G8" s="18">
        <v>79844.108794520231</v>
      </c>
    </row>
    <row r="9" spans="1:7" ht="11.25" customHeight="1" x14ac:dyDescent="0.2">
      <c r="A9" s="27" t="s">
        <v>38</v>
      </c>
      <c r="B9" s="18">
        <v>0</v>
      </c>
      <c r="C9" s="18">
        <v>33714.085944000013</v>
      </c>
      <c r="D9" s="18">
        <v>0</v>
      </c>
      <c r="E9" s="18">
        <v>40332.81966361012</v>
      </c>
      <c r="F9" s="18">
        <v>33714.085944000013</v>
      </c>
      <c r="G9" s="18">
        <v>40332.81966361012</v>
      </c>
    </row>
    <row r="10" spans="1:7" ht="11.25" customHeight="1" x14ac:dyDescent="0.2">
      <c r="A10" s="28">
        <v>44409</v>
      </c>
      <c r="B10" s="18">
        <v>0</v>
      </c>
      <c r="C10" s="18">
        <v>2473.0402620000041</v>
      </c>
      <c r="D10" s="18">
        <v>0</v>
      </c>
      <c r="E10" s="18">
        <v>2958.5463795094979</v>
      </c>
      <c r="F10" s="18">
        <v>2473.0402620000041</v>
      </c>
      <c r="G10" s="18">
        <v>2958.5463795094979</v>
      </c>
    </row>
    <row r="11" spans="1:7" ht="11.25" customHeight="1" x14ac:dyDescent="0.2">
      <c r="A11" s="28">
        <v>44440</v>
      </c>
      <c r="B11" s="18">
        <v>0</v>
      </c>
      <c r="C11" s="18">
        <v>2374.8865140000071</v>
      </c>
      <c r="D11" s="18">
        <v>0</v>
      </c>
      <c r="E11" s="18">
        <v>2841.1231332151447</v>
      </c>
      <c r="F11" s="18">
        <v>2374.8865140000071</v>
      </c>
      <c r="G11" s="18">
        <v>2841.1231332151447</v>
      </c>
    </row>
    <row r="12" spans="1:7" ht="11.25" customHeight="1" x14ac:dyDescent="0.2">
      <c r="A12" s="28">
        <v>44470</v>
      </c>
      <c r="B12" s="18">
        <v>0</v>
      </c>
      <c r="C12" s="18">
        <v>2515.4846640000023</v>
      </c>
      <c r="D12" s="18">
        <v>0</v>
      </c>
      <c r="E12" s="18">
        <v>3009.323446829052</v>
      </c>
      <c r="F12" s="18">
        <v>2515.4846640000023</v>
      </c>
      <c r="G12" s="18">
        <v>3009.323446829052</v>
      </c>
    </row>
    <row r="13" spans="1:7" ht="11.25" customHeight="1" x14ac:dyDescent="0.2">
      <c r="A13" s="28">
        <v>44501</v>
      </c>
      <c r="B13" s="18">
        <v>0</v>
      </c>
      <c r="C13" s="18">
        <v>2568.8179439999994</v>
      </c>
      <c r="D13" s="18">
        <v>0</v>
      </c>
      <c r="E13" s="18">
        <v>3073.1270916284898</v>
      </c>
      <c r="F13" s="18">
        <v>2568.8179439999994</v>
      </c>
      <c r="G13" s="18">
        <v>3073.1270916284898</v>
      </c>
    </row>
    <row r="14" spans="1:7" ht="11.25" customHeight="1" x14ac:dyDescent="0.2">
      <c r="A14" s="28">
        <v>44531</v>
      </c>
      <c r="B14" s="18">
        <v>0</v>
      </c>
      <c r="C14" s="18">
        <v>3060.9712980000018</v>
      </c>
      <c r="D14" s="18">
        <v>0</v>
      </c>
      <c r="E14" s="18">
        <v>3661.8997638787246</v>
      </c>
      <c r="F14" s="18">
        <v>3060.9712980000018</v>
      </c>
      <c r="G14" s="18">
        <v>3661.8997638787246</v>
      </c>
    </row>
    <row r="15" spans="1:7" ht="11.25" customHeight="1" x14ac:dyDescent="0.2">
      <c r="A15" s="28">
        <v>44562</v>
      </c>
      <c r="B15" s="18">
        <v>0</v>
      </c>
      <c r="C15" s="18">
        <v>3752.6116319999946</v>
      </c>
      <c r="D15" s="18">
        <v>0</v>
      </c>
      <c r="E15" s="18">
        <v>4489.3226075422444</v>
      </c>
      <c r="F15" s="18">
        <v>3752.6116319999946</v>
      </c>
      <c r="G15" s="18">
        <v>4489.3226075422444</v>
      </c>
    </row>
    <row r="16" spans="1:7" ht="11.25" customHeight="1" x14ac:dyDescent="0.2">
      <c r="A16" s="28">
        <v>44593</v>
      </c>
      <c r="B16" s="18">
        <v>0</v>
      </c>
      <c r="C16" s="18">
        <v>3035.3644859999954</v>
      </c>
      <c r="D16" s="18">
        <v>0</v>
      </c>
      <c r="E16" s="18">
        <v>3631.2658344205238</v>
      </c>
      <c r="F16" s="18">
        <v>3035.3644859999954</v>
      </c>
      <c r="G16" s="18">
        <v>3631.2658344205238</v>
      </c>
    </row>
    <row r="17" spans="1:7" ht="11.25" customHeight="1" x14ac:dyDescent="0.2">
      <c r="A17" s="28">
        <v>44621</v>
      </c>
      <c r="B17" s="18">
        <v>0</v>
      </c>
      <c r="C17" s="18">
        <v>2916.5953740000059</v>
      </c>
      <c r="D17" s="18">
        <v>0</v>
      </c>
      <c r="E17" s="18">
        <v>3489.1800254248565</v>
      </c>
      <c r="F17" s="18">
        <v>2916.5953740000059</v>
      </c>
      <c r="G17" s="18">
        <v>3489.1800254248565</v>
      </c>
    </row>
    <row r="18" spans="1:7" ht="11.25" customHeight="1" x14ac:dyDescent="0.2">
      <c r="A18" s="28">
        <v>44652</v>
      </c>
      <c r="B18" s="18">
        <v>0</v>
      </c>
      <c r="C18" s="18">
        <v>2807.723688</v>
      </c>
      <c r="D18" s="18">
        <v>0</v>
      </c>
      <c r="E18" s="18">
        <v>3358.9347005121426</v>
      </c>
      <c r="F18" s="18">
        <v>2807.723688</v>
      </c>
      <c r="G18" s="18">
        <v>3358.9347005121426</v>
      </c>
    </row>
    <row r="19" spans="1:7" ht="11.25" customHeight="1" x14ac:dyDescent="0.2">
      <c r="A19" s="28">
        <v>44682</v>
      </c>
      <c r="B19" s="18">
        <v>0</v>
      </c>
      <c r="C19" s="18">
        <v>2737.6211940000003</v>
      </c>
      <c r="D19" s="18">
        <v>0</v>
      </c>
      <c r="E19" s="18">
        <v>3275.0697173959538</v>
      </c>
      <c r="F19" s="18">
        <v>2737.6211940000003</v>
      </c>
      <c r="G19" s="18">
        <v>3275.0697173959538</v>
      </c>
    </row>
    <row r="20" spans="1:7" ht="11.25" customHeight="1" x14ac:dyDescent="0.2">
      <c r="A20" s="28">
        <v>44713</v>
      </c>
      <c r="B20" s="18">
        <v>0</v>
      </c>
      <c r="C20" s="18">
        <v>2735.4844440000015</v>
      </c>
      <c r="D20" s="18">
        <v>0</v>
      </c>
      <c r="E20" s="18">
        <v>3272.5134816267482</v>
      </c>
      <c r="F20" s="18">
        <v>2735.4844440000015</v>
      </c>
      <c r="G20" s="18">
        <v>3272.5134816267482</v>
      </c>
    </row>
    <row r="21" spans="1:7" ht="11.25" customHeight="1" x14ac:dyDescent="0.2">
      <c r="A21" s="28">
        <v>44743</v>
      </c>
      <c r="B21" s="18">
        <v>0</v>
      </c>
      <c r="C21" s="18">
        <v>2735.4844440000015</v>
      </c>
      <c r="D21" s="18">
        <v>0</v>
      </c>
      <c r="E21" s="18">
        <v>3272.5134816267482</v>
      </c>
      <c r="F21" s="18">
        <v>2735.4844440000015</v>
      </c>
      <c r="G21" s="18">
        <v>3272.5134816267482</v>
      </c>
    </row>
    <row r="22" spans="1:7" ht="11.25" customHeight="1" x14ac:dyDescent="0.2">
      <c r="A22" s="27" t="s">
        <v>25</v>
      </c>
      <c r="B22" s="18">
        <v>17264.310000000001</v>
      </c>
      <c r="C22" s="18">
        <v>0</v>
      </c>
      <c r="D22" s="18">
        <v>16385.060471002409</v>
      </c>
      <c r="E22" s="18">
        <v>0</v>
      </c>
      <c r="F22" s="18">
        <v>17264.310000000001</v>
      </c>
      <c r="G22" s="18">
        <v>16385.060471002409</v>
      </c>
    </row>
    <row r="23" spans="1:7" ht="11.25" customHeight="1" x14ac:dyDescent="0.2">
      <c r="A23" s="28">
        <v>44409</v>
      </c>
      <c r="B23" s="18">
        <v>1374</v>
      </c>
      <c r="C23" s="18">
        <v>0</v>
      </c>
      <c r="D23" s="18">
        <v>1304.0239133308719</v>
      </c>
      <c r="E23" s="18">
        <v>0</v>
      </c>
      <c r="F23" s="18">
        <v>1374</v>
      </c>
      <c r="G23" s="18">
        <v>1304.0239133308719</v>
      </c>
    </row>
    <row r="24" spans="1:7" ht="11.25" customHeight="1" x14ac:dyDescent="0.2">
      <c r="A24" s="28">
        <v>44440</v>
      </c>
      <c r="B24" s="18">
        <v>1374</v>
      </c>
      <c r="C24" s="18">
        <v>0</v>
      </c>
      <c r="D24" s="18">
        <v>1304.0239133308719</v>
      </c>
      <c r="E24" s="18">
        <v>0</v>
      </c>
      <c r="F24" s="18">
        <v>1374</v>
      </c>
      <c r="G24" s="18">
        <v>1304.0239133308719</v>
      </c>
    </row>
    <row r="25" spans="1:7" ht="11.25" customHeight="1" x14ac:dyDescent="0.2">
      <c r="A25" s="28">
        <v>44470</v>
      </c>
      <c r="B25" s="18">
        <v>1374</v>
      </c>
      <c r="C25" s="18">
        <v>0</v>
      </c>
      <c r="D25" s="18">
        <v>1304.0239133308719</v>
      </c>
      <c r="E25" s="18">
        <v>0</v>
      </c>
      <c r="F25" s="18">
        <v>1374</v>
      </c>
      <c r="G25" s="18">
        <v>1304.0239133308719</v>
      </c>
    </row>
    <row r="26" spans="1:7" ht="11.25" customHeight="1" x14ac:dyDescent="0.2">
      <c r="A26" s="28">
        <v>44501</v>
      </c>
      <c r="B26" s="18">
        <v>1374</v>
      </c>
      <c r="C26" s="18">
        <v>0</v>
      </c>
      <c r="D26" s="18">
        <v>1304.0239133308719</v>
      </c>
      <c r="E26" s="18">
        <v>0</v>
      </c>
      <c r="F26" s="18">
        <v>1374</v>
      </c>
      <c r="G26" s="18">
        <v>1304.0239133308719</v>
      </c>
    </row>
    <row r="27" spans="1:7" ht="11.25" customHeight="1" x14ac:dyDescent="0.2">
      <c r="A27" s="28">
        <v>44531</v>
      </c>
      <c r="B27" s="18">
        <v>1662.5400000000004</v>
      </c>
      <c r="C27" s="18">
        <v>0</v>
      </c>
      <c r="D27" s="18">
        <v>1577.8689351303553</v>
      </c>
      <c r="E27" s="18">
        <v>0</v>
      </c>
      <c r="F27" s="18">
        <v>1662.5400000000004</v>
      </c>
      <c r="G27" s="18">
        <v>1577.8689351303553</v>
      </c>
    </row>
    <row r="28" spans="1:7" ht="11.25" customHeight="1" x14ac:dyDescent="0.2">
      <c r="A28" s="28">
        <v>44562</v>
      </c>
      <c r="B28" s="18">
        <v>1683.1499999999999</v>
      </c>
      <c r="C28" s="18">
        <v>0</v>
      </c>
      <c r="D28" s="18">
        <v>1597.4292938303179</v>
      </c>
      <c r="E28" s="18">
        <v>0</v>
      </c>
      <c r="F28" s="18">
        <v>1683.1499999999999</v>
      </c>
      <c r="G28" s="18">
        <v>1597.4292938303179</v>
      </c>
    </row>
    <row r="29" spans="1:7" ht="11.25" customHeight="1" x14ac:dyDescent="0.2">
      <c r="A29" s="28">
        <v>44593</v>
      </c>
      <c r="B29" s="18">
        <v>1446.1350000000007</v>
      </c>
      <c r="C29" s="18">
        <v>0</v>
      </c>
      <c r="D29" s="18">
        <v>1372.4851687807434</v>
      </c>
      <c r="E29" s="18">
        <v>0</v>
      </c>
      <c r="F29" s="18">
        <v>1446.1350000000007</v>
      </c>
      <c r="G29" s="18">
        <v>1372.4851687807434</v>
      </c>
    </row>
    <row r="30" spans="1:7" ht="11.25" customHeight="1" x14ac:dyDescent="0.2">
      <c r="A30" s="28">
        <v>44621</v>
      </c>
      <c r="B30" s="18">
        <v>1463.3100000000006</v>
      </c>
      <c r="C30" s="18">
        <v>0</v>
      </c>
      <c r="D30" s="18">
        <v>1388.7854676973793</v>
      </c>
      <c r="E30" s="18">
        <v>0</v>
      </c>
      <c r="F30" s="18">
        <v>1463.3100000000006</v>
      </c>
      <c r="G30" s="18">
        <v>1388.7854676973793</v>
      </c>
    </row>
    <row r="31" spans="1:7" ht="11.25" customHeight="1" x14ac:dyDescent="0.2">
      <c r="A31" s="28">
        <v>44652</v>
      </c>
      <c r="B31" s="18">
        <v>1391.175</v>
      </c>
      <c r="C31" s="18">
        <v>0</v>
      </c>
      <c r="D31" s="18">
        <v>1320.3242122475076</v>
      </c>
      <c r="E31" s="18">
        <v>0</v>
      </c>
      <c r="F31" s="18">
        <v>1391.175</v>
      </c>
      <c r="G31" s="18">
        <v>1320.3242122475076</v>
      </c>
    </row>
    <row r="32" spans="1:7" ht="11.25" customHeight="1" x14ac:dyDescent="0.2">
      <c r="A32" s="28">
        <v>44682</v>
      </c>
      <c r="B32" s="18">
        <v>1374</v>
      </c>
      <c r="C32" s="18">
        <v>0</v>
      </c>
      <c r="D32" s="18">
        <v>1304.0239133308719</v>
      </c>
      <c r="E32" s="18">
        <v>0</v>
      </c>
      <c r="F32" s="18">
        <v>1374</v>
      </c>
      <c r="G32" s="18">
        <v>1304.0239133308719</v>
      </c>
    </row>
    <row r="33" spans="1:7" ht="11.25" customHeight="1" x14ac:dyDescent="0.2">
      <c r="A33" s="28">
        <v>44713</v>
      </c>
      <c r="B33" s="18">
        <v>1374</v>
      </c>
      <c r="C33" s="18">
        <v>0</v>
      </c>
      <c r="D33" s="18">
        <v>1304.0239133308719</v>
      </c>
      <c r="E33" s="18">
        <v>0</v>
      </c>
      <c r="F33" s="18">
        <v>1374</v>
      </c>
      <c r="G33" s="18">
        <v>1304.0239133308719</v>
      </c>
    </row>
    <row r="34" spans="1:7" ht="11.25" customHeight="1" x14ac:dyDescent="0.2">
      <c r="A34" s="28">
        <v>44743</v>
      </c>
      <c r="B34" s="18">
        <v>1374</v>
      </c>
      <c r="C34" s="18">
        <v>0</v>
      </c>
      <c r="D34" s="18">
        <v>1304.0239133308719</v>
      </c>
      <c r="E34" s="18">
        <v>0</v>
      </c>
      <c r="F34" s="18">
        <v>1374</v>
      </c>
      <c r="G34" s="18">
        <v>1304.0239133308719</v>
      </c>
    </row>
    <row r="35" spans="1:7" ht="11.25" customHeight="1" x14ac:dyDescent="0.2">
      <c r="A35" s="27" t="s">
        <v>37</v>
      </c>
      <c r="B35" s="18">
        <v>0</v>
      </c>
      <c r="C35" s="18">
        <v>23407.599996000008</v>
      </c>
      <c r="D35" s="18">
        <v>0</v>
      </c>
      <c r="E35" s="18">
        <v>23126.228659907705</v>
      </c>
      <c r="F35" s="18">
        <v>23407.599996000008</v>
      </c>
      <c r="G35" s="18">
        <v>23126.228659907705</v>
      </c>
    </row>
    <row r="36" spans="1:7" ht="11.25" customHeight="1" x14ac:dyDescent="0.2">
      <c r="A36" s="28">
        <v>44409</v>
      </c>
      <c r="B36" s="18">
        <v>0</v>
      </c>
      <c r="C36" s="18">
        <v>1626.2321400000001</v>
      </c>
      <c r="D36" s="18">
        <v>0</v>
      </c>
      <c r="E36" s="18">
        <v>1606.6839970846124</v>
      </c>
      <c r="F36" s="18">
        <v>1626.2321400000001</v>
      </c>
      <c r="G36" s="18">
        <v>1606.6839970846124</v>
      </c>
    </row>
    <row r="37" spans="1:7" ht="11.25" customHeight="1" x14ac:dyDescent="0.2">
      <c r="A37" s="28">
        <v>44440</v>
      </c>
      <c r="B37" s="18">
        <v>0</v>
      </c>
      <c r="C37" s="18">
        <v>1552.6403460000001</v>
      </c>
      <c r="D37" s="18">
        <v>0</v>
      </c>
      <c r="E37" s="18">
        <v>1533.9768141257591</v>
      </c>
      <c r="F37" s="18">
        <v>1552.6403460000001</v>
      </c>
      <c r="G37" s="18">
        <v>1533.9768141257591</v>
      </c>
    </row>
    <row r="38" spans="1:7" ht="11.25" customHeight="1" x14ac:dyDescent="0.2">
      <c r="A38" s="28">
        <v>44470</v>
      </c>
      <c r="B38" s="18">
        <v>0</v>
      </c>
      <c r="C38" s="18">
        <v>1464.0597180000007</v>
      </c>
      <c r="D38" s="18">
        <v>0</v>
      </c>
      <c r="E38" s="18">
        <v>1446.4609706255164</v>
      </c>
      <c r="F38" s="18">
        <v>1464.0597180000007</v>
      </c>
      <c r="G38" s="18">
        <v>1446.4609706255164</v>
      </c>
    </row>
    <row r="39" spans="1:7" ht="11.25" customHeight="1" x14ac:dyDescent="0.2">
      <c r="A39" s="28">
        <v>44501</v>
      </c>
      <c r="B39" s="18">
        <v>0</v>
      </c>
      <c r="C39" s="18">
        <v>1583.0688060000027</v>
      </c>
      <c r="D39" s="18">
        <v>0</v>
      </c>
      <c r="E39" s="18">
        <v>1564.0395084579061</v>
      </c>
      <c r="F39" s="18">
        <v>1583.0688060000027</v>
      </c>
      <c r="G39" s="18">
        <v>1564.0395084579061</v>
      </c>
    </row>
    <row r="40" spans="1:7" ht="11.25" customHeight="1" x14ac:dyDescent="0.2">
      <c r="A40" s="28">
        <v>44531</v>
      </c>
      <c r="B40" s="18">
        <v>0</v>
      </c>
      <c r="C40" s="18">
        <v>2401.1435879999985</v>
      </c>
      <c r="D40" s="18">
        <v>0</v>
      </c>
      <c r="E40" s="18">
        <v>2372.2806127432241</v>
      </c>
      <c r="F40" s="18">
        <v>2401.1435879999985</v>
      </c>
      <c r="G40" s="18">
        <v>2372.2806127432241</v>
      </c>
    </row>
    <row r="41" spans="1:7" ht="11.25" customHeight="1" x14ac:dyDescent="0.2">
      <c r="A41" s="28">
        <v>44562</v>
      </c>
      <c r="B41" s="18">
        <v>0</v>
      </c>
      <c r="C41" s="18">
        <v>2564.6683860000003</v>
      </c>
      <c r="D41" s="18">
        <v>0</v>
      </c>
      <c r="E41" s="18">
        <v>2533.8397589504175</v>
      </c>
      <c r="F41" s="18">
        <v>2564.6683860000003</v>
      </c>
      <c r="G41" s="18">
        <v>2533.8397589504175</v>
      </c>
    </row>
    <row r="42" spans="1:7" ht="11.25" customHeight="1" x14ac:dyDescent="0.2">
      <c r="A42" s="28">
        <v>44593</v>
      </c>
      <c r="B42" s="18">
        <v>0</v>
      </c>
      <c r="C42" s="18">
        <v>2131.5699720000011</v>
      </c>
      <c r="D42" s="18">
        <v>0</v>
      </c>
      <c r="E42" s="18">
        <v>2105.9474096228946</v>
      </c>
      <c r="F42" s="18">
        <v>2131.5699720000011</v>
      </c>
      <c r="G42" s="18">
        <v>2105.9474096228946</v>
      </c>
    </row>
    <row r="43" spans="1:7" ht="11.25" customHeight="1" x14ac:dyDescent="0.2">
      <c r="A43" s="28">
        <v>44621</v>
      </c>
      <c r="B43" s="18">
        <v>0</v>
      </c>
      <c r="C43" s="18">
        <v>2150.5032359999982</v>
      </c>
      <c r="D43" s="18">
        <v>0</v>
      </c>
      <c r="E43" s="18">
        <v>2124.6530860962262</v>
      </c>
      <c r="F43" s="18">
        <v>2150.5032359999982</v>
      </c>
      <c r="G43" s="18">
        <v>2124.6530860962262</v>
      </c>
    </row>
    <row r="44" spans="1:7" ht="11.25" customHeight="1" x14ac:dyDescent="0.2">
      <c r="A44" s="28">
        <v>44652</v>
      </c>
      <c r="B44" s="18">
        <v>0</v>
      </c>
      <c r="C44" s="18">
        <v>1855.0090800000009</v>
      </c>
      <c r="D44" s="18">
        <v>0</v>
      </c>
      <c r="E44" s="18">
        <v>1832.7109211374031</v>
      </c>
      <c r="F44" s="18">
        <v>1855.0090800000009</v>
      </c>
      <c r="G44" s="18">
        <v>1832.7109211374031</v>
      </c>
    </row>
    <row r="45" spans="1:7" ht="11.25" customHeight="1" x14ac:dyDescent="0.2">
      <c r="A45" s="28">
        <v>44682</v>
      </c>
      <c r="B45" s="18">
        <v>0</v>
      </c>
      <c r="C45" s="18">
        <v>2021.3513280000029</v>
      </c>
      <c r="D45" s="18">
        <v>0</v>
      </c>
      <c r="E45" s="18">
        <v>1997.0536501531285</v>
      </c>
      <c r="F45" s="18">
        <v>2021.3513280000029</v>
      </c>
      <c r="G45" s="18">
        <v>1997.0536501531285</v>
      </c>
    </row>
    <row r="46" spans="1:7" ht="11.25" customHeight="1" x14ac:dyDescent="0.2">
      <c r="A46" s="28">
        <v>44713</v>
      </c>
      <c r="B46" s="18">
        <v>0</v>
      </c>
      <c r="C46" s="18">
        <v>2028.6766979999993</v>
      </c>
      <c r="D46" s="18">
        <v>0</v>
      </c>
      <c r="E46" s="18">
        <v>2004.2909654553077</v>
      </c>
      <c r="F46" s="18">
        <v>2028.6766979999993</v>
      </c>
      <c r="G46" s="18">
        <v>2004.2909654553077</v>
      </c>
    </row>
    <row r="47" spans="1:7" ht="11.25" customHeight="1" x14ac:dyDescent="0.2">
      <c r="A47" s="28">
        <v>44743</v>
      </c>
      <c r="B47" s="18">
        <v>0</v>
      </c>
      <c r="C47" s="18">
        <v>2028.6766979999993</v>
      </c>
      <c r="D47" s="18">
        <v>0</v>
      </c>
      <c r="E47" s="18">
        <v>2004.2909654553077</v>
      </c>
      <c r="F47" s="18">
        <v>2028.6766979999993</v>
      </c>
      <c r="G47" s="18">
        <v>2004.2909654553077</v>
      </c>
    </row>
    <row r="48" spans="1:7" ht="11.25" customHeight="1" x14ac:dyDescent="0.2">
      <c r="A48" s="21" t="s">
        <v>33</v>
      </c>
      <c r="B48" s="18">
        <v>0</v>
      </c>
      <c r="C48" s="18">
        <v>20191.520395200008</v>
      </c>
      <c r="D48" s="18">
        <v>0</v>
      </c>
      <c r="E48" s="18">
        <v>23411.714451792708</v>
      </c>
      <c r="F48" s="18">
        <v>20191.520395200008</v>
      </c>
      <c r="G48" s="18">
        <v>23411.714451792708</v>
      </c>
    </row>
    <row r="49" spans="1:7" ht="11.25" customHeight="1" x14ac:dyDescent="0.2">
      <c r="A49" s="22" t="s">
        <v>23</v>
      </c>
      <c r="B49" s="18">
        <v>0</v>
      </c>
      <c r="C49" s="18">
        <v>20191.520395200008</v>
      </c>
      <c r="D49" s="18">
        <v>0</v>
      </c>
      <c r="E49" s="18">
        <v>23411.714451792708</v>
      </c>
      <c r="F49" s="18">
        <v>20191.520395200008</v>
      </c>
      <c r="G49" s="18">
        <v>23411.714451792708</v>
      </c>
    </row>
    <row r="50" spans="1:7" ht="11.25" customHeight="1" x14ac:dyDescent="0.2">
      <c r="A50" s="23" t="s">
        <v>47</v>
      </c>
      <c r="B50" s="18">
        <v>0</v>
      </c>
      <c r="C50" s="18">
        <v>20191.520395200008</v>
      </c>
      <c r="D50" s="18">
        <v>0</v>
      </c>
      <c r="E50" s="18">
        <v>23411.714451792708</v>
      </c>
      <c r="F50" s="18">
        <v>20191.520395200008</v>
      </c>
      <c r="G50" s="18">
        <v>23411.714451792708</v>
      </c>
    </row>
    <row r="51" spans="1:7" ht="11.25" customHeight="1" x14ac:dyDescent="0.2">
      <c r="A51" s="24" t="s">
        <v>48</v>
      </c>
      <c r="B51" s="18">
        <v>0</v>
      </c>
      <c r="C51" s="18">
        <v>20191.520395200008</v>
      </c>
      <c r="D51" s="18">
        <v>0</v>
      </c>
      <c r="E51" s="18">
        <v>23411.714451792708</v>
      </c>
      <c r="F51" s="18">
        <v>20191.520395200008</v>
      </c>
      <c r="G51" s="18">
        <v>23411.714451792708</v>
      </c>
    </row>
    <row r="52" spans="1:7" ht="11.25" customHeight="1" x14ac:dyDescent="0.2">
      <c r="A52" s="25" t="s">
        <v>25</v>
      </c>
      <c r="B52" s="18">
        <v>0</v>
      </c>
      <c r="C52" s="18">
        <v>20191.520395200008</v>
      </c>
      <c r="D52" s="18">
        <v>0</v>
      </c>
      <c r="E52" s="18">
        <v>23411.714451792708</v>
      </c>
      <c r="F52" s="18">
        <v>20191.520395200008</v>
      </c>
      <c r="G52" s="18">
        <v>23411.714451792708</v>
      </c>
    </row>
    <row r="53" spans="1:7" ht="11.25" customHeight="1" x14ac:dyDescent="0.2">
      <c r="A53" s="26" t="s">
        <v>25</v>
      </c>
      <c r="B53" s="18">
        <v>0</v>
      </c>
      <c r="C53" s="18">
        <v>20191.520395200008</v>
      </c>
      <c r="D53" s="18">
        <v>0</v>
      </c>
      <c r="E53" s="18">
        <v>23411.714451792708</v>
      </c>
      <c r="F53" s="18">
        <v>20191.520395200008</v>
      </c>
      <c r="G53" s="18">
        <v>23411.714451792708</v>
      </c>
    </row>
    <row r="54" spans="1:7" ht="11.25" customHeight="1" x14ac:dyDescent="0.2">
      <c r="A54" s="27" t="s">
        <v>25</v>
      </c>
      <c r="B54" s="18">
        <v>0</v>
      </c>
      <c r="C54" s="18">
        <v>20191.520395200008</v>
      </c>
      <c r="D54" s="18">
        <v>0</v>
      </c>
      <c r="E54" s="18">
        <v>23411.714451792708</v>
      </c>
      <c r="F54" s="18">
        <v>20191.520395200008</v>
      </c>
      <c r="G54" s="18">
        <v>23411.714451792708</v>
      </c>
    </row>
    <row r="55" spans="1:7" ht="11.25" customHeight="1" x14ac:dyDescent="0.2">
      <c r="A55" s="28">
        <v>44409</v>
      </c>
      <c r="B55" s="18">
        <v>0</v>
      </c>
      <c r="C55" s="18">
        <v>1581.3112224000015</v>
      </c>
      <c r="D55" s="18">
        <v>0</v>
      </c>
      <c r="E55" s="18">
        <v>1833.5026819993659</v>
      </c>
      <c r="F55" s="18">
        <v>1581.3112224000015</v>
      </c>
      <c r="G55" s="18">
        <v>1833.5026819993659</v>
      </c>
    </row>
    <row r="56" spans="1:7" ht="11.25" customHeight="1" x14ac:dyDescent="0.2">
      <c r="A56" s="28">
        <v>44440</v>
      </c>
      <c r="B56" s="18">
        <v>0</v>
      </c>
      <c r="C56" s="18">
        <v>1663.8329064000029</v>
      </c>
      <c r="D56" s="18">
        <v>0</v>
      </c>
      <c r="E56" s="18">
        <v>1929.1851300803128</v>
      </c>
      <c r="F56" s="18">
        <v>1663.8329064000029</v>
      </c>
      <c r="G56" s="18">
        <v>1929.1851300803128</v>
      </c>
    </row>
    <row r="57" spans="1:7" ht="11.25" customHeight="1" x14ac:dyDescent="0.2">
      <c r="A57" s="28">
        <v>44470</v>
      </c>
      <c r="B57" s="18">
        <v>0</v>
      </c>
      <c r="C57" s="18">
        <v>1537.8059256000015</v>
      </c>
      <c r="D57" s="18">
        <v>0</v>
      </c>
      <c r="E57" s="18">
        <v>1783.0590519067941</v>
      </c>
      <c r="F57" s="18">
        <v>1537.8059256000015</v>
      </c>
      <c r="G57" s="18">
        <v>1783.0590519067941</v>
      </c>
    </row>
    <row r="58" spans="1:7" ht="11.25" customHeight="1" x14ac:dyDescent="0.2">
      <c r="A58" s="28">
        <v>44501</v>
      </c>
      <c r="B58" s="18">
        <v>0</v>
      </c>
      <c r="C58" s="18">
        <v>1600.6169087999979</v>
      </c>
      <c r="D58" s="18">
        <v>0</v>
      </c>
      <c r="E58" s="18">
        <v>1855.8872874399758</v>
      </c>
      <c r="F58" s="18">
        <v>1600.6169087999979</v>
      </c>
      <c r="G58" s="18">
        <v>1855.8872874399758</v>
      </c>
    </row>
    <row r="59" spans="1:7" ht="11.25" customHeight="1" x14ac:dyDescent="0.2">
      <c r="A59" s="28">
        <v>44531</v>
      </c>
      <c r="B59" s="18">
        <v>0</v>
      </c>
      <c r="C59" s="18">
        <v>1483.5677472</v>
      </c>
      <c r="D59" s="18">
        <v>0</v>
      </c>
      <c r="E59" s="18">
        <v>1720.1708334748582</v>
      </c>
      <c r="F59" s="18">
        <v>1483.5677472</v>
      </c>
      <c r="G59" s="18">
        <v>1720.1708334748582</v>
      </c>
    </row>
    <row r="60" spans="1:7" ht="11.25" customHeight="1" x14ac:dyDescent="0.2">
      <c r="A60" s="28">
        <v>44562</v>
      </c>
      <c r="B60" s="18">
        <v>0</v>
      </c>
      <c r="C60" s="18">
        <v>2045.5252272000018</v>
      </c>
      <c r="D60" s="18">
        <v>0</v>
      </c>
      <c r="E60" s="18">
        <v>2371.7506946395793</v>
      </c>
      <c r="F60" s="18">
        <v>2045.5252272000018</v>
      </c>
      <c r="G60" s="18">
        <v>2371.7506946395793</v>
      </c>
    </row>
    <row r="61" spans="1:7" ht="11.25" customHeight="1" x14ac:dyDescent="0.2">
      <c r="A61" s="28">
        <v>44593</v>
      </c>
      <c r="B61" s="18">
        <v>0</v>
      </c>
      <c r="C61" s="18">
        <v>1616.1762120000003</v>
      </c>
      <c r="D61" s="18">
        <v>0</v>
      </c>
      <c r="E61" s="18">
        <v>1873.9280271394941</v>
      </c>
      <c r="F61" s="18">
        <v>1616.1762120000003</v>
      </c>
      <c r="G61" s="18">
        <v>1873.9280271394941</v>
      </c>
    </row>
    <row r="62" spans="1:7" ht="11.25" customHeight="1" x14ac:dyDescent="0.2">
      <c r="A62" s="28">
        <v>44621</v>
      </c>
      <c r="B62" s="18">
        <v>0</v>
      </c>
      <c r="C62" s="18">
        <v>2227.8154584000035</v>
      </c>
      <c r="D62" s="18">
        <v>0</v>
      </c>
      <c r="E62" s="18">
        <v>2583.1130267807612</v>
      </c>
      <c r="F62" s="18">
        <v>2227.8154584000035</v>
      </c>
      <c r="G62" s="18">
        <v>2583.1130267807612</v>
      </c>
    </row>
    <row r="63" spans="1:7" ht="11.25" customHeight="1" x14ac:dyDescent="0.2">
      <c r="A63" s="28">
        <v>44652</v>
      </c>
      <c r="B63" s="18">
        <v>0</v>
      </c>
      <c r="C63" s="18">
        <v>1685.0961624000015</v>
      </c>
      <c r="D63" s="18">
        <v>0</v>
      </c>
      <c r="E63" s="18">
        <v>1953.8395032054627</v>
      </c>
      <c r="F63" s="18">
        <v>1685.0961624000015</v>
      </c>
      <c r="G63" s="18">
        <v>1953.8395032054627</v>
      </c>
    </row>
    <row r="64" spans="1:7" ht="11.25" customHeight="1" x14ac:dyDescent="0.2">
      <c r="A64" s="28">
        <v>44682</v>
      </c>
      <c r="B64" s="18">
        <v>0</v>
      </c>
      <c r="C64" s="18">
        <v>1699.3391687999977</v>
      </c>
      <c r="D64" s="18">
        <v>0</v>
      </c>
      <c r="E64" s="18">
        <v>1970.3540198067503</v>
      </c>
      <c r="F64" s="18">
        <v>1699.3391687999977</v>
      </c>
      <c r="G64" s="18">
        <v>1970.3540198067503</v>
      </c>
    </row>
    <row r="65" spans="1:7" ht="11.25" customHeight="1" x14ac:dyDescent="0.2">
      <c r="A65" s="28">
        <v>44713</v>
      </c>
      <c r="B65" s="18">
        <v>0</v>
      </c>
      <c r="C65" s="18">
        <v>1525.2167279999985</v>
      </c>
      <c r="D65" s="18">
        <v>0</v>
      </c>
      <c r="E65" s="18">
        <v>1768.4620976596771</v>
      </c>
      <c r="F65" s="18">
        <v>1525.2167279999985</v>
      </c>
      <c r="G65" s="18">
        <v>1768.4620976596771</v>
      </c>
    </row>
    <row r="66" spans="1:7" ht="11.25" customHeight="1" x14ac:dyDescent="0.2">
      <c r="A66" s="28">
        <v>44743</v>
      </c>
      <c r="B66" s="18">
        <v>0</v>
      </c>
      <c r="C66" s="18">
        <v>1525.2167279999985</v>
      </c>
      <c r="D66" s="18">
        <v>0</v>
      </c>
      <c r="E66" s="18">
        <v>1768.4620976596771</v>
      </c>
      <c r="F66" s="18">
        <v>1525.2167279999985</v>
      </c>
      <c r="G66" s="18">
        <v>1768.4620976596771</v>
      </c>
    </row>
    <row r="67" spans="1:7" ht="11.25" customHeight="1" x14ac:dyDescent="0.2">
      <c r="A67" s="20" t="s">
        <v>653</v>
      </c>
      <c r="B67" s="18">
        <v>0</v>
      </c>
      <c r="C67" s="18">
        <v>433675.58410199982</v>
      </c>
      <c r="D67" s="18">
        <v>0</v>
      </c>
      <c r="E67" s="18">
        <v>463092.59416925121</v>
      </c>
      <c r="F67" s="18">
        <v>433675.58410199988</v>
      </c>
      <c r="G67" s="18">
        <v>463092.59416925116</v>
      </c>
    </row>
    <row r="68" spans="1:7" ht="11.25" customHeight="1" x14ac:dyDescent="0.2">
      <c r="A68" s="21" t="s">
        <v>22</v>
      </c>
      <c r="B68" s="18">
        <v>0</v>
      </c>
      <c r="C68" s="18">
        <v>433675.58410199982</v>
      </c>
      <c r="D68" s="18">
        <v>0</v>
      </c>
      <c r="E68" s="18">
        <v>463092.59416925121</v>
      </c>
      <c r="F68" s="18">
        <v>433675.58410199988</v>
      </c>
      <c r="G68" s="18">
        <v>463092.59416925116</v>
      </c>
    </row>
    <row r="69" spans="1:7" ht="11.25" customHeight="1" x14ac:dyDescent="0.2">
      <c r="A69" s="22" t="s">
        <v>23</v>
      </c>
      <c r="B69" s="18">
        <v>0</v>
      </c>
      <c r="C69" s="18">
        <v>433675.58410199982</v>
      </c>
      <c r="D69" s="18">
        <v>0</v>
      </c>
      <c r="E69" s="18">
        <v>463092.59416925121</v>
      </c>
      <c r="F69" s="18">
        <v>433675.58410199988</v>
      </c>
      <c r="G69" s="18">
        <v>463092.59416925116</v>
      </c>
    </row>
    <row r="70" spans="1:7" ht="11.25" customHeight="1" x14ac:dyDescent="0.2">
      <c r="A70" s="23" t="s">
        <v>24</v>
      </c>
      <c r="B70" s="18">
        <v>0</v>
      </c>
      <c r="C70" s="18">
        <v>433675.58410199982</v>
      </c>
      <c r="D70" s="18">
        <v>0</v>
      </c>
      <c r="E70" s="18">
        <v>463092.59416925121</v>
      </c>
      <c r="F70" s="18">
        <v>433675.58410199988</v>
      </c>
      <c r="G70" s="18">
        <v>463092.59416925116</v>
      </c>
    </row>
    <row r="71" spans="1:7" ht="11.25" customHeight="1" x14ac:dyDescent="0.2">
      <c r="A71" s="24" t="s">
        <v>29</v>
      </c>
      <c r="B71" s="18">
        <v>0</v>
      </c>
      <c r="C71" s="18">
        <v>165609.09732999996</v>
      </c>
      <c r="D71" s="18">
        <v>0</v>
      </c>
      <c r="E71" s="18">
        <v>176842.95136853709</v>
      </c>
      <c r="F71" s="18">
        <v>165609.09732999993</v>
      </c>
      <c r="G71" s="18">
        <v>176842.95136853709</v>
      </c>
    </row>
    <row r="72" spans="1:7" ht="11.25" customHeight="1" x14ac:dyDescent="0.2">
      <c r="A72" s="25" t="s">
        <v>25</v>
      </c>
      <c r="B72" s="18">
        <v>0</v>
      </c>
      <c r="C72" s="18">
        <v>165609.09732999996</v>
      </c>
      <c r="D72" s="18">
        <v>0</v>
      </c>
      <c r="E72" s="18">
        <v>176842.95136853709</v>
      </c>
      <c r="F72" s="18">
        <v>165609.09732999993</v>
      </c>
      <c r="G72" s="18">
        <v>176842.95136853709</v>
      </c>
    </row>
    <row r="73" spans="1:7" ht="11.25" customHeight="1" x14ac:dyDescent="0.2">
      <c r="A73" s="26" t="s">
        <v>25</v>
      </c>
      <c r="B73" s="18">
        <v>0</v>
      </c>
      <c r="C73" s="18">
        <v>165609.09732999996</v>
      </c>
      <c r="D73" s="18">
        <v>0</v>
      </c>
      <c r="E73" s="18">
        <v>176842.95136853709</v>
      </c>
      <c r="F73" s="18">
        <v>165609.09732999993</v>
      </c>
      <c r="G73" s="18">
        <v>176842.95136853709</v>
      </c>
    </row>
    <row r="74" spans="1:7" ht="11.25" customHeight="1" x14ac:dyDescent="0.2">
      <c r="A74" s="27" t="s">
        <v>25</v>
      </c>
      <c r="B74" s="18">
        <v>0</v>
      </c>
      <c r="C74" s="18">
        <v>165609.09732999996</v>
      </c>
      <c r="D74" s="18">
        <v>0</v>
      </c>
      <c r="E74" s="18">
        <v>176842.95136853709</v>
      </c>
      <c r="F74" s="18">
        <v>165609.09732999993</v>
      </c>
      <c r="G74" s="18">
        <v>176842.95136853709</v>
      </c>
    </row>
    <row r="75" spans="1:7" ht="11.25" customHeight="1" x14ac:dyDescent="0.2">
      <c r="A75" s="28">
        <v>44409</v>
      </c>
      <c r="B75" s="18">
        <v>0</v>
      </c>
      <c r="C75" s="18">
        <v>12733.898739999999</v>
      </c>
      <c r="D75" s="18">
        <v>0</v>
      </c>
      <c r="E75" s="18">
        <v>13597.684397650597</v>
      </c>
      <c r="F75" s="18">
        <v>12733.898739999999</v>
      </c>
      <c r="G75" s="18">
        <v>13597.684397650597</v>
      </c>
    </row>
    <row r="76" spans="1:7" ht="11.25" customHeight="1" x14ac:dyDescent="0.2">
      <c r="A76" s="28">
        <v>44440</v>
      </c>
      <c r="B76" s="18">
        <v>0</v>
      </c>
      <c r="C76" s="18">
        <v>12855.629749999996</v>
      </c>
      <c r="D76" s="18">
        <v>0</v>
      </c>
      <c r="E76" s="18">
        <v>13727.672855167359</v>
      </c>
      <c r="F76" s="18">
        <v>12855.629749999996</v>
      </c>
      <c r="G76" s="18">
        <v>13727.672855167359</v>
      </c>
    </row>
    <row r="77" spans="1:7" ht="11.25" customHeight="1" x14ac:dyDescent="0.2">
      <c r="A77" s="28">
        <v>44470</v>
      </c>
      <c r="B77" s="18">
        <v>0</v>
      </c>
      <c r="C77" s="18">
        <v>13056.694689999998</v>
      </c>
      <c r="D77" s="18">
        <v>0</v>
      </c>
      <c r="E77" s="18">
        <v>13942.376745419322</v>
      </c>
      <c r="F77" s="18">
        <v>13056.694689999998</v>
      </c>
      <c r="G77" s="18">
        <v>13942.376745419322</v>
      </c>
    </row>
    <row r="78" spans="1:7" ht="11.25" customHeight="1" x14ac:dyDescent="0.2">
      <c r="A78" s="28">
        <v>44501</v>
      </c>
      <c r="B78" s="18">
        <v>0</v>
      </c>
      <c r="C78" s="18">
        <v>13104.551999999996</v>
      </c>
      <c r="D78" s="18">
        <v>0</v>
      </c>
      <c r="E78" s="18">
        <v>13993.480387028812</v>
      </c>
      <c r="F78" s="18">
        <v>13104.551999999996</v>
      </c>
      <c r="G78" s="18">
        <v>13993.480387028812</v>
      </c>
    </row>
    <row r="79" spans="1:7" ht="11.25" customHeight="1" x14ac:dyDescent="0.2">
      <c r="A79" s="28">
        <v>44531</v>
      </c>
      <c r="B79" s="18">
        <v>0</v>
      </c>
      <c r="C79" s="18">
        <v>13232.706809999996</v>
      </c>
      <c r="D79" s="18">
        <v>0</v>
      </c>
      <c r="E79" s="18">
        <v>14130.328393754902</v>
      </c>
      <c r="F79" s="18">
        <v>13232.706809999996</v>
      </c>
      <c r="G79" s="18">
        <v>14130.328393754902</v>
      </c>
    </row>
    <row r="80" spans="1:7" ht="11.25" customHeight="1" x14ac:dyDescent="0.2">
      <c r="A80" s="28">
        <v>44562</v>
      </c>
      <c r="B80" s="18">
        <v>0</v>
      </c>
      <c r="C80" s="18">
        <v>13198.981859999998</v>
      </c>
      <c r="D80" s="18">
        <v>0</v>
      </c>
      <c r="E80" s="18">
        <v>14094.315760405932</v>
      </c>
      <c r="F80" s="18">
        <v>13198.981859999998</v>
      </c>
      <c r="G80" s="18">
        <v>14094.315760405932</v>
      </c>
    </row>
    <row r="81" spans="1:7" ht="11.25" customHeight="1" x14ac:dyDescent="0.2">
      <c r="A81" s="28">
        <v>44593</v>
      </c>
      <c r="B81" s="18">
        <v>0</v>
      </c>
      <c r="C81" s="18">
        <v>13449.188869999996</v>
      </c>
      <c r="D81" s="18">
        <v>0</v>
      </c>
      <c r="E81" s="18">
        <v>14361.49520210925</v>
      </c>
      <c r="F81" s="18">
        <v>13449.188869999996</v>
      </c>
      <c r="G81" s="18">
        <v>14361.49520210925</v>
      </c>
    </row>
    <row r="82" spans="1:7" ht="11.25" customHeight="1" x14ac:dyDescent="0.2">
      <c r="A82" s="28">
        <v>44621</v>
      </c>
      <c r="B82" s="18">
        <v>0</v>
      </c>
      <c r="C82" s="18">
        <v>13645.757149999998</v>
      </c>
      <c r="D82" s="18">
        <v>0</v>
      </c>
      <c r="E82" s="18">
        <v>14571.397407914685</v>
      </c>
      <c r="F82" s="18">
        <v>13645.757149999998</v>
      </c>
      <c r="G82" s="18">
        <v>14571.397407914685</v>
      </c>
    </row>
    <row r="83" spans="1:7" ht="11.25" customHeight="1" x14ac:dyDescent="0.2">
      <c r="A83" s="28">
        <v>44652</v>
      </c>
      <c r="B83" s="18">
        <v>0</v>
      </c>
      <c r="C83" s="18">
        <v>13808.279289999997</v>
      </c>
      <c r="D83" s="18">
        <v>0</v>
      </c>
      <c r="E83" s="18">
        <v>14744.944002910679</v>
      </c>
      <c r="F83" s="18">
        <v>13808.279289999997</v>
      </c>
      <c r="G83" s="18">
        <v>14744.944002910679</v>
      </c>
    </row>
    <row r="84" spans="1:7" ht="11.25" customHeight="1" x14ac:dyDescent="0.2">
      <c r="A84" s="28">
        <v>44682</v>
      </c>
      <c r="B84" s="18">
        <v>0</v>
      </c>
      <c r="C84" s="18">
        <v>14390.275569999996</v>
      </c>
      <c r="D84" s="18">
        <v>0</v>
      </c>
      <c r="E84" s="18">
        <v>15366.41916127578</v>
      </c>
      <c r="F84" s="18">
        <v>14390.275569999996</v>
      </c>
      <c r="G84" s="18">
        <v>15366.41916127578</v>
      </c>
    </row>
    <row r="85" spans="1:7" ht="11.25" customHeight="1" x14ac:dyDescent="0.2">
      <c r="A85" s="28">
        <v>44713</v>
      </c>
      <c r="B85" s="18">
        <v>0</v>
      </c>
      <c r="C85" s="18">
        <v>16066.566299999999</v>
      </c>
      <c r="D85" s="18">
        <v>0</v>
      </c>
      <c r="E85" s="18">
        <v>17156.418527449885</v>
      </c>
      <c r="F85" s="18">
        <v>16066.566299999999</v>
      </c>
      <c r="G85" s="18">
        <v>17156.418527449885</v>
      </c>
    </row>
    <row r="86" spans="1:7" ht="11.25" customHeight="1" x14ac:dyDescent="0.2">
      <c r="A86" s="28">
        <v>44743</v>
      </c>
      <c r="B86" s="18">
        <v>0</v>
      </c>
      <c r="C86" s="18">
        <v>16066.566299999999</v>
      </c>
      <c r="D86" s="18">
        <v>0</v>
      </c>
      <c r="E86" s="18">
        <v>17156.418527449885</v>
      </c>
      <c r="F86" s="18">
        <v>16066.566299999999</v>
      </c>
      <c r="G86" s="18">
        <v>17156.418527449885</v>
      </c>
    </row>
    <row r="87" spans="1:7" ht="11.25" customHeight="1" x14ac:dyDescent="0.2">
      <c r="A87" s="24" t="s">
        <v>30</v>
      </c>
      <c r="B87" s="18">
        <v>0</v>
      </c>
      <c r="C87" s="18">
        <v>213129.97827199998</v>
      </c>
      <c r="D87" s="18">
        <v>0</v>
      </c>
      <c r="E87" s="18">
        <v>227582.02904385907</v>
      </c>
      <c r="F87" s="18">
        <v>213129.97827199998</v>
      </c>
      <c r="G87" s="18">
        <v>227582.02904385899</v>
      </c>
    </row>
    <row r="88" spans="1:7" ht="11.25" customHeight="1" x14ac:dyDescent="0.2">
      <c r="A88" s="25" t="s">
        <v>25</v>
      </c>
      <c r="B88" s="18">
        <v>0</v>
      </c>
      <c r="C88" s="18">
        <v>213129.97827199998</v>
      </c>
      <c r="D88" s="18">
        <v>0</v>
      </c>
      <c r="E88" s="18">
        <v>227582.02904385907</v>
      </c>
      <c r="F88" s="18">
        <v>213129.97827199998</v>
      </c>
      <c r="G88" s="18">
        <v>227582.02904385899</v>
      </c>
    </row>
    <row r="89" spans="1:7" ht="11.25" customHeight="1" x14ac:dyDescent="0.2">
      <c r="A89" s="26" t="s">
        <v>25</v>
      </c>
      <c r="B89" s="18">
        <v>0</v>
      </c>
      <c r="C89" s="18">
        <v>213129.97827199998</v>
      </c>
      <c r="D89" s="18">
        <v>0</v>
      </c>
      <c r="E89" s="18">
        <v>227582.02904385907</v>
      </c>
      <c r="F89" s="18">
        <v>213129.97827199998</v>
      </c>
      <c r="G89" s="18">
        <v>227582.02904385899</v>
      </c>
    </row>
    <row r="90" spans="1:7" ht="11.25" customHeight="1" x14ac:dyDescent="0.2">
      <c r="A90" s="27" t="s">
        <v>25</v>
      </c>
      <c r="B90" s="18">
        <v>0</v>
      </c>
      <c r="C90" s="18">
        <v>213129.97827199998</v>
      </c>
      <c r="D90" s="18">
        <v>0</v>
      </c>
      <c r="E90" s="18">
        <v>227582.02904385907</v>
      </c>
      <c r="F90" s="18">
        <v>213129.97827199998</v>
      </c>
      <c r="G90" s="18">
        <v>227582.02904385899</v>
      </c>
    </row>
    <row r="91" spans="1:7" ht="11.25" customHeight="1" x14ac:dyDescent="0.2">
      <c r="A91" s="28">
        <v>44409</v>
      </c>
      <c r="B91" s="18">
        <v>0</v>
      </c>
      <c r="C91" s="18">
        <v>15812.404679999996</v>
      </c>
      <c r="D91" s="18">
        <v>0</v>
      </c>
      <c r="E91" s="18">
        <v>16884.622081471054</v>
      </c>
      <c r="F91" s="18">
        <v>15812.404679999996</v>
      </c>
      <c r="G91" s="18">
        <v>16884.622081471054</v>
      </c>
    </row>
    <row r="92" spans="1:7" ht="11.25" customHeight="1" x14ac:dyDescent="0.2">
      <c r="A92" s="28">
        <v>44440</v>
      </c>
      <c r="B92" s="18">
        <v>0</v>
      </c>
      <c r="C92" s="18">
        <v>16488.204219999996</v>
      </c>
      <c r="D92" s="18">
        <v>0</v>
      </c>
      <c r="E92" s="18">
        <v>17606.246658292344</v>
      </c>
      <c r="F92" s="18">
        <v>16488.204219999996</v>
      </c>
      <c r="G92" s="18">
        <v>17606.246658292344</v>
      </c>
    </row>
    <row r="93" spans="1:7" ht="11.25" customHeight="1" x14ac:dyDescent="0.2">
      <c r="A93" s="28">
        <v>44470</v>
      </c>
      <c r="B93" s="18">
        <v>0</v>
      </c>
      <c r="C93" s="18">
        <v>16455.590319999996</v>
      </c>
      <c r="D93" s="18">
        <v>0</v>
      </c>
      <c r="E93" s="18">
        <v>17571.421254614215</v>
      </c>
      <c r="F93" s="18">
        <v>16455.590319999996</v>
      </c>
      <c r="G93" s="18">
        <v>17571.421254614215</v>
      </c>
    </row>
    <row r="94" spans="1:7" ht="11.25" customHeight="1" x14ac:dyDescent="0.2">
      <c r="A94" s="28">
        <v>44501</v>
      </c>
      <c r="B94" s="18">
        <v>0</v>
      </c>
      <c r="C94" s="18">
        <v>16702.862979999994</v>
      </c>
      <c r="D94" s="18">
        <v>0</v>
      </c>
      <c r="E94" s="18">
        <v>17835.46113341019</v>
      </c>
      <c r="F94" s="18">
        <v>16702.862979999994</v>
      </c>
      <c r="G94" s="18">
        <v>17835.46113341019</v>
      </c>
    </row>
    <row r="95" spans="1:7" ht="11.25" customHeight="1" x14ac:dyDescent="0.2">
      <c r="A95" s="28">
        <v>44531</v>
      </c>
      <c r="B95" s="18">
        <v>0</v>
      </c>
      <c r="C95" s="18">
        <v>16947.170739999994</v>
      </c>
      <c r="D95" s="18">
        <v>0</v>
      </c>
      <c r="E95" s="18">
        <v>18096.335066417243</v>
      </c>
      <c r="F95" s="18">
        <v>16947.170739999994</v>
      </c>
      <c r="G95" s="18">
        <v>18096.335066417243</v>
      </c>
    </row>
    <row r="96" spans="1:7" ht="11.25" customHeight="1" x14ac:dyDescent="0.2">
      <c r="A96" s="28">
        <v>44562</v>
      </c>
      <c r="B96" s="18">
        <v>0</v>
      </c>
      <c r="C96" s="18">
        <v>17612.098979999999</v>
      </c>
      <c r="D96" s="18">
        <v>0</v>
      </c>
      <c r="E96" s="18">
        <v>18806.351175345826</v>
      </c>
      <c r="F96" s="18">
        <v>17612.098979999999</v>
      </c>
      <c r="G96" s="18">
        <v>18806.351175345826</v>
      </c>
    </row>
    <row r="97" spans="1:7" ht="11.25" customHeight="1" x14ac:dyDescent="0.2">
      <c r="A97" s="28">
        <v>44593</v>
      </c>
      <c r="B97" s="18">
        <v>0</v>
      </c>
      <c r="C97" s="18">
        <v>17912.542179999997</v>
      </c>
      <c r="D97" s="18">
        <v>0</v>
      </c>
      <c r="E97" s="18">
        <v>19127.167015289775</v>
      </c>
      <c r="F97" s="18">
        <v>17912.542179999997</v>
      </c>
      <c r="G97" s="18">
        <v>19127.167015289775</v>
      </c>
    </row>
    <row r="98" spans="1:7" ht="11.25" customHeight="1" x14ac:dyDescent="0.2">
      <c r="A98" s="28">
        <v>44621</v>
      </c>
      <c r="B98" s="18">
        <v>0</v>
      </c>
      <c r="C98" s="18">
        <v>18140.048839999996</v>
      </c>
      <c r="D98" s="18">
        <v>0</v>
      </c>
      <c r="E98" s="18">
        <v>19370.100588826277</v>
      </c>
      <c r="F98" s="18">
        <v>18140.048839999996</v>
      </c>
      <c r="G98" s="18">
        <v>19370.100588826277</v>
      </c>
    </row>
    <row r="99" spans="1:7" ht="11.25" customHeight="1" x14ac:dyDescent="0.2">
      <c r="A99" s="28">
        <v>44652</v>
      </c>
      <c r="B99" s="18">
        <v>0</v>
      </c>
      <c r="C99" s="18">
        <v>18260.028459999994</v>
      </c>
      <c r="D99" s="18">
        <v>0</v>
      </c>
      <c r="E99" s="18">
        <v>19498.215861751261</v>
      </c>
      <c r="F99" s="18">
        <v>18260.028459999994</v>
      </c>
      <c r="G99" s="18">
        <v>19498.215861751261</v>
      </c>
    </row>
    <row r="100" spans="1:7" ht="11.25" customHeight="1" x14ac:dyDescent="0.2">
      <c r="A100" s="28">
        <v>44682</v>
      </c>
      <c r="B100" s="18">
        <v>0</v>
      </c>
      <c r="C100" s="18">
        <v>18503.743239999996</v>
      </c>
      <c r="D100" s="18">
        <v>0</v>
      </c>
      <c r="E100" s="18">
        <v>19758.456605600531</v>
      </c>
      <c r="F100" s="18">
        <v>18503.743239999996</v>
      </c>
      <c r="G100" s="18">
        <v>19758.456605600531</v>
      </c>
    </row>
    <row r="101" spans="1:7" ht="11.25" customHeight="1" x14ac:dyDescent="0.2">
      <c r="A101" s="28">
        <v>44713</v>
      </c>
      <c r="B101" s="18">
        <v>0</v>
      </c>
      <c r="C101" s="18">
        <v>20147.641815999996</v>
      </c>
      <c r="D101" s="18">
        <v>0</v>
      </c>
      <c r="E101" s="18">
        <v>21513.82580142016</v>
      </c>
      <c r="F101" s="18">
        <v>20147.641815999996</v>
      </c>
      <c r="G101" s="18">
        <v>21513.82580142016</v>
      </c>
    </row>
    <row r="102" spans="1:7" ht="11.25" customHeight="1" x14ac:dyDescent="0.2">
      <c r="A102" s="28">
        <v>44743</v>
      </c>
      <c r="B102" s="18">
        <v>0</v>
      </c>
      <c r="C102" s="18">
        <v>20147.641815999996</v>
      </c>
      <c r="D102" s="18">
        <v>0</v>
      </c>
      <c r="E102" s="18">
        <v>21513.82580142016</v>
      </c>
      <c r="F102" s="18">
        <v>20147.641815999996</v>
      </c>
      <c r="G102" s="18">
        <v>21513.82580142016</v>
      </c>
    </row>
    <row r="103" spans="1:7" ht="11.25" customHeight="1" x14ac:dyDescent="0.2">
      <c r="A103" s="24" t="s">
        <v>31</v>
      </c>
      <c r="B103" s="18">
        <v>0</v>
      </c>
      <c r="C103" s="18">
        <v>54936.508499999967</v>
      </c>
      <c r="D103" s="18">
        <v>0</v>
      </c>
      <c r="E103" s="18">
        <v>58667.61375685512</v>
      </c>
      <c r="F103" s="18">
        <v>54936.508499999967</v>
      </c>
      <c r="G103" s="18">
        <v>58667.613756855135</v>
      </c>
    </row>
    <row r="104" spans="1:7" ht="11.25" customHeight="1" x14ac:dyDescent="0.2">
      <c r="A104" s="25" t="s">
        <v>25</v>
      </c>
      <c r="B104" s="18">
        <v>0</v>
      </c>
      <c r="C104" s="18">
        <v>54936.508499999967</v>
      </c>
      <c r="D104" s="18">
        <v>0</v>
      </c>
      <c r="E104" s="18">
        <v>58667.61375685512</v>
      </c>
      <c r="F104" s="18">
        <v>54936.508499999967</v>
      </c>
      <c r="G104" s="18">
        <v>58667.613756855135</v>
      </c>
    </row>
    <row r="105" spans="1:7" ht="11.25" customHeight="1" x14ac:dyDescent="0.2">
      <c r="A105" s="26" t="s">
        <v>25</v>
      </c>
      <c r="B105" s="18">
        <v>0</v>
      </c>
      <c r="C105" s="18">
        <v>54936.508499999967</v>
      </c>
      <c r="D105" s="18">
        <v>0</v>
      </c>
      <c r="E105" s="18">
        <v>58667.61375685512</v>
      </c>
      <c r="F105" s="18">
        <v>54936.508499999967</v>
      </c>
      <c r="G105" s="18">
        <v>58667.613756855135</v>
      </c>
    </row>
    <row r="106" spans="1:7" ht="11.25" customHeight="1" x14ac:dyDescent="0.2">
      <c r="A106" s="27" t="s">
        <v>25</v>
      </c>
      <c r="B106" s="18">
        <v>0</v>
      </c>
      <c r="C106" s="18">
        <v>54936.508499999967</v>
      </c>
      <c r="D106" s="18">
        <v>0</v>
      </c>
      <c r="E106" s="18">
        <v>58667.61375685512</v>
      </c>
      <c r="F106" s="18">
        <v>54936.508499999967</v>
      </c>
      <c r="G106" s="18">
        <v>58667.613756855135</v>
      </c>
    </row>
    <row r="107" spans="1:7" ht="11.25" customHeight="1" x14ac:dyDescent="0.2">
      <c r="A107" s="28">
        <v>44409</v>
      </c>
      <c r="B107" s="18">
        <v>0</v>
      </c>
      <c r="C107" s="18">
        <v>3802.6924199999976</v>
      </c>
      <c r="D107" s="18">
        <v>0</v>
      </c>
      <c r="E107" s="18">
        <v>4060.9586634483826</v>
      </c>
      <c r="F107" s="18">
        <v>3802.6924199999976</v>
      </c>
      <c r="G107" s="18">
        <v>4060.9586634483826</v>
      </c>
    </row>
    <row r="108" spans="1:7" ht="11.25" customHeight="1" x14ac:dyDescent="0.2">
      <c r="A108" s="28">
        <v>44440</v>
      </c>
      <c r="B108" s="18">
        <v>0</v>
      </c>
      <c r="C108" s="18">
        <v>4203.1604699999971</v>
      </c>
      <c r="D108" s="18">
        <v>0</v>
      </c>
      <c r="E108" s="18">
        <v>4488.6251737683997</v>
      </c>
      <c r="F108" s="18">
        <v>4203.1604699999971</v>
      </c>
      <c r="G108" s="18">
        <v>4488.6251737683997</v>
      </c>
    </row>
    <row r="109" spans="1:7" ht="11.25" customHeight="1" x14ac:dyDescent="0.2">
      <c r="A109" s="28">
        <v>44470</v>
      </c>
      <c r="B109" s="18">
        <v>0</v>
      </c>
      <c r="C109" s="18">
        <v>3927.8973599999972</v>
      </c>
      <c r="D109" s="18">
        <v>0</v>
      </c>
      <c r="E109" s="18">
        <v>4194.6671072671279</v>
      </c>
      <c r="F109" s="18">
        <v>3927.8973599999972</v>
      </c>
      <c r="G109" s="18">
        <v>4194.6671072671279</v>
      </c>
    </row>
    <row r="110" spans="1:7" ht="11.25" customHeight="1" x14ac:dyDescent="0.2">
      <c r="A110" s="28">
        <v>44501</v>
      </c>
      <c r="B110" s="18">
        <v>0</v>
      </c>
      <c r="C110" s="18">
        <v>4087.0963799999972</v>
      </c>
      <c r="D110" s="18">
        <v>0</v>
      </c>
      <c r="E110" s="18">
        <v>4364.6783961321598</v>
      </c>
      <c r="F110" s="18">
        <v>4087.0963799999972</v>
      </c>
      <c r="G110" s="18">
        <v>4364.6783961321598</v>
      </c>
    </row>
    <row r="111" spans="1:7" ht="11.25" customHeight="1" x14ac:dyDescent="0.2">
      <c r="A111" s="28">
        <v>44531</v>
      </c>
      <c r="B111" s="18">
        <v>0</v>
      </c>
      <c r="C111" s="18">
        <v>4064.5160099999976</v>
      </c>
      <c r="D111" s="18">
        <v>0</v>
      </c>
      <c r="E111" s="18">
        <v>4340.5644423732156</v>
      </c>
      <c r="F111" s="18">
        <v>4064.5160099999976</v>
      </c>
      <c r="G111" s="18">
        <v>4340.5644423732156</v>
      </c>
    </row>
    <row r="112" spans="1:7" ht="11.25" customHeight="1" x14ac:dyDescent="0.2">
      <c r="A112" s="28">
        <v>44562</v>
      </c>
      <c r="B112" s="18">
        <v>0</v>
      </c>
      <c r="C112" s="18">
        <v>5155.142939999997</v>
      </c>
      <c r="D112" s="18">
        <v>0</v>
      </c>
      <c r="E112" s="18">
        <v>5505.2631323539354</v>
      </c>
      <c r="F112" s="18">
        <v>5155.142939999997</v>
      </c>
      <c r="G112" s="18">
        <v>5505.2631323539354</v>
      </c>
    </row>
    <row r="113" spans="1:7" ht="11.25" customHeight="1" x14ac:dyDescent="0.2">
      <c r="A113" s="28">
        <v>44593</v>
      </c>
      <c r="B113" s="18">
        <v>0</v>
      </c>
      <c r="C113" s="18">
        <v>5233.062509999997</v>
      </c>
      <c r="D113" s="18">
        <v>0</v>
      </c>
      <c r="E113" s="18">
        <v>5588.4747408393969</v>
      </c>
      <c r="F113" s="18">
        <v>5233.062509999997</v>
      </c>
      <c r="G113" s="18">
        <v>5588.4747408393969</v>
      </c>
    </row>
    <row r="114" spans="1:7" ht="11.25" customHeight="1" x14ac:dyDescent="0.2">
      <c r="A114" s="28">
        <v>44621</v>
      </c>
      <c r="B114" s="18">
        <v>0</v>
      </c>
      <c r="C114" s="18">
        <v>5123.2734899999969</v>
      </c>
      <c r="D114" s="18">
        <v>0</v>
      </c>
      <c r="E114" s="18">
        <v>5471.2292151230395</v>
      </c>
      <c r="F114" s="18">
        <v>5123.2734899999969</v>
      </c>
      <c r="G114" s="18">
        <v>5471.2292151230395</v>
      </c>
    </row>
    <row r="115" spans="1:7" ht="11.25" customHeight="1" x14ac:dyDescent="0.2">
      <c r="A115" s="28">
        <v>44652</v>
      </c>
      <c r="B115" s="18">
        <v>0</v>
      </c>
      <c r="C115" s="18">
        <v>4994.4122099999968</v>
      </c>
      <c r="D115" s="18">
        <v>0</v>
      </c>
      <c r="E115" s="18">
        <v>5333.6161048312933</v>
      </c>
      <c r="F115" s="18">
        <v>4994.4122099999968</v>
      </c>
      <c r="G115" s="18">
        <v>5333.6161048312933</v>
      </c>
    </row>
    <row r="116" spans="1:7" ht="11.25" customHeight="1" x14ac:dyDescent="0.2">
      <c r="A116" s="28">
        <v>44682</v>
      </c>
      <c r="B116" s="18">
        <v>0</v>
      </c>
      <c r="C116" s="18">
        <v>4497.6440699999976</v>
      </c>
      <c r="D116" s="18">
        <v>0</v>
      </c>
      <c r="E116" s="18">
        <v>4803.1091221345068</v>
      </c>
      <c r="F116" s="18">
        <v>4497.6440699999976</v>
      </c>
      <c r="G116" s="18">
        <v>4803.1091221345068</v>
      </c>
    </row>
    <row r="117" spans="1:7" ht="11.25" customHeight="1" x14ac:dyDescent="0.2">
      <c r="A117" s="28">
        <v>44713</v>
      </c>
      <c r="B117" s="18">
        <v>0</v>
      </c>
      <c r="C117" s="18">
        <v>4923.8053199999968</v>
      </c>
      <c r="D117" s="18">
        <v>0</v>
      </c>
      <c r="E117" s="18">
        <v>5258.2138292918353</v>
      </c>
      <c r="F117" s="18">
        <v>4923.8053199999968</v>
      </c>
      <c r="G117" s="18">
        <v>5258.2138292918353</v>
      </c>
    </row>
    <row r="118" spans="1:7" ht="11.25" customHeight="1" x14ac:dyDescent="0.2">
      <c r="A118" s="28">
        <v>44743</v>
      </c>
      <c r="B118" s="18">
        <v>0</v>
      </c>
      <c r="C118" s="18">
        <v>4923.8053199999968</v>
      </c>
      <c r="D118" s="18">
        <v>0</v>
      </c>
      <c r="E118" s="18">
        <v>5258.2138292918353</v>
      </c>
      <c r="F118" s="18">
        <v>4923.8053199999968</v>
      </c>
      <c r="G118" s="18">
        <v>5258.2138292918353</v>
      </c>
    </row>
    <row r="119" spans="1:7" ht="11.25" customHeight="1" x14ac:dyDescent="0.2">
      <c r="A119" s="24" t="s">
        <v>32</v>
      </c>
      <c r="B119" s="18">
        <v>0</v>
      </c>
      <c r="C119" s="18">
        <v>0</v>
      </c>
      <c r="D119" s="18">
        <v>0</v>
      </c>
      <c r="E119" s="18">
        <v>1.2899619150630317E-11</v>
      </c>
      <c r="F119" s="18">
        <v>0</v>
      </c>
      <c r="G119" s="18">
        <v>1.2899619150630317E-11</v>
      </c>
    </row>
    <row r="120" spans="1:7" ht="11.25" customHeight="1" x14ac:dyDescent="0.2">
      <c r="A120" s="25" t="s">
        <v>25</v>
      </c>
      <c r="B120" s="18">
        <v>0</v>
      </c>
      <c r="C120" s="18">
        <v>0</v>
      </c>
      <c r="D120" s="18">
        <v>0</v>
      </c>
      <c r="E120" s="18">
        <v>1.2899619150630317E-11</v>
      </c>
      <c r="F120" s="18">
        <v>0</v>
      </c>
      <c r="G120" s="18">
        <v>1.2899619150630317E-11</v>
      </c>
    </row>
    <row r="121" spans="1:7" ht="11.25" customHeight="1" x14ac:dyDescent="0.2">
      <c r="A121" s="26" t="s">
        <v>25</v>
      </c>
      <c r="B121" s="18">
        <v>0</v>
      </c>
      <c r="C121" s="18">
        <v>0</v>
      </c>
      <c r="D121" s="18">
        <v>0</v>
      </c>
      <c r="E121" s="18">
        <v>1.2899619150630317E-11</v>
      </c>
      <c r="F121" s="18">
        <v>0</v>
      </c>
      <c r="G121" s="18">
        <v>1.2899619150630317E-11</v>
      </c>
    </row>
    <row r="122" spans="1:7" ht="11.25" customHeight="1" x14ac:dyDescent="0.2">
      <c r="A122" s="27" t="s">
        <v>25</v>
      </c>
      <c r="B122" s="18">
        <v>0</v>
      </c>
      <c r="C122" s="18">
        <v>0</v>
      </c>
      <c r="D122" s="18">
        <v>0</v>
      </c>
      <c r="E122" s="18">
        <v>1.2899619150630317E-11</v>
      </c>
      <c r="F122" s="18">
        <v>0</v>
      </c>
      <c r="G122" s="18">
        <v>1.2899619150630317E-11</v>
      </c>
    </row>
    <row r="123" spans="1:7" ht="11.25" customHeight="1" x14ac:dyDescent="0.2">
      <c r="A123" s="28">
        <v>44409</v>
      </c>
      <c r="B123" s="18">
        <v>0</v>
      </c>
      <c r="C123" s="18">
        <v>0</v>
      </c>
      <c r="D123" s="18">
        <v>0</v>
      </c>
      <c r="E123" s="18">
        <v>7.2606098910910076E-13</v>
      </c>
      <c r="F123" s="18">
        <v>0</v>
      </c>
      <c r="G123" s="18">
        <v>7.2606098910910076E-13</v>
      </c>
    </row>
    <row r="124" spans="1:7" ht="11.25" customHeight="1" x14ac:dyDescent="0.2">
      <c r="A124" s="28">
        <v>44440</v>
      </c>
      <c r="B124" s="18">
        <v>0</v>
      </c>
      <c r="C124" s="18">
        <v>0</v>
      </c>
      <c r="D124" s="18">
        <v>0</v>
      </c>
      <c r="E124" s="18">
        <v>9.3962171376915635E-13</v>
      </c>
      <c r="F124" s="18">
        <v>0</v>
      </c>
      <c r="G124" s="18">
        <v>9.3962171376915635E-13</v>
      </c>
    </row>
    <row r="125" spans="1:7" ht="11.25" customHeight="1" x14ac:dyDescent="0.2">
      <c r="A125" s="28">
        <v>44470</v>
      </c>
      <c r="B125" s="18">
        <v>0</v>
      </c>
      <c r="C125" s="18">
        <v>0</v>
      </c>
      <c r="D125" s="18">
        <v>0</v>
      </c>
      <c r="E125" s="18">
        <v>7.1767658482713163E-13</v>
      </c>
      <c r="F125" s="18">
        <v>0</v>
      </c>
      <c r="G125" s="18">
        <v>7.1767658482713163E-13</v>
      </c>
    </row>
    <row r="126" spans="1:7" ht="11.25" customHeight="1" x14ac:dyDescent="0.2">
      <c r="A126" s="28">
        <v>44501</v>
      </c>
      <c r="B126" s="18">
        <v>0</v>
      </c>
      <c r="C126" s="18">
        <v>0</v>
      </c>
      <c r="D126" s="18">
        <v>0</v>
      </c>
      <c r="E126" s="18">
        <v>7.0977534960547935E-13</v>
      </c>
      <c r="F126" s="18">
        <v>0</v>
      </c>
      <c r="G126" s="18">
        <v>7.0977534960547935E-13</v>
      </c>
    </row>
    <row r="127" spans="1:7" ht="11.25" customHeight="1" x14ac:dyDescent="0.2">
      <c r="A127" s="28">
        <v>44531</v>
      </c>
      <c r="B127" s="18">
        <v>0</v>
      </c>
      <c r="C127" s="18">
        <v>0</v>
      </c>
      <c r="D127" s="18">
        <v>0</v>
      </c>
      <c r="E127" s="18">
        <v>6.8186523094482253E-13</v>
      </c>
      <c r="F127" s="18">
        <v>0</v>
      </c>
      <c r="G127" s="18">
        <v>6.8186523094482253E-13</v>
      </c>
    </row>
    <row r="128" spans="1:7" ht="11.25" customHeight="1" x14ac:dyDescent="0.2">
      <c r="A128" s="28">
        <v>44562</v>
      </c>
      <c r="B128" s="18">
        <v>0</v>
      </c>
      <c r="C128" s="18">
        <v>0</v>
      </c>
      <c r="D128" s="18">
        <v>0</v>
      </c>
      <c r="E128" s="18">
        <v>1.5388934571092251E-12</v>
      </c>
      <c r="F128" s="18">
        <v>0</v>
      </c>
      <c r="G128" s="18">
        <v>1.5388934571092251E-12</v>
      </c>
    </row>
    <row r="129" spans="1:7" ht="11.25" customHeight="1" x14ac:dyDescent="0.2">
      <c r="A129" s="28">
        <v>44593</v>
      </c>
      <c r="B129" s="18">
        <v>0</v>
      </c>
      <c r="C129" s="18">
        <v>0</v>
      </c>
      <c r="D129" s="18">
        <v>0</v>
      </c>
      <c r="E129" s="18">
        <v>1.8059722606267315E-12</v>
      </c>
      <c r="F129" s="18">
        <v>0</v>
      </c>
      <c r="G129" s="18">
        <v>1.8059722606267315E-12</v>
      </c>
    </row>
    <row r="130" spans="1:7" ht="11.25" customHeight="1" x14ac:dyDescent="0.2">
      <c r="A130" s="28">
        <v>44621</v>
      </c>
      <c r="B130" s="18">
        <v>0</v>
      </c>
      <c r="C130" s="18">
        <v>0</v>
      </c>
      <c r="D130" s="18">
        <v>0</v>
      </c>
      <c r="E130" s="18">
        <v>1.5658088159398177E-12</v>
      </c>
      <c r="F130" s="18">
        <v>0</v>
      </c>
      <c r="G130" s="18">
        <v>1.5658088159398177E-12</v>
      </c>
    </row>
    <row r="131" spans="1:7" ht="11.25" customHeight="1" x14ac:dyDescent="0.2">
      <c r="A131" s="28">
        <v>44652</v>
      </c>
      <c r="B131" s="18">
        <v>0</v>
      </c>
      <c r="C131" s="18">
        <v>0</v>
      </c>
      <c r="D131" s="18">
        <v>0</v>
      </c>
      <c r="E131" s="18">
        <v>1.1864926818816458E-12</v>
      </c>
      <c r="F131" s="18">
        <v>0</v>
      </c>
      <c r="G131" s="18">
        <v>1.1864926818816458E-12</v>
      </c>
    </row>
    <row r="132" spans="1:7" ht="11.25" customHeight="1" x14ac:dyDescent="0.2">
      <c r="A132" s="28">
        <v>44682</v>
      </c>
      <c r="B132" s="18">
        <v>0</v>
      </c>
      <c r="C132" s="18">
        <v>0</v>
      </c>
      <c r="D132" s="18">
        <v>0</v>
      </c>
      <c r="E132" s="18">
        <v>8.2619067143241407E-13</v>
      </c>
      <c r="F132" s="18">
        <v>0</v>
      </c>
      <c r="G132" s="18">
        <v>8.2619067143241407E-13</v>
      </c>
    </row>
    <row r="133" spans="1:7" ht="11.25" customHeight="1" x14ac:dyDescent="0.2">
      <c r="A133" s="28">
        <v>44713</v>
      </c>
      <c r="B133" s="18">
        <v>0</v>
      </c>
      <c r="C133" s="18">
        <v>0</v>
      </c>
      <c r="D133" s="18">
        <v>0</v>
      </c>
      <c r="E133" s="18">
        <v>1.1006306976923952E-12</v>
      </c>
      <c r="F133" s="18">
        <v>0</v>
      </c>
      <c r="G133" s="18">
        <v>1.1006306976923952E-12</v>
      </c>
    </row>
    <row r="134" spans="1:7" ht="11.25" customHeight="1" x14ac:dyDescent="0.2">
      <c r="A134" s="28">
        <v>44743</v>
      </c>
      <c r="B134" s="18">
        <v>0</v>
      </c>
      <c r="C134" s="18">
        <v>0</v>
      </c>
      <c r="D134" s="18">
        <v>0</v>
      </c>
      <c r="E134" s="18">
        <v>1.1006306976923952E-12</v>
      </c>
      <c r="F134" s="18">
        <v>0</v>
      </c>
      <c r="G134" s="18">
        <v>1.1006306976923952E-12</v>
      </c>
    </row>
    <row r="135" spans="1:7" ht="11.25" customHeight="1" x14ac:dyDescent="0.2">
      <c r="A135" s="20" t="s">
        <v>651</v>
      </c>
      <c r="B135" s="18">
        <v>1918844.3467299999</v>
      </c>
      <c r="C135" s="18">
        <v>2039685.1506957619</v>
      </c>
      <c r="D135" s="18">
        <v>1821146.354295773</v>
      </c>
      <c r="E135" s="18">
        <v>2004793.4519212269</v>
      </c>
      <c r="F135" s="18">
        <v>3958529.497425762</v>
      </c>
      <c r="G135" s="18">
        <v>3825939.8062169999</v>
      </c>
    </row>
    <row r="136" spans="1:7" ht="11.25" customHeight="1" x14ac:dyDescent="0.2">
      <c r="A136" s="21" t="s">
        <v>35</v>
      </c>
      <c r="B136" s="18">
        <v>1918844.3467299999</v>
      </c>
      <c r="C136" s="18">
        <v>2039685.1506957619</v>
      </c>
      <c r="D136" s="18">
        <v>1821146.354295773</v>
      </c>
      <c r="E136" s="18">
        <v>2004793.4519212269</v>
      </c>
      <c r="F136" s="18">
        <v>3958529.497425762</v>
      </c>
      <c r="G136" s="18">
        <v>3825939.8062169999</v>
      </c>
    </row>
    <row r="137" spans="1:7" ht="11.25" customHeight="1" x14ac:dyDescent="0.2">
      <c r="A137" s="22" t="s">
        <v>36</v>
      </c>
      <c r="B137" s="18">
        <v>378700.63999999978</v>
      </c>
      <c r="C137" s="18">
        <v>0</v>
      </c>
      <c r="D137" s="18">
        <v>359440.22362476157</v>
      </c>
      <c r="E137" s="18">
        <v>0</v>
      </c>
      <c r="F137" s="18">
        <v>378700.63999999978</v>
      </c>
      <c r="G137" s="18">
        <v>359440.22362476157</v>
      </c>
    </row>
    <row r="138" spans="1:7" ht="11.25" customHeight="1" x14ac:dyDescent="0.2">
      <c r="A138" s="23" t="s">
        <v>34</v>
      </c>
      <c r="B138" s="18">
        <v>378700.63999999978</v>
      </c>
      <c r="C138" s="18">
        <v>0</v>
      </c>
      <c r="D138" s="18">
        <v>359440.22362476157</v>
      </c>
      <c r="E138" s="18">
        <v>0</v>
      </c>
      <c r="F138" s="18">
        <v>378700.63999999978</v>
      </c>
      <c r="G138" s="18">
        <v>359440.22362476157</v>
      </c>
    </row>
    <row r="139" spans="1:7" ht="11.25" customHeight="1" x14ac:dyDescent="0.2">
      <c r="A139" s="24" t="s">
        <v>25</v>
      </c>
      <c r="B139" s="18">
        <v>378700.63999999978</v>
      </c>
      <c r="C139" s="18">
        <v>0</v>
      </c>
      <c r="D139" s="18">
        <v>359440.22362476157</v>
      </c>
      <c r="E139" s="18">
        <v>0</v>
      </c>
      <c r="F139" s="18">
        <v>378700.63999999978</v>
      </c>
      <c r="G139" s="18">
        <v>359440.22362476157</v>
      </c>
    </row>
    <row r="140" spans="1:7" ht="11.25" customHeight="1" x14ac:dyDescent="0.2">
      <c r="A140" s="25" t="s">
        <v>56</v>
      </c>
      <c r="B140" s="18">
        <v>378700.63999999978</v>
      </c>
      <c r="C140" s="18">
        <v>0</v>
      </c>
      <c r="D140" s="18">
        <v>359440.22362476157</v>
      </c>
      <c r="E140" s="18">
        <v>0</v>
      </c>
      <c r="F140" s="18">
        <v>378700.63999999978</v>
      </c>
      <c r="G140" s="18">
        <v>359440.22362476157</v>
      </c>
    </row>
    <row r="141" spans="1:7" ht="11.25" customHeight="1" x14ac:dyDescent="0.2">
      <c r="A141" s="26" t="s">
        <v>25</v>
      </c>
      <c r="B141" s="18">
        <v>378700.63999999978</v>
      </c>
      <c r="C141" s="18">
        <v>0</v>
      </c>
      <c r="D141" s="18">
        <v>359440.22362476157</v>
      </c>
      <c r="E141" s="18">
        <v>0</v>
      </c>
      <c r="F141" s="18">
        <v>378700.63999999978</v>
      </c>
      <c r="G141" s="18">
        <v>359440.22362476157</v>
      </c>
    </row>
    <row r="142" spans="1:7" ht="11.25" customHeight="1" x14ac:dyDescent="0.2">
      <c r="A142" s="27" t="s">
        <v>38</v>
      </c>
      <c r="B142" s="18">
        <v>338736.8</v>
      </c>
      <c r="C142" s="18">
        <v>0</v>
      </c>
      <c r="D142" s="18">
        <v>321485.36209983751</v>
      </c>
      <c r="E142" s="18">
        <v>0</v>
      </c>
      <c r="F142" s="18">
        <v>338736.8</v>
      </c>
      <c r="G142" s="18">
        <v>321485.36209983751</v>
      </c>
    </row>
    <row r="143" spans="1:7" ht="11.25" customHeight="1" x14ac:dyDescent="0.2">
      <c r="A143" s="28">
        <v>44409</v>
      </c>
      <c r="B143" s="18">
        <v>28785.3</v>
      </c>
      <c r="C143" s="18">
        <v>0</v>
      </c>
      <c r="D143" s="18">
        <v>27319.300984281763</v>
      </c>
      <c r="E143" s="18">
        <v>0</v>
      </c>
      <c r="F143" s="18">
        <v>28785.3</v>
      </c>
      <c r="G143" s="18">
        <v>27319.300984281763</v>
      </c>
    </row>
    <row r="144" spans="1:7" ht="11.25" customHeight="1" x14ac:dyDescent="0.2">
      <c r="A144" s="28">
        <v>44440</v>
      </c>
      <c r="B144" s="18">
        <v>27846.399999999998</v>
      </c>
      <c r="C144" s="18">
        <v>0</v>
      </c>
      <c r="D144" s="18">
        <v>26428.217976839001</v>
      </c>
      <c r="E144" s="18">
        <v>0</v>
      </c>
      <c r="F144" s="18">
        <v>27846.399999999998</v>
      </c>
      <c r="G144" s="18">
        <v>26428.217976839001</v>
      </c>
    </row>
    <row r="145" spans="1:7" ht="11.25" customHeight="1" x14ac:dyDescent="0.2">
      <c r="A145" s="28">
        <v>44470</v>
      </c>
      <c r="B145" s="18">
        <v>28625</v>
      </c>
      <c r="C145" s="18">
        <v>0</v>
      </c>
      <c r="D145" s="18">
        <v>27167.164861059828</v>
      </c>
      <c r="E145" s="18">
        <v>0</v>
      </c>
      <c r="F145" s="18">
        <v>28625</v>
      </c>
      <c r="G145" s="18">
        <v>27167.164861059828</v>
      </c>
    </row>
    <row r="146" spans="1:7" ht="11.25" customHeight="1" x14ac:dyDescent="0.2">
      <c r="A146" s="28">
        <v>44501</v>
      </c>
      <c r="B146" s="18">
        <v>30033.35</v>
      </c>
      <c r="C146" s="18">
        <v>0</v>
      </c>
      <c r="D146" s="18">
        <v>28503.789372223971</v>
      </c>
      <c r="E146" s="18">
        <v>0</v>
      </c>
      <c r="F146" s="18">
        <v>30033.35</v>
      </c>
      <c r="G146" s="18">
        <v>28503.789372223971</v>
      </c>
    </row>
    <row r="147" spans="1:7" ht="11.25" customHeight="1" x14ac:dyDescent="0.2">
      <c r="A147" s="28">
        <v>44531</v>
      </c>
      <c r="B147" s="18">
        <v>29002.85</v>
      </c>
      <c r="C147" s="18">
        <v>0</v>
      </c>
      <c r="D147" s="18">
        <v>27525.77143722582</v>
      </c>
      <c r="E147" s="18">
        <v>0</v>
      </c>
      <c r="F147" s="18">
        <v>29002.85</v>
      </c>
      <c r="G147" s="18">
        <v>27525.77143722582</v>
      </c>
    </row>
    <row r="148" spans="1:7" ht="11.25" customHeight="1" x14ac:dyDescent="0.2">
      <c r="A148" s="28">
        <v>44562</v>
      </c>
      <c r="B148" s="18">
        <v>28625</v>
      </c>
      <c r="C148" s="18">
        <v>0</v>
      </c>
      <c r="D148" s="18">
        <v>27167.164861059828</v>
      </c>
      <c r="E148" s="18">
        <v>0</v>
      </c>
      <c r="F148" s="18">
        <v>28625</v>
      </c>
      <c r="G148" s="18">
        <v>27167.164861059828</v>
      </c>
    </row>
    <row r="149" spans="1:7" ht="11.25" customHeight="1" x14ac:dyDescent="0.2">
      <c r="A149" s="28">
        <v>44593</v>
      </c>
      <c r="B149" s="18">
        <v>28625</v>
      </c>
      <c r="C149" s="18">
        <v>0</v>
      </c>
      <c r="D149" s="18">
        <v>27167.164861059828</v>
      </c>
      <c r="E149" s="18">
        <v>0</v>
      </c>
      <c r="F149" s="18">
        <v>28625</v>
      </c>
      <c r="G149" s="18">
        <v>27167.164861059828</v>
      </c>
    </row>
    <row r="150" spans="1:7" ht="11.25" customHeight="1" x14ac:dyDescent="0.2">
      <c r="A150" s="28">
        <v>44621</v>
      </c>
      <c r="B150" s="18">
        <v>23598.449999999997</v>
      </c>
      <c r="C150" s="18">
        <v>0</v>
      </c>
      <c r="D150" s="18">
        <v>22396.610711457724</v>
      </c>
      <c r="E150" s="18">
        <v>0</v>
      </c>
      <c r="F150" s="18">
        <v>23598.449999999997</v>
      </c>
      <c r="G150" s="18">
        <v>22396.610711457724</v>
      </c>
    </row>
    <row r="151" spans="1:7" ht="11.25" customHeight="1" x14ac:dyDescent="0.2">
      <c r="A151" s="28">
        <v>44652</v>
      </c>
      <c r="B151" s="18">
        <v>27720.449999999997</v>
      </c>
      <c r="C151" s="18">
        <v>0</v>
      </c>
      <c r="D151" s="18">
        <v>26308.682451450339</v>
      </c>
      <c r="E151" s="18">
        <v>0</v>
      </c>
      <c r="F151" s="18">
        <v>27720.449999999997</v>
      </c>
      <c r="G151" s="18">
        <v>26308.682451450339</v>
      </c>
    </row>
    <row r="152" spans="1:7" ht="11.25" customHeight="1" x14ac:dyDescent="0.2">
      <c r="A152" s="28">
        <v>44682</v>
      </c>
      <c r="B152" s="18">
        <v>28625</v>
      </c>
      <c r="C152" s="18">
        <v>0</v>
      </c>
      <c r="D152" s="18">
        <v>27167.164861059828</v>
      </c>
      <c r="E152" s="18">
        <v>0</v>
      </c>
      <c r="F152" s="18">
        <v>28625</v>
      </c>
      <c r="G152" s="18">
        <v>27167.164861059828</v>
      </c>
    </row>
    <row r="153" spans="1:7" ht="11.25" customHeight="1" x14ac:dyDescent="0.2">
      <c r="A153" s="28">
        <v>44713</v>
      </c>
      <c r="B153" s="18">
        <v>28625</v>
      </c>
      <c r="C153" s="18">
        <v>0</v>
      </c>
      <c r="D153" s="18">
        <v>27167.164861059828</v>
      </c>
      <c r="E153" s="18">
        <v>0</v>
      </c>
      <c r="F153" s="18">
        <v>28625</v>
      </c>
      <c r="G153" s="18">
        <v>27167.164861059828</v>
      </c>
    </row>
    <row r="154" spans="1:7" ht="11.25" customHeight="1" x14ac:dyDescent="0.2">
      <c r="A154" s="28">
        <v>44743</v>
      </c>
      <c r="B154" s="18">
        <v>28625</v>
      </c>
      <c r="C154" s="18">
        <v>0</v>
      </c>
      <c r="D154" s="18">
        <v>27167.164861059828</v>
      </c>
      <c r="E154" s="18">
        <v>0</v>
      </c>
      <c r="F154" s="18">
        <v>28625</v>
      </c>
      <c r="G154" s="18">
        <v>27167.164861059828</v>
      </c>
    </row>
    <row r="155" spans="1:7" ht="11.25" customHeight="1" x14ac:dyDescent="0.2">
      <c r="A155" s="27" t="s">
        <v>25</v>
      </c>
      <c r="B155" s="18">
        <v>0</v>
      </c>
      <c r="C155" s="18">
        <v>0</v>
      </c>
      <c r="D155" s="18">
        <v>0</v>
      </c>
      <c r="E155" s="18">
        <v>0</v>
      </c>
      <c r="F155" s="18">
        <v>0</v>
      </c>
      <c r="G155" s="18">
        <v>0</v>
      </c>
    </row>
    <row r="156" spans="1:7" ht="11.25" customHeight="1" x14ac:dyDescent="0.2">
      <c r="A156" s="28">
        <v>44409</v>
      </c>
      <c r="B156" s="18">
        <v>0</v>
      </c>
      <c r="C156" s="18">
        <v>0</v>
      </c>
      <c r="D156" s="18">
        <v>0</v>
      </c>
      <c r="E156" s="18">
        <v>0</v>
      </c>
      <c r="F156" s="18">
        <v>0</v>
      </c>
      <c r="G156" s="18">
        <v>0</v>
      </c>
    </row>
    <row r="157" spans="1:7" ht="11.25" customHeight="1" x14ac:dyDescent="0.2">
      <c r="A157" s="28">
        <v>44440</v>
      </c>
      <c r="B157" s="18">
        <v>0</v>
      </c>
      <c r="C157" s="18">
        <v>0</v>
      </c>
      <c r="D157" s="18">
        <v>0</v>
      </c>
      <c r="E157" s="18">
        <v>0</v>
      </c>
      <c r="F157" s="18">
        <v>0</v>
      </c>
      <c r="G157" s="18">
        <v>0</v>
      </c>
    </row>
    <row r="158" spans="1:7" ht="11.25" customHeight="1" x14ac:dyDescent="0.2">
      <c r="A158" s="28">
        <v>44470</v>
      </c>
      <c r="B158" s="18">
        <v>0</v>
      </c>
      <c r="C158" s="18">
        <v>0</v>
      </c>
      <c r="D158" s="18">
        <v>0</v>
      </c>
      <c r="E158" s="18">
        <v>0</v>
      </c>
      <c r="F158" s="18">
        <v>0</v>
      </c>
      <c r="G158" s="18">
        <v>0</v>
      </c>
    </row>
    <row r="159" spans="1:7" ht="11.25" customHeight="1" x14ac:dyDescent="0.2">
      <c r="A159" s="28">
        <v>44501</v>
      </c>
      <c r="B159" s="18">
        <v>0</v>
      </c>
      <c r="C159" s="18">
        <v>0</v>
      </c>
      <c r="D159" s="18">
        <v>0</v>
      </c>
      <c r="E159" s="18">
        <v>0</v>
      </c>
      <c r="F159" s="18">
        <v>0</v>
      </c>
      <c r="G159" s="18">
        <v>0</v>
      </c>
    </row>
    <row r="160" spans="1:7" ht="11.25" customHeight="1" x14ac:dyDescent="0.2">
      <c r="A160" s="28">
        <v>44531</v>
      </c>
      <c r="B160" s="18">
        <v>0</v>
      </c>
      <c r="C160" s="18">
        <v>0</v>
      </c>
      <c r="D160" s="18">
        <v>0</v>
      </c>
      <c r="E160" s="18">
        <v>0</v>
      </c>
      <c r="F160" s="18">
        <v>0</v>
      </c>
      <c r="G160" s="18">
        <v>0</v>
      </c>
    </row>
    <row r="161" spans="1:7" ht="11.25" customHeight="1" x14ac:dyDescent="0.2">
      <c r="A161" s="28">
        <v>44562</v>
      </c>
      <c r="B161" s="18">
        <v>0</v>
      </c>
      <c r="C161" s="18">
        <v>0</v>
      </c>
      <c r="D161" s="18">
        <v>0</v>
      </c>
      <c r="E161" s="18">
        <v>0</v>
      </c>
      <c r="F161" s="18">
        <v>0</v>
      </c>
      <c r="G161" s="18">
        <v>0</v>
      </c>
    </row>
    <row r="162" spans="1:7" ht="11.25" customHeight="1" x14ac:dyDescent="0.2">
      <c r="A162" s="28">
        <v>44593</v>
      </c>
      <c r="B162" s="18">
        <v>0</v>
      </c>
      <c r="C162" s="18">
        <v>0</v>
      </c>
      <c r="D162" s="18">
        <v>0</v>
      </c>
      <c r="E162" s="18">
        <v>0</v>
      </c>
      <c r="F162" s="18">
        <v>0</v>
      </c>
      <c r="G162" s="18">
        <v>0</v>
      </c>
    </row>
    <row r="163" spans="1:7" ht="11.25" customHeight="1" x14ac:dyDescent="0.2">
      <c r="A163" s="28">
        <v>44621</v>
      </c>
      <c r="B163" s="18">
        <v>0</v>
      </c>
      <c r="C163" s="18">
        <v>0</v>
      </c>
      <c r="D163" s="18">
        <v>0</v>
      </c>
      <c r="E163" s="18">
        <v>0</v>
      </c>
      <c r="F163" s="18">
        <v>0</v>
      </c>
      <c r="G163" s="18">
        <v>0</v>
      </c>
    </row>
    <row r="164" spans="1:7" ht="11.25" customHeight="1" x14ac:dyDescent="0.2">
      <c r="A164" s="28">
        <v>44652</v>
      </c>
      <c r="B164" s="18">
        <v>0</v>
      </c>
      <c r="C164" s="18">
        <v>0</v>
      </c>
      <c r="D164" s="18">
        <v>0</v>
      </c>
      <c r="E164" s="18">
        <v>0</v>
      </c>
      <c r="F164" s="18">
        <v>0</v>
      </c>
      <c r="G164" s="18">
        <v>0</v>
      </c>
    </row>
    <row r="165" spans="1:7" ht="11.25" customHeight="1" x14ac:dyDescent="0.2">
      <c r="A165" s="28">
        <v>44682</v>
      </c>
      <c r="B165" s="18">
        <v>0</v>
      </c>
      <c r="C165" s="18">
        <v>0</v>
      </c>
      <c r="D165" s="18">
        <v>0</v>
      </c>
      <c r="E165" s="18">
        <v>0</v>
      </c>
      <c r="F165" s="18">
        <v>0</v>
      </c>
      <c r="G165" s="18">
        <v>0</v>
      </c>
    </row>
    <row r="166" spans="1:7" ht="11.25" customHeight="1" x14ac:dyDescent="0.2">
      <c r="A166" s="28">
        <v>44713</v>
      </c>
      <c r="B166" s="18">
        <v>0</v>
      </c>
      <c r="C166" s="18">
        <v>0</v>
      </c>
      <c r="D166" s="18">
        <v>0</v>
      </c>
      <c r="E166" s="18">
        <v>0</v>
      </c>
      <c r="F166" s="18">
        <v>0</v>
      </c>
      <c r="G166" s="18">
        <v>0</v>
      </c>
    </row>
    <row r="167" spans="1:7" ht="11.25" customHeight="1" x14ac:dyDescent="0.2">
      <c r="A167" s="28">
        <v>44743</v>
      </c>
      <c r="B167" s="18">
        <v>0</v>
      </c>
      <c r="C167" s="18">
        <v>0</v>
      </c>
      <c r="D167" s="18">
        <v>0</v>
      </c>
      <c r="E167" s="18">
        <v>0</v>
      </c>
      <c r="F167" s="18">
        <v>0</v>
      </c>
      <c r="G167" s="18">
        <v>0</v>
      </c>
    </row>
    <row r="168" spans="1:7" ht="11.25" customHeight="1" x14ac:dyDescent="0.2">
      <c r="A168" s="27" t="s">
        <v>37</v>
      </c>
      <c r="B168" s="18">
        <v>39963.839999999989</v>
      </c>
      <c r="C168" s="18">
        <v>0</v>
      </c>
      <c r="D168" s="18">
        <v>37954.861524923792</v>
      </c>
      <c r="E168" s="18">
        <v>0</v>
      </c>
      <c r="F168" s="18">
        <v>39963.839999999989</v>
      </c>
      <c r="G168" s="18">
        <v>37954.861524923792</v>
      </c>
    </row>
    <row r="169" spans="1:7" ht="11.25" customHeight="1" x14ac:dyDescent="0.2">
      <c r="A169" s="28">
        <v>44409</v>
      </c>
      <c r="B169" s="18">
        <v>3597.9349999999999</v>
      </c>
      <c r="C169" s="18">
        <v>0</v>
      </c>
      <c r="D169" s="18">
        <v>3417.0671462170967</v>
      </c>
      <c r="E169" s="18">
        <v>0</v>
      </c>
      <c r="F169" s="18">
        <v>3597.9349999999999</v>
      </c>
      <c r="G169" s="18">
        <v>3417.0671462170967</v>
      </c>
    </row>
    <row r="170" spans="1:7" ht="11.25" customHeight="1" x14ac:dyDescent="0.2">
      <c r="A170" s="28">
        <v>44440</v>
      </c>
      <c r="B170" s="18">
        <v>3657.4049999999997</v>
      </c>
      <c r="C170" s="18">
        <v>0</v>
      </c>
      <c r="D170" s="18">
        <v>3473.5475949148999</v>
      </c>
      <c r="E170" s="18">
        <v>0</v>
      </c>
      <c r="F170" s="18">
        <v>3657.4049999999997</v>
      </c>
      <c r="G170" s="18">
        <v>3473.5475949148999</v>
      </c>
    </row>
    <row r="171" spans="1:7" ht="11.25" customHeight="1" x14ac:dyDescent="0.2">
      <c r="A171" s="28">
        <v>44470</v>
      </c>
      <c r="B171" s="18">
        <v>3270.85</v>
      </c>
      <c r="C171" s="18">
        <v>0</v>
      </c>
      <c r="D171" s="18">
        <v>3106.4246783791791</v>
      </c>
      <c r="E171" s="18">
        <v>0</v>
      </c>
      <c r="F171" s="18">
        <v>3270.85</v>
      </c>
      <c r="G171" s="18">
        <v>3106.4246783791791</v>
      </c>
    </row>
    <row r="172" spans="1:7" ht="11.25" customHeight="1" x14ac:dyDescent="0.2">
      <c r="A172" s="28">
        <v>44501</v>
      </c>
      <c r="B172" s="18">
        <v>3270.85</v>
      </c>
      <c r="C172" s="18">
        <v>0</v>
      </c>
      <c r="D172" s="18">
        <v>3106.4246783791791</v>
      </c>
      <c r="E172" s="18">
        <v>0</v>
      </c>
      <c r="F172" s="18">
        <v>3270.85</v>
      </c>
      <c r="G172" s="18">
        <v>3106.4246783791791</v>
      </c>
    </row>
    <row r="173" spans="1:7" ht="11.25" customHeight="1" x14ac:dyDescent="0.2">
      <c r="A173" s="28">
        <v>44531</v>
      </c>
      <c r="B173" s="18">
        <v>3270.85</v>
      </c>
      <c r="C173" s="18">
        <v>0</v>
      </c>
      <c r="D173" s="18">
        <v>3106.4246783791791</v>
      </c>
      <c r="E173" s="18">
        <v>0</v>
      </c>
      <c r="F173" s="18">
        <v>3270.85</v>
      </c>
      <c r="G173" s="18">
        <v>3106.4246783791791</v>
      </c>
    </row>
    <row r="174" spans="1:7" ht="11.25" customHeight="1" x14ac:dyDescent="0.2">
      <c r="A174" s="28">
        <v>44562</v>
      </c>
      <c r="B174" s="18">
        <v>3270.85</v>
      </c>
      <c r="C174" s="18">
        <v>0</v>
      </c>
      <c r="D174" s="18">
        <v>3106.4246783791791</v>
      </c>
      <c r="E174" s="18">
        <v>0</v>
      </c>
      <c r="F174" s="18">
        <v>3270.85</v>
      </c>
      <c r="G174" s="18">
        <v>3106.4246783791791</v>
      </c>
    </row>
    <row r="175" spans="1:7" ht="11.25" customHeight="1" x14ac:dyDescent="0.2">
      <c r="A175" s="28">
        <v>44593</v>
      </c>
      <c r="B175" s="18">
        <v>3270.85</v>
      </c>
      <c r="C175" s="18">
        <v>0</v>
      </c>
      <c r="D175" s="18">
        <v>3106.4246783791791</v>
      </c>
      <c r="E175" s="18">
        <v>0</v>
      </c>
      <c r="F175" s="18">
        <v>3270.85</v>
      </c>
      <c r="G175" s="18">
        <v>3106.4246783791791</v>
      </c>
    </row>
    <row r="176" spans="1:7" ht="11.25" customHeight="1" x14ac:dyDescent="0.2">
      <c r="A176" s="28">
        <v>44621</v>
      </c>
      <c r="B176" s="18">
        <v>3270.85</v>
      </c>
      <c r="C176" s="18">
        <v>0</v>
      </c>
      <c r="D176" s="18">
        <v>3106.4246783791791</v>
      </c>
      <c r="E176" s="18">
        <v>0</v>
      </c>
      <c r="F176" s="18">
        <v>3270.85</v>
      </c>
      <c r="G176" s="18">
        <v>3106.4246783791791</v>
      </c>
    </row>
    <row r="177" spans="1:7" ht="11.25" customHeight="1" x14ac:dyDescent="0.2">
      <c r="A177" s="28">
        <v>44652</v>
      </c>
      <c r="B177" s="18">
        <v>3270.85</v>
      </c>
      <c r="C177" s="18">
        <v>0</v>
      </c>
      <c r="D177" s="18">
        <v>3106.4246783791791</v>
      </c>
      <c r="E177" s="18">
        <v>0</v>
      </c>
      <c r="F177" s="18">
        <v>3270.85</v>
      </c>
      <c r="G177" s="18">
        <v>3106.4246783791791</v>
      </c>
    </row>
    <row r="178" spans="1:7" ht="11.25" customHeight="1" x14ac:dyDescent="0.2">
      <c r="A178" s="28">
        <v>44682</v>
      </c>
      <c r="B178" s="18">
        <v>3270.85</v>
      </c>
      <c r="C178" s="18">
        <v>0</v>
      </c>
      <c r="D178" s="18">
        <v>3106.4246783791791</v>
      </c>
      <c r="E178" s="18">
        <v>0</v>
      </c>
      <c r="F178" s="18">
        <v>3270.85</v>
      </c>
      <c r="G178" s="18">
        <v>3106.4246783791791</v>
      </c>
    </row>
    <row r="179" spans="1:7" ht="11.25" customHeight="1" x14ac:dyDescent="0.2">
      <c r="A179" s="28">
        <v>44713</v>
      </c>
      <c r="B179" s="18">
        <v>3270.85</v>
      </c>
      <c r="C179" s="18">
        <v>0</v>
      </c>
      <c r="D179" s="18">
        <v>3106.4246783791791</v>
      </c>
      <c r="E179" s="18">
        <v>0</v>
      </c>
      <c r="F179" s="18">
        <v>3270.85</v>
      </c>
      <c r="G179" s="18">
        <v>3106.4246783791791</v>
      </c>
    </row>
    <row r="180" spans="1:7" ht="11.25" customHeight="1" x14ac:dyDescent="0.2">
      <c r="A180" s="28">
        <v>44743</v>
      </c>
      <c r="B180" s="18">
        <v>3270.85</v>
      </c>
      <c r="C180" s="18">
        <v>0</v>
      </c>
      <c r="D180" s="18">
        <v>3106.4246783791791</v>
      </c>
      <c r="E180" s="18">
        <v>0</v>
      </c>
      <c r="F180" s="18">
        <v>3270.85</v>
      </c>
      <c r="G180" s="18">
        <v>3106.4246783791791</v>
      </c>
    </row>
    <row r="181" spans="1:7" ht="11.25" customHeight="1" x14ac:dyDescent="0.2">
      <c r="A181" s="22" t="s">
        <v>39</v>
      </c>
      <c r="B181" s="18">
        <v>1540143.70673</v>
      </c>
      <c r="C181" s="18">
        <v>2039685.1506957619</v>
      </c>
      <c r="D181" s="18">
        <v>1461706.1306710113</v>
      </c>
      <c r="E181" s="18">
        <v>2004793.4519212269</v>
      </c>
      <c r="F181" s="18">
        <v>3579828.8574257619</v>
      </c>
      <c r="G181" s="18">
        <v>3466499.5825922382</v>
      </c>
    </row>
    <row r="182" spans="1:7" ht="11.25" customHeight="1" x14ac:dyDescent="0.2">
      <c r="A182" s="23" t="s">
        <v>34</v>
      </c>
      <c r="B182" s="18">
        <v>1540143.70673</v>
      </c>
      <c r="C182" s="18">
        <v>2039685.1506957619</v>
      </c>
      <c r="D182" s="18">
        <v>1461706.1306710113</v>
      </c>
      <c r="E182" s="18">
        <v>2004793.4519212269</v>
      </c>
      <c r="F182" s="18">
        <v>3579828.8574257619</v>
      </c>
      <c r="G182" s="18">
        <v>3466499.5825922382</v>
      </c>
    </row>
    <row r="183" spans="1:7" ht="11.25" customHeight="1" x14ac:dyDescent="0.2">
      <c r="A183" s="24" t="s">
        <v>25</v>
      </c>
      <c r="B183" s="18">
        <v>1540143.70673</v>
      </c>
      <c r="C183" s="18">
        <v>2039685.1506957619</v>
      </c>
      <c r="D183" s="18">
        <v>1461706.1306710113</v>
      </c>
      <c r="E183" s="18">
        <v>2004793.4519212269</v>
      </c>
      <c r="F183" s="18">
        <v>3579828.8574257619</v>
      </c>
      <c r="G183" s="18">
        <v>3466499.5825922382</v>
      </c>
    </row>
    <row r="184" spans="1:7" ht="11.25" customHeight="1" x14ac:dyDescent="0.2">
      <c r="A184" s="25" t="s">
        <v>56</v>
      </c>
      <c r="B184" s="18">
        <v>1540143.70673</v>
      </c>
      <c r="C184" s="18">
        <v>2039685.1506957619</v>
      </c>
      <c r="D184" s="18">
        <v>1461706.1306710113</v>
      </c>
      <c r="E184" s="18">
        <v>2004793.4519212269</v>
      </c>
      <c r="F184" s="18">
        <v>3579828.8574257619</v>
      </c>
      <c r="G184" s="18">
        <v>3466499.5825922382</v>
      </c>
    </row>
    <row r="185" spans="1:7" ht="11.25" customHeight="1" x14ac:dyDescent="0.2">
      <c r="A185" s="26" t="s">
        <v>25</v>
      </c>
      <c r="B185" s="18">
        <v>1540143.70673</v>
      </c>
      <c r="C185" s="18">
        <v>2039685.1506957619</v>
      </c>
      <c r="D185" s="18">
        <v>1461706.1306710113</v>
      </c>
      <c r="E185" s="18">
        <v>2004793.4519212269</v>
      </c>
      <c r="F185" s="18">
        <v>3579828.8574257619</v>
      </c>
      <c r="G185" s="18">
        <v>3466499.5825922382</v>
      </c>
    </row>
    <row r="186" spans="1:7" ht="11.25" customHeight="1" x14ac:dyDescent="0.2">
      <c r="A186" s="27" t="s">
        <v>38</v>
      </c>
      <c r="B186" s="18">
        <v>0</v>
      </c>
      <c r="C186" s="18">
        <v>0</v>
      </c>
      <c r="D186" s="18">
        <v>0</v>
      </c>
      <c r="E186" s="18">
        <v>0</v>
      </c>
      <c r="F186" s="18">
        <v>0</v>
      </c>
      <c r="G186" s="18">
        <v>0</v>
      </c>
    </row>
    <row r="187" spans="1:7" ht="11.25" customHeight="1" x14ac:dyDescent="0.2">
      <c r="A187" s="28">
        <v>44409</v>
      </c>
      <c r="B187" s="18">
        <v>0</v>
      </c>
      <c r="C187" s="18">
        <v>0</v>
      </c>
      <c r="D187" s="18">
        <v>0</v>
      </c>
      <c r="E187" s="18">
        <v>0</v>
      </c>
      <c r="F187" s="18">
        <v>0</v>
      </c>
      <c r="G187" s="18">
        <v>0</v>
      </c>
    </row>
    <row r="188" spans="1:7" ht="11.25" customHeight="1" x14ac:dyDescent="0.2">
      <c r="A188" s="28">
        <v>44440</v>
      </c>
      <c r="B188" s="18">
        <v>0</v>
      </c>
      <c r="C188" s="18">
        <v>0</v>
      </c>
      <c r="D188" s="18">
        <v>0</v>
      </c>
      <c r="E188" s="18">
        <v>0</v>
      </c>
      <c r="F188" s="18">
        <v>0</v>
      </c>
      <c r="G188" s="18">
        <v>0</v>
      </c>
    </row>
    <row r="189" spans="1:7" ht="11.25" customHeight="1" x14ac:dyDescent="0.2">
      <c r="A189" s="28">
        <v>44470</v>
      </c>
      <c r="B189" s="18">
        <v>0</v>
      </c>
      <c r="C189" s="18">
        <v>0</v>
      </c>
      <c r="D189" s="18">
        <v>0</v>
      </c>
      <c r="E189" s="18">
        <v>0</v>
      </c>
      <c r="F189" s="18">
        <v>0</v>
      </c>
      <c r="G189" s="18">
        <v>0</v>
      </c>
    </row>
    <row r="190" spans="1:7" ht="11.25" customHeight="1" x14ac:dyDescent="0.2">
      <c r="A190" s="28">
        <v>44501</v>
      </c>
      <c r="B190" s="18">
        <v>0</v>
      </c>
      <c r="C190" s="18">
        <v>0</v>
      </c>
      <c r="D190" s="18">
        <v>0</v>
      </c>
      <c r="E190" s="18">
        <v>0</v>
      </c>
      <c r="F190" s="18">
        <v>0</v>
      </c>
      <c r="G190" s="18">
        <v>0</v>
      </c>
    </row>
    <row r="191" spans="1:7" ht="11.25" customHeight="1" x14ac:dyDescent="0.2">
      <c r="A191" s="28">
        <v>44531</v>
      </c>
      <c r="B191" s="18">
        <v>0</v>
      </c>
      <c r="C191" s="18">
        <v>0</v>
      </c>
      <c r="D191" s="18">
        <v>0</v>
      </c>
      <c r="E191" s="18">
        <v>0</v>
      </c>
      <c r="F191" s="18">
        <v>0</v>
      </c>
      <c r="G191" s="18">
        <v>0</v>
      </c>
    </row>
    <row r="192" spans="1:7" ht="11.25" customHeight="1" x14ac:dyDescent="0.2">
      <c r="A192" s="28">
        <v>44562</v>
      </c>
      <c r="B192" s="18">
        <v>0</v>
      </c>
      <c r="C192" s="18">
        <v>0</v>
      </c>
      <c r="D192" s="18">
        <v>0</v>
      </c>
      <c r="E192" s="18">
        <v>0</v>
      </c>
      <c r="F192" s="18">
        <v>0</v>
      </c>
      <c r="G192" s="18">
        <v>0</v>
      </c>
    </row>
    <row r="193" spans="1:7" ht="11.25" customHeight="1" x14ac:dyDescent="0.2">
      <c r="A193" s="28">
        <v>44593</v>
      </c>
      <c r="B193" s="18">
        <v>0</v>
      </c>
      <c r="C193" s="18">
        <v>0</v>
      </c>
      <c r="D193" s="18">
        <v>0</v>
      </c>
      <c r="E193" s="18">
        <v>0</v>
      </c>
      <c r="F193" s="18">
        <v>0</v>
      </c>
      <c r="G193" s="18">
        <v>0</v>
      </c>
    </row>
    <row r="194" spans="1:7" ht="11.25" customHeight="1" x14ac:dyDescent="0.2">
      <c r="A194" s="28">
        <v>44621</v>
      </c>
      <c r="B194" s="18">
        <v>0</v>
      </c>
      <c r="C194" s="18">
        <v>0</v>
      </c>
      <c r="D194" s="18">
        <v>0</v>
      </c>
      <c r="E194" s="18">
        <v>0</v>
      </c>
      <c r="F194" s="18">
        <v>0</v>
      </c>
      <c r="G194" s="18">
        <v>0</v>
      </c>
    </row>
    <row r="195" spans="1:7" ht="11.25" customHeight="1" x14ac:dyDescent="0.2">
      <c r="A195" s="28">
        <v>44652</v>
      </c>
      <c r="B195" s="18">
        <v>0</v>
      </c>
      <c r="C195" s="18">
        <v>0</v>
      </c>
      <c r="D195" s="18">
        <v>0</v>
      </c>
      <c r="E195" s="18">
        <v>0</v>
      </c>
      <c r="F195" s="18">
        <v>0</v>
      </c>
      <c r="G195" s="18">
        <v>0</v>
      </c>
    </row>
    <row r="196" spans="1:7" ht="11.25" customHeight="1" x14ac:dyDescent="0.2">
      <c r="A196" s="28">
        <v>44682</v>
      </c>
      <c r="B196" s="18">
        <v>0</v>
      </c>
      <c r="C196" s="18">
        <v>0</v>
      </c>
      <c r="D196" s="18">
        <v>0</v>
      </c>
      <c r="E196" s="18">
        <v>0</v>
      </c>
      <c r="F196" s="18">
        <v>0</v>
      </c>
      <c r="G196" s="18">
        <v>0</v>
      </c>
    </row>
    <row r="197" spans="1:7" ht="11.25" customHeight="1" x14ac:dyDescent="0.2">
      <c r="A197" s="28">
        <v>44713</v>
      </c>
      <c r="B197" s="18">
        <v>0</v>
      </c>
      <c r="C197" s="18">
        <v>0</v>
      </c>
      <c r="D197" s="18">
        <v>0</v>
      </c>
      <c r="E197" s="18">
        <v>0</v>
      </c>
      <c r="F197" s="18">
        <v>0</v>
      </c>
      <c r="G197" s="18">
        <v>0</v>
      </c>
    </row>
    <row r="198" spans="1:7" ht="11.25" customHeight="1" x14ac:dyDescent="0.2">
      <c r="A198" s="28">
        <v>44743</v>
      </c>
      <c r="B198" s="18">
        <v>0</v>
      </c>
      <c r="C198" s="18">
        <v>0</v>
      </c>
      <c r="D198" s="18">
        <v>0</v>
      </c>
      <c r="E198" s="18">
        <v>0</v>
      </c>
      <c r="F198" s="18">
        <v>0</v>
      </c>
      <c r="G198" s="18">
        <v>0</v>
      </c>
    </row>
    <row r="199" spans="1:7" ht="11.25" customHeight="1" x14ac:dyDescent="0.2">
      <c r="A199" s="27" t="s">
        <v>25</v>
      </c>
      <c r="B199" s="18">
        <v>1540143.70673</v>
      </c>
      <c r="C199" s="18">
        <v>0</v>
      </c>
      <c r="D199" s="18">
        <v>1461706.1306710113</v>
      </c>
      <c r="E199" s="18">
        <v>0</v>
      </c>
      <c r="F199" s="18">
        <v>1540143.70673</v>
      </c>
      <c r="G199" s="18">
        <v>1461706.1306710113</v>
      </c>
    </row>
    <row r="200" spans="1:7" ht="11.25" customHeight="1" x14ac:dyDescent="0.2">
      <c r="A200" s="28">
        <v>44409</v>
      </c>
      <c r="B200" s="18">
        <v>135063.98931999999</v>
      </c>
      <c r="C200" s="18">
        <v>0</v>
      </c>
      <c r="D200" s="18">
        <v>128185.35073009132</v>
      </c>
      <c r="E200" s="18">
        <v>0</v>
      </c>
      <c r="F200" s="18">
        <v>135063.98931999999</v>
      </c>
      <c r="G200" s="18">
        <v>128185.35073009132</v>
      </c>
    </row>
    <row r="201" spans="1:7" ht="11.25" customHeight="1" x14ac:dyDescent="0.2">
      <c r="A201" s="28">
        <v>44440</v>
      </c>
      <c r="B201" s="18">
        <v>123738.67981999999</v>
      </c>
      <c r="C201" s="18">
        <v>0</v>
      </c>
      <c r="D201" s="18">
        <v>117436.82495580216</v>
      </c>
      <c r="E201" s="18">
        <v>0</v>
      </c>
      <c r="F201" s="18">
        <v>123738.67981999999</v>
      </c>
      <c r="G201" s="18">
        <v>117436.82495580216</v>
      </c>
    </row>
    <row r="202" spans="1:7" ht="11.25" customHeight="1" x14ac:dyDescent="0.2">
      <c r="A202" s="28">
        <v>44470</v>
      </c>
      <c r="B202" s="18">
        <v>123871.13341999998</v>
      </c>
      <c r="C202" s="18">
        <v>0</v>
      </c>
      <c r="D202" s="18">
        <v>117562.53286104726</v>
      </c>
      <c r="E202" s="18">
        <v>0</v>
      </c>
      <c r="F202" s="18">
        <v>123871.13341999998</v>
      </c>
      <c r="G202" s="18">
        <v>117562.53286104726</v>
      </c>
    </row>
    <row r="203" spans="1:7" ht="11.25" customHeight="1" x14ac:dyDescent="0.2">
      <c r="A203" s="28">
        <v>44501</v>
      </c>
      <c r="B203" s="18">
        <v>124171.23792</v>
      </c>
      <c r="C203" s="18">
        <v>0</v>
      </c>
      <c r="D203" s="18">
        <v>117847.35341745062</v>
      </c>
      <c r="E203" s="18">
        <v>0</v>
      </c>
      <c r="F203" s="18">
        <v>124171.23792</v>
      </c>
      <c r="G203" s="18">
        <v>117847.35341745062</v>
      </c>
    </row>
    <row r="204" spans="1:7" ht="11.25" customHeight="1" x14ac:dyDescent="0.2">
      <c r="A204" s="28">
        <v>44531</v>
      </c>
      <c r="B204" s="18">
        <v>124207.25046</v>
      </c>
      <c r="C204" s="18">
        <v>0</v>
      </c>
      <c r="D204" s="18">
        <v>117881.53188421902</v>
      </c>
      <c r="E204" s="18">
        <v>0</v>
      </c>
      <c r="F204" s="18">
        <v>124207.25046</v>
      </c>
      <c r="G204" s="18">
        <v>117881.53188421902</v>
      </c>
    </row>
    <row r="205" spans="1:7" ht="11.25" customHeight="1" x14ac:dyDescent="0.2">
      <c r="A205" s="28">
        <v>44562</v>
      </c>
      <c r="B205" s="18">
        <v>124147.22955999999</v>
      </c>
      <c r="C205" s="18">
        <v>0</v>
      </c>
      <c r="D205" s="18">
        <v>117824.56777293835</v>
      </c>
      <c r="E205" s="18">
        <v>0</v>
      </c>
      <c r="F205" s="18">
        <v>124147.22955999999</v>
      </c>
      <c r="G205" s="18">
        <v>117824.56777293835</v>
      </c>
    </row>
    <row r="206" spans="1:7" ht="11.25" customHeight="1" x14ac:dyDescent="0.2">
      <c r="A206" s="28">
        <v>44593</v>
      </c>
      <c r="B206" s="18">
        <v>128188.77269999999</v>
      </c>
      <c r="C206" s="18">
        <v>0</v>
      </c>
      <c r="D206" s="18">
        <v>121660.28021931268</v>
      </c>
      <c r="E206" s="18">
        <v>0</v>
      </c>
      <c r="F206" s="18">
        <v>128188.77269999999</v>
      </c>
      <c r="G206" s="18">
        <v>121660.28021931268</v>
      </c>
    </row>
    <row r="207" spans="1:7" ht="11.25" customHeight="1" x14ac:dyDescent="0.2">
      <c r="A207" s="28">
        <v>44621</v>
      </c>
      <c r="B207" s="18">
        <v>130664.76191999999</v>
      </c>
      <c r="C207" s="18">
        <v>0</v>
      </c>
      <c r="D207" s="18">
        <v>124010.17043185231</v>
      </c>
      <c r="E207" s="18">
        <v>0</v>
      </c>
      <c r="F207" s="18">
        <v>130664.76191999999</v>
      </c>
      <c r="G207" s="18">
        <v>124010.17043185231</v>
      </c>
    </row>
    <row r="208" spans="1:7" ht="11.25" customHeight="1" x14ac:dyDescent="0.2">
      <c r="A208" s="28">
        <v>44652</v>
      </c>
      <c r="B208" s="18">
        <v>132027.2249</v>
      </c>
      <c r="C208" s="18">
        <v>0</v>
      </c>
      <c r="D208" s="18">
        <v>125303.24489105759</v>
      </c>
      <c r="E208" s="18">
        <v>0</v>
      </c>
      <c r="F208" s="18">
        <v>132027.2249</v>
      </c>
      <c r="G208" s="18">
        <v>125303.24489105759</v>
      </c>
    </row>
    <row r="209" spans="1:7" ht="11.25" customHeight="1" x14ac:dyDescent="0.2">
      <c r="A209" s="28">
        <v>44682</v>
      </c>
      <c r="B209" s="18">
        <v>130940.17335</v>
      </c>
      <c r="C209" s="18">
        <v>0</v>
      </c>
      <c r="D209" s="18">
        <v>124271.55550515992</v>
      </c>
      <c r="E209" s="18">
        <v>0</v>
      </c>
      <c r="F209" s="18">
        <v>130940.17335</v>
      </c>
      <c r="G209" s="18">
        <v>124271.55550515992</v>
      </c>
    </row>
    <row r="210" spans="1:7" ht="11.25" customHeight="1" x14ac:dyDescent="0.2">
      <c r="A210" s="28">
        <v>44713</v>
      </c>
      <c r="B210" s="18">
        <v>131561.62667999999</v>
      </c>
      <c r="C210" s="18">
        <v>0</v>
      </c>
      <c r="D210" s="18">
        <v>124861.35900103992</v>
      </c>
      <c r="E210" s="18">
        <v>0</v>
      </c>
      <c r="F210" s="18">
        <v>131561.62667999999</v>
      </c>
      <c r="G210" s="18">
        <v>124861.35900103992</v>
      </c>
    </row>
    <row r="211" spans="1:7" ht="11.25" customHeight="1" x14ac:dyDescent="0.2">
      <c r="A211" s="28">
        <v>44743</v>
      </c>
      <c r="B211" s="18">
        <v>131561.62667999999</v>
      </c>
      <c r="C211" s="18">
        <v>0</v>
      </c>
      <c r="D211" s="18">
        <v>124861.35900103992</v>
      </c>
      <c r="E211" s="18">
        <v>0</v>
      </c>
      <c r="F211" s="18">
        <v>131561.62667999999</v>
      </c>
      <c r="G211" s="18">
        <v>124861.35900103992</v>
      </c>
    </row>
    <row r="212" spans="1:7" ht="11.25" customHeight="1" x14ac:dyDescent="0.2">
      <c r="A212" s="27" t="s">
        <v>37</v>
      </c>
      <c r="B212" s="18">
        <v>0</v>
      </c>
      <c r="C212" s="18">
        <v>2039685.1506957619</v>
      </c>
      <c r="D212" s="18">
        <v>0</v>
      </c>
      <c r="E212" s="18">
        <v>2004793.4519212269</v>
      </c>
      <c r="F212" s="18">
        <v>2039685.1506957619</v>
      </c>
      <c r="G212" s="18">
        <v>2004793.4519212269</v>
      </c>
    </row>
    <row r="213" spans="1:7" ht="11.25" customHeight="1" x14ac:dyDescent="0.2">
      <c r="A213" s="28">
        <v>44409</v>
      </c>
      <c r="B213" s="18">
        <v>0</v>
      </c>
      <c r="C213" s="18">
        <v>192306.74189068601</v>
      </c>
      <c r="D213" s="18">
        <v>0</v>
      </c>
      <c r="E213" s="18">
        <v>189017.06313410279</v>
      </c>
      <c r="F213" s="18">
        <v>192306.74189068601</v>
      </c>
      <c r="G213" s="18">
        <v>189017.06313410279</v>
      </c>
    </row>
    <row r="214" spans="1:7" ht="11.25" customHeight="1" x14ac:dyDescent="0.2">
      <c r="A214" s="28">
        <v>44440</v>
      </c>
      <c r="B214" s="18">
        <v>0</v>
      </c>
      <c r="C214" s="18">
        <v>177470.72524516002</v>
      </c>
      <c r="D214" s="18">
        <v>0</v>
      </c>
      <c r="E214" s="18">
        <v>174434.83753256861</v>
      </c>
      <c r="F214" s="18">
        <v>177470.72524516002</v>
      </c>
      <c r="G214" s="18">
        <v>174434.83753256861</v>
      </c>
    </row>
    <row r="215" spans="1:7" ht="11.25" customHeight="1" x14ac:dyDescent="0.2">
      <c r="A215" s="28">
        <v>44470</v>
      </c>
      <c r="B215" s="18">
        <v>0</v>
      </c>
      <c r="C215" s="18">
        <v>171119.90742204399</v>
      </c>
      <c r="D215" s="18">
        <v>0</v>
      </c>
      <c r="E215" s="18">
        <v>168192.65942886248</v>
      </c>
      <c r="F215" s="18">
        <v>171119.90742204399</v>
      </c>
      <c r="G215" s="18">
        <v>168192.65942886248</v>
      </c>
    </row>
    <row r="216" spans="1:7" ht="11.25" customHeight="1" x14ac:dyDescent="0.2">
      <c r="A216" s="28">
        <v>44501</v>
      </c>
      <c r="B216" s="18">
        <v>0</v>
      </c>
      <c r="C216" s="18">
        <v>172161.75816035701</v>
      </c>
      <c r="D216" s="18">
        <v>0</v>
      </c>
      <c r="E216" s="18">
        <v>169216.68783703947</v>
      </c>
      <c r="F216" s="18">
        <v>172161.75816035701</v>
      </c>
      <c r="G216" s="18">
        <v>169216.68783703947</v>
      </c>
    </row>
    <row r="217" spans="1:7" ht="11.25" customHeight="1" x14ac:dyDescent="0.2">
      <c r="A217" s="28">
        <v>44531</v>
      </c>
      <c r="B217" s="18">
        <v>0</v>
      </c>
      <c r="C217" s="18">
        <v>185764.4867595</v>
      </c>
      <c r="D217" s="18">
        <v>0</v>
      </c>
      <c r="E217" s="18">
        <v>182586.72252818829</v>
      </c>
      <c r="F217" s="18">
        <v>185764.4867595</v>
      </c>
      <c r="G217" s="18">
        <v>182586.72252818829</v>
      </c>
    </row>
    <row r="218" spans="1:7" ht="11.25" customHeight="1" x14ac:dyDescent="0.2">
      <c r="A218" s="28">
        <v>44562</v>
      </c>
      <c r="B218" s="18">
        <v>0</v>
      </c>
      <c r="C218" s="18">
        <v>172866.30793944001</v>
      </c>
      <c r="D218" s="18">
        <v>0</v>
      </c>
      <c r="E218" s="18">
        <v>169909.1852958636</v>
      </c>
      <c r="F218" s="18">
        <v>172866.30793944001</v>
      </c>
      <c r="G218" s="18">
        <v>169909.1852958636</v>
      </c>
    </row>
    <row r="219" spans="1:7" ht="11.25" customHeight="1" x14ac:dyDescent="0.2">
      <c r="A219" s="28">
        <v>44593</v>
      </c>
      <c r="B219" s="18">
        <v>0</v>
      </c>
      <c r="C219" s="18">
        <v>159872.89881419999</v>
      </c>
      <c r="D219" s="18">
        <v>0</v>
      </c>
      <c r="E219" s="18">
        <v>157138.04680739198</v>
      </c>
      <c r="F219" s="18">
        <v>159872.89881419999</v>
      </c>
      <c r="G219" s="18">
        <v>157138.04680739198</v>
      </c>
    </row>
    <row r="220" spans="1:7" ht="11.25" customHeight="1" x14ac:dyDescent="0.2">
      <c r="A220" s="28">
        <v>44621</v>
      </c>
      <c r="B220" s="18">
        <v>0</v>
      </c>
      <c r="C220" s="18">
        <v>174756.14600911198</v>
      </c>
      <c r="D220" s="18">
        <v>0</v>
      </c>
      <c r="E220" s="18">
        <v>171766.69501297726</v>
      </c>
      <c r="F220" s="18">
        <v>174756.14600911198</v>
      </c>
      <c r="G220" s="18">
        <v>171766.69501297726</v>
      </c>
    </row>
    <row r="221" spans="1:7" ht="11.25" customHeight="1" x14ac:dyDescent="0.2">
      <c r="A221" s="28">
        <v>44652</v>
      </c>
      <c r="B221" s="18">
        <v>0</v>
      </c>
      <c r="C221" s="18">
        <v>147836.86291072299</v>
      </c>
      <c r="D221" s="18">
        <v>0</v>
      </c>
      <c r="E221" s="18">
        <v>145307.90431792566</v>
      </c>
      <c r="F221" s="18">
        <v>147836.86291072299</v>
      </c>
      <c r="G221" s="18">
        <v>145307.90431792566</v>
      </c>
    </row>
    <row r="222" spans="1:7" ht="11.25" customHeight="1" x14ac:dyDescent="0.2">
      <c r="A222" s="28">
        <v>44682</v>
      </c>
      <c r="B222" s="18">
        <v>0</v>
      </c>
      <c r="C222" s="18">
        <v>166231.90874632</v>
      </c>
      <c r="D222" s="18">
        <v>0</v>
      </c>
      <c r="E222" s="18">
        <v>163388.27688249332</v>
      </c>
      <c r="F222" s="18">
        <v>166231.90874632</v>
      </c>
      <c r="G222" s="18">
        <v>163388.27688249332</v>
      </c>
    </row>
    <row r="223" spans="1:7" ht="11.25" customHeight="1" x14ac:dyDescent="0.2">
      <c r="A223" s="28">
        <v>44713</v>
      </c>
      <c r="B223" s="18">
        <v>0</v>
      </c>
      <c r="C223" s="18">
        <v>159648.70339910997</v>
      </c>
      <c r="D223" s="18">
        <v>0</v>
      </c>
      <c r="E223" s="18">
        <v>156917.68657190667</v>
      </c>
      <c r="F223" s="18">
        <v>159648.70339910997</v>
      </c>
      <c r="G223" s="18">
        <v>156917.68657190667</v>
      </c>
    </row>
    <row r="224" spans="1:7" ht="11.25" customHeight="1" x14ac:dyDescent="0.2">
      <c r="A224" s="28">
        <v>44743</v>
      </c>
      <c r="B224" s="18">
        <v>0</v>
      </c>
      <c r="C224" s="18">
        <v>159648.70339910997</v>
      </c>
      <c r="D224" s="18">
        <v>0</v>
      </c>
      <c r="E224" s="18">
        <v>156917.68657190667</v>
      </c>
      <c r="F224" s="18">
        <v>159648.70339910997</v>
      </c>
      <c r="G224" s="18">
        <v>156917.68657190667</v>
      </c>
    </row>
    <row r="225" spans="1:7" ht="11.25" customHeight="1" x14ac:dyDescent="0.2">
      <c r="A225" s="20" t="s">
        <v>655</v>
      </c>
      <c r="B225" s="18">
        <v>0</v>
      </c>
      <c r="C225" s="18">
        <v>5430.8642879999998</v>
      </c>
      <c r="D225" s="18">
        <v>0</v>
      </c>
      <c r="E225" s="18">
        <v>6063.7861174491763</v>
      </c>
      <c r="F225" s="18">
        <v>5430.8642879999998</v>
      </c>
      <c r="G225" s="18">
        <v>6063.7861174491754</v>
      </c>
    </row>
    <row r="226" spans="1:7" ht="11.25" customHeight="1" x14ac:dyDescent="0.2">
      <c r="A226" s="21" t="s">
        <v>41</v>
      </c>
      <c r="B226" s="18">
        <v>0</v>
      </c>
      <c r="C226" s="18">
        <v>5430.8642879999998</v>
      </c>
      <c r="D226" s="18">
        <v>0</v>
      </c>
      <c r="E226" s="18">
        <v>6063.7861174491763</v>
      </c>
      <c r="F226" s="18">
        <v>5430.8642879999998</v>
      </c>
      <c r="G226" s="18">
        <v>6063.7861174491754</v>
      </c>
    </row>
    <row r="227" spans="1:7" ht="11.25" customHeight="1" x14ac:dyDescent="0.2">
      <c r="A227" s="22" t="s">
        <v>23</v>
      </c>
      <c r="B227" s="18">
        <v>0</v>
      </c>
      <c r="C227" s="18">
        <v>5430.8642879999998</v>
      </c>
      <c r="D227" s="18">
        <v>0</v>
      </c>
      <c r="E227" s="18">
        <v>6063.7861174491763</v>
      </c>
      <c r="F227" s="18">
        <v>5430.8642879999998</v>
      </c>
      <c r="G227" s="18">
        <v>6063.7861174491754</v>
      </c>
    </row>
    <row r="228" spans="1:7" ht="11.25" customHeight="1" x14ac:dyDescent="0.2">
      <c r="A228" s="23" t="s">
        <v>42</v>
      </c>
      <c r="B228" s="18">
        <v>0</v>
      </c>
      <c r="C228" s="18">
        <v>5430.8642879999998</v>
      </c>
      <c r="D228" s="18">
        <v>0</v>
      </c>
      <c r="E228" s="18">
        <v>6063.7861174491763</v>
      </c>
      <c r="F228" s="18">
        <v>5430.8642879999998</v>
      </c>
      <c r="G228" s="18">
        <v>6063.7861174491754</v>
      </c>
    </row>
    <row r="229" spans="1:7" ht="11.25" customHeight="1" x14ac:dyDescent="0.2">
      <c r="A229" s="24" t="s">
        <v>52</v>
      </c>
      <c r="B229" s="18">
        <v>0</v>
      </c>
      <c r="C229" s="18">
        <v>5430.8642879999998</v>
      </c>
      <c r="D229" s="18">
        <v>0</v>
      </c>
      <c r="E229" s="18">
        <v>6063.7861174491763</v>
      </c>
      <c r="F229" s="18">
        <v>5430.8642879999998</v>
      </c>
      <c r="G229" s="18">
        <v>6063.7861174491754</v>
      </c>
    </row>
    <row r="230" spans="1:7" ht="11.25" customHeight="1" x14ac:dyDescent="0.2">
      <c r="A230" s="25" t="s">
        <v>54</v>
      </c>
      <c r="B230" s="18">
        <v>0</v>
      </c>
      <c r="C230" s="18">
        <v>5430.8642879999998</v>
      </c>
      <c r="D230" s="18">
        <v>0</v>
      </c>
      <c r="E230" s="18">
        <v>6063.7861174491763</v>
      </c>
      <c r="F230" s="18">
        <v>5430.8642879999998</v>
      </c>
      <c r="G230" s="18">
        <v>6063.7861174491754</v>
      </c>
    </row>
    <row r="231" spans="1:7" ht="11.25" customHeight="1" x14ac:dyDescent="0.2">
      <c r="A231" s="26" t="s">
        <v>25</v>
      </c>
      <c r="B231" s="18">
        <v>0</v>
      </c>
      <c r="C231" s="18">
        <v>5430.8642879999998</v>
      </c>
      <c r="D231" s="18">
        <v>0</v>
      </c>
      <c r="E231" s="18">
        <v>6063.7861174491763</v>
      </c>
      <c r="F231" s="18">
        <v>5430.8642879999998</v>
      </c>
      <c r="G231" s="18">
        <v>6063.7861174491754</v>
      </c>
    </row>
    <row r="232" spans="1:7" ht="11.25" customHeight="1" x14ac:dyDescent="0.2">
      <c r="A232" s="27" t="s">
        <v>25</v>
      </c>
      <c r="B232" s="18">
        <v>0</v>
      </c>
      <c r="C232" s="18">
        <v>5430.8642879999998</v>
      </c>
      <c r="D232" s="18">
        <v>0</v>
      </c>
      <c r="E232" s="18">
        <v>6063.7861174491763</v>
      </c>
      <c r="F232" s="18">
        <v>5430.8642879999998</v>
      </c>
      <c r="G232" s="18">
        <v>6063.7861174491754</v>
      </c>
    </row>
    <row r="233" spans="1:7" ht="11.25" customHeight="1" x14ac:dyDescent="0.2">
      <c r="A233" s="28">
        <v>44409</v>
      </c>
      <c r="B233" s="18">
        <v>0</v>
      </c>
      <c r="C233" s="18">
        <v>478.60425599999996</v>
      </c>
      <c r="D233" s="18">
        <v>0</v>
      </c>
      <c r="E233" s="18">
        <v>534.38158079137963</v>
      </c>
      <c r="F233" s="18">
        <v>478.60425599999996</v>
      </c>
      <c r="G233" s="18">
        <v>534.38158079137963</v>
      </c>
    </row>
    <row r="234" spans="1:7" ht="11.25" customHeight="1" x14ac:dyDescent="0.2">
      <c r="A234" s="28">
        <v>44440</v>
      </c>
      <c r="B234" s="18">
        <v>0</v>
      </c>
      <c r="C234" s="18">
        <v>641.90563199999997</v>
      </c>
      <c r="D234" s="18">
        <v>0</v>
      </c>
      <c r="E234" s="18">
        <v>716.7143669258337</v>
      </c>
      <c r="F234" s="18">
        <v>641.90563199999997</v>
      </c>
      <c r="G234" s="18">
        <v>716.7143669258337</v>
      </c>
    </row>
    <row r="235" spans="1:7" ht="11.25" customHeight="1" x14ac:dyDescent="0.2">
      <c r="A235" s="28">
        <v>44470</v>
      </c>
      <c r="B235" s="18">
        <v>0</v>
      </c>
      <c r="C235" s="18">
        <v>301.08691199999998</v>
      </c>
      <c r="D235" s="18">
        <v>0</v>
      </c>
      <c r="E235" s="18">
        <v>336.17607443539953</v>
      </c>
      <c r="F235" s="18">
        <v>301.08691199999998</v>
      </c>
      <c r="G235" s="18">
        <v>336.17607443539953</v>
      </c>
    </row>
    <row r="236" spans="1:7" ht="11.25" customHeight="1" x14ac:dyDescent="0.2">
      <c r="A236" s="28">
        <v>44501</v>
      </c>
      <c r="B236" s="18">
        <v>0</v>
      </c>
      <c r="C236" s="18">
        <v>575.56444799999997</v>
      </c>
      <c r="D236" s="18">
        <v>0</v>
      </c>
      <c r="E236" s="18">
        <v>642.64167255871178</v>
      </c>
      <c r="F236" s="18">
        <v>575.56444799999997</v>
      </c>
      <c r="G236" s="18">
        <v>642.64167255871178</v>
      </c>
    </row>
    <row r="237" spans="1:7" ht="11.25" customHeight="1" x14ac:dyDescent="0.2">
      <c r="A237" s="28">
        <v>44531</v>
      </c>
      <c r="B237" s="18">
        <v>0</v>
      </c>
      <c r="C237" s="18">
        <v>1196.3283839999999</v>
      </c>
      <c r="D237" s="18">
        <v>0</v>
      </c>
      <c r="E237" s="18">
        <v>1335.7504555653529</v>
      </c>
      <c r="F237" s="18">
        <v>1196.3283839999999</v>
      </c>
      <c r="G237" s="18">
        <v>1335.7504555653529</v>
      </c>
    </row>
    <row r="238" spans="1:7" ht="11.25" customHeight="1" x14ac:dyDescent="0.2">
      <c r="A238" s="28">
        <v>44562</v>
      </c>
      <c r="B238" s="18">
        <v>0</v>
      </c>
      <c r="C238" s="18">
        <v>1099.00368</v>
      </c>
      <c r="D238" s="18">
        <v>0</v>
      </c>
      <c r="E238" s="18">
        <v>1227.0833709718279</v>
      </c>
      <c r="F238" s="18">
        <v>1099.00368</v>
      </c>
      <c r="G238" s="18">
        <v>1227.0833709718279</v>
      </c>
    </row>
    <row r="239" spans="1:7" ht="11.25" customHeight="1" x14ac:dyDescent="0.2">
      <c r="A239" s="28">
        <v>44593</v>
      </c>
      <c r="B239" s="18">
        <v>0</v>
      </c>
      <c r="C239" s="18">
        <v>935.70230400000014</v>
      </c>
      <c r="D239" s="18">
        <v>0</v>
      </c>
      <c r="E239" s="18">
        <v>1044.7505848373739</v>
      </c>
      <c r="F239" s="18">
        <v>935.70230400000014</v>
      </c>
      <c r="G239" s="18">
        <v>1044.7505848373739</v>
      </c>
    </row>
    <row r="240" spans="1:7" ht="11.25" customHeight="1" x14ac:dyDescent="0.2">
      <c r="A240" s="28">
        <v>44621</v>
      </c>
      <c r="B240" s="18">
        <v>0</v>
      </c>
      <c r="C240" s="18">
        <v>132.682368</v>
      </c>
      <c r="D240" s="18">
        <v>0</v>
      </c>
      <c r="E240" s="18">
        <v>148.14538873424388</v>
      </c>
      <c r="F240" s="18">
        <v>132.682368</v>
      </c>
      <c r="G240" s="18">
        <v>148.14538873424388</v>
      </c>
    </row>
    <row r="241" spans="1:7" ht="11.25" customHeight="1" x14ac:dyDescent="0.2">
      <c r="A241" s="28">
        <v>44652</v>
      </c>
      <c r="B241" s="18">
        <v>0</v>
      </c>
      <c r="C241" s="18">
        <v>10.570848</v>
      </c>
      <c r="D241" s="18">
        <v>0</v>
      </c>
      <c r="E241" s="18">
        <v>11.802791959596355</v>
      </c>
      <c r="F241" s="18">
        <v>10.570848</v>
      </c>
      <c r="G241" s="18">
        <v>11.802791959596355</v>
      </c>
    </row>
    <row r="242" spans="1:7" ht="11.25" customHeight="1" x14ac:dyDescent="0.2">
      <c r="A242" s="28">
        <v>44682</v>
      </c>
      <c r="B242" s="18">
        <v>0</v>
      </c>
      <c r="C242" s="18">
        <v>42.647903999999997</v>
      </c>
      <c r="D242" s="18">
        <v>0</v>
      </c>
      <c r="E242" s="18">
        <v>47.61816066457839</v>
      </c>
      <c r="F242" s="18">
        <v>42.647903999999997</v>
      </c>
      <c r="G242" s="18">
        <v>47.61816066457839</v>
      </c>
    </row>
    <row r="243" spans="1:7" ht="11.25" customHeight="1" x14ac:dyDescent="0.2">
      <c r="A243" s="28">
        <v>44713</v>
      </c>
      <c r="B243" s="18">
        <v>0</v>
      </c>
      <c r="C243" s="18">
        <v>8.3837759999999992</v>
      </c>
      <c r="D243" s="18">
        <v>0</v>
      </c>
      <c r="E243" s="18">
        <v>9.3608350024384865</v>
      </c>
      <c r="F243" s="18">
        <v>8.3837759999999992</v>
      </c>
      <c r="G243" s="18">
        <v>9.3608350024384865</v>
      </c>
    </row>
    <row r="244" spans="1:7" ht="11.25" customHeight="1" x14ac:dyDescent="0.2">
      <c r="A244" s="28">
        <v>44743</v>
      </c>
      <c r="B244" s="18">
        <v>0</v>
      </c>
      <c r="C244" s="18">
        <v>8.3837759999999992</v>
      </c>
      <c r="D244" s="18">
        <v>0</v>
      </c>
      <c r="E244" s="18">
        <v>9.3608350024384865</v>
      </c>
      <c r="F244" s="18">
        <v>8.3837759999999992</v>
      </c>
      <c r="G244" s="18">
        <v>9.3608350024384865</v>
      </c>
    </row>
    <row r="245" spans="1:7" ht="11.25" customHeight="1" x14ac:dyDescent="0.2">
      <c r="A245" s="20" t="s">
        <v>654</v>
      </c>
      <c r="B245" s="18">
        <v>0</v>
      </c>
      <c r="C245" s="18">
        <v>790206.84000000008</v>
      </c>
      <c r="D245" s="18">
        <v>0</v>
      </c>
      <c r="E245" s="18">
        <v>458131.78787553101</v>
      </c>
      <c r="F245" s="18">
        <v>790206.84</v>
      </c>
      <c r="G245" s="18">
        <v>458131.78787553095</v>
      </c>
    </row>
    <row r="246" spans="1:7" ht="11.25" customHeight="1" x14ac:dyDescent="0.2">
      <c r="A246" s="21" t="s">
        <v>41</v>
      </c>
      <c r="B246" s="18">
        <v>0</v>
      </c>
      <c r="C246" s="18">
        <v>790206.84000000008</v>
      </c>
      <c r="D246" s="18">
        <v>0</v>
      </c>
      <c r="E246" s="18">
        <v>458131.78787553101</v>
      </c>
      <c r="F246" s="18">
        <v>790206.84</v>
      </c>
      <c r="G246" s="18">
        <v>458131.78787553095</v>
      </c>
    </row>
    <row r="247" spans="1:7" ht="11.25" customHeight="1" x14ac:dyDescent="0.2">
      <c r="A247" s="22" t="s">
        <v>23</v>
      </c>
      <c r="B247" s="18">
        <v>0</v>
      </c>
      <c r="C247" s="18">
        <v>790206.84000000008</v>
      </c>
      <c r="D247" s="18">
        <v>0</v>
      </c>
      <c r="E247" s="18">
        <v>458131.78787553101</v>
      </c>
      <c r="F247" s="18">
        <v>790206.84</v>
      </c>
      <c r="G247" s="18">
        <v>458131.78787553095</v>
      </c>
    </row>
    <row r="248" spans="1:7" ht="11.25" customHeight="1" x14ac:dyDescent="0.2">
      <c r="A248" s="23" t="s">
        <v>42</v>
      </c>
      <c r="B248" s="18">
        <v>0</v>
      </c>
      <c r="C248" s="18">
        <v>790206.84000000008</v>
      </c>
      <c r="D248" s="18">
        <v>0</v>
      </c>
      <c r="E248" s="18">
        <v>458131.78787553101</v>
      </c>
      <c r="F248" s="18">
        <v>790206.84</v>
      </c>
      <c r="G248" s="18">
        <v>458131.78787553095</v>
      </c>
    </row>
    <row r="249" spans="1:7" ht="11.25" customHeight="1" x14ac:dyDescent="0.2">
      <c r="A249" s="24" t="s">
        <v>52</v>
      </c>
      <c r="B249" s="18">
        <v>0</v>
      </c>
      <c r="C249" s="18">
        <v>1850.04</v>
      </c>
      <c r="D249" s="18">
        <v>0</v>
      </c>
      <c r="E249" s="18">
        <v>1072.5826327208804</v>
      </c>
      <c r="F249" s="18">
        <v>1850.0399999999995</v>
      </c>
      <c r="G249" s="18">
        <v>1072.5826327208804</v>
      </c>
    </row>
    <row r="250" spans="1:7" ht="11.25" customHeight="1" x14ac:dyDescent="0.2">
      <c r="A250" s="25" t="s">
        <v>53</v>
      </c>
      <c r="B250" s="18">
        <v>0</v>
      </c>
      <c r="C250" s="18">
        <v>1850.04</v>
      </c>
      <c r="D250" s="18">
        <v>0</v>
      </c>
      <c r="E250" s="18">
        <v>1072.5826327208804</v>
      </c>
      <c r="F250" s="18">
        <v>1850.0399999999995</v>
      </c>
      <c r="G250" s="18">
        <v>1072.5826327208804</v>
      </c>
    </row>
    <row r="251" spans="1:7" ht="11.25" customHeight="1" x14ac:dyDescent="0.2">
      <c r="A251" s="26" t="s">
        <v>25</v>
      </c>
      <c r="B251" s="18">
        <v>0</v>
      </c>
      <c r="C251" s="18">
        <v>1850.04</v>
      </c>
      <c r="D251" s="18">
        <v>0</v>
      </c>
      <c r="E251" s="18">
        <v>1072.5826327208804</v>
      </c>
      <c r="F251" s="18">
        <v>1850.0399999999995</v>
      </c>
      <c r="G251" s="18">
        <v>1072.5826327208804</v>
      </c>
    </row>
    <row r="252" spans="1:7" ht="11.25" customHeight="1" x14ac:dyDescent="0.2">
      <c r="A252" s="27" t="s">
        <v>25</v>
      </c>
      <c r="B252" s="18">
        <v>0</v>
      </c>
      <c r="C252" s="18">
        <v>1850.04</v>
      </c>
      <c r="D252" s="18">
        <v>0</v>
      </c>
      <c r="E252" s="18">
        <v>1072.5826327208804</v>
      </c>
      <c r="F252" s="18">
        <v>1850.0399999999995</v>
      </c>
      <c r="G252" s="18">
        <v>1072.5826327208804</v>
      </c>
    </row>
    <row r="253" spans="1:7" ht="11.25" customHeight="1" x14ac:dyDescent="0.2">
      <c r="A253" s="28">
        <v>44409</v>
      </c>
      <c r="B253" s="18">
        <v>0</v>
      </c>
      <c r="C253" s="18">
        <v>166.85999999999999</v>
      </c>
      <c r="D253" s="18">
        <v>0</v>
      </c>
      <c r="E253" s="18">
        <v>96.739064072023353</v>
      </c>
      <c r="F253" s="18">
        <v>166.85999999999999</v>
      </c>
      <c r="G253" s="18">
        <v>96.739064072023353</v>
      </c>
    </row>
    <row r="254" spans="1:7" ht="11.25" customHeight="1" x14ac:dyDescent="0.2">
      <c r="A254" s="28">
        <v>44440</v>
      </c>
      <c r="B254" s="18">
        <v>0</v>
      </c>
      <c r="C254" s="18">
        <v>249.00749999999999</v>
      </c>
      <c r="D254" s="18">
        <v>0</v>
      </c>
      <c r="E254" s="18">
        <v>144.36505152172091</v>
      </c>
      <c r="F254" s="18">
        <v>249.00749999999999</v>
      </c>
      <c r="G254" s="18">
        <v>144.36505152172091</v>
      </c>
    </row>
    <row r="255" spans="1:7" ht="11.25" customHeight="1" x14ac:dyDescent="0.2">
      <c r="A255" s="28">
        <v>44470</v>
      </c>
      <c r="B255" s="18">
        <v>0</v>
      </c>
      <c r="C255" s="18">
        <v>103.815</v>
      </c>
      <c r="D255" s="18">
        <v>0</v>
      </c>
      <c r="E255" s="18">
        <v>60.187977565846246</v>
      </c>
      <c r="F255" s="18">
        <v>103.815</v>
      </c>
      <c r="G255" s="18">
        <v>60.187977565846246</v>
      </c>
    </row>
    <row r="256" spans="1:7" ht="11.25" customHeight="1" x14ac:dyDescent="0.2">
      <c r="A256" s="28">
        <v>44501</v>
      </c>
      <c r="B256" s="18">
        <v>0</v>
      </c>
      <c r="C256" s="18">
        <v>184.07249999999999</v>
      </c>
      <c r="D256" s="18">
        <v>0</v>
      </c>
      <c r="E256" s="18">
        <v>106.71821509887042</v>
      </c>
      <c r="F256" s="18">
        <v>184.07249999999999</v>
      </c>
      <c r="G256" s="18">
        <v>106.71821509887042</v>
      </c>
    </row>
    <row r="257" spans="1:7" ht="11.25" customHeight="1" x14ac:dyDescent="0.2">
      <c r="A257" s="28">
        <v>44531</v>
      </c>
      <c r="B257" s="18">
        <v>0</v>
      </c>
      <c r="C257" s="18">
        <v>496.86750000000006</v>
      </c>
      <c r="D257" s="18">
        <v>0</v>
      </c>
      <c r="E257" s="18">
        <v>288.06482630831874</v>
      </c>
      <c r="F257" s="18">
        <v>496.86750000000006</v>
      </c>
      <c r="G257" s="18">
        <v>288.06482630831874</v>
      </c>
    </row>
    <row r="258" spans="1:7" ht="11.25" customHeight="1" x14ac:dyDescent="0.2">
      <c r="A258" s="28">
        <v>44562</v>
      </c>
      <c r="B258" s="18">
        <v>0</v>
      </c>
      <c r="C258" s="18">
        <v>167.0625</v>
      </c>
      <c r="D258" s="18">
        <v>0</v>
      </c>
      <c r="E258" s="18">
        <v>96.85646584880979</v>
      </c>
      <c r="F258" s="18">
        <v>167.0625</v>
      </c>
      <c r="G258" s="18">
        <v>96.85646584880979</v>
      </c>
    </row>
    <row r="259" spans="1:7" ht="11.25" customHeight="1" x14ac:dyDescent="0.2">
      <c r="A259" s="28">
        <v>44593</v>
      </c>
      <c r="B259" s="18">
        <v>0</v>
      </c>
      <c r="C259" s="18">
        <v>277.89749999999998</v>
      </c>
      <c r="D259" s="18">
        <v>0</v>
      </c>
      <c r="E259" s="18">
        <v>161.11437167658582</v>
      </c>
      <c r="F259" s="18">
        <v>277.89749999999998</v>
      </c>
      <c r="G259" s="18">
        <v>161.11437167658582</v>
      </c>
    </row>
    <row r="260" spans="1:7" ht="11.25" customHeight="1" x14ac:dyDescent="0.2">
      <c r="A260" s="28">
        <v>44621</v>
      </c>
      <c r="B260" s="18">
        <v>0</v>
      </c>
      <c r="C260" s="18">
        <v>104.6925</v>
      </c>
      <c r="D260" s="18">
        <v>0</v>
      </c>
      <c r="E260" s="18">
        <v>60.696718598587459</v>
      </c>
      <c r="F260" s="18">
        <v>104.6925</v>
      </c>
      <c r="G260" s="18">
        <v>60.696718598587459</v>
      </c>
    </row>
    <row r="261" spans="1:7" ht="11.25" customHeight="1" x14ac:dyDescent="0.2">
      <c r="A261" s="28">
        <v>44652</v>
      </c>
      <c r="B261" s="18">
        <v>0</v>
      </c>
      <c r="C261" s="18">
        <v>80.122500000000002</v>
      </c>
      <c r="D261" s="18">
        <v>0</v>
      </c>
      <c r="E261" s="18">
        <v>46.451969681833219</v>
      </c>
      <c r="F261" s="18">
        <v>80.122500000000002</v>
      </c>
      <c r="G261" s="18">
        <v>46.451969681833219</v>
      </c>
    </row>
    <row r="262" spans="1:7" ht="11.25" customHeight="1" x14ac:dyDescent="0.2">
      <c r="A262" s="28">
        <v>44682</v>
      </c>
      <c r="B262" s="18">
        <v>0</v>
      </c>
      <c r="C262" s="18">
        <v>-4.2524999999999977</v>
      </c>
      <c r="D262" s="18">
        <v>0</v>
      </c>
      <c r="E262" s="18">
        <v>-2.4654373125151583</v>
      </c>
      <c r="F262" s="18">
        <v>-4.2524999999999977</v>
      </c>
      <c r="G262" s="18">
        <v>-2.4654373125151583</v>
      </c>
    </row>
    <row r="263" spans="1:7" ht="11.25" customHeight="1" x14ac:dyDescent="0.2">
      <c r="A263" s="28">
        <v>44713</v>
      </c>
      <c r="B263" s="18">
        <v>0</v>
      </c>
      <c r="C263" s="18">
        <v>11.9475</v>
      </c>
      <c r="D263" s="18">
        <v>0</v>
      </c>
      <c r="E263" s="18">
        <v>6.9267048303997294</v>
      </c>
      <c r="F263" s="18">
        <v>11.9475</v>
      </c>
      <c r="G263" s="18">
        <v>6.9267048303997294</v>
      </c>
    </row>
    <row r="264" spans="1:7" ht="11.25" customHeight="1" x14ac:dyDescent="0.2">
      <c r="A264" s="28">
        <v>44743</v>
      </c>
      <c r="B264" s="18">
        <v>0</v>
      </c>
      <c r="C264" s="18">
        <v>11.9475</v>
      </c>
      <c r="D264" s="18">
        <v>0</v>
      </c>
      <c r="E264" s="18">
        <v>6.9267048303997294</v>
      </c>
      <c r="F264" s="18">
        <v>11.9475</v>
      </c>
      <c r="G264" s="18">
        <v>6.9267048303997294</v>
      </c>
    </row>
    <row r="265" spans="1:7" ht="11.25" customHeight="1" x14ac:dyDescent="0.2">
      <c r="A265" s="24" t="s">
        <v>25</v>
      </c>
      <c r="B265" s="18">
        <v>0</v>
      </c>
      <c r="C265" s="18">
        <v>788356.8</v>
      </c>
      <c r="D265" s="18">
        <v>0</v>
      </c>
      <c r="E265" s="18">
        <v>457059.20524281007</v>
      </c>
      <c r="F265" s="18">
        <v>788356.79999999993</v>
      </c>
      <c r="G265" s="18">
        <v>457059.20524281007</v>
      </c>
    </row>
    <row r="266" spans="1:7" ht="11.25" customHeight="1" x14ac:dyDescent="0.2">
      <c r="A266" s="25" t="s">
        <v>25</v>
      </c>
      <c r="B266" s="18">
        <v>0</v>
      </c>
      <c r="C266" s="18">
        <v>788356.8</v>
      </c>
      <c r="D266" s="18">
        <v>0</v>
      </c>
      <c r="E266" s="18">
        <v>457059.20524281007</v>
      </c>
      <c r="F266" s="18">
        <v>788356.79999999993</v>
      </c>
      <c r="G266" s="18">
        <v>457059.20524281007</v>
      </c>
    </row>
    <row r="267" spans="1:7" ht="11.25" customHeight="1" x14ac:dyDescent="0.2">
      <c r="A267" s="26" t="s">
        <v>25</v>
      </c>
      <c r="B267" s="18">
        <v>0</v>
      </c>
      <c r="C267" s="18">
        <v>788356.8</v>
      </c>
      <c r="D267" s="18">
        <v>0</v>
      </c>
      <c r="E267" s="18">
        <v>457059.20524281007</v>
      </c>
      <c r="F267" s="18">
        <v>788356.79999999993</v>
      </c>
      <c r="G267" s="18">
        <v>457059.20524281007</v>
      </c>
    </row>
    <row r="268" spans="1:7" ht="11.25" customHeight="1" x14ac:dyDescent="0.2">
      <c r="A268" s="27" t="s">
        <v>25</v>
      </c>
      <c r="B268" s="18">
        <v>0</v>
      </c>
      <c r="C268" s="18">
        <v>788356.8</v>
      </c>
      <c r="D268" s="18">
        <v>0</v>
      </c>
      <c r="E268" s="18">
        <v>457059.20524281007</v>
      </c>
      <c r="F268" s="18">
        <v>788356.79999999993</v>
      </c>
      <c r="G268" s="18">
        <v>457059.20524281007</v>
      </c>
    </row>
    <row r="269" spans="1:7" ht="11.25" customHeight="1" x14ac:dyDescent="0.2">
      <c r="A269" s="28">
        <v>44409</v>
      </c>
      <c r="B269" s="18">
        <v>0</v>
      </c>
      <c r="C269" s="18">
        <v>51042.285000000003</v>
      </c>
      <c r="D269" s="18">
        <v>0</v>
      </c>
      <c r="E269" s="18">
        <v>29592.370124640274</v>
      </c>
      <c r="F269" s="18">
        <v>51042.285000000003</v>
      </c>
      <c r="G269" s="18">
        <v>29592.370124640274</v>
      </c>
    </row>
    <row r="270" spans="1:7" ht="11.25" customHeight="1" x14ac:dyDescent="0.2">
      <c r="A270" s="28">
        <v>44440</v>
      </c>
      <c r="B270" s="18">
        <v>0</v>
      </c>
      <c r="C270" s="18">
        <v>62792.212499999994</v>
      </c>
      <c r="D270" s="18">
        <v>0</v>
      </c>
      <c r="E270" s="18">
        <v>36404.529954822036</v>
      </c>
      <c r="F270" s="18">
        <v>62792.212499999994</v>
      </c>
      <c r="G270" s="18">
        <v>36404.529954822036</v>
      </c>
    </row>
    <row r="271" spans="1:7" ht="11.25" customHeight="1" x14ac:dyDescent="0.2">
      <c r="A271" s="28">
        <v>44470</v>
      </c>
      <c r="B271" s="18">
        <v>0</v>
      </c>
      <c r="C271" s="18">
        <v>78683.872499999998</v>
      </c>
      <c r="D271" s="18">
        <v>0</v>
      </c>
      <c r="E271" s="18">
        <v>45617.90832561678</v>
      </c>
      <c r="F271" s="18">
        <v>78683.872499999998</v>
      </c>
      <c r="G271" s="18">
        <v>45617.90832561678</v>
      </c>
    </row>
    <row r="272" spans="1:7" ht="11.25" customHeight="1" x14ac:dyDescent="0.2">
      <c r="A272" s="28">
        <v>44501</v>
      </c>
      <c r="B272" s="18">
        <v>0</v>
      </c>
      <c r="C272" s="18">
        <v>102435.70499999999</v>
      </c>
      <c r="D272" s="18">
        <v>0</v>
      </c>
      <c r="E272" s="18">
        <v>59388.314930228233</v>
      </c>
      <c r="F272" s="18">
        <v>102435.70499999999</v>
      </c>
      <c r="G272" s="18">
        <v>59388.314930228233</v>
      </c>
    </row>
    <row r="273" spans="1:7" ht="11.25" customHeight="1" x14ac:dyDescent="0.2">
      <c r="A273" s="28">
        <v>44531</v>
      </c>
      <c r="B273" s="18">
        <v>0</v>
      </c>
      <c r="C273" s="18">
        <v>96652.44</v>
      </c>
      <c r="D273" s="18">
        <v>0</v>
      </c>
      <c r="E273" s="18">
        <v>56035.398453058806</v>
      </c>
      <c r="F273" s="18">
        <v>96652.44</v>
      </c>
      <c r="G273" s="18">
        <v>56035.398453058806</v>
      </c>
    </row>
    <row r="274" spans="1:7" ht="11.25" customHeight="1" x14ac:dyDescent="0.2">
      <c r="A274" s="28">
        <v>44562</v>
      </c>
      <c r="B274" s="18">
        <v>0</v>
      </c>
      <c r="C274" s="18">
        <v>70017.277500000011</v>
      </c>
      <c r="D274" s="18">
        <v>0</v>
      </c>
      <c r="E274" s="18">
        <v>40593.34708271089</v>
      </c>
      <c r="F274" s="18">
        <v>70017.277500000011</v>
      </c>
      <c r="G274" s="18">
        <v>40593.34708271089</v>
      </c>
    </row>
    <row r="275" spans="1:7" ht="11.25" customHeight="1" x14ac:dyDescent="0.2">
      <c r="A275" s="28">
        <v>44593</v>
      </c>
      <c r="B275" s="18">
        <v>0</v>
      </c>
      <c r="C275" s="18">
        <v>68623.807499999995</v>
      </c>
      <c r="D275" s="18">
        <v>0</v>
      </c>
      <c r="E275" s="18">
        <v>39785.466322717824</v>
      </c>
      <c r="F275" s="18">
        <v>68623.807499999995</v>
      </c>
      <c r="G275" s="18">
        <v>39785.466322717824</v>
      </c>
    </row>
    <row r="276" spans="1:7" ht="11.25" customHeight="1" x14ac:dyDescent="0.2">
      <c r="A276" s="28">
        <v>44621</v>
      </c>
      <c r="B276" s="18">
        <v>0</v>
      </c>
      <c r="C276" s="18">
        <v>59445.900000000009</v>
      </c>
      <c r="D276" s="18">
        <v>0</v>
      </c>
      <c r="E276" s="18">
        <v>34464.465593426183</v>
      </c>
      <c r="F276" s="18">
        <v>59445.900000000009</v>
      </c>
      <c r="G276" s="18">
        <v>34464.465593426183</v>
      </c>
    </row>
    <row r="277" spans="1:7" ht="11.25" customHeight="1" x14ac:dyDescent="0.2">
      <c r="A277" s="28">
        <v>44652</v>
      </c>
      <c r="B277" s="18">
        <v>0</v>
      </c>
      <c r="C277" s="18">
        <v>52412.399999999994</v>
      </c>
      <c r="D277" s="18">
        <v>0</v>
      </c>
      <c r="E277" s="18">
        <v>30386.7105463773</v>
      </c>
      <c r="F277" s="18">
        <v>52412.399999999994</v>
      </c>
      <c r="G277" s="18">
        <v>30386.7105463773</v>
      </c>
    </row>
    <row r="278" spans="1:7" ht="11.25" customHeight="1" x14ac:dyDescent="0.2">
      <c r="A278" s="28">
        <v>44682</v>
      </c>
      <c r="B278" s="18">
        <v>0</v>
      </c>
      <c r="C278" s="18">
        <v>52094.070000000007</v>
      </c>
      <c r="D278" s="18">
        <v>0</v>
      </c>
      <c r="E278" s="18">
        <v>30202.154953269026</v>
      </c>
      <c r="F278" s="18">
        <v>52094.070000000007</v>
      </c>
      <c r="G278" s="18">
        <v>30202.154953269026</v>
      </c>
    </row>
    <row r="279" spans="1:7" ht="11.25" customHeight="1" x14ac:dyDescent="0.2">
      <c r="A279" s="28">
        <v>44713</v>
      </c>
      <c r="B279" s="18">
        <v>0</v>
      </c>
      <c r="C279" s="18">
        <v>47078.415000000001</v>
      </c>
      <c r="D279" s="18">
        <v>0</v>
      </c>
      <c r="E279" s="18">
        <v>27294.269477971382</v>
      </c>
      <c r="F279" s="18">
        <v>47078.415000000001</v>
      </c>
      <c r="G279" s="18">
        <v>27294.269477971382</v>
      </c>
    </row>
    <row r="280" spans="1:7" ht="11.25" customHeight="1" x14ac:dyDescent="0.2">
      <c r="A280" s="28">
        <v>44743</v>
      </c>
      <c r="B280" s="18">
        <v>0</v>
      </c>
      <c r="C280" s="18">
        <v>47078.415000000001</v>
      </c>
      <c r="D280" s="18">
        <v>0</v>
      </c>
      <c r="E280" s="18">
        <v>27294.269477971382</v>
      </c>
      <c r="F280" s="18">
        <v>47078.415000000001</v>
      </c>
      <c r="G280" s="18">
        <v>27294.269477971382</v>
      </c>
    </row>
    <row r="281" spans="1:7" ht="11.25" customHeight="1" x14ac:dyDescent="0.2">
      <c r="A281" s="20" t="s">
        <v>660</v>
      </c>
      <c r="B281" s="18">
        <v>0</v>
      </c>
      <c r="C281" s="18">
        <v>0</v>
      </c>
      <c r="D281" s="18">
        <v>0</v>
      </c>
      <c r="E281" s="18">
        <v>0</v>
      </c>
      <c r="F281" s="18">
        <v>0</v>
      </c>
      <c r="G281" s="18">
        <v>0</v>
      </c>
    </row>
    <row r="282" spans="1:7" ht="11.25" customHeight="1" x14ac:dyDescent="0.2">
      <c r="A282" s="21" t="s">
        <v>22</v>
      </c>
      <c r="B282" s="18">
        <v>0</v>
      </c>
      <c r="C282" s="18">
        <v>0</v>
      </c>
      <c r="D282" s="18">
        <v>0</v>
      </c>
      <c r="E282" s="18">
        <v>0</v>
      </c>
      <c r="F282" s="18">
        <v>0</v>
      </c>
      <c r="G282" s="18">
        <v>0</v>
      </c>
    </row>
    <row r="283" spans="1:7" ht="11.25" customHeight="1" x14ac:dyDescent="0.2">
      <c r="A283" s="22" t="s">
        <v>23</v>
      </c>
      <c r="B283" s="18">
        <v>0</v>
      </c>
      <c r="C283" s="18">
        <v>0</v>
      </c>
      <c r="D283" s="18">
        <v>0</v>
      </c>
      <c r="E283" s="18">
        <v>0</v>
      </c>
      <c r="F283" s="18">
        <v>0</v>
      </c>
      <c r="G283" s="18">
        <v>0</v>
      </c>
    </row>
    <row r="284" spans="1:7" ht="11.25" customHeight="1" x14ac:dyDescent="0.2">
      <c r="A284" s="23" t="s">
        <v>24</v>
      </c>
      <c r="B284" s="18">
        <v>0</v>
      </c>
      <c r="C284" s="18">
        <v>0</v>
      </c>
      <c r="D284" s="18">
        <v>0</v>
      </c>
      <c r="E284" s="18">
        <v>0</v>
      </c>
      <c r="F284" s="18">
        <v>0</v>
      </c>
      <c r="G284" s="18">
        <v>0</v>
      </c>
    </row>
    <row r="285" spans="1:7" ht="11.25" customHeight="1" x14ac:dyDescent="0.2">
      <c r="A285" s="24" t="s">
        <v>24</v>
      </c>
      <c r="B285" s="18">
        <v>0</v>
      </c>
      <c r="C285" s="18">
        <v>0</v>
      </c>
      <c r="D285" s="18">
        <v>0</v>
      </c>
      <c r="E285" s="18">
        <v>0</v>
      </c>
      <c r="F285" s="18">
        <v>0</v>
      </c>
      <c r="G285" s="18">
        <v>0</v>
      </c>
    </row>
    <row r="286" spans="1:7" ht="11.25" customHeight="1" x14ac:dyDescent="0.2">
      <c r="A286" s="25" t="s">
        <v>25</v>
      </c>
      <c r="B286" s="18">
        <v>0</v>
      </c>
      <c r="C286" s="18">
        <v>0</v>
      </c>
      <c r="D286" s="18">
        <v>0</v>
      </c>
      <c r="E286" s="18">
        <v>0</v>
      </c>
      <c r="F286" s="18">
        <v>0</v>
      </c>
      <c r="G286" s="18">
        <v>0</v>
      </c>
    </row>
    <row r="287" spans="1:7" ht="11.25" customHeight="1" x14ac:dyDescent="0.2">
      <c r="A287" s="26" t="s">
        <v>25</v>
      </c>
      <c r="B287" s="18">
        <v>0</v>
      </c>
      <c r="C287" s="18">
        <v>0</v>
      </c>
      <c r="D287" s="18">
        <v>0</v>
      </c>
      <c r="E287" s="18">
        <v>0</v>
      </c>
      <c r="F287" s="18">
        <v>0</v>
      </c>
      <c r="G287" s="18">
        <v>0</v>
      </c>
    </row>
    <row r="288" spans="1:7" ht="11.25" customHeight="1" x14ac:dyDescent="0.2">
      <c r="A288" s="27" t="s">
        <v>25</v>
      </c>
      <c r="B288" s="18">
        <v>0</v>
      </c>
      <c r="C288" s="18">
        <v>0</v>
      </c>
      <c r="D288" s="18">
        <v>0</v>
      </c>
      <c r="E288" s="18">
        <v>0</v>
      </c>
      <c r="F288" s="18">
        <v>0</v>
      </c>
      <c r="G288" s="18">
        <v>0</v>
      </c>
    </row>
    <row r="289" spans="1:7" ht="11.25" customHeight="1" x14ac:dyDescent="0.2">
      <c r="A289" s="28">
        <v>44409</v>
      </c>
      <c r="B289" s="18">
        <v>0</v>
      </c>
      <c r="C289" s="18">
        <v>0</v>
      </c>
      <c r="D289" s="18">
        <v>0</v>
      </c>
      <c r="E289" s="18">
        <v>0</v>
      </c>
      <c r="F289" s="18">
        <v>0</v>
      </c>
      <c r="G289" s="18">
        <v>0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A33F5-5B58-4998-8853-84371B0BB79F}">
  <dimension ref="A1:V35"/>
  <sheetViews>
    <sheetView showGridLines="0" workbookViewId="0">
      <selection sqref="A1:J1"/>
    </sheetView>
  </sheetViews>
  <sheetFormatPr defaultRowHeight="11.25" customHeight="1" x14ac:dyDescent="0.25"/>
  <cols>
    <col min="1" max="1" width="9.28515625" style="8" bestFit="1" customWidth="1"/>
    <col min="2" max="2" width="11.140625" style="8" bestFit="1" customWidth="1"/>
    <col min="3" max="3" width="10.28515625" style="8" bestFit="1" customWidth="1"/>
    <col min="4" max="4" width="6.28515625" style="8" bestFit="1" customWidth="1"/>
    <col min="5" max="10" width="7.7109375" style="8" customWidth="1"/>
    <col min="11" max="12" width="9.140625" style="8"/>
    <col min="13" max="13" width="14.28515625" style="8" customWidth="1"/>
    <col min="14" max="14" width="16.7109375" style="8" customWidth="1"/>
    <col min="15" max="15" width="31.7109375" style="8" customWidth="1"/>
    <col min="16" max="22" width="7.7109375" style="8" customWidth="1"/>
    <col min="23" max="16384" width="9.140625" style="8"/>
  </cols>
  <sheetData>
    <row r="1" spans="1:22" ht="11.25" customHeight="1" x14ac:dyDescent="0.25">
      <c r="A1" s="141" t="s">
        <v>730</v>
      </c>
      <c r="B1" s="159"/>
      <c r="C1" s="159"/>
      <c r="D1" s="159"/>
      <c r="E1" s="159"/>
      <c r="F1" s="159"/>
      <c r="G1" s="159"/>
      <c r="H1" s="159"/>
      <c r="I1" s="159"/>
      <c r="J1" s="159"/>
      <c r="L1" s="141" t="s">
        <v>740</v>
      </c>
      <c r="M1" s="142"/>
      <c r="N1" s="142"/>
      <c r="O1" s="142"/>
      <c r="P1" s="142"/>
      <c r="Q1" s="142"/>
      <c r="R1" s="142"/>
      <c r="S1" s="142"/>
      <c r="T1" s="142"/>
      <c r="U1" s="142"/>
      <c r="V1" s="142"/>
    </row>
    <row r="2" spans="1:22" ht="11.25" customHeight="1" x14ac:dyDescent="0.25">
      <c r="A2" s="154" t="s">
        <v>64</v>
      </c>
      <c r="B2" s="154" t="s">
        <v>65</v>
      </c>
      <c r="C2" s="154" t="s">
        <v>731</v>
      </c>
      <c r="D2" s="154" t="s">
        <v>70</v>
      </c>
      <c r="E2" s="154" t="s">
        <v>732</v>
      </c>
      <c r="F2" s="158"/>
      <c r="G2" s="158"/>
      <c r="H2" s="154" t="s">
        <v>502</v>
      </c>
      <c r="I2" s="158"/>
      <c r="J2" s="158"/>
      <c r="L2" s="154" t="s">
        <v>64</v>
      </c>
      <c r="M2" s="154" t="s">
        <v>65</v>
      </c>
      <c r="N2" s="154" t="s">
        <v>66</v>
      </c>
      <c r="O2" s="154" t="s">
        <v>67</v>
      </c>
      <c r="P2" s="154" t="s">
        <v>70</v>
      </c>
      <c r="Q2" s="154" t="s">
        <v>732</v>
      </c>
      <c r="R2" s="160"/>
      <c r="S2" s="160"/>
      <c r="T2" s="154" t="s">
        <v>502</v>
      </c>
      <c r="U2" s="160"/>
      <c r="V2" s="160"/>
    </row>
    <row r="3" spans="1:22" ht="11.25" customHeight="1" x14ac:dyDescent="0.25">
      <c r="A3" s="158"/>
      <c r="B3" s="158"/>
      <c r="C3" s="158"/>
      <c r="D3" s="158"/>
      <c r="E3" s="154" t="s">
        <v>460</v>
      </c>
      <c r="F3" s="158"/>
      <c r="G3" s="69" t="s">
        <v>488</v>
      </c>
      <c r="H3" s="154" t="s">
        <v>460</v>
      </c>
      <c r="I3" s="158"/>
      <c r="J3" s="69" t="s">
        <v>488</v>
      </c>
      <c r="L3" s="160"/>
      <c r="M3" s="160"/>
      <c r="N3" s="160"/>
      <c r="O3" s="160"/>
      <c r="P3" s="160"/>
      <c r="Q3" s="154" t="s">
        <v>460</v>
      </c>
      <c r="R3" s="160"/>
      <c r="S3" s="69" t="s">
        <v>488</v>
      </c>
      <c r="T3" s="154" t="s">
        <v>460</v>
      </c>
      <c r="U3" s="160"/>
      <c r="V3" s="69" t="s">
        <v>488</v>
      </c>
    </row>
    <row r="4" spans="1:22" ht="11.25" customHeight="1" x14ac:dyDescent="0.25">
      <c r="A4" s="158"/>
      <c r="B4" s="158"/>
      <c r="C4" s="158"/>
      <c r="D4" s="158"/>
      <c r="E4" s="69" t="s">
        <v>733</v>
      </c>
      <c r="F4" s="69" t="s">
        <v>734</v>
      </c>
      <c r="G4" s="69" t="s">
        <v>734</v>
      </c>
      <c r="H4" s="69" t="s">
        <v>733</v>
      </c>
      <c r="I4" s="69" t="s">
        <v>734</v>
      </c>
      <c r="J4" s="69" t="s">
        <v>734</v>
      </c>
      <c r="L4" s="160"/>
      <c r="M4" s="160"/>
      <c r="N4" s="160"/>
      <c r="O4" s="160"/>
      <c r="P4" s="160"/>
      <c r="Q4" s="69" t="s">
        <v>733</v>
      </c>
      <c r="R4" s="69" t="s">
        <v>734</v>
      </c>
      <c r="S4" s="69" t="s">
        <v>734</v>
      </c>
      <c r="T4" s="69" t="s">
        <v>733</v>
      </c>
      <c r="U4" s="69" t="s">
        <v>734</v>
      </c>
      <c r="V4" s="69" t="s">
        <v>734</v>
      </c>
    </row>
    <row r="5" spans="1:22" ht="11.25" customHeight="1" x14ac:dyDescent="0.25">
      <c r="A5" s="157" t="s">
        <v>35</v>
      </c>
      <c r="B5" s="157" t="s">
        <v>36</v>
      </c>
      <c r="C5" s="157" t="s">
        <v>25</v>
      </c>
      <c r="D5" s="70" t="s">
        <v>735</v>
      </c>
      <c r="E5" s="68">
        <f ca="1">ROUND('TUSD BE'!$AM$5+'TUSD BF_350'!$AM$5+'TUSD CVA'!$AM$5,2)</f>
        <v>32.35</v>
      </c>
      <c r="F5" s="68">
        <f ca="1">ROUND('TUSD BE'!$AM$7+'TUSD BF_350'!$AM$7+'TUSD CVA'!$AM$7,2)</f>
        <v>126.25</v>
      </c>
      <c r="G5" s="68">
        <f ca="1">ROUND('TE BE'!$AB$5+'TE BF_350'!$AB$5+'TE CVA'!$AB$5,2)</f>
        <v>362.74</v>
      </c>
      <c r="H5" s="68">
        <f ca="1">ROUND('TUSD BE'!$AM$5,2)</f>
        <v>56.66</v>
      </c>
      <c r="I5" s="68">
        <f ca="1">ROUND('TUSD BE'!$AM$7,2)</f>
        <v>98.91</v>
      </c>
      <c r="J5" s="68">
        <f>ROUND('TE BE'!$AB$5,2)</f>
        <v>338.86</v>
      </c>
      <c r="L5" s="161" t="s">
        <v>22</v>
      </c>
      <c r="M5" s="161" t="s">
        <v>741</v>
      </c>
      <c r="N5" s="161" t="s">
        <v>742</v>
      </c>
      <c r="O5" s="161" t="s">
        <v>742</v>
      </c>
      <c r="P5" s="70" t="s">
        <v>735</v>
      </c>
      <c r="Q5" s="68">
        <v>0</v>
      </c>
      <c r="R5" s="68">
        <f ca="1">ROUND('TUSD BE'!$AM$17+'TUSD BF_350'!$AM$17+'TUSD CVA'!$AM$17,2)</f>
        <v>571.59</v>
      </c>
      <c r="S5" s="68">
        <f ca="1">ROUND('TE BE'!$AB$8+'TE BF_350'!$AB$8+'TE CVA'!$AB$8,2)</f>
        <v>399.84</v>
      </c>
      <c r="T5" s="68">
        <v>0</v>
      </c>
      <c r="U5" s="68">
        <f ca="1">ROUND('TUSD BE'!$AM$17,2)</f>
        <v>901.1</v>
      </c>
      <c r="V5" s="68">
        <f>ROUND('TE BE'!$AB$8,2)</f>
        <v>338.86</v>
      </c>
    </row>
    <row r="6" spans="1:22" ht="11.25" customHeight="1" x14ac:dyDescent="0.25">
      <c r="A6" s="158"/>
      <c r="B6" s="158"/>
      <c r="C6" s="158"/>
      <c r="D6" s="70" t="s">
        <v>736</v>
      </c>
      <c r="E6" s="68">
        <f ca="1">ROUND('TUSD BE'!$AM$6+'TUSD BF_350'!$AM$6+'TUSD CVA'!$AM$6,2)</f>
        <v>15.64</v>
      </c>
      <c r="F6" s="68">
        <f ca="1">ROUND('TUSD BE'!$AM$7+'TUSD BF_350'!$AM$7+'TUSD CVA'!$AM$7,2)</f>
        <v>126.25</v>
      </c>
      <c r="G6" s="68">
        <f ca="1">ROUND('TE BE'!$AB$6+'TE BF_350'!$AB$6+'TE CVA'!$AB$6,2)</f>
        <v>223</v>
      </c>
      <c r="H6" s="68">
        <f ca="1">ROUND('TUSD BE'!$AM$6,2)</f>
        <v>21.8</v>
      </c>
      <c r="I6" s="68">
        <f ca="1">ROUND('TUSD BE'!$AM$7,2)</f>
        <v>98.91</v>
      </c>
      <c r="J6" s="68">
        <f>ROUND('TE BE'!$AB$6,2)</f>
        <v>208.19</v>
      </c>
      <c r="L6" s="162"/>
      <c r="M6" s="162"/>
      <c r="N6" s="162"/>
      <c r="O6" s="162"/>
      <c r="P6" s="70" t="s">
        <v>743</v>
      </c>
      <c r="Q6" s="68">
        <v>0</v>
      </c>
      <c r="R6" s="68">
        <f ca="1">ROUND('TUSD BE'!$AM$18+'TUSD BF_350'!$AM$18+'TUSD CVA'!$AM$18,2)</f>
        <v>405.71</v>
      </c>
      <c r="S6" s="68">
        <f ca="1">ROUND('TE BE'!$AB$9+'TE BF_350'!$AB$9+'TE CVA'!$AB$9,2)</f>
        <v>250.04</v>
      </c>
      <c r="T6" s="68">
        <v>0</v>
      </c>
      <c r="U6" s="68">
        <f ca="1">ROUND('TUSD BE'!$AM$18,2)</f>
        <v>590.37</v>
      </c>
      <c r="V6" s="68">
        <f>ROUND('TE BE'!$AB$9,2)</f>
        <v>208.19</v>
      </c>
    </row>
    <row r="7" spans="1:22" ht="11.25" customHeight="1" x14ac:dyDescent="0.25">
      <c r="A7" s="158"/>
      <c r="B7" s="157" t="s">
        <v>737</v>
      </c>
      <c r="C7" s="157" t="s">
        <v>25</v>
      </c>
      <c r="D7" s="70" t="s">
        <v>735</v>
      </c>
      <c r="E7" s="68">
        <f ca="1">ROUND('TUSD BE'!$AM$5+'TUSD BF_350'!$AM$5+'TUSD CVA'!$AM$5,2)</f>
        <v>32.35</v>
      </c>
      <c r="F7" s="68">
        <f ca="1">ROUND('TUSD BE'!$AM$8+'TUSD BF_350'!$AM$8+'TUSD CVA'!$AM$8,2)</f>
        <v>20.49</v>
      </c>
      <c r="G7" s="68">
        <v>0</v>
      </c>
      <c r="H7" s="68">
        <f ca="1">ROUND('TUSD BE'!$AM$5,2)</f>
        <v>56.66</v>
      </c>
      <c r="I7" s="68">
        <f ca="1">ROUND('TUSD BE'!$AM$8,2)</f>
        <v>9.81</v>
      </c>
      <c r="J7" s="68">
        <v>0</v>
      </c>
      <c r="L7" s="162"/>
      <c r="M7" s="163"/>
      <c r="N7" s="163"/>
      <c r="O7" s="163"/>
      <c r="P7" s="70" t="s">
        <v>736</v>
      </c>
      <c r="Q7" s="68">
        <v>0</v>
      </c>
      <c r="R7" s="68">
        <f ca="1">ROUND('TUSD BE'!$AM$19+'TUSD BF_350'!$AM$19+'TUSD CVA'!$AM$19,2)</f>
        <v>239.83</v>
      </c>
      <c r="S7" s="68">
        <f ca="1">ROUND('TE BE'!$AB$10+'TE BF_350'!$AB$10+'TE CVA'!$AB$10,2)</f>
        <v>250.04</v>
      </c>
      <c r="T7" s="68">
        <v>0</v>
      </c>
      <c r="U7" s="68">
        <f ca="1">ROUND('TUSD BE'!$AM$19,2)</f>
        <v>279.64</v>
      </c>
      <c r="V7" s="68">
        <f>ROUND('TE BE'!$AB$10,2)</f>
        <v>208.19</v>
      </c>
    </row>
    <row r="8" spans="1:22" ht="11.25" customHeight="1" x14ac:dyDescent="0.25">
      <c r="A8" s="158"/>
      <c r="B8" s="158"/>
      <c r="C8" s="158"/>
      <c r="D8" s="70" t="s">
        <v>736</v>
      </c>
      <c r="E8" s="68">
        <f ca="1">ROUND('TUSD BE'!$AM$6+'TUSD BF_350'!$AM$6+'TUSD CVA'!$AM$6,2)</f>
        <v>15.64</v>
      </c>
      <c r="F8" s="68">
        <f ca="1">ROUND('TUSD BE'!$AM$8+'TUSD BF_350'!$AM$8+'TUSD CVA'!$AM$8,2)</f>
        <v>20.49</v>
      </c>
      <c r="G8" s="68">
        <v>0</v>
      </c>
      <c r="H8" s="68">
        <f ca="1">ROUND('TUSD BE'!$AM$6,2)</f>
        <v>21.8</v>
      </c>
      <c r="I8" s="68">
        <f ca="1">ROUND('TUSD BE'!$AM$8,2)</f>
        <v>9.81</v>
      </c>
      <c r="J8" s="68">
        <v>0</v>
      </c>
      <c r="L8" s="162"/>
      <c r="M8" s="70" t="s">
        <v>744</v>
      </c>
      <c r="N8" s="70" t="s">
        <v>742</v>
      </c>
      <c r="O8" s="70" t="s">
        <v>742</v>
      </c>
      <c r="P8" s="70" t="s">
        <v>738</v>
      </c>
      <c r="Q8" s="68">
        <v>0</v>
      </c>
      <c r="R8" s="68">
        <f ca="1">ROUND('TUSD BE'!$AM$25+'TUSD BF_350'!$AM$25+'TUSD CVA'!$AM$25,2)</f>
        <v>310.49</v>
      </c>
      <c r="S8" s="68">
        <f ca="1">ROUND('TE BE'!$AB$16+'TE BF_350'!$AB$16+'TE CVA'!$AB$16,2)</f>
        <v>262.52999999999997</v>
      </c>
      <c r="T8" s="68">
        <v>0</v>
      </c>
      <c r="U8" s="68">
        <f ca="1">ROUND('TUSD BE'!$AM$25,2)</f>
        <v>396.85</v>
      </c>
      <c r="V8" s="68">
        <f>ROUND('TE BE'!$AB$16,2)</f>
        <v>219.08</v>
      </c>
    </row>
    <row r="9" spans="1:22" ht="11.25" customHeight="1" x14ac:dyDescent="0.25">
      <c r="A9" s="158"/>
      <c r="B9" s="157" t="s">
        <v>39</v>
      </c>
      <c r="C9" s="157" t="s">
        <v>25</v>
      </c>
      <c r="D9" s="70" t="s">
        <v>738</v>
      </c>
      <c r="E9" s="68">
        <f ca="1">ROUND('TUSD BE'!$AM$10+'TUSD BF_350'!$AM$10+'TUSD CVA'!$AM$10,2)</f>
        <v>15.64</v>
      </c>
      <c r="F9" s="68">
        <v>0</v>
      </c>
      <c r="G9" s="68">
        <v>0</v>
      </c>
      <c r="H9" s="68">
        <f ca="1">ROUND('TUSD BE'!$AM$10,2)</f>
        <v>21.8</v>
      </c>
      <c r="I9" s="68">
        <v>0</v>
      </c>
      <c r="J9" s="68">
        <v>0</v>
      </c>
      <c r="L9" s="162"/>
      <c r="M9" s="70" t="s">
        <v>746</v>
      </c>
      <c r="N9" s="70" t="s">
        <v>742</v>
      </c>
      <c r="O9" s="70" t="s">
        <v>742</v>
      </c>
      <c r="P9" s="70" t="s">
        <v>738</v>
      </c>
      <c r="Q9" s="68">
        <v>0</v>
      </c>
      <c r="R9" s="68">
        <f ca="1">ROUND('TUSD BE'!$AM$20+'TUSD BF_350'!$AM$20+'TUSD CVA'!$AM$20,2)</f>
        <v>310.49</v>
      </c>
      <c r="S9" s="68">
        <f ca="1">ROUND('TE BE'!$AB$11+'TE BF_350'!$AB$11+'TE CVA'!$AB$11,2)</f>
        <v>262.52999999999997</v>
      </c>
      <c r="T9" s="68">
        <v>0</v>
      </c>
      <c r="U9" s="68">
        <f ca="1">ROUND('TUSD BE'!$AM$20,2)</f>
        <v>396.85</v>
      </c>
      <c r="V9" s="68">
        <f>ROUND('TE BE'!$AB$11,2)</f>
        <v>219.08</v>
      </c>
    </row>
    <row r="10" spans="1:22" ht="11.25" customHeight="1" x14ac:dyDescent="0.25">
      <c r="A10" s="158"/>
      <c r="B10" s="158"/>
      <c r="C10" s="158"/>
      <c r="D10" s="70" t="s">
        <v>735</v>
      </c>
      <c r="E10" s="68">
        <v>0</v>
      </c>
      <c r="F10" s="68">
        <f ca="1">ROUND('TUSD BE'!$AM$11+'TUSD BF_350'!$AM$11+'TUSD CVA'!$AM$11,2)</f>
        <v>911.84</v>
      </c>
      <c r="G10" s="68">
        <f ca="1">ROUND('TE BE'!$AB$5+'TE BF_350'!$AB$5+'TE CVA'!$AB$5,2)</f>
        <v>362.74</v>
      </c>
      <c r="H10" s="68">
        <v>0</v>
      </c>
      <c r="I10" s="68">
        <f ca="1">ROUND('TUSD BE'!$AM$11,2)</f>
        <v>1478.3</v>
      </c>
      <c r="J10" s="68">
        <f>ROUND('TE BE'!$AB$5,2)</f>
        <v>338.86</v>
      </c>
      <c r="L10" s="162"/>
      <c r="M10" s="70" t="s">
        <v>744</v>
      </c>
      <c r="N10" s="70" t="s">
        <v>742</v>
      </c>
      <c r="O10" s="70" t="s">
        <v>745</v>
      </c>
      <c r="P10" s="70" t="s">
        <v>738</v>
      </c>
      <c r="Q10" s="68">
        <v>0</v>
      </c>
      <c r="R10" s="68">
        <f ca="1">ROUND('TUSD BE'!$AM$26+'TUSD BF_350'!$AM$26+'TUSD CVA'!$AM$26,2)</f>
        <v>187.78</v>
      </c>
      <c r="S10" s="68">
        <f ca="1">ROUND('TE BE'!$AB$17+'TE BF_350'!$AB$17+'TE CVA'!$AB$17,2)</f>
        <v>262.52999999999997</v>
      </c>
      <c r="T10" s="68">
        <v>0</v>
      </c>
      <c r="U10" s="68">
        <f ca="1">ROUND('TUSD BE'!$AM$26,2)</f>
        <v>293.39</v>
      </c>
      <c r="V10" s="68">
        <f>ROUND('TE BE'!$AB$17,2)</f>
        <v>219.08</v>
      </c>
    </row>
    <row r="11" spans="1:22" ht="11.25" customHeight="1" x14ac:dyDescent="0.25">
      <c r="A11" s="158"/>
      <c r="B11" s="158"/>
      <c r="C11" s="158"/>
      <c r="D11" s="70" t="s">
        <v>736</v>
      </c>
      <c r="E11" s="68">
        <v>0</v>
      </c>
      <c r="F11" s="68">
        <f ca="1">ROUND('TUSD BE'!$AM$12+'TUSD BF_350'!$AM$12+'TUSD CVA'!$AM$12,2)</f>
        <v>126.25</v>
      </c>
      <c r="G11" s="68">
        <f ca="1">ROUND('TE BE'!$AB$6+'TE BF_350'!$AB$6+'TE CVA'!$AB$6,2)</f>
        <v>223</v>
      </c>
      <c r="H11" s="68">
        <v>0</v>
      </c>
      <c r="I11" s="68">
        <f ca="1">ROUND('TUSD BE'!$AM$12,2)</f>
        <v>98.91</v>
      </c>
      <c r="J11" s="68">
        <f>ROUND('TE BE'!$AB$6,2)</f>
        <v>208.19</v>
      </c>
      <c r="L11" s="163"/>
      <c r="M11" s="70" t="s">
        <v>746</v>
      </c>
      <c r="N11" s="70" t="s">
        <v>742</v>
      </c>
      <c r="O11" s="70" t="s">
        <v>745</v>
      </c>
      <c r="P11" s="70" t="s">
        <v>738</v>
      </c>
      <c r="Q11" s="68">
        <v>0</v>
      </c>
      <c r="R11" s="68">
        <f ca="1">ROUND('TUSD BE'!$AM$21+'TUSD BF_350'!$AM$21+'TUSD CVA'!$AM$21,2)</f>
        <v>187.78</v>
      </c>
      <c r="S11" s="68">
        <f ca="1">ROUND('TE BE'!$AB$12+'TE BF_350'!$AB$12+'TE CVA'!$AB$12,2)</f>
        <v>262.52999999999997</v>
      </c>
      <c r="T11" s="68">
        <v>0</v>
      </c>
      <c r="U11" s="68">
        <f ca="1">ROUND('TUSD BE'!$AM$21,2)</f>
        <v>293.39</v>
      </c>
      <c r="V11" s="68">
        <f>ROUND('TE BE'!$AB$12,2)</f>
        <v>219.08</v>
      </c>
    </row>
    <row r="12" spans="1:22" ht="11.25" customHeight="1" x14ac:dyDescent="0.25">
      <c r="A12" s="158"/>
      <c r="B12" s="157" t="s">
        <v>739</v>
      </c>
      <c r="C12" s="157" t="s">
        <v>25</v>
      </c>
      <c r="D12" s="70" t="s">
        <v>738</v>
      </c>
      <c r="E12" s="68">
        <f ca="1">ROUND('TUSD BE'!$AM$10+'TUSD BF_350'!$AM$10+'TUSD CVA'!$AM$10,2)</f>
        <v>15.64</v>
      </c>
      <c r="F12" s="68">
        <v>0</v>
      </c>
      <c r="G12" s="68">
        <v>0</v>
      </c>
      <c r="H12" s="68">
        <f ca="1">ROUND('TUSD BE'!$AM$10,2)</f>
        <v>21.8</v>
      </c>
      <c r="I12" s="68">
        <v>0</v>
      </c>
      <c r="J12" s="68">
        <v>0</v>
      </c>
      <c r="L12" s="161" t="s">
        <v>41</v>
      </c>
      <c r="M12" s="161" t="s">
        <v>741</v>
      </c>
      <c r="N12" s="161" t="s">
        <v>747</v>
      </c>
      <c r="O12" s="161" t="s">
        <v>748</v>
      </c>
      <c r="P12" s="70" t="s">
        <v>735</v>
      </c>
      <c r="Q12" s="68">
        <v>0</v>
      </c>
      <c r="R12" s="68">
        <f ca="1">ROUND(('TUSD BE'!$AM$30+'TUSD BF_350'!$AM$30+'TUSD CVA'!$AM$30)*(1-CUSTOS!$M$38),2)</f>
        <v>573.39</v>
      </c>
      <c r="S12" s="68">
        <f ca="1">ROUND(('TE BE'!$AB$21+'TE BF_350'!$AB$21+'TE CVA'!$AB$21)*(1-CUSTOS!$M$38),2)</f>
        <v>375.85</v>
      </c>
      <c r="T12" s="68">
        <v>0</v>
      </c>
      <c r="U12" s="68">
        <f ca="1">ROUND('TUSD BE'!$AM$30*(1-CUSTOS!$M$38),2)</f>
        <v>911.09</v>
      </c>
      <c r="V12" s="68">
        <f>ROUND('TE BE'!$AB$21*(1-CUSTOS!$M$38),2)</f>
        <v>318.52999999999997</v>
      </c>
    </row>
    <row r="13" spans="1:22" ht="11.25" customHeight="1" x14ac:dyDescent="0.25">
      <c r="A13" s="158"/>
      <c r="B13" s="158"/>
      <c r="C13" s="158"/>
      <c r="D13" s="70" t="s">
        <v>735</v>
      </c>
      <c r="E13" s="68">
        <v>0</v>
      </c>
      <c r="F13" s="68">
        <f ca="1">ROUND('TUSD BE'!$AM$13+'TUSD BF_350'!$AM$13+'TUSD CVA'!$AM$13,2)</f>
        <v>806.08</v>
      </c>
      <c r="G13" s="68">
        <v>0</v>
      </c>
      <c r="H13" s="68">
        <v>0</v>
      </c>
      <c r="I13" s="68">
        <f ca="1">ROUND('TUSD BE'!$AM$13,2)</f>
        <v>1389.19</v>
      </c>
      <c r="J13" s="68">
        <v>0</v>
      </c>
      <c r="L13" s="162"/>
      <c r="M13" s="162"/>
      <c r="N13" s="162"/>
      <c r="O13" s="162"/>
      <c r="P13" s="70" t="s">
        <v>743</v>
      </c>
      <c r="Q13" s="68">
        <v>0</v>
      </c>
      <c r="R13" s="68">
        <f ca="1">ROUND(('TUSD BE'!$AM$31+'TUSD BF_350'!$AM$31+'TUSD CVA'!$AM$31)*(1-CUSTOS!$M$38),2)</f>
        <v>403.03</v>
      </c>
      <c r="S13" s="68">
        <f ca="1">ROUND(('TE BE'!$AB$22+'TE BF_350'!$AB$22+'TE CVA'!$AB$22)*(1-CUSTOS!$M$38),2)</f>
        <v>235.04</v>
      </c>
      <c r="T13" s="68">
        <v>0</v>
      </c>
      <c r="U13" s="68">
        <f ca="1">ROUND('TUSD BE'!$AM$31*(1-CUSTOS!$M$38),2)</f>
        <v>593.38</v>
      </c>
      <c r="V13" s="68">
        <f>ROUND('TE BE'!$AB$22*(1-CUSTOS!$M$38),2)</f>
        <v>195.7</v>
      </c>
    </row>
    <row r="14" spans="1:22" ht="11.25" customHeight="1" x14ac:dyDescent="0.25">
      <c r="A14" s="158"/>
      <c r="B14" s="158"/>
      <c r="C14" s="158"/>
      <c r="D14" s="70" t="s">
        <v>736</v>
      </c>
      <c r="E14" s="68">
        <v>0</v>
      </c>
      <c r="F14" s="68">
        <f ca="1">ROUND('TUSD BE'!$AM$14+'TUSD BF_350'!$AM$14+'TUSD CVA'!$AM$14,2)</f>
        <v>20.49</v>
      </c>
      <c r="G14" s="68">
        <v>0</v>
      </c>
      <c r="H14" s="68">
        <v>0</v>
      </c>
      <c r="I14" s="68">
        <f ca="1">ROUND('TUSD BE'!$AM$14,2)</f>
        <v>9.81</v>
      </c>
      <c r="J14" s="68">
        <v>0</v>
      </c>
      <c r="L14" s="162"/>
      <c r="M14" s="163"/>
      <c r="N14" s="163"/>
      <c r="O14" s="163"/>
      <c r="P14" s="70" t="s">
        <v>736</v>
      </c>
      <c r="Q14" s="68">
        <v>0</v>
      </c>
      <c r="R14" s="68">
        <f ca="1">ROUND(('TUSD BE'!$AM$32+'TUSD BF_350'!$AM$32+'TUSD CVA'!$AM$32)*(1-CUSTOS!$M$38),2)</f>
        <v>232.66</v>
      </c>
      <c r="S14" s="68">
        <f ca="1">ROUND(('TE BE'!$AB$23+'TE BF_350'!$AB$23+'TE CVA'!$AB$23)*(1-CUSTOS!$M$38),2)</f>
        <v>235.04</v>
      </c>
      <c r="T14" s="68">
        <v>0</v>
      </c>
      <c r="U14" s="68">
        <f ca="1">ROUND('TUSD BE'!$AM$32*(1-CUSTOS!$M$38),2)</f>
        <v>275.67</v>
      </c>
      <c r="V14" s="68">
        <f>ROUND('TE BE'!$AB$23*(1-CUSTOS!$M$38),2)</f>
        <v>195.7</v>
      </c>
    </row>
    <row r="15" spans="1:22" ht="11.25" customHeight="1" x14ac:dyDescent="0.25">
      <c r="A15" s="158"/>
      <c r="B15" s="70" t="s">
        <v>83</v>
      </c>
      <c r="C15" s="70" t="s">
        <v>25</v>
      </c>
      <c r="D15" s="70" t="s">
        <v>738</v>
      </c>
      <c r="E15" s="68">
        <f ca="1">ROUND('TUSD BE'!$AM$9+'TUSD BF_350'!$AM$9+'TUSD CVA'!$AM$9,2)</f>
        <v>9.07</v>
      </c>
      <c r="F15" s="68">
        <v>0</v>
      </c>
      <c r="G15" s="68">
        <v>0</v>
      </c>
      <c r="H15" s="68">
        <f ca="1">ROUND('TUSD BE'!$AM$9,2)</f>
        <v>9.18</v>
      </c>
      <c r="I15" s="68">
        <v>0</v>
      </c>
      <c r="J15" s="68">
        <v>0</v>
      </c>
      <c r="L15" s="162"/>
      <c r="M15" s="70" t="s">
        <v>744</v>
      </c>
      <c r="N15" s="70" t="s">
        <v>747</v>
      </c>
      <c r="O15" s="70" t="s">
        <v>748</v>
      </c>
      <c r="P15" s="70" t="s">
        <v>738</v>
      </c>
      <c r="Q15" s="68">
        <v>0</v>
      </c>
      <c r="R15" s="68">
        <f ca="1">ROUND(('TUSD BE'!$AM$42+'TUSD BF_350'!$AM$42+'TUSD CVA'!$AM$42)*(1-CUSTOS!$M$38),2)</f>
        <v>291.86</v>
      </c>
      <c r="S15" s="68">
        <f ca="1">ROUND(('TE BE'!$AB$33+'TE BF_350'!$AB$33+'TE CVA'!$AB$33)*(1-CUSTOS!$M$38),2)</f>
        <v>246.78</v>
      </c>
      <c r="T15" s="68">
        <v>0</v>
      </c>
      <c r="U15" s="68">
        <f ca="1">ROUND(('TUSD BE'!$AM$42)*(1-CUSTOS!$M$38),2)</f>
        <v>373.04</v>
      </c>
      <c r="V15" s="68">
        <f>ROUND(('TE BE'!$AB$33)*(1-CUSTOS!$M$38),2)</f>
        <v>205.93</v>
      </c>
    </row>
    <row r="16" spans="1:22" ht="11.25" customHeight="1" x14ac:dyDescent="0.25">
      <c r="L16" s="162"/>
      <c r="M16" s="70" t="s">
        <v>746</v>
      </c>
      <c r="N16" s="70" t="s">
        <v>747</v>
      </c>
      <c r="O16" s="70" t="s">
        <v>748</v>
      </c>
      <c r="P16" s="70" t="s">
        <v>738</v>
      </c>
      <c r="Q16" s="68">
        <v>0</v>
      </c>
      <c r="R16" s="68">
        <f ca="1">ROUND(('TUSD BE'!$AM$33+'TUSD BF_350'!$AM$33+'TUSD CVA'!$AM$33)*(1-CUSTOS!$M$38),2)</f>
        <v>291.86</v>
      </c>
      <c r="S16" s="68">
        <f ca="1">ROUND(('TE BE'!$AB$24+'TE BF_350'!$AB$24+'TE CVA'!$AB$24)*(1-CUSTOS!$M$38),2)</f>
        <v>246.78</v>
      </c>
      <c r="T16" s="68">
        <v>0</v>
      </c>
      <c r="U16" s="68">
        <f ca="1">ROUND(('TUSD BE'!$AM$33)*(1-CUSTOS!$M$38),2)</f>
        <v>373.04</v>
      </c>
      <c r="V16" s="68">
        <f>ROUND(('TE BE'!$AB$24)*(1-CUSTOS!$M$38),2)</f>
        <v>205.93</v>
      </c>
    </row>
    <row r="17" spans="12:22" ht="11.25" customHeight="1" x14ac:dyDescent="0.25">
      <c r="L17" s="162"/>
      <c r="M17" s="161" t="s">
        <v>741</v>
      </c>
      <c r="N17" s="161" t="s">
        <v>747</v>
      </c>
      <c r="O17" s="161" t="s">
        <v>749</v>
      </c>
      <c r="P17" s="70" t="s">
        <v>735</v>
      </c>
      <c r="Q17" s="68">
        <v>0</v>
      </c>
      <c r="R17" s="68">
        <f ca="1">ROUND(('TUSD BE'!$AM$34+'TUSD BF_350'!$AM$34+'TUSD CVA'!$AM$34)*(1-CUSTOS!$M$39),2)</f>
        <v>573.39</v>
      </c>
      <c r="S17" s="68">
        <f ca="1">ROUND(('TE BE'!$AB$25+'TE BF_350'!$AB$25+'TE CVA'!$AB$25)*(1-CUSTOS!$M$39),2)</f>
        <v>375.85</v>
      </c>
      <c r="T17" s="68">
        <v>0</v>
      </c>
      <c r="U17" s="68">
        <f ca="1">ROUND('TUSD BE'!$AM$34*(1-CUSTOS!$M$39),2)</f>
        <v>911.09</v>
      </c>
      <c r="V17" s="68">
        <f>ROUND('TE BE'!$AB$25*(1-CUSTOS!$M$39),2)</f>
        <v>318.52999999999997</v>
      </c>
    </row>
    <row r="18" spans="12:22" ht="11.25" customHeight="1" x14ac:dyDescent="0.25">
      <c r="L18" s="162"/>
      <c r="M18" s="162"/>
      <c r="N18" s="162"/>
      <c r="O18" s="162"/>
      <c r="P18" s="70" t="s">
        <v>743</v>
      </c>
      <c r="Q18" s="68">
        <v>0</v>
      </c>
      <c r="R18" s="68">
        <f ca="1">ROUND(('TUSD BE'!$AM$35+'TUSD BF_350'!$AM$35+'TUSD CVA'!$AM$35)*(1-CUSTOS!$M$39),2)</f>
        <v>403.03</v>
      </c>
      <c r="S18" s="68">
        <f ca="1">ROUND(('TE BE'!$AB$26+'TE BF_350'!$AB$26+'TE CVA'!$AB$26)*(1-CUSTOS!$M$39),2)</f>
        <v>235.04</v>
      </c>
      <c r="T18" s="68">
        <v>0</v>
      </c>
      <c r="U18" s="68">
        <f ca="1">ROUND('TUSD BE'!$AM$35*(1-CUSTOS!$M$39),2)</f>
        <v>593.38</v>
      </c>
      <c r="V18" s="68">
        <f>ROUND('TE BE'!$AB$26*(1-CUSTOS!$M$39),2)</f>
        <v>195.7</v>
      </c>
    </row>
    <row r="19" spans="12:22" ht="11.25" customHeight="1" x14ac:dyDescent="0.25">
      <c r="L19" s="162"/>
      <c r="M19" s="163"/>
      <c r="N19" s="163"/>
      <c r="O19" s="163"/>
      <c r="P19" s="70" t="s">
        <v>736</v>
      </c>
      <c r="Q19" s="68">
        <v>0</v>
      </c>
      <c r="R19" s="68">
        <f ca="1">ROUND(('TUSD BE'!$AM$36+'TUSD BF_350'!$AM$36+'TUSD CVA'!$AM$36)*(1-CUSTOS!$M$39),2)</f>
        <v>232.66</v>
      </c>
      <c r="S19" s="68">
        <f ca="1">ROUND(('TE BE'!$AB$27+'TE BF_350'!$AB$27+'TE CVA'!$AB$27)*(1-CUSTOS!$M$39),2)</f>
        <v>235.04</v>
      </c>
      <c r="T19" s="68">
        <v>0</v>
      </c>
      <c r="U19" s="68">
        <f ca="1">ROUND('TUSD BE'!$AM$36*(1-CUSTOS!$M$39),2)</f>
        <v>275.67</v>
      </c>
      <c r="V19" s="68">
        <f>ROUND('TE BE'!$AB$27*(1-CUSTOS!$M$39),2)</f>
        <v>195.7</v>
      </c>
    </row>
    <row r="20" spans="12:22" ht="11.25" customHeight="1" x14ac:dyDescent="0.25">
      <c r="L20" s="162"/>
      <c r="M20" s="70" t="s">
        <v>744</v>
      </c>
      <c r="N20" s="70" t="s">
        <v>747</v>
      </c>
      <c r="O20" s="70" t="s">
        <v>749</v>
      </c>
      <c r="P20" s="70" t="s">
        <v>738</v>
      </c>
      <c r="Q20" s="68">
        <v>0</v>
      </c>
      <c r="R20" s="68">
        <f ca="1">ROUND(('TUSD BE'!$AM$42+'TUSD BF_350'!$AM$42+'TUSD CVA'!$AM$42)*(1-CUSTOS!$M$39),2)</f>
        <v>291.86</v>
      </c>
      <c r="S20" s="68">
        <f ca="1">ROUND(('TE BE'!$AB$33+'TE BF_350'!$AB$33+'TE CVA'!$AB$33)*(1-CUSTOS!$M$39),2)</f>
        <v>246.78</v>
      </c>
      <c r="T20" s="68">
        <v>0</v>
      </c>
      <c r="U20" s="68">
        <f ca="1">ROUND(('TUSD BE'!$AM$42)*(1-CUSTOS!$M$39),2)</f>
        <v>373.04</v>
      </c>
      <c r="V20" s="68">
        <f>ROUND(('TE BE'!$AB$33)*(1-CUSTOS!$M$39),2)</f>
        <v>205.93</v>
      </c>
    </row>
    <row r="21" spans="12:22" ht="11.25" customHeight="1" x14ac:dyDescent="0.25">
      <c r="L21" s="162"/>
      <c r="M21" s="70" t="s">
        <v>746</v>
      </c>
      <c r="N21" s="70" t="s">
        <v>747</v>
      </c>
      <c r="O21" s="70" t="s">
        <v>749</v>
      </c>
      <c r="P21" s="70" t="s">
        <v>738</v>
      </c>
      <c r="Q21" s="68">
        <v>0</v>
      </c>
      <c r="R21" s="68">
        <f ca="1">ROUND(('TUSD BE'!$AM$33+'TUSD BF_350'!$AM$33+'TUSD CVA'!$AM$33)*(1-CUSTOS!$M$39),2)</f>
        <v>291.86</v>
      </c>
      <c r="S21" s="68">
        <f ca="1">ROUND(('TE BE'!$AB$24+'TE BF_350'!$AB$24+'TE CVA'!$AB$24)*(1-CUSTOS!$M$39),2)</f>
        <v>246.78</v>
      </c>
      <c r="T21" s="68">
        <v>0</v>
      </c>
      <c r="U21" s="68">
        <f ca="1">ROUND(('TUSD BE'!$AM$33)*(1-CUSTOS!$M$39),2)</f>
        <v>373.04</v>
      </c>
      <c r="V21" s="68">
        <f>ROUND(('TE BE'!$AB$24)*(1-CUSTOS!$M$39),2)</f>
        <v>205.93</v>
      </c>
    </row>
    <row r="22" spans="12:22" ht="11.25" customHeight="1" x14ac:dyDescent="0.25">
      <c r="L22" s="162"/>
      <c r="M22" s="161" t="s">
        <v>741</v>
      </c>
      <c r="N22" s="161" t="s">
        <v>747</v>
      </c>
      <c r="O22" s="161" t="s">
        <v>750</v>
      </c>
      <c r="P22" s="70" t="s">
        <v>735</v>
      </c>
      <c r="Q22" s="68">
        <v>0</v>
      </c>
      <c r="R22" s="68">
        <f ca="1">ROUND(('TUSD BE'!$AM$38+'TUSD BF_350'!$AM$38+'TUSD CVA'!$AM$38)*(1-CUSTOS!$M$40),2)</f>
        <v>561.19000000000005</v>
      </c>
      <c r="S22" s="68">
        <f ca="1">ROUND(('TE BE'!$AB$29+'TE BF_350'!$AB$29+'TE CVA'!$AB$29)*(1-CUSTOS!$M$40),2)</f>
        <v>367.85</v>
      </c>
      <c r="T22" s="68">
        <v>0</v>
      </c>
      <c r="U22" s="68">
        <f ca="1">ROUND('TUSD BE'!$AM$38*(1-CUSTOS!$M$40),2)</f>
        <v>891.7</v>
      </c>
      <c r="V22" s="68">
        <f>ROUND('TE BE'!$AB$29*(1-CUSTOS!$M$40),2)</f>
        <v>311.75</v>
      </c>
    </row>
    <row r="23" spans="12:22" ht="11.25" customHeight="1" x14ac:dyDescent="0.25">
      <c r="L23" s="162"/>
      <c r="M23" s="162"/>
      <c r="N23" s="162"/>
      <c r="O23" s="162"/>
      <c r="P23" s="70" t="s">
        <v>743</v>
      </c>
      <c r="Q23" s="68">
        <v>0</v>
      </c>
      <c r="R23" s="68">
        <f ca="1">ROUND(('TUSD BE'!$AM$39+'TUSD BF_350'!$AM$39+'TUSD CVA'!$AM$39)*(1-CUSTOS!$M$40),2)</f>
        <v>394.46</v>
      </c>
      <c r="S23" s="68">
        <f ca="1">ROUND(('TE BE'!$AB$30+'TE BF_350'!$AB$30+'TE CVA'!$AB$30)*(1-CUSTOS!$M$40),2)</f>
        <v>230.04</v>
      </c>
      <c r="T23" s="68">
        <v>0</v>
      </c>
      <c r="U23" s="68">
        <f ca="1">ROUND('TUSD BE'!$AM$39*(1-CUSTOS!$M$40),2)</f>
        <v>580.76</v>
      </c>
      <c r="V23" s="68">
        <f>ROUND('TE BE'!$AB$30*(1-CUSTOS!$M$40),2)</f>
        <v>191.53</v>
      </c>
    </row>
    <row r="24" spans="12:22" ht="11.25" customHeight="1" x14ac:dyDescent="0.25">
      <c r="L24" s="162"/>
      <c r="M24" s="163"/>
      <c r="N24" s="163"/>
      <c r="O24" s="163"/>
      <c r="P24" s="70" t="s">
        <v>736</v>
      </c>
      <c r="Q24" s="68">
        <v>0</v>
      </c>
      <c r="R24" s="68">
        <f ca="1">ROUND(('TUSD BE'!$AM$40+'TUSD BF_350'!$AM$40+'TUSD CVA'!$AM$40)*(1-CUSTOS!$M$40),2)</f>
        <v>227.71</v>
      </c>
      <c r="S24" s="68">
        <f ca="1">ROUND(('TE BE'!$AB$31+'TE BF_350'!$AB$31+'TE CVA'!$AB$31)*(1-CUSTOS!$M$40),2)</f>
        <v>230.04</v>
      </c>
      <c r="T24" s="68">
        <v>0</v>
      </c>
      <c r="U24" s="68">
        <f ca="1">ROUND('TUSD BE'!$AM$40*(1-CUSTOS!$M$40),2)</f>
        <v>269.81</v>
      </c>
      <c r="V24" s="68">
        <f>ROUND('TE BE'!$AB$31*(1-CUSTOS!$M$40),2)</f>
        <v>191.53</v>
      </c>
    </row>
    <row r="25" spans="12:22" ht="11.25" customHeight="1" x14ac:dyDescent="0.25">
      <c r="L25" s="162"/>
      <c r="M25" s="70" t="s">
        <v>744</v>
      </c>
      <c r="N25" s="70" t="s">
        <v>747</v>
      </c>
      <c r="O25" s="70" t="s">
        <v>750</v>
      </c>
      <c r="P25" s="70" t="s">
        <v>738</v>
      </c>
      <c r="Q25" s="68">
        <v>0</v>
      </c>
      <c r="R25" s="68">
        <f ca="1">ROUND(('TUSD BE'!$AM$42+'TUSD BF_350'!$AM$42+'TUSD CVA'!$AM$42)*(1-CUSTOS!$M$40),2)</f>
        <v>285.64999999999998</v>
      </c>
      <c r="S25" s="68">
        <f ca="1">ROUND(('TE BE'!$AB$33+'TE BF_350'!$AB$33+'TE CVA'!$AB$33)*(1-CUSTOS!$M$40),2)</f>
        <v>241.53</v>
      </c>
      <c r="T25" s="68">
        <v>0</v>
      </c>
      <c r="U25" s="68">
        <f ca="1">ROUND(('TUSD BE'!$AM$42)*(1-CUSTOS!$M$40),2)</f>
        <v>365.1</v>
      </c>
      <c r="V25" s="68">
        <f>ROUND(('TE BE'!$AB$33)*(1-CUSTOS!$M$40),2)</f>
        <v>201.55</v>
      </c>
    </row>
    <row r="26" spans="12:22" ht="11.25" customHeight="1" x14ac:dyDescent="0.25">
      <c r="L26" s="163"/>
      <c r="M26" s="70" t="s">
        <v>746</v>
      </c>
      <c r="N26" s="70" t="s">
        <v>747</v>
      </c>
      <c r="O26" s="70" t="s">
        <v>750</v>
      </c>
      <c r="P26" s="70" t="s">
        <v>738</v>
      </c>
      <c r="Q26" s="68">
        <v>0</v>
      </c>
      <c r="R26" s="68">
        <f ca="1">ROUND(('TUSD BE'!$AM$33+'TUSD BF_350'!$AM$33+'TUSD CVA'!$AM$33)*(1-CUSTOS!$M$40),2)</f>
        <v>285.64999999999998</v>
      </c>
      <c r="S26" s="68">
        <f ca="1">ROUND(('TE BE'!$AB$24+'TE BF_350'!$AB$24+'TE CVA'!$AB$24)*(1-CUSTOS!$M$40),2)</f>
        <v>241.53</v>
      </c>
      <c r="T26" s="68">
        <v>0</v>
      </c>
      <c r="U26" s="68">
        <f ca="1">ROUND(('TUSD BE'!$AM$33)*(1-CUSTOS!$M$40),2)</f>
        <v>365.1</v>
      </c>
      <c r="V26" s="68">
        <f>ROUND(('TE BE'!$AB$24)*(1-CUSTOS!$M$40),2)</f>
        <v>201.55</v>
      </c>
    </row>
    <row r="27" spans="12:22" ht="11.25" customHeight="1" x14ac:dyDescent="0.25">
      <c r="L27" s="161" t="s">
        <v>33</v>
      </c>
      <c r="M27" s="161" t="s">
        <v>741</v>
      </c>
      <c r="N27" s="161" t="s">
        <v>738</v>
      </c>
      <c r="O27" s="161" t="s">
        <v>738</v>
      </c>
      <c r="P27" s="70" t="s">
        <v>735</v>
      </c>
      <c r="Q27" s="68">
        <v>0</v>
      </c>
      <c r="R27" s="68">
        <f ca="1">ROUND(('TUSD BE'!$AM$45+'TUSD BF_350'!$AM$45+'TUSD CVA'!$AM$45)*(1-CUSTOS!$M$31),2)</f>
        <v>679.11</v>
      </c>
      <c r="S27" s="68">
        <f ca="1">ROUND(('TE BE'!$AB$36+'TE BF_350'!$AB$36+'TE CVA'!$AB$36)*(1-CUSTOS!$M$31),2)</f>
        <v>399.84</v>
      </c>
      <c r="T27" s="68">
        <v>0</v>
      </c>
      <c r="U27" s="68">
        <f ca="1">ROUND('TUSD BE'!$AM$45*(1-CUSTOS!$M$31),2)</f>
        <v>1078.27</v>
      </c>
      <c r="V27" s="68">
        <f>ROUND('TE BE'!$AB$36*(1-CUSTOS!$M$31),2)</f>
        <v>338.86</v>
      </c>
    </row>
    <row r="28" spans="12:22" ht="11.25" customHeight="1" x14ac:dyDescent="0.25">
      <c r="L28" s="162"/>
      <c r="M28" s="162"/>
      <c r="N28" s="162"/>
      <c r="O28" s="162"/>
      <c r="P28" s="70" t="s">
        <v>743</v>
      </c>
      <c r="Q28" s="68">
        <v>0</v>
      </c>
      <c r="R28" s="68">
        <f ca="1">ROUND(('TUSD BE'!$AM$46+'TUSD BF_350'!$AM$46+'TUSD CVA'!$AM$46)*(1-CUSTOS!$M$31),2)</f>
        <v>470.22</v>
      </c>
      <c r="S28" s="68">
        <f ca="1">ROUND(('TE BE'!$AB$37+'TE BF_350'!$AB$37+'TE CVA'!$AB$37)*(1-CUSTOS!$M$31),2)</f>
        <v>250.04</v>
      </c>
      <c r="T28" s="68">
        <v>0</v>
      </c>
      <c r="U28" s="68">
        <f ca="1">ROUND('TUSD BE'!$AM$46*(1-CUSTOS!$M$31),2)</f>
        <v>696.67</v>
      </c>
      <c r="V28" s="68">
        <f>ROUND('TE BE'!$AB$37*(1-CUSTOS!$M$31),2)</f>
        <v>208.19</v>
      </c>
    </row>
    <row r="29" spans="12:22" ht="11.25" customHeight="1" x14ac:dyDescent="0.25">
      <c r="L29" s="162"/>
      <c r="M29" s="163"/>
      <c r="N29" s="163"/>
      <c r="O29" s="163"/>
      <c r="P29" s="70" t="s">
        <v>736</v>
      </c>
      <c r="Q29" s="68">
        <v>0</v>
      </c>
      <c r="R29" s="68">
        <f ca="1">ROUND(('TUSD BE'!$AM$47+'TUSD BF_350'!$AM$47+'TUSD CVA'!$AM$47)*(1-CUSTOS!$M$31),2)</f>
        <v>261.33999999999997</v>
      </c>
      <c r="S29" s="68">
        <f ca="1">ROUND(('TE BE'!$AB$38+'TE BF_350'!$AB$38+'TE CVA'!$AB$38)*(1-CUSTOS!$M$31),2)</f>
        <v>250.04</v>
      </c>
      <c r="T29" s="68">
        <v>0</v>
      </c>
      <c r="U29" s="68">
        <f ca="1">ROUND('TUSD BE'!$AM$47*(1-CUSTOS!$M$31),2)</f>
        <v>315.08</v>
      </c>
      <c r="V29" s="68">
        <f>ROUND('TE BE'!$AB$38*(1-CUSTOS!$M$31),2)</f>
        <v>208.19</v>
      </c>
    </row>
    <row r="30" spans="12:22" ht="11.25" customHeight="1" x14ac:dyDescent="0.25">
      <c r="L30" s="162"/>
      <c r="M30" s="70" t="s">
        <v>744</v>
      </c>
      <c r="N30" s="70" t="s">
        <v>738</v>
      </c>
      <c r="O30" s="70" t="s">
        <v>738</v>
      </c>
      <c r="P30" s="70" t="s">
        <v>738</v>
      </c>
      <c r="Q30" s="68">
        <v>0</v>
      </c>
      <c r="R30" s="68">
        <f ca="1">ROUND(('TUSD BE'!$AM$49+'TUSD BF_350'!$AM$49+'TUSD CVA'!$AM$49)*(1-CUSTOS!$M$31),2)</f>
        <v>310.49</v>
      </c>
      <c r="S30" s="68">
        <f ca="1">ROUND(('TE BE'!$AB$40+'TE BF_350'!$AB$40+'TE CVA'!$AB$40)*(1-CUSTOS!$M$31),2)</f>
        <v>262.52999999999997</v>
      </c>
      <c r="T30" s="68">
        <v>0</v>
      </c>
      <c r="U30" s="68">
        <f ca="1">ROUND(('TUSD BE'!$AM$49)*(1-CUSTOS!$M$31),2)</f>
        <v>396.85</v>
      </c>
      <c r="V30" s="68">
        <f>ROUND(('TE BE'!$AB$40)*(1-CUSTOS!$M$31),2)</f>
        <v>219.08</v>
      </c>
    </row>
    <row r="31" spans="12:22" ht="11.25" customHeight="1" x14ac:dyDescent="0.25">
      <c r="L31" s="163"/>
      <c r="M31" s="70" t="s">
        <v>746</v>
      </c>
      <c r="N31" s="70" t="s">
        <v>738</v>
      </c>
      <c r="O31" s="70" t="s">
        <v>738</v>
      </c>
      <c r="P31" s="70" t="s">
        <v>738</v>
      </c>
      <c r="Q31" s="68">
        <v>0</v>
      </c>
      <c r="R31" s="68">
        <f ca="1">ROUND(('TUSD BE'!$AM$48+'TUSD BF_350'!$AM$48+'TUSD CVA'!$AM$48)*(1-CUSTOS!$M$31),2)</f>
        <v>310.49</v>
      </c>
      <c r="S31" s="68">
        <f ca="1">ROUND(('TE BE'!$AB$39+'TE BF_350'!$AB$39+'TE CVA'!$AB$39)*(1-CUSTOS!$M$31),2)</f>
        <v>262.52999999999997</v>
      </c>
      <c r="T31" s="68">
        <v>0</v>
      </c>
      <c r="U31" s="68">
        <f ca="1">ROUND(('TUSD BE'!$AM$48)*(1-CUSTOS!$M$31),2)</f>
        <v>396.85</v>
      </c>
      <c r="V31" s="68">
        <f>ROUND(('TE BE'!$AB$39)*(1-CUSTOS!$M$31),2)</f>
        <v>219.08</v>
      </c>
    </row>
    <row r="32" spans="12:22" ht="11.25" customHeight="1" x14ac:dyDescent="0.25">
      <c r="L32" s="161" t="s">
        <v>44</v>
      </c>
      <c r="M32" s="161" t="s">
        <v>746</v>
      </c>
      <c r="N32" s="161" t="s">
        <v>751</v>
      </c>
      <c r="O32" s="70" t="s">
        <v>752</v>
      </c>
      <c r="P32" s="70" t="s">
        <v>738</v>
      </c>
      <c r="Q32" s="68">
        <v>0</v>
      </c>
      <c r="R32" s="68">
        <f ca="1">ROUND(('TUSD BE'!$AM$50+'TUSD BF_350'!$AM$50+'TUSD CVA'!$AM$50),2)</f>
        <v>170.77</v>
      </c>
      <c r="S32" s="68">
        <f ca="1">ROUND(('TE BE'!$AB$41+'TE BF_350'!$AB$41+'TE CVA'!$AB$41),2)</f>
        <v>144.38999999999999</v>
      </c>
      <c r="T32" s="68">
        <v>0</v>
      </c>
      <c r="U32" s="68">
        <f ca="1">ROUND(('TUSD BE'!$AM$50),2)</f>
        <v>218.27</v>
      </c>
      <c r="V32" s="68">
        <f>ROUND(('TE BE'!$AB$41),2)</f>
        <v>120.49</v>
      </c>
    </row>
    <row r="33" spans="12:22" ht="11.25" customHeight="1" x14ac:dyDescent="0.25">
      <c r="L33" s="163"/>
      <c r="M33" s="163"/>
      <c r="N33" s="163"/>
      <c r="O33" s="70" t="s">
        <v>753</v>
      </c>
      <c r="P33" s="70" t="s">
        <v>738</v>
      </c>
      <c r="Q33" s="68">
        <v>0</v>
      </c>
      <c r="R33" s="68">
        <f ca="1">ROUND(('TUSD BE'!$AM$51+'TUSD BF_350'!$AM$51+'TUSD CVA'!$AM$51),2)</f>
        <v>186.29</v>
      </c>
      <c r="S33" s="68">
        <f ca="1">ROUND(('TE BE'!$AB$42+'TE BF_350'!$AB$42+'TE CVA'!$AB$42),2)</f>
        <v>157.52000000000001</v>
      </c>
      <c r="T33" s="68">
        <v>0</v>
      </c>
      <c r="U33" s="68">
        <f ca="1">ROUND(('TUSD BE'!$AM$51),2)</f>
        <v>238.11</v>
      </c>
      <c r="V33" s="68">
        <f>ROUND(('TE BE'!$AB$42),2)</f>
        <v>131.44999999999999</v>
      </c>
    </row>
    <row r="34" spans="12:22" ht="11.25" customHeight="1" x14ac:dyDescent="0.25">
      <c r="L34" s="161" t="s">
        <v>84</v>
      </c>
      <c r="M34" s="161" t="s">
        <v>754</v>
      </c>
      <c r="N34" s="70" t="s">
        <v>85</v>
      </c>
      <c r="O34" s="70" t="s">
        <v>738</v>
      </c>
      <c r="P34" s="70" t="s">
        <v>738</v>
      </c>
      <c r="Q34" s="68">
        <f ca="1">ROUND(('TUSD BE'!$AM$15+'TUSD BF_350'!$AM$15+'TUSD CVA'!$AM$15),2)</f>
        <v>9.2100000000000009</v>
      </c>
      <c r="R34" s="68">
        <v>0</v>
      </c>
      <c r="S34" s="68">
        <v>0</v>
      </c>
      <c r="T34" s="68">
        <f ca="1">ROUND(('TUSD BE'!$AM$15),2)</f>
        <v>9.32</v>
      </c>
      <c r="U34" s="68">
        <v>0</v>
      </c>
      <c r="V34" s="68">
        <v>0</v>
      </c>
    </row>
    <row r="35" spans="12:22" ht="11.25" customHeight="1" x14ac:dyDescent="0.25">
      <c r="L35" s="163"/>
      <c r="M35" s="163"/>
      <c r="N35" s="70" t="s">
        <v>86</v>
      </c>
      <c r="O35" s="70" t="s">
        <v>738</v>
      </c>
      <c r="P35" s="70" t="s">
        <v>738</v>
      </c>
      <c r="Q35" s="68">
        <f ca="1">ROUND(('TUSD BE'!$AM$16+'TUSD BF_350'!$AM$16+'TUSD CVA'!$AM$16),2)</f>
        <v>14.58</v>
      </c>
      <c r="R35" s="68">
        <v>0</v>
      </c>
      <c r="S35" s="68">
        <v>0</v>
      </c>
      <c r="T35" s="68">
        <f ca="1">ROUND(('TUSD BE'!$AM$16),2)</f>
        <v>14.76</v>
      </c>
      <c r="U35" s="68">
        <v>0</v>
      </c>
      <c r="V35" s="68">
        <v>0</v>
      </c>
    </row>
  </sheetData>
  <mergeCells count="51">
    <mergeCell ref="O5:O7"/>
    <mergeCell ref="O12:O14"/>
    <mergeCell ref="O17:O19"/>
    <mergeCell ref="O22:O24"/>
    <mergeCell ref="O27:O29"/>
    <mergeCell ref="N17:N19"/>
    <mergeCell ref="N22:N24"/>
    <mergeCell ref="N27:N29"/>
    <mergeCell ref="N32:N33"/>
    <mergeCell ref="M5:M7"/>
    <mergeCell ref="M12:M14"/>
    <mergeCell ref="M17:M19"/>
    <mergeCell ref="M22:M24"/>
    <mergeCell ref="M27:M29"/>
    <mergeCell ref="L27:L31"/>
    <mergeCell ref="L32:L33"/>
    <mergeCell ref="L34:L35"/>
    <mergeCell ref="M32:M33"/>
    <mergeCell ref="M34:M35"/>
    <mergeCell ref="B9:B11"/>
    <mergeCell ref="B12:B14"/>
    <mergeCell ref="L1:V1"/>
    <mergeCell ref="L2:L4"/>
    <mergeCell ref="M2:M4"/>
    <mergeCell ref="N2:N4"/>
    <mergeCell ref="O2:O4"/>
    <mergeCell ref="P2:P4"/>
    <mergeCell ref="Q2:S2"/>
    <mergeCell ref="Q3:R3"/>
    <mergeCell ref="T2:V2"/>
    <mergeCell ref="T3:U3"/>
    <mergeCell ref="L5:L11"/>
    <mergeCell ref="L12:L26"/>
    <mergeCell ref="N5:N7"/>
    <mergeCell ref="N12:N14"/>
    <mergeCell ref="C5:C6"/>
    <mergeCell ref="C7:C8"/>
    <mergeCell ref="C9:C11"/>
    <mergeCell ref="C12:C14"/>
    <mergeCell ref="A1:J1"/>
    <mergeCell ref="A2:A4"/>
    <mergeCell ref="B2:B4"/>
    <mergeCell ref="C2:C4"/>
    <mergeCell ref="D2:D4"/>
    <mergeCell ref="E2:G2"/>
    <mergeCell ref="E3:F3"/>
    <mergeCell ref="H2:J2"/>
    <mergeCell ref="H3:I3"/>
    <mergeCell ref="A5:A15"/>
    <mergeCell ref="B5:B6"/>
    <mergeCell ref="B7:B8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2259A-A9D8-483A-9252-6F3E34480EC8}">
  <dimension ref="A1:AN641"/>
  <sheetViews>
    <sheetView showGridLines="0" workbookViewId="0">
      <selection sqref="A1:O641 Q1:AJ13"/>
    </sheetView>
  </sheetViews>
  <sheetFormatPr defaultColWidth="9.140625" defaultRowHeight="11.25" customHeight="1" x14ac:dyDescent="0.25"/>
  <cols>
    <col min="1" max="1" width="19.140625" style="4" bestFit="1" customWidth="1"/>
    <col min="2" max="2" width="8.7109375" style="4" bestFit="1" customWidth="1"/>
    <col min="3" max="3" width="10.28515625" style="4" bestFit="1" customWidth="1"/>
    <col min="4" max="4" width="13.5703125" style="4" bestFit="1" customWidth="1"/>
    <col min="5" max="5" width="25.140625" style="4" bestFit="1" customWidth="1"/>
    <col min="6" max="6" width="13.28515625" style="4" bestFit="1" customWidth="1"/>
    <col min="7" max="8" width="10.28515625" style="4" bestFit="1" customWidth="1"/>
    <col min="9" max="9" width="8.7109375" style="5" bestFit="1" customWidth="1"/>
    <col min="10" max="10" width="10.140625" style="6" bestFit="1" customWidth="1"/>
    <col min="11" max="11" width="10.5703125" style="6" bestFit="1" customWidth="1"/>
    <col min="12" max="12" width="10" style="6" bestFit="1" customWidth="1"/>
    <col min="13" max="13" width="13.7109375" style="6" bestFit="1" customWidth="1"/>
    <col min="14" max="14" width="14.140625" style="6" bestFit="1" customWidth="1"/>
    <col min="15" max="15" width="12.85546875" style="6" bestFit="1" customWidth="1"/>
    <col min="16" max="16" width="7.85546875" style="6" bestFit="1" customWidth="1"/>
    <col min="17" max="17" width="9.28515625" style="4" bestFit="1" customWidth="1"/>
    <col min="18" max="18" width="18.85546875" style="4" bestFit="1" customWidth="1"/>
    <col min="19" max="19" width="20.28515625" style="4" bestFit="1" customWidth="1"/>
    <col min="20" max="20" width="18.140625" style="4" bestFit="1" customWidth="1"/>
    <col min="21" max="21" width="17" style="4" bestFit="1" customWidth="1"/>
    <col min="22" max="22" width="18.5703125" style="4" bestFit="1" customWidth="1"/>
    <col min="23" max="23" width="16.28515625" style="4" bestFit="1" customWidth="1"/>
    <col min="24" max="24" width="16.7109375" style="4" bestFit="1" customWidth="1"/>
    <col min="25" max="25" width="18.28515625" style="4" bestFit="1" customWidth="1"/>
    <col min="26" max="26" width="16" style="4" bestFit="1" customWidth="1"/>
    <col min="27" max="27" width="16.85546875" style="4" bestFit="1" customWidth="1"/>
    <col min="28" max="28" width="18.42578125" style="4" bestFit="1" customWidth="1"/>
    <col min="29" max="29" width="16.140625" style="4" bestFit="1" customWidth="1"/>
    <col min="30" max="30" width="17.28515625" style="4" bestFit="1" customWidth="1"/>
    <col min="31" max="31" width="21.5703125" style="4" bestFit="1" customWidth="1"/>
    <col min="32" max="32" width="11.42578125" style="4" bestFit="1" customWidth="1"/>
    <col min="33" max="33" width="12.85546875" style="4" bestFit="1" customWidth="1"/>
    <col min="34" max="34" width="10.7109375" style="4" bestFit="1" customWidth="1"/>
    <col min="35" max="35" width="11.7109375" style="4" bestFit="1" customWidth="1"/>
    <col min="36" max="36" width="16" style="4" bestFit="1" customWidth="1"/>
    <col min="37" max="37" width="9.140625" style="4"/>
    <col min="38" max="38" width="8.7109375" style="4" bestFit="1" customWidth="1"/>
    <col min="39" max="39" width="5.5703125" style="4" bestFit="1" customWidth="1"/>
    <col min="40" max="40" width="14.7109375" style="4" bestFit="1" customWidth="1"/>
    <col min="41" max="16384" width="9.140625" style="4"/>
  </cols>
  <sheetData>
    <row r="1" spans="1:40" s="1" customFormat="1" ht="11.25" customHeight="1" x14ac:dyDescent="0.25">
      <c r="A1" s="73" t="s">
        <v>0</v>
      </c>
      <c r="B1" s="73" t="s">
        <v>1</v>
      </c>
      <c r="C1" s="73" t="s">
        <v>2</v>
      </c>
      <c r="D1" s="73" t="s">
        <v>3</v>
      </c>
      <c r="E1" s="73" t="s">
        <v>4</v>
      </c>
      <c r="F1" s="73" t="s">
        <v>5</v>
      </c>
      <c r="G1" s="73" t="s">
        <v>6</v>
      </c>
      <c r="H1" s="73" t="s">
        <v>7</v>
      </c>
      <c r="I1" s="79" t="s">
        <v>8</v>
      </c>
      <c r="J1" s="69" t="s">
        <v>701</v>
      </c>
      <c r="K1" s="69" t="s">
        <v>702</v>
      </c>
      <c r="L1" s="69" t="s">
        <v>703</v>
      </c>
      <c r="M1" s="69" t="s">
        <v>704</v>
      </c>
      <c r="N1" s="69" t="s">
        <v>705</v>
      </c>
      <c r="O1" s="69" t="s">
        <v>706</v>
      </c>
      <c r="P1" s="7"/>
      <c r="Q1" s="154" t="s">
        <v>707</v>
      </c>
      <c r="R1" s="160"/>
      <c r="S1" s="160"/>
      <c r="T1" s="160"/>
      <c r="U1" s="160"/>
      <c r="V1" s="160"/>
      <c r="W1" s="160"/>
      <c r="X1" s="160"/>
      <c r="Y1" s="160"/>
      <c r="Z1" s="160"/>
      <c r="AA1" s="160"/>
      <c r="AB1" s="160"/>
      <c r="AC1" s="160"/>
      <c r="AD1" s="160"/>
      <c r="AE1" s="160"/>
      <c r="AF1" s="160"/>
      <c r="AG1" s="160"/>
      <c r="AH1" s="160"/>
      <c r="AI1" s="160"/>
      <c r="AJ1" s="160"/>
      <c r="AL1" s="73" t="s">
        <v>728</v>
      </c>
      <c r="AM1" s="73" t="s">
        <v>61</v>
      </c>
      <c r="AN1" s="73" t="s">
        <v>729</v>
      </c>
    </row>
    <row r="2" spans="1:40" ht="11.25" customHeight="1" x14ac:dyDescent="0.2">
      <c r="A2" s="74" t="s">
        <v>21</v>
      </c>
      <c r="B2" s="74" t="s">
        <v>35</v>
      </c>
      <c r="C2" s="74" t="s">
        <v>36</v>
      </c>
      <c r="D2" s="74" t="s">
        <v>34</v>
      </c>
      <c r="E2" s="74" t="s">
        <v>25</v>
      </c>
      <c r="F2" s="74" t="s">
        <v>56</v>
      </c>
      <c r="G2" s="74" t="s">
        <v>25</v>
      </c>
      <c r="H2" s="74" t="s">
        <v>38</v>
      </c>
      <c r="I2" s="80">
        <v>44409</v>
      </c>
      <c r="J2" s="81">
        <f ca="1">EFEITO!$J$2*EFEITO!$Y$2</f>
        <v>54638.601968563526</v>
      </c>
      <c r="K2" s="81">
        <f ca="1">EFEITO!$L$2*EFEITO!$Z$2</f>
        <v>0</v>
      </c>
      <c r="L2" s="81">
        <f>EFEITO!$N$2*EFEITO!$AA$2</f>
        <v>0</v>
      </c>
      <c r="M2" s="81">
        <f ca="1">$J$2-EFEITO!$K$2*EFEITO!$Y$2</f>
        <v>27319.300984281763</v>
      </c>
      <c r="N2" s="81">
        <f ca="1">$K$2-EFEITO!$M$2*EFEITO!$Z$2</f>
        <v>0</v>
      </c>
      <c r="O2" s="81">
        <f>$L$2-EFEITO!$O$2*EFEITO!$AA$2</f>
        <v>0</v>
      </c>
      <c r="P2" s="18"/>
      <c r="Q2" s="67" t="s">
        <v>64</v>
      </c>
      <c r="R2" s="67" t="s">
        <v>709</v>
      </c>
      <c r="S2" s="67" t="s">
        <v>710</v>
      </c>
      <c r="T2" s="67" t="s">
        <v>711</v>
      </c>
      <c r="U2" s="67" t="s">
        <v>712</v>
      </c>
      <c r="V2" s="67" t="s">
        <v>713</v>
      </c>
      <c r="W2" s="67" t="s">
        <v>714</v>
      </c>
      <c r="X2" s="82" t="s">
        <v>715</v>
      </c>
      <c r="Y2" s="82" t="s">
        <v>716</v>
      </c>
      <c r="Z2" s="82" t="s">
        <v>717</v>
      </c>
      <c r="AA2" s="82" t="s">
        <v>718</v>
      </c>
      <c r="AB2" s="82" t="s">
        <v>719</v>
      </c>
      <c r="AC2" s="82" t="s">
        <v>720</v>
      </c>
      <c r="AD2" s="82" t="s">
        <v>721</v>
      </c>
      <c r="AE2" s="82" t="s">
        <v>722</v>
      </c>
      <c r="AF2" s="82" t="s">
        <v>723</v>
      </c>
      <c r="AG2" s="82" t="s">
        <v>724</v>
      </c>
      <c r="AH2" s="82" t="s">
        <v>725</v>
      </c>
      <c r="AI2" s="82" t="s">
        <v>726</v>
      </c>
      <c r="AJ2" s="82" t="s">
        <v>727</v>
      </c>
      <c r="AL2" s="74"/>
      <c r="AM2" s="74"/>
      <c r="AN2" s="74"/>
    </row>
    <row r="3" spans="1:40" ht="11.25" customHeight="1" x14ac:dyDescent="0.2">
      <c r="A3" s="74" t="s">
        <v>21</v>
      </c>
      <c r="B3" s="74" t="s">
        <v>35</v>
      </c>
      <c r="C3" s="74" t="s">
        <v>36</v>
      </c>
      <c r="D3" s="74" t="s">
        <v>34</v>
      </c>
      <c r="E3" s="74" t="s">
        <v>25</v>
      </c>
      <c r="F3" s="74" t="s">
        <v>56</v>
      </c>
      <c r="G3" s="74" t="s">
        <v>25</v>
      </c>
      <c r="H3" s="74" t="s">
        <v>38</v>
      </c>
      <c r="I3" s="80">
        <v>44440</v>
      </c>
      <c r="J3" s="81">
        <f ca="1">EFEITO!$J$3*EFEITO!$Y$3</f>
        <v>52856.435953678003</v>
      </c>
      <c r="K3" s="81">
        <f ca="1">EFEITO!$L$3*EFEITO!$Z$3</f>
        <v>0</v>
      </c>
      <c r="L3" s="81">
        <f>EFEITO!$N$3*EFEITO!$AA$3</f>
        <v>0</v>
      </c>
      <c r="M3" s="81">
        <f ca="1">$J$3-EFEITO!$K$3*EFEITO!$Y$3</f>
        <v>26428.217976839001</v>
      </c>
      <c r="N3" s="81">
        <f ca="1">$K$3-EFEITO!$M$3*EFEITO!$Z$3</f>
        <v>0</v>
      </c>
      <c r="O3" s="81">
        <f>$L$3-EFEITO!$O$3*EFEITO!$AA$3</f>
        <v>0</v>
      </c>
      <c r="P3" s="18"/>
      <c r="Q3" s="81" t="s">
        <v>708</v>
      </c>
      <c r="R3" s="81">
        <f>SUMIF($B$2:$B$641,$Q$3,$J$2:$J$641)</f>
        <v>0</v>
      </c>
      <c r="S3" s="81">
        <f>SUMIF($B$2:$B$641,$Q$3,$K$2:$K$641)</f>
        <v>0</v>
      </c>
      <c r="T3" s="81">
        <f>SUMIF($B$2:$B$641,$Q$3,$L$2:$L$641)</f>
        <v>0</v>
      </c>
      <c r="U3" s="81">
        <f>SUMIF($B$2:$B$641,$Q$3,$M$2:$M$641)</f>
        <v>0</v>
      </c>
      <c r="V3" s="81">
        <f>SUMIF($B$2:$B$641,$Q$3,$N$2:$N$641)</f>
        <v>0</v>
      </c>
      <c r="W3" s="81">
        <f>SUMIF($B$2:$B$641,$Q$3,$O$2:$O$641)</f>
        <v>0</v>
      </c>
      <c r="X3" s="75">
        <f>$R$3-$U$3</f>
        <v>0</v>
      </c>
      <c r="Y3" s="75">
        <f>$S$3-$V$3</f>
        <v>0</v>
      </c>
      <c r="Z3" s="75">
        <f>$T$3-$W$3</f>
        <v>0</v>
      </c>
      <c r="AA3" s="75">
        <f>SUMIF(EFEITO!$B$2:$B$641,$Q$3,EFEITO!$AE$2:$AE$641)</f>
        <v>0</v>
      </c>
      <c r="AB3" s="75">
        <f>SUMIF(EFEITO!$B$2:$B$641,$Q$3,EFEITO!$AF$2:$AF$641)</f>
        <v>0</v>
      </c>
      <c r="AC3" s="75">
        <f>SUMIF(EFEITO!$B$2:$B$641,$Q$3,EFEITO!$AG$2:$AH$641)</f>
        <v>0</v>
      </c>
      <c r="AD3" s="75">
        <f>SUMIF(SUBSIDIO!$B$2:$B$641,$Q$3,SUBSIDIO!$AD$2:$AD$641)</f>
        <v>0</v>
      </c>
      <c r="AE3" s="75">
        <f>SUMIF(SUBSIDIO!$B$2:$B$641,$Q$3,SUBSIDIO!$AE$2:$AE$641)</f>
        <v>0</v>
      </c>
      <c r="AF3" s="75" t="str">
        <f>IF(ABS($X$3-$AA$3)&lt;0.01,"OK","ERRO")</f>
        <v>OK</v>
      </c>
      <c r="AG3" s="75" t="str">
        <f>IF(ABS($Y$3-$AB$3)&lt;0.01,"OK","ERRO")</f>
        <v>OK</v>
      </c>
      <c r="AH3" s="75" t="str">
        <f>IF(ABS($Z$3-$AC$3)&lt;0.01,"OK","ERRO")</f>
        <v>OK</v>
      </c>
      <c r="AI3" s="75" t="str">
        <f>IF(ABS($U$3-$AD$3)&lt;0.01,"OK","ERRO")</f>
        <v>OK</v>
      </c>
      <c r="AJ3" s="75" t="str">
        <f>IF(ABS(($V$3+$W$3)-$AE$3)&lt;0.01,"OK","ERRO")</f>
        <v>OK</v>
      </c>
    </row>
    <row r="4" spans="1:40" ht="11.25" customHeight="1" x14ac:dyDescent="0.2">
      <c r="A4" s="74" t="s">
        <v>21</v>
      </c>
      <c r="B4" s="74" t="s">
        <v>35</v>
      </c>
      <c r="C4" s="74" t="s">
        <v>36</v>
      </c>
      <c r="D4" s="74" t="s">
        <v>34</v>
      </c>
      <c r="E4" s="74" t="s">
        <v>25</v>
      </c>
      <c r="F4" s="74" t="s">
        <v>56</v>
      </c>
      <c r="G4" s="74" t="s">
        <v>25</v>
      </c>
      <c r="H4" s="74" t="s">
        <v>38</v>
      </c>
      <c r="I4" s="80">
        <v>44470</v>
      </c>
      <c r="J4" s="81">
        <f ca="1">EFEITO!$J$4*EFEITO!$Y$4</f>
        <v>54334.329722119655</v>
      </c>
      <c r="K4" s="81">
        <f ca="1">EFEITO!$L$4*EFEITO!$Z$4</f>
        <v>0</v>
      </c>
      <c r="L4" s="81">
        <f>EFEITO!$N$4*EFEITO!$AA$4</f>
        <v>0</v>
      </c>
      <c r="M4" s="81">
        <f ca="1">$J$4-EFEITO!$K$4*EFEITO!$Y$4</f>
        <v>27167.164861059828</v>
      </c>
      <c r="N4" s="81">
        <f ca="1">$K$4-EFEITO!$M$4*EFEITO!$Z$4</f>
        <v>0</v>
      </c>
      <c r="O4" s="81">
        <f>$L$4-EFEITO!$O$4*EFEITO!$AA$4</f>
        <v>0</v>
      </c>
      <c r="P4" s="18"/>
      <c r="Q4" s="81" t="s">
        <v>587</v>
      </c>
      <c r="R4" s="81">
        <f>SUMIF($B$2:$B$641,$Q$4,$J$2:$J$641)</f>
        <v>0</v>
      </c>
      <c r="S4" s="81">
        <f>SUMIF($B$2:$B$641,$Q$4,$K$2:$K$641)</f>
        <v>0</v>
      </c>
      <c r="T4" s="81">
        <f>SUMIF($B$2:$B$641,$Q$4,$L$2:$L$641)</f>
        <v>0</v>
      </c>
      <c r="U4" s="81">
        <f>SUMIF($B$2:$B$641,$Q$4,$M$2:$M$641)</f>
        <v>0</v>
      </c>
      <c r="V4" s="81">
        <f>SUMIF($B$2:$B$641,$Q$4,$N$2:$N$641)</f>
        <v>0</v>
      </c>
      <c r="W4" s="81">
        <f>SUMIF($B$2:$B$641,$Q$4,$O$2:$O$641)</f>
        <v>0</v>
      </c>
      <c r="X4" s="75">
        <f>$R$4-$U$4</f>
        <v>0</v>
      </c>
      <c r="Y4" s="75">
        <f>$S$4-$V$4</f>
        <v>0</v>
      </c>
      <c r="Z4" s="75">
        <f>$T$4-$W$4</f>
        <v>0</v>
      </c>
      <c r="AA4" s="75">
        <f>SUMIF(EFEITO!$B$2:$B$641,$Q$4,EFEITO!$AE$2:$AE$641)</f>
        <v>0</v>
      </c>
      <c r="AB4" s="75">
        <f>SUMIF(EFEITO!$B$2:$B$641,$Q$4,EFEITO!$AF$2:$AF$641)</f>
        <v>0</v>
      </c>
      <c r="AC4" s="75">
        <f>SUMIF(EFEITO!$B$2:$B$641,$Q$4,EFEITO!$AG$2:$AH$641)</f>
        <v>0</v>
      </c>
      <c r="AD4" s="75">
        <f>SUMIF(SUBSIDIO!$B$2:$B$641,$Q$4,SUBSIDIO!$AD$2:$AD$641)</f>
        <v>0</v>
      </c>
      <c r="AE4" s="75">
        <f>SUMIF(SUBSIDIO!$B$2:$B$641,$Q$4,SUBSIDIO!$AE$2:$AE$641)</f>
        <v>0</v>
      </c>
      <c r="AF4" s="75" t="str">
        <f>IF(ABS($X$4-$AA$4)&lt;0.01,"OK","ERRO")</f>
        <v>OK</v>
      </c>
      <c r="AG4" s="75" t="str">
        <f>IF(ABS($Y$4-$AB$4)&lt;0.01,"OK","ERRO")</f>
        <v>OK</v>
      </c>
      <c r="AH4" s="75" t="str">
        <f>IF(ABS($Z$4-$AC$4)&lt;0.01,"OK","ERRO")</f>
        <v>OK</v>
      </c>
      <c r="AI4" s="75" t="str">
        <f>IF(ABS($U$4-$AD$4)&lt;0.01,"OK","ERRO")</f>
        <v>OK</v>
      </c>
      <c r="AJ4" s="75" t="str">
        <f>IF(ABS(($V$4+$W$4)-$AE$4)&lt;0.01,"OK","ERRO")</f>
        <v>OK</v>
      </c>
    </row>
    <row r="5" spans="1:40" ht="11.25" customHeight="1" x14ac:dyDescent="0.2">
      <c r="A5" s="74" t="s">
        <v>21</v>
      </c>
      <c r="B5" s="74" t="s">
        <v>35</v>
      </c>
      <c r="C5" s="74" t="s">
        <v>36</v>
      </c>
      <c r="D5" s="74" t="s">
        <v>34</v>
      </c>
      <c r="E5" s="74" t="s">
        <v>25</v>
      </c>
      <c r="F5" s="74" t="s">
        <v>56</v>
      </c>
      <c r="G5" s="74" t="s">
        <v>25</v>
      </c>
      <c r="H5" s="74" t="s">
        <v>38</v>
      </c>
      <c r="I5" s="80">
        <v>44501</v>
      </c>
      <c r="J5" s="81">
        <f ca="1">EFEITO!$J$5*EFEITO!$Y$5</f>
        <v>57007.578744447943</v>
      </c>
      <c r="K5" s="81">
        <f ca="1">EFEITO!$L$5*EFEITO!$Z$5</f>
        <v>0</v>
      </c>
      <c r="L5" s="81">
        <f>EFEITO!$N$5*EFEITO!$AA$5</f>
        <v>0</v>
      </c>
      <c r="M5" s="81">
        <f ca="1">$J$5-EFEITO!$K$5*EFEITO!$Y$5</f>
        <v>28503.789372223971</v>
      </c>
      <c r="N5" s="81">
        <f ca="1">$K$5-EFEITO!$M$5*EFEITO!$Z$5</f>
        <v>0</v>
      </c>
      <c r="O5" s="81">
        <f>$L$5-EFEITO!$O$5*EFEITO!$AA$5</f>
        <v>0</v>
      </c>
      <c r="P5" s="18"/>
      <c r="Q5" s="81" t="s">
        <v>588</v>
      </c>
      <c r="R5" s="81">
        <f>SUMIF($B$2:$B$641,$Q$5,$J$2:$J$641)</f>
        <v>0</v>
      </c>
      <c r="S5" s="81">
        <f>SUMIF($B$2:$B$641,$Q$5,$K$2:$K$641)</f>
        <v>0</v>
      </c>
      <c r="T5" s="81">
        <f>SUMIF($B$2:$B$641,$Q$5,$L$2:$L$641)</f>
        <v>0</v>
      </c>
      <c r="U5" s="81">
        <f>SUMIF($B$2:$B$641,$Q$5,$M$2:$M$641)</f>
        <v>0</v>
      </c>
      <c r="V5" s="81">
        <f>SUMIF($B$2:$B$641,$Q$5,$N$2:$N$641)</f>
        <v>0</v>
      </c>
      <c r="W5" s="81">
        <f>SUMIF($B$2:$B$641,$Q$5,$O$2:$O$641)</f>
        <v>0</v>
      </c>
      <c r="X5" s="75">
        <f>$R$5-$U$5</f>
        <v>0</v>
      </c>
      <c r="Y5" s="75">
        <f>$S$5-$V$5</f>
        <v>0</v>
      </c>
      <c r="Z5" s="75">
        <f>$T$5-$W$5</f>
        <v>0</v>
      </c>
      <c r="AA5" s="75">
        <f>SUMIF(EFEITO!$B$2:$B$641,$Q$5,EFEITO!$AE$2:$AE$641)</f>
        <v>0</v>
      </c>
      <c r="AB5" s="75">
        <f>SUMIF(EFEITO!$B$2:$B$641,$Q$5,EFEITO!$AF$2:$AF$641)</f>
        <v>0</v>
      </c>
      <c r="AC5" s="75">
        <f>SUMIF(EFEITO!$B$2:$B$641,$Q$5,EFEITO!$AG$2:$AH$641)</f>
        <v>0</v>
      </c>
      <c r="AD5" s="75">
        <f>SUMIF(SUBSIDIO!$B$2:$B$641,$Q$5,SUBSIDIO!$AD$2:$AD$641)</f>
        <v>0</v>
      </c>
      <c r="AE5" s="75">
        <f>SUMIF(SUBSIDIO!$B$2:$B$641,$Q$5,SUBSIDIO!$AE$2:$AE$641)</f>
        <v>0</v>
      </c>
      <c r="AF5" s="75" t="str">
        <f>IF(ABS($X$5-$AA$5)&lt;0.01,"OK","ERRO")</f>
        <v>OK</v>
      </c>
      <c r="AG5" s="75" t="str">
        <f>IF(ABS($Y$5-$AB$5)&lt;0.01,"OK","ERRO")</f>
        <v>OK</v>
      </c>
      <c r="AH5" s="75" t="str">
        <f>IF(ABS($Z$5-$AC$5)&lt;0.01,"OK","ERRO")</f>
        <v>OK</v>
      </c>
      <c r="AI5" s="75" t="str">
        <f>IF(ABS($U$5-$AD$5)&lt;0.01,"OK","ERRO")</f>
        <v>OK</v>
      </c>
      <c r="AJ5" s="75" t="str">
        <f>IF(ABS(($V$5+$W$5)-$AE$5)&lt;0.01,"OK","ERRO")</f>
        <v>OK</v>
      </c>
    </row>
    <row r="6" spans="1:40" ht="11.25" customHeight="1" x14ac:dyDescent="0.2">
      <c r="A6" s="74" t="s">
        <v>21</v>
      </c>
      <c r="B6" s="74" t="s">
        <v>35</v>
      </c>
      <c r="C6" s="74" t="s">
        <v>36</v>
      </c>
      <c r="D6" s="74" t="s">
        <v>34</v>
      </c>
      <c r="E6" s="74" t="s">
        <v>25</v>
      </c>
      <c r="F6" s="74" t="s">
        <v>56</v>
      </c>
      <c r="G6" s="74" t="s">
        <v>25</v>
      </c>
      <c r="H6" s="74" t="s">
        <v>38</v>
      </c>
      <c r="I6" s="80">
        <v>44531</v>
      </c>
      <c r="J6" s="81">
        <f ca="1">EFEITO!$J$6*EFEITO!$Y$6</f>
        <v>55051.542874451639</v>
      </c>
      <c r="K6" s="81">
        <f ca="1">EFEITO!$L$6*EFEITO!$Z$6</f>
        <v>0</v>
      </c>
      <c r="L6" s="81">
        <f>EFEITO!$N$6*EFEITO!$AA$6</f>
        <v>0</v>
      </c>
      <c r="M6" s="81">
        <f ca="1">$J$6-EFEITO!$K$6*EFEITO!$Y$6</f>
        <v>27525.77143722582</v>
      </c>
      <c r="N6" s="81">
        <f ca="1">$K$6-EFEITO!$M$6*EFEITO!$Z$6</f>
        <v>0</v>
      </c>
      <c r="O6" s="81">
        <f>$L$6-EFEITO!$O$6*EFEITO!$AA$6</f>
        <v>0</v>
      </c>
      <c r="P6" s="18"/>
      <c r="Q6" s="81" t="s">
        <v>589</v>
      </c>
      <c r="R6" s="81">
        <f>SUMIF($B$2:$B$641,$Q$6,$J$2:$J$641)</f>
        <v>0</v>
      </c>
      <c r="S6" s="81">
        <f>SUMIF($B$2:$B$641,$Q$6,$K$2:$K$641)</f>
        <v>0</v>
      </c>
      <c r="T6" s="81">
        <f>SUMIF($B$2:$B$641,$Q$6,$L$2:$L$641)</f>
        <v>0</v>
      </c>
      <c r="U6" s="81">
        <f>SUMIF($B$2:$B$641,$Q$6,$M$2:$M$641)</f>
        <v>0</v>
      </c>
      <c r="V6" s="81">
        <f>SUMIF($B$2:$B$641,$Q$6,$N$2:$N$641)</f>
        <v>0</v>
      </c>
      <c r="W6" s="81">
        <f>SUMIF($B$2:$B$641,$Q$6,$O$2:$O$641)</f>
        <v>0</v>
      </c>
      <c r="X6" s="75">
        <f>$R$6-$U$6</f>
        <v>0</v>
      </c>
      <c r="Y6" s="75">
        <f>$S$6-$V$6</f>
        <v>0</v>
      </c>
      <c r="Z6" s="75">
        <f>$T$6-$W$6</f>
        <v>0</v>
      </c>
      <c r="AA6" s="75">
        <f>SUMIF(EFEITO!$B$2:$B$641,$Q$6,EFEITO!$AE$2:$AE$641)</f>
        <v>0</v>
      </c>
      <c r="AB6" s="75">
        <f>SUMIF(EFEITO!$B$2:$B$641,$Q$6,EFEITO!$AF$2:$AF$641)</f>
        <v>0</v>
      </c>
      <c r="AC6" s="75">
        <f>SUMIF(EFEITO!$B$2:$B$641,$Q$6,EFEITO!$AG$2:$AH$641)</f>
        <v>0</v>
      </c>
      <c r="AD6" s="75">
        <f>SUMIF(SUBSIDIO!$B$2:$B$641,$Q$6,SUBSIDIO!$AD$2:$AD$641)</f>
        <v>0</v>
      </c>
      <c r="AE6" s="75">
        <f>SUMIF(SUBSIDIO!$B$2:$B$641,$Q$6,SUBSIDIO!$AE$2:$AE$641)</f>
        <v>0</v>
      </c>
      <c r="AF6" s="75" t="str">
        <f>IF(ABS($X$6-$AA$6)&lt;0.01,"OK","ERRO")</f>
        <v>OK</v>
      </c>
      <c r="AG6" s="75" t="str">
        <f>IF(ABS($Y$6-$AB$6)&lt;0.01,"OK","ERRO")</f>
        <v>OK</v>
      </c>
      <c r="AH6" s="75" t="str">
        <f>IF(ABS($Z$6-$AC$6)&lt;0.01,"OK","ERRO")</f>
        <v>OK</v>
      </c>
      <c r="AI6" s="75" t="str">
        <f>IF(ABS($U$6-$AD$6)&lt;0.01,"OK","ERRO")</f>
        <v>OK</v>
      </c>
      <c r="AJ6" s="75" t="str">
        <f>IF(ABS(($V$6+$W$6)-$AE$6)&lt;0.01,"OK","ERRO")</f>
        <v>OK</v>
      </c>
    </row>
    <row r="7" spans="1:40" ht="11.25" customHeight="1" x14ac:dyDescent="0.2">
      <c r="A7" s="74" t="s">
        <v>21</v>
      </c>
      <c r="B7" s="74" t="s">
        <v>35</v>
      </c>
      <c r="C7" s="74" t="s">
        <v>36</v>
      </c>
      <c r="D7" s="74" t="s">
        <v>34</v>
      </c>
      <c r="E7" s="74" t="s">
        <v>25</v>
      </c>
      <c r="F7" s="74" t="s">
        <v>56</v>
      </c>
      <c r="G7" s="74" t="s">
        <v>25</v>
      </c>
      <c r="H7" s="74" t="s">
        <v>38</v>
      </c>
      <c r="I7" s="80">
        <v>44562</v>
      </c>
      <c r="J7" s="81">
        <f ca="1">EFEITO!$J$7*EFEITO!$Y$7</f>
        <v>54334.329722119655</v>
      </c>
      <c r="K7" s="81">
        <f ca="1">EFEITO!$L$7*EFEITO!$Z$7</f>
        <v>0</v>
      </c>
      <c r="L7" s="81">
        <f>EFEITO!$N$7*EFEITO!$AA$7</f>
        <v>0</v>
      </c>
      <c r="M7" s="81">
        <f ca="1">$J$7-EFEITO!$K$7*EFEITO!$Y$7</f>
        <v>27167.164861059828</v>
      </c>
      <c r="N7" s="81">
        <f ca="1">$K$7-EFEITO!$M$7*EFEITO!$Z$7</f>
        <v>0</v>
      </c>
      <c r="O7" s="81">
        <f>$L$7-EFEITO!$O$7*EFEITO!$AA$7</f>
        <v>0</v>
      </c>
      <c r="P7" s="18"/>
      <c r="Q7" s="81" t="s">
        <v>35</v>
      </c>
      <c r="R7" s="81">
        <f ca="1">SUMIF($B$2:$B$641,$Q$7,$J$2:$J$641)</f>
        <v>10130002.903902883</v>
      </c>
      <c r="S7" s="81">
        <f ca="1">SUMIF($B$2:$B$641,$Q$7,$K$2:$K$641)</f>
        <v>23657503.685926154</v>
      </c>
      <c r="T7" s="81">
        <f>SUMIF($B$2:$B$641,$Q$7,$L$2:$L$641)</f>
        <v>18549679.456693389</v>
      </c>
      <c r="U7" s="81">
        <f ca="1">SUMIF($B$2:$B$641,$Q$7,$M$2:$M$641)</f>
        <v>1824423.3663899745</v>
      </c>
      <c r="V7" s="81">
        <f ca="1">SUMIF($B$2:$B$641,$Q$7,$N$2:$N$641)</f>
        <v>2021068.2780999613</v>
      </c>
      <c r="W7" s="81">
        <f>SUMIF($B$2:$B$641,$Q$7,$O$2:$O$641)</f>
        <v>15454.697983025293</v>
      </c>
      <c r="X7" s="75">
        <f ca="1">$R$7-$U$7</f>
        <v>8305579.5375129078</v>
      </c>
      <c r="Y7" s="75">
        <f ca="1">$S$7-$V$7</f>
        <v>21636435.407826193</v>
      </c>
      <c r="Z7" s="75">
        <f>$T$7-$W$7</f>
        <v>18534224.758710362</v>
      </c>
      <c r="AA7" s="75">
        <f ca="1">SUMIF(EFEITO!$B$2:$B$641,$Q$7,EFEITO!$AE$2:$AE$641)</f>
        <v>8305579.5375129068</v>
      </c>
      <c r="AB7" s="75">
        <f ca="1">SUMIF(EFEITO!$B$2:$B$641,$Q$7,EFEITO!$AF$2:$AF$641)</f>
        <v>21636435.407826211</v>
      </c>
      <c r="AC7" s="75">
        <f>SUMIF(EFEITO!$B$2:$B$641,$Q$7,EFEITO!$AG$2:$AH$641)</f>
        <v>18534224.758710373</v>
      </c>
      <c r="AD7" s="75">
        <f ca="1">SUMIF(SUBSIDIO!$B$2:$B$641,$Q$7,SUBSIDIO!$AD$2:$AD$641)</f>
        <v>1824423.3663899743</v>
      </c>
      <c r="AE7" s="75">
        <f ca="1">SUMIF(SUBSIDIO!$B$2:$B$641,$Q$7,SUBSIDIO!$AE$2:$AE$641)</f>
        <v>2036522.9760829855</v>
      </c>
      <c r="AF7" s="75" t="str">
        <f ca="1">IF(ABS($X$7-$AA$7)&lt;0.01,"OK","ERRO")</f>
        <v>OK</v>
      </c>
      <c r="AG7" s="75" t="str">
        <f ca="1">IF(ABS($Y$7-$AB$7)&lt;0.01,"OK","ERRO")</f>
        <v>OK</v>
      </c>
      <c r="AH7" s="75" t="str">
        <f>IF(ABS($Z$7-$AC$7)&lt;0.01,"OK","ERRO")</f>
        <v>OK</v>
      </c>
      <c r="AI7" s="75" t="str">
        <f ca="1">IF(ABS($U$7-$AD$7)&lt;0.01,"OK","ERRO")</f>
        <v>OK</v>
      </c>
      <c r="AJ7" s="75" t="str">
        <f ca="1">IF(ABS(($V$7+$W$7)-$AE$7)&lt;0.01,"OK","ERRO")</f>
        <v>OK</v>
      </c>
    </row>
    <row r="8" spans="1:40" ht="11.25" customHeight="1" x14ac:dyDescent="0.2">
      <c r="A8" s="74" t="s">
        <v>21</v>
      </c>
      <c r="B8" s="74" t="s">
        <v>35</v>
      </c>
      <c r="C8" s="74" t="s">
        <v>36</v>
      </c>
      <c r="D8" s="74" t="s">
        <v>34</v>
      </c>
      <c r="E8" s="74" t="s">
        <v>25</v>
      </c>
      <c r="F8" s="74" t="s">
        <v>56</v>
      </c>
      <c r="G8" s="74" t="s">
        <v>25</v>
      </c>
      <c r="H8" s="74" t="s">
        <v>38</v>
      </c>
      <c r="I8" s="80">
        <v>44593</v>
      </c>
      <c r="J8" s="81">
        <f ca="1">EFEITO!$J$8*EFEITO!$Y$8</f>
        <v>54334.329722119655</v>
      </c>
      <c r="K8" s="81">
        <f ca="1">EFEITO!$L$8*EFEITO!$Z$8</f>
        <v>0</v>
      </c>
      <c r="L8" s="81">
        <f>EFEITO!$N$8*EFEITO!$AA$8</f>
        <v>0</v>
      </c>
      <c r="M8" s="81">
        <f ca="1">$J$8-EFEITO!$K$8*EFEITO!$Y$8</f>
        <v>27167.164861059828</v>
      </c>
      <c r="N8" s="81">
        <f ca="1">$K$8-EFEITO!$M$8*EFEITO!$Z$8</f>
        <v>0</v>
      </c>
      <c r="O8" s="81">
        <f>$L$8-EFEITO!$O$8*EFEITO!$AA$8</f>
        <v>0</v>
      </c>
      <c r="P8" s="18"/>
      <c r="Q8" s="81" t="s">
        <v>590</v>
      </c>
      <c r="R8" s="81">
        <f>SUMIF($B$2:$B$641,$Q$8,$J$2:$J$641)</f>
        <v>0</v>
      </c>
      <c r="S8" s="81">
        <f>SUMIF($B$2:$B$641,$Q$8,$K$2:$K$641)</f>
        <v>0</v>
      </c>
      <c r="T8" s="81">
        <f>SUMIF($B$2:$B$641,$Q$8,$L$2:$L$641)</f>
        <v>0</v>
      </c>
      <c r="U8" s="81">
        <f>SUMIF($B$2:$B$641,$Q$8,$M$2:$M$641)</f>
        <v>0</v>
      </c>
      <c r="V8" s="81">
        <f>SUMIF($B$2:$B$641,$Q$8,$N$2:$N$641)</f>
        <v>0</v>
      </c>
      <c r="W8" s="81">
        <f>SUMIF($B$2:$B$641,$Q$8,$O$2:$O$641)</f>
        <v>0</v>
      </c>
      <c r="X8" s="75">
        <f>$R$8-$U$8</f>
        <v>0</v>
      </c>
      <c r="Y8" s="75">
        <f>$S$8-$V$8</f>
        <v>0</v>
      </c>
      <c r="Z8" s="75">
        <f>$T$8-$W$8</f>
        <v>0</v>
      </c>
      <c r="AA8" s="75">
        <f>SUMIF(EFEITO!$B$2:$B$641,$Q$8,EFEITO!$AE$2:$AE$641)</f>
        <v>0</v>
      </c>
      <c r="AB8" s="75">
        <f>SUMIF(EFEITO!$B$2:$B$641,$Q$8,EFEITO!$AF$2:$AF$641)</f>
        <v>0</v>
      </c>
      <c r="AC8" s="75">
        <f>SUMIF(EFEITO!$B$2:$B$641,$Q$8,EFEITO!$AG$2:$AH$641)</f>
        <v>0</v>
      </c>
      <c r="AD8" s="75">
        <f>SUMIF(SUBSIDIO!$B$2:$B$641,$Q$8,SUBSIDIO!$AD$2:$AD$641)</f>
        <v>0</v>
      </c>
      <c r="AE8" s="75">
        <f>SUMIF(SUBSIDIO!$B$2:$B$641,$Q$8,SUBSIDIO!$AE$2:$AE$641)</f>
        <v>0</v>
      </c>
      <c r="AF8" s="75" t="str">
        <f>IF(ABS($X$8-$AA$8)&lt;0.01,"OK","ERRO")</f>
        <v>OK</v>
      </c>
      <c r="AG8" s="75" t="str">
        <f>IF(ABS($Y$8-$AB$8)&lt;0.01,"OK","ERRO")</f>
        <v>OK</v>
      </c>
      <c r="AH8" s="75" t="str">
        <f>IF(ABS($Z$8-$AC$8)&lt;0.01,"OK","ERRO")</f>
        <v>OK</v>
      </c>
      <c r="AI8" s="75" t="str">
        <f>IF(ABS($U$8-$AD$8)&lt;0.01,"OK","ERRO")</f>
        <v>OK</v>
      </c>
      <c r="AJ8" s="75" t="str">
        <f>IF(ABS(($V$8+$W$8)-$AE$8)&lt;0.01,"OK","ERRO")</f>
        <v>OK</v>
      </c>
    </row>
    <row r="9" spans="1:40" ht="11.25" customHeight="1" x14ac:dyDescent="0.2">
      <c r="A9" s="74" t="s">
        <v>21</v>
      </c>
      <c r="B9" s="74" t="s">
        <v>35</v>
      </c>
      <c r="C9" s="74" t="s">
        <v>36</v>
      </c>
      <c r="D9" s="74" t="s">
        <v>34</v>
      </c>
      <c r="E9" s="74" t="s">
        <v>25</v>
      </c>
      <c r="F9" s="74" t="s">
        <v>56</v>
      </c>
      <c r="G9" s="74" t="s">
        <v>25</v>
      </c>
      <c r="H9" s="74" t="s">
        <v>38</v>
      </c>
      <c r="I9" s="80">
        <v>44621</v>
      </c>
      <c r="J9" s="81">
        <f ca="1">EFEITO!$J$9*EFEITO!$Y$9</f>
        <v>44793.221422915449</v>
      </c>
      <c r="K9" s="81">
        <f ca="1">EFEITO!$L$9*EFEITO!$Z$9</f>
        <v>0</v>
      </c>
      <c r="L9" s="81">
        <f>EFEITO!$N$9*EFEITO!$AA$9</f>
        <v>0</v>
      </c>
      <c r="M9" s="81">
        <f ca="1">$J$9-EFEITO!$K$9*EFEITO!$Y$9</f>
        <v>22396.610711457724</v>
      </c>
      <c r="N9" s="81">
        <f ca="1">$K$9-EFEITO!$M$9*EFEITO!$Z$9</f>
        <v>0</v>
      </c>
      <c r="O9" s="81">
        <f>$L$9-EFEITO!$O$9*EFEITO!$AA$9</f>
        <v>0</v>
      </c>
      <c r="P9" s="18"/>
      <c r="Q9" s="81" t="s">
        <v>22</v>
      </c>
      <c r="R9" s="81">
        <f>SUMIF($B$2:$B$641,$Q$9,$J$2:$J$641)</f>
        <v>0</v>
      </c>
      <c r="S9" s="81">
        <f ca="1">SUMIF($B$2:$B$641,$Q$9,$K$2:$K$641)</f>
        <v>29289960.002445832</v>
      </c>
      <c r="T9" s="81">
        <f>SUMIF($B$2:$B$641,$Q$9,$L$2:$L$641)</f>
        <v>16679249.343495267</v>
      </c>
      <c r="U9" s="81">
        <f>SUMIF($B$2:$B$641,$Q$9,$M$2:$M$641)</f>
        <v>0</v>
      </c>
      <c r="V9" s="81">
        <f ca="1">SUMIF($B$2:$B$641,$Q$9,$N$2:$N$641)</f>
        <v>257160.21855990603</v>
      </c>
      <c r="W9" s="81">
        <f>SUMIF($B$2:$B$641,$Q$9,$O$2:$O$641)</f>
        <v>205932.37560934515</v>
      </c>
      <c r="X9" s="75">
        <f>$R$9-$U$9</f>
        <v>0</v>
      </c>
      <c r="Y9" s="75">
        <f ca="1">$S$9-$V$9</f>
        <v>29032799.783885926</v>
      </c>
      <c r="Z9" s="75">
        <f>$T$9-$W$9</f>
        <v>16473316.967885921</v>
      </c>
      <c r="AA9" s="75">
        <f>SUMIF(EFEITO!$B$2:$B$641,$Q$9,EFEITO!$AE$2:$AE$641)</f>
        <v>0</v>
      </c>
      <c r="AB9" s="75">
        <f ca="1">SUMIF(EFEITO!$B$2:$B$641,$Q$9,EFEITO!$AF$2:$AF$641)</f>
        <v>29032799.783885926</v>
      </c>
      <c r="AC9" s="75">
        <f>SUMIF(EFEITO!$B$2:$B$641,$Q$9,EFEITO!$AG$2:$AH$641)</f>
        <v>16473316.967885932</v>
      </c>
      <c r="AD9" s="75">
        <f>SUMIF(SUBSIDIO!$B$2:$B$641,$Q$9,SUBSIDIO!$AD$2:$AD$641)</f>
        <v>0</v>
      </c>
      <c r="AE9" s="75">
        <f ca="1">SUMIF(SUBSIDIO!$B$2:$B$641,$Q$9,SUBSIDIO!$AE$2:$AE$641)</f>
        <v>463092.59416925116</v>
      </c>
      <c r="AF9" s="75" t="str">
        <f>IF(ABS($X$9-$AA$9)&lt;0.01,"OK","ERRO")</f>
        <v>OK</v>
      </c>
      <c r="AG9" s="75" t="str">
        <f ca="1">IF(ABS($Y$9-$AB$9)&lt;0.01,"OK","ERRO")</f>
        <v>OK</v>
      </c>
      <c r="AH9" s="75" t="str">
        <f>IF(ABS($Z$9-$AC$9)&lt;0.01,"OK","ERRO")</f>
        <v>OK</v>
      </c>
      <c r="AI9" s="75" t="str">
        <f>IF(ABS($U$9-$AD$9)&lt;0.01,"OK","ERRO")</f>
        <v>OK</v>
      </c>
      <c r="AJ9" s="75" t="str">
        <f ca="1">IF(ABS(($V$9+$W$9)-$AE$9)&lt;0.01,"OK","ERRO")</f>
        <v>OK</v>
      </c>
    </row>
    <row r="10" spans="1:40" ht="11.25" customHeight="1" x14ac:dyDescent="0.2">
      <c r="A10" s="74" t="s">
        <v>21</v>
      </c>
      <c r="B10" s="74" t="s">
        <v>35</v>
      </c>
      <c r="C10" s="74" t="s">
        <v>36</v>
      </c>
      <c r="D10" s="74" t="s">
        <v>34</v>
      </c>
      <c r="E10" s="74" t="s">
        <v>25</v>
      </c>
      <c r="F10" s="74" t="s">
        <v>56</v>
      </c>
      <c r="G10" s="74" t="s">
        <v>25</v>
      </c>
      <c r="H10" s="74" t="s">
        <v>38</v>
      </c>
      <c r="I10" s="80">
        <v>44652</v>
      </c>
      <c r="J10" s="81">
        <f ca="1">EFEITO!$J$10*EFEITO!$Y$10</f>
        <v>52617.364902900677</v>
      </c>
      <c r="K10" s="81">
        <f ca="1">EFEITO!$L$10*EFEITO!$Z$10</f>
        <v>0</v>
      </c>
      <c r="L10" s="81">
        <f>EFEITO!$N$10*EFEITO!$AA$10</f>
        <v>0</v>
      </c>
      <c r="M10" s="81">
        <f ca="1">$J$10-EFEITO!$K$10*EFEITO!$Y$10</f>
        <v>26308.682451450339</v>
      </c>
      <c r="N10" s="81">
        <f ca="1">$K$10-EFEITO!$M$10*EFEITO!$Z$10</f>
        <v>0</v>
      </c>
      <c r="O10" s="81">
        <f>$L$10-EFEITO!$O$10*EFEITO!$AA$10</f>
        <v>0</v>
      </c>
      <c r="P10" s="18"/>
      <c r="Q10" s="81" t="s">
        <v>41</v>
      </c>
      <c r="R10" s="81">
        <f>SUMIF($B$2:$B$641,$Q$10,$J$2:$J$641)</f>
        <v>0</v>
      </c>
      <c r="S10" s="81">
        <f ca="1">SUMIF($B$2:$B$641,$Q$10,$K$2:$K$641)</f>
        <v>4894831.3339892179</v>
      </c>
      <c r="T10" s="81">
        <f>SUMIF($B$2:$B$641,$Q$10,$L$2:$L$641)</f>
        <v>2750416.0698937364</v>
      </c>
      <c r="U10" s="81">
        <f>SUMIF($B$2:$B$641,$Q$10,$M$2:$M$641)</f>
        <v>0</v>
      </c>
      <c r="V10" s="81">
        <f ca="1">SUMIF($B$2:$B$641,$Q$10,$N$2:$N$641)</f>
        <v>297198.88979994803</v>
      </c>
      <c r="W10" s="81">
        <f>SUMIF($B$2:$B$641,$Q$10,$O$2:$O$641)</f>
        <v>166996.68419303178</v>
      </c>
      <c r="X10" s="75">
        <f>$R$10-$U$10</f>
        <v>0</v>
      </c>
      <c r="Y10" s="75">
        <f ca="1">$S$10-$V$10</f>
        <v>4597632.44418927</v>
      </c>
      <c r="Z10" s="75">
        <f>$T$10-$W$10</f>
        <v>2583419.3857007045</v>
      </c>
      <c r="AA10" s="75">
        <f>SUMIF(EFEITO!$B$2:$B$641,$Q$10,EFEITO!$AE$2:$AE$641)</f>
        <v>0</v>
      </c>
      <c r="AB10" s="75">
        <f ca="1">SUMIF(EFEITO!$B$2:$B$641,$Q$10,EFEITO!$AF$2:$AF$641)</f>
        <v>4597632.4441892672</v>
      </c>
      <c r="AC10" s="75">
        <f>SUMIF(EFEITO!$B$2:$B$641,$Q$10,EFEITO!$AG$2:$AH$641)</f>
        <v>2583419.3857007031</v>
      </c>
      <c r="AD10" s="75">
        <f>SUMIF(SUBSIDIO!$B$2:$B$641,$Q$10,SUBSIDIO!$AD$2:$AD$641)</f>
        <v>0</v>
      </c>
      <c r="AE10" s="75">
        <f ca="1">SUMIF(SUBSIDIO!$B$2:$B$641,$Q$10,SUBSIDIO!$AE$2:$AE$641)</f>
        <v>464195.57399298012</v>
      </c>
      <c r="AF10" s="75" t="str">
        <f>IF(ABS($X$10-$AA$10)&lt;0.01,"OK","ERRO")</f>
        <v>OK</v>
      </c>
      <c r="AG10" s="75" t="str">
        <f ca="1">IF(ABS($Y$10-$AB$10)&lt;0.01,"OK","ERRO")</f>
        <v>OK</v>
      </c>
      <c r="AH10" s="75" t="str">
        <f>IF(ABS($Z$10-$AC$10)&lt;0.01,"OK","ERRO")</f>
        <v>OK</v>
      </c>
      <c r="AI10" s="75" t="str">
        <f>IF(ABS($U$10-$AD$10)&lt;0.01,"OK","ERRO")</f>
        <v>OK</v>
      </c>
      <c r="AJ10" s="75" t="str">
        <f ca="1">IF(ABS(($V$10+$W$10)-$AE$10)&lt;0.01,"OK","ERRO")</f>
        <v>OK</v>
      </c>
    </row>
    <row r="11" spans="1:40" ht="11.25" customHeight="1" x14ac:dyDescent="0.2">
      <c r="A11" s="74" t="s">
        <v>21</v>
      </c>
      <c r="B11" s="74" t="s">
        <v>35</v>
      </c>
      <c r="C11" s="74" t="s">
        <v>36</v>
      </c>
      <c r="D11" s="74" t="s">
        <v>34</v>
      </c>
      <c r="E11" s="74" t="s">
        <v>25</v>
      </c>
      <c r="F11" s="74" t="s">
        <v>56</v>
      </c>
      <c r="G11" s="74" t="s">
        <v>25</v>
      </c>
      <c r="H11" s="74" t="s">
        <v>38</v>
      </c>
      <c r="I11" s="80">
        <v>44682</v>
      </c>
      <c r="J11" s="81">
        <f ca="1">EFEITO!$J$11*EFEITO!$Y$11</f>
        <v>54334.329722119655</v>
      </c>
      <c r="K11" s="81">
        <f ca="1">EFEITO!$L$11*EFEITO!$Z$11</f>
        <v>0</v>
      </c>
      <c r="L11" s="81">
        <f>EFEITO!$N$11*EFEITO!$AA$11</f>
        <v>0</v>
      </c>
      <c r="M11" s="81">
        <f ca="1">$J$11-EFEITO!$K$11*EFEITO!$Y$11</f>
        <v>27167.164861059828</v>
      </c>
      <c r="N11" s="81">
        <f ca="1">$K$11-EFEITO!$M$11*EFEITO!$Z$11</f>
        <v>0</v>
      </c>
      <c r="O11" s="81">
        <f>$L$11-EFEITO!$O$11*EFEITO!$AA$11</f>
        <v>0</v>
      </c>
      <c r="P11" s="18"/>
      <c r="Q11" s="81" t="s">
        <v>33</v>
      </c>
      <c r="R11" s="81">
        <f>SUMIF($B$2:$B$641,$Q$11,$J$2:$J$641)</f>
        <v>0</v>
      </c>
      <c r="S11" s="81">
        <f ca="1">SUMIF($B$2:$B$641,$Q$11,$K$2:$K$641)</f>
        <v>12197034.149784654</v>
      </c>
      <c r="T11" s="81">
        <f>SUMIF($B$2:$B$641,$Q$11,$L$2:$L$641)</f>
        <v>6853901.8129216731</v>
      </c>
      <c r="U11" s="81">
        <f>SUMIF($B$2:$B$641,$Q$11,$M$2:$M$641)</f>
        <v>0</v>
      </c>
      <c r="V11" s="81">
        <f ca="1">SUMIF($B$2:$B$641,$Q$11,$N$2:$N$641)</f>
        <v>7494.6164216242723</v>
      </c>
      <c r="W11" s="81">
        <f>SUMIF($B$2:$B$641,$Q$11,$O$2:$O$641)</f>
        <v>4211.240804272079</v>
      </c>
      <c r="X11" s="75">
        <f>$R$11-$U$11</f>
        <v>0</v>
      </c>
      <c r="Y11" s="75">
        <f ca="1">$S$11-$V$11</f>
        <v>12189539.533363029</v>
      </c>
      <c r="Z11" s="75">
        <f>$T$11-$W$11</f>
        <v>6849690.5721174013</v>
      </c>
      <c r="AA11" s="75">
        <f>SUMIF(EFEITO!$B$2:$B$641,$Q$11,EFEITO!$AE$2:$AE$641)</f>
        <v>0</v>
      </c>
      <c r="AB11" s="75">
        <f ca="1">SUMIF(EFEITO!$B$2:$B$641,$Q$11,EFEITO!$AF$2:$AF$641)</f>
        <v>12189539.533363026</v>
      </c>
      <c r="AC11" s="75">
        <f>SUMIF(EFEITO!$B$2:$B$641,$Q$11,EFEITO!$AG$2:$AH$641)</f>
        <v>6849690.5721174022</v>
      </c>
      <c r="AD11" s="75">
        <f>SUMIF(SUBSIDIO!$B$2:$B$641,$Q$11,SUBSIDIO!$AD$2:$AD$641)</f>
        <v>0</v>
      </c>
      <c r="AE11" s="75">
        <f ca="1">SUMIF(SUBSIDIO!$B$2:$B$641,$Q$11,SUBSIDIO!$AE$2:$AE$641)</f>
        <v>11705.857225896349</v>
      </c>
      <c r="AF11" s="75" t="str">
        <f>IF(ABS($X$11-$AA$11)&lt;0.01,"OK","ERRO")</f>
        <v>OK</v>
      </c>
      <c r="AG11" s="75" t="str">
        <f ca="1">IF(ABS($Y$11-$AB$11)&lt;0.01,"OK","ERRO")</f>
        <v>OK</v>
      </c>
      <c r="AH11" s="75" t="str">
        <f>IF(ABS($Z$11-$AC$11)&lt;0.01,"OK","ERRO")</f>
        <v>OK</v>
      </c>
      <c r="AI11" s="75" t="str">
        <f>IF(ABS($U$11-$AD$11)&lt;0.01,"OK","ERRO")</f>
        <v>OK</v>
      </c>
      <c r="AJ11" s="75" t="str">
        <f ca="1">IF(ABS(($V$11+$W$11)-$AE$11)&lt;0.01,"OK","ERRO")</f>
        <v>OK</v>
      </c>
    </row>
    <row r="12" spans="1:40" ht="11.25" customHeight="1" x14ac:dyDescent="0.2">
      <c r="A12" s="74" t="s">
        <v>21</v>
      </c>
      <c r="B12" s="74" t="s">
        <v>35</v>
      </c>
      <c r="C12" s="74" t="s">
        <v>36</v>
      </c>
      <c r="D12" s="74" t="s">
        <v>34</v>
      </c>
      <c r="E12" s="74" t="s">
        <v>25</v>
      </c>
      <c r="F12" s="74" t="s">
        <v>56</v>
      </c>
      <c r="G12" s="74" t="s">
        <v>25</v>
      </c>
      <c r="H12" s="74" t="s">
        <v>38</v>
      </c>
      <c r="I12" s="80">
        <v>44713</v>
      </c>
      <c r="J12" s="81">
        <f ca="1">EFEITO!$J$12*EFEITO!$Y$12</f>
        <v>54334.329722119655</v>
      </c>
      <c r="K12" s="81">
        <f ca="1">EFEITO!$L$12*EFEITO!$Z$12</f>
        <v>0</v>
      </c>
      <c r="L12" s="81">
        <f>EFEITO!$N$12*EFEITO!$AA$12</f>
        <v>0</v>
      </c>
      <c r="M12" s="81">
        <f ca="1">$J$12-EFEITO!$K$12*EFEITO!$Y$12</f>
        <v>27167.164861059828</v>
      </c>
      <c r="N12" s="81">
        <f ca="1">$K$12-EFEITO!$M$12*EFEITO!$Z$12</f>
        <v>0</v>
      </c>
      <c r="O12" s="81">
        <f>$L$12-EFEITO!$O$12*EFEITO!$AA$12</f>
        <v>0</v>
      </c>
      <c r="P12" s="18"/>
      <c r="Q12" s="81" t="s">
        <v>44</v>
      </c>
      <c r="R12" s="81">
        <f>SUMIF($B$2:$B$641,$Q$12,$J$2:$J$641)</f>
        <v>0</v>
      </c>
      <c r="S12" s="81">
        <f ca="1">SUMIF($B$2:$B$641,$Q$12,$K$2:$K$641)</f>
        <v>2711352.203215553</v>
      </c>
      <c r="T12" s="81">
        <f>SUMIF($B$2:$B$641,$Q$12,$L$2:$L$641)</f>
        <v>1523514.5323767902</v>
      </c>
      <c r="U12" s="81">
        <f>SUMIF($B$2:$B$641,$Q$12,$M$2:$M$641)</f>
        <v>0</v>
      </c>
      <c r="V12" s="81">
        <f ca="1">SUMIF($B$2:$B$641,$Q$12,$N$2:$N$641)</f>
        <v>0</v>
      </c>
      <c r="W12" s="81">
        <f>SUMIF($B$2:$B$641,$Q$12,$O$2:$O$641)</f>
        <v>0</v>
      </c>
      <c r="X12" s="75">
        <f>$R$12-$U$12</f>
        <v>0</v>
      </c>
      <c r="Y12" s="75">
        <f ca="1">$S$12-$V$12</f>
        <v>2711352.203215553</v>
      </c>
      <c r="Z12" s="75">
        <f>$T$12-$W$12</f>
        <v>1523514.5323767902</v>
      </c>
      <c r="AA12" s="75">
        <f>SUMIF(EFEITO!$B$2:$B$641,$Q$12,EFEITO!$AE$2:$AE$641)</f>
        <v>0</v>
      </c>
      <c r="AB12" s="75">
        <f ca="1">SUMIF(EFEITO!$B$2:$B$641,$Q$12,EFEITO!$AF$2:$AF$641)</f>
        <v>2711352.203215553</v>
      </c>
      <c r="AC12" s="75">
        <f>SUMIF(EFEITO!$B$2:$B$641,$Q$12,EFEITO!$AG$2:$AH$641)</f>
        <v>1523514.5323767902</v>
      </c>
      <c r="AD12" s="75">
        <f>SUMIF(SUBSIDIO!$B$2:$B$641,$Q$12,SUBSIDIO!$AD$2:$AD$641)</f>
        <v>0</v>
      </c>
      <c r="AE12" s="75">
        <f>SUMIF(SUBSIDIO!$B$2:$B$641,$Q$12,SUBSIDIO!$AE$2:$AE$641)</f>
        <v>0</v>
      </c>
      <c r="AF12" s="75" t="str">
        <f>IF(ABS($X$12-$AA$12)&lt;0.01,"OK","ERRO")</f>
        <v>OK</v>
      </c>
      <c r="AG12" s="75" t="str">
        <f ca="1">IF(ABS($Y$12-$AB$12)&lt;0.01,"OK","ERRO")</f>
        <v>OK</v>
      </c>
      <c r="AH12" s="75" t="str">
        <f>IF(ABS($Z$12-$AC$12)&lt;0.01,"OK","ERRO")</f>
        <v>OK</v>
      </c>
      <c r="AI12" s="75" t="str">
        <f>IF(ABS($U$12-$AD$12)&lt;0.01,"OK","ERRO")</f>
        <v>OK</v>
      </c>
      <c r="AJ12" s="75" t="str">
        <f ca="1">IF(ABS(($V$12+$W$12)-$AE$12)&lt;0.01,"OK","ERRO")</f>
        <v>OK</v>
      </c>
    </row>
    <row r="13" spans="1:40" ht="11.25" customHeight="1" x14ac:dyDescent="0.2">
      <c r="A13" s="74" t="s">
        <v>55</v>
      </c>
      <c r="B13" s="74" t="s">
        <v>35</v>
      </c>
      <c r="C13" s="74" t="s">
        <v>36</v>
      </c>
      <c r="D13" s="74" t="s">
        <v>34</v>
      </c>
      <c r="E13" s="74" t="s">
        <v>25</v>
      </c>
      <c r="F13" s="74" t="s">
        <v>56</v>
      </c>
      <c r="G13" s="74" t="s">
        <v>25</v>
      </c>
      <c r="H13" s="74" t="s">
        <v>38</v>
      </c>
      <c r="I13" s="80">
        <v>44743</v>
      </c>
      <c r="J13" s="81">
        <f ca="1">EFEITO!$J$13*EFEITO!$Y$13</f>
        <v>54334.329722119655</v>
      </c>
      <c r="K13" s="81">
        <f ca="1">EFEITO!$L$13*EFEITO!$Z$13</f>
        <v>0</v>
      </c>
      <c r="L13" s="81">
        <f>EFEITO!$N$13*EFEITO!$AA$13</f>
        <v>0</v>
      </c>
      <c r="M13" s="81">
        <f ca="1">$J$13-EFEITO!$K$13*EFEITO!$Y$13</f>
        <v>27167.164861059828</v>
      </c>
      <c r="N13" s="81">
        <f ca="1">$K$13-EFEITO!$M$13*EFEITO!$Z$13</f>
        <v>0</v>
      </c>
      <c r="O13" s="81">
        <f>$L$13-EFEITO!$O$13*EFEITO!$AA$13</f>
        <v>0</v>
      </c>
      <c r="P13" s="18"/>
      <c r="Q13" s="81" t="s">
        <v>84</v>
      </c>
      <c r="R13" s="81">
        <f>SUMIF($B$2:$B$641,$Q$13,$J$2:$J$641)</f>
        <v>0</v>
      </c>
      <c r="S13" s="81">
        <f>SUMIF($B$2:$B$641,$Q$13,$K$2:$K$641)</f>
        <v>0</v>
      </c>
      <c r="T13" s="81">
        <f>SUMIF($B$2:$B$641,$Q$13,$L$2:$L$641)</f>
        <v>0</v>
      </c>
      <c r="U13" s="81">
        <f>SUMIF($B$2:$B$641,$Q$13,$M$2:$M$641)</f>
        <v>0</v>
      </c>
      <c r="V13" s="81">
        <f>SUMIF($B$2:$B$641,$Q$13,$N$2:$N$641)</f>
        <v>0</v>
      </c>
      <c r="W13" s="81">
        <f>SUMIF($B$2:$B$641,$Q$13,$O$2:$O$641)</f>
        <v>0</v>
      </c>
      <c r="X13" s="75">
        <f>$R$13-$U$13</f>
        <v>0</v>
      </c>
      <c r="Y13" s="75">
        <f>$S$13-$V$13</f>
        <v>0</v>
      </c>
      <c r="Z13" s="75">
        <f>$T$13-$W$13</f>
        <v>0</v>
      </c>
      <c r="AA13" s="75">
        <f>SUMIF(EFEITO!$B$2:$B$641,$Q$13,EFEITO!$AE$2:$AE$641)</f>
        <v>0</v>
      </c>
      <c r="AB13" s="75">
        <f>SUMIF(EFEITO!$B$2:$B$641,$Q$13,EFEITO!$AF$2:$AF$641)</f>
        <v>0</v>
      </c>
      <c r="AC13" s="75">
        <f>SUMIF(EFEITO!$B$2:$B$641,$Q$13,EFEITO!$AG$2:$AH$641)</f>
        <v>0</v>
      </c>
      <c r="AD13" s="75">
        <f>SUMIF(SUBSIDIO!$B$2:$B$641,$Q$13,SUBSIDIO!$AD$2:$AD$641)</f>
        <v>0</v>
      </c>
      <c r="AE13" s="75">
        <f>SUMIF(SUBSIDIO!$B$2:$B$641,$Q$13,SUBSIDIO!$AE$2:$AE$641)</f>
        <v>0</v>
      </c>
      <c r="AF13" s="75" t="str">
        <f>IF(ABS($X$13-$AA$13)&lt;0.01,"OK","ERRO")</f>
        <v>OK</v>
      </c>
      <c r="AG13" s="75" t="str">
        <f>IF(ABS($Y$13-$AB$13)&lt;0.01,"OK","ERRO")</f>
        <v>OK</v>
      </c>
      <c r="AH13" s="75" t="str">
        <f>IF(ABS($Z$13-$AC$13)&lt;0.01,"OK","ERRO")</f>
        <v>OK</v>
      </c>
      <c r="AI13" s="75" t="str">
        <f>IF(ABS($U$13-$AD$13)&lt;0.01,"OK","ERRO")</f>
        <v>OK</v>
      </c>
      <c r="AJ13" s="75" t="str">
        <f>IF(ABS(($V$13+$W$13)-$AE$13)&lt;0.01,"OK","ERRO")</f>
        <v>OK</v>
      </c>
    </row>
    <row r="14" spans="1:40" ht="11.25" customHeight="1" x14ac:dyDescent="0.2">
      <c r="A14" s="74" t="s">
        <v>21</v>
      </c>
      <c r="B14" s="74" t="s">
        <v>35</v>
      </c>
      <c r="C14" s="74" t="s">
        <v>36</v>
      </c>
      <c r="D14" s="74" t="s">
        <v>34</v>
      </c>
      <c r="E14" s="74" t="s">
        <v>25</v>
      </c>
      <c r="F14" s="74" t="s">
        <v>56</v>
      </c>
      <c r="G14" s="74" t="s">
        <v>25</v>
      </c>
      <c r="H14" s="74" t="s">
        <v>25</v>
      </c>
      <c r="I14" s="80">
        <v>44409</v>
      </c>
      <c r="J14" s="81">
        <f>EFEITO!$J$14*EFEITO!$Y$14</f>
        <v>0</v>
      </c>
      <c r="K14" s="81">
        <f ca="1">EFEITO!$L$14*EFEITO!$Z$14</f>
        <v>123466.69539616352</v>
      </c>
      <c r="L14" s="81">
        <f>EFEITO!$N$14*EFEITO!$AA$14</f>
        <v>0</v>
      </c>
      <c r="M14" s="81">
        <f>$J$14-EFEITO!$K$14*EFEITO!$Y$14</f>
        <v>0</v>
      </c>
      <c r="N14" s="81">
        <f ca="1">$K$14-EFEITO!$M$14*EFEITO!$Z$14</f>
        <v>0</v>
      </c>
      <c r="O14" s="81">
        <f>$L$14-EFEITO!$O$14*EFEITO!$AA$14</f>
        <v>0</v>
      </c>
      <c r="P14" s="18"/>
      <c r="Q14" s="18"/>
      <c r="R14" s="18"/>
      <c r="S14" s="18"/>
      <c r="T14" s="18"/>
      <c r="U14" s="18"/>
      <c r="V14" s="18"/>
      <c r="W14" s="18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</row>
    <row r="15" spans="1:40" ht="11.25" customHeight="1" x14ac:dyDescent="0.2">
      <c r="A15" s="74" t="s">
        <v>21</v>
      </c>
      <c r="B15" s="74" t="s">
        <v>35</v>
      </c>
      <c r="C15" s="74" t="s">
        <v>36</v>
      </c>
      <c r="D15" s="74" t="s">
        <v>34</v>
      </c>
      <c r="E15" s="74" t="s">
        <v>25</v>
      </c>
      <c r="F15" s="74" t="s">
        <v>56</v>
      </c>
      <c r="G15" s="74" t="s">
        <v>25</v>
      </c>
      <c r="H15" s="74" t="s">
        <v>25</v>
      </c>
      <c r="I15" s="80">
        <v>44440</v>
      </c>
      <c r="J15" s="81">
        <f>EFEITO!$J$15*EFEITO!$Y$15</f>
        <v>0</v>
      </c>
      <c r="K15" s="81">
        <f ca="1">EFEITO!$L$15*EFEITO!$Z$15</f>
        <v>129973.28381729923</v>
      </c>
      <c r="L15" s="81">
        <f>EFEITO!$N$15*EFEITO!$AA$15</f>
        <v>0</v>
      </c>
      <c r="M15" s="81">
        <f>$J$15-EFEITO!$K$15*EFEITO!$Y$15</f>
        <v>0</v>
      </c>
      <c r="N15" s="81">
        <f ca="1">$K$15-EFEITO!$M$15*EFEITO!$Z$15</f>
        <v>0</v>
      </c>
      <c r="O15" s="81">
        <f>$L$15-EFEITO!$O$15*EFEITO!$AA$15</f>
        <v>0</v>
      </c>
      <c r="P15" s="18"/>
      <c r="Q15" s="18"/>
      <c r="R15" s="18"/>
      <c r="S15" s="18"/>
      <c r="T15" s="18"/>
      <c r="U15" s="18"/>
      <c r="V15" s="18"/>
      <c r="W15" s="18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</row>
    <row r="16" spans="1:40" ht="11.25" customHeight="1" x14ac:dyDescent="0.2">
      <c r="A16" s="74" t="s">
        <v>21</v>
      </c>
      <c r="B16" s="74" t="s">
        <v>35</v>
      </c>
      <c r="C16" s="74" t="s">
        <v>36</v>
      </c>
      <c r="D16" s="74" t="s">
        <v>34</v>
      </c>
      <c r="E16" s="74" t="s">
        <v>25</v>
      </c>
      <c r="F16" s="74" t="s">
        <v>56</v>
      </c>
      <c r="G16" s="74" t="s">
        <v>25</v>
      </c>
      <c r="H16" s="74" t="s">
        <v>25</v>
      </c>
      <c r="I16" s="80">
        <v>44470</v>
      </c>
      <c r="J16" s="81">
        <f>EFEITO!$J$16*EFEITO!$Y$16</f>
        <v>0</v>
      </c>
      <c r="K16" s="81">
        <f ca="1">EFEITO!$L$16*EFEITO!$Z$16</f>
        <v>98186.692262327313</v>
      </c>
      <c r="L16" s="81">
        <f>EFEITO!$N$16*EFEITO!$AA$16</f>
        <v>0</v>
      </c>
      <c r="M16" s="81">
        <f>$J$16-EFEITO!$K$16*EFEITO!$Y$16</f>
        <v>0</v>
      </c>
      <c r="N16" s="81">
        <f ca="1">$K$16-EFEITO!$M$16*EFEITO!$Z$16</f>
        <v>0</v>
      </c>
      <c r="O16" s="81">
        <f>$L$16-EFEITO!$O$16*EFEITO!$AA$16</f>
        <v>0</v>
      </c>
      <c r="P16" s="18"/>
      <c r="Q16" s="18"/>
      <c r="R16" s="18"/>
      <c r="S16" s="18"/>
      <c r="T16" s="18"/>
      <c r="U16" s="18"/>
      <c r="V16" s="18"/>
      <c r="W16" s="18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</row>
    <row r="17" spans="1:36" ht="11.25" customHeight="1" x14ac:dyDescent="0.2">
      <c r="A17" s="74" t="s">
        <v>21</v>
      </c>
      <c r="B17" s="74" t="s">
        <v>35</v>
      </c>
      <c r="C17" s="74" t="s">
        <v>36</v>
      </c>
      <c r="D17" s="74" t="s">
        <v>34</v>
      </c>
      <c r="E17" s="74" t="s">
        <v>25</v>
      </c>
      <c r="F17" s="74" t="s">
        <v>56</v>
      </c>
      <c r="G17" s="74" t="s">
        <v>25</v>
      </c>
      <c r="H17" s="74" t="s">
        <v>25</v>
      </c>
      <c r="I17" s="80">
        <v>44501</v>
      </c>
      <c r="J17" s="81">
        <f>EFEITO!$J$17*EFEITO!$Y$17</f>
        <v>0</v>
      </c>
      <c r="K17" s="81">
        <f ca="1">EFEITO!$L$17*EFEITO!$Z$17</f>
        <v>134669.25926682787</v>
      </c>
      <c r="L17" s="81">
        <f>EFEITO!$N$17*EFEITO!$AA$17</f>
        <v>0</v>
      </c>
      <c r="M17" s="81">
        <f>$J$17-EFEITO!$K$17*EFEITO!$Y$17</f>
        <v>0</v>
      </c>
      <c r="N17" s="81">
        <f ca="1">$K$17-EFEITO!$M$17*EFEITO!$Z$17</f>
        <v>0</v>
      </c>
      <c r="O17" s="81">
        <f>$L$17-EFEITO!$O$17*EFEITO!$AA$17</f>
        <v>0</v>
      </c>
      <c r="P17" s="18"/>
      <c r="Q17" s="18"/>
      <c r="R17" s="18"/>
      <c r="S17" s="18"/>
      <c r="T17" s="18"/>
      <c r="U17" s="18"/>
      <c r="V17" s="18"/>
      <c r="W17" s="18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</row>
    <row r="18" spans="1:36" ht="11.25" customHeight="1" x14ac:dyDescent="0.2">
      <c r="A18" s="74" t="s">
        <v>21</v>
      </c>
      <c r="B18" s="74" t="s">
        <v>35</v>
      </c>
      <c r="C18" s="74" t="s">
        <v>36</v>
      </c>
      <c r="D18" s="74" t="s">
        <v>34</v>
      </c>
      <c r="E18" s="74" t="s">
        <v>25</v>
      </c>
      <c r="F18" s="74" t="s">
        <v>56</v>
      </c>
      <c r="G18" s="74" t="s">
        <v>25</v>
      </c>
      <c r="H18" s="74" t="s">
        <v>25</v>
      </c>
      <c r="I18" s="80">
        <v>44531</v>
      </c>
      <c r="J18" s="81">
        <f>EFEITO!$J$18*EFEITO!$Y$18</f>
        <v>0</v>
      </c>
      <c r="K18" s="81">
        <f ca="1">EFEITO!$L$18*EFEITO!$Z$18</f>
        <v>114040.10176551358</v>
      </c>
      <c r="L18" s="81">
        <f>EFEITO!$N$18*EFEITO!$AA$18</f>
        <v>0</v>
      </c>
      <c r="M18" s="81">
        <f>$J$18-EFEITO!$K$18*EFEITO!$Y$18</f>
        <v>0</v>
      </c>
      <c r="N18" s="81">
        <f ca="1">$K$18-EFEITO!$M$18*EFEITO!$Z$18</f>
        <v>0</v>
      </c>
      <c r="O18" s="81">
        <f>$L$18-EFEITO!$O$18*EFEITO!$AA$18</f>
        <v>0</v>
      </c>
      <c r="P18" s="18"/>
      <c r="Q18" s="18"/>
      <c r="R18" s="18"/>
      <c r="S18" s="18"/>
      <c r="T18" s="18"/>
      <c r="U18" s="18"/>
      <c r="V18" s="18"/>
      <c r="W18" s="18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</row>
    <row r="19" spans="1:36" ht="11.25" customHeight="1" x14ac:dyDescent="0.2">
      <c r="A19" s="74" t="s">
        <v>21</v>
      </c>
      <c r="B19" s="74" t="s">
        <v>35</v>
      </c>
      <c r="C19" s="74" t="s">
        <v>36</v>
      </c>
      <c r="D19" s="74" t="s">
        <v>34</v>
      </c>
      <c r="E19" s="74" t="s">
        <v>25</v>
      </c>
      <c r="F19" s="74" t="s">
        <v>56</v>
      </c>
      <c r="G19" s="74" t="s">
        <v>25</v>
      </c>
      <c r="H19" s="74" t="s">
        <v>25</v>
      </c>
      <c r="I19" s="80">
        <v>44562</v>
      </c>
      <c r="J19" s="81">
        <f>EFEITO!$J$19*EFEITO!$Y$19</f>
        <v>0</v>
      </c>
      <c r="K19" s="81">
        <f ca="1">EFEITO!$L$19*EFEITO!$Z$19</f>
        <v>97688.378956527071</v>
      </c>
      <c r="L19" s="81">
        <f>EFEITO!$N$19*EFEITO!$AA$19</f>
        <v>0</v>
      </c>
      <c r="M19" s="81">
        <f>$J$19-EFEITO!$K$19*EFEITO!$Y$19</f>
        <v>0</v>
      </c>
      <c r="N19" s="81">
        <f ca="1">$K$19-EFEITO!$M$19*EFEITO!$Z$19</f>
        <v>0</v>
      </c>
      <c r="O19" s="81">
        <f>$L$19-EFEITO!$O$19*EFEITO!$AA$19</f>
        <v>0</v>
      </c>
      <c r="P19" s="18"/>
      <c r="Q19" s="18"/>
      <c r="R19" s="18"/>
      <c r="S19" s="18"/>
      <c r="T19" s="18"/>
      <c r="U19" s="18"/>
      <c r="V19" s="18"/>
      <c r="W19" s="18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</row>
    <row r="20" spans="1:36" ht="11.25" customHeight="1" x14ac:dyDescent="0.2">
      <c r="A20" s="74" t="s">
        <v>21</v>
      </c>
      <c r="B20" s="74" t="s">
        <v>35</v>
      </c>
      <c r="C20" s="74" t="s">
        <v>36</v>
      </c>
      <c r="D20" s="74" t="s">
        <v>34</v>
      </c>
      <c r="E20" s="74" t="s">
        <v>25</v>
      </c>
      <c r="F20" s="74" t="s">
        <v>56</v>
      </c>
      <c r="G20" s="74" t="s">
        <v>25</v>
      </c>
      <c r="H20" s="74" t="s">
        <v>25</v>
      </c>
      <c r="I20" s="80">
        <v>44593</v>
      </c>
      <c r="J20" s="81">
        <f>EFEITO!$J$20*EFEITO!$Y$20</f>
        <v>0</v>
      </c>
      <c r="K20" s="81">
        <f ca="1">EFEITO!$L$20*EFEITO!$Z$20</f>
        <v>90759.479140738229</v>
      </c>
      <c r="L20" s="81">
        <f>EFEITO!$N$20*EFEITO!$AA$20</f>
        <v>0</v>
      </c>
      <c r="M20" s="81">
        <f>$J$20-EFEITO!$K$20*EFEITO!$Y$20</f>
        <v>0</v>
      </c>
      <c r="N20" s="81">
        <f ca="1">$K$20-EFEITO!$M$20*EFEITO!$Z$20</f>
        <v>0</v>
      </c>
      <c r="O20" s="81">
        <f>$L$20-EFEITO!$O$20*EFEITO!$AA$20</f>
        <v>0</v>
      </c>
      <c r="P20" s="18"/>
      <c r="Q20" s="18"/>
      <c r="R20" s="18"/>
      <c r="S20" s="18"/>
      <c r="T20" s="18"/>
      <c r="U20" s="18"/>
      <c r="V20" s="18"/>
      <c r="W20" s="18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</row>
    <row r="21" spans="1:36" ht="11.25" customHeight="1" x14ac:dyDescent="0.2">
      <c r="A21" s="74" t="s">
        <v>21</v>
      </c>
      <c r="B21" s="74" t="s">
        <v>35</v>
      </c>
      <c r="C21" s="74" t="s">
        <v>36</v>
      </c>
      <c r="D21" s="74" t="s">
        <v>34</v>
      </c>
      <c r="E21" s="74" t="s">
        <v>25</v>
      </c>
      <c r="F21" s="74" t="s">
        <v>56</v>
      </c>
      <c r="G21" s="74" t="s">
        <v>25</v>
      </c>
      <c r="H21" s="74" t="s">
        <v>25</v>
      </c>
      <c r="I21" s="80">
        <v>44621</v>
      </c>
      <c r="J21" s="81">
        <f>EFEITO!$J$21*EFEITO!$Y$21</f>
        <v>0</v>
      </c>
      <c r="K21" s="81">
        <f ca="1">EFEITO!$L$21*EFEITO!$Z$21</f>
        <v>93128.617784961316</v>
      </c>
      <c r="L21" s="81">
        <f>EFEITO!$N$21*EFEITO!$AA$21</f>
        <v>0</v>
      </c>
      <c r="M21" s="81">
        <f>$J$21-EFEITO!$K$21*EFEITO!$Y$21</f>
        <v>0</v>
      </c>
      <c r="N21" s="81">
        <f ca="1">$K$21-EFEITO!$M$21*EFEITO!$Z$21</f>
        <v>0</v>
      </c>
      <c r="O21" s="81">
        <f>$L$21-EFEITO!$O$21*EFEITO!$AA$21</f>
        <v>0</v>
      </c>
      <c r="P21" s="18"/>
      <c r="Q21" s="18"/>
      <c r="R21" s="18"/>
      <c r="S21" s="18"/>
      <c r="T21" s="18"/>
      <c r="U21" s="18"/>
      <c r="V21" s="18"/>
      <c r="W21" s="18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</row>
    <row r="22" spans="1:36" ht="11.25" customHeight="1" x14ac:dyDescent="0.2">
      <c r="A22" s="74" t="s">
        <v>21</v>
      </c>
      <c r="B22" s="74" t="s">
        <v>35</v>
      </c>
      <c r="C22" s="74" t="s">
        <v>36</v>
      </c>
      <c r="D22" s="74" t="s">
        <v>34</v>
      </c>
      <c r="E22" s="74" t="s">
        <v>25</v>
      </c>
      <c r="F22" s="74" t="s">
        <v>56</v>
      </c>
      <c r="G22" s="74" t="s">
        <v>25</v>
      </c>
      <c r="H22" s="74" t="s">
        <v>25</v>
      </c>
      <c r="I22" s="80">
        <v>44652</v>
      </c>
      <c r="J22" s="81">
        <f>EFEITO!$J$22*EFEITO!$Y$22</f>
        <v>0</v>
      </c>
      <c r="K22" s="81">
        <f ca="1">EFEITO!$L$22*EFEITO!$Z$22</f>
        <v>111423.51503848593</v>
      </c>
      <c r="L22" s="81">
        <f>EFEITO!$N$22*EFEITO!$AA$22</f>
        <v>0</v>
      </c>
      <c r="M22" s="81">
        <f>$J$22-EFEITO!$K$22*EFEITO!$Y$22</f>
        <v>0</v>
      </c>
      <c r="N22" s="81">
        <f ca="1">$K$22-EFEITO!$M$22*EFEITO!$Z$22</f>
        <v>0</v>
      </c>
      <c r="O22" s="81">
        <f>$L$22-EFEITO!$O$22*EFEITO!$AA$22</f>
        <v>0</v>
      </c>
      <c r="P22" s="18"/>
      <c r="Q22" s="18"/>
      <c r="R22" s="18"/>
      <c r="S22" s="18"/>
      <c r="T22" s="18"/>
      <c r="U22" s="18"/>
      <c r="V22" s="18"/>
      <c r="W22" s="18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</row>
    <row r="23" spans="1:36" ht="11.25" customHeight="1" x14ac:dyDescent="0.2">
      <c r="A23" s="74" t="s">
        <v>21</v>
      </c>
      <c r="B23" s="74" t="s">
        <v>35</v>
      </c>
      <c r="C23" s="74" t="s">
        <v>36</v>
      </c>
      <c r="D23" s="74" t="s">
        <v>34</v>
      </c>
      <c r="E23" s="74" t="s">
        <v>25</v>
      </c>
      <c r="F23" s="74" t="s">
        <v>56</v>
      </c>
      <c r="G23" s="74" t="s">
        <v>25</v>
      </c>
      <c r="H23" s="74" t="s">
        <v>25</v>
      </c>
      <c r="I23" s="80">
        <v>44682</v>
      </c>
      <c r="J23" s="81">
        <f>EFEITO!$J$23*EFEITO!$Y$23</f>
        <v>0</v>
      </c>
      <c r="K23" s="81">
        <f ca="1">EFEITO!$L$23*EFEITO!$Z$23</f>
        <v>126079.04015605738</v>
      </c>
      <c r="L23" s="81">
        <f>EFEITO!$N$23*EFEITO!$AA$23</f>
        <v>0</v>
      </c>
      <c r="M23" s="81">
        <f>$J$23-EFEITO!$K$23*EFEITO!$Y$23</f>
        <v>0</v>
      </c>
      <c r="N23" s="81">
        <f ca="1">$K$23-EFEITO!$M$23*EFEITO!$Z$23</f>
        <v>0</v>
      </c>
      <c r="O23" s="81">
        <f>$L$23-EFEITO!$O$23*EFEITO!$AA$23</f>
        <v>0</v>
      </c>
      <c r="P23" s="18"/>
      <c r="Q23" s="18"/>
      <c r="R23" s="18"/>
      <c r="S23" s="18"/>
      <c r="T23" s="18"/>
      <c r="U23" s="18"/>
      <c r="V23" s="18"/>
      <c r="W23" s="18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</row>
    <row r="24" spans="1:36" ht="11.25" customHeight="1" x14ac:dyDescent="0.2">
      <c r="A24" s="74" t="s">
        <v>21</v>
      </c>
      <c r="B24" s="74" t="s">
        <v>35</v>
      </c>
      <c r="C24" s="74" t="s">
        <v>36</v>
      </c>
      <c r="D24" s="74" t="s">
        <v>34</v>
      </c>
      <c r="E24" s="74" t="s">
        <v>25</v>
      </c>
      <c r="F24" s="74" t="s">
        <v>56</v>
      </c>
      <c r="G24" s="74" t="s">
        <v>25</v>
      </c>
      <c r="H24" s="74" t="s">
        <v>25</v>
      </c>
      <c r="I24" s="80">
        <v>44713</v>
      </c>
      <c r="J24" s="81">
        <f>EFEITO!$J$24*EFEITO!$Y$24</f>
        <v>0</v>
      </c>
      <c r="K24" s="81">
        <f ca="1">EFEITO!$L$24*EFEITO!$Z$24</f>
        <v>98792.704400357718</v>
      </c>
      <c r="L24" s="81">
        <f>EFEITO!$N$24*EFEITO!$AA$24</f>
        <v>0</v>
      </c>
      <c r="M24" s="81">
        <f>$J$24-EFEITO!$K$24*EFEITO!$Y$24</f>
        <v>0</v>
      </c>
      <c r="N24" s="81">
        <f ca="1">$K$24-EFEITO!$M$24*EFEITO!$Z$24</f>
        <v>0</v>
      </c>
      <c r="O24" s="81">
        <f>$L$24-EFEITO!$O$24*EFEITO!$AA$24</f>
        <v>0</v>
      </c>
      <c r="P24" s="18"/>
      <c r="Q24" s="18"/>
      <c r="R24" s="18"/>
      <c r="S24" s="18"/>
      <c r="T24" s="18"/>
      <c r="U24" s="18"/>
      <c r="V24" s="18"/>
      <c r="W24" s="18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</row>
    <row r="25" spans="1:36" ht="11.25" customHeight="1" x14ac:dyDescent="0.2">
      <c r="A25" s="74" t="s">
        <v>55</v>
      </c>
      <c r="B25" s="74" t="s">
        <v>35</v>
      </c>
      <c r="C25" s="74" t="s">
        <v>36</v>
      </c>
      <c r="D25" s="74" t="s">
        <v>34</v>
      </c>
      <c r="E25" s="74" t="s">
        <v>25</v>
      </c>
      <c r="F25" s="74" t="s">
        <v>56</v>
      </c>
      <c r="G25" s="74" t="s">
        <v>25</v>
      </c>
      <c r="H25" s="74" t="s">
        <v>25</v>
      </c>
      <c r="I25" s="80">
        <v>44743</v>
      </c>
      <c r="J25" s="81">
        <f>EFEITO!$J$25*EFEITO!$Y$25</f>
        <v>0</v>
      </c>
      <c r="K25" s="81">
        <f ca="1">EFEITO!$L$25*EFEITO!$Z$25</f>
        <v>98792.704400357718</v>
      </c>
      <c r="L25" s="81">
        <f>EFEITO!$N$25*EFEITO!$AA$25</f>
        <v>0</v>
      </c>
      <c r="M25" s="81">
        <f>$J$25-EFEITO!$K$25*EFEITO!$Y$25</f>
        <v>0</v>
      </c>
      <c r="N25" s="81">
        <f ca="1">$K$25-EFEITO!$M$25*EFEITO!$Z$25</f>
        <v>0</v>
      </c>
      <c r="O25" s="81">
        <f>$L$25-EFEITO!$O$25*EFEITO!$AA$25</f>
        <v>0</v>
      </c>
      <c r="P25" s="18"/>
      <c r="Q25" s="18"/>
      <c r="R25" s="18"/>
      <c r="S25" s="18"/>
      <c r="T25" s="18"/>
      <c r="U25" s="18"/>
      <c r="V25" s="18"/>
      <c r="W25" s="18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</row>
    <row r="26" spans="1:36" ht="11.25" customHeight="1" x14ac:dyDescent="0.2">
      <c r="A26" s="74" t="s">
        <v>21</v>
      </c>
      <c r="B26" s="74" t="s">
        <v>35</v>
      </c>
      <c r="C26" s="74" t="s">
        <v>36</v>
      </c>
      <c r="D26" s="74" t="s">
        <v>34</v>
      </c>
      <c r="E26" s="74" t="s">
        <v>25</v>
      </c>
      <c r="F26" s="74" t="s">
        <v>56</v>
      </c>
      <c r="G26" s="74" t="s">
        <v>25</v>
      </c>
      <c r="H26" s="74" t="s">
        <v>37</v>
      </c>
      <c r="I26" s="80">
        <v>44409</v>
      </c>
      <c r="J26" s="81">
        <f ca="1">EFEITO!$J$26*EFEITO!$Y$26</f>
        <v>6834.1342924341934</v>
      </c>
      <c r="K26" s="81">
        <f ca="1">EFEITO!$L$26*EFEITO!$Z$26</f>
        <v>0</v>
      </c>
      <c r="L26" s="81">
        <f>EFEITO!$N$26*EFEITO!$AA$26</f>
        <v>0</v>
      </c>
      <c r="M26" s="81">
        <f ca="1">$J$26-EFEITO!$K$26*EFEITO!$Y$26</f>
        <v>3417.0671462170967</v>
      </c>
      <c r="N26" s="81">
        <f ca="1">$K$26-EFEITO!$M$26*EFEITO!$Z$26</f>
        <v>0</v>
      </c>
      <c r="O26" s="81">
        <f>$L$26-EFEITO!$O$26*EFEITO!$AA$26</f>
        <v>0</v>
      </c>
      <c r="P26" s="18"/>
      <c r="Q26" s="18"/>
      <c r="R26" s="18"/>
      <c r="S26" s="18"/>
      <c r="T26" s="18"/>
      <c r="U26" s="18"/>
      <c r="V26" s="18"/>
      <c r="W26" s="18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</row>
    <row r="27" spans="1:36" ht="11.25" customHeight="1" x14ac:dyDescent="0.2">
      <c r="A27" s="74" t="s">
        <v>21</v>
      </c>
      <c r="B27" s="74" t="s">
        <v>35</v>
      </c>
      <c r="C27" s="74" t="s">
        <v>36</v>
      </c>
      <c r="D27" s="74" t="s">
        <v>34</v>
      </c>
      <c r="E27" s="74" t="s">
        <v>25</v>
      </c>
      <c r="F27" s="74" t="s">
        <v>56</v>
      </c>
      <c r="G27" s="74" t="s">
        <v>25</v>
      </c>
      <c r="H27" s="74" t="s">
        <v>37</v>
      </c>
      <c r="I27" s="80">
        <v>44440</v>
      </c>
      <c r="J27" s="81">
        <f ca="1">EFEITO!$J$27*EFEITO!$Y$27</f>
        <v>6947.0951898297999</v>
      </c>
      <c r="K27" s="81">
        <f ca="1">EFEITO!$L$27*EFEITO!$Z$27</f>
        <v>0</v>
      </c>
      <c r="L27" s="81">
        <f>EFEITO!$N$27*EFEITO!$AA$27</f>
        <v>0</v>
      </c>
      <c r="M27" s="81">
        <f ca="1">$J$27-EFEITO!$K$27*EFEITO!$Y$27</f>
        <v>3473.5475949148999</v>
      </c>
      <c r="N27" s="81">
        <f ca="1">$K$27-EFEITO!$M$27*EFEITO!$Z$27</f>
        <v>0</v>
      </c>
      <c r="O27" s="81">
        <f>$L$27-EFEITO!$O$27*EFEITO!$AA$27</f>
        <v>0</v>
      </c>
      <c r="P27" s="18"/>
      <c r="Q27" s="18"/>
      <c r="R27" s="18"/>
      <c r="S27" s="18"/>
      <c r="T27" s="18"/>
      <c r="U27" s="18"/>
      <c r="V27" s="18"/>
      <c r="W27" s="18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</row>
    <row r="28" spans="1:36" ht="11.25" customHeight="1" x14ac:dyDescent="0.2">
      <c r="A28" s="74" t="s">
        <v>21</v>
      </c>
      <c r="B28" s="74" t="s">
        <v>35</v>
      </c>
      <c r="C28" s="74" t="s">
        <v>36</v>
      </c>
      <c r="D28" s="74" t="s">
        <v>34</v>
      </c>
      <c r="E28" s="74" t="s">
        <v>25</v>
      </c>
      <c r="F28" s="74" t="s">
        <v>56</v>
      </c>
      <c r="G28" s="74" t="s">
        <v>25</v>
      </c>
      <c r="H28" s="74" t="s">
        <v>37</v>
      </c>
      <c r="I28" s="80">
        <v>44470</v>
      </c>
      <c r="J28" s="81">
        <f ca="1">EFEITO!$J$28*EFEITO!$Y$28</f>
        <v>6212.8493567583582</v>
      </c>
      <c r="K28" s="81">
        <f ca="1">EFEITO!$L$28*EFEITO!$Z$28</f>
        <v>0</v>
      </c>
      <c r="L28" s="81">
        <f>EFEITO!$N$28*EFEITO!$AA$28</f>
        <v>0</v>
      </c>
      <c r="M28" s="81">
        <f ca="1">$J$28-EFEITO!$K$28*EFEITO!$Y$28</f>
        <v>3106.4246783791791</v>
      </c>
      <c r="N28" s="81">
        <f ca="1">$K$28-EFEITO!$M$28*EFEITO!$Z$28</f>
        <v>0</v>
      </c>
      <c r="O28" s="81">
        <f>$L$28-EFEITO!$O$28*EFEITO!$AA$28</f>
        <v>0</v>
      </c>
      <c r="P28" s="18"/>
      <c r="Q28" s="18"/>
      <c r="R28" s="18"/>
      <c r="S28" s="18"/>
      <c r="T28" s="18"/>
      <c r="U28" s="18"/>
      <c r="V28" s="18"/>
      <c r="W28" s="18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</row>
    <row r="29" spans="1:36" ht="11.25" customHeight="1" x14ac:dyDescent="0.2">
      <c r="A29" s="74" t="s">
        <v>21</v>
      </c>
      <c r="B29" s="74" t="s">
        <v>35</v>
      </c>
      <c r="C29" s="74" t="s">
        <v>36</v>
      </c>
      <c r="D29" s="74" t="s">
        <v>34</v>
      </c>
      <c r="E29" s="74" t="s">
        <v>25</v>
      </c>
      <c r="F29" s="74" t="s">
        <v>56</v>
      </c>
      <c r="G29" s="74" t="s">
        <v>25</v>
      </c>
      <c r="H29" s="74" t="s">
        <v>37</v>
      </c>
      <c r="I29" s="80">
        <v>44501</v>
      </c>
      <c r="J29" s="81">
        <f ca="1">EFEITO!$J$29*EFEITO!$Y$29</f>
        <v>6212.8493567583582</v>
      </c>
      <c r="K29" s="81">
        <f ca="1">EFEITO!$L$29*EFEITO!$Z$29</f>
        <v>0</v>
      </c>
      <c r="L29" s="81">
        <f>EFEITO!$N$29*EFEITO!$AA$29</f>
        <v>0</v>
      </c>
      <c r="M29" s="81">
        <f ca="1">$J$29-EFEITO!$K$29*EFEITO!$Y$29</f>
        <v>3106.4246783791791</v>
      </c>
      <c r="N29" s="81">
        <f ca="1">$K$29-EFEITO!$M$29*EFEITO!$Z$29</f>
        <v>0</v>
      </c>
      <c r="O29" s="81">
        <f>$L$29-EFEITO!$O$29*EFEITO!$AA$29</f>
        <v>0</v>
      </c>
      <c r="P29" s="18"/>
      <c r="Q29" s="18"/>
      <c r="R29" s="18"/>
      <c r="S29" s="18"/>
      <c r="T29" s="18"/>
      <c r="U29" s="18"/>
      <c r="V29" s="18"/>
      <c r="W29" s="18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</row>
    <row r="30" spans="1:36" ht="11.25" customHeight="1" x14ac:dyDescent="0.2">
      <c r="A30" s="74" t="s">
        <v>21</v>
      </c>
      <c r="B30" s="74" t="s">
        <v>35</v>
      </c>
      <c r="C30" s="74" t="s">
        <v>36</v>
      </c>
      <c r="D30" s="74" t="s">
        <v>34</v>
      </c>
      <c r="E30" s="74" t="s">
        <v>25</v>
      </c>
      <c r="F30" s="74" t="s">
        <v>56</v>
      </c>
      <c r="G30" s="74" t="s">
        <v>25</v>
      </c>
      <c r="H30" s="74" t="s">
        <v>37</v>
      </c>
      <c r="I30" s="80">
        <v>44531</v>
      </c>
      <c r="J30" s="81">
        <f ca="1">EFEITO!$J$30*EFEITO!$Y$30</f>
        <v>6212.8493567583582</v>
      </c>
      <c r="K30" s="81">
        <f ca="1">EFEITO!$L$30*EFEITO!$Z$30</f>
        <v>0</v>
      </c>
      <c r="L30" s="81">
        <f>EFEITO!$N$30*EFEITO!$AA$30</f>
        <v>0</v>
      </c>
      <c r="M30" s="81">
        <f ca="1">$J$30-EFEITO!$K$30*EFEITO!$Y$30</f>
        <v>3106.4246783791791</v>
      </c>
      <c r="N30" s="81">
        <f ca="1">$K$30-EFEITO!$M$30*EFEITO!$Z$30</f>
        <v>0</v>
      </c>
      <c r="O30" s="81">
        <f>$L$30-EFEITO!$O$30*EFEITO!$AA$30</f>
        <v>0</v>
      </c>
      <c r="P30" s="18"/>
      <c r="Q30" s="18"/>
      <c r="R30" s="18"/>
      <c r="S30" s="18"/>
      <c r="T30" s="18"/>
      <c r="U30" s="18"/>
      <c r="V30" s="18"/>
      <c r="W30" s="18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</row>
    <row r="31" spans="1:36" ht="11.25" customHeight="1" x14ac:dyDescent="0.2">
      <c r="A31" s="74" t="s">
        <v>21</v>
      </c>
      <c r="B31" s="74" t="s">
        <v>35</v>
      </c>
      <c r="C31" s="74" t="s">
        <v>36</v>
      </c>
      <c r="D31" s="74" t="s">
        <v>34</v>
      </c>
      <c r="E31" s="74" t="s">
        <v>25</v>
      </c>
      <c r="F31" s="74" t="s">
        <v>56</v>
      </c>
      <c r="G31" s="74" t="s">
        <v>25</v>
      </c>
      <c r="H31" s="74" t="s">
        <v>37</v>
      </c>
      <c r="I31" s="80">
        <v>44562</v>
      </c>
      <c r="J31" s="81">
        <f ca="1">EFEITO!$J$31*EFEITO!$Y$31</f>
        <v>6212.8493567583582</v>
      </c>
      <c r="K31" s="81">
        <f ca="1">EFEITO!$L$31*EFEITO!$Z$31</f>
        <v>0</v>
      </c>
      <c r="L31" s="81">
        <f>EFEITO!$N$31*EFEITO!$AA$31</f>
        <v>0</v>
      </c>
      <c r="M31" s="81">
        <f ca="1">$J$31-EFEITO!$K$31*EFEITO!$Y$31</f>
        <v>3106.4246783791791</v>
      </c>
      <c r="N31" s="81">
        <f ca="1">$K$31-EFEITO!$M$31*EFEITO!$Z$31</f>
        <v>0</v>
      </c>
      <c r="O31" s="81">
        <f>$L$31-EFEITO!$O$31*EFEITO!$AA$31</f>
        <v>0</v>
      </c>
      <c r="P31" s="18"/>
      <c r="Q31" s="18"/>
      <c r="R31" s="18"/>
      <c r="S31" s="18"/>
      <c r="T31" s="18"/>
      <c r="U31" s="18"/>
      <c r="V31" s="18"/>
      <c r="W31" s="18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</row>
    <row r="32" spans="1:36" ht="11.25" customHeight="1" x14ac:dyDescent="0.2">
      <c r="A32" s="74" t="s">
        <v>21</v>
      </c>
      <c r="B32" s="74" t="s">
        <v>35</v>
      </c>
      <c r="C32" s="74" t="s">
        <v>36</v>
      </c>
      <c r="D32" s="74" t="s">
        <v>34</v>
      </c>
      <c r="E32" s="74" t="s">
        <v>25</v>
      </c>
      <c r="F32" s="74" t="s">
        <v>56</v>
      </c>
      <c r="G32" s="74" t="s">
        <v>25</v>
      </c>
      <c r="H32" s="74" t="s">
        <v>37</v>
      </c>
      <c r="I32" s="80">
        <v>44593</v>
      </c>
      <c r="J32" s="81">
        <f ca="1">EFEITO!$J$32*EFEITO!$Y$32</f>
        <v>6212.8493567583582</v>
      </c>
      <c r="K32" s="81">
        <f ca="1">EFEITO!$L$32*EFEITO!$Z$32</f>
        <v>0</v>
      </c>
      <c r="L32" s="81">
        <f>EFEITO!$N$32*EFEITO!$AA$32</f>
        <v>0</v>
      </c>
      <c r="M32" s="81">
        <f ca="1">$J$32-EFEITO!$K$32*EFEITO!$Y$32</f>
        <v>3106.4246783791791</v>
      </c>
      <c r="N32" s="81">
        <f ca="1">$K$32-EFEITO!$M$32*EFEITO!$Z$32</f>
        <v>0</v>
      </c>
      <c r="O32" s="81">
        <f>$L$32-EFEITO!$O$32*EFEITO!$AA$32</f>
        <v>0</v>
      </c>
      <c r="P32" s="18"/>
      <c r="Q32" s="18"/>
      <c r="R32" s="18"/>
      <c r="S32" s="18"/>
      <c r="T32" s="18"/>
      <c r="U32" s="18"/>
      <c r="V32" s="18"/>
      <c r="W32" s="18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</row>
    <row r="33" spans="1:36" ht="11.25" customHeight="1" x14ac:dyDescent="0.2">
      <c r="A33" s="74" t="s">
        <v>21</v>
      </c>
      <c r="B33" s="74" t="s">
        <v>35</v>
      </c>
      <c r="C33" s="74" t="s">
        <v>36</v>
      </c>
      <c r="D33" s="74" t="s">
        <v>34</v>
      </c>
      <c r="E33" s="74" t="s">
        <v>25</v>
      </c>
      <c r="F33" s="74" t="s">
        <v>56</v>
      </c>
      <c r="G33" s="74" t="s">
        <v>25</v>
      </c>
      <c r="H33" s="74" t="s">
        <v>37</v>
      </c>
      <c r="I33" s="80">
        <v>44621</v>
      </c>
      <c r="J33" s="81">
        <f ca="1">EFEITO!$J$33*EFEITO!$Y$33</f>
        <v>6212.8493567583582</v>
      </c>
      <c r="K33" s="81">
        <f ca="1">EFEITO!$L$33*EFEITO!$Z$33</f>
        <v>0</v>
      </c>
      <c r="L33" s="81">
        <f>EFEITO!$N$33*EFEITO!$AA$33</f>
        <v>0</v>
      </c>
      <c r="M33" s="81">
        <f ca="1">$J$33-EFEITO!$K$33*EFEITO!$Y$33</f>
        <v>3106.4246783791791</v>
      </c>
      <c r="N33" s="81">
        <f ca="1">$K$33-EFEITO!$M$33*EFEITO!$Z$33</f>
        <v>0</v>
      </c>
      <c r="O33" s="81">
        <f>$L$33-EFEITO!$O$33*EFEITO!$AA$33</f>
        <v>0</v>
      </c>
      <c r="P33" s="18"/>
      <c r="Q33" s="18"/>
      <c r="R33" s="18"/>
      <c r="S33" s="18"/>
      <c r="T33" s="18"/>
      <c r="U33" s="18"/>
      <c r="V33" s="18"/>
      <c r="W33" s="18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</row>
    <row r="34" spans="1:36" ht="11.25" customHeight="1" x14ac:dyDescent="0.2">
      <c r="A34" s="74" t="s">
        <v>21</v>
      </c>
      <c r="B34" s="74" t="s">
        <v>35</v>
      </c>
      <c r="C34" s="74" t="s">
        <v>36</v>
      </c>
      <c r="D34" s="74" t="s">
        <v>34</v>
      </c>
      <c r="E34" s="74" t="s">
        <v>25</v>
      </c>
      <c r="F34" s="74" t="s">
        <v>56</v>
      </c>
      <c r="G34" s="74" t="s">
        <v>25</v>
      </c>
      <c r="H34" s="74" t="s">
        <v>37</v>
      </c>
      <c r="I34" s="80">
        <v>44652</v>
      </c>
      <c r="J34" s="81">
        <f ca="1">EFEITO!$J$34*EFEITO!$Y$34</f>
        <v>6212.8493567583582</v>
      </c>
      <c r="K34" s="81">
        <f ca="1">EFEITO!$L$34*EFEITO!$Z$34</f>
        <v>0</v>
      </c>
      <c r="L34" s="81">
        <f>EFEITO!$N$34*EFEITO!$AA$34</f>
        <v>0</v>
      </c>
      <c r="M34" s="81">
        <f ca="1">$J$34-EFEITO!$K$34*EFEITO!$Y$34</f>
        <v>3106.4246783791791</v>
      </c>
      <c r="N34" s="81">
        <f ca="1">$K$34-EFEITO!$M$34*EFEITO!$Z$34</f>
        <v>0</v>
      </c>
      <c r="O34" s="81">
        <f>$L$34-EFEITO!$O$34*EFEITO!$AA$34</f>
        <v>0</v>
      </c>
      <c r="P34" s="18"/>
      <c r="Q34" s="18"/>
      <c r="R34" s="18"/>
      <c r="S34" s="18"/>
      <c r="T34" s="18"/>
      <c r="U34" s="18"/>
      <c r="V34" s="18"/>
      <c r="W34" s="18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</row>
    <row r="35" spans="1:36" ht="11.25" customHeight="1" x14ac:dyDescent="0.2">
      <c r="A35" s="74" t="s">
        <v>21</v>
      </c>
      <c r="B35" s="74" t="s">
        <v>35</v>
      </c>
      <c r="C35" s="74" t="s">
        <v>36</v>
      </c>
      <c r="D35" s="74" t="s">
        <v>34</v>
      </c>
      <c r="E35" s="74" t="s">
        <v>25</v>
      </c>
      <c r="F35" s="74" t="s">
        <v>56</v>
      </c>
      <c r="G35" s="74" t="s">
        <v>25</v>
      </c>
      <c r="H35" s="74" t="s">
        <v>37</v>
      </c>
      <c r="I35" s="80">
        <v>44682</v>
      </c>
      <c r="J35" s="81">
        <f ca="1">EFEITO!$J$35*EFEITO!$Y$35</f>
        <v>6212.8493567583582</v>
      </c>
      <c r="K35" s="81">
        <f ca="1">EFEITO!$L$35*EFEITO!$Z$35</f>
        <v>0</v>
      </c>
      <c r="L35" s="81">
        <f>EFEITO!$N$35*EFEITO!$AA$35</f>
        <v>0</v>
      </c>
      <c r="M35" s="81">
        <f ca="1">$J$35-EFEITO!$K$35*EFEITO!$Y$35</f>
        <v>3106.4246783791791</v>
      </c>
      <c r="N35" s="81">
        <f ca="1">$K$35-EFEITO!$M$35*EFEITO!$Z$35</f>
        <v>0</v>
      </c>
      <c r="O35" s="81">
        <f>$L$35-EFEITO!$O$35*EFEITO!$AA$35</f>
        <v>0</v>
      </c>
      <c r="P35" s="18"/>
      <c r="Q35" s="18"/>
      <c r="R35" s="18"/>
      <c r="S35" s="18"/>
      <c r="T35" s="18"/>
      <c r="U35" s="18"/>
      <c r="V35" s="18"/>
      <c r="W35" s="18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</row>
    <row r="36" spans="1:36" ht="11.25" customHeight="1" x14ac:dyDescent="0.2">
      <c r="A36" s="74" t="s">
        <v>21</v>
      </c>
      <c r="B36" s="74" t="s">
        <v>35</v>
      </c>
      <c r="C36" s="74" t="s">
        <v>36</v>
      </c>
      <c r="D36" s="74" t="s">
        <v>34</v>
      </c>
      <c r="E36" s="74" t="s">
        <v>25</v>
      </c>
      <c r="F36" s="74" t="s">
        <v>56</v>
      </c>
      <c r="G36" s="74" t="s">
        <v>25</v>
      </c>
      <c r="H36" s="74" t="s">
        <v>37</v>
      </c>
      <c r="I36" s="80">
        <v>44713</v>
      </c>
      <c r="J36" s="81">
        <f ca="1">EFEITO!$J$36*EFEITO!$Y$36</f>
        <v>6212.8493567583582</v>
      </c>
      <c r="K36" s="81">
        <f ca="1">EFEITO!$L$36*EFEITO!$Z$36</f>
        <v>0</v>
      </c>
      <c r="L36" s="81">
        <f>EFEITO!$N$36*EFEITO!$AA$36</f>
        <v>0</v>
      </c>
      <c r="M36" s="81">
        <f ca="1">$J$36-EFEITO!$K$36*EFEITO!$Y$36</f>
        <v>3106.4246783791791</v>
      </c>
      <c r="N36" s="81">
        <f ca="1">$K$36-EFEITO!$M$36*EFEITO!$Z$36</f>
        <v>0</v>
      </c>
      <c r="O36" s="81">
        <f>$L$36-EFEITO!$O$36*EFEITO!$AA$36</f>
        <v>0</v>
      </c>
      <c r="P36" s="18"/>
      <c r="Q36" s="18"/>
      <c r="R36" s="18"/>
      <c r="S36" s="18"/>
      <c r="T36" s="18"/>
      <c r="U36" s="18"/>
      <c r="V36" s="18"/>
      <c r="W36" s="18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</row>
    <row r="37" spans="1:36" ht="11.25" customHeight="1" x14ac:dyDescent="0.2">
      <c r="A37" s="74" t="s">
        <v>55</v>
      </c>
      <c r="B37" s="74" t="s">
        <v>35</v>
      </c>
      <c r="C37" s="74" t="s">
        <v>36</v>
      </c>
      <c r="D37" s="74" t="s">
        <v>34</v>
      </c>
      <c r="E37" s="74" t="s">
        <v>25</v>
      </c>
      <c r="F37" s="74" t="s">
        <v>56</v>
      </c>
      <c r="G37" s="74" t="s">
        <v>25</v>
      </c>
      <c r="H37" s="74" t="s">
        <v>37</v>
      </c>
      <c r="I37" s="80">
        <v>44743</v>
      </c>
      <c r="J37" s="81">
        <f ca="1">EFEITO!$J$37*EFEITO!$Y$37</f>
        <v>6212.8493567583582</v>
      </c>
      <c r="K37" s="81">
        <f ca="1">EFEITO!$L$37*EFEITO!$Z$37</f>
        <v>0</v>
      </c>
      <c r="L37" s="81">
        <f>EFEITO!$N$37*EFEITO!$AA$37</f>
        <v>0</v>
      </c>
      <c r="M37" s="81">
        <f ca="1">$J$37-EFEITO!$K$37*EFEITO!$Y$37</f>
        <v>3106.4246783791791</v>
      </c>
      <c r="N37" s="81">
        <f ca="1">$K$37-EFEITO!$M$37*EFEITO!$Z$37</f>
        <v>0</v>
      </c>
      <c r="O37" s="81">
        <f>$L$37-EFEITO!$O$37*EFEITO!$AA$37</f>
        <v>0</v>
      </c>
      <c r="P37" s="18"/>
      <c r="Q37" s="18"/>
      <c r="R37" s="18"/>
      <c r="S37" s="18"/>
      <c r="T37" s="18"/>
      <c r="U37" s="18"/>
      <c r="V37" s="18"/>
      <c r="W37" s="18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</row>
    <row r="38" spans="1:36" ht="11.25" customHeight="1" x14ac:dyDescent="0.2">
      <c r="A38" s="74" t="s">
        <v>21</v>
      </c>
      <c r="B38" s="74" t="s">
        <v>35</v>
      </c>
      <c r="C38" s="74" t="s">
        <v>36</v>
      </c>
      <c r="D38" s="74" t="s">
        <v>34</v>
      </c>
      <c r="E38" s="74" t="s">
        <v>25</v>
      </c>
      <c r="F38" s="74" t="s">
        <v>25</v>
      </c>
      <c r="G38" s="74" t="s">
        <v>25</v>
      </c>
      <c r="H38" s="74" t="s">
        <v>38</v>
      </c>
      <c r="I38" s="80">
        <v>44409</v>
      </c>
      <c r="J38" s="81">
        <f ca="1">EFEITO!$J$38*EFEITO!$Y$38</f>
        <v>4172.8765226587893</v>
      </c>
      <c r="K38" s="81">
        <f ca="1">EFEITO!$L$38*EFEITO!$Z$38</f>
        <v>8185.9360764360108</v>
      </c>
      <c r="L38" s="81">
        <f>EFEITO!$N$38*EFEITO!$AA$38</f>
        <v>15491.964606587546</v>
      </c>
      <c r="M38" s="81">
        <f ca="1">$J$38-EFEITO!$K$38*EFEITO!$Y$38</f>
        <v>0</v>
      </c>
      <c r="N38" s="81">
        <f ca="1">$K$38-EFEITO!$M$38*EFEITO!$Z$38</f>
        <v>0</v>
      </c>
      <c r="O38" s="81">
        <f>$L$38-EFEITO!$O$38*EFEITO!$AA$38</f>
        <v>0</v>
      </c>
      <c r="P38" s="18"/>
      <c r="Q38" s="18"/>
      <c r="R38" s="18"/>
      <c r="S38" s="18"/>
      <c r="T38" s="18"/>
      <c r="U38" s="18"/>
      <c r="V38" s="18"/>
      <c r="W38" s="18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</row>
    <row r="39" spans="1:36" ht="11.25" customHeight="1" x14ac:dyDescent="0.2">
      <c r="A39" s="74" t="s">
        <v>21</v>
      </c>
      <c r="B39" s="74" t="s">
        <v>35</v>
      </c>
      <c r="C39" s="74" t="s">
        <v>36</v>
      </c>
      <c r="D39" s="74" t="s">
        <v>34</v>
      </c>
      <c r="E39" s="74" t="s">
        <v>25</v>
      </c>
      <c r="F39" s="74" t="s">
        <v>25</v>
      </c>
      <c r="G39" s="74" t="s">
        <v>25</v>
      </c>
      <c r="H39" s="74" t="s">
        <v>38</v>
      </c>
      <c r="I39" s="80">
        <v>44440</v>
      </c>
      <c r="J39" s="81">
        <f ca="1">EFEITO!$J$39*EFEITO!$Y$39</f>
        <v>4042.4741313257027</v>
      </c>
      <c r="K39" s="81">
        <f ca="1">EFEITO!$L$39*EFEITO!$Z$39</f>
        <v>7703.7658122282674</v>
      </c>
      <c r="L39" s="81">
        <f>EFEITO!$N$39*EFEITO!$AA$39</f>
        <v>14579.452635115187</v>
      </c>
      <c r="M39" s="81">
        <f ca="1">$J$39-EFEITO!$K$39*EFEITO!$Y$39</f>
        <v>0</v>
      </c>
      <c r="N39" s="81">
        <f ca="1">$K$39-EFEITO!$M$39*EFEITO!$Z$39</f>
        <v>0</v>
      </c>
      <c r="O39" s="81">
        <f>$L$39-EFEITO!$O$39*EFEITO!$AA$39</f>
        <v>0</v>
      </c>
      <c r="P39" s="18"/>
      <c r="Q39" s="18"/>
      <c r="R39" s="18"/>
      <c r="S39" s="18"/>
      <c r="T39" s="18"/>
      <c r="U39" s="18"/>
      <c r="V39" s="18"/>
      <c r="W39" s="18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</row>
    <row r="40" spans="1:36" ht="11.25" customHeight="1" x14ac:dyDescent="0.2">
      <c r="A40" s="74" t="s">
        <v>21</v>
      </c>
      <c r="B40" s="74" t="s">
        <v>35</v>
      </c>
      <c r="C40" s="74" t="s">
        <v>36</v>
      </c>
      <c r="D40" s="74" t="s">
        <v>34</v>
      </c>
      <c r="E40" s="74" t="s">
        <v>25</v>
      </c>
      <c r="F40" s="74" t="s">
        <v>25</v>
      </c>
      <c r="G40" s="74" t="s">
        <v>25</v>
      </c>
      <c r="H40" s="74" t="s">
        <v>38</v>
      </c>
      <c r="I40" s="80">
        <v>44470</v>
      </c>
      <c r="J40" s="81">
        <f ca="1">EFEITO!$J$40*EFEITO!$Y$40</f>
        <v>4151.1427907699417</v>
      </c>
      <c r="K40" s="81">
        <f ca="1">EFEITO!$L$40*EFEITO!$Z$40</f>
        <v>8229.416239557384</v>
      </c>
      <c r="L40" s="81">
        <f>EFEITO!$N$40*EFEITO!$AA$40</f>
        <v>15574.251243311226</v>
      </c>
      <c r="M40" s="81">
        <f ca="1">$J$40-EFEITO!$K$40*EFEITO!$Y$40</f>
        <v>0</v>
      </c>
      <c r="N40" s="81">
        <f ca="1">$K$40-EFEITO!$M$40*EFEITO!$Z$40</f>
        <v>0</v>
      </c>
      <c r="O40" s="81">
        <f>$L$40-EFEITO!$O$40*EFEITO!$AA$40</f>
        <v>0</v>
      </c>
      <c r="P40" s="18"/>
      <c r="Q40" s="18"/>
      <c r="R40" s="18"/>
      <c r="S40" s="18"/>
      <c r="T40" s="18"/>
      <c r="U40" s="18"/>
      <c r="V40" s="18"/>
      <c r="W40" s="18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</row>
    <row r="41" spans="1:36" ht="11.25" customHeight="1" x14ac:dyDescent="0.2">
      <c r="A41" s="74" t="s">
        <v>21</v>
      </c>
      <c r="B41" s="74" t="s">
        <v>35</v>
      </c>
      <c r="C41" s="74" t="s">
        <v>36</v>
      </c>
      <c r="D41" s="74" t="s">
        <v>34</v>
      </c>
      <c r="E41" s="74" t="s">
        <v>25</v>
      </c>
      <c r="F41" s="74" t="s">
        <v>25</v>
      </c>
      <c r="G41" s="74" t="s">
        <v>25</v>
      </c>
      <c r="H41" s="74" t="s">
        <v>38</v>
      </c>
      <c r="I41" s="80">
        <v>44501</v>
      </c>
      <c r="J41" s="81">
        <f ca="1">EFEITO!$J$41*EFEITO!$Y$41</f>
        <v>4042.4741313257027</v>
      </c>
      <c r="K41" s="81">
        <f ca="1">EFEITO!$L$41*EFEITO!$Z$41</f>
        <v>8109.8163328685132</v>
      </c>
      <c r="L41" s="81">
        <f>EFEITO!$N$41*EFEITO!$AA$41</f>
        <v>15347.907242567226</v>
      </c>
      <c r="M41" s="81">
        <f ca="1">$J$41-EFEITO!$K$41*EFEITO!$Y$41</f>
        <v>0</v>
      </c>
      <c r="N41" s="81">
        <f ca="1">$K$41-EFEITO!$M$41*EFEITO!$Z$41</f>
        <v>0</v>
      </c>
      <c r="O41" s="81">
        <f>$L$41-EFEITO!$O$41*EFEITO!$AA$41</f>
        <v>0</v>
      </c>
      <c r="P41" s="18"/>
      <c r="Q41" s="18"/>
      <c r="R41" s="18"/>
      <c r="S41" s="18"/>
      <c r="T41" s="18"/>
      <c r="U41" s="18"/>
      <c r="V41" s="18"/>
      <c r="W41" s="18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</row>
    <row r="42" spans="1:36" ht="11.25" customHeight="1" x14ac:dyDescent="0.2">
      <c r="A42" s="74" t="s">
        <v>21</v>
      </c>
      <c r="B42" s="74" t="s">
        <v>35</v>
      </c>
      <c r="C42" s="74" t="s">
        <v>36</v>
      </c>
      <c r="D42" s="74" t="s">
        <v>34</v>
      </c>
      <c r="E42" s="74" t="s">
        <v>25</v>
      </c>
      <c r="F42" s="74" t="s">
        <v>25</v>
      </c>
      <c r="G42" s="74" t="s">
        <v>25</v>
      </c>
      <c r="H42" s="74" t="s">
        <v>38</v>
      </c>
      <c r="I42" s="80">
        <v>44531</v>
      </c>
      <c r="J42" s="81">
        <f ca="1">EFEITO!$J$42*EFEITO!$Y$42</f>
        <v>4085.9415951033984</v>
      </c>
      <c r="K42" s="81">
        <f ca="1">EFEITO!$L$42*EFEITO!$Z$42</f>
        <v>6360.9475495421848</v>
      </c>
      <c r="L42" s="81">
        <f>EFEITO!$N$42*EFEITO!$AA$42</f>
        <v>12038.155854348079</v>
      </c>
      <c r="M42" s="81">
        <f ca="1">$J$42-EFEITO!$K$42*EFEITO!$Y$42</f>
        <v>0</v>
      </c>
      <c r="N42" s="81">
        <f ca="1">$K$42-EFEITO!$M$42*EFEITO!$Z$42</f>
        <v>0</v>
      </c>
      <c r="O42" s="81">
        <f>$L$42-EFEITO!$O$42*EFEITO!$AA$42</f>
        <v>0</v>
      </c>
      <c r="P42" s="18"/>
      <c r="Q42" s="18"/>
      <c r="R42" s="18"/>
      <c r="S42" s="18"/>
      <c r="T42" s="18"/>
      <c r="U42" s="18"/>
      <c r="V42" s="18"/>
      <c r="W42" s="18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</row>
    <row r="43" spans="1:36" ht="11.25" customHeight="1" x14ac:dyDescent="0.2">
      <c r="A43" s="74" t="s">
        <v>21</v>
      </c>
      <c r="B43" s="74" t="s">
        <v>35</v>
      </c>
      <c r="C43" s="74" t="s">
        <v>36</v>
      </c>
      <c r="D43" s="74" t="s">
        <v>34</v>
      </c>
      <c r="E43" s="74" t="s">
        <v>25</v>
      </c>
      <c r="F43" s="74" t="s">
        <v>25</v>
      </c>
      <c r="G43" s="74" t="s">
        <v>25</v>
      </c>
      <c r="H43" s="74" t="s">
        <v>38</v>
      </c>
      <c r="I43" s="80">
        <v>44562</v>
      </c>
      <c r="J43" s="81">
        <f ca="1">EFEITO!$J$43*EFEITO!$Y$43</f>
        <v>4194.6102545476379</v>
      </c>
      <c r="K43" s="81">
        <f ca="1">EFEITO!$L$43*EFEITO!$Z$43</f>
        <v>6222.9657852735472</v>
      </c>
      <c r="L43" s="81">
        <f>EFEITO!$N$43*EFEITO!$AA$43</f>
        <v>11777.024007184313</v>
      </c>
      <c r="M43" s="81">
        <f ca="1">$J$43-EFEITO!$K$43*EFEITO!$Y$43</f>
        <v>0</v>
      </c>
      <c r="N43" s="81">
        <f ca="1">$K$43-EFEITO!$M$43*EFEITO!$Z$43</f>
        <v>0</v>
      </c>
      <c r="O43" s="81">
        <f>$L$43-EFEITO!$O$43*EFEITO!$AA$43</f>
        <v>0</v>
      </c>
      <c r="P43" s="18"/>
      <c r="Q43" s="18"/>
      <c r="R43" s="18"/>
      <c r="S43" s="18"/>
      <c r="T43" s="18"/>
      <c r="U43" s="18"/>
      <c r="V43" s="18"/>
      <c r="W43" s="18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</row>
    <row r="44" spans="1:36" ht="11.25" customHeight="1" x14ac:dyDescent="0.2">
      <c r="A44" s="74" t="s">
        <v>21</v>
      </c>
      <c r="B44" s="74" t="s">
        <v>35</v>
      </c>
      <c r="C44" s="74" t="s">
        <v>36</v>
      </c>
      <c r="D44" s="74" t="s">
        <v>34</v>
      </c>
      <c r="E44" s="74" t="s">
        <v>25</v>
      </c>
      <c r="F44" s="74" t="s">
        <v>25</v>
      </c>
      <c r="G44" s="74" t="s">
        <v>25</v>
      </c>
      <c r="H44" s="74" t="s">
        <v>38</v>
      </c>
      <c r="I44" s="80">
        <v>44593</v>
      </c>
      <c r="J44" s="81">
        <f ca="1">EFEITO!$J$44*EFEITO!$Y$44</f>
        <v>4216.3439864364855</v>
      </c>
      <c r="K44" s="81">
        <f ca="1">EFEITO!$L$44*EFEITO!$Z$44</f>
        <v>7586.2868891062926</v>
      </c>
      <c r="L44" s="81">
        <f>EFEITO!$N$44*EFEITO!$AA$44</f>
        <v>14357.122616650391</v>
      </c>
      <c r="M44" s="81">
        <f ca="1">$J$44-EFEITO!$K$44*EFEITO!$Y$44</f>
        <v>0</v>
      </c>
      <c r="N44" s="81">
        <f ca="1">$K$44-EFEITO!$M$44*EFEITO!$Z$44</f>
        <v>0</v>
      </c>
      <c r="O44" s="81">
        <f>$L$44-EFEITO!$O$44*EFEITO!$AA$44</f>
        <v>0</v>
      </c>
      <c r="P44" s="18"/>
      <c r="Q44" s="18"/>
      <c r="R44" s="18"/>
      <c r="S44" s="18"/>
      <c r="T44" s="18"/>
      <c r="U44" s="18"/>
      <c r="V44" s="18"/>
      <c r="W44" s="18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</row>
    <row r="45" spans="1:36" ht="11.25" customHeight="1" x14ac:dyDescent="0.2">
      <c r="A45" s="74" t="s">
        <v>21</v>
      </c>
      <c r="B45" s="74" t="s">
        <v>35</v>
      </c>
      <c r="C45" s="74" t="s">
        <v>36</v>
      </c>
      <c r="D45" s="74" t="s">
        <v>34</v>
      </c>
      <c r="E45" s="74" t="s">
        <v>25</v>
      </c>
      <c r="F45" s="74" t="s">
        <v>25</v>
      </c>
      <c r="G45" s="74" t="s">
        <v>25</v>
      </c>
      <c r="H45" s="74" t="s">
        <v>38</v>
      </c>
      <c r="I45" s="80">
        <v>44621</v>
      </c>
      <c r="J45" s="81">
        <f ca="1">EFEITO!$J$45*EFEITO!$Y$45</f>
        <v>4325.0126458807244</v>
      </c>
      <c r="K45" s="81">
        <f ca="1">EFEITO!$L$45*EFEITO!$Z$45</f>
        <v>8713.23615765049</v>
      </c>
      <c r="L45" s="81">
        <f>EFEITO!$N$45*EFEITO!$AA$45</f>
        <v>16489.885201000743</v>
      </c>
      <c r="M45" s="81">
        <f ca="1">$J$45-EFEITO!$K$45*EFEITO!$Y$45</f>
        <v>0</v>
      </c>
      <c r="N45" s="81">
        <f ca="1">$K$45-EFEITO!$M$45*EFEITO!$Z$45</f>
        <v>0</v>
      </c>
      <c r="O45" s="81">
        <f>$L$45-EFEITO!$O$45*EFEITO!$AA$45</f>
        <v>0</v>
      </c>
      <c r="P45" s="18"/>
      <c r="Q45" s="18"/>
      <c r="R45" s="18"/>
      <c r="S45" s="18"/>
      <c r="T45" s="18"/>
      <c r="U45" s="18"/>
      <c r="V45" s="18"/>
      <c r="W45" s="18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</row>
    <row r="46" spans="1:36" ht="11.25" customHeight="1" x14ac:dyDescent="0.2">
      <c r="A46" s="74" t="s">
        <v>21</v>
      </c>
      <c r="B46" s="74" t="s">
        <v>35</v>
      </c>
      <c r="C46" s="74" t="s">
        <v>36</v>
      </c>
      <c r="D46" s="74" t="s">
        <v>34</v>
      </c>
      <c r="E46" s="74" t="s">
        <v>25</v>
      </c>
      <c r="F46" s="74" t="s">
        <v>25</v>
      </c>
      <c r="G46" s="74" t="s">
        <v>25</v>
      </c>
      <c r="H46" s="74" t="s">
        <v>38</v>
      </c>
      <c r="I46" s="80">
        <v>44652</v>
      </c>
      <c r="J46" s="81">
        <f ca="1">EFEITO!$J$46*EFEITO!$Y$46</f>
        <v>4238.0777183253331</v>
      </c>
      <c r="K46" s="81">
        <f ca="1">EFEITO!$L$46*EFEITO!$Z$46</f>
        <v>8400.3910815332965</v>
      </c>
      <c r="L46" s="81">
        <f>EFEITO!$N$46*EFEITO!$AA$46</f>
        <v>15897.822814818162</v>
      </c>
      <c r="M46" s="81">
        <f ca="1">$J$46-EFEITO!$K$46*EFEITO!$Y$46</f>
        <v>0</v>
      </c>
      <c r="N46" s="81">
        <f ca="1">$K$46-EFEITO!$M$46*EFEITO!$Z$46</f>
        <v>0</v>
      </c>
      <c r="O46" s="81">
        <f>$L$46-EFEITO!$O$46*EFEITO!$AA$46</f>
        <v>0</v>
      </c>
      <c r="P46" s="18"/>
      <c r="Q46" s="18"/>
      <c r="R46" s="18"/>
      <c r="S46" s="18"/>
      <c r="T46" s="18"/>
      <c r="U46" s="18"/>
      <c r="V46" s="18"/>
      <c r="W46" s="18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</row>
    <row r="47" spans="1:36" ht="11.25" customHeight="1" x14ac:dyDescent="0.2">
      <c r="A47" s="74" t="s">
        <v>21</v>
      </c>
      <c r="B47" s="74" t="s">
        <v>35</v>
      </c>
      <c r="C47" s="74" t="s">
        <v>36</v>
      </c>
      <c r="D47" s="74" t="s">
        <v>34</v>
      </c>
      <c r="E47" s="74" t="s">
        <v>25</v>
      </c>
      <c r="F47" s="74" t="s">
        <v>25</v>
      </c>
      <c r="G47" s="74" t="s">
        <v>25</v>
      </c>
      <c r="H47" s="74" t="s">
        <v>38</v>
      </c>
      <c r="I47" s="80">
        <v>44682</v>
      </c>
      <c r="J47" s="81">
        <f ca="1">EFEITO!$J$47*EFEITO!$Y$47</f>
        <v>4216.3439864364855</v>
      </c>
      <c r="K47" s="81">
        <f ca="1">EFEITO!$L$47*EFEITO!$Z$47</f>
        <v>8471.5618634447019</v>
      </c>
      <c r="L47" s="81">
        <f>EFEITO!$N$47*EFEITO!$AA$47</f>
        <v>16032.514220187006</v>
      </c>
      <c r="M47" s="81">
        <f ca="1">$J$47-EFEITO!$K$47*EFEITO!$Y$47</f>
        <v>0</v>
      </c>
      <c r="N47" s="81">
        <f ca="1">$K$47-EFEITO!$M$47*EFEITO!$Z$47</f>
        <v>0</v>
      </c>
      <c r="O47" s="81">
        <f>$L$47-EFEITO!$O$47*EFEITO!$AA$47</f>
        <v>0</v>
      </c>
      <c r="P47" s="18"/>
      <c r="Q47" s="18"/>
      <c r="R47" s="18"/>
      <c r="S47" s="18"/>
      <c r="T47" s="18"/>
      <c r="U47" s="18"/>
      <c r="V47" s="18"/>
      <c r="W47" s="18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</row>
    <row r="48" spans="1:36" ht="11.25" customHeight="1" x14ac:dyDescent="0.2">
      <c r="A48" s="74" t="s">
        <v>21</v>
      </c>
      <c r="B48" s="74" t="s">
        <v>35</v>
      </c>
      <c r="C48" s="74" t="s">
        <v>36</v>
      </c>
      <c r="D48" s="74" t="s">
        <v>34</v>
      </c>
      <c r="E48" s="74" t="s">
        <v>25</v>
      </c>
      <c r="F48" s="74" t="s">
        <v>25</v>
      </c>
      <c r="G48" s="74" t="s">
        <v>25</v>
      </c>
      <c r="H48" s="74" t="s">
        <v>38</v>
      </c>
      <c r="I48" s="80">
        <v>44713</v>
      </c>
      <c r="J48" s="81">
        <f ca="1">EFEITO!$J$48*EFEITO!$Y$48</f>
        <v>4194.6102545476379</v>
      </c>
      <c r="K48" s="81">
        <f ca="1">EFEITO!$L$48*EFEITO!$Z$48</f>
        <v>8552.3949038275259</v>
      </c>
      <c r="L48" s="81">
        <f>EFEITO!$N$48*EFEITO!$AA$48</f>
        <v>16185.491544827779</v>
      </c>
      <c r="M48" s="81">
        <f ca="1">$J$48-EFEITO!$K$48*EFEITO!$Y$48</f>
        <v>0</v>
      </c>
      <c r="N48" s="81">
        <f ca="1">$K$48-EFEITO!$M$48*EFEITO!$Z$48</f>
        <v>0</v>
      </c>
      <c r="O48" s="81">
        <f>$L$48-EFEITO!$O$48*EFEITO!$AA$48</f>
        <v>0</v>
      </c>
      <c r="P48" s="18"/>
      <c r="Q48" s="18"/>
      <c r="R48" s="18"/>
      <c r="S48" s="18"/>
      <c r="T48" s="18"/>
      <c r="U48" s="18"/>
      <c r="V48" s="18"/>
      <c r="W48" s="18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</row>
    <row r="49" spans="1:36" ht="11.25" customHeight="1" x14ac:dyDescent="0.2">
      <c r="A49" s="74" t="s">
        <v>55</v>
      </c>
      <c r="B49" s="74" t="s">
        <v>35</v>
      </c>
      <c r="C49" s="74" t="s">
        <v>36</v>
      </c>
      <c r="D49" s="74" t="s">
        <v>34</v>
      </c>
      <c r="E49" s="74" t="s">
        <v>25</v>
      </c>
      <c r="F49" s="74" t="s">
        <v>25</v>
      </c>
      <c r="G49" s="74" t="s">
        <v>25</v>
      </c>
      <c r="H49" s="74" t="s">
        <v>38</v>
      </c>
      <c r="I49" s="80">
        <v>44743</v>
      </c>
      <c r="J49" s="81">
        <f ca="1">EFEITO!$J$49*EFEITO!$Y$49</f>
        <v>4194.6102545476379</v>
      </c>
      <c r="K49" s="81">
        <f ca="1">EFEITO!$L$49*EFEITO!$Z$49</f>
        <v>8552.3949038275259</v>
      </c>
      <c r="L49" s="81">
        <f>EFEITO!$N$49*EFEITO!$AA$49</f>
        <v>16185.491544827779</v>
      </c>
      <c r="M49" s="81">
        <f ca="1">$J$49-EFEITO!$K$49*EFEITO!$Y$49</f>
        <v>0</v>
      </c>
      <c r="N49" s="81">
        <f ca="1">$K$49-EFEITO!$M$49*EFEITO!$Z$49</f>
        <v>0</v>
      </c>
      <c r="O49" s="81">
        <f>$L$49-EFEITO!$O$49*EFEITO!$AA$49</f>
        <v>0</v>
      </c>
      <c r="P49" s="18"/>
      <c r="Q49" s="18"/>
      <c r="R49" s="18"/>
      <c r="S49" s="18"/>
      <c r="T49" s="18"/>
      <c r="U49" s="18"/>
      <c r="V49" s="18"/>
      <c r="W49" s="18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</row>
    <row r="50" spans="1:36" ht="11.25" customHeight="1" x14ac:dyDescent="0.2">
      <c r="A50" s="74" t="s">
        <v>21</v>
      </c>
      <c r="B50" s="74" t="s">
        <v>35</v>
      </c>
      <c r="C50" s="74" t="s">
        <v>36</v>
      </c>
      <c r="D50" s="74" t="s">
        <v>34</v>
      </c>
      <c r="E50" s="74" t="s">
        <v>25</v>
      </c>
      <c r="F50" s="74" t="s">
        <v>25</v>
      </c>
      <c r="G50" s="74" t="s">
        <v>25</v>
      </c>
      <c r="H50" s="74" t="s">
        <v>37</v>
      </c>
      <c r="I50" s="80">
        <v>44409</v>
      </c>
      <c r="J50" s="81">
        <f ca="1">EFEITO!$J$50*EFEITO!$Y$50</f>
        <v>7681.3410229012425</v>
      </c>
      <c r="K50" s="81">
        <f ca="1">EFEITO!$L$50*EFEITO!$Z$50</f>
        <v>944.54468179112234</v>
      </c>
      <c r="L50" s="81">
        <f>EFEITO!$N$50*EFEITO!$AA$50</f>
        <v>2907.6917931955936</v>
      </c>
      <c r="M50" s="81">
        <f ca="1">$J$50-EFEITO!$K$50*EFEITO!$Y$50</f>
        <v>0</v>
      </c>
      <c r="N50" s="81">
        <f ca="1">$K$50-EFEITO!$M$50*EFEITO!$Z$50</f>
        <v>0</v>
      </c>
      <c r="O50" s="81">
        <f>$L$50-EFEITO!$O$50*EFEITO!$AA$50</f>
        <v>0</v>
      </c>
      <c r="P50" s="18"/>
      <c r="Q50" s="18"/>
      <c r="R50" s="18"/>
      <c r="S50" s="18"/>
      <c r="T50" s="18"/>
      <c r="U50" s="18"/>
      <c r="V50" s="18"/>
      <c r="W50" s="18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</row>
    <row r="51" spans="1:36" ht="11.25" customHeight="1" x14ac:dyDescent="0.2">
      <c r="A51" s="74" t="s">
        <v>21</v>
      </c>
      <c r="B51" s="74" t="s">
        <v>35</v>
      </c>
      <c r="C51" s="74" t="s">
        <v>36</v>
      </c>
      <c r="D51" s="74" t="s">
        <v>34</v>
      </c>
      <c r="E51" s="74" t="s">
        <v>25</v>
      </c>
      <c r="F51" s="74" t="s">
        <v>25</v>
      </c>
      <c r="G51" s="74" t="s">
        <v>25</v>
      </c>
      <c r="H51" s="74" t="s">
        <v>37</v>
      </c>
      <c r="I51" s="80">
        <v>44440</v>
      </c>
      <c r="J51" s="81">
        <f ca="1">EFEITO!$J$51*EFEITO!$Y$51</f>
        <v>7342.458330714423</v>
      </c>
      <c r="K51" s="81">
        <f ca="1">EFEITO!$L$51*EFEITO!$Z$51</f>
        <v>842.50180573933699</v>
      </c>
      <c r="L51" s="81">
        <f>EFEITO!$N$51*EFEITO!$AA$51</f>
        <v>2593.5624153378858</v>
      </c>
      <c r="M51" s="81">
        <f ca="1">$J$51-EFEITO!$K$51*EFEITO!$Y$51</f>
        <v>0</v>
      </c>
      <c r="N51" s="81">
        <f ca="1">$K$51-EFEITO!$M$51*EFEITO!$Z$51</f>
        <v>0</v>
      </c>
      <c r="O51" s="81">
        <f>$L$51-EFEITO!$O$51*EFEITO!$AA$51</f>
        <v>0</v>
      </c>
      <c r="P51" s="18"/>
      <c r="Q51" s="18"/>
      <c r="R51" s="18"/>
      <c r="S51" s="18"/>
      <c r="T51" s="18"/>
      <c r="U51" s="18"/>
      <c r="V51" s="18"/>
      <c r="W51" s="18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</row>
    <row r="52" spans="1:36" ht="11.25" customHeight="1" x14ac:dyDescent="0.2">
      <c r="A52" s="74" t="s">
        <v>21</v>
      </c>
      <c r="B52" s="74" t="s">
        <v>35</v>
      </c>
      <c r="C52" s="74" t="s">
        <v>36</v>
      </c>
      <c r="D52" s="74" t="s">
        <v>34</v>
      </c>
      <c r="E52" s="74" t="s">
        <v>25</v>
      </c>
      <c r="F52" s="74" t="s">
        <v>25</v>
      </c>
      <c r="G52" s="74" t="s">
        <v>25</v>
      </c>
      <c r="H52" s="74" t="s">
        <v>37</v>
      </c>
      <c r="I52" s="80">
        <v>44470</v>
      </c>
      <c r="J52" s="81">
        <f ca="1">EFEITO!$J$52*EFEITO!$Y$52</f>
        <v>7624.8605742034397</v>
      </c>
      <c r="K52" s="81">
        <f ca="1">EFEITO!$L$52*EFEITO!$Z$52</f>
        <v>842.2661408985706</v>
      </c>
      <c r="L52" s="81">
        <f>EFEITO!$N$52*EFEITO!$AA$52</f>
        <v>2592.8369433335956</v>
      </c>
      <c r="M52" s="81">
        <f ca="1">$J$52-EFEITO!$K$52*EFEITO!$Y$52</f>
        <v>0</v>
      </c>
      <c r="N52" s="81">
        <f ca="1">$K$52-EFEITO!$M$52*EFEITO!$Z$52</f>
        <v>0</v>
      </c>
      <c r="O52" s="81">
        <f>$L$52-EFEITO!$O$52*EFEITO!$AA$52</f>
        <v>0</v>
      </c>
      <c r="P52" s="18"/>
      <c r="Q52" s="18"/>
      <c r="R52" s="18"/>
      <c r="S52" s="18"/>
      <c r="T52" s="18"/>
      <c r="U52" s="18"/>
      <c r="V52" s="18"/>
      <c r="W52" s="18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</row>
    <row r="53" spans="1:36" ht="11.25" customHeight="1" x14ac:dyDescent="0.2">
      <c r="A53" s="74" t="s">
        <v>21</v>
      </c>
      <c r="B53" s="74" t="s">
        <v>35</v>
      </c>
      <c r="C53" s="74" t="s">
        <v>36</v>
      </c>
      <c r="D53" s="74" t="s">
        <v>34</v>
      </c>
      <c r="E53" s="74" t="s">
        <v>25</v>
      </c>
      <c r="F53" s="74" t="s">
        <v>25</v>
      </c>
      <c r="G53" s="74" t="s">
        <v>25</v>
      </c>
      <c r="H53" s="74" t="s">
        <v>37</v>
      </c>
      <c r="I53" s="80">
        <v>44501</v>
      </c>
      <c r="J53" s="81">
        <f ca="1">EFEITO!$J$53*EFEITO!$Y$53</f>
        <v>7342.458330714423</v>
      </c>
      <c r="K53" s="81">
        <f ca="1">EFEITO!$L$53*EFEITO!$Z$53</f>
        <v>817.52133261811457</v>
      </c>
      <c r="L53" s="81">
        <f>EFEITO!$N$53*EFEITO!$AA$53</f>
        <v>2516.6623828831121</v>
      </c>
      <c r="M53" s="81">
        <f ca="1">$J$53-EFEITO!$K$53*EFEITO!$Y$53</f>
        <v>0</v>
      </c>
      <c r="N53" s="81">
        <f ca="1">$K$53-EFEITO!$M$53*EFEITO!$Z$53</f>
        <v>0</v>
      </c>
      <c r="O53" s="81">
        <f>$L$53-EFEITO!$O$53*EFEITO!$AA$53</f>
        <v>0</v>
      </c>
      <c r="P53" s="18"/>
      <c r="Q53" s="18"/>
      <c r="R53" s="18"/>
      <c r="S53" s="18"/>
      <c r="T53" s="18"/>
      <c r="U53" s="18"/>
      <c r="V53" s="18"/>
      <c r="W53" s="18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</row>
    <row r="54" spans="1:36" ht="11.25" customHeight="1" x14ac:dyDescent="0.2">
      <c r="A54" s="74" t="s">
        <v>21</v>
      </c>
      <c r="B54" s="74" t="s">
        <v>35</v>
      </c>
      <c r="C54" s="74" t="s">
        <v>36</v>
      </c>
      <c r="D54" s="74" t="s">
        <v>34</v>
      </c>
      <c r="E54" s="74" t="s">
        <v>25</v>
      </c>
      <c r="F54" s="74" t="s">
        <v>25</v>
      </c>
      <c r="G54" s="74" t="s">
        <v>25</v>
      </c>
      <c r="H54" s="74" t="s">
        <v>37</v>
      </c>
      <c r="I54" s="80">
        <v>44531</v>
      </c>
      <c r="J54" s="81">
        <f ca="1">EFEITO!$J$54*EFEITO!$Y$54</f>
        <v>7568.380125505636</v>
      </c>
      <c r="K54" s="81">
        <f ca="1">EFEITO!$L$54*EFEITO!$Z$54</f>
        <v>696.15393962349685</v>
      </c>
      <c r="L54" s="81">
        <f>EFEITO!$N$54*EFEITO!$AA$54</f>
        <v>2143.0443006735986</v>
      </c>
      <c r="M54" s="81">
        <f ca="1">$J$54-EFEITO!$K$54*EFEITO!$Y$54</f>
        <v>0</v>
      </c>
      <c r="N54" s="81">
        <f ca="1">$K$54-EFEITO!$M$54*EFEITO!$Z$54</f>
        <v>0</v>
      </c>
      <c r="O54" s="81">
        <f>$L$54-EFEITO!$O$54*EFEITO!$AA$54</f>
        <v>0</v>
      </c>
      <c r="P54" s="18"/>
      <c r="Q54" s="18"/>
      <c r="R54" s="18"/>
      <c r="S54" s="18"/>
      <c r="T54" s="18"/>
      <c r="U54" s="18"/>
      <c r="V54" s="18"/>
      <c r="W54" s="18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</row>
    <row r="55" spans="1:36" ht="11.25" customHeight="1" x14ac:dyDescent="0.2">
      <c r="A55" s="74" t="s">
        <v>21</v>
      </c>
      <c r="B55" s="74" t="s">
        <v>35</v>
      </c>
      <c r="C55" s="74" t="s">
        <v>36</v>
      </c>
      <c r="D55" s="74" t="s">
        <v>34</v>
      </c>
      <c r="E55" s="74" t="s">
        <v>25</v>
      </c>
      <c r="F55" s="74" t="s">
        <v>25</v>
      </c>
      <c r="G55" s="74" t="s">
        <v>25</v>
      </c>
      <c r="H55" s="74" t="s">
        <v>37</v>
      </c>
      <c r="I55" s="80">
        <v>44562</v>
      </c>
      <c r="J55" s="81">
        <f ca="1">EFEITO!$J$55*EFEITO!$Y$55</f>
        <v>7511.8996768078332</v>
      </c>
      <c r="K55" s="81">
        <f ca="1">EFEITO!$L$55*EFEITO!$Z$55</f>
        <v>687.90567019667822</v>
      </c>
      <c r="L55" s="81">
        <f>EFEITO!$N$55*EFEITO!$AA$55</f>
        <v>2117.6527805234373</v>
      </c>
      <c r="M55" s="81">
        <f ca="1">$J$55-EFEITO!$K$55*EFEITO!$Y$55</f>
        <v>0</v>
      </c>
      <c r="N55" s="81">
        <f ca="1">$K$55-EFEITO!$M$55*EFEITO!$Z$55</f>
        <v>0</v>
      </c>
      <c r="O55" s="81">
        <f>$L$55-EFEITO!$O$55*EFEITO!$AA$55</f>
        <v>0</v>
      </c>
      <c r="P55" s="18"/>
      <c r="Q55" s="18"/>
      <c r="R55" s="18"/>
      <c r="S55" s="18"/>
      <c r="T55" s="18"/>
      <c r="U55" s="18"/>
      <c r="V55" s="18"/>
      <c r="W55" s="18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</row>
    <row r="56" spans="1:36" ht="11.25" customHeight="1" x14ac:dyDescent="0.2">
      <c r="A56" s="74" t="s">
        <v>21</v>
      </c>
      <c r="B56" s="74" t="s">
        <v>35</v>
      </c>
      <c r="C56" s="74" t="s">
        <v>36</v>
      </c>
      <c r="D56" s="74" t="s">
        <v>34</v>
      </c>
      <c r="E56" s="74" t="s">
        <v>25</v>
      </c>
      <c r="F56" s="74" t="s">
        <v>25</v>
      </c>
      <c r="G56" s="74" t="s">
        <v>25</v>
      </c>
      <c r="H56" s="74" t="s">
        <v>37</v>
      </c>
      <c r="I56" s="80">
        <v>44593</v>
      </c>
      <c r="J56" s="81">
        <f ca="1">EFEITO!$J$56*EFEITO!$Y$56</f>
        <v>7681.3410229012425</v>
      </c>
      <c r="K56" s="81">
        <f ca="1">EFEITO!$L$56*EFEITO!$Z$56</f>
        <v>853.5780532553506</v>
      </c>
      <c r="L56" s="81">
        <f>EFEITO!$N$56*EFEITO!$AA$56</f>
        <v>2627.6595995395305</v>
      </c>
      <c r="M56" s="81">
        <f ca="1">$J$56-EFEITO!$K$56*EFEITO!$Y$56</f>
        <v>0</v>
      </c>
      <c r="N56" s="81">
        <f ca="1">$K$56-EFEITO!$M$56*EFEITO!$Z$56</f>
        <v>0</v>
      </c>
      <c r="O56" s="81">
        <f>$L$56-EFEITO!$O$56*EFEITO!$AA$56</f>
        <v>0</v>
      </c>
      <c r="P56" s="18"/>
      <c r="Q56" s="18"/>
      <c r="R56" s="18"/>
      <c r="S56" s="18"/>
      <c r="T56" s="18"/>
      <c r="U56" s="18"/>
      <c r="V56" s="18"/>
      <c r="W56" s="18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</row>
    <row r="57" spans="1:36" ht="11.25" customHeight="1" x14ac:dyDescent="0.2">
      <c r="A57" s="74" t="s">
        <v>21</v>
      </c>
      <c r="B57" s="74" t="s">
        <v>35</v>
      </c>
      <c r="C57" s="74" t="s">
        <v>36</v>
      </c>
      <c r="D57" s="74" t="s">
        <v>34</v>
      </c>
      <c r="E57" s="74" t="s">
        <v>25</v>
      </c>
      <c r="F57" s="74" t="s">
        <v>25</v>
      </c>
      <c r="G57" s="74" t="s">
        <v>25</v>
      </c>
      <c r="H57" s="74" t="s">
        <v>37</v>
      </c>
      <c r="I57" s="80">
        <v>44621</v>
      </c>
      <c r="J57" s="81">
        <f ca="1">EFEITO!$J$57*EFEITO!$Y$57</f>
        <v>7907.2628176924554</v>
      </c>
      <c r="K57" s="81">
        <f ca="1">EFEITO!$L$57*EFEITO!$Z$57</f>
        <v>969.87865217349395</v>
      </c>
      <c r="L57" s="81">
        <f>EFEITO!$N$57*EFEITO!$AA$57</f>
        <v>2985.6800336568026</v>
      </c>
      <c r="M57" s="81">
        <f ca="1">$J$57-EFEITO!$K$57*EFEITO!$Y$57</f>
        <v>0</v>
      </c>
      <c r="N57" s="81">
        <f ca="1">$K$57-EFEITO!$M$57*EFEITO!$Z$57</f>
        <v>0</v>
      </c>
      <c r="O57" s="81">
        <f>$L$57-EFEITO!$O$57*EFEITO!$AA$57</f>
        <v>0</v>
      </c>
      <c r="P57" s="18"/>
      <c r="Q57" s="18"/>
      <c r="R57" s="18"/>
      <c r="S57" s="18"/>
      <c r="T57" s="18"/>
      <c r="U57" s="18"/>
      <c r="V57" s="18"/>
      <c r="W57" s="18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</row>
    <row r="58" spans="1:36" ht="11.25" customHeight="1" x14ac:dyDescent="0.2">
      <c r="A58" s="74" t="s">
        <v>21</v>
      </c>
      <c r="B58" s="74" t="s">
        <v>35</v>
      </c>
      <c r="C58" s="74" t="s">
        <v>36</v>
      </c>
      <c r="D58" s="74" t="s">
        <v>34</v>
      </c>
      <c r="E58" s="74" t="s">
        <v>25</v>
      </c>
      <c r="F58" s="74" t="s">
        <v>25</v>
      </c>
      <c r="G58" s="74" t="s">
        <v>25</v>
      </c>
      <c r="H58" s="74" t="s">
        <v>37</v>
      </c>
      <c r="I58" s="80">
        <v>44652</v>
      </c>
      <c r="J58" s="81">
        <f ca="1">EFEITO!$J$58*EFEITO!$Y$58</f>
        <v>7794.3019202968489</v>
      </c>
      <c r="K58" s="81">
        <f ca="1">EFEITO!$L$58*EFEITO!$Z$58</f>
        <v>805.73809057980225</v>
      </c>
      <c r="L58" s="81">
        <f>EFEITO!$N$58*EFEITO!$AA$58</f>
        <v>2480.3887826685964</v>
      </c>
      <c r="M58" s="81">
        <f ca="1">$J$58-EFEITO!$K$58*EFEITO!$Y$58</f>
        <v>0</v>
      </c>
      <c r="N58" s="81">
        <f ca="1">$K$58-EFEITO!$M$58*EFEITO!$Z$58</f>
        <v>0</v>
      </c>
      <c r="O58" s="81">
        <f>$L$58-EFEITO!$O$58*EFEITO!$AA$58</f>
        <v>0</v>
      </c>
      <c r="P58" s="18"/>
      <c r="Q58" s="18"/>
      <c r="R58" s="18"/>
      <c r="S58" s="18"/>
      <c r="T58" s="18"/>
      <c r="U58" s="18"/>
      <c r="V58" s="18"/>
      <c r="W58" s="18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</row>
    <row r="59" spans="1:36" ht="11.25" customHeight="1" x14ac:dyDescent="0.2">
      <c r="A59" s="74" t="s">
        <v>21</v>
      </c>
      <c r="B59" s="74" t="s">
        <v>35</v>
      </c>
      <c r="C59" s="74" t="s">
        <v>36</v>
      </c>
      <c r="D59" s="74" t="s">
        <v>34</v>
      </c>
      <c r="E59" s="74" t="s">
        <v>25</v>
      </c>
      <c r="F59" s="74" t="s">
        <v>25</v>
      </c>
      <c r="G59" s="74" t="s">
        <v>25</v>
      </c>
      <c r="H59" s="74" t="s">
        <v>37</v>
      </c>
      <c r="I59" s="80">
        <v>44682</v>
      </c>
      <c r="J59" s="81">
        <f ca="1">EFEITO!$J$59*EFEITO!$Y$59</f>
        <v>7794.3019202968489</v>
      </c>
      <c r="K59" s="81">
        <f ca="1">EFEITO!$L$59*EFEITO!$Z$59</f>
        <v>929.57996440246563</v>
      </c>
      <c r="L59" s="81">
        <f>EFEITO!$N$59*EFEITO!$AA$59</f>
        <v>2861.6243209231584</v>
      </c>
      <c r="M59" s="81">
        <f ca="1">$J$59-EFEITO!$K$59*EFEITO!$Y$59</f>
        <v>0</v>
      </c>
      <c r="N59" s="81">
        <f ca="1">$K$59-EFEITO!$M$59*EFEITO!$Z$59</f>
        <v>0</v>
      </c>
      <c r="O59" s="81">
        <f>$L$59-EFEITO!$O$59*EFEITO!$AA$59</f>
        <v>0</v>
      </c>
      <c r="P59" s="18"/>
      <c r="Q59" s="18"/>
      <c r="R59" s="18"/>
      <c r="S59" s="18"/>
      <c r="T59" s="18"/>
      <c r="U59" s="18"/>
      <c r="V59" s="18"/>
      <c r="W59" s="18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</row>
    <row r="60" spans="1:36" ht="11.25" customHeight="1" x14ac:dyDescent="0.2">
      <c r="A60" s="74" t="s">
        <v>21</v>
      </c>
      <c r="B60" s="74" t="s">
        <v>35</v>
      </c>
      <c r="C60" s="74" t="s">
        <v>36</v>
      </c>
      <c r="D60" s="74" t="s">
        <v>34</v>
      </c>
      <c r="E60" s="74" t="s">
        <v>25</v>
      </c>
      <c r="F60" s="74" t="s">
        <v>25</v>
      </c>
      <c r="G60" s="74" t="s">
        <v>25</v>
      </c>
      <c r="H60" s="74" t="s">
        <v>37</v>
      </c>
      <c r="I60" s="80">
        <v>44713</v>
      </c>
      <c r="J60" s="81">
        <f ca="1">EFEITO!$J$60*EFEITO!$Y$60</f>
        <v>7681.3410229012425</v>
      </c>
      <c r="K60" s="81">
        <f ca="1">EFEITO!$L$60*EFEITO!$Z$60</f>
        <v>895.87989217289214</v>
      </c>
      <c r="L60" s="81">
        <f>EFEITO!$N$60*EFEITO!$AA$60</f>
        <v>2757.881824309643</v>
      </c>
      <c r="M60" s="81">
        <f ca="1">$J$60-EFEITO!$K$60*EFEITO!$Y$60</f>
        <v>0</v>
      </c>
      <c r="N60" s="81">
        <f ca="1">$K$60-EFEITO!$M$60*EFEITO!$Z$60</f>
        <v>0</v>
      </c>
      <c r="O60" s="81">
        <f>$L$60-EFEITO!$O$60*EFEITO!$AA$60</f>
        <v>0</v>
      </c>
      <c r="P60" s="18"/>
      <c r="Q60" s="18"/>
      <c r="R60" s="18"/>
      <c r="S60" s="18"/>
      <c r="T60" s="18"/>
      <c r="U60" s="18"/>
      <c r="V60" s="18"/>
      <c r="W60" s="18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</row>
    <row r="61" spans="1:36" ht="11.25" customHeight="1" x14ac:dyDescent="0.2">
      <c r="A61" s="74" t="s">
        <v>55</v>
      </c>
      <c r="B61" s="74" t="s">
        <v>35</v>
      </c>
      <c r="C61" s="74" t="s">
        <v>36</v>
      </c>
      <c r="D61" s="74" t="s">
        <v>34</v>
      </c>
      <c r="E61" s="74" t="s">
        <v>25</v>
      </c>
      <c r="F61" s="74" t="s">
        <v>25</v>
      </c>
      <c r="G61" s="74" t="s">
        <v>25</v>
      </c>
      <c r="H61" s="74" t="s">
        <v>37</v>
      </c>
      <c r="I61" s="80">
        <v>44743</v>
      </c>
      <c r="J61" s="81">
        <f ca="1">EFEITO!$J$61*EFEITO!$Y$61</f>
        <v>7681.3410229012425</v>
      </c>
      <c r="K61" s="81">
        <f ca="1">EFEITO!$L$61*EFEITO!$Z$61</f>
        <v>895.87989217289214</v>
      </c>
      <c r="L61" s="81">
        <f>EFEITO!$N$61*EFEITO!$AA$61</f>
        <v>2757.881824309643</v>
      </c>
      <c r="M61" s="81">
        <f ca="1">$J$61-EFEITO!$K$61*EFEITO!$Y$61</f>
        <v>0</v>
      </c>
      <c r="N61" s="81">
        <f ca="1">$K$61-EFEITO!$M$61*EFEITO!$Z$61</f>
        <v>0</v>
      </c>
      <c r="O61" s="81">
        <f>$L$61-EFEITO!$O$61*EFEITO!$AA$61</f>
        <v>0</v>
      </c>
      <c r="P61" s="18"/>
      <c r="Q61" s="18"/>
      <c r="R61" s="18"/>
      <c r="S61" s="18"/>
      <c r="T61" s="18"/>
      <c r="U61" s="18"/>
      <c r="V61" s="18"/>
      <c r="W61" s="18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</row>
    <row r="62" spans="1:36" ht="11.25" customHeight="1" x14ac:dyDescent="0.2">
      <c r="A62" s="74" t="s">
        <v>21</v>
      </c>
      <c r="B62" s="74" t="s">
        <v>35</v>
      </c>
      <c r="C62" s="74" t="s">
        <v>39</v>
      </c>
      <c r="D62" s="74" t="s">
        <v>40</v>
      </c>
      <c r="E62" s="74" t="s">
        <v>25</v>
      </c>
      <c r="F62" s="74" t="s">
        <v>25</v>
      </c>
      <c r="G62" s="74" t="s">
        <v>25</v>
      </c>
      <c r="H62" s="74" t="s">
        <v>38</v>
      </c>
      <c r="I62" s="80">
        <v>44409</v>
      </c>
      <c r="J62" s="81">
        <f>EFEITO!$J$62*EFEITO!$Y$62</f>
        <v>0</v>
      </c>
      <c r="K62" s="81">
        <f ca="1">EFEITO!$L$62*EFEITO!$Z$62</f>
        <v>239809.24265596335</v>
      </c>
      <c r="L62" s="81">
        <f>EFEITO!$N$62*EFEITO!$AA$62</f>
        <v>453841.3523962227</v>
      </c>
      <c r="M62" s="81">
        <f>$J$62-EFEITO!$K$62*EFEITO!$Y$62</f>
        <v>0</v>
      </c>
      <c r="N62" s="81">
        <f ca="1">$K$62-EFEITO!$M$62*EFEITO!$Z$62</f>
        <v>0</v>
      </c>
      <c r="O62" s="81">
        <f>$L$62-EFEITO!$O$62*EFEITO!$AA$62</f>
        <v>0</v>
      </c>
      <c r="P62" s="18"/>
      <c r="Q62" s="18"/>
      <c r="R62" s="18"/>
      <c r="S62" s="18"/>
      <c r="T62" s="18"/>
      <c r="U62" s="18"/>
      <c r="V62" s="18"/>
      <c r="W62" s="18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</row>
    <row r="63" spans="1:36" ht="11.25" customHeight="1" x14ac:dyDescent="0.2">
      <c r="A63" s="74" t="s">
        <v>21</v>
      </c>
      <c r="B63" s="74" t="s">
        <v>35</v>
      </c>
      <c r="C63" s="74" t="s">
        <v>39</v>
      </c>
      <c r="D63" s="74" t="s">
        <v>40</v>
      </c>
      <c r="E63" s="74" t="s">
        <v>25</v>
      </c>
      <c r="F63" s="74" t="s">
        <v>25</v>
      </c>
      <c r="G63" s="74" t="s">
        <v>25</v>
      </c>
      <c r="H63" s="74" t="s">
        <v>38</v>
      </c>
      <c r="I63" s="80">
        <v>44440</v>
      </c>
      <c r="J63" s="81">
        <f>EFEITO!$J$63*EFEITO!$Y$63</f>
        <v>0</v>
      </c>
      <c r="K63" s="81">
        <f ca="1">EFEITO!$L$63*EFEITO!$Z$63</f>
        <v>260541.62135753324</v>
      </c>
      <c r="L63" s="81">
        <f>EFEITO!$N$63*EFEITO!$AA$63</f>
        <v>493077.58317741001</v>
      </c>
      <c r="M63" s="81">
        <f>$J$63-EFEITO!$K$63*EFEITO!$Y$63</f>
        <v>0</v>
      </c>
      <c r="N63" s="81">
        <f ca="1">$K$63-EFEITO!$M$63*EFEITO!$Z$63</f>
        <v>0</v>
      </c>
      <c r="O63" s="81">
        <f>$L$63-EFEITO!$O$63*EFEITO!$AA$63</f>
        <v>0</v>
      </c>
      <c r="P63" s="18"/>
      <c r="Q63" s="18"/>
      <c r="R63" s="18"/>
      <c r="S63" s="18"/>
      <c r="T63" s="18"/>
      <c r="U63" s="18"/>
      <c r="V63" s="18"/>
      <c r="W63" s="18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</row>
    <row r="64" spans="1:36" ht="11.25" customHeight="1" x14ac:dyDescent="0.2">
      <c r="A64" s="74" t="s">
        <v>21</v>
      </c>
      <c r="B64" s="74" t="s">
        <v>35</v>
      </c>
      <c r="C64" s="74" t="s">
        <v>39</v>
      </c>
      <c r="D64" s="74" t="s">
        <v>40</v>
      </c>
      <c r="E64" s="74" t="s">
        <v>25</v>
      </c>
      <c r="F64" s="74" t="s">
        <v>25</v>
      </c>
      <c r="G64" s="74" t="s">
        <v>25</v>
      </c>
      <c r="H64" s="74" t="s">
        <v>38</v>
      </c>
      <c r="I64" s="80">
        <v>44470</v>
      </c>
      <c r="J64" s="81">
        <f>EFEITO!$J$64*EFEITO!$Y$64</f>
        <v>0</v>
      </c>
      <c r="K64" s="81">
        <f ca="1">EFEITO!$L$64*EFEITO!$Z$64</f>
        <v>252779.52849721533</v>
      </c>
      <c r="L64" s="81">
        <f>EFEITO!$N$64*EFEITO!$AA$64</f>
        <v>478387.74602961674</v>
      </c>
      <c r="M64" s="81">
        <f>$J$64-EFEITO!$K$64*EFEITO!$Y$64</f>
        <v>0</v>
      </c>
      <c r="N64" s="81">
        <f ca="1">$K$64-EFEITO!$M$64*EFEITO!$Z$64</f>
        <v>0</v>
      </c>
      <c r="O64" s="81">
        <f>$L$64-EFEITO!$O$64*EFEITO!$AA$64</f>
        <v>0</v>
      </c>
      <c r="P64" s="18"/>
      <c r="Q64" s="18"/>
      <c r="R64" s="18"/>
      <c r="S64" s="18"/>
      <c r="T64" s="18"/>
      <c r="U64" s="18"/>
      <c r="V64" s="18"/>
      <c r="W64" s="18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</row>
    <row r="65" spans="1:36" ht="11.25" customHeight="1" x14ac:dyDescent="0.2">
      <c r="A65" s="74" t="s">
        <v>21</v>
      </c>
      <c r="B65" s="74" t="s">
        <v>35</v>
      </c>
      <c r="C65" s="74" t="s">
        <v>39</v>
      </c>
      <c r="D65" s="74" t="s">
        <v>40</v>
      </c>
      <c r="E65" s="74" t="s">
        <v>25</v>
      </c>
      <c r="F65" s="74" t="s">
        <v>25</v>
      </c>
      <c r="G65" s="74" t="s">
        <v>25</v>
      </c>
      <c r="H65" s="74" t="s">
        <v>38</v>
      </c>
      <c r="I65" s="80">
        <v>44501</v>
      </c>
      <c r="J65" s="81">
        <f>EFEITO!$J$65*EFEITO!$Y$65</f>
        <v>0</v>
      </c>
      <c r="K65" s="81">
        <f ca="1">EFEITO!$L$65*EFEITO!$Z$65</f>
        <v>288632.04554992734</v>
      </c>
      <c r="L65" s="81">
        <f>EFEITO!$N$65*EFEITO!$AA$65</f>
        <v>546238.98748220224</v>
      </c>
      <c r="M65" s="81">
        <f>$J$65-EFEITO!$K$65*EFEITO!$Y$65</f>
        <v>0</v>
      </c>
      <c r="N65" s="81">
        <f ca="1">$K$65-EFEITO!$M$65*EFEITO!$Z$65</f>
        <v>0</v>
      </c>
      <c r="O65" s="81">
        <f>$L$65-EFEITO!$O$65*EFEITO!$AA$65</f>
        <v>0</v>
      </c>
      <c r="P65" s="18"/>
      <c r="Q65" s="18"/>
      <c r="R65" s="18"/>
      <c r="S65" s="18"/>
      <c r="T65" s="18"/>
      <c r="U65" s="18"/>
      <c r="V65" s="18"/>
      <c r="W65" s="18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</row>
    <row r="66" spans="1:36" ht="11.25" customHeight="1" x14ac:dyDescent="0.2">
      <c r="A66" s="74" t="s">
        <v>21</v>
      </c>
      <c r="B66" s="74" t="s">
        <v>35</v>
      </c>
      <c r="C66" s="74" t="s">
        <v>39</v>
      </c>
      <c r="D66" s="74" t="s">
        <v>40</v>
      </c>
      <c r="E66" s="74" t="s">
        <v>25</v>
      </c>
      <c r="F66" s="74" t="s">
        <v>25</v>
      </c>
      <c r="G66" s="74" t="s">
        <v>25</v>
      </c>
      <c r="H66" s="74" t="s">
        <v>38</v>
      </c>
      <c r="I66" s="80">
        <v>44531</v>
      </c>
      <c r="J66" s="81">
        <f>EFEITO!$J$66*EFEITO!$Y$66</f>
        <v>0</v>
      </c>
      <c r="K66" s="81">
        <f ca="1">EFEITO!$L$66*EFEITO!$Z$66</f>
        <v>323532.94797562523</v>
      </c>
      <c r="L66" s="81">
        <f>EFEITO!$N$66*EFEITO!$AA$66</f>
        <v>612289.28888551844</v>
      </c>
      <c r="M66" s="81">
        <f>$J$66-EFEITO!$K$66*EFEITO!$Y$66</f>
        <v>0</v>
      </c>
      <c r="N66" s="81">
        <f ca="1">$K$66-EFEITO!$M$66*EFEITO!$Z$66</f>
        <v>0</v>
      </c>
      <c r="O66" s="81">
        <f>$L$66-EFEITO!$O$66*EFEITO!$AA$66</f>
        <v>0</v>
      </c>
      <c r="P66" s="18"/>
      <c r="Q66" s="18"/>
      <c r="R66" s="18"/>
      <c r="S66" s="18"/>
      <c r="T66" s="18"/>
      <c r="U66" s="18"/>
      <c r="V66" s="18"/>
      <c r="W66" s="18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</row>
    <row r="67" spans="1:36" ht="11.25" customHeight="1" x14ac:dyDescent="0.2">
      <c r="A67" s="74" t="s">
        <v>28</v>
      </c>
      <c r="B67" s="74" t="s">
        <v>35</v>
      </c>
      <c r="C67" s="74" t="s">
        <v>39</v>
      </c>
      <c r="D67" s="74" t="s">
        <v>40</v>
      </c>
      <c r="E67" s="74" t="s">
        <v>25</v>
      </c>
      <c r="F67" s="74" t="s">
        <v>25</v>
      </c>
      <c r="G67" s="74" t="s">
        <v>25</v>
      </c>
      <c r="H67" s="74" t="s">
        <v>38</v>
      </c>
      <c r="I67" s="80">
        <v>44531</v>
      </c>
      <c r="J67" s="81">
        <f>EFEITO!$J$67*EFEITO!$Y$67</f>
        <v>0</v>
      </c>
      <c r="K67" s="81">
        <f ca="1">EFEITO!$L$67*EFEITO!$Z$67</f>
        <v>5328.3820497248689</v>
      </c>
      <c r="L67" s="81">
        <f>EFEITO!$N$67*EFEITO!$AA$67</f>
        <v>10084.015481422302</v>
      </c>
      <c r="M67" s="81">
        <f>$J$67-EFEITO!$K$67*EFEITO!$Y$67</f>
        <v>0</v>
      </c>
      <c r="N67" s="81">
        <f ca="1">$K$67-EFEITO!$M$67*EFEITO!$Z$67</f>
        <v>0</v>
      </c>
      <c r="O67" s="81">
        <f>$L$67-EFEITO!$O$67*EFEITO!$AA$67</f>
        <v>0</v>
      </c>
      <c r="P67" s="18"/>
      <c r="Q67" s="18"/>
      <c r="R67" s="18"/>
      <c r="S67" s="18"/>
      <c r="T67" s="18"/>
      <c r="U67" s="18"/>
      <c r="V67" s="18"/>
      <c r="W67" s="18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</row>
    <row r="68" spans="1:36" ht="11.25" customHeight="1" x14ac:dyDescent="0.2">
      <c r="A68" s="74" t="s">
        <v>21</v>
      </c>
      <c r="B68" s="74" t="s">
        <v>35</v>
      </c>
      <c r="C68" s="74" t="s">
        <v>39</v>
      </c>
      <c r="D68" s="74" t="s">
        <v>40</v>
      </c>
      <c r="E68" s="74" t="s">
        <v>25</v>
      </c>
      <c r="F68" s="74" t="s">
        <v>25</v>
      </c>
      <c r="G68" s="74" t="s">
        <v>25</v>
      </c>
      <c r="H68" s="74" t="s">
        <v>38</v>
      </c>
      <c r="I68" s="80">
        <v>44562</v>
      </c>
      <c r="J68" s="81">
        <f>EFEITO!$J$68*EFEITO!$Y$68</f>
        <v>0</v>
      </c>
      <c r="K68" s="81">
        <f ca="1">EFEITO!$L$68*EFEITO!$Z$68</f>
        <v>321076.61334031867</v>
      </c>
      <c r="L68" s="81">
        <f>EFEITO!$N$68*EFEITO!$AA$68</f>
        <v>607640.65140816919</v>
      </c>
      <c r="M68" s="81">
        <f>$J$68-EFEITO!$K$68*EFEITO!$Y$68</f>
        <v>0</v>
      </c>
      <c r="N68" s="81">
        <f ca="1">$K$68-EFEITO!$M$68*EFEITO!$Z$68</f>
        <v>0</v>
      </c>
      <c r="O68" s="81">
        <f>$L$68-EFEITO!$O$68*EFEITO!$AA$68</f>
        <v>0</v>
      </c>
      <c r="P68" s="18"/>
      <c r="Q68" s="18"/>
      <c r="R68" s="18"/>
      <c r="S68" s="18"/>
      <c r="T68" s="18"/>
      <c r="U68" s="18"/>
      <c r="V68" s="18"/>
      <c r="W68" s="18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</row>
    <row r="69" spans="1:36" ht="11.25" customHeight="1" x14ac:dyDescent="0.2">
      <c r="A69" s="74" t="s">
        <v>28</v>
      </c>
      <c r="B69" s="74" t="s">
        <v>35</v>
      </c>
      <c r="C69" s="74" t="s">
        <v>39</v>
      </c>
      <c r="D69" s="74" t="s">
        <v>40</v>
      </c>
      <c r="E69" s="74" t="s">
        <v>25</v>
      </c>
      <c r="F69" s="74" t="s">
        <v>25</v>
      </c>
      <c r="G69" s="74" t="s">
        <v>25</v>
      </c>
      <c r="H69" s="74" t="s">
        <v>38</v>
      </c>
      <c r="I69" s="80">
        <v>44562</v>
      </c>
      <c r="J69" s="81">
        <f>EFEITO!$J$69*EFEITO!$Y$69</f>
        <v>0</v>
      </c>
      <c r="K69" s="81">
        <f ca="1">EFEITO!$L$69*EFEITO!$Z$69</f>
        <v>5404.6196257127503</v>
      </c>
      <c r="L69" s="81">
        <f>EFEITO!$N$69*EFEITO!$AA$69</f>
        <v>10228.295844458131</v>
      </c>
      <c r="M69" s="81">
        <f>$J$69-EFEITO!$K$69*EFEITO!$Y$69</f>
        <v>0</v>
      </c>
      <c r="N69" s="81">
        <f ca="1">$K$69-EFEITO!$M$69*EFEITO!$Z$69</f>
        <v>0</v>
      </c>
      <c r="O69" s="81">
        <f>$L$69-EFEITO!$O$69*EFEITO!$AA$69</f>
        <v>0</v>
      </c>
      <c r="P69" s="18"/>
      <c r="Q69" s="18"/>
      <c r="R69" s="18"/>
      <c r="S69" s="18"/>
      <c r="T69" s="18"/>
      <c r="U69" s="18"/>
      <c r="V69" s="18"/>
      <c r="W69" s="18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</row>
    <row r="70" spans="1:36" ht="11.25" customHeight="1" x14ac:dyDescent="0.2">
      <c r="A70" s="74" t="s">
        <v>21</v>
      </c>
      <c r="B70" s="74" t="s">
        <v>35</v>
      </c>
      <c r="C70" s="74" t="s">
        <v>39</v>
      </c>
      <c r="D70" s="74" t="s">
        <v>40</v>
      </c>
      <c r="E70" s="74" t="s">
        <v>25</v>
      </c>
      <c r="F70" s="74" t="s">
        <v>25</v>
      </c>
      <c r="G70" s="74" t="s">
        <v>25</v>
      </c>
      <c r="H70" s="74" t="s">
        <v>38</v>
      </c>
      <c r="I70" s="80">
        <v>44593</v>
      </c>
      <c r="J70" s="81">
        <f>EFEITO!$J$70*EFEITO!$Y$70</f>
        <v>0</v>
      </c>
      <c r="K70" s="81">
        <f ca="1">EFEITO!$L$70*EFEITO!$Z$70</f>
        <v>308232.99735097849</v>
      </c>
      <c r="L70" s="81">
        <f>EFEITO!$N$70*EFEITO!$AA$70</f>
        <v>583333.98171644984</v>
      </c>
      <c r="M70" s="81">
        <f>$J$70-EFEITO!$K$70*EFEITO!$Y$70</f>
        <v>0</v>
      </c>
      <c r="N70" s="81">
        <f ca="1">$K$70-EFEITO!$M$70*EFEITO!$Z$70</f>
        <v>0</v>
      </c>
      <c r="O70" s="81">
        <f>$L$70-EFEITO!$O$70*EFEITO!$AA$70</f>
        <v>0</v>
      </c>
      <c r="P70" s="18"/>
      <c r="Q70" s="18"/>
      <c r="R70" s="18"/>
      <c r="S70" s="18"/>
      <c r="T70" s="18"/>
      <c r="U70" s="18"/>
      <c r="V70" s="18"/>
      <c r="W70" s="18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</row>
    <row r="71" spans="1:36" ht="11.25" customHeight="1" x14ac:dyDescent="0.2">
      <c r="A71" s="74" t="s">
        <v>28</v>
      </c>
      <c r="B71" s="74" t="s">
        <v>35</v>
      </c>
      <c r="C71" s="74" t="s">
        <v>39</v>
      </c>
      <c r="D71" s="74" t="s">
        <v>40</v>
      </c>
      <c r="E71" s="74" t="s">
        <v>25</v>
      </c>
      <c r="F71" s="74" t="s">
        <v>25</v>
      </c>
      <c r="G71" s="74" t="s">
        <v>25</v>
      </c>
      <c r="H71" s="74" t="s">
        <v>38</v>
      </c>
      <c r="I71" s="80">
        <v>44593</v>
      </c>
      <c r="J71" s="81">
        <f>EFEITO!$J$71*EFEITO!$Y$71</f>
        <v>0</v>
      </c>
      <c r="K71" s="81">
        <f ca="1">EFEITO!$L$71*EFEITO!$Z$71</f>
        <v>5466.717311254657</v>
      </c>
      <c r="L71" s="81">
        <f>EFEITO!$N$71*EFEITO!$AA$71</f>
        <v>10345.816325632602</v>
      </c>
      <c r="M71" s="81">
        <f>$J$71-EFEITO!$K$71*EFEITO!$Y$71</f>
        <v>0</v>
      </c>
      <c r="N71" s="81">
        <f ca="1">$K$71-EFEITO!$M$71*EFEITO!$Z$71</f>
        <v>0</v>
      </c>
      <c r="O71" s="81">
        <f>$L$71-EFEITO!$O$71*EFEITO!$AA$71</f>
        <v>0</v>
      </c>
      <c r="P71" s="18"/>
      <c r="Q71" s="18"/>
      <c r="R71" s="18"/>
      <c r="S71" s="18"/>
      <c r="T71" s="18"/>
      <c r="U71" s="18"/>
      <c r="V71" s="18"/>
      <c r="W71" s="18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</row>
    <row r="72" spans="1:36" ht="11.25" customHeight="1" x14ac:dyDescent="0.2">
      <c r="A72" s="74" t="s">
        <v>21</v>
      </c>
      <c r="B72" s="74" t="s">
        <v>35</v>
      </c>
      <c r="C72" s="74" t="s">
        <v>39</v>
      </c>
      <c r="D72" s="74" t="s">
        <v>40</v>
      </c>
      <c r="E72" s="74" t="s">
        <v>25</v>
      </c>
      <c r="F72" s="74" t="s">
        <v>25</v>
      </c>
      <c r="G72" s="74" t="s">
        <v>25</v>
      </c>
      <c r="H72" s="74" t="s">
        <v>38</v>
      </c>
      <c r="I72" s="80">
        <v>44621</v>
      </c>
      <c r="J72" s="81">
        <f>EFEITO!$J$72*EFEITO!$Y$72</f>
        <v>0</v>
      </c>
      <c r="K72" s="81">
        <f ca="1">EFEITO!$L$72*EFEITO!$Z$72</f>
        <v>327463.83751960623</v>
      </c>
      <c r="L72" s="81">
        <f>EFEITO!$N$72*EFEITO!$AA$72</f>
        <v>619728.53604297631</v>
      </c>
      <c r="M72" s="81">
        <f>$J$72-EFEITO!$K$72*EFEITO!$Y$72</f>
        <v>0</v>
      </c>
      <c r="N72" s="81">
        <f ca="1">$K$72-EFEITO!$M$72*EFEITO!$Z$72</f>
        <v>0</v>
      </c>
      <c r="O72" s="81">
        <f>$L$72-EFEITO!$O$72*EFEITO!$AA$72</f>
        <v>0</v>
      </c>
      <c r="P72" s="18"/>
      <c r="Q72" s="18"/>
      <c r="R72" s="18"/>
      <c r="S72" s="18"/>
      <c r="T72" s="18"/>
      <c r="U72" s="18"/>
      <c r="V72" s="18"/>
      <c r="W72" s="18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</row>
    <row r="73" spans="1:36" ht="11.25" customHeight="1" x14ac:dyDescent="0.2">
      <c r="A73" s="74" t="s">
        <v>28</v>
      </c>
      <c r="B73" s="74" t="s">
        <v>35</v>
      </c>
      <c r="C73" s="74" t="s">
        <v>39</v>
      </c>
      <c r="D73" s="74" t="s">
        <v>40</v>
      </c>
      <c r="E73" s="74" t="s">
        <v>25</v>
      </c>
      <c r="F73" s="74" t="s">
        <v>25</v>
      </c>
      <c r="G73" s="74" t="s">
        <v>25</v>
      </c>
      <c r="H73" s="74" t="s">
        <v>38</v>
      </c>
      <c r="I73" s="80">
        <v>44621</v>
      </c>
      <c r="J73" s="81">
        <f>EFEITO!$J$73*EFEITO!$Y$73</f>
        <v>0</v>
      </c>
      <c r="K73" s="81">
        <f ca="1">EFEITO!$L$73*EFEITO!$Z$73</f>
        <v>5265.6952020810477</v>
      </c>
      <c r="L73" s="81">
        <f>EFEITO!$N$73*EFEITO!$AA$73</f>
        <v>9965.3800051702765</v>
      </c>
      <c r="M73" s="81">
        <f>$J$73-EFEITO!$K$73*EFEITO!$Y$73</f>
        <v>0</v>
      </c>
      <c r="N73" s="81">
        <f ca="1">$K$73-EFEITO!$M$73*EFEITO!$Z$73</f>
        <v>0</v>
      </c>
      <c r="O73" s="81">
        <f>$L$73-EFEITO!$O$73*EFEITO!$AA$73</f>
        <v>0</v>
      </c>
      <c r="P73" s="18"/>
      <c r="Q73" s="18"/>
      <c r="R73" s="18"/>
      <c r="S73" s="18"/>
      <c r="T73" s="18"/>
      <c r="U73" s="18"/>
      <c r="V73" s="18"/>
      <c r="W73" s="18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</row>
    <row r="74" spans="1:36" ht="11.25" customHeight="1" x14ac:dyDescent="0.2">
      <c r="A74" s="74" t="s">
        <v>21</v>
      </c>
      <c r="B74" s="74" t="s">
        <v>35</v>
      </c>
      <c r="C74" s="74" t="s">
        <v>39</v>
      </c>
      <c r="D74" s="74" t="s">
        <v>40</v>
      </c>
      <c r="E74" s="74" t="s">
        <v>25</v>
      </c>
      <c r="F74" s="74" t="s">
        <v>25</v>
      </c>
      <c r="G74" s="74" t="s">
        <v>25</v>
      </c>
      <c r="H74" s="74" t="s">
        <v>38</v>
      </c>
      <c r="I74" s="80">
        <v>44652</v>
      </c>
      <c r="J74" s="81">
        <f>EFEITO!$J$74*EFEITO!$Y$74</f>
        <v>0</v>
      </c>
      <c r="K74" s="81">
        <f ca="1">EFEITO!$L$74*EFEITO!$Z$74</f>
        <v>265753.11364623805</v>
      </c>
      <c r="L74" s="81">
        <f>EFEITO!$N$74*EFEITO!$AA$74</f>
        <v>502940.38363544509</v>
      </c>
      <c r="M74" s="81">
        <f>$J$74-EFEITO!$K$74*EFEITO!$Y$74</f>
        <v>0</v>
      </c>
      <c r="N74" s="81">
        <f ca="1">$K$74-EFEITO!$M$74*EFEITO!$Z$74</f>
        <v>0</v>
      </c>
      <c r="O74" s="81">
        <f>$L$74-EFEITO!$O$74*EFEITO!$AA$74</f>
        <v>0</v>
      </c>
      <c r="P74" s="18"/>
      <c r="Q74" s="18"/>
      <c r="R74" s="18"/>
      <c r="S74" s="18"/>
      <c r="T74" s="18"/>
      <c r="U74" s="18"/>
      <c r="V74" s="18"/>
      <c r="W74" s="18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</row>
    <row r="75" spans="1:36" ht="11.25" customHeight="1" x14ac:dyDescent="0.2">
      <c r="A75" s="74" t="s">
        <v>28</v>
      </c>
      <c r="B75" s="74" t="s">
        <v>35</v>
      </c>
      <c r="C75" s="74" t="s">
        <v>39</v>
      </c>
      <c r="D75" s="74" t="s">
        <v>40</v>
      </c>
      <c r="E75" s="74" t="s">
        <v>25</v>
      </c>
      <c r="F75" s="74" t="s">
        <v>25</v>
      </c>
      <c r="G75" s="74" t="s">
        <v>25</v>
      </c>
      <c r="H75" s="74" t="s">
        <v>38</v>
      </c>
      <c r="I75" s="80">
        <v>44652</v>
      </c>
      <c r="J75" s="81">
        <f>EFEITO!$J$75*EFEITO!$Y$75</f>
        <v>0</v>
      </c>
      <c r="K75" s="81">
        <f ca="1">EFEITO!$L$75*EFEITO!$Z$75</f>
        <v>3799.0350655723023</v>
      </c>
      <c r="L75" s="81">
        <f>EFEITO!$N$75*EFEITO!$AA$75</f>
        <v>7189.7112591007617</v>
      </c>
      <c r="M75" s="81">
        <f>$J$75-EFEITO!$K$75*EFEITO!$Y$75</f>
        <v>0</v>
      </c>
      <c r="N75" s="81">
        <f ca="1">$K$75-EFEITO!$M$75*EFEITO!$Z$75</f>
        <v>0</v>
      </c>
      <c r="O75" s="81">
        <f>$L$75-EFEITO!$O$75*EFEITO!$AA$75</f>
        <v>0</v>
      </c>
      <c r="P75" s="18"/>
      <c r="Q75" s="18"/>
      <c r="R75" s="18"/>
      <c r="S75" s="18"/>
      <c r="T75" s="18"/>
      <c r="U75" s="18"/>
      <c r="V75" s="18"/>
      <c r="W75" s="18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</row>
    <row r="76" spans="1:36" ht="11.25" customHeight="1" x14ac:dyDescent="0.2">
      <c r="A76" s="74" t="s">
        <v>21</v>
      </c>
      <c r="B76" s="74" t="s">
        <v>35</v>
      </c>
      <c r="C76" s="74" t="s">
        <v>39</v>
      </c>
      <c r="D76" s="74" t="s">
        <v>40</v>
      </c>
      <c r="E76" s="74" t="s">
        <v>25</v>
      </c>
      <c r="F76" s="74" t="s">
        <v>25</v>
      </c>
      <c r="G76" s="74" t="s">
        <v>25</v>
      </c>
      <c r="H76" s="74" t="s">
        <v>38</v>
      </c>
      <c r="I76" s="80">
        <v>44682</v>
      </c>
      <c r="J76" s="81">
        <f>EFEITO!$J$76*EFEITO!$Y$76</f>
        <v>0</v>
      </c>
      <c r="K76" s="81">
        <f ca="1">EFEITO!$L$76*EFEITO!$Z$76</f>
        <v>247198.86723545022</v>
      </c>
      <c r="L76" s="81">
        <f>EFEITO!$N$76*EFEITO!$AA$76</f>
        <v>467826.28965598473</v>
      </c>
      <c r="M76" s="81">
        <f>$J$76-EFEITO!$K$76*EFEITO!$Y$76</f>
        <v>0</v>
      </c>
      <c r="N76" s="81">
        <f ca="1">$K$76-EFEITO!$M$76*EFEITO!$Z$76</f>
        <v>0</v>
      </c>
      <c r="O76" s="81">
        <f>$L$76-EFEITO!$O$76*EFEITO!$AA$76</f>
        <v>0</v>
      </c>
      <c r="P76" s="18"/>
      <c r="Q76" s="18"/>
      <c r="R76" s="18"/>
      <c r="S76" s="18"/>
      <c r="T76" s="18"/>
      <c r="U76" s="18"/>
      <c r="V76" s="18"/>
      <c r="W76" s="18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</row>
    <row r="77" spans="1:36" ht="11.25" customHeight="1" x14ac:dyDescent="0.2">
      <c r="A77" s="74" t="s">
        <v>28</v>
      </c>
      <c r="B77" s="74" t="s">
        <v>35</v>
      </c>
      <c r="C77" s="74" t="s">
        <v>39</v>
      </c>
      <c r="D77" s="74" t="s">
        <v>40</v>
      </c>
      <c r="E77" s="74" t="s">
        <v>25</v>
      </c>
      <c r="F77" s="74" t="s">
        <v>25</v>
      </c>
      <c r="G77" s="74" t="s">
        <v>25</v>
      </c>
      <c r="H77" s="74" t="s">
        <v>38</v>
      </c>
      <c r="I77" s="80">
        <v>44682</v>
      </c>
      <c r="J77" s="81">
        <f>EFEITO!$J$77*EFEITO!$Y$77</f>
        <v>0</v>
      </c>
      <c r="K77" s="81">
        <f ca="1">EFEITO!$L$77*EFEITO!$Z$77</f>
        <v>3853.4736437893062</v>
      </c>
      <c r="L77" s="81">
        <f>EFEITO!$N$77*EFEITO!$AA$77</f>
        <v>7292.7368042669968</v>
      </c>
      <c r="M77" s="81">
        <f>$J$77-EFEITO!$K$77*EFEITO!$Y$77</f>
        <v>0</v>
      </c>
      <c r="N77" s="81">
        <f ca="1">$K$77-EFEITO!$M$77*EFEITO!$Z$77</f>
        <v>0</v>
      </c>
      <c r="O77" s="81">
        <f>$L$77-EFEITO!$O$77*EFEITO!$AA$77</f>
        <v>0</v>
      </c>
      <c r="P77" s="18"/>
      <c r="Q77" s="18"/>
      <c r="R77" s="18"/>
      <c r="S77" s="18"/>
      <c r="T77" s="18"/>
      <c r="U77" s="18"/>
      <c r="V77" s="18"/>
      <c r="W77" s="18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</row>
    <row r="78" spans="1:36" ht="11.25" customHeight="1" x14ac:dyDescent="0.2">
      <c r="A78" s="74" t="s">
        <v>21</v>
      </c>
      <c r="B78" s="74" t="s">
        <v>35</v>
      </c>
      <c r="C78" s="74" t="s">
        <v>39</v>
      </c>
      <c r="D78" s="74" t="s">
        <v>40</v>
      </c>
      <c r="E78" s="74" t="s">
        <v>25</v>
      </c>
      <c r="F78" s="74" t="s">
        <v>25</v>
      </c>
      <c r="G78" s="74" t="s">
        <v>25</v>
      </c>
      <c r="H78" s="74" t="s">
        <v>38</v>
      </c>
      <c r="I78" s="80">
        <v>44713</v>
      </c>
      <c r="J78" s="81">
        <f>EFEITO!$J$78*EFEITO!$Y$78</f>
        <v>0</v>
      </c>
      <c r="K78" s="81">
        <f ca="1">EFEITO!$L$78*EFEITO!$Z$78</f>
        <v>232709.60366303934</v>
      </c>
      <c r="L78" s="81">
        <f>EFEITO!$N$78*EFEITO!$AA$78</f>
        <v>440405.2157136341</v>
      </c>
      <c r="M78" s="81">
        <f>$J$78-EFEITO!$K$78*EFEITO!$Y$78</f>
        <v>0</v>
      </c>
      <c r="N78" s="81">
        <f ca="1">$K$78-EFEITO!$M$78*EFEITO!$Z$78</f>
        <v>0</v>
      </c>
      <c r="O78" s="81">
        <f>$L$78-EFEITO!$O$78*EFEITO!$AA$78</f>
        <v>0</v>
      </c>
      <c r="P78" s="18"/>
      <c r="Q78" s="18"/>
      <c r="R78" s="18"/>
      <c r="S78" s="18"/>
      <c r="T78" s="18"/>
      <c r="U78" s="18"/>
      <c r="V78" s="18"/>
      <c r="W78" s="18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</row>
    <row r="79" spans="1:36" ht="11.25" customHeight="1" x14ac:dyDescent="0.2">
      <c r="A79" s="74" t="s">
        <v>28</v>
      </c>
      <c r="B79" s="74" t="s">
        <v>35</v>
      </c>
      <c r="C79" s="74" t="s">
        <v>39</v>
      </c>
      <c r="D79" s="74" t="s">
        <v>40</v>
      </c>
      <c r="E79" s="74" t="s">
        <v>25</v>
      </c>
      <c r="F79" s="74" t="s">
        <v>25</v>
      </c>
      <c r="G79" s="74" t="s">
        <v>25</v>
      </c>
      <c r="H79" s="74" t="s">
        <v>38</v>
      </c>
      <c r="I79" s="80">
        <v>44713</v>
      </c>
      <c r="J79" s="81">
        <f>EFEITO!$J$79*EFEITO!$Y$79</f>
        <v>0</v>
      </c>
      <c r="K79" s="81">
        <f ca="1">EFEITO!$L$79*EFEITO!$Z$79</f>
        <v>4453.3584959597902</v>
      </c>
      <c r="L79" s="81">
        <f>EFEITO!$N$79*EFEITO!$AA$79</f>
        <v>8428.0247922351718</v>
      </c>
      <c r="M79" s="81">
        <f>$J$79-EFEITO!$K$79*EFEITO!$Y$79</f>
        <v>0</v>
      </c>
      <c r="N79" s="81">
        <f ca="1">$K$79-EFEITO!$M$79*EFEITO!$Z$79</f>
        <v>0</v>
      </c>
      <c r="O79" s="81">
        <f>$L$79-EFEITO!$O$79*EFEITO!$AA$79</f>
        <v>0</v>
      </c>
      <c r="P79" s="18"/>
      <c r="Q79" s="18"/>
      <c r="R79" s="18"/>
      <c r="S79" s="18"/>
      <c r="T79" s="18"/>
      <c r="U79" s="18"/>
      <c r="V79" s="18"/>
      <c r="W79" s="18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</row>
    <row r="80" spans="1:36" ht="11.25" customHeight="1" x14ac:dyDescent="0.2">
      <c r="A80" s="74" t="s">
        <v>55</v>
      </c>
      <c r="B80" s="74" t="s">
        <v>35</v>
      </c>
      <c r="C80" s="74" t="s">
        <v>39</v>
      </c>
      <c r="D80" s="74" t="s">
        <v>40</v>
      </c>
      <c r="E80" s="74" t="s">
        <v>25</v>
      </c>
      <c r="F80" s="74" t="s">
        <v>25</v>
      </c>
      <c r="G80" s="74" t="s">
        <v>25</v>
      </c>
      <c r="H80" s="74" t="s">
        <v>38</v>
      </c>
      <c r="I80" s="80">
        <v>44743</v>
      </c>
      <c r="J80" s="81">
        <f>EFEITO!$J$80*EFEITO!$Y$80</f>
        <v>0</v>
      </c>
      <c r="K80" s="81">
        <f ca="1">EFEITO!$L$80*EFEITO!$Z$80</f>
        <v>232709.60366303934</v>
      </c>
      <c r="L80" s="81">
        <f>EFEITO!$N$80*EFEITO!$AA$80</f>
        <v>440405.2157136341</v>
      </c>
      <c r="M80" s="81">
        <f>$J$80-EFEITO!$K$80*EFEITO!$Y$80</f>
        <v>0</v>
      </c>
      <c r="N80" s="81">
        <f ca="1">$K$80-EFEITO!$M$80*EFEITO!$Z$80</f>
        <v>0</v>
      </c>
      <c r="O80" s="81">
        <f>$L$80-EFEITO!$O$80*EFEITO!$AA$80</f>
        <v>0</v>
      </c>
      <c r="P80" s="18"/>
      <c r="Q80" s="18"/>
      <c r="R80" s="18"/>
      <c r="S80" s="18"/>
      <c r="T80" s="18"/>
      <c r="U80" s="18"/>
      <c r="V80" s="18"/>
      <c r="W80" s="18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</row>
    <row r="81" spans="1:36" ht="11.25" customHeight="1" x14ac:dyDescent="0.2">
      <c r="A81" s="74" t="s">
        <v>55</v>
      </c>
      <c r="B81" s="74" t="s">
        <v>35</v>
      </c>
      <c r="C81" s="74" t="s">
        <v>39</v>
      </c>
      <c r="D81" s="74" t="s">
        <v>40</v>
      </c>
      <c r="E81" s="74" t="s">
        <v>25</v>
      </c>
      <c r="F81" s="74" t="s">
        <v>25</v>
      </c>
      <c r="G81" s="74" t="s">
        <v>25</v>
      </c>
      <c r="H81" s="74" t="s">
        <v>38</v>
      </c>
      <c r="I81" s="80">
        <v>44743</v>
      </c>
      <c r="J81" s="81">
        <f>EFEITO!$J$81*EFEITO!$Y$81</f>
        <v>0</v>
      </c>
      <c r="K81" s="81">
        <f ca="1">EFEITO!$L$81*EFEITO!$Z$81</f>
        <v>4453.3584959597902</v>
      </c>
      <c r="L81" s="81">
        <f>EFEITO!$N$81*EFEITO!$AA$81</f>
        <v>8428.0247922351718</v>
      </c>
      <c r="M81" s="81">
        <f>$J$81-EFEITO!$K$81*EFEITO!$Y$81</f>
        <v>0</v>
      </c>
      <c r="N81" s="81">
        <f ca="1">$K$81-EFEITO!$M$81*EFEITO!$Z$81</f>
        <v>0</v>
      </c>
      <c r="O81" s="81">
        <f>$L$81-EFEITO!$O$81*EFEITO!$AA$81</f>
        <v>0</v>
      </c>
      <c r="P81" s="18"/>
      <c r="Q81" s="18"/>
      <c r="R81" s="18"/>
      <c r="S81" s="18"/>
      <c r="T81" s="18"/>
      <c r="U81" s="18"/>
      <c r="V81" s="18"/>
      <c r="W81" s="18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</row>
    <row r="82" spans="1:36" ht="11.25" customHeight="1" x14ac:dyDescent="0.2">
      <c r="A82" s="74" t="s">
        <v>21</v>
      </c>
      <c r="B82" s="74" t="s">
        <v>35</v>
      </c>
      <c r="C82" s="74" t="s">
        <v>39</v>
      </c>
      <c r="D82" s="74" t="s">
        <v>40</v>
      </c>
      <c r="E82" s="74" t="s">
        <v>25</v>
      </c>
      <c r="F82" s="74" t="s">
        <v>25</v>
      </c>
      <c r="G82" s="74" t="s">
        <v>25</v>
      </c>
      <c r="H82" s="74" t="s">
        <v>25</v>
      </c>
      <c r="I82" s="80">
        <v>44409</v>
      </c>
      <c r="J82" s="81">
        <f ca="1">EFEITO!$J$82*EFEITO!$Y$82</f>
        <v>181541.86246754619</v>
      </c>
      <c r="K82" s="81">
        <f>EFEITO!$L$82*EFEITO!$Z$82</f>
        <v>0</v>
      </c>
      <c r="L82" s="81">
        <f>EFEITO!$N$82*EFEITO!$AA$82</f>
        <v>0</v>
      </c>
      <c r="M82" s="81">
        <f ca="1">$J$82-EFEITO!$K$82*EFEITO!$Y$82</f>
        <v>0</v>
      </c>
      <c r="N82" s="81">
        <f>$K$82-EFEITO!$M$82*EFEITO!$Z$82</f>
        <v>0</v>
      </c>
      <c r="O82" s="81">
        <f>$L$82-EFEITO!$O$82*EFEITO!$AA$82</f>
        <v>0</v>
      </c>
      <c r="P82" s="18"/>
      <c r="Q82" s="18"/>
      <c r="R82" s="18"/>
      <c r="S82" s="18"/>
      <c r="T82" s="18"/>
      <c r="U82" s="18"/>
      <c r="V82" s="18"/>
      <c r="W82" s="18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</row>
    <row r="83" spans="1:36" ht="11.25" customHeight="1" x14ac:dyDescent="0.2">
      <c r="A83" s="74" t="s">
        <v>21</v>
      </c>
      <c r="B83" s="74" t="s">
        <v>35</v>
      </c>
      <c r="C83" s="74" t="s">
        <v>39</v>
      </c>
      <c r="D83" s="74" t="s">
        <v>40</v>
      </c>
      <c r="E83" s="74" t="s">
        <v>25</v>
      </c>
      <c r="F83" s="74" t="s">
        <v>25</v>
      </c>
      <c r="G83" s="74" t="s">
        <v>25</v>
      </c>
      <c r="H83" s="74" t="s">
        <v>25</v>
      </c>
      <c r="I83" s="80">
        <v>44440</v>
      </c>
      <c r="J83" s="81">
        <f ca="1">EFEITO!$J$83*EFEITO!$Y$83</f>
        <v>184758.45478709569</v>
      </c>
      <c r="K83" s="81">
        <f>EFEITO!$L$83*EFEITO!$Z$83</f>
        <v>0</v>
      </c>
      <c r="L83" s="81">
        <f>EFEITO!$N$83*EFEITO!$AA$83</f>
        <v>0</v>
      </c>
      <c r="M83" s="81">
        <f ca="1">$J$83-EFEITO!$K$83*EFEITO!$Y$83</f>
        <v>0</v>
      </c>
      <c r="N83" s="81">
        <f>$K$83-EFEITO!$M$83*EFEITO!$Z$83</f>
        <v>0</v>
      </c>
      <c r="O83" s="81">
        <f>$L$83-EFEITO!$O$83*EFEITO!$AA$83</f>
        <v>0</v>
      </c>
      <c r="P83" s="18"/>
      <c r="Q83" s="18"/>
      <c r="R83" s="18"/>
      <c r="S83" s="18"/>
      <c r="T83" s="18"/>
      <c r="U83" s="18"/>
      <c r="V83" s="18"/>
      <c r="W83" s="18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</row>
    <row r="84" spans="1:36" ht="11.25" customHeight="1" x14ac:dyDescent="0.2">
      <c r="A84" s="74" t="s">
        <v>21</v>
      </c>
      <c r="B84" s="74" t="s">
        <v>35</v>
      </c>
      <c r="C84" s="74" t="s">
        <v>39</v>
      </c>
      <c r="D84" s="74" t="s">
        <v>40</v>
      </c>
      <c r="E84" s="74" t="s">
        <v>25</v>
      </c>
      <c r="F84" s="74" t="s">
        <v>25</v>
      </c>
      <c r="G84" s="74" t="s">
        <v>25</v>
      </c>
      <c r="H84" s="74" t="s">
        <v>25</v>
      </c>
      <c r="I84" s="80">
        <v>44470</v>
      </c>
      <c r="J84" s="81">
        <f ca="1">EFEITO!$J$84*EFEITO!$Y$84</f>
        <v>197733.49272473785</v>
      </c>
      <c r="K84" s="81">
        <f>EFEITO!$L$84*EFEITO!$Z$84</f>
        <v>0</v>
      </c>
      <c r="L84" s="81">
        <f>EFEITO!$N$84*EFEITO!$AA$84</f>
        <v>0</v>
      </c>
      <c r="M84" s="81">
        <f ca="1">$J$84-EFEITO!$K$84*EFEITO!$Y$84</f>
        <v>0</v>
      </c>
      <c r="N84" s="81">
        <f>$K$84-EFEITO!$M$84*EFEITO!$Z$84</f>
        <v>0</v>
      </c>
      <c r="O84" s="81">
        <f>$L$84-EFEITO!$O$84*EFEITO!$AA$84</f>
        <v>0</v>
      </c>
      <c r="P84" s="18"/>
      <c r="Q84" s="18"/>
      <c r="R84" s="18"/>
      <c r="S84" s="18"/>
      <c r="T84" s="18"/>
      <c r="U84" s="18"/>
      <c r="V84" s="18"/>
      <c r="W84" s="18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</row>
    <row r="85" spans="1:36" ht="11.25" customHeight="1" x14ac:dyDescent="0.2">
      <c r="A85" s="74" t="s">
        <v>21</v>
      </c>
      <c r="B85" s="74" t="s">
        <v>35</v>
      </c>
      <c r="C85" s="74" t="s">
        <v>39</v>
      </c>
      <c r="D85" s="74" t="s">
        <v>40</v>
      </c>
      <c r="E85" s="74" t="s">
        <v>25</v>
      </c>
      <c r="F85" s="74" t="s">
        <v>25</v>
      </c>
      <c r="G85" s="74" t="s">
        <v>25</v>
      </c>
      <c r="H85" s="74" t="s">
        <v>25</v>
      </c>
      <c r="I85" s="80">
        <v>44501</v>
      </c>
      <c r="J85" s="81">
        <f ca="1">EFEITO!$J$85*EFEITO!$Y$85</f>
        <v>199189.65276129066</v>
      </c>
      <c r="K85" s="81">
        <f>EFEITO!$L$85*EFEITO!$Z$85</f>
        <v>0</v>
      </c>
      <c r="L85" s="81">
        <f>EFEITO!$N$85*EFEITO!$AA$85</f>
        <v>0</v>
      </c>
      <c r="M85" s="81">
        <f ca="1">$J$85-EFEITO!$K$85*EFEITO!$Y$85</f>
        <v>0</v>
      </c>
      <c r="N85" s="81">
        <f>$K$85-EFEITO!$M$85*EFEITO!$Z$85</f>
        <v>0</v>
      </c>
      <c r="O85" s="81">
        <f>$L$85-EFEITO!$O$85*EFEITO!$AA$85</f>
        <v>0</v>
      </c>
      <c r="P85" s="18"/>
      <c r="Q85" s="18"/>
      <c r="R85" s="18"/>
      <c r="S85" s="18"/>
      <c r="T85" s="18"/>
      <c r="U85" s="18"/>
      <c r="V85" s="18"/>
      <c r="W85" s="18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</row>
    <row r="86" spans="1:36" ht="11.25" customHeight="1" x14ac:dyDescent="0.2">
      <c r="A86" s="74" t="s">
        <v>21</v>
      </c>
      <c r="B86" s="74" t="s">
        <v>35</v>
      </c>
      <c r="C86" s="74" t="s">
        <v>39</v>
      </c>
      <c r="D86" s="74" t="s">
        <v>40</v>
      </c>
      <c r="E86" s="74" t="s">
        <v>25</v>
      </c>
      <c r="F86" s="74" t="s">
        <v>25</v>
      </c>
      <c r="G86" s="74" t="s">
        <v>25</v>
      </c>
      <c r="H86" s="74" t="s">
        <v>25</v>
      </c>
      <c r="I86" s="80">
        <v>44531</v>
      </c>
      <c r="J86" s="81">
        <f ca="1">EFEITO!$J$86*EFEITO!$Y$86</f>
        <v>200971.81877617619</v>
      </c>
      <c r="K86" s="81">
        <f>EFEITO!$L$86*EFEITO!$Z$86</f>
        <v>0</v>
      </c>
      <c r="L86" s="81">
        <f>EFEITO!$N$86*EFEITO!$AA$86</f>
        <v>0</v>
      </c>
      <c r="M86" s="81">
        <f ca="1">$J$86-EFEITO!$K$86*EFEITO!$Y$86</f>
        <v>0</v>
      </c>
      <c r="N86" s="81">
        <f>$K$86-EFEITO!$M$86*EFEITO!$Z$86</f>
        <v>0</v>
      </c>
      <c r="O86" s="81">
        <f>$L$86-EFEITO!$O$86*EFEITO!$AA$86</f>
        <v>0</v>
      </c>
      <c r="P86" s="18"/>
      <c r="Q86" s="18"/>
      <c r="R86" s="18"/>
      <c r="S86" s="18"/>
      <c r="T86" s="18"/>
      <c r="U86" s="18"/>
      <c r="V86" s="18"/>
      <c r="W86" s="18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</row>
    <row r="87" spans="1:36" ht="11.25" customHeight="1" x14ac:dyDescent="0.2">
      <c r="A87" s="74" t="s">
        <v>28</v>
      </c>
      <c r="B87" s="74" t="s">
        <v>35</v>
      </c>
      <c r="C87" s="74" t="s">
        <v>39</v>
      </c>
      <c r="D87" s="74" t="s">
        <v>40</v>
      </c>
      <c r="E87" s="74" t="s">
        <v>25</v>
      </c>
      <c r="F87" s="74" t="s">
        <v>25</v>
      </c>
      <c r="G87" s="74" t="s">
        <v>25</v>
      </c>
      <c r="H87" s="74" t="s">
        <v>25</v>
      </c>
      <c r="I87" s="80">
        <v>44531</v>
      </c>
      <c r="J87" s="81">
        <f ca="1">EFEITO!$J$87*EFEITO!$Y$87</f>
        <v>4238.0777183253331</v>
      </c>
      <c r="K87" s="81">
        <f>EFEITO!$L$87*EFEITO!$Z$87</f>
        <v>0</v>
      </c>
      <c r="L87" s="81">
        <f>EFEITO!$N$87*EFEITO!$AA$87</f>
        <v>0</v>
      </c>
      <c r="M87" s="81">
        <f ca="1">$J$87-EFEITO!$K$87*EFEITO!$Y$87</f>
        <v>0</v>
      </c>
      <c r="N87" s="81">
        <f>$K$87-EFEITO!$M$87*EFEITO!$Z$87</f>
        <v>0</v>
      </c>
      <c r="O87" s="81">
        <f>$L$87-EFEITO!$O$87*EFEITO!$AA$87</f>
        <v>0</v>
      </c>
      <c r="P87" s="18"/>
      <c r="Q87" s="18"/>
      <c r="R87" s="18"/>
      <c r="S87" s="18"/>
      <c r="T87" s="18"/>
      <c r="U87" s="18"/>
      <c r="V87" s="18"/>
      <c r="W87" s="18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</row>
    <row r="88" spans="1:36" ht="11.25" customHeight="1" x14ac:dyDescent="0.2">
      <c r="A88" s="74" t="s">
        <v>21</v>
      </c>
      <c r="B88" s="74" t="s">
        <v>35</v>
      </c>
      <c r="C88" s="74" t="s">
        <v>39</v>
      </c>
      <c r="D88" s="74" t="s">
        <v>40</v>
      </c>
      <c r="E88" s="74" t="s">
        <v>25</v>
      </c>
      <c r="F88" s="74" t="s">
        <v>25</v>
      </c>
      <c r="G88" s="74" t="s">
        <v>25</v>
      </c>
      <c r="H88" s="74" t="s">
        <v>25</v>
      </c>
      <c r="I88" s="80">
        <v>44562</v>
      </c>
      <c r="J88" s="81">
        <f ca="1">EFEITO!$J$88*EFEITO!$Y$88</f>
        <v>201319.55848639776</v>
      </c>
      <c r="K88" s="81">
        <f>EFEITO!$L$88*EFEITO!$Z$88</f>
        <v>0</v>
      </c>
      <c r="L88" s="81">
        <f>EFEITO!$N$88*EFEITO!$AA$88</f>
        <v>0</v>
      </c>
      <c r="M88" s="81">
        <f ca="1">$J$88-EFEITO!$K$88*EFEITO!$Y$88</f>
        <v>0</v>
      </c>
      <c r="N88" s="81">
        <f>$K$88-EFEITO!$M$88*EFEITO!$Z$88</f>
        <v>0</v>
      </c>
      <c r="O88" s="81">
        <f>$L$88-EFEITO!$O$88*EFEITO!$AA$88</f>
        <v>0</v>
      </c>
      <c r="P88" s="18"/>
      <c r="Q88" s="18"/>
      <c r="R88" s="18"/>
      <c r="S88" s="18"/>
      <c r="T88" s="18"/>
      <c r="U88" s="18"/>
      <c r="V88" s="18"/>
      <c r="W88" s="18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</row>
    <row r="89" spans="1:36" ht="11.25" customHeight="1" x14ac:dyDescent="0.2">
      <c r="A89" s="74" t="s">
        <v>28</v>
      </c>
      <c r="B89" s="74" t="s">
        <v>35</v>
      </c>
      <c r="C89" s="74" t="s">
        <v>39</v>
      </c>
      <c r="D89" s="74" t="s">
        <v>40</v>
      </c>
      <c r="E89" s="74" t="s">
        <v>25</v>
      </c>
      <c r="F89" s="74" t="s">
        <v>25</v>
      </c>
      <c r="G89" s="74" t="s">
        <v>25</v>
      </c>
      <c r="H89" s="74" t="s">
        <v>25</v>
      </c>
      <c r="I89" s="80">
        <v>44562</v>
      </c>
      <c r="J89" s="81">
        <f ca="1">EFEITO!$J$89*EFEITO!$Y$89</f>
        <v>3825.1368124372239</v>
      </c>
      <c r="K89" s="81">
        <f>EFEITO!$L$89*EFEITO!$Z$89</f>
        <v>0</v>
      </c>
      <c r="L89" s="81">
        <f>EFEITO!$N$89*EFEITO!$AA$89</f>
        <v>0</v>
      </c>
      <c r="M89" s="81">
        <f ca="1">$J$89-EFEITO!$K$89*EFEITO!$Y$89</f>
        <v>0</v>
      </c>
      <c r="N89" s="81">
        <f>$K$89-EFEITO!$M$89*EFEITO!$Z$89</f>
        <v>0</v>
      </c>
      <c r="O89" s="81">
        <f>$L$89-EFEITO!$O$89*EFEITO!$AA$89</f>
        <v>0</v>
      </c>
      <c r="P89" s="18"/>
      <c r="Q89" s="18"/>
      <c r="R89" s="18"/>
      <c r="S89" s="18"/>
      <c r="T89" s="18"/>
      <c r="U89" s="18"/>
      <c r="V89" s="18"/>
      <c r="W89" s="18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</row>
    <row r="90" spans="1:36" ht="11.25" customHeight="1" x14ac:dyDescent="0.2">
      <c r="A90" s="74" t="s">
        <v>21</v>
      </c>
      <c r="B90" s="74" t="s">
        <v>35</v>
      </c>
      <c r="C90" s="74" t="s">
        <v>39</v>
      </c>
      <c r="D90" s="74" t="s">
        <v>40</v>
      </c>
      <c r="E90" s="74" t="s">
        <v>25</v>
      </c>
      <c r="F90" s="74" t="s">
        <v>25</v>
      </c>
      <c r="G90" s="74" t="s">
        <v>25</v>
      </c>
      <c r="H90" s="74" t="s">
        <v>25</v>
      </c>
      <c r="I90" s="80">
        <v>44593</v>
      </c>
      <c r="J90" s="81">
        <f ca="1">EFEITO!$J$90*EFEITO!$Y$90</f>
        <v>200124.20323251112</v>
      </c>
      <c r="K90" s="81">
        <f>EFEITO!$L$90*EFEITO!$Z$90</f>
        <v>0</v>
      </c>
      <c r="L90" s="81">
        <f>EFEITO!$N$90*EFEITO!$AA$90</f>
        <v>0</v>
      </c>
      <c r="M90" s="81">
        <f ca="1">$J$90-EFEITO!$K$90*EFEITO!$Y$90</f>
        <v>0</v>
      </c>
      <c r="N90" s="81">
        <f>$K$90-EFEITO!$M$90*EFEITO!$Z$90</f>
        <v>0</v>
      </c>
      <c r="O90" s="81">
        <f>$L$90-EFEITO!$O$90*EFEITO!$AA$90</f>
        <v>0</v>
      </c>
      <c r="P90" s="18"/>
      <c r="Q90" s="18"/>
      <c r="R90" s="18"/>
      <c r="S90" s="18"/>
      <c r="T90" s="18"/>
      <c r="U90" s="18"/>
      <c r="V90" s="18"/>
      <c r="W90" s="18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</row>
    <row r="91" spans="1:36" ht="11.25" customHeight="1" x14ac:dyDescent="0.2">
      <c r="A91" s="74" t="s">
        <v>28</v>
      </c>
      <c r="B91" s="74" t="s">
        <v>35</v>
      </c>
      <c r="C91" s="74" t="s">
        <v>39</v>
      </c>
      <c r="D91" s="74" t="s">
        <v>40</v>
      </c>
      <c r="E91" s="74" t="s">
        <v>25</v>
      </c>
      <c r="F91" s="74" t="s">
        <v>25</v>
      </c>
      <c r="G91" s="74" t="s">
        <v>25</v>
      </c>
      <c r="H91" s="74" t="s">
        <v>25</v>
      </c>
      <c r="I91" s="80">
        <v>44593</v>
      </c>
      <c r="J91" s="81">
        <f ca="1">EFEITO!$J$91*EFEITO!$Y$91</f>
        <v>3738.2018848818325</v>
      </c>
      <c r="K91" s="81">
        <f>EFEITO!$L$91*EFEITO!$Z$91</f>
        <v>0</v>
      </c>
      <c r="L91" s="81">
        <f>EFEITO!$N$91*EFEITO!$AA$91</f>
        <v>0</v>
      </c>
      <c r="M91" s="81">
        <f ca="1">$J$91-EFEITO!$K$91*EFEITO!$Y$91</f>
        <v>0</v>
      </c>
      <c r="N91" s="81">
        <f>$K$91-EFEITO!$M$91*EFEITO!$Z$91</f>
        <v>0</v>
      </c>
      <c r="O91" s="81">
        <f>$L$91-EFEITO!$O$91*EFEITO!$AA$91</f>
        <v>0</v>
      </c>
      <c r="P91" s="18"/>
      <c r="Q91" s="18"/>
      <c r="R91" s="18"/>
      <c r="S91" s="18"/>
      <c r="T91" s="18"/>
      <c r="U91" s="18"/>
      <c r="V91" s="18"/>
      <c r="W91" s="18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</row>
    <row r="92" spans="1:36" ht="11.25" customHeight="1" x14ac:dyDescent="0.2">
      <c r="A92" s="74" t="s">
        <v>21</v>
      </c>
      <c r="B92" s="74" t="s">
        <v>35</v>
      </c>
      <c r="C92" s="74" t="s">
        <v>39</v>
      </c>
      <c r="D92" s="74" t="s">
        <v>40</v>
      </c>
      <c r="E92" s="74" t="s">
        <v>25</v>
      </c>
      <c r="F92" s="74" t="s">
        <v>25</v>
      </c>
      <c r="G92" s="74" t="s">
        <v>25</v>
      </c>
      <c r="H92" s="74" t="s">
        <v>25</v>
      </c>
      <c r="I92" s="80">
        <v>44621</v>
      </c>
      <c r="J92" s="81">
        <f ca="1">EFEITO!$J$92*EFEITO!$Y$92</f>
        <v>203101.72450128329</v>
      </c>
      <c r="K92" s="81">
        <f>EFEITO!$L$92*EFEITO!$Z$92</f>
        <v>0</v>
      </c>
      <c r="L92" s="81">
        <f>EFEITO!$N$92*EFEITO!$AA$92</f>
        <v>0</v>
      </c>
      <c r="M92" s="81">
        <f ca="1">$J$92-EFEITO!$K$92*EFEITO!$Y$92</f>
        <v>0</v>
      </c>
      <c r="N92" s="81">
        <f>$K$92-EFEITO!$M$92*EFEITO!$Z$92</f>
        <v>0</v>
      </c>
      <c r="O92" s="81">
        <f>$L$92-EFEITO!$O$92*EFEITO!$AA$92</f>
        <v>0</v>
      </c>
      <c r="P92" s="18"/>
      <c r="Q92" s="18"/>
      <c r="R92" s="18"/>
      <c r="S92" s="18"/>
      <c r="T92" s="18"/>
      <c r="U92" s="18"/>
      <c r="V92" s="18"/>
      <c r="W92" s="18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</row>
    <row r="93" spans="1:36" ht="11.25" customHeight="1" x14ac:dyDescent="0.2">
      <c r="A93" s="74" t="s">
        <v>28</v>
      </c>
      <c r="B93" s="74" t="s">
        <v>35</v>
      </c>
      <c r="C93" s="74" t="s">
        <v>39</v>
      </c>
      <c r="D93" s="74" t="s">
        <v>40</v>
      </c>
      <c r="E93" s="74" t="s">
        <v>25</v>
      </c>
      <c r="F93" s="74" t="s">
        <v>25</v>
      </c>
      <c r="G93" s="74" t="s">
        <v>25</v>
      </c>
      <c r="H93" s="74" t="s">
        <v>25</v>
      </c>
      <c r="I93" s="80">
        <v>44621</v>
      </c>
      <c r="J93" s="81">
        <f ca="1">EFEITO!$J$93*EFEITO!$Y$93</f>
        <v>4455.415037213812</v>
      </c>
      <c r="K93" s="81">
        <f>EFEITO!$L$93*EFEITO!$Z$93</f>
        <v>0</v>
      </c>
      <c r="L93" s="81">
        <f>EFEITO!$N$93*EFEITO!$AA$93</f>
        <v>0</v>
      </c>
      <c r="M93" s="81">
        <f ca="1">$J$93-EFEITO!$K$93*EFEITO!$Y$93</f>
        <v>0</v>
      </c>
      <c r="N93" s="81">
        <f>$K$93-EFEITO!$M$93*EFEITO!$Z$93</f>
        <v>0</v>
      </c>
      <c r="O93" s="81">
        <f>$L$93-EFEITO!$O$93*EFEITO!$AA$93</f>
        <v>0</v>
      </c>
      <c r="P93" s="18"/>
      <c r="Q93" s="18"/>
      <c r="R93" s="18"/>
      <c r="S93" s="18"/>
      <c r="T93" s="18"/>
      <c r="U93" s="18"/>
      <c r="V93" s="18"/>
      <c r="W93" s="18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</row>
    <row r="94" spans="1:36" ht="11.25" customHeight="1" x14ac:dyDescent="0.2">
      <c r="A94" s="74" t="s">
        <v>21</v>
      </c>
      <c r="B94" s="74" t="s">
        <v>35</v>
      </c>
      <c r="C94" s="74" t="s">
        <v>39</v>
      </c>
      <c r="D94" s="74" t="s">
        <v>40</v>
      </c>
      <c r="E94" s="74" t="s">
        <v>25</v>
      </c>
      <c r="F94" s="74" t="s">
        <v>25</v>
      </c>
      <c r="G94" s="74" t="s">
        <v>25</v>
      </c>
      <c r="H94" s="74" t="s">
        <v>25</v>
      </c>
      <c r="I94" s="80">
        <v>44652</v>
      </c>
      <c r="J94" s="81">
        <f ca="1">EFEITO!$J$94*EFEITO!$Y$94</f>
        <v>200319.80681951076</v>
      </c>
      <c r="K94" s="81">
        <f>EFEITO!$L$94*EFEITO!$Z$94</f>
        <v>0</v>
      </c>
      <c r="L94" s="81">
        <f>EFEITO!$N$94*EFEITO!$AA$94</f>
        <v>0</v>
      </c>
      <c r="M94" s="81">
        <f ca="1">$J$94-EFEITO!$K$94*EFEITO!$Y$94</f>
        <v>0</v>
      </c>
      <c r="N94" s="81">
        <f>$K$94-EFEITO!$M$94*EFEITO!$Z$94</f>
        <v>0</v>
      </c>
      <c r="O94" s="81">
        <f>$L$94-EFEITO!$O$94*EFEITO!$AA$94</f>
        <v>0</v>
      </c>
      <c r="P94" s="18"/>
      <c r="Q94" s="18"/>
      <c r="R94" s="18"/>
      <c r="S94" s="18"/>
      <c r="T94" s="18"/>
      <c r="U94" s="18"/>
      <c r="V94" s="18"/>
      <c r="W94" s="18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</row>
    <row r="95" spans="1:36" ht="11.25" customHeight="1" x14ac:dyDescent="0.2">
      <c r="A95" s="74" t="s">
        <v>28</v>
      </c>
      <c r="B95" s="74" t="s">
        <v>35</v>
      </c>
      <c r="C95" s="74" t="s">
        <v>39</v>
      </c>
      <c r="D95" s="74" t="s">
        <v>40</v>
      </c>
      <c r="E95" s="74" t="s">
        <v>25</v>
      </c>
      <c r="F95" s="74" t="s">
        <v>25</v>
      </c>
      <c r="G95" s="74" t="s">
        <v>25</v>
      </c>
      <c r="H95" s="74" t="s">
        <v>25</v>
      </c>
      <c r="I95" s="80">
        <v>44652</v>
      </c>
      <c r="J95" s="81">
        <f ca="1">EFEITO!$J$95*EFEITO!$Y$95</f>
        <v>3586.0657616598974</v>
      </c>
      <c r="K95" s="81">
        <f>EFEITO!$L$95*EFEITO!$Z$95</f>
        <v>0</v>
      </c>
      <c r="L95" s="81">
        <f>EFEITO!$N$95*EFEITO!$AA$95</f>
        <v>0</v>
      </c>
      <c r="M95" s="81">
        <f ca="1">$J$95-EFEITO!$K$95*EFEITO!$Y$95</f>
        <v>0</v>
      </c>
      <c r="N95" s="81">
        <f>$K$95-EFEITO!$M$95*EFEITO!$Z$95</f>
        <v>0</v>
      </c>
      <c r="O95" s="81">
        <f>$L$95-EFEITO!$O$95*EFEITO!$AA$95</f>
        <v>0</v>
      </c>
      <c r="P95" s="18"/>
      <c r="Q95" s="18"/>
      <c r="R95" s="18"/>
      <c r="S95" s="18"/>
      <c r="T95" s="18"/>
      <c r="U95" s="18"/>
      <c r="V95" s="18"/>
      <c r="W95" s="18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</row>
    <row r="96" spans="1:36" ht="11.25" customHeight="1" x14ac:dyDescent="0.2">
      <c r="A96" s="74" t="s">
        <v>21</v>
      </c>
      <c r="B96" s="74" t="s">
        <v>35</v>
      </c>
      <c r="C96" s="74" t="s">
        <v>39</v>
      </c>
      <c r="D96" s="74" t="s">
        <v>40</v>
      </c>
      <c r="E96" s="74" t="s">
        <v>25</v>
      </c>
      <c r="F96" s="74" t="s">
        <v>25</v>
      </c>
      <c r="G96" s="74" t="s">
        <v>25</v>
      </c>
      <c r="H96" s="74" t="s">
        <v>25</v>
      </c>
      <c r="I96" s="80">
        <v>44682</v>
      </c>
      <c r="J96" s="81">
        <f ca="1">EFEITO!$J$96*EFEITO!$Y$96</f>
        <v>204144.94363194797</v>
      </c>
      <c r="K96" s="81">
        <f>EFEITO!$L$96*EFEITO!$Z$96</f>
        <v>0</v>
      </c>
      <c r="L96" s="81">
        <f>EFEITO!$N$96*EFEITO!$AA$96</f>
        <v>0</v>
      </c>
      <c r="M96" s="81">
        <f ca="1">$J$96-EFEITO!$K$96*EFEITO!$Y$96</f>
        <v>0</v>
      </c>
      <c r="N96" s="81">
        <f>$K$96-EFEITO!$M$96*EFEITO!$Z$96</f>
        <v>0</v>
      </c>
      <c r="O96" s="81">
        <f>$L$96-EFEITO!$O$96*EFEITO!$AA$96</f>
        <v>0</v>
      </c>
      <c r="P96" s="18"/>
      <c r="Q96" s="18"/>
      <c r="R96" s="18"/>
      <c r="S96" s="18"/>
      <c r="T96" s="18"/>
      <c r="U96" s="18"/>
      <c r="V96" s="18"/>
      <c r="W96" s="18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</row>
    <row r="97" spans="1:36" ht="11.25" customHeight="1" x14ac:dyDescent="0.2">
      <c r="A97" s="74" t="s">
        <v>28</v>
      </c>
      <c r="B97" s="74" t="s">
        <v>35</v>
      </c>
      <c r="C97" s="74" t="s">
        <v>39</v>
      </c>
      <c r="D97" s="74" t="s">
        <v>40</v>
      </c>
      <c r="E97" s="74" t="s">
        <v>25</v>
      </c>
      <c r="F97" s="74" t="s">
        <v>25</v>
      </c>
      <c r="G97" s="74" t="s">
        <v>25</v>
      </c>
      <c r="H97" s="74" t="s">
        <v>25</v>
      </c>
      <c r="I97" s="80">
        <v>44682</v>
      </c>
      <c r="J97" s="81">
        <f ca="1">EFEITO!$J$97*EFEITO!$Y$97</f>
        <v>3586.0657616598974</v>
      </c>
      <c r="K97" s="81">
        <f>EFEITO!$L$97*EFEITO!$Z$97</f>
        <v>0</v>
      </c>
      <c r="L97" s="81">
        <f>EFEITO!$N$97*EFEITO!$AA$97</f>
        <v>0</v>
      </c>
      <c r="M97" s="81">
        <f ca="1">$J$97-EFEITO!$K$97*EFEITO!$Y$97</f>
        <v>0</v>
      </c>
      <c r="N97" s="81">
        <f>$K$97-EFEITO!$M$97*EFEITO!$Z$97</f>
        <v>0</v>
      </c>
      <c r="O97" s="81">
        <f>$L$97-EFEITO!$O$97*EFEITO!$AA$97</f>
        <v>0</v>
      </c>
      <c r="P97" s="18"/>
      <c r="Q97" s="18"/>
      <c r="R97" s="18"/>
      <c r="S97" s="18"/>
      <c r="T97" s="18"/>
      <c r="U97" s="18"/>
      <c r="V97" s="18"/>
      <c r="W97" s="18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</row>
    <row r="98" spans="1:36" ht="11.25" customHeight="1" x14ac:dyDescent="0.2">
      <c r="A98" s="74" t="s">
        <v>21</v>
      </c>
      <c r="B98" s="74" t="s">
        <v>35</v>
      </c>
      <c r="C98" s="74" t="s">
        <v>39</v>
      </c>
      <c r="D98" s="74" t="s">
        <v>40</v>
      </c>
      <c r="E98" s="74" t="s">
        <v>25</v>
      </c>
      <c r="F98" s="74" t="s">
        <v>25</v>
      </c>
      <c r="G98" s="74" t="s">
        <v>25</v>
      </c>
      <c r="H98" s="74" t="s">
        <v>25</v>
      </c>
      <c r="I98" s="80">
        <v>44713</v>
      </c>
      <c r="J98" s="81">
        <f ca="1">EFEITO!$J$98*EFEITO!$Y$98</f>
        <v>204470.94961028069</v>
      </c>
      <c r="K98" s="81">
        <f>EFEITO!$L$98*EFEITO!$Z$98</f>
        <v>0</v>
      </c>
      <c r="L98" s="81">
        <f>EFEITO!$N$98*EFEITO!$AA$98</f>
        <v>0</v>
      </c>
      <c r="M98" s="81">
        <f ca="1">$J$98-EFEITO!$K$98*EFEITO!$Y$98</f>
        <v>0</v>
      </c>
      <c r="N98" s="81">
        <f>$K$98-EFEITO!$M$98*EFEITO!$Z$98</f>
        <v>0</v>
      </c>
      <c r="O98" s="81">
        <f>$L$98-EFEITO!$O$98*EFEITO!$AA$98</f>
        <v>0</v>
      </c>
      <c r="P98" s="18"/>
      <c r="Q98" s="18"/>
      <c r="R98" s="18"/>
      <c r="S98" s="18"/>
      <c r="T98" s="18"/>
      <c r="U98" s="18"/>
      <c r="V98" s="18"/>
      <c r="W98" s="18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</row>
    <row r="99" spans="1:36" ht="11.25" customHeight="1" x14ac:dyDescent="0.2">
      <c r="A99" s="74" t="s">
        <v>28</v>
      </c>
      <c r="B99" s="74" t="s">
        <v>35</v>
      </c>
      <c r="C99" s="74" t="s">
        <v>39</v>
      </c>
      <c r="D99" s="74" t="s">
        <v>40</v>
      </c>
      <c r="E99" s="74" t="s">
        <v>25</v>
      </c>
      <c r="F99" s="74" t="s">
        <v>25</v>
      </c>
      <c r="G99" s="74" t="s">
        <v>25</v>
      </c>
      <c r="H99" s="74" t="s">
        <v>25</v>
      </c>
      <c r="I99" s="80">
        <v>44713</v>
      </c>
      <c r="J99" s="81">
        <f ca="1">EFEITO!$J$99*EFEITO!$Y$99</f>
        <v>3586.0657616598974</v>
      </c>
      <c r="K99" s="81">
        <f>EFEITO!$L$99*EFEITO!$Z$99</f>
        <v>0</v>
      </c>
      <c r="L99" s="81">
        <f>EFEITO!$N$99*EFEITO!$AA$99</f>
        <v>0</v>
      </c>
      <c r="M99" s="81">
        <f ca="1">$J$99-EFEITO!$K$99*EFEITO!$Y$99</f>
        <v>0</v>
      </c>
      <c r="N99" s="81">
        <f>$K$99-EFEITO!$M$99*EFEITO!$Z$99</f>
        <v>0</v>
      </c>
      <c r="O99" s="81">
        <f>$L$99-EFEITO!$O$99*EFEITO!$AA$99</f>
        <v>0</v>
      </c>
      <c r="P99" s="18"/>
      <c r="Q99" s="18"/>
      <c r="R99" s="18"/>
      <c r="S99" s="18"/>
      <c r="T99" s="18"/>
      <c r="U99" s="18"/>
      <c r="V99" s="18"/>
      <c r="W99" s="18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</row>
    <row r="100" spans="1:36" ht="11.25" customHeight="1" x14ac:dyDescent="0.2">
      <c r="A100" s="74" t="s">
        <v>55</v>
      </c>
      <c r="B100" s="74" t="s">
        <v>35</v>
      </c>
      <c r="C100" s="74" t="s">
        <v>39</v>
      </c>
      <c r="D100" s="74" t="s">
        <v>40</v>
      </c>
      <c r="E100" s="74" t="s">
        <v>25</v>
      </c>
      <c r="F100" s="74" t="s">
        <v>25</v>
      </c>
      <c r="G100" s="74" t="s">
        <v>25</v>
      </c>
      <c r="H100" s="74" t="s">
        <v>25</v>
      </c>
      <c r="I100" s="80">
        <v>44743</v>
      </c>
      <c r="J100" s="81">
        <f ca="1">EFEITO!$J$100*EFEITO!$Y$100</f>
        <v>204470.94961028069</v>
      </c>
      <c r="K100" s="81">
        <f>EFEITO!$L$100*EFEITO!$Z$100</f>
        <v>0</v>
      </c>
      <c r="L100" s="81">
        <f>EFEITO!$N$100*EFEITO!$AA$100</f>
        <v>0</v>
      </c>
      <c r="M100" s="81">
        <f ca="1">$J$100-EFEITO!$K$100*EFEITO!$Y$100</f>
        <v>0</v>
      </c>
      <c r="N100" s="81">
        <f>$K$100-EFEITO!$M$100*EFEITO!$Z$100</f>
        <v>0</v>
      </c>
      <c r="O100" s="81">
        <f>$L$100-EFEITO!$O$100*EFEITO!$AA$100</f>
        <v>0</v>
      </c>
      <c r="P100" s="18"/>
      <c r="Q100" s="18"/>
      <c r="R100" s="18"/>
      <c r="S100" s="18"/>
      <c r="T100" s="18"/>
      <c r="U100" s="18"/>
      <c r="V100" s="18"/>
      <c r="W100" s="18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</row>
    <row r="101" spans="1:36" ht="11.25" customHeight="1" x14ac:dyDescent="0.2">
      <c r="A101" s="74" t="s">
        <v>55</v>
      </c>
      <c r="B101" s="74" t="s">
        <v>35</v>
      </c>
      <c r="C101" s="74" t="s">
        <v>39</v>
      </c>
      <c r="D101" s="74" t="s">
        <v>40</v>
      </c>
      <c r="E101" s="74" t="s">
        <v>25</v>
      </c>
      <c r="F101" s="74" t="s">
        <v>25</v>
      </c>
      <c r="G101" s="74" t="s">
        <v>25</v>
      </c>
      <c r="H101" s="74" t="s">
        <v>25</v>
      </c>
      <c r="I101" s="80">
        <v>44743</v>
      </c>
      <c r="J101" s="81">
        <f ca="1">EFEITO!$J$101*EFEITO!$Y$101</f>
        <v>3586.0657616598974</v>
      </c>
      <c r="K101" s="81">
        <f>EFEITO!$L$101*EFEITO!$Z$101</f>
        <v>0</v>
      </c>
      <c r="L101" s="81">
        <f>EFEITO!$N$101*EFEITO!$AA$101</f>
        <v>0</v>
      </c>
      <c r="M101" s="81">
        <f ca="1">$J$101-EFEITO!$K$101*EFEITO!$Y$101</f>
        <v>0</v>
      </c>
      <c r="N101" s="81">
        <f>$K$101-EFEITO!$M$101*EFEITO!$Z$101</f>
        <v>0</v>
      </c>
      <c r="O101" s="81">
        <f>$L$101-EFEITO!$O$101*EFEITO!$AA$101</f>
        <v>0</v>
      </c>
      <c r="P101" s="18"/>
      <c r="Q101" s="18"/>
      <c r="R101" s="18"/>
      <c r="S101" s="18"/>
      <c r="T101" s="18"/>
      <c r="U101" s="18"/>
      <c r="V101" s="18"/>
      <c r="W101" s="18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</row>
    <row r="102" spans="1:36" ht="11.25" customHeight="1" x14ac:dyDescent="0.2">
      <c r="A102" s="74" t="s">
        <v>21</v>
      </c>
      <c r="B102" s="74" t="s">
        <v>35</v>
      </c>
      <c r="C102" s="74" t="s">
        <v>39</v>
      </c>
      <c r="D102" s="74" t="s">
        <v>40</v>
      </c>
      <c r="E102" s="74" t="s">
        <v>25</v>
      </c>
      <c r="F102" s="74" t="s">
        <v>25</v>
      </c>
      <c r="G102" s="74" t="s">
        <v>25</v>
      </c>
      <c r="H102" s="74" t="s">
        <v>37</v>
      </c>
      <c r="I102" s="80">
        <v>44409</v>
      </c>
      <c r="J102" s="81">
        <f>EFEITO!$J$102*EFEITO!$Y$102</f>
        <v>0</v>
      </c>
      <c r="K102" s="81">
        <f ca="1">EFEITO!$L$102*EFEITO!$Z$102</f>
        <v>165890.13899658155</v>
      </c>
      <c r="L102" s="81">
        <f>EFEITO!$N$102*EFEITO!$AA$102</f>
        <v>40304.685406355035</v>
      </c>
      <c r="M102" s="81">
        <f>$J$102-EFEITO!$K$102*EFEITO!$Y$102</f>
        <v>0</v>
      </c>
      <c r="N102" s="81">
        <f ca="1">$K$102-EFEITO!$M$102*EFEITO!$Z$102</f>
        <v>0</v>
      </c>
      <c r="O102" s="81">
        <f>$L$102-EFEITO!$O$102*EFEITO!$AA$102</f>
        <v>0</v>
      </c>
      <c r="P102" s="18"/>
      <c r="Q102" s="18"/>
      <c r="R102" s="18"/>
      <c r="S102" s="18"/>
      <c r="T102" s="18"/>
      <c r="U102" s="18"/>
      <c r="V102" s="18"/>
      <c r="W102" s="18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</row>
    <row r="103" spans="1:36" ht="11.25" customHeight="1" x14ac:dyDescent="0.2">
      <c r="A103" s="74" t="s">
        <v>21</v>
      </c>
      <c r="B103" s="74" t="s">
        <v>35</v>
      </c>
      <c r="C103" s="74" t="s">
        <v>39</v>
      </c>
      <c r="D103" s="74" t="s">
        <v>40</v>
      </c>
      <c r="E103" s="74" t="s">
        <v>25</v>
      </c>
      <c r="F103" s="74" t="s">
        <v>25</v>
      </c>
      <c r="G103" s="74" t="s">
        <v>25</v>
      </c>
      <c r="H103" s="74" t="s">
        <v>37</v>
      </c>
      <c r="I103" s="80">
        <v>44440</v>
      </c>
      <c r="J103" s="81">
        <f>EFEITO!$J$103*EFEITO!$Y$103</f>
        <v>0</v>
      </c>
      <c r="K103" s="81">
        <f ca="1">EFEITO!$L$103*EFEITO!$Z$103</f>
        <v>206412.76148580617</v>
      </c>
      <c r="L103" s="81">
        <f>EFEITO!$N$103*EFEITO!$AA$103</f>
        <v>50150.065976578939</v>
      </c>
      <c r="M103" s="81">
        <f>$J$103-EFEITO!$K$103*EFEITO!$Y$103</f>
        <v>0</v>
      </c>
      <c r="N103" s="81">
        <f ca="1">$K$103-EFEITO!$M$103*EFEITO!$Z$103</f>
        <v>0</v>
      </c>
      <c r="O103" s="81">
        <f>$L$103-EFEITO!$O$103*EFEITO!$AA$103</f>
        <v>0</v>
      </c>
      <c r="P103" s="18"/>
      <c r="Q103" s="18"/>
      <c r="R103" s="18"/>
      <c r="S103" s="18"/>
      <c r="T103" s="18"/>
      <c r="U103" s="18"/>
      <c r="V103" s="18"/>
      <c r="W103" s="18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</row>
    <row r="104" spans="1:36" ht="11.25" customHeight="1" x14ac:dyDescent="0.2">
      <c r="A104" s="74" t="s">
        <v>21</v>
      </c>
      <c r="B104" s="74" t="s">
        <v>35</v>
      </c>
      <c r="C104" s="74" t="s">
        <v>39</v>
      </c>
      <c r="D104" s="74" t="s">
        <v>40</v>
      </c>
      <c r="E104" s="74" t="s">
        <v>25</v>
      </c>
      <c r="F104" s="74" t="s">
        <v>25</v>
      </c>
      <c r="G104" s="74" t="s">
        <v>25</v>
      </c>
      <c r="H104" s="74" t="s">
        <v>37</v>
      </c>
      <c r="I104" s="80">
        <v>44470</v>
      </c>
      <c r="J104" s="81">
        <f>EFEITO!$J$104*EFEITO!$Y$104</f>
        <v>0</v>
      </c>
      <c r="K104" s="81">
        <f ca="1">EFEITO!$L$104*EFEITO!$Z$104</f>
        <v>203558.17250196572</v>
      </c>
      <c r="L104" s="81">
        <f>EFEITO!$N$104*EFEITO!$AA$104</f>
        <v>49456.514740477389</v>
      </c>
      <c r="M104" s="81">
        <f>$J$104-EFEITO!$K$104*EFEITO!$Y$104</f>
        <v>0</v>
      </c>
      <c r="N104" s="81">
        <f ca="1">$K$104-EFEITO!$M$104*EFEITO!$Z$104</f>
        <v>0</v>
      </c>
      <c r="O104" s="81">
        <f>$L$104-EFEITO!$O$104*EFEITO!$AA$104</f>
        <v>0</v>
      </c>
      <c r="P104" s="18"/>
      <c r="Q104" s="18"/>
      <c r="R104" s="18"/>
      <c r="S104" s="18"/>
      <c r="T104" s="18"/>
      <c r="U104" s="18"/>
      <c r="V104" s="18"/>
      <c r="W104" s="18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</row>
    <row r="105" spans="1:36" ht="11.25" customHeight="1" x14ac:dyDescent="0.2">
      <c r="A105" s="74" t="s">
        <v>21</v>
      </c>
      <c r="B105" s="74" t="s">
        <v>35</v>
      </c>
      <c r="C105" s="74" t="s">
        <v>39</v>
      </c>
      <c r="D105" s="74" t="s">
        <v>40</v>
      </c>
      <c r="E105" s="74" t="s">
        <v>25</v>
      </c>
      <c r="F105" s="74" t="s">
        <v>25</v>
      </c>
      <c r="G105" s="74" t="s">
        <v>25</v>
      </c>
      <c r="H105" s="74" t="s">
        <v>37</v>
      </c>
      <c r="I105" s="80">
        <v>44501</v>
      </c>
      <c r="J105" s="81">
        <f>EFEITO!$J$105*EFEITO!$Y$105</f>
        <v>0</v>
      </c>
      <c r="K105" s="81">
        <f ca="1">EFEITO!$L$105*EFEITO!$Z$105</f>
        <v>249349.54212715951</v>
      </c>
      <c r="L105" s="81">
        <f>EFEITO!$N$105*EFEITO!$AA$105</f>
        <v>60581.990662271564</v>
      </c>
      <c r="M105" s="81">
        <f>$J$105-EFEITO!$K$105*EFEITO!$Y$105</f>
        <v>0</v>
      </c>
      <c r="N105" s="81">
        <f ca="1">$K$105-EFEITO!$M$105*EFEITO!$Z$105</f>
        <v>0</v>
      </c>
      <c r="O105" s="81">
        <f>$L$105-EFEITO!$O$105*EFEITO!$AA$105</f>
        <v>0</v>
      </c>
      <c r="P105" s="18"/>
      <c r="Q105" s="18"/>
      <c r="R105" s="18"/>
      <c r="S105" s="18"/>
      <c r="T105" s="18"/>
      <c r="U105" s="18"/>
      <c r="V105" s="18"/>
      <c r="W105" s="18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</row>
    <row r="106" spans="1:36" ht="11.25" customHeight="1" x14ac:dyDescent="0.2">
      <c r="A106" s="74" t="s">
        <v>21</v>
      </c>
      <c r="B106" s="74" t="s">
        <v>35</v>
      </c>
      <c r="C106" s="74" t="s">
        <v>39</v>
      </c>
      <c r="D106" s="74" t="s">
        <v>40</v>
      </c>
      <c r="E106" s="74" t="s">
        <v>25</v>
      </c>
      <c r="F106" s="74" t="s">
        <v>25</v>
      </c>
      <c r="G106" s="74" t="s">
        <v>25</v>
      </c>
      <c r="H106" s="74" t="s">
        <v>37</v>
      </c>
      <c r="I106" s="80">
        <v>44531</v>
      </c>
      <c r="J106" s="81">
        <f>EFEITO!$J$106*EFEITO!$Y$106</f>
        <v>0</v>
      </c>
      <c r="K106" s="81">
        <f ca="1">EFEITO!$L$106*EFEITO!$Z$106</f>
        <v>322328.18444886716</v>
      </c>
      <c r="L106" s="81">
        <f>EFEITO!$N$106*EFEITO!$AA$106</f>
        <v>78312.889183129082</v>
      </c>
      <c r="M106" s="81">
        <f>$J$106-EFEITO!$K$106*EFEITO!$Y$106</f>
        <v>0</v>
      </c>
      <c r="N106" s="81">
        <f ca="1">$K$106-EFEITO!$M$106*EFEITO!$Z$106</f>
        <v>0</v>
      </c>
      <c r="O106" s="81">
        <f>$L$106-EFEITO!$O$106*EFEITO!$AA$106</f>
        <v>0</v>
      </c>
      <c r="P106" s="18"/>
      <c r="Q106" s="18"/>
      <c r="R106" s="18"/>
      <c r="S106" s="18"/>
      <c r="T106" s="18"/>
      <c r="U106" s="18"/>
      <c r="V106" s="18"/>
      <c r="W106" s="18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</row>
    <row r="107" spans="1:36" ht="11.25" customHeight="1" x14ac:dyDescent="0.2">
      <c r="A107" s="74" t="s">
        <v>28</v>
      </c>
      <c r="B107" s="74" t="s">
        <v>35</v>
      </c>
      <c r="C107" s="74" t="s">
        <v>39</v>
      </c>
      <c r="D107" s="74" t="s">
        <v>40</v>
      </c>
      <c r="E107" s="74" t="s">
        <v>25</v>
      </c>
      <c r="F107" s="74" t="s">
        <v>25</v>
      </c>
      <c r="G107" s="74" t="s">
        <v>25</v>
      </c>
      <c r="H107" s="74" t="s">
        <v>37</v>
      </c>
      <c r="I107" s="80">
        <v>44531</v>
      </c>
      <c r="J107" s="81">
        <f>EFEITO!$J$107*EFEITO!$Y$107</f>
        <v>0</v>
      </c>
      <c r="K107" s="81">
        <f ca="1">EFEITO!$L$107*EFEITO!$Z$107</f>
        <v>7058.8371943502343</v>
      </c>
      <c r="L107" s="81">
        <f>EFEITO!$N$107*EFEITO!$AA$107</f>
        <v>1715.015818142311</v>
      </c>
      <c r="M107" s="81">
        <f>$J$107-EFEITO!$K$107*EFEITO!$Y$107</f>
        <v>0</v>
      </c>
      <c r="N107" s="81">
        <f ca="1">$K$107-EFEITO!$M$107*EFEITO!$Z$107</f>
        <v>0</v>
      </c>
      <c r="O107" s="81">
        <f>$L$107-EFEITO!$O$107*EFEITO!$AA$107</f>
        <v>0</v>
      </c>
      <c r="P107" s="18"/>
      <c r="Q107" s="18"/>
      <c r="R107" s="18"/>
      <c r="S107" s="18"/>
      <c r="T107" s="18"/>
      <c r="U107" s="18"/>
      <c r="V107" s="18"/>
      <c r="W107" s="18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</row>
    <row r="108" spans="1:36" ht="11.25" customHeight="1" x14ac:dyDescent="0.2">
      <c r="A108" s="74" t="s">
        <v>21</v>
      </c>
      <c r="B108" s="74" t="s">
        <v>35</v>
      </c>
      <c r="C108" s="74" t="s">
        <v>39</v>
      </c>
      <c r="D108" s="74" t="s">
        <v>40</v>
      </c>
      <c r="E108" s="74" t="s">
        <v>25</v>
      </c>
      <c r="F108" s="74" t="s">
        <v>25</v>
      </c>
      <c r="G108" s="74" t="s">
        <v>25</v>
      </c>
      <c r="H108" s="74" t="s">
        <v>37</v>
      </c>
      <c r="I108" s="80">
        <v>44562</v>
      </c>
      <c r="J108" s="81">
        <f>EFEITO!$J$108*EFEITO!$Y$108</f>
        <v>0</v>
      </c>
      <c r="K108" s="81">
        <f ca="1">EFEITO!$L$108*EFEITO!$Z$108</f>
        <v>239585.41453598972</v>
      </c>
      <c r="L108" s="81">
        <f>EFEITO!$N$108*EFEITO!$AA$108</f>
        <v>58209.697208242222</v>
      </c>
      <c r="M108" s="81">
        <f>$J$108-EFEITO!$K$108*EFEITO!$Y$108</f>
        <v>0</v>
      </c>
      <c r="N108" s="81">
        <f ca="1">$K$108-EFEITO!$M$108*EFEITO!$Z$108</f>
        <v>0</v>
      </c>
      <c r="O108" s="81">
        <f>$L$108-EFEITO!$O$108*EFEITO!$AA$108</f>
        <v>0</v>
      </c>
      <c r="P108" s="18"/>
      <c r="Q108" s="18"/>
      <c r="R108" s="18"/>
      <c r="S108" s="18"/>
      <c r="T108" s="18"/>
      <c r="U108" s="18"/>
      <c r="V108" s="18"/>
      <c r="W108" s="18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</row>
    <row r="109" spans="1:36" ht="11.25" customHeight="1" x14ac:dyDescent="0.2">
      <c r="A109" s="74" t="s">
        <v>28</v>
      </c>
      <c r="B109" s="74" t="s">
        <v>35</v>
      </c>
      <c r="C109" s="74" t="s">
        <v>39</v>
      </c>
      <c r="D109" s="74" t="s">
        <v>40</v>
      </c>
      <c r="E109" s="74" t="s">
        <v>25</v>
      </c>
      <c r="F109" s="74" t="s">
        <v>25</v>
      </c>
      <c r="G109" s="74" t="s">
        <v>25</v>
      </c>
      <c r="H109" s="74" t="s">
        <v>37</v>
      </c>
      <c r="I109" s="80">
        <v>44562</v>
      </c>
      <c r="J109" s="81">
        <f>EFEITO!$J$109*EFEITO!$Y$109</f>
        <v>0</v>
      </c>
      <c r="K109" s="81">
        <f ca="1">EFEITO!$L$109*EFEITO!$Z$109</f>
        <v>9302.794957275024</v>
      </c>
      <c r="L109" s="81">
        <f>EFEITO!$N$109*EFEITO!$AA$109</f>
        <v>2260.2080293664849</v>
      </c>
      <c r="M109" s="81">
        <f>$J$109-EFEITO!$K$109*EFEITO!$Y$109</f>
        <v>0</v>
      </c>
      <c r="N109" s="81">
        <f ca="1">$K$109-EFEITO!$M$109*EFEITO!$Z$109</f>
        <v>0</v>
      </c>
      <c r="O109" s="81">
        <f>$L$109-EFEITO!$O$109*EFEITO!$AA$109</f>
        <v>0</v>
      </c>
      <c r="P109" s="18"/>
      <c r="Q109" s="18"/>
      <c r="R109" s="18"/>
      <c r="S109" s="18"/>
      <c r="T109" s="18"/>
      <c r="U109" s="18"/>
      <c r="V109" s="18"/>
      <c r="W109" s="18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</row>
    <row r="110" spans="1:36" ht="11.25" customHeight="1" x14ac:dyDescent="0.2">
      <c r="A110" s="74" t="s">
        <v>21</v>
      </c>
      <c r="B110" s="74" t="s">
        <v>35</v>
      </c>
      <c r="C110" s="74" t="s">
        <v>39</v>
      </c>
      <c r="D110" s="74" t="s">
        <v>40</v>
      </c>
      <c r="E110" s="74" t="s">
        <v>25</v>
      </c>
      <c r="F110" s="74" t="s">
        <v>25</v>
      </c>
      <c r="G110" s="74" t="s">
        <v>25</v>
      </c>
      <c r="H110" s="74" t="s">
        <v>37</v>
      </c>
      <c r="I110" s="80">
        <v>44593</v>
      </c>
      <c r="J110" s="81">
        <f>EFEITO!$J$110*EFEITO!$Y$110</f>
        <v>0</v>
      </c>
      <c r="K110" s="81">
        <f ca="1">EFEITO!$L$110*EFEITO!$Z$110</f>
        <v>199577.87217198737</v>
      </c>
      <c r="L110" s="81">
        <f>EFEITO!$N$110*EFEITO!$AA$110</f>
        <v>48489.460558758401</v>
      </c>
      <c r="M110" s="81">
        <f>$J$110-EFEITO!$K$110*EFEITO!$Y$110</f>
        <v>0</v>
      </c>
      <c r="N110" s="81">
        <f ca="1">$K$110-EFEITO!$M$110*EFEITO!$Z$110</f>
        <v>0</v>
      </c>
      <c r="O110" s="81">
        <f>$L$110-EFEITO!$O$110*EFEITO!$AA$110</f>
        <v>0</v>
      </c>
      <c r="P110" s="18"/>
      <c r="Q110" s="18"/>
      <c r="R110" s="18"/>
      <c r="S110" s="18"/>
      <c r="T110" s="18"/>
      <c r="U110" s="18"/>
      <c r="V110" s="18"/>
      <c r="W110" s="18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</row>
    <row r="111" spans="1:36" ht="11.25" customHeight="1" x14ac:dyDescent="0.2">
      <c r="A111" s="74" t="s">
        <v>28</v>
      </c>
      <c r="B111" s="74" t="s">
        <v>35</v>
      </c>
      <c r="C111" s="74" t="s">
        <v>39</v>
      </c>
      <c r="D111" s="74" t="s">
        <v>40</v>
      </c>
      <c r="E111" s="74" t="s">
        <v>25</v>
      </c>
      <c r="F111" s="74" t="s">
        <v>25</v>
      </c>
      <c r="G111" s="74" t="s">
        <v>25</v>
      </c>
      <c r="H111" s="74" t="s">
        <v>37</v>
      </c>
      <c r="I111" s="80">
        <v>44593</v>
      </c>
      <c r="J111" s="81">
        <f>EFEITO!$J$111*EFEITO!$Y$111</f>
        <v>0</v>
      </c>
      <c r="K111" s="81">
        <f ca="1">EFEITO!$L$111*EFEITO!$Z$111</f>
        <v>8393.5665623174737</v>
      </c>
      <c r="L111" s="81">
        <f>EFEITO!$N$111*EFEITO!$AA$111</f>
        <v>2039.301804060083</v>
      </c>
      <c r="M111" s="81">
        <f>$J$111-EFEITO!$K$111*EFEITO!$Y$111</f>
        <v>0</v>
      </c>
      <c r="N111" s="81">
        <f ca="1">$K$111-EFEITO!$M$111*EFEITO!$Z$111</f>
        <v>0</v>
      </c>
      <c r="O111" s="81">
        <f>$L$111-EFEITO!$O$111*EFEITO!$AA$111</f>
        <v>0</v>
      </c>
      <c r="P111" s="18"/>
      <c r="Q111" s="18"/>
      <c r="R111" s="18"/>
      <c r="S111" s="18"/>
      <c r="T111" s="18"/>
      <c r="U111" s="18"/>
      <c r="V111" s="18"/>
      <c r="W111" s="18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</row>
    <row r="112" spans="1:36" ht="11.25" customHeight="1" x14ac:dyDescent="0.2">
      <c r="A112" s="74" t="s">
        <v>21</v>
      </c>
      <c r="B112" s="74" t="s">
        <v>35</v>
      </c>
      <c r="C112" s="74" t="s">
        <v>39</v>
      </c>
      <c r="D112" s="74" t="s">
        <v>40</v>
      </c>
      <c r="E112" s="74" t="s">
        <v>25</v>
      </c>
      <c r="F112" s="74" t="s">
        <v>25</v>
      </c>
      <c r="G112" s="74" t="s">
        <v>25</v>
      </c>
      <c r="H112" s="74" t="s">
        <v>37</v>
      </c>
      <c r="I112" s="80">
        <v>44621</v>
      </c>
      <c r="J112" s="81">
        <f>EFEITO!$J$112*EFEITO!$Y$112</f>
        <v>0</v>
      </c>
      <c r="K112" s="81">
        <f ca="1">EFEITO!$L$112*EFEITO!$Z$112</f>
        <v>241326.23606065393</v>
      </c>
      <c r="L112" s="81">
        <f>EFEITO!$N$112*EFEITO!$AA$112</f>
        <v>58632.647386743476</v>
      </c>
      <c r="M112" s="81">
        <f>$J$112-EFEITO!$K$112*EFEITO!$Y$112</f>
        <v>0</v>
      </c>
      <c r="N112" s="81">
        <f ca="1">$K$112-EFEITO!$M$112*EFEITO!$Z$112</f>
        <v>0</v>
      </c>
      <c r="O112" s="81">
        <f>$L$112-EFEITO!$O$112*EFEITO!$AA$112</f>
        <v>0</v>
      </c>
      <c r="P112" s="18"/>
      <c r="Q112" s="18"/>
      <c r="R112" s="18"/>
      <c r="S112" s="18"/>
      <c r="T112" s="18"/>
      <c r="U112" s="18"/>
      <c r="V112" s="18"/>
      <c r="W112" s="18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</row>
    <row r="113" spans="1:36" ht="11.25" customHeight="1" x14ac:dyDescent="0.2">
      <c r="A113" s="74" t="s">
        <v>28</v>
      </c>
      <c r="B113" s="74" t="s">
        <v>35</v>
      </c>
      <c r="C113" s="74" t="s">
        <v>39</v>
      </c>
      <c r="D113" s="74" t="s">
        <v>40</v>
      </c>
      <c r="E113" s="74" t="s">
        <v>25</v>
      </c>
      <c r="F113" s="74" t="s">
        <v>25</v>
      </c>
      <c r="G113" s="74" t="s">
        <v>25</v>
      </c>
      <c r="H113" s="74" t="s">
        <v>37</v>
      </c>
      <c r="I113" s="80">
        <v>44621</v>
      </c>
      <c r="J113" s="81">
        <f>EFEITO!$J$113*EFEITO!$Y$113</f>
        <v>0</v>
      </c>
      <c r="K113" s="81">
        <f ca="1">EFEITO!$L$113*EFEITO!$Z$113</f>
        <v>7402.2239444984061</v>
      </c>
      <c r="L113" s="81">
        <f>EFEITO!$N$113*EFEITO!$AA$113</f>
        <v>1798.4450986356976</v>
      </c>
      <c r="M113" s="81">
        <f>$J$113-EFEITO!$K$113*EFEITO!$Y$113</f>
        <v>0</v>
      </c>
      <c r="N113" s="81">
        <f ca="1">$K$113-EFEITO!$M$113*EFEITO!$Z$113</f>
        <v>0</v>
      </c>
      <c r="O113" s="81">
        <f>$L$113-EFEITO!$O$113*EFEITO!$AA$113</f>
        <v>0</v>
      </c>
      <c r="P113" s="18"/>
      <c r="Q113" s="18"/>
      <c r="R113" s="18"/>
      <c r="S113" s="18"/>
      <c r="T113" s="18"/>
      <c r="U113" s="18"/>
      <c r="V113" s="18"/>
      <c r="W113" s="18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</row>
    <row r="114" spans="1:36" ht="11.25" customHeight="1" x14ac:dyDescent="0.2">
      <c r="A114" s="74" t="s">
        <v>21</v>
      </c>
      <c r="B114" s="74" t="s">
        <v>35</v>
      </c>
      <c r="C114" s="74" t="s">
        <v>39</v>
      </c>
      <c r="D114" s="74" t="s">
        <v>40</v>
      </c>
      <c r="E114" s="74" t="s">
        <v>25</v>
      </c>
      <c r="F114" s="74" t="s">
        <v>25</v>
      </c>
      <c r="G114" s="74" t="s">
        <v>25</v>
      </c>
      <c r="H114" s="74" t="s">
        <v>37</v>
      </c>
      <c r="I114" s="80">
        <v>44652</v>
      </c>
      <c r="J114" s="81">
        <f>EFEITO!$J$114*EFEITO!$Y$114</f>
        <v>0</v>
      </c>
      <c r="K114" s="81">
        <f ca="1">EFEITO!$L$114*EFEITO!$Z$114</f>
        <v>160404.90890943207</v>
      </c>
      <c r="L114" s="81">
        <f>EFEITO!$N$114*EFEITO!$AA$114</f>
        <v>38971.993334473722</v>
      </c>
      <c r="M114" s="81">
        <f>$J$114-EFEITO!$K$114*EFEITO!$Y$114</f>
        <v>0</v>
      </c>
      <c r="N114" s="81">
        <f ca="1">$K$114-EFEITO!$M$114*EFEITO!$Z$114</f>
        <v>0</v>
      </c>
      <c r="O114" s="81">
        <f>$L$114-EFEITO!$O$114*EFEITO!$AA$114</f>
        <v>0</v>
      </c>
      <c r="P114" s="18"/>
      <c r="Q114" s="18"/>
      <c r="R114" s="18"/>
      <c r="S114" s="18"/>
      <c r="T114" s="18"/>
      <c r="U114" s="18"/>
      <c r="V114" s="18"/>
      <c r="W114" s="18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</row>
    <row r="115" spans="1:36" ht="11.25" customHeight="1" x14ac:dyDescent="0.2">
      <c r="A115" s="74" t="s">
        <v>28</v>
      </c>
      <c r="B115" s="74" t="s">
        <v>35</v>
      </c>
      <c r="C115" s="74" t="s">
        <v>39</v>
      </c>
      <c r="D115" s="74" t="s">
        <v>40</v>
      </c>
      <c r="E115" s="74" t="s">
        <v>25</v>
      </c>
      <c r="F115" s="74" t="s">
        <v>25</v>
      </c>
      <c r="G115" s="74" t="s">
        <v>25</v>
      </c>
      <c r="H115" s="74" t="s">
        <v>37</v>
      </c>
      <c r="I115" s="80">
        <v>44652</v>
      </c>
      <c r="J115" s="81">
        <f>EFEITO!$J$115*EFEITO!$Y$115</f>
        <v>0</v>
      </c>
      <c r="K115" s="81">
        <f ca="1">EFEITO!$L$115*EFEITO!$Z$115</f>
        <v>5373.2561468837766</v>
      </c>
      <c r="L115" s="81">
        <f>EFEITO!$N$115*EFEITO!$AA$115</f>
        <v>1305.4868717204267</v>
      </c>
      <c r="M115" s="81">
        <f>$J$115-EFEITO!$K$115*EFEITO!$Y$115</f>
        <v>0</v>
      </c>
      <c r="N115" s="81">
        <f ca="1">$K$115-EFEITO!$M$115*EFEITO!$Z$115</f>
        <v>0</v>
      </c>
      <c r="O115" s="81">
        <f>$L$115-EFEITO!$O$115*EFEITO!$AA$115</f>
        <v>0</v>
      </c>
      <c r="P115" s="18"/>
      <c r="Q115" s="18"/>
      <c r="R115" s="18"/>
      <c r="S115" s="18"/>
      <c r="T115" s="18"/>
      <c r="U115" s="18"/>
      <c r="V115" s="18"/>
      <c r="W115" s="18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</row>
    <row r="116" spans="1:36" ht="11.25" customHeight="1" x14ac:dyDescent="0.2">
      <c r="A116" s="74" t="s">
        <v>21</v>
      </c>
      <c r="B116" s="74" t="s">
        <v>35</v>
      </c>
      <c r="C116" s="74" t="s">
        <v>39</v>
      </c>
      <c r="D116" s="74" t="s">
        <v>40</v>
      </c>
      <c r="E116" s="74" t="s">
        <v>25</v>
      </c>
      <c r="F116" s="74" t="s">
        <v>25</v>
      </c>
      <c r="G116" s="74" t="s">
        <v>25</v>
      </c>
      <c r="H116" s="74" t="s">
        <v>37</v>
      </c>
      <c r="I116" s="80">
        <v>44682</v>
      </c>
      <c r="J116" s="81">
        <f>EFEITO!$J$116*EFEITO!$Y$116</f>
        <v>0</v>
      </c>
      <c r="K116" s="81">
        <f ca="1">EFEITO!$L$116*EFEITO!$Z$116</f>
        <v>168886.56163809192</v>
      </c>
      <c r="L116" s="81">
        <f>EFEITO!$N$116*EFEITO!$AA$116</f>
        <v>41032.696562660371</v>
      </c>
      <c r="M116" s="81">
        <f>$J$116-EFEITO!$K$116*EFEITO!$Y$116</f>
        <v>0</v>
      </c>
      <c r="N116" s="81">
        <f ca="1">$K$116-EFEITO!$M$116*EFEITO!$Z$116</f>
        <v>0</v>
      </c>
      <c r="O116" s="81">
        <f>$L$116-EFEITO!$O$116*EFEITO!$AA$116</f>
        <v>0</v>
      </c>
      <c r="P116" s="18"/>
      <c r="Q116" s="18"/>
      <c r="R116" s="18"/>
      <c r="S116" s="18"/>
      <c r="T116" s="18"/>
      <c r="U116" s="18"/>
      <c r="V116" s="18"/>
      <c r="W116" s="18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</row>
    <row r="117" spans="1:36" ht="11.25" customHeight="1" x14ac:dyDescent="0.2">
      <c r="A117" s="74" t="s">
        <v>28</v>
      </c>
      <c r="B117" s="74" t="s">
        <v>35</v>
      </c>
      <c r="C117" s="74" t="s">
        <v>39</v>
      </c>
      <c r="D117" s="74" t="s">
        <v>40</v>
      </c>
      <c r="E117" s="74" t="s">
        <v>25</v>
      </c>
      <c r="F117" s="74" t="s">
        <v>25</v>
      </c>
      <c r="G117" s="74" t="s">
        <v>25</v>
      </c>
      <c r="H117" s="74" t="s">
        <v>37</v>
      </c>
      <c r="I117" s="80">
        <v>44682</v>
      </c>
      <c r="J117" s="81">
        <f>EFEITO!$J$117*EFEITO!$Y$117</f>
        <v>0</v>
      </c>
      <c r="K117" s="81">
        <f ca="1">EFEITO!$L$117*EFEITO!$Z$117</f>
        <v>4965.6710043165995</v>
      </c>
      <c r="L117" s="81">
        <f>EFEITO!$N$117*EFEITO!$AA$117</f>
        <v>1206.4599431347983</v>
      </c>
      <c r="M117" s="81">
        <f>$J$117-EFEITO!$K$117*EFEITO!$Y$117</f>
        <v>0</v>
      </c>
      <c r="N117" s="81">
        <f ca="1">$K$117-EFEITO!$M$117*EFEITO!$Z$117</f>
        <v>0</v>
      </c>
      <c r="O117" s="81">
        <f>$L$117-EFEITO!$O$117*EFEITO!$AA$117</f>
        <v>0</v>
      </c>
      <c r="P117" s="18"/>
      <c r="Q117" s="18"/>
      <c r="R117" s="18"/>
      <c r="S117" s="18"/>
      <c r="T117" s="18"/>
      <c r="U117" s="18"/>
      <c r="V117" s="18"/>
      <c r="W117" s="18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</row>
    <row r="118" spans="1:36" ht="11.25" customHeight="1" x14ac:dyDescent="0.2">
      <c r="A118" s="74" t="s">
        <v>21</v>
      </c>
      <c r="B118" s="74" t="s">
        <v>35</v>
      </c>
      <c r="C118" s="74" t="s">
        <v>39</v>
      </c>
      <c r="D118" s="74" t="s">
        <v>40</v>
      </c>
      <c r="E118" s="74" t="s">
        <v>25</v>
      </c>
      <c r="F118" s="74" t="s">
        <v>25</v>
      </c>
      <c r="G118" s="74" t="s">
        <v>25</v>
      </c>
      <c r="H118" s="74" t="s">
        <v>37</v>
      </c>
      <c r="I118" s="80">
        <v>44713</v>
      </c>
      <c r="J118" s="81">
        <f>EFEITO!$J$118*EFEITO!$Y$118</f>
        <v>0</v>
      </c>
      <c r="K118" s="81">
        <f ca="1">EFEITO!$L$118*EFEITO!$Z$118</f>
        <v>149309.03792203552</v>
      </c>
      <c r="L118" s="81">
        <f>EFEITO!$N$118*EFEITO!$AA$118</f>
        <v>36276.139366530908</v>
      </c>
      <c r="M118" s="81">
        <f>$J$118-EFEITO!$K$118*EFEITO!$Y$118</f>
        <v>0</v>
      </c>
      <c r="N118" s="81">
        <f ca="1">$K$118-EFEITO!$M$118*EFEITO!$Z$118</f>
        <v>0</v>
      </c>
      <c r="O118" s="81">
        <f>$L$118-EFEITO!$O$118*EFEITO!$AA$118</f>
        <v>0</v>
      </c>
      <c r="P118" s="18"/>
      <c r="Q118" s="18"/>
      <c r="R118" s="18"/>
      <c r="S118" s="18"/>
      <c r="T118" s="18"/>
      <c r="U118" s="18"/>
      <c r="V118" s="18"/>
      <c r="W118" s="18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</row>
    <row r="119" spans="1:36" ht="11.25" customHeight="1" x14ac:dyDescent="0.2">
      <c r="A119" s="74" t="s">
        <v>28</v>
      </c>
      <c r="B119" s="74" t="s">
        <v>35</v>
      </c>
      <c r="C119" s="74" t="s">
        <v>39</v>
      </c>
      <c r="D119" s="74" t="s">
        <v>40</v>
      </c>
      <c r="E119" s="74" t="s">
        <v>25</v>
      </c>
      <c r="F119" s="74" t="s">
        <v>25</v>
      </c>
      <c r="G119" s="74" t="s">
        <v>25</v>
      </c>
      <c r="H119" s="74" t="s">
        <v>37</v>
      </c>
      <c r="I119" s="80">
        <v>44713</v>
      </c>
      <c r="J119" s="81">
        <f>EFEITO!$J$119*EFEITO!$Y$119</f>
        <v>0</v>
      </c>
      <c r="K119" s="81">
        <f ca="1">EFEITO!$L$119*EFEITO!$Z$119</f>
        <v>4992.5447499803686</v>
      </c>
      <c r="L119" s="81">
        <f>EFEITO!$N$119*EFEITO!$AA$119</f>
        <v>1212.9891911734112</v>
      </c>
      <c r="M119" s="81">
        <f>$J$119-EFEITO!$K$119*EFEITO!$Y$119</f>
        <v>0</v>
      </c>
      <c r="N119" s="81">
        <f ca="1">$K$119-EFEITO!$M$119*EFEITO!$Z$119</f>
        <v>0</v>
      </c>
      <c r="O119" s="81">
        <f>$L$119-EFEITO!$O$119*EFEITO!$AA$119</f>
        <v>0</v>
      </c>
      <c r="P119" s="18"/>
      <c r="Q119" s="18"/>
      <c r="R119" s="18"/>
      <c r="S119" s="18"/>
      <c r="T119" s="18"/>
      <c r="U119" s="18"/>
      <c r="V119" s="18"/>
      <c r="W119" s="18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</row>
    <row r="120" spans="1:36" ht="11.25" customHeight="1" x14ac:dyDescent="0.2">
      <c r="A120" s="74" t="s">
        <v>55</v>
      </c>
      <c r="B120" s="74" t="s">
        <v>35</v>
      </c>
      <c r="C120" s="74" t="s">
        <v>39</v>
      </c>
      <c r="D120" s="74" t="s">
        <v>40</v>
      </c>
      <c r="E120" s="74" t="s">
        <v>25</v>
      </c>
      <c r="F120" s="74" t="s">
        <v>25</v>
      </c>
      <c r="G120" s="74" t="s">
        <v>25</v>
      </c>
      <c r="H120" s="74" t="s">
        <v>37</v>
      </c>
      <c r="I120" s="80">
        <v>44743</v>
      </c>
      <c r="J120" s="81">
        <f>EFEITO!$J$120*EFEITO!$Y$120</f>
        <v>0</v>
      </c>
      <c r="K120" s="81">
        <f ca="1">EFEITO!$L$120*EFEITO!$Z$120</f>
        <v>149309.03792203552</v>
      </c>
      <c r="L120" s="81">
        <f>EFEITO!$N$120*EFEITO!$AA$120</f>
        <v>36276.139366530908</v>
      </c>
      <c r="M120" s="81">
        <f>$J$120-EFEITO!$K$120*EFEITO!$Y$120</f>
        <v>0</v>
      </c>
      <c r="N120" s="81">
        <f ca="1">$K$120-EFEITO!$M$120*EFEITO!$Z$120</f>
        <v>0</v>
      </c>
      <c r="O120" s="81">
        <f>$L$120-EFEITO!$O$120*EFEITO!$AA$120</f>
        <v>0</v>
      </c>
      <c r="P120" s="18"/>
      <c r="Q120" s="18"/>
      <c r="R120" s="18"/>
      <c r="S120" s="18"/>
      <c r="T120" s="18"/>
      <c r="U120" s="18"/>
      <c r="V120" s="18"/>
      <c r="W120" s="18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</row>
    <row r="121" spans="1:36" ht="11.25" customHeight="1" x14ac:dyDescent="0.2">
      <c r="A121" s="74" t="s">
        <v>55</v>
      </c>
      <c r="B121" s="74" t="s">
        <v>35</v>
      </c>
      <c r="C121" s="74" t="s">
        <v>39</v>
      </c>
      <c r="D121" s="74" t="s">
        <v>40</v>
      </c>
      <c r="E121" s="74" t="s">
        <v>25</v>
      </c>
      <c r="F121" s="74" t="s">
        <v>25</v>
      </c>
      <c r="G121" s="74" t="s">
        <v>25</v>
      </c>
      <c r="H121" s="74" t="s">
        <v>37</v>
      </c>
      <c r="I121" s="80">
        <v>44743</v>
      </c>
      <c r="J121" s="81">
        <f>EFEITO!$J$121*EFEITO!$Y$121</f>
        <v>0</v>
      </c>
      <c r="K121" s="81">
        <f ca="1">EFEITO!$L$121*EFEITO!$Z$121</f>
        <v>4992.5447499803686</v>
      </c>
      <c r="L121" s="81">
        <f>EFEITO!$N$121*EFEITO!$AA$121</f>
        <v>1212.9891911734112</v>
      </c>
      <c r="M121" s="81">
        <f>$J$121-EFEITO!$K$121*EFEITO!$Y$121</f>
        <v>0</v>
      </c>
      <c r="N121" s="81">
        <f ca="1">$K$121-EFEITO!$M$121*EFEITO!$Z$121</f>
        <v>0</v>
      </c>
      <c r="O121" s="81">
        <f>$L$121-EFEITO!$O$121*EFEITO!$AA$121</f>
        <v>0</v>
      </c>
      <c r="P121" s="18"/>
      <c r="Q121" s="18"/>
      <c r="R121" s="18"/>
      <c r="S121" s="18"/>
      <c r="T121" s="18"/>
      <c r="U121" s="18"/>
      <c r="V121" s="18"/>
      <c r="W121" s="18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</row>
    <row r="122" spans="1:36" ht="11.25" customHeight="1" x14ac:dyDescent="0.2">
      <c r="A122" s="74" t="s">
        <v>21</v>
      </c>
      <c r="B122" s="74" t="s">
        <v>35</v>
      </c>
      <c r="C122" s="74" t="s">
        <v>39</v>
      </c>
      <c r="D122" s="74" t="s">
        <v>34</v>
      </c>
      <c r="E122" s="74" t="s">
        <v>25</v>
      </c>
      <c r="F122" s="74" t="s">
        <v>56</v>
      </c>
      <c r="G122" s="74" t="s">
        <v>25</v>
      </c>
      <c r="H122" s="74" t="s">
        <v>38</v>
      </c>
      <c r="I122" s="80">
        <v>44409</v>
      </c>
      <c r="J122" s="81">
        <f>EFEITO!$J$122*EFEITO!$Y$122</f>
        <v>0</v>
      </c>
      <c r="K122" s="81">
        <f ca="1">EFEITO!$L$122*EFEITO!$Z$122</f>
        <v>316439.43626856117</v>
      </c>
      <c r="L122" s="81">
        <f>EFEITO!$N$122*EFEITO!$AA$122</f>
        <v>0</v>
      </c>
      <c r="M122" s="81">
        <f>$J$122-EFEITO!$K$122*EFEITO!$Y$122</f>
        <v>0</v>
      </c>
      <c r="N122" s="81">
        <f ca="1">$K$122-EFEITO!$M$122*EFEITO!$Z$122</f>
        <v>0</v>
      </c>
      <c r="O122" s="81">
        <f>$L$122-EFEITO!$O$122*EFEITO!$AA$122</f>
        <v>0</v>
      </c>
      <c r="P122" s="18"/>
      <c r="Q122" s="18"/>
      <c r="R122" s="18"/>
      <c r="S122" s="18"/>
      <c r="T122" s="18"/>
      <c r="U122" s="18"/>
      <c r="V122" s="18"/>
      <c r="W122" s="18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</row>
    <row r="123" spans="1:36" ht="11.25" customHeight="1" x14ac:dyDescent="0.2">
      <c r="A123" s="74" t="s">
        <v>21</v>
      </c>
      <c r="B123" s="74" t="s">
        <v>35</v>
      </c>
      <c r="C123" s="74" t="s">
        <v>39</v>
      </c>
      <c r="D123" s="74" t="s">
        <v>34</v>
      </c>
      <c r="E123" s="74" t="s">
        <v>25</v>
      </c>
      <c r="F123" s="74" t="s">
        <v>56</v>
      </c>
      <c r="G123" s="74" t="s">
        <v>25</v>
      </c>
      <c r="H123" s="74" t="s">
        <v>38</v>
      </c>
      <c r="I123" s="80">
        <v>44440</v>
      </c>
      <c r="J123" s="81">
        <f>EFEITO!$J$123*EFEITO!$Y$123</f>
        <v>0</v>
      </c>
      <c r="K123" s="81">
        <f ca="1">EFEITO!$L$123*EFEITO!$Z$123</f>
        <v>322090.67915013578</v>
      </c>
      <c r="L123" s="81">
        <f>EFEITO!$N$123*EFEITO!$AA$123</f>
        <v>0</v>
      </c>
      <c r="M123" s="81">
        <f>$J$123-EFEITO!$K$123*EFEITO!$Y$123</f>
        <v>0</v>
      </c>
      <c r="N123" s="81">
        <f ca="1">$K$123-EFEITO!$M$123*EFEITO!$Z$123</f>
        <v>0</v>
      </c>
      <c r="O123" s="81">
        <f>$L$123-EFEITO!$O$123*EFEITO!$AA$123</f>
        <v>0</v>
      </c>
      <c r="P123" s="18"/>
      <c r="Q123" s="18"/>
      <c r="R123" s="18"/>
      <c r="S123" s="18"/>
      <c r="T123" s="18"/>
      <c r="U123" s="18"/>
      <c r="V123" s="18"/>
      <c r="W123" s="18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</row>
    <row r="124" spans="1:36" ht="11.25" customHeight="1" x14ac:dyDescent="0.2">
      <c r="A124" s="74" t="s">
        <v>21</v>
      </c>
      <c r="B124" s="74" t="s">
        <v>35</v>
      </c>
      <c r="C124" s="74" t="s">
        <v>39</v>
      </c>
      <c r="D124" s="74" t="s">
        <v>34</v>
      </c>
      <c r="E124" s="74" t="s">
        <v>25</v>
      </c>
      <c r="F124" s="74" t="s">
        <v>56</v>
      </c>
      <c r="G124" s="74" t="s">
        <v>25</v>
      </c>
      <c r="H124" s="74" t="s">
        <v>38</v>
      </c>
      <c r="I124" s="80">
        <v>44470</v>
      </c>
      <c r="J124" s="81">
        <f>EFEITO!$J$124*EFEITO!$Y$124</f>
        <v>0</v>
      </c>
      <c r="K124" s="81">
        <f ca="1">EFEITO!$L$124*EFEITO!$Z$124</f>
        <v>319658.26449616696</v>
      </c>
      <c r="L124" s="81">
        <f>EFEITO!$N$124*EFEITO!$AA$124</f>
        <v>0</v>
      </c>
      <c r="M124" s="81">
        <f>$J$124-EFEITO!$K$124*EFEITO!$Y$124</f>
        <v>0</v>
      </c>
      <c r="N124" s="81">
        <f ca="1">$K$124-EFEITO!$M$124*EFEITO!$Z$124</f>
        <v>0</v>
      </c>
      <c r="O124" s="81">
        <f>$L$124-EFEITO!$O$124*EFEITO!$AA$124</f>
        <v>0</v>
      </c>
      <c r="P124" s="18"/>
      <c r="Q124" s="18"/>
      <c r="R124" s="18"/>
      <c r="S124" s="18"/>
      <c r="T124" s="18"/>
      <c r="U124" s="18"/>
      <c r="V124" s="18"/>
      <c r="W124" s="18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</row>
    <row r="125" spans="1:36" ht="11.25" customHeight="1" x14ac:dyDescent="0.2">
      <c r="A125" s="74" t="s">
        <v>21</v>
      </c>
      <c r="B125" s="74" t="s">
        <v>35</v>
      </c>
      <c r="C125" s="74" t="s">
        <v>39</v>
      </c>
      <c r="D125" s="74" t="s">
        <v>34</v>
      </c>
      <c r="E125" s="74" t="s">
        <v>25</v>
      </c>
      <c r="F125" s="74" t="s">
        <v>56</v>
      </c>
      <c r="G125" s="74" t="s">
        <v>25</v>
      </c>
      <c r="H125" s="74" t="s">
        <v>38</v>
      </c>
      <c r="I125" s="80">
        <v>44501</v>
      </c>
      <c r="J125" s="81">
        <f>EFEITO!$J$125*EFEITO!$Y$125</f>
        <v>0</v>
      </c>
      <c r="K125" s="81">
        <f ca="1">EFEITO!$L$125*EFEITO!$Z$125</f>
        <v>318688.62150883424</v>
      </c>
      <c r="L125" s="81">
        <f>EFEITO!$N$125*EFEITO!$AA$125</f>
        <v>0</v>
      </c>
      <c r="M125" s="81">
        <f>$J$125-EFEITO!$K$125*EFEITO!$Y$125</f>
        <v>0</v>
      </c>
      <c r="N125" s="81">
        <f ca="1">$K$125-EFEITO!$M$125*EFEITO!$Z$125</f>
        <v>0</v>
      </c>
      <c r="O125" s="81">
        <f>$L$125-EFEITO!$O$125*EFEITO!$AA$125</f>
        <v>0</v>
      </c>
      <c r="P125" s="18"/>
      <c r="Q125" s="18"/>
      <c r="R125" s="18"/>
      <c r="S125" s="18"/>
      <c r="T125" s="18"/>
      <c r="U125" s="18"/>
      <c r="V125" s="18"/>
      <c r="W125" s="18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</row>
    <row r="126" spans="1:36" ht="11.25" customHeight="1" x14ac:dyDescent="0.2">
      <c r="A126" s="74" t="s">
        <v>21</v>
      </c>
      <c r="B126" s="74" t="s">
        <v>35</v>
      </c>
      <c r="C126" s="74" t="s">
        <v>39</v>
      </c>
      <c r="D126" s="74" t="s">
        <v>34</v>
      </c>
      <c r="E126" s="74" t="s">
        <v>25</v>
      </c>
      <c r="F126" s="74" t="s">
        <v>56</v>
      </c>
      <c r="G126" s="74" t="s">
        <v>25</v>
      </c>
      <c r="H126" s="74" t="s">
        <v>38</v>
      </c>
      <c r="I126" s="80">
        <v>44531</v>
      </c>
      <c r="J126" s="81">
        <f>EFEITO!$J$126*EFEITO!$Y$126</f>
        <v>0</v>
      </c>
      <c r="K126" s="81">
        <f ca="1">EFEITO!$L$126*EFEITO!$Z$126</f>
        <v>313065.30491089041</v>
      </c>
      <c r="L126" s="81">
        <f>EFEITO!$N$126*EFEITO!$AA$126</f>
        <v>0</v>
      </c>
      <c r="M126" s="81">
        <f>$J$126-EFEITO!$K$126*EFEITO!$Y$126</f>
        <v>0</v>
      </c>
      <c r="N126" s="81">
        <f ca="1">$K$126-EFEITO!$M$126*EFEITO!$Z$126</f>
        <v>0</v>
      </c>
      <c r="O126" s="81">
        <f>$L$126-EFEITO!$O$126*EFEITO!$AA$126</f>
        <v>0</v>
      </c>
      <c r="P126" s="18"/>
      <c r="Q126" s="18"/>
      <c r="R126" s="18"/>
      <c r="S126" s="18"/>
      <c r="T126" s="18"/>
      <c r="U126" s="18"/>
      <c r="V126" s="18"/>
      <c r="W126" s="18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</row>
    <row r="127" spans="1:36" ht="11.25" customHeight="1" x14ac:dyDescent="0.2">
      <c r="A127" s="74" t="s">
        <v>21</v>
      </c>
      <c r="B127" s="74" t="s">
        <v>35</v>
      </c>
      <c r="C127" s="74" t="s">
        <v>39</v>
      </c>
      <c r="D127" s="74" t="s">
        <v>34</v>
      </c>
      <c r="E127" s="74" t="s">
        <v>25</v>
      </c>
      <c r="F127" s="74" t="s">
        <v>56</v>
      </c>
      <c r="G127" s="74" t="s">
        <v>25</v>
      </c>
      <c r="H127" s="74" t="s">
        <v>38</v>
      </c>
      <c r="I127" s="80">
        <v>44562</v>
      </c>
      <c r="J127" s="81">
        <f>EFEITO!$J$127*EFEITO!$Y$127</f>
        <v>0</v>
      </c>
      <c r="K127" s="81">
        <f ca="1">EFEITO!$L$127*EFEITO!$Z$127</f>
        <v>310488.19204469112</v>
      </c>
      <c r="L127" s="81">
        <f>EFEITO!$N$127*EFEITO!$AA$127</f>
        <v>0</v>
      </c>
      <c r="M127" s="81">
        <f>$J$127-EFEITO!$K$127*EFEITO!$Y$127</f>
        <v>0</v>
      </c>
      <c r="N127" s="81">
        <f ca="1">$K$127-EFEITO!$M$127*EFEITO!$Z$127</f>
        <v>0</v>
      </c>
      <c r="O127" s="81">
        <f>$L$127-EFEITO!$O$127*EFEITO!$AA$127</f>
        <v>0</v>
      </c>
      <c r="P127" s="18"/>
      <c r="Q127" s="18"/>
      <c r="R127" s="18"/>
      <c r="S127" s="18"/>
      <c r="T127" s="18"/>
      <c r="U127" s="18"/>
      <c r="V127" s="18"/>
      <c r="W127" s="18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</row>
    <row r="128" spans="1:36" ht="11.25" customHeight="1" x14ac:dyDescent="0.2">
      <c r="A128" s="74" t="s">
        <v>21</v>
      </c>
      <c r="B128" s="74" t="s">
        <v>35</v>
      </c>
      <c r="C128" s="74" t="s">
        <v>39</v>
      </c>
      <c r="D128" s="74" t="s">
        <v>34</v>
      </c>
      <c r="E128" s="74" t="s">
        <v>25</v>
      </c>
      <c r="F128" s="74" t="s">
        <v>56</v>
      </c>
      <c r="G128" s="74" t="s">
        <v>25</v>
      </c>
      <c r="H128" s="74" t="s">
        <v>38</v>
      </c>
      <c r="I128" s="80">
        <v>44593</v>
      </c>
      <c r="J128" s="81">
        <f>EFEITO!$J$128*EFEITO!$Y$128</f>
        <v>0</v>
      </c>
      <c r="K128" s="81">
        <f ca="1">EFEITO!$L$128*EFEITO!$Z$128</f>
        <v>287154.78049558413</v>
      </c>
      <c r="L128" s="81">
        <f>EFEITO!$N$128*EFEITO!$AA$128</f>
        <v>0</v>
      </c>
      <c r="M128" s="81">
        <f>$J$128-EFEITO!$K$128*EFEITO!$Y$128</f>
        <v>0</v>
      </c>
      <c r="N128" s="81">
        <f ca="1">$K$128-EFEITO!$M$128*EFEITO!$Z$128</f>
        <v>0</v>
      </c>
      <c r="O128" s="81">
        <f>$L$128-EFEITO!$O$128*EFEITO!$AA$128</f>
        <v>0</v>
      </c>
      <c r="P128" s="18"/>
      <c r="Q128" s="18"/>
      <c r="R128" s="18"/>
      <c r="S128" s="18"/>
      <c r="T128" s="18"/>
      <c r="U128" s="18"/>
      <c r="V128" s="18"/>
      <c r="W128" s="18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</row>
    <row r="129" spans="1:36" ht="11.25" customHeight="1" x14ac:dyDescent="0.2">
      <c r="A129" s="74" t="s">
        <v>21</v>
      </c>
      <c r="B129" s="74" t="s">
        <v>35</v>
      </c>
      <c r="C129" s="74" t="s">
        <v>39</v>
      </c>
      <c r="D129" s="74" t="s">
        <v>34</v>
      </c>
      <c r="E129" s="74" t="s">
        <v>25</v>
      </c>
      <c r="F129" s="74" t="s">
        <v>56</v>
      </c>
      <c r="G129" s="74" t="s">
        <v>25</v>
      </c>
      <c r="H129" s="74" t="s">
        <v>38</v>
      </c>
      <c r="I129" s="80">
        <v>44621</v>
      </c>
      <c r="J129" s="81">
        <f>EFEITO!$J$129*EFEITO!$Y$129</f>
        <v>0</v>
      </c>
      <c r="K129" s="81">
        <f ca="1">EFEITO!$L$129*EFEITO!$Z$129</f>
        <v>334860.17854705494</v>
      </c>
      <c r="L129" s="81">
        <f>EFEITO!$N$129*EFEITO!$AA$129</f>
        <v>0</v>
      </c>
      <c r="M129" s="81">
        <f>$J$129-EFEITO!$K$129*EFEITO!$Y$129</f>
        <v>0</v>
      </c>
      <c r="N129" s="81">
        <f ca="1">$K$129-EFEITO!$M$129*EFEITO!$Z$129</f>
        <v>0</v>
      </c>
      <c r="O129" s="81">
        <f>$L$129-EFEITO!$O$129*EFEITO!$AA$129</f>
        <v>0</v>
      </c>
      <c r="P129" s="18"/>
      <c r="Q129" s="18"/>
      <c r="R129" s="18"/>
      <c r="S129" s="18"/>
      <c r="T129" s="18"/>
      <c r="U129" s="18"/>
      <c r="V129" s="18"/>
      <c r="W129" s="18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</row>
    <row r="130" spans="1:36" ht="11.25" customHeight="1" x14ac:dyDescent="0.2">
      <c r="A130" s="74" t="s">
        <v>21</v>
      </c>
      <c r="B130" s="74" t="s">
        <v>35</v>
      </c>
      <c r="C130" s="74" t="s">
        <v>39</v>
      </c>
      <c r="D130" s="74" t="s">
        <v>34</v>
      </c>
      <c r="E130" s="74" t="s">
        <v>25</v>
      </c>
      <c r="F130" s="74" t="s">
        <v>56</v>
      </c>
      <c r="G130" s="74" t="s">
        <v>25</v>
      </c>
      <c r="H130" s="74" t="s">
        <v>38</v>
      </c>
      <c r="I130" s="80">
        <v>44652</v>
      </c>
      <c r="J130" s="81">
        <f>EFEITO!$J$130*EFEITO!$Y$130</f>
        <v>0</v>
      </c>
      <c r="K130" s="81">
        <f ca="1">EFEITO!$L$130*EFEITO!$Z$130</f>
        <v>299710.06055224669</v>
      </c>
      <c r="L130" s="81">
        <f>EFEITO!$N$130*EFEITO!$AA$130</f>
        <v>0</v>
      </c>
      <c r="M130" s="81">
        <f>$J$130-EFEITO!$K$130*EFEITO!$Y$130</f>
        <v>0</v>
      </c>
      <c r="N130" s="81">
        <f ca="1">$K$130-EFEITO!$M$130*EFEITO!$Z$130</f>
        <v>0</v>
      </c>
      <c r="O130" s="81">
        <f>$L$130-EFEITO!$O$130*EFEITO!$AA$130</f>
        <v>0</v>
      </c>
      <c r="P130" s="18"/>
      <c r="Q130" s="18"/>
      <c r="R130" s="18"/>
      <c r="S130" s="18"/>
      <c r="T130" s="18"/>
      <c r="U130" s="18"/>
      <c r="V130" s="18"/>
      <c r="W130" s="18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</row>
    <row r="131" spans="1:36" ht="11.25" customHeight="1" x14ac:dyDescent="0.2">
      <c r="A131" s="74" t="s">
        <v>21</v>
      </c>
      <c r="B131" s="74" t="s">
        <v>35</v>
      </c>
      <c r="C131" s="74" t="s">
        <v>39</v>
      </c>
      <c r="D131" s="74" t="s">
        <v>34</v>
      </c>
      <c r="E131" s="74" t="s">
        <v>25</v>
      </c>
      <c r="F131" s="74" t="s">
        <v>56</v>
      </c>
      <c r="G131" s="74" t="s">
        <v>25</v>
      </c>
      <c r="H131" s="74" t="s">
        <v>38</v>
      </c>
      <c r="I131" s="80">
        <v>44682</v>
      </c>
      <c r="J131" s="81">
        <f>EFEITO!$J$131*EFEITO!$Y$131</f>
        <v>0</v>
      </c>
      <c r="K131" s="81">
        <f ca="1">EFEITO!$L$131*EFEITO!$Z$131</f>
        <v>323254.62779868027</v>
      </c>
      <c r="L131" s="81">
        <f>EFEITO!$N$131*EFEITO!$AA$131</f>
        <v>0</v>
      </c>
      <c r="M131" s="81">
        <f>$J$131-EFEITO!$K$131*EFEITO!$Y$131</f>
        <v>0</v>
      </c>
      <c r="N131" s="81">
        <f ca="1">$K$131-EFEITO!$M$131*EFEITO!$Z$131</f>
        <v>0</v>
      </c>
      <c r="O131" s="81">
        <f>$L$131-EFEITO!$O$131*EFEITO!$AA$131</f>
        <v>0</v>
      </c>
      <c r="P131" s="18"/>
      <c r="Q131" s="18"/>
      <c r="R131" s="18"/>
      <c r="S131" s="18"/>
      <c r="T131" s="18"/>
      <c r="U131" s="18"/>
      <c r="V131" s="18"/>
      <c r="W131" s="18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</row>
    <row r="132" spans="1:36" ht="11.25" customHeight="1" x14ac:dyDescent="0.2">
      <c r="A132" s="74" t="s">
        <v>21</v>
      </c>
      <c r="B132" s="74" t="s">
        <v>35</v>
      </c>
      <c r="C132" s="74" t="s">
        <v>39</v>
      </c>
      <c r="D132" s="74" t="s">
        <v>34</v>
      </c>
      <c r="E132" s="74" t="s">
        <v>25</v>
      </c>
      <c r="F132" s="74" t="s">
        <v>56</v>
      </c>
      <c r="G132" s="74" t="s">
        <v>25</v>
      </c>
      <c r="H132" s="74" t="s">
        <v>38</v>
      </c>
      <c r="I132" s="80">
        <v>44713</v>
      </c>
      <c r="J132" s="81">
        <f>EFEITO!$J$132*EFEITO!$Y$132</f>
        <v>0</v>
      </c>
      <c r="K132" s="81">
        <f ca="1">EFEITO!$L$132*EFEITO!$Z$132</f>
        <v>320505.00826904009</v>
      </c>
      <c r="L132" s="81">
        <f>EFEITO!$N$132*EFEITO!$AA$132</f>
        <v>0</v>
      </c>
      <c r="M132" s="81">
        <f>$J$132-EFEITO!$K$132*EFEITO!$Y$132</f>
        <v>0</v>
      </c>
      <c r="N132" s="81">
        <f ca="1">$K$132-EFEITO!$M$132*EFEITO!$Z$132</f>
        <v>0</v>
      </c>
      <c r="O132" s="81">
        <f>$L$132-EFEITO!$O$132*EFEITO!$AA$132</f>
        <v>0</v>
      </c>
      <c r="P132" s="18"/>
      <c r="Q132" s="18"/>
      <c r="R132" s="18"/>
      <c r="S132" s="18"/>
      <c r="T132" s="18"/>
      <c r="U132" s="18"/>
      <c r="V132" s="18"/>
      <c r="W132" s="18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</row>
    <row r="133" spans="1:36" ht="11.25" customHeight="1" x14ac:dyDescent="0.2">
      <c r="A133" s="74" t="s">
        <v>55</v>
      </c>
      <c r="B133" s="74" t="s">
        <v>35</v>
      </c>
      <c r="C133" s="74" t="s">
        <v>39</v>
      </c>
      <c r="D133" s="74" t="s">
        <v>34</v>
      </c>
      <c r="E133" s="74" t="s">
        <v>25</v>
      </c>
      <c r="F133" s="74" t="s">
        <v>56</v>
      </c>
      <c r="G133" s="74" t="s">
        <v>25</v>
      </c>
      <c r="H133" s="74" t="s">
        <v>38</v>
      </c>
      <c r="I133" s="80">
        <v>44743</v>
      </c>
      <c r="J133" s="81">
        <f>EFEITO!$J$133*EFEITO!$Y$133</f>
        <v>0</v>
      </c>
      <c r="K133" s="81">
        <f ca="1">EFEITO!$L$133*EFEITO!$Z$133</f>
        <v>320505.00826904009</v>
      </c>
      <c r="L133" s="81">
        <f>EFEITO!$N$133*EFEITO!$AA$133</f>
        <v>0</v>
      </c>
      <c r="M133" s="81">
        <f>$J$133-EFEITO!$K$133*EFEITO!$Y$133</f>
        <v>0</v>
      </c>
      <c r="N133" s="81">
        <f ca="1">$K$133-EFEITO!$M$133*EFEITO!$Z$133</f>
        <v>0</v>
      </c>
      <c r="O133" s="81">
        <f>$L$133-EFEITO!$O$133*EFEITO!$AA$133</f>
        <v>0</v>
      </c>
      <c r="P133" s="18"/>
      <c r="Q133" s="18"/>
      <c r="R133" s="18"/>
      <c r="S133" s="18"/>
      <c r="T133" s="18"/>
      <c r="U133" s="18"/>
      <c r="V133" s="18"/>
      <c r="W133" s="18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</row>
    <row r="134" spans="1:36" ht="11.25" customHeight="1" x14ac:dyDescent="0.2">
      <c r="A134" s="74" t="s">
        <v>21</v>
      </c>
      <c r="B134" s="74" t="s">
        <v>35</v>
      </c>
      <c r="C134" s="74" t="s">
        <v>39</v>
      </c>
      <c r="D134" s="74" t="s">
        <v>34</v>
      </c>
      <c r="E134" s="74" t="s">
        <v>25</v>
      </c>
      <c r="F134" s="74" t="s">
        <v>56</v>
      </c>
      <c r="G134" s="74" t="s">
        <v>25</v>
      </c>
      <c r="H134" s="74" t="s">
        <v>25</v>
      </c>
      <c r="I134" s="80">
        <v>44409</v>
      </c>
      <c r="J134" s="81">
        <f ca="1">EFEITO!$J$134*EFEITO!$Y$134</f>
        <v>224335.58055668764</v>
      </c>
      <c r="K134" s="81">
        <f>EFEITO!$L$134*EFEITO!$Z$134</f>
        <v>0</v>
      </c>
      <c r="L134" s="81">
        <f>EFEITO!$N$134*EFEITO!$AA$134</f>
        <v>0</v>
      </c>
      <c r="M134" s="81">
        <f ca="1">$J$134-EFEITO!$K$134*EFEITO!$Y$134</f>
        <v>128185.3507300913</v>
      </c>
      <c r="N134" s="81">
        <f>$K$134-EFEITO!$M$134*EFEITO!$Z$134</f>
        <v>0</v>
      </c>
      <c r="O134" s="81">
        <f>$L$134-EFEITO!$O$134*EFEITO!$AA$134</f>
        <v>0</v>
      </c>
      <c r="P134" s="18"/>
      <c r="Q134" s="18"/>
      <c r="R134" s="18"/>
      <c r="S134" s="18"/>
      <c r="T134" s="18"/>
      <c r="U134" s="18"/>
      <c r="V134" s="18"/>
      <c r="W134" s="18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</row>
    <row r="135" spans="1:36" ht="11.25" customHeight="1" x14ac:dyDescent="0.2">
      <c r="A135" s="74" t="s">
        <v>21</v>
      </c>
      <c r="B135" s="74" t="s">
        <v>35</v>
      </c>
      <c r="C135" s="74" t="s">
        <v>39</v>
      </c>
      <c r="D135" s="74" t="s">
        <v>34</v>
      </c>
      <c r="E135" s="74" t="s">
        <v>25</v>
      </c>
      <c r="F135" s="74" t="s">
        <v>56</v>
      </c>
      <c r="G135" s="74" t="s">
        <v>25</v>
      </c>
      <c r="H135" s="74" t="s">
        <v>25</v>
      </c>
      <c r="I135" s="80">
        <v>44440</v>
      </c>
      <c r="J135" s="81">
        <f ca="1">EFEITO!$J$135*EFEITO!$Y$135</f>
        <v>223987.84084646608</v>
      </c>
      <c r="K135" s="81">
        <f>EFEITO!$L$135*EFEITO!$Z$135</f>
        <v>0</v>
      </c>
      <c r="L135" s="81">
        <f>EFEITO!$N$135*EFEITO!$AA$135</f>
        <v>0</v>
      </c>
      <c r="M135" s="81">
        <f ca="1">$J$135-EFEITO!$K$135*EFEITO!$Y$135</f>
        <v>117436.82495580216</v>
      </c>
      <c r="N135" s="81">
        <f>$K$135-EFEITO!$M$135*EFEITO!$Z$135</f>
        <v>0</v>
      </c>
      <c r="O135" s="81">
        <f>$L$135-EFEITO!$O$135*EFEITO!$AA$135</f>
        <v>0</v>
      </c>
      <c r="P135" s="18"/>
      <c r="Q135" s="18"/>
      <c r="R135" s="18"/>
      <c r="S135" s="18"/>
      <c r="T135" s="18"/>
      <c r="U135" s="18"/>
      <c r="V135" s="18"/>
      <c r="W135" s="18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</row>
    <row r="136" spans="1:36" ht="11.25" customHeight="1" x14ac:dyDescent="0.2">
      <c r="A136" s="74" t="s">
        <v>21</v>
      </c>
      <c r="B136" s="74" t="s">
        <v>35</v>
      </c>
      <c r="C136" s="74" t="s">
        <v>39</v>
      </c>
      <c r="D136" s="74" t="s">
        <v>34</v>
      </c>
      <c r="E136" s="74" t="s">
        <v>25</v>
      </c>
      <c r="F136" s="74" t="s">
        <v>56</v>
      </c>
      <c r="G136" s="74" t="s">
        <v>25</v>
      </c>
      <c r="H136" s="74" t="s">
        <v>25</v>
      </c>
      <c r="I136" s="80">
        <v>44470</v>
      </c>
      <c r="J136" s="81">
        <f ca="1">EFEITO!$J$136*EFEITO!$Y$136</f>
        <v>224270.3793610211</v>
      </c>
      <c r="K136" s="81">
        <f>EFEITO!$L$136*EFEITO!$Z$136</f>
        <v>0</v>
      </c>
      <c r="L136" s="81">
        <f>EFEITO!$N$136*EFEITO!$AA$136</f>
        <v>0</v>
      </c>
      <c r="M136" s="81">
        <f ca="1">$J$136-EFEITO!$K$136*EFEITO!$Y$136</f>
        <v>117562.53286104725</v>
      </c>
      <c r="N136" s="81">
        <f>$K$136-EFEITO!$M$136*EFEITO!$Z$136</f>
        <v>0</v>
      </c>
      <c r="O136" s="81">
        <f>$L$136-EFEITO!$O$136*EFEITO!$AA$136</f>
        <v>0</v>
      </c>
      <c r="P136" s="18"/>
      <c r="Q136" s="18"/>
      <c r="R136" s="18"/>
      <c r="S136" s="18"/>
      <c r="T136" s="18"/>
      <c r="U136" s="18"/>
      <c r="V136" s="18"/>
      <c r="W136" s="18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</row>
    <row r="137" spans="1:36" ht="11.25" customHeight="1" x14ac:dyDescent="0.2">
      <c r="A137" s="74" t="s">
        <v>21</v>
      </c>
      <c r="B137" s="74" t="s">
        <v>35</v>
      </c>
      <c r="C137" s="74" t="s">
        <v>39</v>
      </c>
      <c r="D137" s="74" t="s">
        <v>34</v>
      </c>
      <c r="E137" s="74" t="s">
        <v>25</v>
      </c>
      <c r="F137" s="74" t="s">
        <v>56</v>
      </c>
      <c r="G137" s="74" t="s">
        <v>25</v>
      </c>
      <c r="H137" s="74" t="s">
        <v>25</v>
      </c>
      <c r="I137" s="80">
        <v>44501</v>
      </c>
      <c r="J137" s="81">
        <f ca="1">EFEITO!$J$137*EFEITO!$Y$137</f>
        <v>224813.7226582423</v>
      </c>
      <c r="K137" s="81">
        <f>EFEITO!$L$137*EFEITO!$Z$137</f>
        <v>0</v>
      </c>
      <c r="L137" s="81">
        <f>EFEITO!$N$137*EFEITO!$AA$137</f>
        <v>0</v>
      </c>
      <c r="M137" s="81">
        <f ca="1">$J$137-EFEITO!$K$137*EFEITO!$Y$137</f>
        <v>117847.35341745062</v>
      </c>
      <c r="N137" s="81">
        <f>$K$137-EFEITO!$M$137*EFEITO!$Z$137</f>
        <v>0</v>
      </c>
      <c r="O137" s="81">
        <f>$L$137-EFEITO!$O$137*EFEITO!$AA$137</f>
        <v>0</v>
      </c>
      <c r="P137" s="18"/>
      <c r="Q137" s="18"/>
      <c r="R137" s="18"/>
      <c r="S137" s="18"/>
      <c r="T137" s="18"/>
      <c r="U137" s="18"/>
      <c r="V137" s="18"/>
      <c r="W137" s="18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</row>
    <row r="138" spans="1:36" ht="11.25" customHeight="1" x14ac:dyDescent="0.2">
      <c r="A138" s="74" t="s">
        <v>21</v>
      </c>
      <c r="B138" s="74" t="s">
        <v>35</v>
      </c>
      <c r="C138" s="74" t="s">
        <v>39</v>
      </c>
      <c r="D138" s="74" t="s">
        <v>34</v>
      </c>
      <c r="E138" s="74" t="s">
        <v>25</v>
      </c>
      <c r="F138" s="74" t="s">
        <v>56</v>
      </c>
      <c r="G138" s="74" t="s">
        <v>25</v>
      </c>
      <c r="H138" s="74" t="s">
        <v>25</v>
      </c>
      <c r="I138" s="80">
        <v>44531</v>
      </c>
      <c r="J138" s="81">
        <f ca="1">EFEITO!$J$138*EFEITO!$Y$138</f>
        <v>224878.92385390884</v>
      </c>
      <c r="K138" s="81">
        <f>EFEITO!$L$138*EFEITO!$Z$138</f>
        <v>0</v>
      </c>
      <c r="L138" s="81">
        <f>EFEITO!$N$138*EFEITO!$AA$138</f>
        <v>0</v>
      </c>
      <c r="M138" s="81">
        <f ca="1">$J$138-EFEITO!$K$138*EFEITO!$Y$138</f>
        <v>117881.531884219</v>
      </c>
      <c r="N138" s="81">
        <f>$K$138-EFEITO!$M$138*EFEITO!$Z$138</f>
        <v>0</v>
      </c>
      <c r="O138" s="81">
        <f>$L$138-EFEITO!$O$138*EFEITO!$AA$138</f>
        <v>0</v>
      </c>
      <c r="P138" s="18"/>
      <c r="Q138" s="18"/>
      <c r="R138" s="18"/>
      <c r="S138" s="18"/>
      <c r="T138" s="18"/>
      <c r="U138" s="18"/>
      <c r="V138" s="18"/>
      <c r="W138" s="18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</row>
    <row r="139" spans="1:36" ht="11.25" customHeight="1" x14ac:dyDescent="0.2">
      <c r="A139" s="74" t="s">
        <v>21</v>
      </c>
      <c r="B139" s="74" t="s">
        <v>35</v>
      </c>
      <c r="C139" s="74" t="s">
        <v>39</v>
      </c>
      <c r="D139" s="74" t="s">
        <v>34</v>
      </c>
      <c r="E139" s="74" t="s">
        <v>25</v>
      </c>
      <c r="F139" s="74" t="s">
        <v>56</v>
      </c>
      <c r="G139" s="74" t="s">
        <v>25</v>
      </c>
      <c r="H139" s="74" t="s">
        <v>25</v>
      </c>
      <c r="I139" s="80">
        <v>44562</v>
      </c>
      <c r="J139" s="81">
        <f ca="1">EFEITO!$J$139*EFEITO!$Y$139</f>
        <v>224770.25519446461</v>
      </c>
      <c r="K139" s="81">
        <f>EFEITO!$L$139*EFEITO!$Z$139</f>
        <v>0</v>
      </c>
      <c r="L139" s="81">
        <f>EFEITO!$N$139*EFEITO!$AA$139</f>
        <v>0</v>
      </c>
      <c r="M139" s="81">
        <f ca="1">$J$139-EFEITO!$K$139*EFEITO!$Y$139</f>
        <v>117824.56777293835</v>
      </c>
      <c r="N139" s="81">
        <f>$K$139-EFEITO!$M$139*EFEITO!$Z$139</f>
        <v>0</v>
      </c>
      <c r="O139" s="81">
        <f>$L$139-EFEITO!$O$139*EFEITO!$AA$139</f>
        <v>0</v>
      </c>
      <c r="P139" s="18"/>
      <c r="Q139" s="18"/>
      <c r="R139" s="18"/>
      <c r="S139" s="18"/>
      <c r="T139" s="18"/>
      <c r="U139" s="18"/>
      <c r="V139" s="18"/>
      <c r="W139" s="18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</row>
    <row r="140" spans="1:36" ht="11.25" customHeight="1" x14ac:dyDescent="0.2">
      <c r="A140" s="74" t="s">
        <v>21</v>
      </c>
      <c r="B140" s="74" t="s">
        <v>35</v>
      </c>
      <c r="C140" s="74" t="s">
        <v>39</v>
      </c>
      <c r="D140" s="74" t="s">
        <v>34</v>
      </c>
      <c r="E140" s="74" t="s">
        <v>25</v>
      </c>
      <c r="F140" s="74" t="s">
        <v>56</v>
      </c>
      <c r="G140" s="74" t="s">
        <v>25</v>
      </c>
      <c r="H140" s="74" t="s">
        <v>25</v>
      </c>
      <c r="I140" s="80">
        <v>44593</v>
      </c>
      <c r="J140" s="81">
        <f ca="1">EFEITO!$J$140*EFEITO!$Y$140</f>
        <v>232442.2625512279</v>
      </c>
      <c r="K140" s="81">
        <f>EFEITO!$L$140*EFEITO!$Z$140</f>
        <v>0</v>
      </c>
      <c r="L140" s="81">
        <f>EFEITO!$N$140*EFEITO!$AA$140</f>
        <v>0</v>
      </c>
      <c r="M140" s="81">
        <f ca="1">$J$140-EFEITO!$K$140*EFEITO!$Y$140</f>
        <v>121660.28021931268</v>
      </c>
      <c r="N140" s="81">
        <f>$K$140-EFEITO!$M$140*EFEITO!$Z$140</f>
        <v>0</v>
      </c>
      <c r="O140" s="81">
        <f>$L$140-EFEITO!$O$140*EFEITO!$AA$140</f>
        <v>0</v>
      </c>
      <c r="P140" s="18"/>
      <c r="Q140" s="18"/>
      <c r="R140" s="18"/>
      <c r="S140" s="18"/>
      <c r="T140" s="18"/>
      <c r="U140" s="18"/>
      <c r="V140" s="18"/>
      <c r="W140" s="18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</row>
    <row r="141" spans="1:36" ht="11.25" customHeight="1" x14ac:dyDescent="0.2">
      <c r="A141" s="74" t="s">
        <v>21</v>
      </c>
      <c r="B141" s="74" t="s">
        <v>35</v>
      </c>
      <c r="C141" s="74" t="s">
        <v>39</v>
      </c>
      <c r="D141" s="74" t="s">
        <v>34</v>
      </c>
      <c r="E141" s="74" t="s">
        <v>25</v>
      </c>
      <c r="F141" s="74" t="s">
        <v>56</v>
      </c>
      <c r="G141" s="74" t="s">
        <v>25</v>
      </c>
      <c r="H141" s="74" t="s">
        <v>25</v>
      </c>
      <c r="I141" s="80">
        <v>44621</v>
      </c>
      <c r="J141" s="81">
        <f ca="1">EFEITO!$J$141*EFEITO!$Y$141</f>
        <v>237158.48237110788</v>
      </c>
      <c r="K141" s="81">
        <f>EFEITO!$L$141*EFEITO!$Z$141</f>
        <v>0</v>
      </c>
      <c r="L141" s="81">
        <f>EFEITO!$N$141*EFEITO!$AA$141</f>
        <v>0</v>
      </c>
      <c r="M141" s="81">
        <f ca="1">$J$141-EFEITO!$K$141*EFEITO!$Y$141</f>
        <v>124010.1704318523</v>
      </c>
      <c r="N141" s="81">
        <f>$K$141-EFEITO!$M$141*EFEITO!$Z$141</f>
        <v>0</v>
      </c>
      <c r="O141" s="81">
        <f>$L$141-EFEITO!$O$141*EFEITO!$AA$141</f>
        <v>0</v>
      </c>
      <c r="P141" s="18"/>
      <c r="Q141" s="18"/>
      <c r="R141" s="18"/>
      <c r="S141" s="18"/>
      <c r="T141" s="18"/>
      <c r="U141" s="18"/>
      <c r="V141" s="18"/>
      <c r="W141" s="18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</row>
    <row r="142" spans="1:36" ht="11.25" customHeight="1" x14ac:dyDescent="0.2">
      <c r="A142" s="74" t="s">
        <v>21</v>
      </c>
      <c r="B142" s="74" t="s">
        <v>35</v>
      </c>
      <c r="C142" s="74" t="s">
        <v>39</v>
      </c>
      <c r="D142" s="74" t="s">
        <v>34</v>
      </c>
      <c r="E142" s="74" t="s">
        <v>25</v>
      </c>
      <c r="F142" s="74" t="s">
        <v>56</v>
      </c>
      <c r="G142" s="74" t="s">
        <v>25</v>
      </c>
      <c r="H142" s="74" t="s">
        <v>25</v>
      </c>
      <c r="I142" s="80">
        <v>44652</v>
      </c>
      <c r="J142" s="81">
        <f ca="1">EFEITO!$J$142*EFEITO!$Y$142</f>
        <v>239723.06273399194</v>
      </c>
      <c r="K142" s="81">
        <f>EFEITO!$L$142*EFEITO!$Z$142</f>
        <v>0</v>
      </c>
      <c r="L142" s="81">
        <f>EFEITO!$N$142*EFEITO!$AA$142</f>
        <v>0</v>
      </c>
      <c r="M142" s="81">
        <f ca="1">$J$142-EFEITO!$K$142*EFEITO!$Y$142</f>
        <v>125303.24489105761</v>
      </c>
      <c r="N142" s="81">
        <f>$K$142-EFEITO!$M$142*EFEITO!$Z$142</f>
        <v>0</v>
      </c>
      <c r="O142" s="81">
        <f>$L$142-EFEITO!$O$142*EFEITO!$AA$142</f>
        <v>0</v>
      </c>
      <c r="P142" s="18"/>
      <c r="Q142" s="18"/>
      <c r="R142" s="18"/>
      <c r="S142" s="18"/>
      <c r="T142" s="18"/>
      <c r="U142" s="18"/>
      <c r="V142" s="18"/>
      <c r="W142" s="18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</row>
    <row r="143" spans="1:36" ht="11.25" customHeight="1" x14ac:dyDescent="0.2">
      <c r="A143" s="74" t="s">
        <v>21</v>
      </c>
      <c r="B143" s="74" t="s">
        <v>35</v>
      </c>
      <c r="C143" s="74" t="s">
        <v>39</v>
      </c>
      <c r="D143" s="74" t="s">
        <v>34</v>
      </c>
      <c r="E143" s="74" t="s">
        <v>25</v>
      </c>
      <c r="F143" s="74" t="s">
        <v>56</v>
      </c>
      <c r="G143" s="74" t="s">
        <v>25</v>
      </c>
      <c r="H143" s="74" t="s">
        <v>25</v>
      </c>
      <c r="I143" s="80">
        <v>44682</v>
      </c>
      <c r="J143" s="81">
        <f ca="1">EFEITO!$J$143*EFEITO!$Y$143</f>
        <v>237658.35820455139</v>
      </c>
      <c r="K143" s="81">
        <f>EFEITO!$L$143*EFEITO!$Z$143</f>
        <v>0</v>
      </c>
      <c r="L143" s="81">
        <f>EFEITO!$N$143*EFEITO!$AA$143</f>
        <v>0</v>
      </c>
      <c r="M143" s="81">
        <f ca="1">$J$143-EFEITO!$K$143*EFEITO!$Y$143</f>
        <v>124271.55550515992</v>
      </c>
      <c r="N143" s="81">
        <f>$K$143-EFEITO!$M$143*EFEITO!$Z$143</f>
        <v>0</v>
      </c>
      <c r="O143" s="81">
        <f>$L$143-EFEITO!$O$143*EFEITO!$AA$143</f>
        <v>0</v>
      </c>
      <c r="P143" s="18"/>
      <c r="Q143" s="18"/>
      <c r="R143" s="18"/>
      <c r="S143" s="18"/>
      <c r="T143" s="18"/>
      <c r="U143" s="18"/>
      <c r="V143" s="18"/>
      <c r="W143" s="18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</row>
    <row r="144" spans="1:36" ht="11.25" customHeight="1" x14ac:dyDescent="0.2">
      <c r="A144" s="74" t="s">
        <v>21</v>
      </c>
      <c r="B144" s="74" t="s">
        <v>35</v>
      </c>
      <c r="C144" s="74" t="s">
        <v>39</v>
      </c>
      <c r="D144" s="74" t="s">
        <v>34</v>
      </c>
      <c r="E144" s="74" t="s">
        <v>25</v>
      </c>
      <c r="F144" s="74" t="s">
        <v>56</v>
      </c>
      <c r="G144" s="74" t="s">
        <v>25</v>
      </c>
      <c r="H144" s="74" t="s">
        <v>25</v>
      </c>
      <c r="I144" s="80">
        <v>44713</v>
      </c>
      <c r="J144" s="81">
        <f ca="1">EFEITO!$J$144*EFEITO!$Y$144</f>
        <v>238831.97972654918</v>
      </c>
      <c r="K144" s="81">
        <f>EFEITO!$L$144*EFEITO!$Z$144</f>
        <v>0</v>
      </c>
      <c r="L144" s="81">
        <f>EFEITO!$N$144*EFEITO!$AA$144</f>
        <v>0</v>
      </c>
      <c r="M144" s="81">
        <f ca="1">$J$144-EFEITO!$K$144*EFEITO!$Y$144</f>
        <v>124861.35900103992</v>
      </c>
      <c r="N144" s="81">
        <f>$K$144-EFEITO!$M$144*EFEITO!$Z$144</f>
        <v>0</v>
      </c>
      <c r="O144" s="81">
        <f>$L$144-EFEITO!$O$144*EFEITO!$AA$144</f>
        <v>0</v>
      </c>
      <c r="P144" s="18"/>
      <c r="Q144" s="18"/>
      <c r="R144" s="18"/>
      <c r="S144" s="18"/>
      <c r="T144" s="18"/>
      <c r="U144" s="18"/>
      <c r="V144" s="18"/>
      <c r="W144" s="18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</row>
    <row r="145" spans="1:36" ht="11.25" customHeight="1" x14ac:dyDescent="0.2">
      <c r="A145" s="74" t="s">
        <v>55</v>
      </c>
      <c r="B145" s="74" t="s">
        <v>35</v>
      </c>
      <c r="C145" s="74" t="s">
        <v>39</v>
      </c>
      <c r="D145" s="74" t="s">
        <v>34</v>
      </c>
      <c r="E145" s="74" t="s">
        <v>25</v>
      </c>
      <c r="F145" s="74" t="s">
        <v>56</v>
      </c>
      <c r="G145" s="74" t="s">
        <v>25</v>
      </c>
      <c r="H145" s="74" t="s">
        <v>25</v>
      </c>
      <c r="I145" s="80">
        <v>44743</v>
      </c>
      <c r="J145" s="81">
        <f ca="1">EFEITO!$J$145*EFEITO!$Y$145</f>
        <v>238831.97972654918</v>
      </c>
      <c r="K145" s="81">
        <f>EFEITO!$L$145*EFEITO!$Z$145</f>
        <v>0</v>
      </c>
      <c r="L145" s="81">
        <f>EFEITO!$N$145*EFEITO!$AA$145</f>
        <v>0</v>
      </c>
      <c r="M145" s="81">
        <f ca="1">$J$145-EFEITO!$K$145*EFEITO!$Y$145</f>
        <v>124861.35900103992</v>
      </c>
      <c r="N145" s="81">
        <f>$K$145-EFEITO!$M$145*EFEITO!$Z$145</f>
        <v>0</v>
      </c>
      <c r="O145" s="81">
        <f>$L$145-EFEITO!$O$145*EFEITO!$AA$145</f>
        <v>0</v>
      </c>
      <c r="P145" s="18"/>
      <c r="Q145" s="18"/>
      <c r="R145" s="18"/>
      <c r="S145" s="18"/>
      <c r="T145" s="18"/>
      <c r="U145" s="18"/>
      <c r="V145" s="18"/>
      <c r="W145" s="18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</row>
    <row r="146" spans="1:36" ht="11.25" customHeight="1" x14ac:dyDescent="0.2">
      <c r="A146" s="74" t="s">
        <v>21</v>
      </c>
      <c r="B146" s="74" t="s">
        <v>35</v>
      </c>
      <c r="C146" s="74" t="s">
        <v>39</v>
      </c>
      <c r="D146" s="74" t="s">
        <v>34</v>
      </c>
      <c r="E146" s="74" t="s">
        <v>25</v>
      </c>
      <c r="F146" s="74" t="s">
        <v>56</v>
      </c>
      <c r="G146" s="74" t="s">
        <v>25</v>
      </c>
      <c r="H146" s="74" t="s">
        <v>37</v>
      </c>
      <c r="I146" s="80">
        <v>44409</v>
      </c>
      <c r="J146" s="81">
        <f>EFEITO!$J$146*EFEITO!$Y$146</f>
        <v>0</v>
      </c>
      <c r="K146" s="81">
        <f ca="1">EFEITO!$L$146*EFEITO!$Z$146</f>
        <v>330796.40030469513</v>
      </c>
      <c r="L146" s="81">
        <f>EFEITO!$N$146*EFEITO!$AA$146</f>
        <v>0</v>
      </c>
      <c r="M146" s="81">
        <f>$J$146-EFEITO!$K$146*EFEITO!$Y$146</f>
        <v>0</v>
      </c>
      <c r="N146" s="81">
        <f ca="1">$K$146-EFEITO!$M$146*EFEITO!$Z$146</f>
        <v>189017.06313410279</v>
      </c>
      <c r="O146" s="81">
        <f>$L$146-EFEITO!$O$146*EFEITO!$AA$146</f>
        <v>0</v>
      </c>
      <c r="P146" s="18"/>
      <c r="Q146" s="18"/>
      <c r="R146" s="18"/>
      <c r="S146" s="18"/>
      <c r="T146" s="18"/>
      <c r="U146" s="18"/>
      <c r="V146" s="18"/>
      <c r="W146" s="18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</row>
    <row r="147" spans="1:36" ht="11.25" customHeight="1" x14ac:dyDescent="0.2">
      <c r="A147" s="74" t="s">
        <v>21</v>
      </c>
      <c r="B147" s="74" t="s">
        <v>35</v>
      </c>
      <c r="C147" s="74" t="s">
        <v>39</v>
      </c>
      <c r="D147" s="74" t="s">
        <v>34</v>
      </c>
      <c r="E147" s="74" t="s">
        <v>25</v>
      </c>
      <c r="F147" s="74" t="s">
        <v>56</v>
      </c>
      <c r="G147" s="74" t="s">
        <v>25</v>
      </c>
      <c r="H147" s="74" t="s">
        <v>37</v>
      </c>
      <c r="I147" s="80">
        <v>44440</v>
      </c>
      <c r="J147" s="81">
        <f>EFEITO!$J$147*EFEITO!$Y$147</f>
        <v>0</v>
      </c>
      <c r="K147" s="81">
        <f ca="1">EFEITO!$L$147*EFEITO!$Z$147</f>
        <v>347895.56747620384</v>
      </c>
      <c r="L147" s="81">
        <f>EFEITO!$N$147*EFEITO!$AA$147</f>
        <v>0</v>
      </c>
      <c r="M147" s="81">
        <f>$J$147-EFEITO!$K$147*EFEITO!$Y$147</f>
        <v>0</v>
      </c>
      <c r="N147" s="81">
        <f ca="1">$K$147-EFEITO!$M$147*EFEITO!$Z$147</f>
        <v>174434.83753256861</v>
      </c>
      <c r="O147" s="81">
        <f>$L$147-EFEITO!$O$147*EFEITO!$AA$147</f>
        <v>0</v>
      </c>
      <c r="P147" s="18"/>
      <c r="Q147" s="18"/>
      <c r="R147" s="18"/>
      <c r="S147" s="18"/>
      <c r="T147" s="18"/>
      <c r="U147" s="18"/>
      <c r="V147" s="18"/>
      <c r="W147" s="18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</row>
    <row r="148" spans="1:36" ht="11.25" customHeight="1" x14ac:dyDescent="0.2">
      <c r="A148" s="74" t="s">
        <v>21</v>
      </c>
      <c r="B148" s="74" t="s">
        <v>35</v>
      </c>
      <c r="C148" s="74" t="s">
        <v>39</v>
      </c>
      <c r="D148" s="74" t="s">
        <v>34</v>
      </c>
      <c r="E148" s="74" t="s">
        <v>25</v>
      </c>
      <c r="F148" s="74" t="s">
        <v>56</v>
      </c>
      <c r="G148" s="74" t="s">
        <v>25</v>
      </c>
      <c r="H148" s="74" t="s">
        <v>37</v>
      </c>
      <c r="I148" s="80">
        <v>44470</v>
      </c>
      <c r="J148" s="81">
        <f>EFEITO!$J$148*EFEITO!$Y$148</f>
        <v>0</v>
      </c>
      <c r="K148" s="81">
        <f ca="1">EFEITO!$L$148*EFEITO!$Z$148</f>
        <v>335579.92703284614</v>
      </c>
      <c r="L148" s="81">
        <f>EFEITO!$N$148*EFEITO!$AA$148</f>
        <v>0</v>
      </c>
      <c r="M148" s="81">
        <f>$J$148-EFEITO!$K$148*EFEITO!$Y$148</f>
        <v>0</v>
      </c>
      <c r="N148" s="81">
        <f ca="1">$K$148-EFEITO!$M$148*EFEITO!$Z$148</f>
        <v>168192.65942886251</v>
      </c>
      <c r="O148" s="81">
        <f>$L$148-EFEITO!$O$148*EFEITO!$AA$148</f>
        <v>0</v>
      </c>
      <c r="P148" s="18"/>
      <c r="Q148" s="18"/>
      <c r="R148" s="18"/>
      <c r="S148" s="18"/>
      <c r="T148" s="18"/>
      <c r="U148" s="18"/>
      <c r="V148" s="18"/>
      <c r="W148" s="18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</row>
    <row r="149" spans="1:36" ht="11.25" customHeight="1" x14ac:dyDescent="0.2">
      <c r="A149" s="74" t="s">
        <v>21</v>
      </c>
      <c r="B149" s="74" t="s">
        <v>35</v>
      </c>
      <c r="C149" s="74" t="s">
        <v>39</v>
      </c>
      <c r="D149" s="74" t="s">
        <v>34</v>
      </c>
      <c r="E149" s="74" t="s">
        <v>25</v>
      </c>
      <c r="F149" s="74" t="s">
        <v>56</v>
      </c>
      <c r="G149" s="74" t="s">
        <v>25</v>
      </c>
      <c r="H149" s="74" t="s">
        <v>37</v>
      </c>
      <c r="I149" s="80">
        <v>44501</v>
      </c>
      <c r="J149" s="81">
        <f>EFEITO!$J$149*EFEITO!$Y$149</f>
        <v>0</v>
      </c>
      <c r="K149" s="81">
        <f ca="1">EFEITO!$L$149*EFEITO!$Z$149</f>
        <v>339043.65425173205</v>
      </c>
      <c r="L149" s="81">
        <f>EFEITO!$N$149*EFEITO!$AA$149</f>
        <v>0</v>
      </c>
      <c r="M149" s="81">
        <f>$J$149-EFEITO!$K$149*EFEITO!$Y$149</f>
        <v>0</v>
      </c>
      <c r="N149" s="81">
        <f ca="1">$K$149-EFEITO!$M$149*EFEITO!$Z$149</f>
        <v>169216.68783703947</v>
      </c>
      <c r="O149" s="81">
        <f>$L$149-EFEITO!$O$149*EFEITO!$AA$149</f>
        <v>0</v>
      </c>
      <c r="P149" s="18"/>
      <c r="Q149" s="18"/>
      <c r="R149" s="18"/>
      <c r="S149" s="18"/>
      <c r="T149" s="18"/>
      <c r="U149" s="18"/>
      <c r="V149" s="18"/>
      <c r="W149" s="18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</row>
    <row r="150" spans="1:36" ht="11.25" customHeight="1" x14ac:dyDescent="0.2">
      <c r="A150" s="74" t="s">
        <v>21</v>
      </c>
      <c r="B150" s="74" t="s">
        <v>35</v>
      </c>
      <c r="C150" s="74" t="s">
        <v>39</v>
      </c>
      <c r="D150" s="74" t="s">
        <v>34</v>
      </c>
      <c r="E150" s="74" t="s">
        <v>25</v>
      </c>
      <c r="F150" s="74" t="s">
        <v>56</v>
      </c>
      <c r="G150" s="74" t="s">
        <v>25</v>
      </c>
      <c r="H150" s="74" t="s">
        <v>37</v>
      </c>
      <c r="I150" s="80">
        <v>44531</v>
      </c>
      <c r="J150" s="81">
        <f>EFEITO!$J$150*EFEITO!$Y$150</f>
        <v>0</v>
      </c>
      <c r="K150" s="81">
        <f ca="1">EFEITO!$L$150*EFEITO!$Z$150</f>
        <v>366640.0050766833</v>
      </c>
      <c r="L150" s="81">
        <f>EFEITO!$N$150*EFEITO!$AA$150</f>
        <v>0</v>
      </c>
      <c r="M150" s="81">
        <f>$J$150-EFEITO!$K$150*EFEITO!$Y$150</f>
        <v>0</v>
      </c>
      <c r="N150" s="81">
        <f ca="1">$K$150-EFEITO!$M$150*EFEITO!$Z$150</f>
        <v>182586.72252818826</v>
      </c>
      <c r="O150" s="81">
        <f>$L$150-EFEITO!$O$150*EFEITO!$AA$150</f>
        <v>0</v>
      </c>
      <c r="P150" s="18"/>
      <c r="Q150" s="18"/>
      <c r="R150" s="18"/>
      <c r="S150" s="18"/>
      <c r="T150" s="18"/>
      <c r="U150" s="18"/>
      <c r="V150" s="18"/>
      <c r="W150" s="18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</row>
    <row r="151" spans="1:36" ht="11.25" customHeight="1" x14ac:dyDescent="0.2">
      <c r="A151" s="74" t="s">
        <v>21</v>
      </c>
      <c r="B151" s="74" t="s">
        <v>35</v>
      </c>
      <c r="C151" s="74" t="s">
        <v>39</v>
      </c>
      <c r="D151" s="74" t="s">
        <v>34</v>
      </c>
      <c r="E151" s="74" t="s">
        <v>25</v>
      </c>
      <c r="F151" s="74" t="s">
        <v>56</v>
      </c>
      <c r="G151" s="74" t="s">
        <v>25</v>
      </c>
      <c r="H151" s="74" t="s">
        <v>37</v>
      </c>
      <c r="I151" s="80">
        <v>44562</v>
      </c>
      <c r="J151" s="81">
        <f>EFEITO!$J$151*EFEITO!$Y$151</f>
        <v>0</v>
      </c>
      <c r="K151" s="81">
        <f ca="1">EFEITO!$L$151*EFEITO!$Z$151</f>
        <v>341183.10300374217</v>
      </c>
      <c r="L151" s="81">
        <f>EFEITO!$N$151*EFEITO!$AA$151</f>
        <v>0</v>
      </c>
      <c r="M151" s="81">
        <f>$J$151-EFEITO!$K$151*EFEITO!$Y$151</f>
        <v>0</v>
      </c>
      <c r="N151" s="81">
        <f ca="1">$K$151-EFEITO!$M$151*EFEITO!$Z$151</f>
        <v>169909.1852958636</v>
      </c>
      <c r="O151" s="81">
        <f>$L$151-EFEITO!$O$151*EFEITO!$AA$151</f>
        <v>0</v>
      </c>
      <c r="P151" s="18"/>
      <c r="Q151" s="18"/>
      <c r="R151" s="18"/>
      <c r="S151" s="18"/>
      <c r="T151" s="18"/>
      <c r="U151" s="18"/>
      <c r="V151" s="18"/>
      <c r="W151" s="18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</row>
    <row r="152" spans="1:36" ht="11.25" customHeight="1" x14ac:dyDescent="0.2">
      <c r="A152" s="74" t="s">
        <v>21</v>
      </c>
      <c r="B152" s="74" t="s">
        <v>35</v>
      </c>
      <c r="C152" s="74" t="s">
        <v>39</v>
      </c>
      <c r="D152" s="74" t="s">
        <v>34</v>
      </c>
      <c r="E152" s="74" t="s">
        <v>25</v>
      </c>
      <c r="F152" s="74" t="s">
        <v>56</v>
      </c>
      <c r="G152" s="74" t="s">
        <v>25</v>
      </c>
      <c r="H152" s="74" t="s">
        <v>37</v>
      </c>
      <c r="I152" s="80">
        <v>44593</v>
      </c>
      <c r="J152" s="81">
        <f>EFEITO!$J$152*EFEITO!$Y$152</f>
        <v>0</v>
      </c>
      <c r="K152" s="81">
        <f ca="1">EFEITO!$L$152*EFEITO!$Z$152</f>
        <v>317450.59961089288</v>
      </c>
      <c r="L152" s="81">
        <f>EFEITO!$N$152*EFEITO!$AA$152</f>
        <v>0</v>
      </c>
      <c r="M152" s="81">
        <f>$J$152-EFEITO!$K$152*EFEITO!$Y$152</f>
        <v>0</v>
      </c>
      <c r="N152" s="81">
        <f ca="1">$K$152-EFEITO!$M$152*EFEITO!$Z$152</f>
        <v>157138.04680739198</v>
      </c>
      <c r="O152" s="81">
        <f>$L$152-EFEITO!$O$152*EFEITO!$AA$152</f>
        <v>0</v>
      </c>
      <c r="P152" s="18"/>
      <c r="Q152" s="18"/>
      <c r="R152" s="18"/>
      <c r="S152" s="18"/>
      <c r="T152" s="18"/>
      <c r="U152" s="18"/>
      <c r="V152" s="18"/>
      <c r="W152" s="18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</row>
    <row r="153" spans="1:36" ht="11.25" customHeight="1" x14ac:dyDescent="0.2">
      <c r="A153" s="74" t="s">
        <v>21</v>
      </c>
      <c r="B153" s="74" t="s">
        <v>35</v>
      </c>
      <c r="C153" s="74" t="s">
        <v>39</v>
      </c>
      <c r="D153" s="74" t="s">
        <v>34</v>
      </c>
      <c r="E153" s="74" t="s">
        <v>25</v>
      </c>
      <c r="F153" s="74" t="s">
        <v>56</v>
      </c>
      <c r="G153" s="74" t="s">
        <v>25</v>
      </c>
      <c r="H153" s="74" t="s">
        <v>37</v>
      </c>
      <c r="I153" s="80">
        <v>44621</v>
      </c>
      <c r="J153" s="81">
        <f>EFEITO!$J$153*EFEITO!$Y$153</f>
        <v>0</v>
      </c>
      <c r="K153" s="81">
        <f ca="1">EFEITO!$L$153*EFEITO!$Z$153</f>
        <v>341009.91664279788</v>
      </c>
      <c r="L153" s="81">
        <f>EFEITO!$N$153*EFEITO!$AA$153</f>
        <v>0</v>
      </c>
      <c r="M153" s="81">
        <f>$J$153-EFEITO!$K$153*EFEITO!$Y$153</f>
        <v>0</v>
      </c>
      <c r="N153" s="81">
        <f ca="1">$K$153-EFEITO!$M$153*EFEITO!$Z$153</f>
        <v>171766.69501297729</v>
      </c>
      <c r="O153" s="81">
        <f>$L$153-EFEITO!$O$153*EFEITO!$AA$153</f>
        <v>0</v>
      </c>
      <c r="P153" s="18"/>
      <c r="Q153" s="18"/>
      <c r="R153" s="18"/>
      <c r="S153" s="18"/>
      <c r="T153" s="18"/>
      <c r="U153" s="18"/>
      <c r="V153" s="18"/>
      <c r="W153" s="18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</row>
    <row r="154" spans="1:36" ht="11.25" customHeight="1" x14ac:dyDescent="0.2">
      <c r="A154" s="74" t="s">
        <v>21</v>
      </c>
      <c r="B154" s="74" t="s">
        <v>35</v>
      </c>
      <c r="C154" s="74" t="s">
        <v>39</v>
      </c>
      <c r="D154" s="74" t="s">
        <v>34</v>
      </c>
      <c r="E154" s="74" t="s">
        <v>25</v>
      </c>
      <c r="F154" s="74" t="s">
        <v>56</v>
      </c>
      <c r="G154" s="74" t="s">
        <v>25</v>
      </c>
      <c r="H154" s="74" t="s">
        <v>37</v>
      </c>
      <c r="I154" s="80">
        <v>44652</v>
      </c>
      <c r="J154" s="81">
        <f>EFEITO!$J$154*EFEITO!$Y$154</f>
        <v>0</v>
      </c>
      <c r="K154" s="81">
        <f ca="1">EFEITO!$L$154*EFEITO!$Z$154</f>
        <v>295281.25242415292</v>
      </c>
      <c r="L154" s="81">
        <f>EFEITO!$N$154*EFEITO!$AA$154</f>
        <v>0</v>
      </c>
      <c r="M154" s="81">
        <f>$J$154-EFEITO!$K$154*EFEITO!$Y$154</f>
        <v>0</v>
      </c>
      <c r="N154" s="81">
        <f ca="1">$K$154-EFEITO!$M$154*EFEITO!$Z$154</f>
        <v>145307.90431792566</v>
      </c>
      <c r="O154" s="81">
        <f>$L$154-EFEITO!$O$154*EFEITO!$AA$154</f>
        <v>0</v>
      </c>
      <c r="P154" s="18"/>
      <c r="Q154" s="18"/>
      <c r="R154" s="18"/>
      <c r="S154" s="18"/>
      <c r="T154" s="18"/>
      <c r="U154" s="18"/>
      <c r="V154" s="18"/>
      <c r="W154" s="18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</row>
    <row r="155" spans="1:36" ht="11.25" customHeight="1" x14ac:dyDescent="0.2">
      <c r="A155" s="74" t="s">
        <v>21</v>
      </c>
      <c r="B155" s="74" t="s">
        <v>35</v>
      </c>
      <c r="C155" s="74" t="s">
        <v>39</v>
      </c>
      <c r="D155" s="74" t="s">
        <v>34</v>
      </c>
      <c r="E155" s="74" t="s">
        <v>25</v>
      </c>
      <c r="F155" s="74" t="s">
        <v>56</v>
      </c>
      <c r="G155" s="74" t="s">
        <v>25</v>
      </c>
      <c r="H155" s="74" t="s">
        <v>37</v>
      </c>
      <c r="I155" s="80">
        <v>44682</v>
      </c>
      <c r="J155" s="81">
        <f>EFEITO!$J$155*EFEITO!$Y$155</f>
        <v>0</v>
      </c>
      <c r="K155" s="81">
        <f ca="1">EFEITO!$L$155*EFEITO!$Z$155</f>
        <v>328815.20805492718</v>
      </c>
      <c r="L155" s="81">
        <f>EFEITO!$N$155*EFEITO!$AA$155</f>
        <v>0</v>
      </c>
      <c r="M155" s="81">
        <f>$J$155-EFEITO!$K$155*EFEITO!$Y$155</f>
        <v>0</v>
      </c>
      <c r="N155" s="81">
        <f ca="1">$K$155-EFEITO!$M$155*EFEITO!$Z$155</f>
        <v>163388.27688249332</v>
      </c>
      <c r="O155" s="81">
        <f>$L$155-EFEITO!$O$155*EFEITO!$AA$155</f>
        <v>0</v>
      </c>
      <c r="P155" s="18"/>
      <c r="Q155" s="18"/>
      <c r="R155" s="18"/>
      <c r="S155" s="18"/>
      <c r="T155" s="18"/>
      <c r="U155" s="18"/>
      <c r="V155" s="18"/>
      <c r="W155" s="18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</row>
    <row r="156" spans="1:36" ht="11.25" customHeight="1" x14ac:dyDescent="0.2">
      <c r="A156" s="74" t="s">
        <v>21</v>
      </c>
      <c r="B156" s="74" t="s">
        <v>35</v>
      </c>
      <c r="C156" s="74" t="s">
        <v>39</v>
      </c>
      <c r="D156" s="74" t="s">
        <v>34</v>
      </c>
      <c r="E156" s="74" t="s">
        <v>25</v>
      </c>
      <c r="F156" s="74" t="s">
        <v>56</v>
      </c>
      <c r="G156" s="74" t="s">
        <v>25</v>
      </c>
      <c r="H156" s="74" t="s">
        <v>37</v>
      </c>
      <c r="I156" s="80">
        <v>44713</v>
      </c>
      <c r="J156" s="81">
        <f>EFEITO!$J$156*EFEITO!$Y$156</f>
        <v>0</v>
      </c>
      <c r="K156" s="81">
        <f ca="1">EFEITO!$L$156*EFEITO!$Z$156</f>
        <v>314527.33327702282</v>
      </c>
      <c r="L156" s="81">
        <f>EFEITO!$N$156*EFEITO!$AA$156</f>
        <v>0</v>
      </c>
      <c r="M156" s="81">
        <f>$J$156-EFEITO!$K$156*EFEITO!$Y$156</f>
        <v>0</v>
      </c>
      <c r="N156" s="81">
        <f ca="1">$K$156-EFEITO!$M$156*EFEITO!$Z$156</f>
        <v>156917.68657190667</v>
      </c>
      <c r="O156" s="81">
        <f>$L$156-EFEITO!$O$156*EFEITO!$AA$156</f>
        <v>0</v>
      </c>
      <c r="P156" s="18"/>
      <c r="Q156" s="18"/>
      <c r="R156" s="18"/>
      <c r="S156" s="18"/>
      <c r="T156" s="18"/>
      <c r="U156" s="18"/>
      <c r="V156" s="18"/>
      <c r="W156" s="18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</row>
    <row r="157" spans="1:36" ht="11.25" customHeight="1" x14ac:dyDescent="0.2">
      <c r="A157" s="74" t="s">
        <v>55</v>
      </c>
      <c r="B157" s="74" t="s">
        <v>35</v>
      </c>
      <c r="C157" s="74" t="s">
        <v>39</v>
      </c>
      <c r="D157" s="74" t="s">
        <v>34</v>
      </c>
      <c r="E157" s="74" t="s">
        <v>25</v>
      </c>
      <c r="F157" s="74" t="s">
        <v>56</v>
      </c>
      <c r="G157" s="74" t="s">
        <v>25</v>
      </c>
      <c r="H157" s="74" t="s">
        <v>37</v>
      </c>
      <c r="I157" s="80">
        <v>44743</v>
      </c>
      <c r="J157" s="81">
        <f>EFEITO!$J$157*EFEITO!$Y$157</f>
        <v>0</v>
      </c>
      <c r="K157" s="81">
        <f ca="1">EFEITO!$L$157*EFEITO!$Z$157</f>
        <v>314527.33327702282</v>
      </c>
      <c r="L157" s="81">
        <f>EFEITO!$N$157*EFEITO!$AA$157</f>
        <v>0</v>
      </c>
      <c r="M157" s="81">
        <f>$J$157-EFEITO!$K$157*EFEITO!$Y$157</f>
        <v>0</v>
      </c>
      <c r="N157" s="81">
        <f ca="1">$K$157-EFEITO!$M$157*EFEITO!$Z$157</f>
        <v>156917.68657190667</v>
      </c>
      <c r="O157" s="81">
        <f>$L$157-EFEITO!$O$157*EFEITO!$AA$157</f>
        <v>0</v>
      </c>
      <c r="P157" s="18"/>
      <c r="Q157" s="18"/>
      <c r="R157" s="18"/>
      <c r="S157" s="18"/>
      <c r="T157" s="18"/>
      <c r="U157" s="18"/>
      <c r="V157" s="18"/>
      <c r="W157" s="18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</row>
    <row r="158" spans="1:36" ht="11.25" customHeight="1" x14ac:dyDescent="0.2">
      <c r="A158" s="74" t="s">
        <v>21</v>
      </c>
      <c r="B158" s="74" t="s">
        <v>35</v>
      </c>
      <c r="C158" s="74" t="s">
        <v>39</v>
      </c>
      <c r="D158" s="74" t="s">
        <v>34</v>
      </c>
      <c r="E158" s="74" t="s">
        <v>25</v>
      </c>
      <c r="F158" s="74" t="s">
        <v>25</v>
      </c>
      <c r="G158" s="74" t="s">
        <v>25</v>
      </c>
      <c r="H158" s="74" t="s">
        <v>38</v>
      </c>
      <c r="I158" s="80">
        <v>44409</v>
      </c>
      <c r="J158" s="81">
        <f>EFEITO!$J$158*EFEITO!$Y$158</f>
        <v>0</v>
      </c>
      <c r="K158" s="81">
        <f ca="1">EFEITO!$L$158*EFEITO!$Z$158</f>
        <v>428824.346024953</v>
      </c>
      <c r="L158" s="81">
        <f>EFEITO!$N$158*EFEITO!$AA$158</f>
        <v>811554.29617696127</v>
      </c>
      <c r="M158" s="81">
        <f>$J$158-EFEITO!$K$158*EFEITO!$Y$158</f>
        <v>0</v>
      </c>
      <c r="N158" s="81">
        <f ca="1">$K$158-EFEITO!$M$158*EFEITO!$Z$158</f>
        <v>0</v>
      </c>
      <c r="O158" s="81">
        <f>$L$158-EFEITO!$O$158*EFEITO!$AA$158</f>
        <v>0</v>
      </c>
      <c r="P158" s="18"/>
      <c r="Q158" s="18"/>
      <c r="R158" s="18"/>
      <c r="S158" s="18"/>
      <c r="T158" s="18"/>
      <c r="U158" s="18"/>
      <c r="V158" s="18"/>
      <c r="W158" s="18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</row>
    <row r="159" spans="1:36" ht="11.25" customHeight="1" x14ac:dyDescent="0.2">
      <c r="A159" s="74" t="s">
        <v>28</v>
      </c>
      <c r="B159" s="74" t="s">
        <v>35</v>
      </c>
      <c r="C159" s="74" t="s">
        <v>39</v>
      </c>
      <c r="D159" s="74" t="s">
        <v>34</v>
      </c>
      <c r="E159" s="74" t="s">
        <v>25</v>
      </c>
      <c r="F159" s="74" t="s">
        <v>25</v>
      </c>
      <c r="G159" s="74" t="s">
        <v>25</v>
      </c>
      <c r="H159" s="74" t="s">
        <v>38</v>
      </c>
      <c r="I159" s="80">
        <v>44409</v>
      </c>
      <c r="J159" s="81">
        <f>EFEITO!$J$159*EFEITO!$Y$159</f>
        <v>0</v>
      </c>
      <c r="K159" s="81">
        <f ca="1">EFEITO!$L$159*EFEITO!$Z$159</f>
        <v>27924.751809335419</v>
      </c>
      <c r="L159" s="81">
        <f>EFEITO!$N$159*EFEITO!$AA$159</f>
        <v>52847.867688983351</v>
      </c>
      <c r="M159" s="81">
        <f>$J$159-EFEITO!$K$159*EFEITO!$Y$159</f>
        <v>0</v>
      </c>
      <c r="N159" s="81">
        <f ca="1">$K$159-EFEITO!$M$159*EFEITO!$Z$159</f>
        <v>0</v>
      </c>
      <c r="O159" s="81">
        <f>$L$159-EFEITO!$O$159*EFEITO!$AA$159</f>
        <v>0</v>
      </c>
      <c r="P159" s="18"/>
      <c r="Q159" s="18"/>
      <c r="R159" s="18"/>
      <c r="S159" s="18"/>
      <c r="T159" s="18"/>
      <c r="U159" s="18"/>
      <c r="V159" s="18"/>
      <c r="W159" s="18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</row>
    <row r="160" spans="1:36" ht="11.25" customHeight="1" x14ac:dyDescent="0.2">
      <c r="A160" s="74" t="s">
        <v>21</v>
      </c>
      <c r="B160" s="74" t="s">
        <v>35</v>
      </c>
      <c r="C160" s="74" t="s">
        <v>39</v>
      </c>
      <c r="D160" s="74" t="s">
        <v>34</v>
      </c>
      <c r="E160" s="74" t="s">
        <v>25</v>
      </c>
      <c r="F160" s="74" t="s">
        <v>25</v>
      </c>
      <c r="G160" s="74" t="s">
        <v>25</v>
      </c>
      <c r="H160" s="74" t="s">
        <v>38</v>
      </c>
      <c r="I160" s="80">
        <v>44440</v>
      </c>
      <c r="J160" s="81">
        <f>EFEITO!$J$160*EFEITO!$Y$160</f>
        <v>0</v>
      </c>
      <c r="K160" s="81">
        <f ca="1">EFEITO!$L$160*EFEITO!$Z$160</f>
        <v>416898.99808765855</v>
      </c>
      <c r="L160" s="81">
        <f>EFEITO!$N$160*EFEITO!$AA$160</f>
        <v>788985.45781312161</v>
      </c>
      <c r="M160" s="81">
        <f>$J$160-EFEITO!$K$160*EFEITO!$Y$160</f>
        <v>0</v>
      </c>
      <c r="N160" s="81">
        <f ca="1">$K$160-EFEITO!$M$160*EFEITO!$Z$160</f>
        <v>0</v>
      </c>
      <c r="O160" s="81">
        <f>$L$160-EFEITO!$O$160*EFEITO!$AA$160</f>
        <v>0</v>
      </c>
      <c r="P160" s="18"/>
      <c r="Q160" s="18"/>
      <c r="R160" s="18"/>
      <c r="S160" s="18"/>
      <c r="T160" s="18"/>
      <c r="U160" s="18"/>
      <c r="V160" s="18"/>
      <c r="W160" s="18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</row>
    <row r="161" spans="1:36" ht="11.25" customHeight="1" x14ac:dyDescent="0.2">
      <c r="A161" s="74" t="s">
        <v>28</v>
      </c>
      <c r="B161" s="74" t="s">
        <v>35</v>
      </c>
      <c r="C161" s="74" t="s">
        <v>39</v>
      </c>
      <c r="D161" s="74" t="s">
        <v>34</v>
      </c>
      <c r="E161" s="74" t="s">
        <v>25</v>
      </c>
      <c r="F161" s="74" t="s">
        <v>25</v>
      </c>
      <c r="G161" s="74" t="s">
        <v>25</v>
      </c>
      <c r="H161" s="74" t="s">
        <v>38</v>
      </c>
      <c r="I161" s="80">
        <v>44440</v>
      </c>
      <c r="J161" s="81">
        <f>EFEITO!$J$161*EFEITO!$Y$161</f>
        <v>0</v>
      </c>
      <c r="K161" s="81">
        <f ca="1">EFEITO!$L$161*EFEITO!$Z$161</f>
        <v>18134.998659064706</v>
      </c>
      <c r="L161" s="81">
        <f>EFEITO!$N$161*EFEITO!$AA$161</f>
        <v>34320.663482271106</v>
      </c>
      <c r="M161" s="81">
        <f>$J$161-EFEITO!$K$161*EFEITO!$Y$161</f>
        <v>0</v>
      </c>
      <c r="N161" s="81">
        <f ca="1">$K$161-EFEITO!$M$161*EFEITO!$Z$161</f>
        <v>0</v>
      </c>
      <c r="O161" s="81">
        <f>$L$161-EFEITO!$O$161*EFEITO!$AA$161</f>
        <v>0</v>
      </c>
      <c r="P161" s="18"/>
      <c r="Q161" s="18"/>
      <c r="R161" s="18"/>
      <c r="S161" s="18"/>
      <c r="T161" s="18"/>
      <c r="U161" s="18"/>
      <c r="V161" s="18"/>
      <c r="W161" s="18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</row>
    <row r="162" spans="1:36" ht="11.25" customHeight="1" x14ac:dyDescent="0.2">
      <c r="A162" s="74" t="s">
        <v>21</v>
      </c>
      <c r="B162" s="74" t="s">
        <v>35</v>
      </c>
      <c r="C162" s="74" t="s">
        <v>39</v>
      </c>
      <c r="D162" s="74" t="s">
        <v>34</v>
      </c>
      <c r="E162" s="74" t="s">
        <v>25</v>
      </c>
      <c r="F162" s="74" t="s">
        <v>25</v>
      </c>
      <c r="G162" s="74" t="s">
        <v>25</v>
      </c>
      <c r="H162" s="74" t="s">
        <v>38</v>
      </c>
      <c r="I162" s="80">
        <v>44470</v>
      </c>
      <c r="J162" s="81">
        <f>EFEITO!$J$162*EFEITO!$Y$162</f>
        <v>0</v>
      </c>
      <c r="K162" s="81">
        <f ca="1">EFEITO!$L$162*EFEITO!$Z$162</f>
        <v>422193.09090305195</v>
      </c>
      <c r="L162" s="81">
        <f>EFEITO!$N$162*EFEITO!$AA$162</f>
        <v>799004.58058103011</v>
      </c>
      <c r="M162" s="81">
        <f>$J$162-EFEITO!$K$162*EFEITO!$Y$162</f>
        <v>0</v>
      </c>
      <c r="N162" s="81">
        <f ca="1">$K$162-EFEITO!$M$162*EFEITO!$Z$162</f>
        <v>0</v>
      </c>
      <c r="O162" s="81">
        <f>$L$162-EFEITO!$O$162*EFEITO!$AA$162</f>
        <v>0</v>
      </c>
      <c r="P162" s="18"/>
      <c r="Q162" s="18"/>
      <c r="R162" s="18"/>
      <c r="S162" s="18"/>
      <c r="T162" s="18"/>
      <c r="U162" s="18"/>
      <c r="V162" s="18"/>
      <c r="W162" s="18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</row>
    <row r="163" spans="1:36" ht="11.25" customHeight="1" x14ac:dyDescent="0.2">
      <c r="A163" s="74" t="s">
        <v>28</v>
      </c>
      <c r="B163" s="74" t="s">
        <v>35</v>
      </c>
      <c r="C163" s="74" t="s">
        <v>39</v>
      </c>
      <c r="D163" s="74" t="s">
        <v>34</v>
      </c>
      <c r="E163" s="74" t="s">
        <v>25</v>
      </c>
      <c r="F163" s="74" t="s">
        <v>25</v>
      </c>
      <c r="G163" s="74" t="s">
        <v>25</v>
      </c>
      <c r="H163" s="74" t="s">
        <v>38</v>
      </c>
      <c r="I163" s="80">
        <v>44470</v>
      </c>
      <c r="J163" s="81">
        <f>EFEITO!$J$163*EFEITO!$Y$163</f>
        <v>0</v>
      </c>
      <c r="K163" s="81">
        <f ca="1">EFEITO!$L$163*EFEITO!$Z$163</f>
        <v>20316.312425197098</v>
      </c>
      <c r="L163" s="81">
        <f>EFEITO!$N$163*EFEITO!$AA$163</f>
        <v>38448.821257416828</v>
      </c>
      <c r="M163" s="81">
        <f>$J$163-EFEITO!$K$163*EFEITO!$Y$163</f>
        <v>0</v>
      </c>
      <c r="N163" s="81">
        <f ca="1">$K$163-EFEITO!$M$163*EFEITO!$Z$163</f>
        <v>0</v>
      </c>
      <c r="O163" s="81">
        <f>$L$163-EFEITO!$O$163*EFEITO!$AA$163</f>
        <v>0</v>
      </c>
      <c r="P163" s="18"/>
      <c r="Q163" s="18"/>
      <c r="R163" s="18"/>
      <c r="S163" s="18"/>
      <c r="T163" s="18"/>
      <c r="U163" s="18"/>
      <c r="V163" s="18"/>
      <c r="W163" s="18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</row>
    <row r="164" spans="1:36" ht="11.25" customHeight="1" x14ac:dyDescent="0.2">
      <c r="A164" s="74" t="s">
        <v>21</v>
      </c>
      <c r="B164" s="74" t="s">
        <v>35</v>
      </c>
      <c r="C164" s="74" t="s">
        <v>39</v>
      </c>
      <c r="D164" s="74" t="s">
        <v>34</v>
      </c>
      <c r="E164" s="74" t="s">
        <v>25</v>
      </c>
      <c r="F164" s="74" t="s">
        <v>25</v>
      </c>
      <c r="G164" s="74" t="s">
        <v>25</v>
      </c>
      <c r="H164" s="74" t="s">
        <v>38</v>
      </c>
      <c r="I164" s="80">
        <v>44501</v>
      </c>
      <c r="J164" s="81">
        <f>EFEITO!$J$164*EFEITO!$Y$164</f>
        <v>0</v>
      </c>
      <c r="K164" s="81">
        <f ca="1">EFEITO!$L$164*EFEITO!$Z$164</f>
        <v>435008.07361423894</v>
      </c>
      <c r="L164" s="81">
        <f>EFEITO!$N$164*EFEITO!$AA$164</f>
        <v>823257.06151198025</v>
      </c>
      <c r="M164" s="81">
        <f>$J$164-EFEITO!$K$164*EFEITO!$Y$164</f>
        <v>0</v>
      </c>
      <c r="N164" s="81">
        <f ca="1">$K$164-EFEITO!$M$164*EFEITO!$Z$164</f>
        <v>0</v>
      </c>
      <c r="O164" s="81">
        <f>$L$164-EFEITO!$O$164*EFEITO!$AA$164</f>
        <v>0</v>
      </c>
      <c r="P164" s="18"/>
      <c r="Q164" s="18"/>
      <c r="R164" s="18"/>
      <c r="S164" s="18"/>
      <c r="T164" s="18"/>
      <c r="U164" s="18"/>
      <c r="V164" s="18"/>
      <c r="W164" s="18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</row>
    <row r="165" spans="1:36" ht="11.25" customHeight="1" x14ac:dyDescent="0.2">
      <c r="A165" s="74" t="s">
        <v>28</v>
      </c>
      <c r="B165" s="74" t="s">
        <v>35</v>
      </c>
      <c r="C165" s="74" t="s">
        <v>39</v>
      </c>
      <c r="D165" s="74" t="s">
        <v>34</v>
      </c>
      <c r="E165" s="74" t="s">
        <v>25</v>
      </c>
      <c r="F165" s="74" t="s">
        <v>25</v>
      </c>
      <c r="G165" s="74" t="s">
        <v>25</v>
      </c>
      <c r="H165" s="74" t="s">
        <v>38</v>
      </c>
      <c r="I165" s="80">
        <v>44501</v>
      </c>
      <c r="J165" s="81">
        <f>EFEITO!$J$165*EFEITO!$Y$165</f>
        <v>0</v>
      </c>
      <c r="K165" s="81">
        <f ca="1">EFEITO!$L$165*EFEITO!$Z$165</f>
        <v>26247.053807920496</v>
      </c>
      <c r="L165" s="81">
        <f>EFEITO!$N$165*EFEITO!$AA$165</f>
        <v>49672.807706133048</v>
      </c>
      <c r="M165" s="81">
        <f>$J$165-EFEITO!$K$165*EFEITO!$Y$165</f>
        <v>0</v>
      </c>
      <c r="N165" s="81">
        <f ca="1">$K$165-EFEITO!$M$165*EFEITO!$Z$165</f>
        <v>0</v>
      </c>
      <c r="O165" s="81">
        <f>$L$165-EFEITO!$O$165*EFEITO!$AA$165</f>
        <v>0</v>
      </c>
      <c r="P165" s="18"/>
      <c r="Q165" s="18"/>
      <c r="R165" s="18"/>
      <c r="S165" s="18"/>
      <c r="T165" s="18"/>
      <c r="U165" s="18"/>
      <c r="V165" s="18"/>
      <c r="W165" s="18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</row>
    <row r="166" spans="1:36" ht="11.25" customHeight="1" x14ac:dyDescent="0.2">
      <c r="A166" s="74" t="s">
        <v>21</v>
      </c>
      <c r="B166" s="74" t="s">
        <v>35</v>
      </c>
      <c r="C166" s="74" t="s">
        <v>39</v>
      </c>
      <c r="D166" s="74" t="s">
        <v>34</v>
      </c>
      <c r="E166" s="74" t="s">
        <v>25</v>
      </c>
      <c r="F166" s="74" t="s">
        <v>25</v>
      </c>
      <c r="G166" s="74" t="s">
        <v>25</v>
      </c>
      <c r="H166" s="74" t="s">
        <v>38</v>
      </c>
      <c r="I166" s="80">
        <v>44531</v>
      </c>
      <c r="J166" s="81">
        <f>EFEITO!$J$166*EFEITO!$Y$166</f>
        <v>0</v>
      </c>
      <c r="K166" s="81">
        <f ca="1">EFEITO!$L$166*EFEITO!$Z$166</f>
        <v>399302.72925458546</v>
      </c>
      <c r="L166" s="81">
        <f>EFEITO!$N$166*EFEITO!$AA$166</f>
        <v>755684.34582976834</v>
      </c>
      <c r="M166" s="81">
        <f>$J$166-EFEITO!$K$166*EFEITO!$Y$166</f>
        <v>0</v>
      </c>
      <c r="N166" s="81">
        <f ca="1">$K$166-EFEITO!$M$166*EFEITO!$Z$166</f>
        <v>0</v>
      </c>
      <c r="O166" s="81">
        <f>$L$166-EFEITO!$O$166*EFEITO!$AA$166</f>
        <v>0</v>
      </c>
      <c r="P166" s="18"/>
      <c r="Q166" s="18"/>
      <c r="R166" s="18"/>
      <c r="S166" s="18"/>
      <c r="T166" s="18"/>
      <c r="U166" s="18"/>
      <c r="V166" s="18"/>
      <c r="W166" s="18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</row>
    <row r="167" spans="1:36" ht="11.25" customHeight="1" x14ac:dyDescent="0.2">
      <c r="A167" s="74" t="s">
        <v>28</v>
      </c>
      <c r="B167" s="74" t="s">
        <v>35</v>
      </c>
      <c r="C167" s="74" t="s">
        <v>39</v>
      </c>
      <c r="D167" s="74" t="s">
        <v>34</v>
      </c>
      <c r="E167" s="74" t="s">
        <v>25</v>
      </c>
      <c r="F167" s="74" t="s">
        <v>25</v>
      </c>
      <c r="G167" s="74" t="s">
        <v>25</v>
      </c>
      <c r="H167" s="74" t="s">
        <v>38</v>
      </c>
      <c r="I167" s="80">
        <v>44531</v>
      </c>
      <c r="J167" s="81">
        <f>EFEITO!$J$167*EFEITO!$Y$167</f>
        <v>0</v>
      </c>
      <c r="K167" s="81">
        <f ca="1">EFEITO!$L$167*EFEITO!$Z$167</f>
        <v>22866.088169867522</v>
      </c>
      <c r="L167" s="81">
        <f>EFEITO!$N$167*EFEITO!$AA$167</f>
        <v>43274.296954066485</v>
      </c>
      <c r="M167" s="81">
        <f>$J$167-EFEITO!$K$167*EFEITO!$Y$167</f>
        <v>0</v>
      </c>
      <c r="N167" s="81">
        <f ca="1">$K$167-EFEITO!$M$167*EFEITO!$Z$167</f>
        <v>0</v>
      </c>
      <c r="O167" s="81">
        <f>$L$167-EFEITO!$O$167*EFEITO!$AA$167</f>
        <v>0</v>
      </c>
      <c r="P167" s="18"/>
      <c r="Q167" s="18"/>
      <c r="R167" s="18"/>
      <c r="S167" s="18"/>
      <c r="T167" s="18"/>
      <c r="U167" s="18"/>
      <c r="V167" s="18"/>
      <c r="W167" s="18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</row>
    <row r="168" spans="1:36" ht="11.25" customHeight="1" x14ac:dyDescent="0.2">
      <c r="A168" s="74" t="s">
        <v>21</v>
      </c>
      <c r="B168" s="74" t="s">
        <v>35</v>
      </c>
      <c r="C168" s="74" t="s">
        <v>39</v>
      </c>
      <c r="D168" s="74" t="s">
        <v>34</v>
      </c>
      <c r="E168" s="74" t="s">
        <v>25</v>
      </c>
      <c r="F168" s="74" t="s">
        <v>25</v>
      </c>
      <c r="G168" s="74" t="s">
        <v>25</v>
      </c>
      <c r="H168" s="74" t="s">
        <v>38</v>
      </c>
      <c r="I168" s="80">
        <v>44562</v>
      </c>
      <c r="J168" s="81">
        <f>EFEITO!$J$168*EFEITO!$Y$168</f>
        <v>0</v>
      </c>
      <c r="K168" s="81">
        <f ca="1">EFEITO!$L$168*EFEITO!$Z$168</f>
        <v>421500.58976846031</v>
      </c>
      <c r="L168" s="81">
        <f>EFEITO!$N$168*EFEITO!$AA$168</f>
        <v>797694.0153668701</v>
      </c>
      <c r="M168" s="81">
        <f>$J$168-EFEITO!$K$168*EFEITO!$Y$168</f>
        <v>0</v>
      </c>
      <c r="N168" s="81">
        <f ca="1">$K$168-EFEITO!$M$168*EFEITO!$Z$168</f>
        <v>0</v>
      </c>
      <c r="O168" s="81">
        <f>$L$168-EFEITO!$O$168*EFEITO!$AA$168</f>
        <v>0</v>
      </c>
      <c r="P168" s="18"/>
      <c r="Q168" s="18"/>
      <c r="R168" s="18"/>
      <c r="S168" s="18"/>
      <c r="T168" s="18"/>
      <c r="U168" s="18"/>
      <c r="V168" s="18"/>
      <c r="W168" s="18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</row>
    <row r="169" spans="1:36" ht="11.25" customHeight="1" x14ac:dyDescent="0.2">
      <c r="A169" s="74" t="s">
        <v>28</v>
      </c>
      <c r="B169" s="74" t="s">
        <v>35</v>
      </c>
      <c r="C169" s="74" t="s">
        <v>39</v>
      </c>
      <c r="D169" s="74" t="s">
        <v>34</v>
      </c>
      <c r="E169" s="74" t="s">
        <v>25</v>
      </c>
      <c r="F169" s="74" t="s">
        <v>25</v>
      </c>
      <c r="G169" s="74" t="s">
        <v>25</v>
      </c>
      <c r="H169" s="74" t="s">
        <v>38</v>
      </c>
      <c r="I169" s="80">
        <v>44562</v>
      </c>
      <c r="J169" s="81">
        <f>EFEITO!$J$169*EFEITO!$Y$169</f>
        <v>0</v>
      </c>
      <c r="K169" s="81">
        <f ca="1">EFEITO!$L$169*EFEITO!$Z$169</f>
        <v>16912.015967908264</v>
      </c>
      <c r="L169" s="81">
        <f>EFEITO!$N$169*EFEITO!$AA$169</f>
        <v>32006.156700279025</v>
      </c>
      <c r="M169" s="81">
        <f>$J$169-EFEITO!$K$169*EFEITO!$Y$169</f>
        <v>0</v>
      </c>
      <c r="N169" s="81">
        <f ca="1">$K$169-EFEITO!$M$169*EFEITO!$Z$169</f>
        <v>0</v>
      </c>
      <c r="O169" s="81">
        <f>$L$169-EFEITO!$O$169*EFEITO!$AA$169</f>
        <v>0</v>
      </c>
      <c r="P169" s="18"/>
      <c r="Q169" s="18"/>
      <c r="R169" s="18"/>
      <c r="S169" s="18"/>
      <c r="T169" s="18"/>
      <c r="U169" s="18"/>
      <c r="V169" s="18"/>
      <c r="W169" s="18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</row>
    <row r="170" spans="1:36" ht="11.25" customHeight="1" x14ac:dyDescent="0.2">
      <c r="A170" s="74" t="s">
        <v>21</v>
      </c>
      <c r="B170" s="74" t="s">
        <v>35</v>
      </c>
      <c r="C170" s="74" t="s">
        <v>39</v>
      </c>
      <c r="D170" s="74" t="s">
        <v>34</v>
      </c>
      <c r="E170" s="74" t="s">
        <v>25</v>
      </c>
      <c r="F170" s="74" t="s">
        <v>25</v>
      </c>
      <c r="G170" s="74" t="s">
        <v>25</v>
      </c>
      <c r="H170" s="74" t="s">
        <v>38</v>
      </c>
      <c r="I170" s="80">
        <v>44593</v>
      </c>
      <c r="J170" s="81">
        <f>EFEITO!$J$170*EFEITO!$Y$170</f>
        <v>0</v>
      </c>
      <c r="K170" s="81">
        <f ca="1">EFEITO!$L$170*EFEITO!$Z$170</f>
        <v>414267.44664324221</v>
      </c>
      <c r="L170" s="81">
        <f>EFEITO!$N$170*EFEITO!$AA$170</f>
        <v>784005.22079970711</v>
      </c>
      <c r="M170" s="81">
        <f>$J$170-EFEITO!$K$170*EFEITO!$Y$170</f>
        <v>0</v>
      </c>
      <c r="N170" s="81">
        <f ca="1">$K$170-EFEITO!$M$170*EFEITO!$Z$170</f>
        <v>0</v>
      </c>
      <c r="O170" s="81">
        <f>$L$170-EFEITO!$O$170*EFEITO!$AA$170</f>
        <v>0</v>
      </c>
      <c r="P170" s="18"/>
      <c r="Q170" s="18"/>
      <c r="R170" s="18"/>
      <c r="S170" s="18"/>
      <c r="T170" s="18"/>
      <c r="U170" s="18"/>
      <c r="V170" s="18"/>
      <c r="W170" s="18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</row>
    <row r="171" spans="1:36" ht="11.25" customHeight="1" x14ac:dyDescent="0.2">
      <c r="A171" s="74" t="s">
        <v>28</v>
      </c>
      <c r="B171" s="74" t="s">
        <v>35</v>
      </c>
      <c r="C171" s="74" t="s">
        <v>39</v>
      </c>
      <c r="D171" s="74" t="s">
        <v>34</v>
      </c>
      <c r="E171" s="74" t="s">
        <v>25</v>
      </c>
      <c r="F171" s="74" t="s">
        <v>25</v>
      </c>
      <c r="G171" s="74" t="s">
        <v>25</v>
      </c>
      <c r="H171" s="74" t="s">
        <v>38</v>
      </c>
      <c r="I171" s="80">
        <v>44593</v>
      </c>
      <c r="J171" s="81">
        <f>EFEITO!$J$171*EFEITO!$Y$171</f>
        <v>0</v>
      </c>
      <c r="K171" s="81">
        <f ca="1">EFEITO!$L$171*EFEITO!$Z$171</f>
        <v>17160.288877655505</v>
      </c>
      <c r="L171" s="81">
        <f>EFEITO!$N$171*EFEITO!$AA$171</f>
        <v>32476.015625961394</v>
      </c>
      <c r="M171" s="81">
        <f>$J$171-EFEITO!$K$171*EFEITO!$Y$171</f>
        <v>0</v>
      </c>
      <c r="N171" s="81">
        <f ca="1">$K$171-EFEITO!$M$171*EFEITO!$Z$171</f>
        <v>0</v>
      </c>
      <c r="O171" s="81">
        <f>$L$171-EFEITO!$O$171*EFEITO!$AA$171</f>
        <v>0</v>
      </c>
      <c r="P171" s="18"/>
      <c r="Q171" s="18"/>
      <c r="R171" s="18"/>
      <c r="S171" s="18"/>
      <c r="T171" s="18"/>
      <c r="U171" s="18"/>
      <c r="V171" s="18"/>
      <c r="W171" s="18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</row>
    <row r="172" spans="1:36" ht="11.25" customHeight="1" x14ac:dyDescent="0.2">
      <c r="A172" s="74" t="s">
        <v>21</v>
      </c>
      <c r="B172" s="74" t="s">
        <v>35</v>
      </c>
      <c r="C172" s="74" t="s">
        <v>39</v>
      </c>
      <c r="D172" s="74" t="s">
        <v>34</v>
      </c>
      <c r="E172" s="74" t="s">
        <v>25</v>
      </c>
      <c r="F172" s="74" t="s">
        <v>25</v>
      </c>
      <c r="G172" s="74" t="s">
        <v>25</v>
      </c>
      <c r="H172" s="74" t="s">
        <v>38</v>
      </c>
      <c r="I172" s="80">
        <v>44621</v>
      </c>
      <c r="J172" s="81">
        <f>EFEITO!$J$172*EFEITO!$Y$172</f>
        <v>0</v>
      </c>
      <c r="K172" s="81">
        <f ca="1">EFEITO!$L$172*EFEITO!$Z$172</f>
        <v>464006.98576778691</v>
      </c>
      <c r="L172" s="81">
        <f>EFEITO!$N$172*EFEITO!$AA$172</f>
        <v>878137.78822636488</v>
      </c>
      <c r="M172" s="81">
        <f>$J$172-EFEITO!$K$172*EFEITO!$Y$172</f>
        <v>0</v>
      </c>
      <c r="N172" s="81">
        <f ca="1">$K$172-EFEITO!$M$172*EFEITO!$Z$172</f>
        <v>0</v>
      </c>
      <c r="O172" s="81">
        <f>$L$172-EFEITO!$O$172*EFEITO!$AA$172</f>
        <v>0</v>
      </c>
      <c r="P172" s="18"/>
      <c r="Q172" s="18"/>
      <c r="R172" s="18"/>
      <c r="S172" s="18"/>
      <c r="T172" s="18"/>
      <c r="U172" s="18"/>
      <c r="V172" s="18"/>
      <c r="W172" s="18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</row>
    <row r="173" spans="1:36" ht="11.25" customHeight="1" x14ac:dyDescent="0.2">
      <c r="A173" s="74" t="s">
        <v>28</v>
      </c>
      <c r="B173" s="74" t="s">
        <v>35</v>
      </c>
      <c r="C173" s="74" t="s">
        <v>39</v>
      </c>
      <c r="D173" s="74" t="s">
        <v>34</v>
      </c>
      <c r="E173" s="74" t="s">
        <v>25</v>
      </c>
      <c r="F173" s="74" t="s">
        <v>25</v>
      </c>
      <c r="G173" s="74" t="s">
        <v>25</v>
      </c>
      <c r="H173" s="74" t="s">
        <v>38</v>
      </c>
      <c r="I173" s="80">
        <v>44621</v>
      </c>
      <c r="J173" s="81">
        <f>EFEITO!$J$173*EFEITO!$Y$173</f>
        <v>0</v>
      </c>
      <c r="K173" s="81">
        <f ca="1">EFEITO!$L$173*EFEITO!$Z$173</f>
        <v>20888.506658577549</v>
      </c>
      <c r="L173" s="81">
        <f>EFEITO!$N$173*EFEITO!$AA$173</f>
        <v>39531.70447673984</v>
      </c>
      <c r="M173" s="81">
        <f>$J$173-EFEITO!$K$173*EFEITO!$Y$173</f>
        <v>0</v>
      </c>
      <c r="N173" s="81">
        <f ca="1">$K$173-EFEITO!$M$173*EFEITO!$Z$173</f>
        <v>0</v>
      </c>
      <c r="O173" s="81">
        <f>$L$173-EFEITO!$O$173*EFEITO!$AA$173</f>
        <v>0</v>
      </c>
      <c r="P173" s="18"/>
      <c r="Q173" s="18"/>
      <c r="R173" s="18"/>
      <c r="S173" s="18"/>
      <c r="T173" s="18"/>
      <c r="U173" s="18"/>
      <c r="V173" s="18"/>
      <c r="W173" s="18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</row>
    <row r="174" spans="1:36" ht="11.25" customHeight="1" x14ac:dyDescent="0.2">
      <c r="A174" s="74" t="s">
        <v>21</v>
      </c>
      <c r="B174" s="74" t="s">
        <v>35</v>
      </c>
      <c r="C174" s="74" t="s">
        <v>39</v>
      </c>
      <c r="D174" s="74" t="s">
        <v>34</v>
      </c>
      <c r="E174" s="74" t="s">
        <v>25</v>
      </c>
      <c r="F174" s="74" t="s">
        <v>25</v>
      </c>
      <c r="G174" s="74" t="s">
        <v>25</v>
      </c>
      <c r="H174" s="74" t="s">
        <v>38</v>
      </c>
      <c r="I174" s="80">
        <v>44652</v>
      </c>
      <c r="J174" s="81">
        <f>EFEITO!$J$174*EFEITO!$Y$174</f>
        <v>0</v>
      </c>
      <c r="K174" s="81">
        <f ca="1">EFEITO!$L$174*EFEITO!$Z$174</f>
        <v>417591.85271951131</v>
      </c>
      <c r="L174" s="81">
        <f>EFEITO!$N$174*EFEITO!$AA$174</f>
        <v>790296.69202432828</v>
      </c>
      <c r="M174" s="81">
        <f>$J$174-EFEITO!$K$174*EFEITO!$Y$174</f>
        <v>0</v>
      </c>
      <c r="N174" s="81">
        <f ca="1">$K$174-EFEITO!$M$174*EFEITO!$Z$174</f>
        <v>0</v>
      </c>
      <c r="O174" s="81">
        <f>$L$174-EFEITO!$O$174*EFEITO!$AA$174</f>
        <v>0</v>
      </c>
      <c r="P174" s="18"/>
      <c r="Q174" s="18"/>
      <c r="R174" s="18"/>
      <c r="S174" s="18"/>
      <c r="T174" s="18"/>
      <c r="U174" s="18"/>
      <c r="V174" s="18"/>
      <c r="W174" s="18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</row>
    <row r="175" spans="1:36" ht="11.25" customHeight="1" x14ac:dyDescent="0.2">
      <c r="A175" s="74" t="s">
        <v>28</v>
      </c>
      <c r="B175" s="74" t="s">
        <v>35</v>
      </c>
      <c r="C175" s="74" t="s">
        <v>39</v>
      </c>
      <c r="D175" s="74" t="s">
        <v>34</v>
      </c>
      <c r="E175" s="74" t="s">
        <v>25</v>
      </c>
      <c r="F175" s="74" t="s">
        <v>25</v>
      </c>
      <c r="G175" s="74" t="s">
        <v>25</v>
      </c>
      <c r="H175" s="74" t="s">
        <v>38</v>
      </c>
      <c r="I175" s="80">
        <v>44652</v>
      </c>
      <c r="J175" s="81">
        <f>EFEITO!$J$175*EFEITO!$Y$175</f>
        <v>0</v>
      </c>
      <c r="K175" s="81">
        <f ca="1">EFEITO!$L$175*EFEITO!$Z$175</f>
        <v>20622.912383033989</v>
      </c>
      <c r="L175" s="81">
        <f>EFEITO!$N$175*EFEITO!$AA$175</f>
        <v>39029.064695777313</v>
      </c>
      <c r="M175" s="81">
        <f>$J$175-EFEITO!$K$175*EFEITO!$Y$175</f>
        <v>0</v>
      </c>
      <c r="N175" s="81">
        <f ca="1">$K$175-EFEITO!$M$175*EFEITO!$Z$175</f>
        <v>0</v>
      </c>
      <c r="O175" s="81">
        <f>$L$175-EFEITO!$O$175*EFEITO!$AA$175</f>
        <v>0</v>
      </c>
      <c r="P175" s="18"/>
      <c r="Q175" s="18"/>
      <c r="R175" s="18"/>
      <c r="S175" s="18"/>
      <c r="T175" s="18"/>
      <c r="U175" s="18"/>
      <c r="V175" s="18"/>
      <c r="W175" s="18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</row>
    <row r="176" spans="1:36" ht="11.25" customHeight="1" x14ac:dyDescent="0.2">
      <c r="A176" s="74" t="s">
        <v>21</v>
      </c>
      <c r="B176" s="74" t="s">
        <v>35</v>
      </c>
      <c r="C176" s="74" t="s">
        <v>39</v>
      </c>
      <c r="D176" s="74" t="s">
        <v>34</v>
      </c>
      <c r="E176" s="74" t="s">
        <v>25</v>
      </c>
      <c r="F176" s="74" t="s">
        <v>25</v>
      </c>
      <c r="G176" s="74" t="s">
        <v>25</v>
      </c>
      <c r="H176" s="74" t="s">
        <v>38</v>
      </c>
      <c r="I176" s="80">
        <v>44682</v>
      </c>
      <c r="J176" s="81">
        <f>EFEITO!$J$176*EFEITO!$Y$176</f>
        <v>0</v>
      </c>
      <c r="K176" s="81">
        <f ca="1">EFEITO!$L$176*EFEITO!$Z$176</f>
        <v>442694.16456340981</v>
      </c>
      <c r="L176" s="81">
        <f>EFEITO!$N$176*EFEITO!$AA$176</f>
        <v>837803.06429476873</v>
      </c>
      <c r="M176" s="81">
        <f>$J$176-EFEITO!$K$176*EFEITO!$Y$176</f>
        <v>0</v>
      </c>
      <c r="N176" s="81">
        <f ca="1">$K$176-EFEITO!$M$176*EFEITO!$Z$176</f>
        <v>0</v>
      </c>
      <c r="O176" s="81">
        <f>$L$176-EFEITO!$O$176*EFEITO!$AA$176</f>
        <v>0</v>
      </c>
      <c r="P176" s="18"/>
      <c r="Q176" s="18"/>
      <c r="R176" s="18"/>
      <c r="S176" s="18"/>
      <c r="T176" s="18"/>
      <c r="U176" s="18"/>
      <c r="V176" s="18"/>
      <c r="W176" s="18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</row>
    <row r="177" spans="1:36" ht="11.25" customHeight="1" x14ac:dyDescent="0.2">
      <c r="A177" s="74" t="s">
        <v>28</v>
      </c>
      <c r="B177" s="74" t="s">
        <v>35</v>
      </c>
      <c r="C177" s="74" t="s">
        <v>39</v>
      </c>
      <c r="D177" s="74" t="s">
        <v>34</v>
      </c>
      <c r="E177" s="74" t="s">
        <v>25</v>
      </c>
      <c r="F177" s="74" t="s">
        <v>25</v>
      </c>
      <c r="G177" s="74" t="s">
        <v>25</v>
      </c>
      <c r="H177" s="74" t="s">
        <v>38</v>
      </c>
      <c r="I177" s="80">
        <v>44682</v>
      </c>
      <c r="J177" s="81">
        <f>EFEITO!$J$177*EFEITO!$Y$177</f>
        <v>0</v>
      </c>
      <c r="K177" s="81">
        <f ca="1">EFEITO!$L$177*EFEITO!$Z$177</f>
        <v>24272.418107140107</v>
      </c>
      <c r="L177" s="81">
        <f>EFEITO!$N$177*EFEITO!$AA$177</f>
        <v>45935.7902041942</v>
      </c>
      <c r="M177" s="81">
        <f>$J$177-EFEITO!$K$177*EFEITO!$Y$177</f>
        <v>0</v>
      </c>
      <c r="N177" s="81">
        <f ca="1">$K$177-EFEITO!$M$177*EFEITO!$Z$177</f>
        <v>0</v>
      </c>
      <c r="O177" s="81">
        <f>$L$177-EFEITO!$O$177*EFEITO!$AA$177</f>
        <v>0</v>
      </c>
      <c r="P177" s="18"/>
      <c r="Q177" s="18"/>
      <c r="R177" s="18"/>
      <c r="S177" s="18"/>
      <c r="T177" s="18"/>
      <c r="U177" s="18"/>
      <c r="V177" s="18"/>
      <c r="W177" s="18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</row>
    <row r="178" spans="1:36" ht="11.25" customHeight="1" x14ac:dyDescent="0.2">
      <c r="A178" s="74" t="s">
        <v>21</v>
      </c>
      <c r="B178" s="74" t="s">
        <v>35</v>
      </c>
      <c r="C178" s="74" t="s">
        <v>39</v>
      </c>
      <c r="D178" s="74" t="s">
        <v>34</v>
      </c>
      <c r="E178" s="74" t="s">
        <v>25</v>
      </c>
      <c r="F178" s="74" t="s">
        <v>25</v>
      </c>
      <c r="G178" s="74" t="s">
        <v>25</v>
      </c>
      <c r="H178" s="74" t="s">
        <v>38</v>
      </c>
      <c r="I178" s="80">
        <v>44713</v>
      </c>
      <c r="J178" s="81">
        <f>EFEITO!$J$178*EFEITO!$Y$178</f>
        <v>0</v>
      </c>
      <c r="K178" s="81">
        <f ca="1">EFEITO!$L$178*EFEITO!$Z$178</f>
        <v>432208.96446803783</v>
      </c>
      <c r="L178" s="81">
        <f>EFEITO!$N$178*EFEITO!$AA$178</f>
        <v>817959.71989850863</v>
      </c>
      <c r="M178" s="81">
        <f>$J$178-EFEITO!$K$178*EFEITO!$Y$178</f>
        <v>0</v>
      </c>
      <c r="N178" s="81">
        <f ca="1">$K$178-EFEITO!$M$178*EFEITO!$Z$178</f>
        <v>0</v>
      </c>
      <c r="O178" s="81">
        <f>$L$178-EFEITO!$O$178*EFEITO!$AA$178</f>
        <v>0</v>
      </c>
      <c r="P178" s="18"/>
      <c r="Q178" s="18"/>
      <c r="R178" s="18"/>
      <c r="S178" s="18"/>
      <c r="T178" s="18"/>
      <c r="U178" s="18"/>
      <c r="V178" s="18"/>
      <c r="W178" s="18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</row>
    <row r="179" spans="1:36" ht="11.25" customHeight="1" x14ac:dyDescent="0.2">
      <c r="A179" s="74" t="s">
        <v>28</v>
      </c>
      <c r="B179" s="74" t="s">
        <v>35</v>
      </c>
      <c r="C179" s="74" t="s">
        <v>39</v>
      </c>
      <c r="D179" s="74" t="s">
        <v>34</v>
      </c>
      <c r="E179" s="74" t="s">
        <v>25</v>
      </c>
      <c r="F179" s="74" t="s">
        <v>25</v>
      </c>
      <c r="G179" s="74" t="s">
        <v>25</v>
      </c>
      <c r="H179" s="74" t="s">
        <v>38</v>
      </c>
      <c r="I179" s="80">
        <v>44713</v>
      </c>
      <c r="J179" s="81">
        <f>EFEITO!$J$179*EFEITO!$Y$179</f>
        <v>0</v>
      </c>
      <c r="K179" s="81">
        <f ca="1">EFEITO!$L$179*EFEITO!$Z$179</f>
        <v>17563.393587786173</v>
      </c>
      <c r="L179" s="81">
        <f>EFEITO!$N$179*EFEITO!$AA$179</f>
        <v>33238.895258025652</v>
      </c>
      <c r="M179" s="81">
        <f>$J$179-EFEITO!$K$179*EFEITO!$Y$179</f>
        <v>0</v>
      </c>
      <c r="N179" s="81">
        <f ca="1">$K$179-EFEITO!$M$179*EFEITO!$Z$179</f>
        <v>0</v>
      </c>
      <c r="O179" s="81">
        <f>$L$179-EFEITO!$O$179*EFEITO!$AA$179</f>
        <v>0</v>
      </c>
      <c r="P179" s="18"/>
      <c r="Q179" s="18"/>
      <c r="R179" s="18"/>
      <c r="S179" s="18"/>
      <c r="T179" s="18"/>
      <c r="U179" s="18"/>
      <c r="V179" s="18"/>
      <c r="W179" s="18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</row>
    <row r="180" spans="1:36" ht="11.25" customHeight="1" x14ac:dyDescent="0.2">
      <c r="A180" s="74" t="s">
        <v>55</v>
      </c>
      <c r="B180" s="74" t="s">
        <v>35</v>
      </c>
      <c r="C180" s="74" t="s">
        <v>39</v>
      </c>
      <c r="D180" s="74" t="s">
        <v>34</v>
      </c>
      <c r="E180" s="74" t="s">
        <v>25</v>
      </c>
      <c r="F180" s="74" t="s">
        <v>25</v>
      </c>
      <c r="G180" s="74" t="s">
        <v>25</v>
      </c>
      <c r="H180" s="74" t="s">
        <v>38</v>
      </c>
      <c r="I180" s="80">
        <v>44743</v>
      </c>
      <c r="J180" s="81">
        <f>EFEITO!$J$180*EFEITO!$Y$180</f>
        <v>0</v>
      </c>
      <c r="K180" s="81">
        <f ca="1">EFEITO!$L$180*EFEITO!$Z$180</f>
        <v>432208.96446803783</v>
      </c>
      <c r="L180" s="81">
        <f>EFEITO!$N$180*EFEITO!$AA$180</f>
        <v>817959.71989850863</v>
      </c>
      <c r="M180" s="81">
        <f>$J$180-EFEITO!$K$180*EFEITO!$Y$180</f>
        <v>0</v>
      </c>
      <c r="N180" s="81">
        <f ca="1">$K$180-EFEITO!$M$180*EFEITO!$Z$180</f>
        <v>0</v>
      </c>
      <c r="O180" s="81">
        <f>$L$180-EFEITO!$O$180*EFEITO!$AA$180</f>
        <v>0</v>
      </c>
      <c r="P180" s="18"/>
      <c r="Q180" s="18"/>
      <c r="R180" s="18"/>
      <c r="S180" s="18"/>
      <c r="T180" s="18"/>
      <c r="U180" s="18"/>
      <c r="V180" s="18"/>
      <c r="W180" s="18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</row>
    <row r="181" spans="1:36" ht="11.25" customHeight="1" x14ac:dyDescent="0.2">
      <c r="A181" s="74" t="s">
        <v>55</v>
      </c>
      <c r="B181" s="74" t="s">
        <v>35</v>
      </c>
      <c r="C181" s="74" t="s">
        <v>39</v>
      </c>
      <c r="D181" s="74" t="s">
        <v>34</v>
      </c>
      <c r="E181" s="74" t="s">
        <v>25</v>
      </c>
      <c r="F181" s="74" t="s">
        <v>25</v>
      </c>
      <c r="G181" s="74" t="s">
        <v>25</v>
      </c>
      <c r="H181" s="74" t="s">
        <v>38</v>
      </c>
      <c r="I181" s="80">
        <v>44743</v>
      </c>
      <c r="J181" s="81">
        <f>EFEITO!$J$181*EFEITO!$Y$181</f>
        <v>0</v>
      </c>
      <c r="K181" s="81">
        <f ca="1">EFEITO!$L$181*EFEITO!$Z$181</f>
        <v>17563.393587786173</v>
      </c>
      <c r="L181" s="81">
        <f>EFEITO!$N$181*EFEITO!$AA$181</f>
        <v>33238.895258025652</v>
      </c>
      <c r="M181" s="81">
        <f>$J$181-EFEITO!$K$181*EFEITO!$Y$181</f>
        <v>0</v>
      </c>
      <c r="N181" s="81">
        <f ca="1">$K$181-EFEITO!$M$181*EFEITO!$Z$181</f>
        <v>0</v>
      </c>
      <c r="O181" s="81">
        <f>$L$181-EFEITO!$O$181*EFEITO!$AA$181</f>
        <v>0</v>
      </c>
      <c r="P181" s="18"/>
      <c r="Q181" s="18"/>
      <c r="R181" s="18"/>
      <c r="S181" s="18"/>
      <c r="T181" s="18"/>
      <c r="U181" s="18"/>
      <c r="V181" s="18"/>
      <c r="W181" s="18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</row>
    <row r="182" spans="1:36" ht="11.25" customHeight="1" x14ac:dyDescent="0.2">
      <c r="A182" s="74" t="s">
        <v>21</v>
      </c>
      <c r="B182" s="74" t="s">
        <v>35</v>
      </c>
      <c r="C182" s="74" t="s">
        <v>39</v>
      </c>
      <c r="D182" s="74" t="s">
        <v>34</v>
      </c>
      <c r="E182" s="74" t="s">
        <v>25</v>
      </c>
      <c r="F182" s="74" t="s">
        <v>25</v>
      </c>
      <c r="G182" s="74" t="s">
        <v>25</v>
      </c>
      <c r="H182" s="74" t="s">
        <v>25</v>
      </c>
      <c r="I182" s="80">
        <v>44409</v>
      </c>
      <c r="J182" s="81">
        <f ca="1">EFEITO!$J$182*EFEITO!$Y$182</f>
        <v>307293.23517641996</v>
      </c>
      <c r="K182" s="81">
        <f>EFEITO!$L$182*EFEITO!$Z$182</f>
        <v>0</v>
      </c>
      <c r="L182" s="81">
        <f>EFEITO!$N$182*EFEITO!$AA$182</f>
        <v>0</v>
      </c>
      <c r="M182" s="81">
        <f ca="1">$J$182-EFEITO!$K$182*EFEITO!$Y$182</f>
        <v>0</v>
      </c>
      <c r="N182" s="81">
        <f>$K$182-EFEITO!$M$182*EFEITO!$Z$182</f>
        <v>0</v>
      </c>
      <c r="O182" s="81">
        <f>$L$182-EFEITO!$O$182*EFEITO!$AA$182</f>
        <v>0</v>
      </c>
      <c r="P182" s="18"/>
      <c r="Q182" s="18"/>
      <c r="R182" s="18"/>
      <c r="S182" s="18"/>
      <c r="T182" s="18"/>
      <c r="U182" s="18"/>
      <c r="V182" s="18"/>
      <c r="W182" s="18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</row>
    <row r="183" spans="1:36" ht="11.25" customHeight="1" x14ac:dyDescent="0.2">
      <c r="A183" s="74" t="s">
        <v>28</v>
      </c>
      <c r="B183" s="74" t="s">
        <v>35</v>
      </c>
      <c r="C183" s="74" t="s">
        <v>39</v>
      </c>
      <c r="D183" s="74" t="s">
        <v>34</v>
      </c>
      <c r="E183" s="74" t="s">
        <v>25</v>
      </c>
      <c r="F183" s="74" t="s">
        <v>25</v>
      </c>
      <c r="G183" s="74" t="s">
        <v>25</v>
      </c>
      <c r="H183" s="74" t="s">
        <v>25</v>
      </c>
      <c r="I183" s="80">
        <v>44409</v>
      </c>
      <c r="J183" s="81">
        <f ca="1">EFEITO!$J$183*EFEITO!$Y$183</f>
        <v>10606.061161757758</v>
      </c>
      <c r="K183" s="81">
        <f>EFEITO!$L$183*EFEITO!$Z$183</f>
        <v>0</v>
      </c>
      <c r="L183" s="81">
        <f>EFEITO!$N$183*EFEITO!$AA$183</f>
        <v>0</v>
      </c>
      <c r="M183" s="81">
        <f ca="1">$J$183-EFEITO!$K$183*EFEITO!$Y$183</f>
        <v>0</v>
      </c>
      <c r="N183" s="81">
        <f>$K$183-EFEITO!$M$183*EFEITO!$Z$183</f>
        <v>0</v>
      </c>
      <c r="O183" s="81">
        <f>$L$183-EFEITO!$O$183*EFEITO!$AA$183</f>
        <v>0</v>
      </c>
      <c r="P183" s="18"/>
      <c r="Q183" s="18"/>
      <c r="R183" s="18"/>
      <c r="S183" s="18"/>
      <c r="T183" s="18"/>
      <c r="U183" s="18"/>
      <c r="V183" s="18"/>
      <c r="W183" s="18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</row>
    <row r="184" spans="1:36" ht="11.25" customHeight="1" x14ac:dyDescent="0.2">
      <c r="A184" s="74" t="s">
        <v>21</v>
      </c>
      <c r="B184" s="74" t="s">
        <v>35</v>
      </c>
      <c r="C184" s="74" t="s">
        <v>39</v>
      </c>
      <c r="D184" s="74" t="s">
        <v>34</v>
      </c>
      <c r="E184" s="74" t="s">
        <v>25</v>
      </c>
      <c r="F184" s="74" t="s">
        <v>25</v>
      </c>
      <c r="G184" s="74" t="s">
        <v>25</v>
      </c>
      <c r="H184" s="74" t="s">
        <v>25</v>
      </c>
      <c r="I184" s="80">
        <v>44440</v>
      </c>
      <c r="J184" s="81">
        <f ca="1">EFEITO!$J$184*EFEITO!$Y$184</f>
        <v>306293.48350953293</v>
      </c>
      <c r="K184" s="81">
        <f>EFEITO!$L$184*EFEITO!$Z$184</f>
        <v>0</v>
      </c>
      <c r="L184" s="81">
        <f>EFEITO!$N$184*EFEITO!$AA$184</f>
        <v>0</v>
      </c>
      <c r="M184" s="81">
        <f ca="1">$J$184-EFEITO!$K$184*EFEITO!$Y$184</f>
        <v>0</v>
      </c>
      <c r="N184" s="81">
        <f>$K$184-EFEITO!$M$184*EFEITO!$Z$184</f>
        <v>0</v>
      </c>
      <c r="O184" s="81">
        <f>$L$184-EFEITO!$O$184*EFEITO!$AA$184</f>
        <v>0</v>
      </c>
      <c r="P184" s="18"/>
      <c r="Q184" s="18"/>
      <c r="R184" s="18"/>
      <c r="S184" s="18"/>
      <c r="T184" s="18"/>
      <c r="U184" s="18"/>
      <c r="V184" s="18"/>
      <c r="W184" s="18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</row>
    <row r="185" spans="1:36" ht="11.25" customHeight="1" x14ac:dyDescent="0.2">
      <c r="A185" s="74" t="s">
        <v>28</v>
      </c>
      <c r="B185" s="74" t="s">
        <v>35</v>
      </c>
      <c r="C185" s="74" t="s">
        <v>39</v>
      </c>
      <c r="D185" s="74" t="s">
        <v>34</v>
      </c>
      <c r="E185" s="74" t="s">
        <v>25</v>
      </c>
      <c r="F185" s="74" t="s">
        <v>25</v>
      </c>
      <c r="G185" s="74" t="s">
        <v>25</v>
      </c>
      <c r="H185" s="74" t="s">
        <v>25</v>
      </c>
      <c r="I185" s="80">
        <v>44440</v>
      </c>
      <c r="J185" s="81">
        <f ca="1">EFEITO!$J$185*EFEITO!$Y$185</f>
        <v>11562.345364867064</v>
      </c>
      <c r="K185" s="81">
        <f>EFEITO!$L$185*EFEITO!$Z$185</f>
        <v>0</v>
      </c>
      <c r="L185" s="81">
        <f>EFEITO!$N$185*EFEITO!$AA$185</f>
        <v>0</v>
      </c>
      <c r="M185" s="81">
        <f ca="1">$J$185-EFEITO!$K$185*EFEITO!$Y$185</f>
        <v>0</v>
      </c>
      <c r="N185" s="81">
        <f>$K$185-EFEITO!$M$185*EFEITO!$Z$185</f>
        <v>0</v>
      </c>
      <c r="O185" s="81">
        <f>$L$185-EFEITO!$O$185*EFEITO!$AA$185</f>
        <v>0</v>
      </c>
      <c r="P185" s="18"/>
      <c r="Q185" s="18"/>
      <c r="R185" s="18"/>
      <c r="S185" s="18"/>
      <c r="T185" s="18"/>
      <c r="U185" s="18"/>
      <c r="V185" s="18"/>
      <c r="W185" s="18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</row>
    <row r="186" spans="1:36" ht="11.25" customHeight="1" x14ac:dyDescent="0.2">
      <c r="A186" s="74" t="s">
        <v>21</v>
      </c>
      <c r="B186" s="74" t="s">
        <v>35</v>
      </c>
      <c r="C186" s="74" t="s">
        <v>39</v>
      </c>
      <c r="D186" s="74" t="s">
        <v>34</v>
      </c>
      <c r="E186" s="74" t="s">
        <v>25</v>
      </c>
      <c r="F186" s="74" t="s">
        <v>25</v>
      </c>
      <c r="G186" s="74" t="s">
        <v>25</v>
      </c>
      <c r="H186" s="74" t="s">
        <v>25</v>
      </c>
      <c r="I186" s="80">
        <v>44470</v>
      </c>
      <c r="J186" s="81">
        <f ca="1">EFEITO!$J$186*EFEITO!$Y$186</f>
        <v>311574.78035852296</v>
      </c>
      <c r="K186" s="81">
        <f>EFEITO!$L$186*EFEITO!$Z$186</f>
        <v>0</v>
      </c>
      <c r="L186" s="81">
        <f>EFEITO!$N$186*EFEITO!$AA$186</f>
        <v>0</v>
      </c>
      <c r="M186" s="81">
        <f ca="1">$J$186-EFEITO!$K$186*EFEITO!$Y$186</f>
        <v>0</v>
      </c>
      <c r="N186" s="81">
        <f>$K$186-EFEITO!$M$186*EFEITO!$Z$186</f>
        <v>0</v>
      </c>
      <c r="O186" s="81">
        <f>$L$186-EFEITO!$O$186*EFEITO!$AA$186</f>
        <v>0</v>
      </c>
      <c r="P186" s="18"/>
      <c r="Q186" s="18"/>
      <c r="R186" s="18"/>
      <c r="S186" s="18"/>
      <c r="T186" s="18"/>
      <c r="U186" s="18"/>
      <c r="V186" s="18"/>
      <c r="W186" s="18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</row>
    <row r="187" spans="1:36" ht="11.25" customHeight="1" x14ac:dyDescent="0.2">
      <c r="A187" s="74" t="s">
        <v>28</v>
      </c>
      <c r="B187" s="74" t="s">
        <v>35</v>
      </c>
      <c r="C187" s="74" t="s">
        <v>39</v>
      </c>
      <c r="D187" s="74" t="s">
        <v>34</v>
      </c>
      <c r="E187" s="74" t="s">
        <v>25</v>
      </c>
      <c r="F187" s="74" t="s">
        <v>25</v>
      </c>
      <c r="G187" s="74" t="s">
        <v>25</v>
      </c>
      <c r="H187" s="74" t="s">
        <v>25</v>
      </c>
      <c r="I187" s="80">
        <v>44470</v>
      </c>
      <c r="J187" s="81">
        <f ca="1">EFEITO!$J$187*EFEITO!$Y$187</f>
        <v>11258.073118423194</v>
      </c>
      <c r="K187" s="81">
        <f>EFEITO!$L$187*EFEITO!$Z$187</f>
        <v>0</v>
      </c>
      <c r="L187" s="81">
        <f>EFEITO!$N$187*EFEITO!$AA$187</f>
        <v>0</v>
      </c>
      <c r="M187" s="81">
        <f ca="1">$J$187-EFEITO!$K$187*EFEITO!$Y$187</f>
        <v>0</v>
      </c>
      <c r="N187" s="81">
        <f>$K$187-EFEITO!$M$187*EFEITO!$Z$187</f>
        <v>0</v>
      </c>
      <c r="O187" s="81">
        <f>$L$187-EFEITO!$O$187*EFEITO!$AA$187</f>
        <v>0</v>
      </c>
      <c r="P187" s="18"/>
      <c r="Q187" s="18"/>
      <c r="R187" s="18"/>
      <c r="S187" s="18"/>
      <c r="T187" s="18"/>
      <c r="U187" s="18"/>
      <c r="V187" s="18"/>
      <c r="W187" s="18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</row>
    <row r="188" spans="1:36" ht="11.25" customHeight="1" x14ac:dyDescent="0.2">
      <c r="A188" s="74" t="s">
        <v>21</v>
      </c>
      <c r="B188" s="74" t="s">
        <v>35</v>
      </c>
      <c r="C188" s="74" t="s">
        <v>39</v>
      </c>
      <c r="D188" s="74" t="s">
        <v>34</v>
      </c>
      <c r="E188" s="74" t="s">
        <v>25</v>
      </c>
      <c r="F188" s="74" t="s">
        <v>25</v>
      </c>
      <c r="G188" s="74" t="s">
        <v>25</v>
      </c>
      <c r="H188" s="74" t="s">
        <v>25</v>
      </c>
      <c r="I188" s="80">
        <v>44501</v>
      </c>
      <c r="J188" s="81">
        <f ca="1">EFEITO!$J$188*EFEITO!$Y$188</f>
        <v>314334.96430840663</v>
      </c>
      <c r="K188" s="81">
        <f>EFEITO!$L$188*EFEITO!$Z$188</f>
        <v>0</v>
      </c>
      <c r="L188" s="81">
        <f>EFEITO!$N$188*EFEITO!$AA$188</f>
        <v>0</v>
      </c>
      <c r="M188" s="81">
        <f ca="1">$J$188-EFEITO!$K$188*EFEITO!$Y$188</f>
        <v>0</v>
      </c>
      <c r="N188" s="81">
        <f>$K$188-EFEITO!$M$188*EFEITO!$Z$188</f>
        <v>0</v>
      </c>
      <c r="O188" s="81">
        <f>$L$188-EFEITO!$O$188*EFEITO!$AA$188</f>
        <v>0</v>
      </c>
      <c r="P188" s="18"/>
      <c r="Q188" s="18"/>
      <c r="R188" s="18"/>
      <c r="S188" s="18"/>
      <c r="T188" s="18"/>
      <c r="U188" s="18"/>
      <c r="V188" s="18"/>
      <c r="W188" s="18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</row>
    <row r="189" spans="1:36" ht="11.25" customHeight="1" x14ac:dyDescent="0.2">
      <c r="A189" s="74" t="s">
        <v>28</v>
      </c>
      <c r="B189" s="74" t="s">
        <v>35</v>
      </c>
      <c r="C189" s="74" t="s">
        <v>39</v>
      </c>
      <c r="D189" s="74" t="s">
        <v>34</v>
      </c>
      <c r="E189" s="74" t="s">
        <v>25</v>
      </c>
      <c r="F189" s="74" t="s">
        <v>25</v>
      </c>
      <c r="G189" s="74" t="s">
        <v>25</v>
      </c>
      <c r="H189" s="74" t="s">
        <v>25</v>
      </c>
      <c r="I189" s="80">
        <v>44501</v>
      </c>
      <c r="J189" s="81">
        <f ca="1">EFEITO!$J$189*EFEITO!$Y$189</f>
        <v>11084.203263312411</v>
      </c>
      <c r="K189" s="81">
        <f>EFEITO!$L$189*EFEITO!$Z$189</f>
        <v>0</v>
      </c>
      <c r="L189" s="81">
        <f>EFEITO!$N$189*EFEITO!$AA$189</f>
        <v>0</v>
      </c>
      <c r="M189" s="81">
        <f ca="1">$J$189-EFEITO!$K$189*EFEITO!$Y$189</f>
        <v>0</v>
      </c>
      <c r="N189" s="81">
        <f>$K$189-EFEITO!$M$189*EFEITO!$Z$189</f>
        <v>0</v>
      </c>
      <c r="O189" s="81">
        <f>$L$189-EFEITO!$O$189*EFEITO!$AA$189</f>
        <v>0</v>
      </c>
      <c r="P189" s="18"/>
      <c r="Q189" s="18"/>
      <c r="R189" s="18"/>
      <c r="S189" s="18"/>
      <c r="T189" s="18"/>
      <c r="U189" s="18"/>
      <c r="V189" s="18"/>
      <c r="W189" s="18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</row>
    <row r="190" spans="1:36" ht="11.25" customHeight="1" x14ac:dyDescent="0.2">
      <c r="A190" s="74" t="s">
        <v>21</v>
      </c>
      <c r="B190" s="74" t="s">
        <v>35</v>
      </c>
      <c r="C190" s="74" t="s">
        <v>39</v>
      </c>
      <c r="D190" s="74" t="s">
        <v>34</v>
      </c>
      <c r="E190" s="74" t="s">
        <v>25</v>
      </c>
      <c r="F190" s="74" t="s">
        <v>25</v>
      </c>
      <c r="G190" s="74" t="s">
        <v>25</v>
      </c>
      <c r="H190" s="74" t="s">
        <v>25</v>
      </c>
      <c r="I190" s="80">
        <v>44531</v>
      </c>
      <c r="J190" s="81">
        <f ca="1">EFEITO!$J$190*EFEITO!$Y$190</f>
        <v>321833.10181005916</v>
      </c>
      <c r="K190" s="81">
        <f>EFEITO!$L$190*EFEITO!$Z$190</f>
        <v>0</v>
      </c>
      <c r="L190" s="81">
        <f>EFEITO!$N$190*EFEITO!$AA$190</f>
        <v>0</v>
      </c>
      <c r="M190" s="81">
        <f ca="1">$J$190-EFEITO!$K$190*EFEITO!$Y$190</f>
        <v>0</v>
      </c>
      <c r="N190" s="81">
        <f>$K$190-EFEITO!$M$190*EFEITO!$Z$190</f>
        <v>0</v>
      </c>
      <c r="O190" s="81">
        <f>$L$190-EFEITO!$O$190*EFEITO!$AA$190</f>
        <v>0</v>
      </c>
      <c r="P190" s="18"/>
      <c r="Q190" s="18"/>
      <c r="R190" s="18"/>
      <c r="S190" s="18"/>
      <c r="T190" s="18"/>
      <c r="U190" s="18"/>
      <c r="V190" s="18"/>
      <c r="W190" s="18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</row>
    <row r="191" spans="1:36" ht="11.25" customHeight="1" x14ac:dyDescent="0.2">
      <c r="A191" s="74" t="s">
        <v>28</v>
      </c>
      <c r="B191" s="74" t="s">
        <v>35</v>
      </c>
      <c r="C191" s="74" t="s">
        <v>39</v>
      </c>
      <c r="D191" s="74" t="s">
        <v>34</v>
      </c>
      <c r="E191" s="74" t="s">
        <v>25</v>
      </c>
      <c r="F191" s="74" t="s">
        <v>25</v>
      </c>
      <c r="G191" s="74" t="s">
        <v>25</v>
      </c>
      <c r="H191" s="74" t="s">
        <v>25</v>
      </c>
      <c r="I191" s="80">
        <v>44531</v>
      </c>
      <c r="J191" s="81">
        <f ca="1">EFEITO!$J$191*EFEITO!$Y$191</f>
        <v>11258.073118423194</v>
      </c>
      <c r="K191" s="81">
        <f>EFEITO!$L$191*EFEITO!$Z$191</f>
        <v>0</v>
      </c>
      <c r="L191" s="81">
        <f>EFEITO!$N$191*EFEITO!$AA$191</f>
        <v>0</v>
      </c>
      <c r="M191" s="81">
        <f ca="1">$J$191-EFEITO!$K$191*EFEITO!$Y$191</f>
        <v>0</v>
      </c>
      <c r="N191" s="81">
        <f>$K$191-EFEITO!$M$191*EFEITO!$Z$191</f>
        <v>0</v>
      </c>
      <c r="O191" s="81">
        <f>$L$191-EFEITO!$O$191*EFEITO!$AA$191</f>
        <v>0</v>
      </c>
      <c r="P191" s="18"/>
      <c r="Q191" s="18"/>
      <c r="R191" s="18"/>
      <c r="S191" s="18"/>
      <c r="T191" s="18"/>
      <c r="U191" s="18"/>
      <c r="V191" s="18"/>
      <c r="W191" s="18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</row>
    <row r="192" spans="1:36" ht="11.25" customHeight="1" x14ac:dyDescent="0.2">
      <c r="A192" s="74" t="s">
        <v>21</v>
      </c>
      <c r="B192" s="74" t="s">
        <v>35</v>
      </c>
      <c r="C192" s="74" t="s">
        <v>39</v>
      </c>
      <c r="D192" s="74" t="s">
        <v>34</v>
      </c>
      <c r="E192" s="74" t="s">
        <v>25</v>
      </c>
      <c r="F192" s="74" t="s">
        <v>25</v>
      </c>
      <c r="G192" s="74" t="s">
        <v>25</v>
      </c>
      <c r="H192" s="74" t="s">
        <v>25</v>
      </c>
      <c r="I192" s="80">
        <v>44562</v>
      </c>
      <c r="J192" s="81">
        <f ca="1">EFEITO!$J$192*EFEITO!$Y$192</f>
        <v>316790.87601184647</v>
      </c>
      <c r="K192" s="81">
        <f>EFEITO!$L$192*EFEITO!$Z$192</f>
        <v>0</v>
      </c>
      <c r="L192" s="81">
        <f>EFEITO!$N$192*EFEITO!$AA$192</f>
        <v>0</v>
      </c>
      <c r="M192" s="81">
        <f ca="1">$J$192-EFEITO!$K$192*EFEITO!$Y$192</f>
        <v>0</v>
      </c>
      <c r="N192" s="81">
        <f>$K$192-EFEITO!$M$192*EFEITO!$Z$192</f>
        <v>0</v>
      </c>
      <c r="O192" s="81">
        <f>$L$192-EFEITO!$O$192*EFEITO!$AA$192</f>
        <v>0</v>
      </c>
      <c r="P192" s="18"/>
      <c r="Q192" s="18"/>
      <c r="R192" s="18"/>
      <c r="S192" s="18"/>
      <c r="T192" s="18"/>
      <c r="U192" s="18"/>
      <c r="V192" s="18"/>
      <c r="W192" s="18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</row>
    <row r="193" spans="1:36" ht="11.25" customHeight="1" x14ac:dyDescent="0.2">
      <c r="A193" s="74" t="s">
        <v>28</v>
      </c>
      <c r="B193" s="74" t="s">
        <v>35</v>
      </c>
      <c r="C193" s="74" t="s">
        <v>39</v>
      </c>
      <c r="D193" s="74" t="s">
        <v>34</v>
      </c>
      <c r="E193" s="74" t="s">
        <v>25</v>
      </c>
      <c r="F193" s="74" t="s">
        <v>25</v>
      </c>
      <c r="G193" s="74" t="s">
        <v>25</v>
      </c>
      <c r="H193" s="74" t="s">
        <v>25</v>
      </c>
      <c r="I193" s="80">
        <v>44562</v>
      </c>
      <c r="J193" s="81">
        <f ca="1">EFEITO!$J$193*EFEITO!$Y$193</f>
        <v>11388.475509756281</v>
      </c>
      <c r="K193" s="81">
        <f>EFEITO!$L$193*EFEITO!$Z$193</f>
        <v>0</v>
      </c>
      <c r="L193" s="81">
        <f>EFEITO!$N$193*EFEITO!$AA$193</f>
        <v>0</v>
      </c>
      <c r="M193" s="81">
        <f ca="1">$J$193-EFEITO!$K$193*EFEITO!$Y$193</f>
        <v>0</v>
      </c>
      <c r="N193" s="81">
        <f>$K$193-EFEITO!$M$193*EFEITO!$Z$193</f>
        <v>0</v>
      </c>
      <c r="O193" s="81">
        <f>$L$193-EFEITO!$O$193*EFEITO!$AA$193</f>
        <v>0</v>
      </c>
      <c r="P193" s="18"/>
      <c r="Q193" s="18"/>
      <c r="R193" s="18"/>
      <c r="S193" s="18"/>
      <c r="T193" s="18"/>
      <c r="U193" s="18"/>
      <c r="V193" s="18"/>
      <c r="W193" s="18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</row>
    <row r="194" spans="1:36" ht="11.25" customHeight="1" x14ac:dyDescent="0.2">
      <c r="A194" s="74" t="s">
        <v>21</v>
      </c>
      <c r="B194" s="74" t="s">
        <v>35</v>
      </c>
      <c r="C194" s="74" t="s">
        <v>39</v>
      </c>
      <c r="D194" s="74" t="s">
        <v>34</v>
      </c>
      <c r="E194" s="74" t="s">
        <v>25</v>
      </c>
      <c r="F194" s="74" t="s">
        <v>25</v>
      </c>
      <c r="G194" s="74" t="s">
        <v>25</v>
      </c>
      <c r="H194" s="74" t="s">
        <v>25</v>
      </c>
      <c r="I194" s="80">
        <v>44593</v>
      </c>
      <c r="J194" s="81">
        <f ca="1">EFEITO!$J$194*EFEITO!$Y$194</f>
        <v>319268.52144717512</v>
      </c>
      <c r="K194" s="81">
        <f>EFEITO!$L$194*EFEITO!$Z$194</f>
        <v>0</v>
      </c>
      <c r="L194" s="81">
        <f>EFEITO!$N$194*EFEITO!$AA$194</f>
        <v>0</v>
      </c>
      <c r="M194" s="81">
        <f ca="1">$J$194-EFEITO!$K$194*EFEITO!$Y$194</f>
        <v>0</v>
      </c>
      <c r="N194" s="81">
        <f>$K$194-EFEITO!$M$194*EFEITO!$Z$194</f>
        <v>0</v>
      </c>
      <c r="O194" s="81">
        <f>$L$194-EFEITO!$O$194*EFEITO!$AA$194</f>
        <v>0</v>
      </c>
      <c r="P194" s="18"/>
      <c r="Q194" s="18"/>
      <c r="R194" s="18"/>
      <c r="S194" s="18"/>
      <c r="T194" s="18"/>
      <c r="U194" s="18"/>
      <c r="V194" s="18"/>
      <c r="W194" s="18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</row>
    <row r="195" spans="1:36" ht="11.25" customHeight="1" x14ac:dyDescent="0.2">
      <c r="A195" s="74" t="s">
        <v>28</v>
      </c>
      <c r="B195" s="74" t="s">
        <v>35</v>
      </c>
      <c r="C195" s="74" t="s">
        <v>39</v>
      </c>
      <c r="D195" s="74" t="s">
        <v>34</v>
      </c>
      <c r="E195" s="74" t="s">
        <v>25</v>
      </c>
      <c r="F195" s="74" t="s">
        <v>25</v>
      </c>
      <c r="G195" s="74" t="s">
        <v>25</v>
      </c>
      <c r="H195" s="74" t="s">
        <v>25</v>
      </c>
      <c r="I195" s="80">
        <v>44593</v>
      </c>
      <c r="J195" s="81">
        <f ca="1">EFEITO!$J$195*EFEITO!$Y$195</f>
        <v>11214.605654645498</v>
      </c>
      <c r="K195" s="81">
        <f>EFEITO!$L$195*EFEITO!$Z$195</f>
        <v>0</v>
      </c>
      <c r="L195" s="81">
        <f>EFEITO!$N$195*EFEITO!$AA$195</f>
        <v>0</v>
      </c>
      <c r="M195" s="81">
        <f ca="1">$J$195-EFEITO!$K$195*EFEITO!$Y$195</f>
        <v>0</v>
      </c>
      <c r="N195" s="81">
        <f>$K$195-EFEITO!$M$195*EFEITO!$Z$195</f>
        <v>0</v>
      </c>
      <c r="O195" s="81">
        <f>$L$195-EFEITO!$O$195*EFEITO!$AA$195</f>
        <v>0</v>
      </c>
      <c r="P195" s="18"/>
      <c r="Q195" s="18"/>
      <c r="R195" s="18"/>
      <c r="S195" s="18"/>
      <c r="T195" s="18"/>
      <c r="U195" s="18"/>
      <c r="V195" s="18"/>
      <c r="W195" s="18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</row>
    <row r="196" spans="1:36" ht="11.25" customHeight="1" x14ac:dyDescent="0.2">
      <c r="A196" s="74" t="s">
        <v>21</v>
      </c>
      <c r="B196" s="74" t="s">
        <v>35</v>
      </c>
      <c r="C196" s="74" t="s">
        <v>39</v>
      </c>
      <c r="D196" s="74" t="s">
        <v>34</v>
      </c>
      <c r="E196" s="74" t="s">
        <v>25</v>
      </c>
      <c r="F196" s="74" t="s">
        <v>25</v>
      </c>
      <c r="G196" s="74" t="s">
        <v>25</v>
      </c>
      <c r="H196" s="74" t="s">
        <v>25</v>
      </c>
      <c r="I196" s="80">
        <v>44621</v>
      </c>
      <c r="J196" s="81">
        <f ca="1">EFEITO!$J$196*EFEITO!$Y$196</f>
        <v>316617.00615673565</v>
      </c>
      <c r="K196" s="81">
        <f>EFEITO!$L$196*EFEITO!$Z$196</f>
        <v>0</v>
      </c>
      <c r="L196" s="81">
        <f>EFEITO!$N$196*EFEITO!$AA$196</f>
        <v>0</v>
      </c>
      <c r="M196" s="81">
        <f ca="1">$J$196-EFEITO!$K$196*EFEITO!$Y$196</f>
        <v>0</v>
      </c>
      <c r="N196" s="81">
        <f>$K$196-EFEITO!$M$196*EFEITO!$Z$196</f>
        <v>0</v>
      </c>
      <c r="O196" s="81">
        <f>$L$196-EFEITO!$O$196*EFEITO!$AA$196</f>
        <v>0</v>
      </c>
      <c r="P196" s="18"/>
      <c r="Q196" s="18"/>
      <c r="R196" s="18"/>
      <c r="S196" s="18"/>
      <c r="T196" s="18"/>
      <c r="U196" s="18"/>
      <c r="V196" s="18"/>
      <c r="W196" s="18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</row>
    <row r="197" spans="1:36" ht="11.25" customHeight="1" x14ac:dyDescent="0.2">
      <c r="A197" s="74" t="s">
        <v>28</v>
      </c>
      <c r="B197" s="74" t="s">
        <v>35</v>
      </c>
      <c r="C197" s="74" t="s">
        <v>39</v>
      </c>
      <c r="D197" s="74" t="s">
        <v>34</v>
      </c>
      <c r="E197" s="74" t="s">
        <v>25</v>
      </c>
      <c r="F197" s="74" t="s">
        <v>25</v>
      </c>
      <c r="G197" s="74" t="s">
        <v>25</v>
      </c>
      <c r="H197" s="74" t="s">
        <v>25</v>
      </c>
      <c r="I197" s="80">
        <v>44621</v>
      </c>
      <c r="J197" s="81">
        <f ca="1">EFEITO!$J$197*EFEITO!$Y$197</f>
        <v>11279.806850312041</v>
      </c>
      <c r="K197" s="81">
        <f>EFEITO!$L$197*EFEITO!$Z$197</f>
        <v>0</v>
      </c>
      <c r="L197" s="81">
        <f>EFEITO!$N$197*EFEITO!$AA$197</f>
        <v>0</v>
      </c>
      <c r="M197" s="81">
        <f ca="1">$J$197-EFEITO!$K$197*EFEITO!$Y$197</f>
        <v>0</v>
      </c>
      <c r="N197" s="81">
        <f>$K$197-EFEITO!$M$197*EFEITO!$Z$197</f>
        <v>0</v>
      </c>
      <c r="O197" s="81">
        <f>$L$197-EFEITO!$O$197*EFEITO!$AA$197</f>
        <v>0</v>
      </c>
      <c r="P197" s="18"/>
      <c r="Q197" s="18"/>
      <c r="R197" s="18"/>
      <c r="S197" s="18"/>
      <c r="T197" s="18"/>
      <c r="U197" s="18"/>
      <c r="V197" s="18"/>
      <c r="W197" s="18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</row>
    <row r="198" spans="1:36" ht="11.25" customHeight="1" x14ac:dyDescent="0.2">
      <c r="A198" s="74" t="s">
        <v>21</v>
      </c>
      <c r="B198" s="74" t="s">
        <v>35</v>
      </c>
      <c r="C198" s="74" t="s">
        <v>39</v>
      </c>
      <c r="D198" s="74" t="s">
        <v>34</v>
      </c>
      <c r="E198" s="74" t="s">
        <v>25</v>
      </c>
      <c r="F198" s="74" t="s">
        <v>25</v>
      </c>
      <c r="G198" s="74" t="s">
        <v>25</v>
      </c>
      <c r="H198" s="74" t="s">
        <v>25</v>
      </c>
      <c r="I198" s="80">
        <v>44652</v>
      </c>
      <c r="J198" s="81">
        <f ca="1">EFEITO!$J$198*EFEITO!$Y$198</f>
        <v>316160.59778706986</v>
      </c>
      <c r="K198" s="81">
        <f>EFEITO!$L$198*EFEITO!$Z$198</f>
        <v>0</v>
      </c>
      <c r="L198" s="81">
        <f>EFEITO!$N$198*EFEITO!$AA$198</f>
        <v>0</v>
      </c>
      <c r="M198" s="81">
        <f ca="1">$J$198-EFEITO!$K$198*EFEITO!$Y$198</f>
        <v>0</v>
      </c>
      <c r="N198" s="81">
        <f>$K$198-EFEITO!$M$198*EFEITO!$Z$198</f>
        <v>0</v>
      </c>
      <c r="O198" s="81">
        <f>$L$198-EFEITO!$O$198*EFEITO!$AA$198</f>
        <v>0</v>
      </c>
      <c r="P198" s="18"/>
      <c r="Q198" s="18"/>
      <c r="R198" s="18"/>
      <c r="S198" s="18"/>
      <c r="T198" s="18"/>
      <c r="U198" s="18"/>
      <c r="V198" s="18"/>
      <c r="W198" s="18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</row>
    <row r="199" spans="1:36" ht="11.25" customHeight="1" x14ac:dyDescent="0.2">
      <c r="A199" s="74" t="s">
        <v>28</v>
      </c>
      <c r="B199" s="74" t="s">
        <v>35</v>
      </c>
      <c r="C199" s="74" t="s">
        <v>39</v>
      </c>
      <c r="D199" s="74" t="s">
        <v>34</v>
      </c>
      <c r="E199" s="74" t="s">
        <v>25</v>
      </c>
      <c r="F199" s="74" t="s">
        <v>25</v>
      </c>
      <c r="G199" s="74" t="s">
        <v>25</v>
      </c>
      <c r="H199" s="74" t="s">
        <v>25</v>
      </c>
      <c r="I199" s="80">
        <v>44652</v>
      </c>
      <c r="J199" s="81">
        <f ca="1">EFEITO!$J$199*EFEITO!$Y$199</f>
        <v>11149.404458978954</v>
      </c>
      <c r="K199" s="81">
        <f>EFEITO!$L$199*EFEITO!$Z$199</f>
        <v>0</v>
      </c>
      <c r="L199" s="81">
        <f>EFEITO!$N$199*EFEITO!$AA$199</f>
        <v>0</v>
      </c>
      <c r="M199" s="81">
        <f ca="1">$J$199-EFEITO!$K$199*EFEITO!$Y$199</f>
        <v>0</v>
      </c>
      <c r="N199" s="81">
        <f>$K$199-EFEITO!$M$199*EFEITO!$Z$199</f>
        <v>0</v>
      </c>
      <c r="O199" s="81">
        <f>$L$199-EFEITO!$O$199*EFEITO!$AA$199</f>
        <v>0</v>
      </c>
      <c r="P199" s="18"/>
      <c r="Q199" s="18"/>
      <c r="R199" s="18"/>
      <c r="S199" s="18"/>
      <c r="T199" s="18"/>
      <c r="U199" s="18"/>
      <c r="V199" s="18"/>
      <c r="W199" s="18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</row>
    <row r="200" spans="1:36" ht="11.25" customHeight="1" x14ac:dyDescent="0.2">
      <c r="A200" s="74" t="s">
        <v>21</v>
      </c>
      <c r="B200" s="74" t="s">
        <v>35</v>
      </c>
      <c r="C200" s="74" t="s">
        <v>39</v>
      </c>
      <c r="D200" s="74" t="s">
        <v>34</v>
      </c>
      <c r="E200" s="74" t="s">
        <v>25</v>
      </c>
      <c r="F200" s="74" t="s">
        <v>25</v>
      </c>
      <c r="G200" s="74" t="s">
        <v>25</v>
      </c>
      <c r="H200" s="74" t="s">
        <v>25</v>
      </c>
      <c r="I200" s="80">
        <v>44682</v>
      </c>
      <c r="J200" s="81">
        <f ca="1">EFEITO!$J$200*EFEITO!$Y$200</f>
        <v>314443.63296785089</v>
      </c>
      <c r="K200" s="81">
        <f>EFEITO!$L$200*EFEITO!$Z$200</f>
        <v>0</v>
      </c>
      <c r="L200" s="81">
        <f>EFEITO!$N$200*EFEITO!$AA$200</f>
        <v>0</v>
      </c>
      <c r="M200" s="81">
        <f ca="1">$J$200-EFEITO!$K$200*EFEITO!$Y$200</f>
        <v>0</v>
      </c>
      <c r="N200" s="81">
        <f>$K$200-EFEITO!$M$200*EFEITO!$Z$200</f>
        <v>0</v>
      </c>
      <c r="O200" s="81">
        <f>$L$200-EFEITO!$O$200*EFEITO!$AA$200</f>
        <v>0</v>
      </c>
      <c r="P200" s="18"/>
      <c r="Q200" s="18"/>
      <c r="R200" s="18"/>
      <c r="S200" s="18"/>
      <c r="T200" s="18"/>
      <c r="U200" s="18"/>
      <c r="V200" s="18"/>
      <c r="W200" s="18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</row>
    <row r="201" spans="1:36" ht="11.25" customHeight="1" x14ac:dyDescent="0.2">
      <c r="A201" s="74" t="s">
        <v>28</v>
      </c>
      <c r="B201" s="74" t="s">
        <v>35</v>
      </c>
      <c r="C201" s="74" t="s">
        <v>39</v>
      </c>
      <c r="D201" s="74" t="s">
        <v>34</v>
      </c>
      <c r="E201" s="74" t="s">
        <v>25</v>
      </c>
      <c r="F201" s="74" t="s">
        <v>25</v>
      </c>
      <c r="G201" s="74" t="s">
        <v>25</v>
      </c>
      <c r="H201" s="74" t="s">
        <v>25</v>
      </c>
      <c r="I201" s="80">
        <v>44682</v>
      </c>
      <c r="J201" s="81">
        <f ca="1">EFEITO!$J$201*EFEITO!$Y$201</f>
        <v>11258.073118423194</v>
      </c>
      <c r="K201" s="81">
        <f>EFEITO!$L$201*EFEITO!$Z$201</f>
        <v>0</v>
      </c>
      <c r="L201" s="81">
        <f>EFEITO!$N$201*EFEITO!$AA$201</f>
        <v>0</v>
      </c>
      <c r="M201" s="81">
        <f ca="1">$J$201-EFEITO!$K$201*EFEITO!$Y$201</f>
        <v>0</v>
      </c>
      <c r="N201" s="81">
        <f>$K$201-EFEITO!$M$201*EFEITO!$Z$201</f>
        <v>0</v>
      </c>
      <c r="O201" s="81">
        <f>$L$201-EFEITO!$O$201*EFEITO!$AA$201</f>
        <v>0</v>
      </c>
      <c r="P201" s="18"/>
      <c r="Q201" s="18"/>
      <c r="R201" s="18"/>
      <c r="S201" s="18"/>
      <c r="T201" s="18"/>
      <c r="U201" s="18"/>
      <c r="V201" s="18"/>
      <c r="W201" s="18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</row>
    <row r="202" spans="1:36" ht="11.25" customHeight="1" x14ac:dyDescent="0.2">
      <c r="A202" s="74" t="s">
        <v>21</v>
      </c>
      <c r="B202" s="74" t="s">
        <v>35</v>
      </c>
      <c r="C202" s="74" t="s">
        <v>39</v>
      </c>
      <c r="D202" s="74" t="s">
        <v>34</v>
      </c>
      <c r="E202" s="74" t="s">
        <v>25</v>
      </c>
      <c r="F202" s="74" t="s">
        <v>25</v>
      </c>
      <c r="G202" s="74" t="s">
        <v>25</v>
      </c>
      <c r="H202" s="74" t="s">
        <v>25</v>
      </c>
      <c r="I202" s="80">
        <v>44713</v>
      </c>
      <c r="J202" s="81">
        <f ca="1">EFEITO!$J$202*EFEITO!$Y$202</f>
        <v>319703.1960849521</v>
      </c>
      <c r="K202" s="81">
        <f>EFEITO!$L$202*EFEITO!$Z$202</f>
        <v>0</v>
      </c>
      <c r="L202" s="81">
        <f>EFEITO!$N$202*EFEITO!$AA$202</f>
        <v>0</v>
      </c>
      <c r="M202" s="81">
        <f ca="1">$J$202-EFEITO!$K$202*EFEITO!$Y$202</f>
        <v>0</v>
      </c>
      <c r="N202" s="81">
        <f>$K$202-EFEITO!$M$202*EFEITO!$Z$202</f>
        <v>0</v>
      </c>
      <c r="O202" s="81">
        <f>$L$202-EFEITO!$O$202*EFEITO!$AA$202</f>
        <v>0</v>
      </c>
      <c r="P202" s="18"/>
      <c r="Q202" s="18"/>
      <c r="R202" s="18"/>
      <c r="S202" s="18"/>
      <c r="T202" s="18"/>
      <c r="U202" s="18"/>
      <c r="V202" s="18"/>
      <c r="W202" s="18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</row>
    <row r="203" spans="1:36" ht="11.25" customHeight="1" x14ac:dyDescent="0.2">
      <c r="A203" s="74" t="s">
        <v>28</v>
      </c>
      <c r="B203" s="74" t="s">
        <v>35</v>
      </c>
      <c r="C203" s="74" t="s">
        <v>39</v>
      </c>
      <c r="D203" s="74" t="s">
        <v>34</v>
      </c>
      <c r="E203" s="74" t="s">
        <v>25</v>
      </c>
      <c r="F203" s="74" t="s">
        <v>25</v>
      </c>
      <c r="G203" s="74" t="s">
        <v>25</v>
      </c>
      <c r="H203" s="74" t="s">
        <v>25</v>
      </c>
      <c r="I203" s="80">
        <v>44713</v>
      </c>
      <c r="J203" s="81">
        <f ca="1">EFEITO!$J$203*EFEITO!$Y$203</f>
        <v>11171.138190867801</v>
      </c>
      <c r="K203" s="81">
        <f>EFEITO!$L$203*EFEITO!$Z$203</f>
        <v>0</v>
      </c>
      <c r="L203" s="81">
        <f>EFEITO!$N$203*EFEITO!$AA$203</f>
        <v>0</v>
      </c>
      <c r="M203" s="81">
        <f ca="1">$J$203-EFEITO!$K$203*EFEITO!$Y$203</f>
        <v>0</v>
      </c>
      <c r="N203" s="81">
        <f>$K$203-EFEITO!$M$203*EFEITO!$Z$203</f>
        <v>0</v>
      </c>
      <c r="O203" s="81">
        <f>$L$203-EFEITO!$O$203*EFEITO!$AA$203</f>
        <v>0</v>
      </c>
      <c r="P203" s="18"/>
      <c r="Q203" s="18"/>
      <c r="R203" s="18"/>
      <c r="S203" s="18"/>
      <c r="T203" s="18"/>
      <c r="U203" s="18"/>
      <c r="V203" s="18"/>
      <c r="W203" s="18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</row>
    <row r="204" spans="1:36" ht="11.25" customHeight="1" x14ac:dyDescent="0.2">
      <c r="A204" s="74" t="s">
        <v>55</v>
      </c>
      <c r="B204" s="74" t="s">
        <v>35</v>
      </c>
      <c r="C204" s="74" t="s">
        <v>39</v>
      </c>
      <c r="D204" s="74" t="s">
        <v>34</v>
      </c>
      <c r="E204" s="74" t="s">
        <v>25</v>
      </c>
      <c r="F204" s="74" t="s">
        <v>25</v>
      </c>
      <c r="G204" s="74" t="s">
        <v>25</v>
      </c>
      <c r="H204" s="74" t="s">
        <v>25</v>
      </c>
      <c r="I204" s="80">
        <v>44743</v>
      </c>
      <c r="J204" s="81">
        <f ca="1">EFEITO!$J$204*EFEITO!$Y$204</f>
        <v>319703.1960849521</v>
      </c>
      <c r="K204" s="81">
        <f>EFEITO!$L$204*EFEITO!$Z$204</f>
        <v>0</v>
      </c>
      <c r="L204" s="81">
        <f>EFEITO!$N$204*EFEITO!$AA$204</f>
        <v>0</v>
      </c>
      <c r="M204" s="81">
        <f ca="1">$J$204-EFEITO!$K$204*EFEITO!$Y$204</f>
        <v>0</v>
      </c>
      <c r="N204" s="81">
        <f>$K$204-EFEITO!$M$204*EFEITO!$Z$204</f>
        <v>0</v>
      </c>
      <c r="O204" s="81">
        <f>$L$204-EFEITO!$O$204*EFEITO!$AA$204</f>
        <v>0</v>
      </c>
      <c r="P204" s="18"/>
      <c r="Q204" s="18"/>
      <c r="R204" s="18"/>
      <c r="S204" s="18"/>
      <c r="T204" s="18"/>
      <c r="U204" s="18"/>
      <c r="V204" s="18"/>
      <c r="W204" s="18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</row>
    <row r="205" spans="1:36" ht="11.25" customHeight="1" x14ac:dyDescent="0.2">
      <c r="A205" s="74" t="s">
        <v>55</v>
      </c>
      <c r="B205" s="74" t="s">
        <v>35</v>
      </c>
      <c r="C205" s="74" t="s">
        <v>39</v>
      </c>
      <c r="D205" s="74" t="s">
        <v>34</v>
      </c>
      <c r="E205" s="74" t="s">
        <v>25</v>
      </c>
      <c r="F205" s="74" t="s">
        <v>25</v>
      </c>
      <c r="G205" s="74" t="s">
        <v>25</v>
      </c>
      <c r="H205" s="74" t="s">
        <v>25</v>
      </c>
      <c r="I205" s="80">
        <v>44743</v>
      </c>
      <c r="J205" s="81">
        <f ca="1">EFEITO!$J$205*EFEITO!$Y$205</f>
        <v>11171.138190867801</v>
      </c>
      <c r="K205" s="81">
        <f>EFEITO!$L$205*EFEITO!$Z$205</f>
        <v>0</v>
      </c>
      <c r="L205" s="81">
        <f>EFEITO!$N$205*EFEITO!$AA$205</f>
        <v>0</v>
      </c>
      <c r="M205" s="81">
        <f ca="1">$J$205-EFEITO!$K$205*EFEITO!$Y$205</f>
        <v>0</v>
      </c>
      <c r="N205" s="81">
        <f>$K$205-EFEITO!$M$205*EFEITO!$Z$205</f>
        <v>0</v>
      </c>
      <c r="O205" s="81">
        <f>$L$205-EFEITO!$O$205*EFEITO!$AA$205</f>
        <v>0</v>
      </c>
      <c r="P205" s="18"/>
      <c r="Q205" s="18"/>
      <c r="R205" s="18"/>
      <c r="S205" s="18"/>
      <c r="T205" s="18"/>
      <c r="U205" s="18"/>
      <c r="V205" s="18"/>
      <c r="W205" s="18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</row>
    <row r="206" spans="1:36" ht="11.25" customHeight="1" x14ac:dyDescent="0.2">
      <c r="A206" s="74" t="s">
        <v>21</v>
      </c>
      <c r="B206" s="74" t="s">
        <v>35</v>
      </c>
      <c r="C206" s="74" t="s">
        <v>39</v>
      </c>
      <c r="D206" s="74" t="s">
        <v>34</v>
      </c>
      <c r="E206" s="74" t="s">
        <v>25</v>
      </c>
      <c r="F206" s="74" t="s">
        <v>25</v>
      </c>
      <c r="G206" s="74" t="s">
        <v>25</v>
      </c>
      <c r="H206" s="74" t="s">
        <v>37</v>
      </c>
      <c r="I206" s="80">
        <v>44409</v>
      </c>
      <c r="J206" s="81">
        <f>EFEITO!$J$206*EFEITO!$Y$206</f>
        <v>0</v>
      </c>
      <c r="K206" s="81">
        <f ca="1">EFEITO!$L$206*EFEITO!$Z$206</f>
        <v>146697.8056350392</v>
      </c>
      <c r="L206" s="81">
        <f>EFEITO!$N$206*EFEITO!$AA$206</f>
        <v>35641.714098779019</v>
      </c>
      <c r="M206" s="81">
        <f>$J$206-EFEITO!$K$206*EFEITO!$Y$206</f>
        <v>0</v>
      </c>
      <c r="N206" s="81">
        <f ca="1">$K$206-EFEITO!$M$206*EFEITO!$Z$206</f>
        <v>0</v>
      </c>
      <c r="O206" s="81">
        <f>$L$206-EFEITO!$O$206*EFEITO!$AA$206</f>
        <v>0</v>
      </c>
      <c r="P206" s="18"/>
      <c r="Q206" s="18"/>
      <c r="R206" s="18"/>
      <c r="S206" s="18"/>
      <c r="T206" s="18"/>
      <c r="U206" s="18"/>
      <c r="V206" s="18"/>
      <c r="W206" s="18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</row>
    <row r="207" spans="1:36" ht="11.25" customHeight="1" x14ac:dyDescent="0.2">
      <c r="A207" s="74" t="s">
        <v>28</v>
      </c>
      <c r="B207" s="74" t="s">
        <v>35</v>
      </c>
      <c r="C207" s="74" t="s">
        <v>39</v>
      </c>
      <c r="D207" s="74" t="s">
        <v>34</v>
      </c>
      <c r="E207" s="74" t="s">
        <v>25</v>
      </c>
      <c r="F207" s="74" t="s">
        <v>25</v>
      </c>
      <c r="G207" s="74" t="s">
        <v>25</v>
      </c>
      <c r="H207" s="74" t="s">
        <v>37</v>
      </c>
      <c r="I207" s="80">
        <v>44409</v>
      </c>
      <c r="J207" s="81">
        <f>EFEITO!$J$207*EFEITO!$Y$207</f>
        <v>0</v>
      </c>
      <c r="K207" s="81">
        <f ca="1">EFEITO!$L$207*EFEITO!$Z$207</f>
        <v>28083.064218639574</v>
      </c>
      <c r="L207" s="81">
        <f>EFEITO!$N$207*EFEITO!$AA$207</f>
        <v>6823.0642003504381</v>
      </c>
      <c r="M207" s="81">
        <f>$J$207-EFEITO!$K$207*EFEITO!$Y$207</f>
        <v>0</v>
      </c>
      <c r="N207" s="81">
        <f ca="1">$K$207-EFEITO!$M$207*EFEITO!$Z$207</f>
        <v>0</v>
      </c>
      <c r="O207" s="81">
        <f>$L$207-EFEITO!$O$207*EFEITO!$AA$207</f>
        <v>0</v>
      </c>
      <c r="P207" s="18"/>
      <c r="Q207" s="18"/>
      <c r="R207" s="18"/>
      <c r="S207" s="18"/>
      <c r="T207" s="18"/>
      <c r="U207" s="18"/>
      <c r="V207" s="18"/>
      <c r="W207" s="18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</row>
    <row r="208" spans="1:36" ht="11.25" customHeight="1" x14ac:dyDescent="0.2">
      <c r="A208" s="74" t="s">
        <v>21</v>
      </c>
      <c r="B208" s="74" t="s">
        <v>35</v>
      </c>
      <c r="C208" s="74" t="s">
        <v>39</v>
      </c>
      <c r="D208" s="74" t="s">
        <v>34</v>
      </c>
      <c r="E208" s="74" t="s">
        <v>25</v>
      </c>
      <c r="F208" s="74" t="s">
        <v>25</v>
      </c>
      <c r="G208" s="74" t="s">
        <v>25</v>
      </c>
      <c r="H208" s="74" t="s">
        <v>37</v>
      </c>
      <c r="I208" s="80">
        <v>44440</v>
      </c>
      <c r="J208" s="81">
        <f>EFEITO!$J$208*EFEITO!$Y$208</f>
        <v>0</v>
      </c>
      <c r="K208" s="81">
        <f ca="1">EFEITO!$L$208*EFEITO!$Z$208</f>
        <v>170375.06855069072</v>
      </c>
      <c r="L208" s="81">
        <f>EFEITO!$N$208*EFEITO!$AA$208</f>
        <v>41394.344356799098</v>
      </c>
      <c r="M208" s="81">
        <f>$J$208-EFEITO!$K$208*EFEITO!$Y$208</f>
        <v>0</v>
      </c>
      <c r="N208" s="81">
        <f ca="1">$K$208-EFEITO!$M$208*EFEITO!$Z$208</f>
        <v>0</v>
      </c>
      <c r="O208" s="81">
        <f>$L$208-EFEITO!$O$208*EFEITO!$AA$208</f>
        <v>0</v>
      </c>
      <c r="P208" s="18"/>
      <c r="Q208" s="18"/>
      <c r="R208" s="18"/>
      <c r="S208" s="18"/>
      <c r="T208" s="18"/>
      <c r="U208" s="18"/>
      <c r="V208" s="18"/>
      <c r="W208" s="18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</row>
    <row r="209" spans="1:36" ht="11.25" customHeight="1" x14ac:dyDescent="0.2">
      <c r="A209" s="74" t="s">
        <v>28</v>
      </c>
      <c r="B209" s="74" t="s">
        <v>35</v>
      </c>
      <c r="C209" s="74" t="s">
        <v>39</v>
      </c>
      <c r="D209" s="74" t="s">
        <v>34</v>
      </c>
      <c r="E209" s="74" t="s">
        <v>25</v>
      </c>
      <c r="F209" s="74" t="s">
        <v>25</v>
      </c>
      <c r="G209" s="74" t="s">
        <v>25</v>
      </c>
      <c r="H209" s="74" t="s">
        <v>37</v>
      </c>
      <c r="I209" s="80">
        <v>44440</v>
      </c>
      <c r="J209" s="81">
        <f>EFEITO!$J$209*EFEITO!$Y$209</f>
        <v>0</v>
      </c>
      <c r="K209" s="81">
        <f ca="1">EFEITO!$L$209*EFEITO!$Z$209</f>
        <v>13511.522125395437</v>
      </c>
      <c r="L209" s="81">
        <f>EFEITO!$N$209*EFEITO!$AA$209</f>
        <v>3282.7608194136878</v>
      </c>
      <c r="M209" s="81">
        <f>$J$209-EFEITO!$K$209*EFEITO!$Y$209</f>
        <v>0</v>
      </c>
      <c r="N209" s="81">
        <f ca="1">$K$209-EFEITO!$M$209*EFEITO!$Z$209</f>
        <v>0</v>
      </c>
      <c r="O209" s="81">
        <f>$L$209-EFEITO!$O$209*EFEITO!$AA$209</f>
        <v>0</v>
      </c>
      <c r="P209" s="18"/>
      <c r="Q209" s="18"/>
      <c r="R209" s="18"/>
      <c r="S209" s="18"/>
      <c r="T209" s="18"/>
      <c r="U209" s="18"/>
      <c r="V209" s="18"/>
      <c r="W209" s="18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</row>
    <row r="210" spans="1:36" ht="11.25" customHeight="1" x14ac:dyDescent="0.2">
      <c r="A210" s="74" t="s">
        <v>21</v>
      </c>
      <c r="B210" s="74" t="s">
        <v>35</v>
      </c>
      <c r="C210" s="74" t="s">
        <v>39</v>
      </c>
      <c r="D210" s="74" t="s">
        <v>34</v>
      </c>
      <c r="E210" s="74" t="s">
        <v>25</v>
      </c>
      <c r="F210" s="74" t="s">
        <v>25</v>
      </c>
      <c r="G210" s="74" t="s">
        <v>25</v>
      </c>
      <c r="H210" s="74" t="s">
        <v>37</v>
      </c>
      <c r="I210" s="80">
        <v>44470</v>
      </c>
      <c r="J210" s="81">
        <f>EFEITO!$J$210*EFEITO!$Y$210</f>
        <v>0</v>
      </c>
      <c r="K210" s="81">
        <f ca="1">EFEITO!$L$210*EFEITO!$Z$210</f>
        <v>142333.807936417</v>
      </c>
      <c r="L210" s="81">
        <f>EFEITO!$N$210*EFEITO!$AA$210</f>
        <v>34581.436764508719</v>
      </c>
      <c r="M210" s="81">
        <f>$J$210-EFEITO!$K$210*EFEITO!$Y$210</f>
        <v>0</v>
      </c>
      <c r="N210" s="81">
        <f ca="1">$K$210-EFEITO!$M$210*EFEITO!$Z$210</f>
        <v>0</v>
      </c>
      <c r="O210" s="81">
        <f>$L$210-EFEITO!$O$210*EFEITO!$AA$210</f>
        <v>0</v>
      </c>
      <c r="P210" s="18"/>
      <c r="Q210" s="18"/>
      <c r="R210" s="18"/>
      <c r="S210" s="18"/>
      <c r="T210" s="18"/>
      <c r="U210" s="18"/>
      <c r="V210" s="18"/>
      <c r="W210" s="18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</row>
    <row r="211" spans="1:36" ht="11.25" customHeight="1" x14ac:dyDescent="0.2">
      <c r="A211" s="74" t="s">
        <v>28</v>
      </c>
      <c r="B211" s="74" t="s">
        <v>35</v>
      </c>
      <c r="C211" s="74" t="s">
        <v>39</v>
      </c>
      <c r="D211" s="74" t="s">
        <v>34</v>
      </c>
      <c r="E211" s="74" t="s">
        <v>25</v>
      </c>
      <c r="F211" s="74" t="s">
        <v>25</v>
      </c>
      <c r="G211" s="74" t="s">
        <v>25</v>
      </c>
      <c r="H211" s="74" t="s">
        <v>37</v>
      </c>
      <c r="I211" s="80">
        <v>44470</v>
      </c>
      <c r="J211" s="81">
        <f>EFEITO!$J$211*EFEITO!$Y$211</f>
        <v>0</v>
      </c>
      <c r="K211" s="81">
        <f ca="1">EFEITO!$L$211*EFEITO!$Z$211</f>
        <v>9187.8350452688974</v>
      </c>
      <c r="L211" s="81">
        <f>EFEITO!$N$211*EFEITO!$AA$211</f>
        <v>2232.2773572013075</v>
      </c>
      <c r="M211" s="81">
        <f>$J$211-EFEITO!$K$211*EFEITO!$Y$211</f>
        <v>0</v>
      </c>
      <c r="N211" s="81">
        <f ca="1">$K$211-EFEITO!$M$211*EFEITO!$Z$211</f>
        <v>0</v>
      </c>
      <c r="O211" s="81">
        <f>$L$211-EFEITO!$O$211*EFEITO!$AA$211</f>
        <v>0</v>
      </c>
      <c r="P211" s="18"/>
      <c r="Q211" s="18"/>
      <c r="R211" s="18"/>
      <c r="S211" s="18"/>
      <c r="T211" s="18"/>
      <c r="U211" s="18"/>
      <c r="V211" s="18"/>
      <c r="W211" s="18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</row>
    <row r="212" spans="1:36" ht="11.25" customHeight="1" x14ac:dyDescent="0.2">
      <c r="A212" s="74" t="s">
        <v>21</v>
      </c>
      <c r="B212" s="74" t="s">
        <v>35</v>
      </c>
      <c r="C212" s="74" t="s">
        <v>39</v>
      </c>
      <c r="D212" s="74" t="s">
        <v>34</v>
      </c>
      <c r="E212" s="74" t="s">
        <v>25</v>
      </c>
      <c r="F212" s="74" t="s">
        <v>25</v>
      </c>
      <c r="G212" s="74" t="s">
        <v>25</v>
      </c>
      <c r="H212" s="74" t="s">
        <v>37</v>
      </c>
      <c r="I212" s="80">
        <v>44501</v>
      </c>
      <c r="J212" s="81">
        <f>EFEITO!$J$212*EFEITO!$Y$212</f>
        <v>0</v>
      </c>
      <c r="K212" s="81">
        <f ca="1">EFEITO!$L$212*EFEITO!$Z$212</f>
        <v>162014.34767751786</v>
      </c>
      <c r="L212" s="81">
        <f>EFEITO!$N$212*EFEITO!$AA$212</f>
        <v>39363.022744786205</v>
      </c>
      <c r="M212" s="81">
        <f>$J$212-EFEITO!$K$212*EFEITO!$Y$212</f>
        <v>0</v>
      </c>
      <c r="N212" s="81">
        <f ca="1">$K$212-EFEITO!$M$212*EFEITO!$Z$212</f>
        <v>0</v>
      </c>
      <c r="O212" s="81">
        <f>$L$212-EFEITO!$O$212*EFEITO!$AA$212</f>
        <v>0</v>
      </c>
      <c r="P212" s="18"/>
      <c r="Q212" s="18"/>
      <c r="R212" s="18"/>
      <c r="S212" s="18"/>
      <c r="T212" s="18"/>
      <c r="U212" s="18"/>
      <c r="V212" s="18"/>
      <c r="W212" s="18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</row>
    <row r="213" spans="1:36" ht="11.25" customHeight="1" x14ac:dyDescent="0.2">
      <c r="A213" s="74" t="s">
        <v>28</v>
      </c>
      <c r="B213" s="74" t="s">
        <v>35</v>
      </c>
      <c r="C213" s="74" t="s">
        <v>39</v>
      </c>
      <c r="D213" s="74" t="s">
        <v>34</v>
      </c>
      <c r="E213" s="74" t="s">
        <v>25</v>
      </c>
      <c r="F213" s="74" t="s">
        <v>25</v>
      </c>
      <c r="G213" s="74" t="s">
        <v>25</v>
      </c>
      <c r="H213" s="74" t="s">
        <v>37</v>
      </c>
      <c r="I213" s="80">
        <v>44501</v>
      </c>
      <c r="J213" s="81">
        <f>EFEITO!$J$213*EFEITO!$Y$213</f>
        <v>0</v>
      </c>
      <c r="K213" s="81">
        <f ca="1">EFEITO!$L$213*EFEITO!$Z$213</f>
        <v>19668.595854139166</v>
      </c>
      <c r="L213" s="81">
        <f>EFEITO!$N$213*EFEITO!$AA$213</f>
        <v>4778.6840922603224</v>
      </c>
      <c r="M213" s="81">
        <f>$J$213-EFEITO!$K$213*EFEITO!$Y$213</f>
        <v>0</v>
      </c>
      <c r="N213" s="81">
        <f ca="1">$K$213-EFEITO!$M$213*EFEITO!$Z$213</f>
        <v>0</v>
      </c>
      <c r="O213" s="81">
        <f>$L$213-EFEITO!$O$213*EFEITO!$AA$213</f>
        <v>0</v>
      </c>
      <c r="P213" s="18"/>
      <c r="Q213" s="18"/>
      <c r="R213" s="18"/>
      <c r="S213" s="18"/>
      <c r="T213" s="18"/>
      <c r="U213" s="18"/>
      <c r="V213" s="18"/>
      <c r="W213" s="18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</row>
    <row r="214" spans="1:36" ht="11.25" customHeight="1" x14ac:dyDescent="0.2">
      <c r="A214" s="74" t="s">
        <v>21</v>
      </c>
      <c r="B214" s="74" t="s">
        <v>35</v>
      </c>
      <c r="C214" s="74" t="s">
        <v>39</v>
      </c>
      <c r="D214" s="74" t="s">
        <v>34</v>
      </c>
      <c r="E214" s="74" t="s">
        <v>25</v>
      </c>
      <c r="F214" s="74" t="s">
        <v>25</v>
      </c>
      <c r="G214" s="74" t="s">
        <v>25</v>
      </c>
      <c r="H214" s="74" t="s">
        <v>37</v>
      </c>
      <c r="I214" s="80">
        <v>44531</v>
      </c>
      <c r="J214" s="81">
        <f>EFEITO!$J$214*EFEITO!$Y$214</f>
        <v>0</v>
      </c>
      <c r="K214" s="81">
        <f ca="1">EFEITO!$L$214*EFEITO!$Z$214</f>
        <v>177172.63321775431</v>
      </c>
      <c r="L214" s="81">
        <f>EFEITO!$N$214*EFEITO!$AA$214</f>
        <v>43045.881374566001</v>
      </c>
      <c r="M214" s="81">
        <f>$J$214-EFEITO!$K$214*EFEITO!$Y$214</f>
        <v>0</v>
      </c>
      <c r="N214" s="81">
        <f ca="1">$K$214-EFEITO!$M$214*EFEITO!$Z$214</f>
        <v>0</v>
      </c>
      <c r="O214" s="81">
        <f>$L$214-EFEITO!$O$214*EFEITO!$AA$214</f>
        <v>0</v>
      </c>
      <c r="P214" s="18"/>
      <c r="Q214" s="18"/>
      <c r="R214" s="18"/>
      <c r="S214" s="18"/>
      <c r="T214" s="18"/>
      <c r="U214" s="18"/>
      <c r="V214" s="18"/>
      <c r="W214" s="18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</row>
    <row r="215" spans="1:36" ht="11.25" customHeight="1" x14ac:dyDescent="0.2">
      <c r="A215" s="74" t="s">
        <v>28</v>
      </c>
      <c r="B215" s="74" t="s">
        <v>35</v>
      </c>
      <c r="C215" s="74" t="s">
        <v>39</v>
      </c>
      <c r="D215" s="74" t="s">
        <v>34</v>
      </c>
      <c r="E215" s="74" t="s">
        <v>25</v>
      </c>
      <c r="F215" s="74" t="s">
        <v>25</v>
      </c>
      <c r="G215" s="74" t="s">
        <v>25</v>
      </c>
      <c r="H215" s="74" t="s">
        <v>37</v>
      </c>
      <c r="I215" s="80">
        <v>44531</v>
      </c>
      <c r="J215" s="81">
        <f>EFEITO!$J$215*EFEITO!$Y$215</f>
        <v>0</v>
      </c>
      <c r="K215" s="81">
        <f ca="1">EFEITO!$L$215*EFEITO!$Z$215</f>
        <v>25692.79384043426</v>
      </c>
      <c r="L215" s="81">
        <f>EFEITO!$N$215*EFEITO!$AA$215</f>
        <v>6242.3238609160389</v>
      </c>
      <c r="M215" s="81">
        <f>$J$215-EFEITO!$K$215*EFEITO!$Y$215</f>
        <v>0</v>
      </c>
      <c r="N215" s="81">
        <f ca="1">$K$215-EFEITO!$M$215*EFEITO!$Z$215</f>
        <v>0</v>
      </c>
      <c r="O215" s="81">
        <f>$L$215-EFEITO!$O$215*EFEITO!$AA$215</f>
        <v>0</v>
      </c>
      <c r="P215" s="18"/>
      <c r="Q215" s="18"/>
      <c r="R215" s="18"/>
      <c r="S215" s="18"/>
      <c r="T215" s="18"/>
      <c r="U215" s="18"/>
      <c r="V215" s="18"/>
      <c r="W215" s="18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</row>
    <row r="216" spans="1:36" ht="11.25" customHeight="1" x14ac:dyDescent="0.2">
      <c r="A216" s="74" t="s">
        <v>21</v>
      </c>
      <c r="B216" s="74" t="s">
        <v>35</v>
      </c>
      <c r="C216" s="74" t="s">
        <v>39</v>
      </c>
      <c r="D216" s="74" t="s">
        <v>34</v>
      </c>
      <c r="E216" s="74" t="s">
        <v>25</v>
      </c>
      <c r="F216" s="74" t="s">
        <v>25</v>
      </c>
      <c r="G216" s="74" t="s">
        <v>25</v>
      </c>
      <c r="H216" s="74" t="s">
        <v>37</v>
      </c>
      <c r="I216" s="80">
        <v>44562</v>
      </c>
      <c r="J216" s="81">
        <f>EFEITO!$J$216*EFEITO!$Y$216</f>
        <v>0</v>
      </c>
      <c r="K216" s="81">
        <f ca="1">EFEITO!$L$216*EFEITO!$Z$216</f>
        <v>195545.31733655167</v>
      </c>
      <c r="L216" s="81">
        <f>EFEITO!$N$216*EFEITO!$AA$216</f>
        <v>47509.71061696433</v>
      </c>
      <c r="M216" s="81">
        <f>$J$216-EFEITO!$K$216*EFEITO!$Y$216</f>
        <v>0</v>
      </c>
      <c r="N216" s="81">
        <f ca="1">$K$216-EFEITO!$M$216*EFEITO!$Z$216</f>
        <v>0</v>
      </c>
      <c r="O216" s="81">
        <f>$L$216-EFEITO!$O$216*EFEITO!$AA$216</f>
        <v>0</v>
      </c>
      <c r="P216" s="18"/>
      <c r="Q216" s="18"/>
      <c r="R216" s="18"/>
      <c r="S216" s="18"/>
      <c r="T216" s="18"/>
      <c r="U216" s="18"/>
      <c r="V216" s="18"/>
      <c r="W216" s="18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</row>
    <row r="217" spans="1:36" ht="11.25" customHeight="1" x14ac:dyDescent="0.2">
      <c r="A217" s="74" t="s">
        <v>28</v>
      </c>
      <c r="B217" s="74" t="s">
        <v>35</v>
      </c>
      <c r="C217" s="74" t="s">
        <v>39</v>
      </c>
      <c r="D217" s="74" t="s">
        <v>34</v>
      </c>
      <c r="E217" s="74" t="s">
        <v>25</v>
      </c>
      <c r="F217" s="74" t="s">
        <v>25</v>
      </c>
      <c r="G217" s="74" t="s">
        <v>25</v>
      </c>
      <c r="H217" s="74" t="s">
        <v>37</v>
      </c>
      <c r="I217" s="80">
        <v>44562</v>
      </c>
      <c r="J217" s="81">
        <f>EFEITO!$J$217*EFEITO!$Y$217</f>
        <v>0</v>
      </c>
      <c r="K217" s="81">
        <f ca="1">EFEITO!$L$217*EFEITO!$Z$217</f>
        <v>16264.588070061645</v>
      </c>
      <c r="L217" s="81">
        <f>EFEITO!$N$217*EFEITO!$AA$217</f>
        <v>3951.6460073693606</v>
      </c>
      <c r="M217" s="81">
        <f>$J$217-EFEITO!$K$217*EFEITO!$Y$217</f>
        <v>0</v>
      </c>
      <c r="N217" s="81">
        <f ca="1">$K$217-EFEITO!$M$217*EFEITO!$Z$217</f>
        <v>0</v>
      </c>
      <c r="O217" s="81">
        <f>$L$217-EFEITO!$O$217*EFEITO!$AA$217</f>
        <v>0</v>
      </c>
      <c r="P217" s="18"/>
      <c r="Q217" s="18"/>
      <c r="R217" s="18"/>
      <c r="S217" s="18"/>
      <c r="T217" s="18"/>
      <c r="U217" s="18"/>
      <c r="V217" s="18"/>
      <c r="W217" s="18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</row>
    <row r="218" spans="1:36" ht="11.25" customHeight="1" x14ac:dyDescent="0.2">
      <c r="A218" s="74" t="s">
        <v>21</v>
      </c>
      <c r="B218" s="74" t="s">
        <v>35</v>
      </c>
      <c r="C218" s="74" t="s">
        <v>39</v>
      </c>
      <c r="D218" s="74" t="s">
        <v>34</v>
      </c>
      <c r="E218" s="74" t="s">
        <v>25</v>
      </c>
      <c r="F218" s="74" t="s">
        <v>25</v>
      </c>
      <c r="G218" s="74" t="s">
        <v>25</v>
      </c>
      <c r="H218" s="74" t="s">
        <v>37</v>
      </c>
      <c r="I218" s="80">
        <v>44593</v>
      </c>
      <c r="J218" s="81">
        <f>EFEITO!$J$218*EFEITO!$Y$218</f>
        <v>0</v>
      </c>
      <c r="K218" s="81">
        <f ca="1">EFEITO!$L$218*EFEITO!$Z$218</f>
        <v>220402.03908966866</v>
      </c>
      <c r="L218" s="81">
        <f>EFEITO!$N$218*EFEITO!$AA$218</f>
        <v>53548.902316679079</v>
      </c>
      <c r="M218" s="81">
        <f>$J$218-EFEITO!$K$218*EFEITO!$Y$218</f>
        <v>0</v>
      </c>
      <c r="N218" s="81">
        <f ca="1">$K$218-EFEITO!$M$218*EFEITO!$Z$218</f>
        <v>0</v>
      </c>
      <c r="O218" s="81">
        <f>$L$218-EFEITO!$O$218*EFEITO!$AA$218</f>
        <v>0</v>
      </c>
      <c r="P218" s="18"/>
      <c r="Q218" s="18"/>
      <c r="R218" s="18"/>
      <c r="S218" s="18"/>
      <c r="T218" s="18"/>
      <c r="U218" s="18"/>
      <c r="V218" s="18"/>
      <c r="W218" s="18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</row>
    <row r="219" spans="1:36" ht="11.25" customHeight="1" x14ac:dyDescent="0.2">
      <c r="A219" s="74" t="s">
        <v>28</v>
      </c>
      <c r="B219" s="74" t="s">
        <v>35</v>
      </c>
      <c r="C219" s="74" t="s">
        <v>39</v>
      </c>
      <c r="D219" s="74" t="s">
        <v>34</v>
      </c>
      <c r="E219" s="74" t="s">
        <v>25</v>
      </c>
      <c r="F219" s="74" t="s">
        <v>25</v>
      </c>
      <c r="G219" s="74" t="s">
        <v>25</v>
      </c>
      <c r="H219" s="74" t="s">
        <v>37</v>
      </c>
      <c r="I219" s="80">
        <v>44593</v>
      </c>
      <c r="J219" s="81">
        <f>EFEITO!$J$219*EFEITO!$Y$219</f>
        <v>0</v>
      </c>
      <c r="K219" s="81">
        <f ca="1">EFEITO!$L$219*EFEITO!$Z$219</f>
        <v>16498.986851684527</v>
      </c>
      <c r="L219" s="81">
        <f>EFEITO!$N$219*EFEITO!$AA$219</f>
        <v>4008.5955597061507</v>
      </c>
      <c r="M219" s="81">
        <f>$J$219-EFEITO!$K$219*EFEITO!$Y$219</f>
        <v>0</v>
      </c>
      <c r="N219" s="81">
        <f ca="1">$K$219-EFEITO!$M$219*EFEITO!$Z$219</f>
        <v>0</v>
      </c>
      <c r="O219" s="81">
        <f>$L$219-EFEITO!$O$219*EFEITO!$AA$219</f>
        <v>0</v>
      </c>
      <c r="P219" s="18"/>
      <c r="Q219" s="18"/>
      <c r="R219" s="18"/>
      <c r="S219" s="18"/>
      <c r="T219" s="18"/>
      <c r="U219" s="18"/>
      <c r="V219" s="18"/>
      <c r="W219" s="18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</row>
    <row r="220" spans="1:36" ht="11.25" customHeight="1" x14ac:dyDescent="0.2">
      <c r="A220" s="74" t="s">
        <v>21</v>
      </c>
      <c r="B220" s="74" t="s">
        <v>35</v>
      </c>
      <c r="C220" s="74" t="s">
        <v>39</v>
      </c>
      <c r="D220" s="74" t="s">
        <v>34</v>
      </c>
      <c r="E220" s="74" t="s">
        <v>25</v>
      </c>
      <c r="F220" s="74" t="s">
        <v>25</v>
      </c>
      <c r="G220" s="74" t="s">
        <v>25</v>
      </c>
      <c r="H220" s="74" t="s">
        <v>37</v>
      </c>
      <c r="I220" s="80">
        <v>44621</v>
      </c>
      <c r="J220" s="81">
        <f>EFEITO!$J$220*EFEITO!$Y$220</f>
        <v>0</v>
      </c>
      <c r="K220" s="81">
        <f ca="1">EFEITO!$L$220*EFEITO!$Z$220</f>
        <v>238116.31643970366</v>
      </c>
      <c r="L220" s="81">
        <f>EFEITO!$N$220*EFEITO!$AA$220</f>
        <v>57852.76498213139</v>
      </c>
      <c r="M220" s="81">
        <f>$J$220-EFEITO!$K$220*EFEITO!$Y$220</f>
        <v>0</v>
      </c>
      <c r="N220" s="81">
        <f ca="1">$K$220-EFEITO!$M$220*EFEITO!$Z$220</f>
        <v>0</v>
      </c>
      <c r="O220" s="81">
        <f>$L$220-EFEITO!$O$220*EFEITO!$AA$220</f>
        <v>0</v>
      </c>
      <c r="P220" s="18"/>
      <c r="Q220" s="18"/>
      <c r="R220" s="18"/>
      <c r="S220" s="18"/>
      <c r="T220" s="18"/>
      <c r="U220" s="18"/>
      <c r="V220" s="18"/>
      <c r="W220" s="18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</row>
    <row r="221" spans="1:36" ht="11.25" customHeight="1" x14ac:dyDescent="0.2">
      <c r="A221" s="74" t="s">
        <v>28</v>
      </c>
      <c r="B221" s="74" t="s">
        <v>35</v>
      </c>
      <c r="C221" s="74" t="s">
        <v>39</v>
      </c>
      <c r="D221" s="74" t="s">
        <v>34</v>
      </c>
      <c r="E221" s="74" t="s">
        <v>25</v>
      </c>
      <c r="F221" s="74" t="s">
        <v>25</v>
      </c>
      <c r="G221" s="74" t="s">
        <v>25</v>
      </c>
      <c r="H221" s="74" t="s">
        <v>37</v>
      </c>
      <c r="I221" s="80">
        <v>44621</v>
      </c>
      <c r="J221" s="81">
        <f>EFEITO!$J$221*EFEITO!$Y$221</f>
        <v>0</v>
      </c>
      <c r="K221" s="81">
        <f ca="1">EFEITO!$L$221*EFEITO!$Z$221</f>
        <v>21900.609730102282</v>
      </c>
      <c r="L221" s="81">
        <f>EFEITO!$N$221*EFEITO!$AA$221</f>
        <v>5320.9744154673353</v>
      </c>
      <c r="M221" s="81">
        <f>$J$221-EFEITO!$K$221*EFEITO!$Y$221</f>
        <v>0</v>
      </c>
      <c r="N221" s="81">
        <f ca="1">$K$221-EFEITO!$M$221*EFEITO!$Z$221</f>
        <v>0</v>
      </c>
      <c r="O221" s="81">
        <f>$L$221-EFEITO!$O$221*EFEITO!$AA$221</f>
        <v>0</v>
      </c>
      <c r="P221" s="18"/>
      <c r="Q221" s="18"/>
      <c r="R221" s="18"/>
      <c r="S221" s="18"/>
      <c r="T221" s="18"/>
      <c r="U221" s="18"/>
      <c r="V221" s="18"/>
      <c r="W221" s="18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</row>
    <row r="222" spans="1:36" ht="11.25" customHeight="1" x14ac:dyDescent="0.2">
      <c r="A222" s="74" t="s">
        <v>21</v>
      </c>
      <c r="B222" s="74" t="s">
        <v>35</v>
      </c>
      <c r="C222" s="74" t="s">
        <v>39</v>
      </c>
      <c r="D222" s="74" t="s">
        <v>34</v>
      </c>
      <c r="E222" s="74" t="s">
        <v>25</v>
      </c>
      <c r="F222" s="74" t="s">
        <v>25</v>
      </c>
      <c r="G222" s="74" t="s">
        <v>25</v>
      </c>
      <c r="H222" s="74" t="s">
        <v>37</v>
      </c>
      <c r="I222" s="80">
        <v>44652</v>
      </c>
      <c r="J222" s="81">
        <f>EFEITO!$J$222*EFEITO!$Y$222</f>
        <v>0</v>
      </c>
      <c r="K222" s="81">
        <f ca="1">EFEITO!$L$222*EFEITO!$Z$222</f>
        <v>210409.48466035686</v>
      </c>
      <c r="L222" s="81">
        <f>EFEITO!$N$222*EFEITO!$AA$222</f>
        <v>51121.110254321524</v>
      </c>
      <c r="M222" s="81">
        <f>$J$222-EFEITO!$K$222*EFEITO!$Y$222</f>
        <v>0</v>
      </c>
      <c r="N222" s="81">
        <f ca="1">$K$222-EFEITO!$M$222*EFEITO!$Z$222</f>
        <v>0</v>
      </c>
      <c r="O222" s="81">
        <f>$L$222-EFEITO!$O$222*EFEITO!$AA$222</f>
        <v>0</v>
      </c>
      <c r="P222" s="18"/>
      <c r="Q222" s="18"/>
      <c r="R222" s="18"/>
      <c r="S222" s="18"/>
      <c r="T222" s="18"/>
      <c r="U222" s="18"/>
      <c r="V222" s="18"/>
      <c r="W222" s="18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</row>
    <row r="223" spans="1:36" ht="11.25" customHeight="1" x14ac:dyDescent="0.2">
      <c r="A223" s="74" t="s">
        <v>28</v>
      </c>
      <c r="B223" s="74" t="s">
        <v>35</v>
      </c>
      <c r="C223" s="74" t="s">
        <v>39</v>
      </c>
      <c r="D223" s="74" t="s">
        <v>34</v>
      </c>
      <c r="E223" s="74" t="s">
        <v>25</v>
      </c>
      <c r="F223" s="74" t="s">
        <v>25</v>
      </c>
      <c r="G223" s="74" t="s">
        <v>25</v>
      </c>
      <c r="H223" s="74" t="s">
        <v>37</v>
      </c>
      <c r="I223" s="80">
        <v>44652</v>
      </c>
      <c r="J223" s="81">
        <f>EFEITO!$J$223*EFEITO!$Y$223</f>
        <v>0</v>
      </c>
      <c r="K223" s="81">
        <f ca="1">EFEITO!$L$223*EFEITO!$Z$223</f>
        <v>19537.21309756074</v>
      </c>
      <c r="L223" s="81">
        <f>EFEITO!$N$223*EFEITO!$AA$223</f>
        <v>4746.7633240715486</v>
      </c>
      <c r="M223" s="81">
        <f>$J$223-EFEITO!$K$223*EFEITO!$Y$223</f>
        <v>0</v>
      </c>
      <c r="N223" s="81">
        <f ca="1">$K$223-EFEITO!$M$223*EFEITO!$Z$223</f>
        <v>0</v>
      </c>
      <c r="O223" s="81">
        <f>$L$223-EFEITO!$O$223*EFEITO!$AA$223</f>
        <v>0</v>
      </c>
      <c r="P223" s="18"/>
      <c r="Q223" s="18"/>
      <c r="R223" s="18"/>
      <c r="S223" s="18"/>
      <c r="T223" s="18"/>
      <c r="U223" s="18"/>
      <c r="V223" s="18"/>
      <c r="W223" s="18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</row>
    <row r="224" spans="1:36" ht="11.25" customHeight="1" x14ac:dyDescent="0.2">
      <c r="A224" s="74" t="s">
        <v>21</v>
      </c>
      <c r="B224" s="74" t="s">
        <v>35</v>
      </c>
      <c r="C224" s="74" t="s">
        <v>39</v>
      </c>
      <c r="D224" s="74" t="s">
        <v>34</v>
      </c>
      <c r="E224" s="74" t="s">
        <v>25</v>
      </c>
      <c r="F224" s="74" t="s">
        <v>25</v>
      </c>
      <c r="G224" s="74" t="s">
        <v>25</v>
      </c>
      <c r="H224" s="74" t="s">
        <v>37</v>
      </c>
      <c r="I224" s="80">
        <v>44682</v>
      </c>
      <c r="J224" s="81">
        <f>EFEITO!$J$224*EFEITO!$Y$224</f>
        <v>0</v>
      </c>
      <c r="K224" s="81">
        <f ca="1">EFEITO!$L$224*EFEITO!$Z$224</f>
        <v>239061.37649554622</v>
      </c>
      <c r="L224" s="81">
        <f>EFEITO!$N$224*EFEITO!$AA$224</f>
        <v>58082.376871489272</v>
      </c>
      <c r="M224" s="81">
        <f>$J$224-EFEITO!$K$224*EFEITO!$Y$224</f>
        <v>0</v>
      </c>
      <c r="N224" s="81">
        <f ca="1">$K$224-EFEITO!$M$224*EFEITO!$Z$224</f>
        <v>0</v>
      </c>
      <c r="O224" s="81">
        <f>$L$224-EFEITO!$O$224*EFEITO!$AA$224</f>
        <v>0</v>
      </c>
      <c r="P224" s="18"/>
      <c r="Q224" s="18"/>
      <c r="R224" s="18"/>
      <c r="S224" s="18"/>
      <c r="T224" s="18"/>
      <c r="U224" s="18"/>
      <c r="V224" s="18"/>
      <c r="W224" s="18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</row>
    <row r="225" spans="1:36" ht="11.25" customHeight="1" x14ac:dyDescent="0.2">
      <c r="A225" s="74" t="s">
        <v>28</v>
      </c>
      <c r="B225" s="74" t="s">
        <v>35</v>
      </c>
      <c r="C225" s="74" t="s">
        <v>39</v>
      </c>
      <c r="D225" s="74" t="s">
        <v>34</v>
      </c>
      <c r="E225" s="74" t="s">
        <v>25</v>
      </c>
      <c r="F225" s="74" t="s">
        <v>25</v>
      </c>
      <c r="G225" s="74" t="s">
        <v>25</v>
      </c>
      <c r="H225" s="74" t="s">
        <v>37</v>
      </c>
      <c r="I225" s="80">
        <v>44682</v>
      </c>
      <c r="J225" s="81">
        <f>EFEITO!$J$225*EFEITO!$Y$225</f>
        <v>0</v>
      </c>
      <c r="K225" s="81">
        <f ca="1">EFEITO!$L$225*EFEITO!$Z$225</f>
        <v>24346.120585505345</v>
      </c>
      <c r="L225" s="81">
        <f>EFEITO!$N$225*EFEITO!$AA$225</f>
        <v>5915.1359869811049</v>
      </c>
      <c r="M225" s="81">
        <f>$J$225-EFEITO!$K$225*EFEITO!$Y$225</f>
        <v>0</v>
      </c>
      <c r="N225" s="81">
        <f ca="1">$K$225-EFEITO!$M$225*EFEITO!$Z$225</f>
        <v>0</v>
      </c>
      <c r="O225" s="81">
        <f>$L$225-EFEITO!$O$225*EFEITO!$AA$225</f>
        <v>0</v>
      </c>
      <c r="P225" s="18"/>
      <c r="Q225" s="18"/>
      <c r="R225" s="18"/>
      <c r="S225" s="18"/>
      <c r="T225" s="18"/>
      <c r="U225" s="18"/>
      <c r="V225" s="18"/>
      <c r="W225" s="18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</row>
    <row r="226" spans="1:36" ht="11.25" customHeight="1" x14ac:dyDescent="0.2">
      <c r="A226" s="74" t="s">
        <v>21</v>
      </c>
      <c r="B226" s="74" t="s">
        <v>35</v>
      </c>
      <c r="C226" s="74" t="s">
        <v>39</v>
      </c>
      <c r="D226" s="74" t="s">
        <v>34</v>
      </c>
      <c r="E226" s="74" t="s">
        <v>25</v>
      </c>
      <c r="F226" s="74" t="s">
        <v>25</v>
      </c>
      <c r="G226" s="74" t="s">
        <v>25</v>
      </c>
      <c r="H226" s="74" t="s">
        <v>37</v>
      </c>
      <c r="I226" s="80">
        <v>44713</v>
      </c>
      <c r="J226" s="81">
        <f>EFEITO!$J$226*EFEITO!$Y$226</f>
        <v>0</v>
      </c>
      <c r="K226" s="81">
        <f ca="1">EFEITO!$L$226*EFEITO!$Z$226</f>
        <v>253050.65409940868</v>
      </c>
      <c r="L226" s="81">
        <f>EFEITO!$N$226*EFEITO!$AA$226</f>
        <v>61481.213211589413</v>
      </c>
      <c r="M226" s="81">
        <f>$J$226-EFEITO!$K$226*EFEITO!$Y$226</f>
        <v>0</v>
      </c>
      <c r="N226" s="81">
        <f ca="1">$K$226-EFEITO!$M$226*EFEITO!$Z$226</f>
        <v>0</v>
      </c>
      <c r="O226" s="81">
        <f>$L$226-EFEITO!$O$226*EFEITO!$AA$226</f>
        <v>0</v>
      </c>
      <c r="P226" s="18"/>
      <c r="Q226" s="18"/>
      <c r="R226" s="18"/>
      <c r="S226" s="18"/>
      <c r="T226" s="18"/>
      <c r="U226" s="18"/>
      <c r="V226" s="18"/>
      <c r="W226" s="18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</row>
    <row r="227" spans="1:36" ht="11.25" customHeight="1" x14ac:dyDescent="0.2">
      <c r="A227" s="74" t="s">
        <v>28</v>
      </c>
      <c r="B227" s="74" t="s">
        <v>35</v>
      </c>
      <c r="C227" s="74" t="s">
        <v>39</v>
      </c>
      <c r="D227" s="74" t="s">
        <v>34</v>
      </c>
      <c r="E227" s="74" t="s">
        <v>25</v>
      </c>
      <c r="F227" s="74" t="s">
        <v>25</v>
      </c>
      <c r="G227" s="74" t="s">
        <v>25</v>
      </c>
      <c r="H227" s="74" t="s">
        <v>37</v>
      </c>
      <c r="I227" s="80">
        <v>44713</v>
      </c>
      <c r="J227" s="81">
        <f>EFEITO!$J$227*EFEITO!$Y$227</f>
        <v>0</v>
      </c>
      <c r="K227" s="81">
        <f ca="1">EFEITO!$L$227*EFEITO!$Z$227</f>
        <v>18454.798341658894</v>
      </c>
      <c r="L227" s="81">
        <f>EFEITO!$N$227*EFEITO!$AA$227</f>
        <v>4483.7797225163085</v>
      </c>
      <c r="M227" s="81">
        <f>$J$227-EFEITO!$K$227*EFEITO!$Y$227</f>
        <v>0</v>
      </c>
      <c r="N227" s="81">
        <f ca="1">$K$227-EFEITO!$M$227*EFEITO!$Z$227</f>
        <v>0</v>
      </c>
      <c r="O227" s="81">
        <f>$L$227-EFEITO!$O$227*EFEITO!$AA$227</f>
        <v>0</v>
      </c>
      <c r="P227" s="18"/>
      <c r="Q227" s="18"/>
      <c r="R227" s="18"/>
      <c r="S227" s="18"/>
      <c r="T227" s="18"/>
      <c r="U227" s="18"/>
      <c r="V227" s="18"/>
      <c r="W227" s="18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</row>
    <row r="228" spans="1:36" ht="11.25" customHeight="1" x14ac:dyDescent="0.2">
      <c r="A228" s="74" t="s">
        <v>55</v>
      </c>
      <c r="B228" s="74" t="s">
        <v>35</v>
      </c>
      <c r="C228" s="74" t="s">
        <v>39</v>
      </c>
      <c r="D228" s="74" t="s">
        <v>34</v>
      </c>
      <c r="E228" s="74" t="s">
        <v>25</v>
      </c>
      <c r="F228" s="74" t="s">
        <v>25</v>
      </c>
      <c r="G228" s="74" t="s">
        <v>25</v>
      </c>
      <c r="H228" s="74" t="s">
        <v>37</v>
      </c>
      <c r="I228" s="80">
        <v>44743</v>
      </c>
      <c r="J228" s="81">
        <f>EFEITO!$J$228*EFEITO!$Y$228</f>
        <v>0</v>
      </c>
      <c r="K228" s="81">
        <f ca="1">EFEITO!$L$228*EFEITO!$Z$228</f>
        <v>253050.65409940868</v>
      </c>
      <c r="L228" s="81">
        <f>EFEITO!$N$228*EFEITO!$AA$228</f>
        <v>61481.213211589413</v>
      </c>
      <c r="M228" s="81">
        <f>$J$228-EFEITO!$K$228*EFEITO!$Y$228</f>
        <v>0</v>
      </c>
      <c r="N228" s="81">
        <f ca="1">$K$228-EFEITO!$M$228*EFEITO!$Z$228</f>
        <v>0</v>
      </c>
      <c r="O228" s="81">
        <f>$L$228-EFEITO!$O$228*EFEITO!$AA$228</f>
        <v>0</v>
      </c>
      <c r="P228" s="18"/>
      <c r="Q228" s="18"/>
      <c r="R228" s="18"/>
      <c r="S228" s="18"/>
      <c r="T228" s="18"/>
      <c r="U228" s="18"/>
      <c r="V228" s="18"/>
      <c r="W228" s="18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</row>
    <row r="229" spans="1:36" ht="11.25" customHeight="1" x14ac:dyDescent="0.2">
      <c r="A229" s="74" t="s">
        <v>55</v>
      </c>
      <c r="B229" s="74" t="s">
        <v>35</v>
      </c>
      <c r="C229" s="74" t="s">
        <v>39</v>
      </c>
      <c r="D229" s="74" t="s">
        <v>34</v>
      </c>
      <c r="E229" s="74" t="s">
        <v>25</v>
      </c>
      <c r="F229" s="74" t="s">
        <v>25</v>
      </c>
      <c r="G229" s="74" t="s">
        <v>25</v>
      </c>
      <c r="H229" s="74" t="s">
        <v>37</v>
      </c>
      <c r="I229" s="80">
        <v>44743</v>
      </c>
      <c r="J229" s="81">
        <f>EFEITO!$J$229*EFEITO!$Y$229</f>
        <v>0</v>
      </c>
      <c r="K229" s="81">
        <f ca="1">EFEITO!$L$229*EFEITO!$Z$229</f>
        <v>18454.798341658894</v>
      </c>
      <c r="L229" s="81">
        <f>EFEITO!$N$229*EFEITO!$AA$229</f>
        <v>4483.7797225163085</v>
      </c>
      <c r="M229" s="81">
        <f>$J$229-EFEITO!$K$229*EFEITO!$Y$229</f>
        <v>0</v>
      </c>
      <c r="N229" s="81">
        <f ca="1">$K$229-EFEITO!$M$229*EFEITO!$Z$229</f>
        <v>0</v>
      </c>
      <c r="O229" s="81">
        <f>$L$229-EFEITO!$O$229*EFEITO!$AA$229</f>
        <v>0</v>
      </c>
      <c r="P229" s="18"/>
      <c r="Q229" s="18"/>
      <c r="R229" s="18"/>
      <c r="S229" s="18"/>
      <c r="T229" s="18"/>
      <c r="U229" s="18"/>
      <c r="V229" s="18"/>
      <c r="W229" s="18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</row>
    <row r="230" spans="1:36" ht="11.25" customHeight="1" x14ac:dyDescent="0.2">
      <c r="A230" s="74" t="s">
        <v>21</v>
      </c>
      <c r="B230" s="74" t="s">
        <v>35</v>
      </c>
      <c r="C230" s="74" t="s">
        <v>39</v>
      </c>
      <c r="D230" s="74" t="s">
        <v>43</v>
      </c>
      <c r="E230" s="74" t="s">
        <v>25</v>
      </c>
      <c r="F230" s="74" t="s">
        <v>25</v>
      </c>
      <c r="G230" s="74" t="s">
        <v>25</v>
      </c>
      <c r="H230" s="74" t="s">
        <v>38</v>
      </c>
      <c r="I230" s="80">
        <v>44409</v>
      </c>
      <c r="J230" s="81">
        <f>EFEITO!$J$230*EFEITO!$Y$230</f>
        <v>0</v>
      </c>
      <c r="K230" s="81">
        <f ca="1">EFEITO!$L$230*EFEITO!$Z$230</f>
        <v>2607.0423009766196</v>
      </c>
      <c r="L230" s="81">
        <f>EFEITO!$N$230*EFEITO!$AA$230</f>
        <v>4933.8532181881565</v>
      </c>
      <c r="M230" s="81">
        <f>$J$230-EFEITO!$K$230*EFEITO!$Y$230</f>
        <v>0</v>
      </c>
      <c r="N230" s="81">
        <f ca="1">$K$230-EFEITO!$M$230*EFEITO!$Z$230</f>
        <v>0</v>
      </c>
      <c r="O230" s="81">
        <f>$L$230-EFEITO!$O$230*EFEITO!$AA$230</f>
        <v>0</v>
      </c>
      <c r="P230" s="18"/>
      <c r="Q230" s="18"/>
      <c r="R230" s="18"/>
      <c r="S230" s="18"/>
      <c r="T230" s="18"/>
      <c r="U230" s="18"/>
      <c r="V230" s="18"/>
      <c r="W230" s="18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</row>
    <row r="231" spans="1:36" ht="11.25" customHeight="1" x14ac:dyDescent="0.2">
      <c r="A231" s="74" t="s">
        <v>21</v>
      </c>
      <c r="B231" s="74" t="s">
        <v>35</v>
      </c>
      <c r="C231" s="74" t="s">
        <v>39</v>
      </c>
      <c r="D231" s="74" t="s">
        <v>43</v>
      </c>
      <c r="E231" s="74" t="s">
        <v>25</v>
      </c>
      <c r="F231" s="74" t="s">
        <v>25</v>
      </c>
      <c r="G231" s="74" t="s">
        <v>25</v>
      </c>
      <c r="H231" s="74" t="s">
        <v>38</v>
      </c>
      <c r="I231" s="80">
        <v>44440</v>
      </c>
      <c r="J231" s="81">
        <f>EFEITO!$J$231*EFEITO!$Y$231</f>
        <v>0</v>
      </c>
      <c r="K231" s="81">
        <f ca="1">EFEITO!$L$231*EFEITO!$Z$231</f>
        <v>3011.0896704703518</v>
      </c>
      <c r="L231" s="81">
        <f>EFEITO!$N$231*EFEITO!$AA$231</f>
        <v>5698.5168423765035</v>
      </c>
      <c r="M231" s="81">
        <f>$J$231-EFEITO!$K$231*EFEITO!$Y$231</f>
        <v>0</v>
      </c>
      <c r="N231" s="81">
        <f ca="1">$K$231-EFEITO!$M$231*EFEITO!$Z$231</f>
        <v>0</v>
      </c>
      <c r="O231" s="81">
        <f>$L$231-EFEITO!$O$231*EFEITO!$AA$231</f>
        <v>0</v>
      </c>
      <c r="P231" s="18"/>
      <c r="Q231" s="18"/>
      <c r="R231" s="18"/>
      <c r="S231" s="18"/>
      <c r="T231" s="18"/>
      <c r="U231" s="18"/>
      <c r="V231" s="18"/>
      <c r="W231" s="18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</row>
    <row r="232" spans="1:36" ht="11.25" customHeight="1" x14ac:dyDescent="0.2">
      <c r="A232" s="74" t="s">
        <v>21</v>
      </c>
      <c r="B232" s="74" t="s">
        <v>35</v>
      </c>
      <c r="C232" s="74" t="s">
        <v>39</v>
      </c>
      <c r="D232" s="74" t="s">
        <v>43</v>
      </c>
      <c r="E232" s="74" t="s">
        <v>25</v>
      </c>
      <c r="F232" s="74" t="s">
        <v>25</v>
      </c>
      <c r="G232" s="74" t="s">
        <v>25</v>
      </c>
      <c r="H232" s="74" t="s">
        <v>38</v>
      </c>
      <c r="I232" s="80">
        <v>44470</v>
      </c>
      <c r="J232" s="81">
        <f>EFEITO!$J$232*EFEITO!$Y$232</f>
        <v>0</v>
      </c>
      <c r="K232" s="81">
        <f ca="1">EFEITO!$L$232*EFEITO!$Z$232</f>
        <v>3628.7672181186881</v>
      </c>
      <c r="L232" s="81">
        <f>EFEITO!$N$232*EFEITO!$AA$232</f>
        <v>6867.4776816868907</v>
      </c>
      <c r="M232" s="81">
        <f>$J$232-EFEITO!$K$232*EFEITO!$Y$232</f>
        <v>0</v>
      </c>
      <c r="N232" s="81">
        <f ca="1">$K$232-EFEITO!$M$232*EFEITO!$Z$232</f>
        <v>0</v>
      </c>
      <c r="O232" s="81">
        <f>$L$232-EFEITO!$O$232*EFEITO!$AA$232</f>
        <v>0</v>
      </c>
      <c r="P232" s="18"/>
      <c r="Q232" s="18"/>
      <c r="R232" s="18"/>
      <c r="S232" s="18"/>
      <c r="T232" s="18"/>
      <c r="U232" s="18"/>
      <c r="V232" s="18"/>
      <c r="W232" s="18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</row>
    <row r="233" spans="1:36" ht="11.25" customHeight="1" x14ac:dyDescent="0.2">
      <c r="A233" s="74" t="s">
        <v>21</v>
      </c>
      <c r="B233" s="74" t="s">
        <v>35</v>
      </c>
      <c r="C233" s="74" t="s">
        <v>39</v>
      </c>
      <c r="D233" s="74" t="s">
        <v>43</v>
      </c>
      <c r="E233" s="74" t="s">
        <v>25</v>
      </c>
      <c r="F233" s="74" t="s">
        <v>25</v>
      </c>
      <c r="G233" s="74" t="s">
        <v>25</v>
      </c>
      <c r="H233" s="74" t="s">
        <v>38</v>
      </c>
      <c r="I233" s="80">
        <v>44501</v>
      </c>
      <c r="J233" s="81">
        <f>EFEITO!$J$233*EFEITO!$Y$233</f>
        <v>0</v>
      </c>
      <c r="K233" s="81">
        <f ca="1">EFEITO!$L$233*EFEITO!$Z$233</f>
        <v>4186.7037286327804</v>
      </c>
      <c r="L233" s="81">
        <f>EFEITO!$N$233*EFEITO!$AA$233</f>
        <v>7923.3780201330346</v>
      </c>
      <c r="M233" s="81">
        <f>$J$233-EFEITO!$K$233*EFEITO!$Y$233</f>
        <v>0</v>
      </c>
      <c r="N233" s="81">
        <f ca="1">$K$233-EFEITO!$M$233*EFEITO!$Z$233</f>
        <v>0</v>
      </c>
      <c r="O233" s="81">
        <f>$L$233-EFEITO!$O$233*EFEITO!$AA$233</f>
        <v>0</v>
      </c>
      <c r="P233" s="18"/>
      <c r="Q233" s="18"/>
      <c r="R233" s="18"/>
      <c r="S233" s="18"/>
      <c r="T233" s="18"/>
      <c r="U233" s="18"/>
      <c r="V233" s="18"/>
      <c r="W233" s="18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</row>
    <row r="234" spans="1:36" ht="11.25" customHeight="1" x14ac:dyDescent="0.2">
      <c r="A234" s="74" t="s">
        <v>21</v>
      </c>
      <c r="B234" s="74" t="s">
        <v>35</v>
      </c>
      <c r="C234" s="74" t="s">
        <v>39</v>
      </c>
      <c r="D234" s="74" t="s">
        <v>43</v>
      </c>
      <c r="E234" s="74" t="s">
        <v>25</v>
      </c>
      <c r="F234" s="74" t="s">
        <v>25</v>
      </c>
      <c r="G234" s="74" t="s">
        <v>25</v>
      </c>
      <c r="H234" s="74" t="s">
        <v>38</v>
      </c>
      <c r="I234" s="80">
        <v>44531</v>
      </c>
      <c r="J234" s="81">
        <f>EFEITO!$J$234*EFEITO!$Y$234</f>
        <v>0</v>
      </c>
      <c r="K234" s="81">
        <f ca="1">EFEITO!$L$234*EFEITO!$Z$234</f>
        <v>591.04742064175025</v>
      </c>
      <c r="L234" s="81">
        <f>EFEITO!$N$234*EFEITO!$AA$234</f>
        <v>1118.5630618048267</v>
      </c>
      <c r="M234" s="81">
        <f>$J$234-EFEITO!$K$234*EFEITO!$Y$234</f>
        <v>0</v>
      </c>
      <c r="N234" s="81">
        <f ca="1">$K$234-EFEITO!$M$234*EFEITO!$Z$234</f>
        <v>0</v>
      </c>
      <c r="O234" s="81">
        <f>$L$234-EFEITO!$O$234*EFEITO!$AA$234</f>
        <v>0</v>
      </c>
      <c r="P234" s="18"/>
      <c r="Q234" s="18"/>
      <c r="R234" s="18"/>
      <c r="S234" s="18"/>
      <c r="T234" s="18"/>
      <c r="U234" s="18"/>
      <c r="V234" s="18"/>
      <c r="W234" s="18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</row>
    <row r="235" spans="1:36" ht="11.25" customHeight="1" x14ac:dyDescent="0.2">
      <c r="A235" s="74" t="s">
        <v>28</v>
      </c>
      <c r="B235" s="74" t="s">
        <v>35</v>
      </c>
      <c r="C235" s="74" t="s">
        <v>39</v>
      </c>
      <c r="D235" s="74" t="s">
        <v>43</v>
      </c>
      <c r="E235" s="74" t="s">
        <v>25</v>
      </c>
      <c r="F235" s="74" t="s">
        <v>25</v>
      </c>
      <c r="G235" s="74" t="s">
        <v>25</v>
      </c>
      <c r="H235" s="74" t="s">
        <v>38</v>
      </c>
      <c r="I235" s="80">
        <v>44531</v>
      </c>
      <c r="J235" s="81">
        <f>EFEITO!$J$235*EFEITO!$Y$235</f>
        <v>0</v>
      </c>
      <c r="K235" s="81">
        <f ca="1">EFEITO!$L$235*EFEITO!$Z$235</f>
        <v>2854.7260486219461</v>
      </c>
      <c r="L235" s="81">
        <f>EFEITO!$N$235*EFEITO!$AA$235</f>
        <v>5402.5971487929701</v>
      </c>
      <c r="M235" s="81">
        <f>$J$235-EFEITO!$K$235*EFEITO!$Y$235</f>
        <v>0</v>
      </c>
      <c r="N235" s="81">
        <f ca="1">$K$235-EFEITO!$M$235*EFEITO!$Z$235</f>
        <v>0</v>
      </c>
      <c r="O235" s="81">
        <f>$L$235-EFEITO!$O$235*EFEITO!$AA$235</f>
        <v>0</v>
      </c>
      <c r="P235" s="18"/>
      <c r="Q235" s="18"/>
      <c r="R235" s="18"/>
      <c r="S235" s="18"/>
      <c r="T235" s="18"/>
      <c r="U235" s="18"/>
      <c r="V235" s="18"/>
      <c r="W235" s="18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</row>
    <row r="236" spans="1:36" ht="11.25" customHeight="1" x14ac:dyDescent="0.2">
      <c r="A236" s="74" t="s">
        <v>21</v>
      </c>
      <c r="B236" s="74" t="s">
        <v>35</v>
      </c>
      <c r="C236" s="74" t="s">
        <v>39</v>
      </c>
      <c r="D236" s="74" t="s">
        <v>43</v>
      </c>
      <c r="E236" s="74" t="s">
        <v>25</v>
      </c>
      <c r="F236" s="74" t="s">
        <v>25</v>
      </c>
      <c r="G236" s="74" t="s">
        <v>25</v>
      </c>
      <c r="H236" s="74" t="s">
        <v>38</v>
      </c>
      <c r="I236" s="80">
        <v>44562</v>
      </c>
      <c r="J236" s="81">
        <f>EFEITO!$J$236*EFEITO!$Y$236</f>
        <v>0</v>
      </c>
      <c r="K236" s="81">
        <f ca="1">EFEITO!$L$236*EFEITO!$Z$236</f>
        <v>746.82188038824017</v>
      </c>
      <c r="L236" s="81">
        <f>EFEITO!$N$236*EFEITO!$AA$236</f>
        <v>1413.367760310804</v>
      </c>
      <c r="M236" s="81">
        <f>$J$236-EFEITO!$K$236*EFEITO!$Y$236</f>
        <v>0</v>
      </c>
      <c r="N236" s="81">
        <f ca="1">$K$236-EFEITO!$M$236*EFEITO!$Z$236</f>
        <v>0</v>
      </c>
      <c r="O236" s="81">
        <f>$L$236-EFEITO!$O$236*EFEITO!$AA$236</f>
        <v>0</v>
      </c>
      <c r="P236" s="18"/>
      <c r="Q236" s="18"/>
      <c r="R236" s="18"/>
      <c r="S236" s="18"/>
      <c r="T236" s="18"/>
      <c r="U236" s="18"/>
      <c r="V236" s="18"/>
      <c r="W236" s="18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</row>
    <row r="237" spans="1:36" ht="11.25" customHeight="1" x14ac:dyDescent="0.2">
      <c r="A237" s="74" t="s">
        <v>28</v>
      </c>
      <c r="B237" s="74" t="s">
        <v>35</v>
      </c>
      <c r="C237" s="74" t="s">
        <v>39</v>
      </c>
      <c r="D237" s="74" t="s">
        <v>43</v>
      </c>
      <c r="E237" s="74" t="s">
        <v>25</v>
      </c>
      <c r="F237" s="74" t="s">
        <v>25</v>
      </c>
      <c r="G237" s="74" t="s">
        <v>25</v>
      </c>
      <c r="H237" s="74" t="s">
        <v>38</v>
      </c>
      <c r="I237" s="80">
        <v>44562</v>
      </c>
      <c r="J237" s="81">
        <f>EFEITO!$J$237*EFEITO!$Y$237</f>
        <v>0</v>
      </c>
      <c r="K237" s="81">
        <f ca="1">EFEITO!$L$237*EFEITO!$Z$237</f>
        <v>3271.4993195170559</v>
      </c>
      <c r="L237" s="81">
        <f>EFEITO!$N$237*EFEITO!$AA$237</f>
        <v>6191.3446666565414</v>
      </c>
      <c r="M237" s="81">
        <f>$J$237-EFEITO!$K$237*EFEITO!$Y$237</f>
        <v>0</v>
      </c>
      <c r="N237" s="81">
        <f ca="1">$K$237-EFEITO!$M$237*EFEITO!$Z$237</f>
        <v>0</v>
      </c>
      <c r="O237" s="81">
        <f>$L$237-EFEITO!$O$237*EFEITO!$AA$237</f>
        <v>0</v>
      </c>
      <c r="P237" s="18"/>
      <c r="Q237" s="18"/>
      <c r="R237" s="18"/>
      <c r="S237" s="18"/>
      <c r="T237" s="18"/>
      <c r="U237" s="18"/>
      <c r="V237" s="18"/>
      <c r="W237" s="18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</row>
    <row r="238" spans="1:36" ht="11.25" customHeight="1" x14ac:dyDescent="0.2">
      <c r="A238" s="74" t="s">
        <v>21</v>
      </c>
      <c r="B238" s="74" t="s">
        <v>35</v>
      </c>
      <c r="C238" s="74" t="s">
        <v>39</v>
      </c>
      <c r="D238" s="74" t="s">
        <v>43</v>
      </c>
      <c r="E238" s="74" t="s">
        <v>25</v>
      </c>
      <c r="F238" s="74" t="s">
        <v>25</v>
      </c>
      <c r="G238" s="74" t="s">
        <v>25</v>
      </c>
      <c r="H238" s="74" t="s">
        <v>38</v>
      </c>
      <c r="I238" s="80">
        <v>44593</v>
      </c>
      <c r="J238" s="81">
        <f>EFEITO!$J$238*EFEITO!$Y$238</f>
        <v>0</v>
      </c>
      <c r="K238" s="81">
        <f ca="1">EFEITO!$L$238*EFEITO!$Z$238</f>
        <v>752.83133382777953</v>
      </c>
      <c r="L238" s="81">
        <f>EFEITO!$N$238*EFEITO!$AA$238</f>
        <v>1424.7407101018816</v>
      </c>
      <c r="M238" s="81">
        <f>$J$238-EFEITO!$K$238*EFEITO!$Y$238</f>
        <v>0</v>
      </c>
      <c r="N238" s="81">
        <f ca="1">$K$238-EFEITO!$M$238*EFEITO!$Z$238</f>
        <v>0</v>
      </c>
      <c r="O238" s="81">
        <f>$L$238-EFEITO!$O$238*EFEITO!$AA$238</f>
        <v>0</v>
      </c>
      <c r="P238" s="18"/>
      <c r="Q238" s="18"/>
      <c r="R238" s="18"/>
      <c r="S238" s="18"/>
      <c r="T238" s="18"/>
      <c r="U238" s="18"/>
      <c r="V238" s="18"/>
      <c r="W238" s="18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</row>
    <row r="239" spans="1:36" ht="11.25" customHeight="1" x14ac:dyDescent="0.2">
      <c r="A239" s="74" t="s">
        <v>28</v>
      </c>
      <c r="B239" s="74" t="s">
        <v>35</v>
      </c>
      <c r="C239" s="74" t="s">
        <v>39</v>
      </c>
      <c r="D239" s="74" t="s">
        <v>43</v>
      </c>
      <c r="E239" s="74" t="s">
        <v>25</v>
      </c>
      <c r="F239" s="74" t="s">
        <v>25</v>
      </c>
      <c r="G239" s="74" t="s">
        <v>25</v>
      </c>
      <c r="H239" s="74" t="s">
        <v>38</v>
      </c>
      <c r="I239" s="80">
        <v>44593</v>
      </c>
      <c r="J239" s="81">
        <f>EFEITO!$J$239*EFEITO!$Y$239</f>
        <v>0</v>
      </c>
      <c r="K239" s="81">
        <f ca="1">EFEITO!$L$239*EFEITO!$Z$239</f>
        <v>2883.594991615812</v>
      </c>
      <c r="L239" s="81">
        <f>EFEITO!$N$239*EFEITO!$AA$239</f>
        <v>5457.2319075932464</v>
      </c>
      <c r="M239" s="81">
        <f>$J$239-EFEITO!$K$239*EFEITO!$Y$239</f>
        <v>0</v>
      </c>
      <c r="N239" s="81">
        <f ca="1">$K$239-EFEITO!$M$239*EFEITO!$Z$239</f>
        <v>0</v>
      </c>
      <c r="O239" s="81">
        <f>$L$239-EFEITO!$O$239*EFEITO!$AA$239</f>
        <v>0</v>
      </c>
      <c r="P239" s="18"/>
      <c r="Q239" s="18"/>
      <c r="R239" s="18"/>
      <c r="S239" s="18"/>
      <c r="T239" s="18"/>
      <c r="U239" s="18"/>
      <c r="V239" s="18"/>
      <c r="W239" s="18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</row>
    <row r="240" spans="1:36" ht="11.25" customHeight="1" x14ac:dyDescent="0.2">
      <c r="A240" s="74" t="s">
        <v>21</v>
      </c>
      <c r="B240" s="74" t="s">
        <v>35</v>
      </c>
      <c r="C240" s="74" t="s">
        <v>39</v>
      </c>
      <c r="D240" s="74" t="s">
        <v>43</v>
      </c>
      <c r="E240" s="74" t="s">
        <v>25</v>
      </c>
      <c r="F240" s="74" t="s">
        <v>25</v>
      </c>
      <c r="G240" s="74" t="s">
        <v>25</v>
      </c>
      <c r="H240" s="74" t="s">
        <v>38</v>
      </c>
      <c r="I240" s="80">
        <v>44621</v>
      </c>
      <c r="J240" s="81">
        <f>EFEITO!$J$240*EFEITO!$Y$240</f>
        <v>0</v>
      </c>
      <c r="K240" s="81">
        <f ca="1">EFEITO!$L$240*EFEITO!$Z$240</f>
        <v>710.05816522870543</v>
      </c>
      <c r="L240" s="81">
        <f>EFEITO!$N$240*EFEITO!$AA$240</f>
        <v>1343.7920674712691</v>
      </c>
      <c r="M240" s="81">
        <f>$J$240-EFEITO!$K$240*EFEITO!$Y$240</f>
        <v>0</v>
      </c>
      <c r="N240" s="81">
        <f ca="1">$K$240-EFEITO!$M$240*EFEITO!$Z$240</f>
        <v>0</v>
      </c>
      <c r="O240" s="81">
        <f>$L$240-EFEITO!$O$240*EFEITO!$AA$240</f>
        <v>0</v>
      </c>
      <c r="P240" s="18"/>
      <c r="Q240" s="18"/>
      <c r="R240" s="18"/>
      <c r="S240" s="18"/>
      <c r="T240" s="18"/>
      <c r="U240" s="18"/>
      <c r="V240" s="18"/>
      <c r="W240" s="18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</row>
    <row r="241" spans="1:36" ht="11.25" customHeight="1" x14ac:dyDescent="0.2">
      <c r="A241" s="74" t="s">
        <v>28</v>
      </c>
      <c r="B241" s="74" t="s">
        <v>35</v>
      </c>
      <c r="C241" s="74" t="s">
        <v>39</v>
      </c>
      <c r="D241" s="74" t="s">
        <v>43</v>
      </c>
      <c r="E241" s="74" t="s">
        <v>25</v>
      </c>
      <c r="F241" s="74" t="s">
        <v>25</v>
      </c>
      <c r="G241" s="74" t="s">
        <v>25</v>
      </c>
      <c r="H241" s="74" t="s">
        <v>38</v>
      </c>
      <c r="I241" s="80">
        <v>44621</v>
      </c>
      <c r="J241" s="81">
        <f>EFEITO!$J$241*EFEITO!$Y$241</f>
        <v>0</v>
      </c>
      <c r="K241" s="81">
        <f ca="1">EFEITO!$L$241*EFEITO!$Z$241</f>
        <v>3035.2453166488922</v>
      </c>
      <c r="L241" s="81">
        <f>EFEITO!$N$241*EFEITO!$AA$241</f>
        <v>5744.2316405563261</v>
      </c>
      <c r="M241" s="81">
        <f>$J$241-EFEITO!$K$241*EFEITO!$Y$241</f>
        <v>0</v>
      </c>
      <c r="N241" s="81">
        <f ca="1">$K$241-EFEITO!$M$241*EFEITO!$Z$241</f>
        <v>0</v>
      </c>
      <c r="O241" s="81">
        <f>$L$241-EFEITO!$O$241*EFEITO!$AA$241</f>
        <v>0</v>
      </c>
      <c r="P241" s="18"/>
      <c r="Q241" s="18"/>
      <c r="R241" s="18"/>
      <c r="S241" s="18"/>
      <c r="T241" s="18"/>
      <c r="U241" s="18"/>
      <c r="V241" s="18"/>
      <c r="W241" s="18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</row>
    <row r="242" spans="1:36" ht="11.25" customHeight="1" x14ac:dyDescent="0.2">
      <c r="A242" s="74" t="s">
        <v>21</v>
      </c>
      <c r="B242" s="74" t="s">
        <v>35</v>
      </c>
      <c r="C242" s="74" t="s">
        <v>39</v>
      </c>
      <c r="D242" s="74" t="s">
        <v>43</v>
      </c>
      <c r="E242" s="74" t="s">
        <v>25</v>
      </c>
      <c r="F242" s="74" t="s">
        <v>25</v>
      </c>
      <c r="G242" s="74" t="s">
        <v>25</v>
      </c>
      <c r="H242" s="74" t="s">
        <v>38</v>
      </c>
      <c r="I242" s="80">
        <v>44652</v>
      </c>
      <c r="J242" s="81">
        <f>EFEITO!$J$242*EFEITO!$Y$242</f>
        <v>0</v>
      </c>
      <c r="K242" s="81">
        <f ca="1">EFEITO!$L$242*EFEITO!$Z$242</f>
        <v>578.5571840811391</v>
      </c>
      <c r="L242" s="81">
        <f>EFEITO!$N$242*EFEITO!$AA$242</f>
        <v>1094.9251661606258</v>
      </c>
      <c r="M242" s="81">
        <f>$J$242-EFEITO!$K$242*EFEITO!$Y$242</f>
        <v>0</v>
      </c>
      <c r="N242" s="81">
        <f ca="1">$K$242-EFEITO!$M$242*EFEITO!$Z$242</f>
        <v>0</v>
      </c>
      <c r="O242" s="81">
        <f>$L$242-EFEITO!$O$242*EFEITO!$AA$242</f>
        <v>0</v>
      </c>
      <c r="P242" s="18"/>
      <c r="Q242" s="18"/>
      <c r="R242" s="18"/>
      <c r="S242" s="18"/>
      <c r="T242" s="18"/>
      <c r="U242" s="18"/>
      <c r="V242" s="18"/>
      <c r="W242" s="18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</row>
    <row r="243" spans="1:36" ht="11.25" customHeight="1" x14ac:dyDescent="0.2">
      <c r="A243" s="74" t="s">
        <v>28</v>
      </c>
      <c r="B243" s="74" t="s">
        <v>35</v>
      </c>
      <c r="C243" s="74" t="s">
        <v>39</v>
      </c>
      <c r="D243" s="74" t="s">
        <v>43</v>
      </c>
      <c r="E243" s="74" t="s">
        <v>25</v>
      </c>
      <c r="F243" s="74" t="s">
        <v>25</v>
      </c>
      <c r="G243" s="74" t="s">
        <v>25</v>
      </c>
      <c r="H243" s="74" t="s">
        <v>38</v>
      </c>
      <c r="I243" s="80">
        <v>44652</v>
      </c>
      <c r="J243" s="81">
        <f>EFEITO!$J$243*EFEITO!$Y$243</f>
        <v>0</v>
      </c>
      <c r="K243" s="81">
        <f ca="1">EFEITO!$L$243*EFEITO!$Z$243</f>
        <v>2003.1511465131089</v>
      </c>
      <c r="L243" s="81">
        <f>EFEITO!$N$243*EFEITO!$AA$243</f>
        <v>3790.9832636925948</v>
      </c>
      <c r="M243" s="81">
        <f>$J$243-EFEITO!$K$243*EFEITO!$Y$243</f>
        <v>0</v>
      </c>
      <c r="N243" s="81">
        <f ca="1">$K$243-EFEITO!$M$243*EFEITO!$Z$243</f>
        <v>0</v>
      </c>
      <c r="O243" s="81">
        <f>$L$243-EFEITO!$O$243*EFEITO!$AA$243</f>
        <v>0</v>
      </c>
      <c r="P243" s="18"/>
      <c r="Q243" s="18"/>
      <c r="R243" s="18"/>
      <c r="S243" s="18"/>
      <c r="T243" s="18"/>
      <c r="U243" s="18"/>
      <c r="V243" s="18"/>
      <c r="W243" s="18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</row>
    <row r="244" spans="1:36" ht="11.25" customHeight="1" x14ac:dyDescent="0.2">
      <c r="A244" s="74" t="s">
        <v>21</v>
      </c>
      <c r="B244" s="74" t="s">
        <v>35</v>
      </c>
      <c r="C244" s="74" t="s">
        <v>39</v>
      </c>
      <c r="D244" s="74" t="s">
        <v>43</v>
      </c>
      <c r="E244" s="74" t="s">
        <v>25</v>
      </c>
      <c r="F244" s="74" t="s">
        <v>25</v>
      </c>
      <c r="G244" s="74" t="s">
        <v>25</v>
      </c>
      <c r="H244" s="74" t="s">
        <v>38</v>
      </c>
      <c r="I244" s="80">
        <v>44682</v>
      </c>
      <c r="J244" s="81">
        <f>EFEITO!$J$244*EFEITO!$Y$244</f>
        <v>0</v>
      </c>
      <c r="K244" s="81">
        <f ca="1">EFEITO!$L$244*EFEITO!$Z$244</f>
        <v>567.12743930397596</v>
      </c>
      <c r="L244" s="81">
        <f>EFEITO!$N$244*EFEITO!$AA$244</f>
        <v>1073.2942616560269</v>
      </c>
      <c r="M244" s="81">
        <f>$J$244-EFEITO!$K$244*EFEITO!$Y$244</f>
        <v>0</v>
      </c>
      <c r="N244" s="81">
        <f ca="1">$K$244-EFEITO!$M$244*EFEITO!$Z$244</f>
        <v>0</v>
      </c>
      <c r="O244" s="81">
        <f>$L$244-EFEITO!$O$244*EFEITO!$AA$244</f>
        <v>0</v>
      </c>
      <c r="P244" s="18"/>
      <c r="Q244" s="18"/>
      <c r="R244" s="18"/>
      <c r="S244" s="18"/>
      <c r="T244" s="18"/>
      <c r="U244" s="18"/>
      <c r="V244" s="18"/>
      <c r="W244" s="18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</row>
    <row r="245" spans="1:36" ht="11.25" customHeight="1" x14ac:dyDescent="0.2">
      <c r="A245" s="74" t="s">
        <v>28</v>
      </c>
      <c r="B245" s="74" t="s">
        <v>35</v>
      </c>
      <c r="C245" s="74" t="s">
        <v>39</v>
      </c>
      <c r="D245" s="74" t="s">
        <v>43</v>
      </c>
      <c r="E245" s="74" t="s">
        <v>25</v>
      </c>
      <c r="F245" s="74" t="s">
        <v>25</v>
      </c>
      <c r="G245" s="74" t="s">
        <v>25</v>
      </c>
      <c r="H245" s="74" t="s">
        <v>38</v>
      </c>
      <c r="I245" s="80">
        <v>44682</v>
      </c>
      <c r="J245" s="81">
        <f>EFEITO!$J$245*EFEITO!$Y$245</f>
        <v>0</v>
      </c>
      <c r="K245" s="81">
        <f ca="1">EFEITO!$L$245*EFEITO!$Z$245</f>
        <v>1618.0747967010593</v>
      </c>
      <c r="L245" s="81">
        <f>EFEITO!$N$245*EFEITO!$AA$245</f>
        <v>3062.2224810015709</v>
      </c>
      <c r="M245" s="81">
        <f>$J$245-EFEITO!$K$245*EFEITO!$Y$245</f>
        <v>0</v>
      </c>
      <c r="N245" s="81">
        <f ca="1">$K$245-EFEITO!$M$245*EFEITO!$Z$245</f>
        <v>0</v>
      </c>
      <c r="O245" s="81">
        <f>$L$245-EFEITO!$O$245*EFEITO!$AA$245</f>
        <v>0</v>
      </c>
      <c r="P245" s="18"/>
      <c r="Q245" s="18"/>
      <c r="R245" s="18"/>
      <c r="S245" s="18"/>
      <c r="T245" s="18"/>
      <c r="U245" s="18"/>
      <c r="V245" s="18"/>
      <c r="W245" s="18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</row>
    <row r="246" spans="1:36" ht="11.25" customHeight="1" x14ac:dyDescent="0.2">
      <c r="A246" s="74" t="s">
        <v>21</v>
      </c>
      <c r="B246" s="74" t="s">
        <v>35</v>
      </c>
      <c r="C246" s="74" t="s">
        <v>39</v>
      </c>
      <c r="D246" s="74" t="s">
        <v>43</v>
      </c>
      <c r="E246" s="74" t="s">
        <v>25</v>
      </c>
      <c r="F246" s="74" t="s">
        <v>25</v>
      </c>
      <c r="G246" s="74" t="s">
        <v>25</v>
      </c>
      <c r="H246" s="74" t="s">
        <v>38</v>
      </c>
      <c r="I246" s="80">
        <v>44713</v>
      </c>
      <c r="J246" s="81">
        <f>EFEITO!$J$246*EFEITO!$Y$246</f>
        <v>0</v>
      </c>
      <c r="K246" s="81">
        <f ca="1">EFEITO!$L$246*EFEITO!$Z$246</f>
        <v>644.4255070753054</v>
      </c>
      <c r="L246" s="81">
        <f>EFEITO!$N$246*EFEITO!$AA$246</f>
        <v>1219.581615831459</v>
      </c>
      <c r="M246" s="81">
        <f>$J$246-EFEITO!$K$246*EFEITO!$Y$246</f>
        <v>0</v>
      </c>
      <c r="N246" s="81">
        <f ca="1">$K$246-EFEITO!$M$246*EFEITO!$Z$246</f>
        <v>0</v>
      </c>
      <c r="O246" s="81">
        <f>$L$246-EFEITO!$O$246*EFEITO!$AA$246</f>
        <v>0</v>
      </c>
      <c r="P246" s="18"/>
      <c r="Q246" s="18"/>
      <c r="R246" s="18"/>
      <c r="S246" s="18"/>
      <c r="T246" s="18"/>
      <c r="U246" s="18"/>
      <c r="V246" s="18"/>
      <c r="W246" s="18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</row>
    <row r="247" spans="1:36" ht="11.25" customHeight="1" x14ac:dyDescent="0.2">
      <c r="A247" s="74" t="s">
        <v>28</v>
      </c>
      <c r="B247" s="74" t="s">
        <v>35</v>
      </c>
      <c r="C247" s="74" t="s">
        <v>39</v>
      </c>
      <c r="D247" s="74" t="s">
        <v>43</v>
      </c>
      <c r="E247" s="74" t="s">
        <v>25</v>
      </c>
      <c r="F247" s="74" t="s">
        <v>25</v>
      </c>
      <c r="G247" s="74" t="s">
        <v>25</v>
      </c>
      <c r="H247" s="74" t="s">
        <v>38</v>
      </c>
      <c r="I247" s="80">
        <v>44713</v>
      </c>
      <c r="J247" s="81">
        <f>EFEITO!$J$247*EFEITO!$Y$247</f>
        <v>0</v>
      </c>
      <c r="K247" s="81">
        <f ca="1">EFEITO!$L$247*EFEITO!$Z$247</f>
        <v>1333.0381717942823</v>
      </c>
      <c r="L247" s="81">
        <f>EFEITO!$N$247*EFEITO!$AA$247</f>
        <v>2522.7878624796663</v>
      </c>
      <c r="M247" s="81">
        <f>$J$247-EFEITO!$K$247*EFEITO!$Y$247</f>
        <v>0</v>
      </c>
      <c r="N247" s="81">
        <f ca="1">$K$247-EFEITO!$M$247*EFEITO!$Z$247</f>
        <v>0</v>
      </c>
      <c r="O247" s="81">
        <f>$L$247-EFEITO!$O$247*EFEITO!$AA$247</f>
        <v>0</v>
      </c>
      <c r="P247" s="18"/>
      <c r="Q247" s="18"/>
      <c r="R247" s="18"/>
      <c r="S247" s="18"/>
      <c r="T247" s="18"/>
      <c r="U247" s="18"/>
      <c r="V247" s="18"/>
      <c r="W247" s="18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</row>
    <row r="248" spans="1:36" ht="11.25" customHeight="1" x14ac:dyDescent="0.2">
      <c r="A248" s="74" t="s">
        <v>55</v>
      </c>
      <c r="B248" s="74" t="s">
        <v>35</v>
      </c>
      <c r="C248" s="74" t="s">
        <v>39</v>
      </c>
      <c r="D248" s="74" t="s">
        <v>43</v>
      </c>
      <c r="E248" s="74" t="s">
        <v>25</v>
      </c>
      <c r="F248" s="74" t="s">
        <v>25</v>
      </c>
      <c r="G248" s="74" t="s">
        <v>25</v>
      </c>
      <c r="H248" s="74" t="s">
        <v>38</v>
      </c>
      <c r="I248" s="80">
        <v>44743</v>
      </c>
      <c r="J248" s="81">
        <f>EFEITO!$J$248*EFEITO!$Y$248</f>
        <v>0</v>
      </c>
      <c r="K248" s="81">
        <f ca="1">EFEITO!$L$248*EFEITO!$Z$248</f>
        <v>644.4255070753054</v>
      </c>
      <c r="L248" s="81">
        <f>EFEITO!$N$248*EFEITO!$AA$248</f>
        <v>1219.581615831459</v>
      </c>
      <c r="M248" s="81">
        <f>$J$248-EFEITO!$K$248*EFEITO!$Y$248</f>
        <v>0</v>
      </c>
      <c r="N248" s="81">
        <f ca="1">$K$248-EFEITO!$M$248*EFEITO!$Z$248</f>
        <v>0</v>
      </c>
      <c r="O248" s="81">
        <f>$L$248-EFEITO!$O$248*EFEITO!$AA$248</f>
        <v>0</v>
      </c>
      <c r="P248" s="18"/>
      <c r="Q248" s="18"/>
      <c r="R248" s="18"/>
      <c r="S248" s="18"/>
      <c r="T248" s="18"/>
      <c r="U248" s="18"/>
      <c r="V248" s="18"/>
      <c r="W248" s="18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</row>
    <row r="249" spans="1:36" ht="11.25" customHeight="1" x14ac:dyDescent="0.2">
      <c r="A249" s="74" t="s">
        <v>55</v>
      </c>
      <c r="B249" s="74" t="s">
        <v>35</v>
      </c>
      <c r="C249" s="74" t="s">
        <v>39</v>
      </c>
      <c r="D249" s="74" t="s">
        <v>43</v>
      </c>
      <c r="E249" s="74" t="s">
        <v>25</v>
      </c>
      <c r="F249" s="74" t="s">
        <v>25</v>
      </c>
      <c r="G249" s="74" t="s">
        <v>25</v>
      </c>
      <c r="H249" s="74" t="s">
        <v>38</v>
      </c>
      <c r="I249" s="80">
        <v>44743</v>
      </c>
      <c r="J249" s="81">
        <f>EFEITO!$J$249*EFEITO!$Y$249</f>
        <v>0</v>
      </c>
      <c r="K249" s="81">
        <f ca="1">EFEITO!$L$249*EFEITO!$Z$249</f>
        <v>1333.0381717942823</v>
      </c>
      <c r="L249" s="81">
        <f>EFEITO!$N$249*EFEITO!$AA$249</f>
        <v>2522.7878624796663</v>
      </c>
      <c r="M249" s="81">
        <f>$J$249-EFEITO!$K$249*EFEITO!$Y$249</f>
        <v>0</v>
      </c>
      <c r="N249" s="81">
        <f ca="1">$K$249-EFEITO!$M$249*EFEITO!$Z$249</f>
        <v>0</v>
      </c>
      <c r="O249" s="81">
        <f>$L$249-EFEITO!$O$249*EFEITO!$AA$249</f>
        <v>0</v>
      </c>
      <c r="P249" s="18"/>
      <c r="Q249" s="18"/>
      <c r="R249" s="18"/>
      <c r="S249" s="18"/>
      <c r="T249" s="18"/>
      <c r="U249" s="18"/>
      <c r="V249" s="18"/>
      <c r="W249" s="18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</row>
    <row r="250" spans="1:36" ht="11.25" customHeight="1" x14ac:dyDescent="0.2">
      <c r="A250" s="74" t="s">
        <v>21</v>
      </c>
      <c r="B250" s="74" t="s">
        <v>35</v>
      </c>
      <c r="C250" s="74" t="s">
        <v>39</v>
      </c>
      <c r="D250" s="74" t="s">
        <v>43</v>
      </c>
      <c r="E250" s="74" t="s">
        <v>25</v>
      </c>
      <c r="F250" s="74" t="s">
        <v>25</v>
      </c>
      <c r="G250" s="74" t="s">
        <v>25</v>
      </c>
      <c r="H250" s="74" t="s">
        <v>25</v>
      </c>
      <c r="I250" s="80">
        <v>44409</v>
      </c>
      <c r="J250" s="81">
        <f ca="1">EFEITO!$J$250*EFEITO!$Y$250</f>
        <v>4933.5571387684649</v>
      </c>
      <c r="K250" s="81">
        <f>EFEITO!$L$250*EFEITO!$Z$250</f>
        <v>0</v>
      </c>
      <c r="L250" s="81">
        <f>EFEITO!$N$250*EFEITO!$AA$250</f>
        <v>0</v>
      </c>
      <c r="M250" s="81">
        <f ca="1">$J$250-EFEITO!$K$250*EFEITO!$Y$250</f>
        <v>0</v>
      </c>
      <c r="N250" s="81">
        <f>$K$250-EFEITO!$M$250*EFEITO!$Z$250</f>
        <v>0</v>
      </c>
      <c r="O250" s="81">
        <f>$L$250-EFEITO!$O$250*EFEITO!$AA$250</f>
        <v>0</v>
      </c>
      <c r="P250" s="18"/>
      <c r="Q250" s="18"/>
      <c r="R250" s="18"/>
      <c r="S250" s="18"/>
      <c r="T250" s="18"/>
      <c r="U250" s="18"/>
      <c r="V250" s="18"/>
      <c r="W250" s="18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</row>
    <row r="251" spans="1:36" ht="11.25" customHeight="1" x14ac:dyDescent="0.2">
      <c r="A251" s="74" t="s">
        <v>21</v>
      </c>
      <c r="B251" s="74" t="s">
        <v>35</v>
      </c>
      <c r="C251" s="74" t="s">
        <v>39</v>
      </c>
      <c r="D251" s="74" t="s">
        <v>43</v>
      </c>
      <c r="E251" s="74" t="s">
        <v>25</v>
      </c>
      <c r="F251" s="74" t="s">
        <v>25</v>
      </c>
      <c r="G251" s="74" t="s">
        <v>25</v>
      </c>
      <c r="H251" s="74" t="s">
        <v>25</v>
      </c>
      <c r="I251" s="80">
        <v>44440</v>
      </c>
      <c r="J251" s="81">
        <f ca="1">EFEITO!$J$251*EFEITO!$Y$251</f>
        <v>4542.3499647692033</v>
      </c>
      <c r="K251" s="81">
        <f>EFEITO!$L$251*EFEITO!$Z$251</f>
        <v>0</v>
      </c>
      <c r="L251" s="81">
        <f>EFEITO!$N$251*EFEITO!$AA$251</f>
        <v>0</v>
      </c>
      <c r="M251" s="81">
        <f ca="1">$J$251-EFEITO!$K$251*EFEITO!$Y$251</f>
        <v>0</v>
      </c>
      <c r="N251" s="81">
        <f>$K$251-EFEITO!$M$251*EFEITO!$Z$251</f>
        <v>0</v>
      </c>
      <c r="O251" s="81">
        <f>$L$251-EFEITO!$O$251*EFEITO!$AA$251</f>
        <v>0</v>
      </c>
      <c r="P251" s="18"/>
      <c r="Q251" s="18"/>
      <c r="R251" s="18"/>
      <c r="S251" s="18"/>
      <c r="T251" s="18"/>
      <c r="U251" s="18"/>
      <c r="V251" s="18"/>
      <c r="W251" s="18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</row>
    <row r="252" spans="1:36" ht="11.25" customHeight="1" x14ac:dyDescent="0.2">
      <c r="A252" s="74" t="s">
        <v>21</v>
      </c>
      <c r="B252" s="74" t="s">
        <v>35</v>
      </c>
      <c r="C252" s="74" t="s">
        <v>39</v>
      </c>
      <c r="D252" s="74" t="s">
        <v>43</v>
      </c>
      <c r="E252" s="74" t="s">
        <v>25</v>
      </c>
      <c r="F252" s="74" t="s">
        <v>25</v>
      </c>
      <c r="G252" s="74" t="s">
        <v>25</v>
      </c>
      <c r="H252" s="74" t="s">
        <v>25</v>
      </c>
      <c r="I252" s="80">
        <v>44470</v>
      </c>
      <c r="J252" s="81">
        <f ca="1">EFEITO!$J$252*EFEITO!$Y$252</f>
        <v>4716.2198198799861</v>
      </c>
      <c r="K252" s="81">
        <f>EFEITO!$L$252*EFEITO!$Z$252</f>
        <v>0</v>
      </c>
      <c r="L252" s="81">
        <f>EFEITO!$N$252*EFEITO!$AA$252</f>
        <v>0</v>
      </c>
      <c r="M252" s="81">
        <f ca="1">$J$252-EFEITO!$K$252*EFEITO!$Y$252</f>
        <v>0</v>
      </c>
      <c r="N252" s="81">
        <f>$K$252-EFEITO!$M$252*EFEITO!$Z$252</f>
        <v>0</v>
      </c>
      <c r="O252" s="81">
        <f>$L$252-EFEITO!$O$252*EFEITO!$AA$252</f>
        <v>0</v>
      </c>
      <c r="P252" s="18"/>
      <c r="Q252" s="18"/>
      <c r="R252" s="18"/>
      <c r="S252" s="18"/>
      <c r="T252" s="18"/>
      <c r="U252" s="18"/>
      <c r="V252" s="18"/>
      <c r="W252" s="18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</row>
    <row r="253" spans="1:36" ht="11.25" customHeight="1" x14ac:dyDescent="0.2">
      <c r="A253" s="74" t="s">
        <v>21</v>
      </c>
      <c r="B253" s="74" t="s">
        <v>35</v>
      </c>
      <c r="C253" s="74" t="s">
        <v>39</v>
      </c>
      <c r="D253" s="74" t="s">
        <v>43</v>
      </c>
      <c r="E253" s="74" t="s">
        <v>25</v>
      </c>
      <c r="F253" s="74" t="s">
        <v>25</v>
      </c>
      <c r="G253" s="74" t="s">
        <v>25</v>
      </c>
      <c r="H253" s="74" t="s">
        <v>25</v>
      </c>
      <c r="I253" s="80">
        <v>44501</v>
      </c>
      <c r="J253" s="81">
        <f ca="1">EFEITO!$J$253*EFEITO!$Y$253</f>
        <v>5542.1016316562054</v>
      </c>
      <c r="K253" s="81">
        <f>EFEITO!$L$253*EFEITO!$Z$253</f>
        <v>0</v>
      </c>
      <c r="L253" s="81">
        <f>EFEITO!$N$253*EFEITO!$AA$253</f>
        <v>0</v>
      </c>
      <c r="M253" s="81">
        <f ca="1">$J$253-EFEITO!$K$253*EFEITO!$Y$253</f>
        <v>0</v>
      </c>
      <c r="N253" s="81">
        <f>$K$253-EFEITO!$M$253*EFEITO!$Z$253</f>
        <v>0</v>
      </c>
      <c r="O253" s="81">
        <f>$L$253-EFEITO!$O$253*EFEITO!$AA$253</f>
        <v>0</v>
      </c>
      <c r="P253" s="18"/>
      <c r="Q253" s="18"/>
      <c r="R253" s="18"/>
      <c r="S253" s="18"/>
      <c r="T253" s="18"/>
      <c r="U253" s="18"/>
      <c r="V253" s="18"/>
      <c r="W253" s="18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</row>
    <row r="254" spans="1:36" ht="11.25" customHeight="1" x14ac:dyDescent="0.2">
      <c r="A254" s="74" t="s">
        <v>21</v>
      </c>
      <c r="B254" s="74" t="s">
        <v>35</v>
      </c>
      <c r="C254" s="74" t="s">
        <v>39</v>
      </c>
      <c r="D254" s="74" t="s">
        <v>43</v>
      </c>
      <c r="E254" s="74" t="s">
        <v>25</v>
      </c>
      <c r="F254" s="74" t="s">
        <v>25</v>
      </c>
      <c r="G254" s="74" t="s">
        <v>25</v>
      </c>
      <c r="H254" s="74" t="s">
        <v>25</v>
      </c>
      <c r="I254" s="80">
        <v>44531</v>
      </c>
      <c r="J254" s="81">
        <f ca="1">EFEITO!$J$254*EFEITO!$Y$254</f>
        <v>1304.0239133308719</v>
      </c>
      <c r="K254" s="81">
        <f>EFEITO!$L$254*EFEITO!$Z$254</f>
        <v>0</v>
      </c>
      <c r="L254" s="81">
        <f>EFEITO!$N$254*EFEITO!$AA$254</f>
        <v>0</v>
      </c>
      <c r="M254" s="81">
        <f ca="1">$J$254-EFEITO!$K$254*EFEITO!$Y$254</f>
        <v>0</v>
      </c>
      <c r="N254" s="81">
        <f>$K$254-EFEITO!$M$254*EFEITO!$Z$254</f>
        <v>0</v>
      </c>
      <c r="O254" s="81">
        <f>$L$254-EFEITO!$O$254*EFEITO!$AA$254</f>
        <v>0</v>
      </c>
      <c r="P254" s="18"/>
      <c r="Q254" s="18"/>
      <c r="R254" s="18"/>
      <c r="S254" s="18"/>
      <c r="T254" s="18"/>
      <c r="U254" s="18"/>
      <c r="V254" s="18"/>
      <c r="W254" s="18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</row>
    <row r="255" spans="1:36" ht="11.25" customHeight="1" x14ac:dyDescent="0.2">
      <c r="A255" s="74" t="s">
        <v>28</v>
      </c>
      <c r="B255" s="74" t="s">
        <v>35</v>
      </c>
      <c r="C255" s="74" t="s">
        <v>39</v>
      </c>
      <c r="D255" s="74" t="s">
        <v>43</v>
      </c>
      <c r="E255" s="74" t="s">
        <v>25</v>
      </c>
      <c r="F255" s="74" t="s">
        <v>25</v>
      </c>
      <c r="G255" s="74" t="s">
        <v>25</v>
      </c>
      <c r="H255" s="74" t="s">
        <v>25</v>
      </c>
      <c r="I255" s="80">
        <v>44531</v>
      </c>
      <c r="J255" s="81">
        <f ca="1">EFEITO!$J$255*EFEITO!$Y$255</f>
        <v>3803.4030805483762</v>
      </c>
      <c r="K255" s="81">
        <f>EFEITO!$L$255*EFEITO!$Z$255</f>
        <v>0</v>
      </c>
      <c r="L255" s="81">
        <f>EFEITO!$N$255*EFEITO!$AA$255</f>
        <v>0</v>
      </c>
      <c r="M255" s="81">
        <f ca="1">$J$255-EFEITO!$K$255*EFEITO!$Y$255</f>
        <v>0</v>
      </c>
      <c r="N255" s="81">
        <f>$K$255-EFEITO!$M$255*EFEITO!$Z$255</f>
        <v>0</v>
      </c>
      <c r="O255" s="81">
        <f>$L$255-EFEITO!$O$255*EFEITO!$AA$255</f>
        <v>0</v>
      </c>
      <c r="P255" s="18"/>
      <c r="Q255" s="18"/>
      <c r="R255" s="18"/>
      <c r="S255" s="18"/>
      <c r="T255" s="18"/>
      <c r="U255" s="18"/>
      <c r="V255" s="18"/>
      <c r="W255" s="18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</row>
    <row r="256" spans="1:36" ht="11.25" customHeight="1" x14ac:dyDescent="0.2">
      <c r="A256" s="74" t="s">
        <v>21</v>
      </c>
      <c r="B256" s="74" t="s">
        <v>35</v>
      </c>
      <c r="C256" s="74" t="s">
        <v>39</v>
      </c>
      <c r="D256" s="74" t="s">
        <v>43</v>
      </c>
      <c r="E256" s="74" t="s">
        <v>25</v>
      </c>
      <c r="F256" s="74" t="s">
        <v>25</v>
      </c>
      <c r="G256" s="74" t="s">
        <v>25</v>
      </c>
      <c r="H256" s="74" t="s">
        <v>25</v>
      </c>
      <c r="I256" s="80">
        <v>44562</v>
      </c>
      <c r="J256" s="81">
        <f ca="1">EFEITO!$J$256*EFEITO!$Y$256</f>
        <v>1304.0239133308719</v>
      </c>
      <c r="K256" s="81">
        <f>EFEITO!$L$256*EFEITO!$Z$256</f>
        <v>0</v>
      </c>
      <c r="L256" s="81">
        <f>EFEITO!$N$256*EFEITO!$AA$256</f>
        <v>0</v>
      </c>
      <c r="M256" s="81">
        <f ca="1">$J$256-EFEITO!$K$256*EFEITO!$Y$256</f>
        <v>0</v>
      </c>
      <c r="N256" s="81">
        <f>$K$256-EFEITO!$M$256*EFEITO!$Z$256</f>
        <v>0</v>
      </c>
      <c r="O256" s="81">
        <f>$L$256-EFEITO!$O$256*EFEITO!$AA$256</f>
        <v>0</v>
      </c>
      <c r="P256" s="18"/>
      <c r="Q256" s="18"/>
      <c r="R256" s="18"/>
      <c r="S256" s="18"/>
      <c r="T256" s="18"/>
      <c r="U256" s="18"/>
      <c r="V256" s="18"/>
      <c r="W256" s="18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</row>
    <row r="257" spans="1:36" ht="11.25" customHeight="1" x14ac:dyDescent="0.2">
      <c r="A257" s="74" t="s">
        <v>28</v>
      </c>
      <c r="B257" s="74" t="s">
        <v>35</v>
      </c>
      <c r="C257" s="74" t="s">
        <v>39</v>
      </c>
      <c r="D257" s="74" t="s">
        <v>43</v>
      </c>
      <c r="E257" s="74" t="s">
        <v>25</v>
      </c>
      <c r="F257" s="74" t="s">
        <v>25</v>
      </c>
      <c r="G257" s="74" t="s">
        <v>25</v>
      </c>
      <c r="H257" s="74" t="s">
        <v>25</v>
      </c>
      <c r="I257" s="80">
        <v>44562</v>
      </c>
      <c r="J257" s="81">
        <f ca="1">EFEITO!$J$257*EFEITO!$Y$257</f>
        <v>4085.9415951033984</v>
      </c>
      <c r="K257" s="81">
        <f>EFEITO!$L$257*EFEITO!$Z$257</f>
        <v>0</v>
      </c>
      <c r="L257" s="81">
        <f>EFEITO!$N$257*EFEITO!$AA$257</f>
        <v>0</v>
      </c>
      <c r="M257" s="81">
        <f ca="1">$J$257-EFEITO!$K$257*EFEITO!$Y$257</f>
        <v>0</v>
      </c>
      <c r="N257" s="81">
        <f>$K$257-EFEITO!$M$257*EFEITO!$Z$257</f>
        <v>0</v>
      </c>
      <c r="O257" s="81">
        <f>$L$257-EFEITO!$O$257*EFEITO!$AA$257</f>
        <v>0</v>
      </c>
      <c r="P257" s="18"/>
      <c r="Q257" s="18"/>
      <c r="R257" s="18"/>
      <c r="S257" s="18"/>
      <c r="T257" s="18"/>
      <c r="U257" s="18"/>
      <c r="V257" s="18"/>
      <c r="W257" s="18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</row>
    <row r="258" spans="1:36" ht="11.25" customHeight="1" x14ac:dyDescent="0.2">
      <c r="A258" s="74" t="s">
        <v>21</v>
      </c>
      <c r="B258" s="74" t="s">
        <v>35</v>
      </c>
      <c r="C258" s="74" t="s">
        <v>39</v>
      </c>
      <c r="D258" s="74" t="s">
        <v>43</v>
      </c>
      <c r="E258" s="74" t="s">
        <v>25</v>
      </c>
      <c r="F258" s="74" t="s">
        <v>25</v>
      </c>
      <c r="G258" s="74" t="s">
        <v>25</v>
      </c>
      <c r="H258" s="74" t="s">
        <v>25</v>
      </c>
      <c r="I258" s="80">
        <v>44593</v>
      </c>
      <c r="J258" s="81">
        <f ca="1">EFEITO!$J$258*EFEITO!$Y$258</f>
        <v>1304.0239133308719</v>
      </c>
      <c r="K258" s="81">
        <f>EFEITO!$L$258*EFEITO!$Z$258</f>
        <v>0</v>
      </c>
      <c r="L258" s="81">
        <f>EFEITO!$N$258*EFEITO!$AA$258</f>
        <v>0</v>
      </c>
      <c r="M258" s="81">
        <f ca="1">$J$258-EFEITO!$K$258*EFEITO!$Y$258</f>
        <v>0</v>
      </c>
      <c r="N258" s="81">
        <f>$K$258-EFEITO!$M$258*EFEITO!$Z$258</f>
        <v>0</v>
      </c>
      <c r="O258" s="81">
        <f>$L$258-EFEITO!$O$258*EFEITO!$AA$258</f>
        <v>0</v>
      </c>
      <c r="P258" s="18"/>
      <c r="Q258" s="18"/>
      <c r="R258" s="18"/>
      <c r="S258" s="18"/>
      <c r="T258" s="18"/>
      <c r="U258" s="18"/>
      <c r="V258" s="18"/>
      <c r="W258" s="18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</row>
    <row r="259" spans="1:36" ht="11.25" customHeight="1" x14ac:dyDescent="0.2">
      <c r="A259" s="74" t="s">
        <v>28</v>
      </c>
      <c r="B259" s="74" t="s">
        <v>35</v>
      </c>
      <c r="C259" s="74" t="s">
        <v>39</v>
      </c>
      <c r="D259" s="74" t="s">
        <v>43</v>
      </c>
      <c r="E259" s="74" t="s">
        <v>25</v>
      </c>
      <c r="F259" s="74" t="s">
        <v>25</v>
      </c>
      <c r="G259" s="74" t="s">
        <v>25</v>
      </c>
      <c r="H259" s="74" t="s">
        <v>25</v>
      </c>
      <c r="I259" s="80">
        <v>44593</v>
      </c>
      <c r="J259" s="81">
        <f ca="1">EFEITO!$J$259*EFEITO!$Y$259</f>
        <v>3999.006667548007</v>
      </c>
      <c r="K259" s="81">
        <f>EFEITO!$L$259*EFEITO!$Z$259</f>
        <v>0</v>
      </c>
      <c r="L259" s="81">
        <f>EFEITO!$N$259*EFEITO!$AA$259</f>
        <v>0</v>
      </c>
      <c r="M259" s="81">
        <f ca="1">$J$259-EFEITO!$K$259*EFEITO!$Y$259</f>
        <v>0</v>
      </c>
      <c r="N259" s="81">
        <f>$K$259-EFEITO!$M$259*EFEITO!$Z$259</f>
        <v>0</v>
      </c>
      <c r="O259" s="81">
        <f>$L$259-EFEITO!$O$259*EFEITO!$AA$259</f>
        <v>0</v>
      </c>
      <c r="P259" s="18"/>
      <c r="Q259" s="18"/>
      <c r="R259" s="18"/>
      <c r="S259" s="18"/>
      <c r="T259" s="18"/>
      <c r="U259" s="18"/>
      <c r="V259" s="18"/>
      <c r="W259" s="18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</row>
    <row r="260" spans="1:36" ht="11.25" customHeight="1" x14ac:dyDescent="0.2">
      <c r="A260" s="74" t="s">
        <v>21</v>
      </c>
      <c r="B260" s="74" t="s">
        <v>35</v>
      </c>
      <c r="C260" s="74" t="s">
        <v>39</v>
      </c>
      <c r="D260" s="74" t="s">
        <v>43</v>
      </c>
      <c r="E260" s="74" t="s">
        <v>25</v>
      </c>
      <c r="F260" s="74" t="s">
        <v>25</v>
      </c>
      <c r="G260" s="74" t="s">
        <v>25</v>
      </c>
      <c r="H260" s="74" t="s">
        <v>25</v>
      </c>
      <c r="I260" s="80">
        <v>44621</v>
      </c>
      <c r="J260" s="81">
        <f ca="1">EFEITO!$J$260*EFEITO!$Y$260</f>
        <v>1304.0239133308719</v>
      </c>
      <c r="K260" s="81">
        <f>EFEITO!$L$260*EFEITO!$Z$260</f>
        <v>0</v>
      </c>
      <c r="L260" s="81">
        <f>EFEITO!$N$260*EFEITO!$AA$260</f>
        <v>0</v>
      </c>
      <c r="M260" s="81">
        <f ca="1">$J$260-EFEITO!$K$260*EFEITO!$Y$260</f>
        <v>0</v>
      </c>
      <c r="N260" s="81">
        <f>$K$260-EFEITO!$M$260*EFEITO!$Z$260</f>
        <v>0</v>
      </c>
      <c r="O260" s="81">
        <f>$L$260-EFEITO!$O$260*EFEITO!$AA$260</f>
        <v>0</v>
      </c>
      <c r="P260" s="18"/>
      <c r="Q260" s="18"/>
      <c r="R260" s="18"/>
      <c r="S260" s="18"/>
      <c r="T260" s="18"/>
      <c r="U260" s="18"/>
      <c r="V260" s="18"/>
      <c r="W260" s="18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</row>
    <row r="261" spans="1:36" ht="11.25" customHeight="1" x14ac:dyDescent="0.2">
      <c r="A261" s="74" t="s">
        <v>28</v>
      </c>
      <c r="B261" s="74" t="s">
        <v>35</v>
      </c>
      <c r="C261" s="74" t="s">
        <v>39</v>
      </c>
      <c r="D261" s="74" t="s">
        <v>43</v>
      </c>
      <c r="E261" s="74" t="s">
        <v>25</v>
      </c>
      <c r="F261" s="74" t="s">
        <v>25</v>
      </c>
      <c r="G261" s="74" t="s">
        <v>25</v>
      </c>
      <c r="H261" s="74" t="s">
        <v>25</v>
      </c>
      <c r="I261" s="80">
        <v>44621</v>
      </c>
      <c r="J261" s="81">
        <f ca="1">EFEITO!$J$261*EFEITO!$Y$261</f>
        <v>4781.4210155465298</v>
      </c>
      <c r="K261" s="81">
        <f>EFEITO!$L$261*EFEITO!$Z$261</f>
        <v>0</v>
      </c>
      <c r="L261" s="81">
        <f>EFEITO!$N$261*EFEITO!$AA$261</f>
        <v>0</v>
      </c>
      <c r="M261" s="81">
        <f ca="1">$J$261-EFEITO!$K$261*EFEITO!$Y$261</f>
        <v>0</v>
      </c>
      <c r="N261" s="81">
        <f>$K$261-EFEITO!$M$261*EFEITO!$Z$261</f>
        <v>0</v>
      </c>
      <c r="O261" s="81">
        <f>$L$261-EFEITO!$O$261*EFEITO!$AA$261</f>
        <v>0</v>
      </c>
      <c r="P261" s="18"/>
      <c r="Q261" s="18"/>
      <c r="R261" s="18"/>
      <c r="S261" s="18"/>
      <c r="T261" s="18"/>
      <c r="U261" s="18"/>
      <c r="V261" s="18"/>
      <c r="W261" s="18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</row>
    <row r="262" spans="1:36" ht="11.25" customHeight="1" x14ac:dyDescent="0.2">
      <c r="A262" s="74" t="s">
        <v>21</v>
      </c>
      <c r="B262" s="74" t="s">
        <v>35</v>
      </c>
      <c r="C262" s="74" t="s">
        <v>39</v>
      </c>
      <c r="D262" s="74" t="s">
        <v>43</v>
      </c>
      <c r="E262" s="74" t="s">
        <v>25</v>
      </c>
      <c r="F262" s="74" t="s">
        <v>25</v>
      </c>
      <c r="G262" s="74" t="s">
        <v>25</v>
      </c>
      <c r="H262" s="74" t="s">
        <v>25</v>
      </c>
      <c r="I262" s="80">
        <v>44652</v>
      </c>
      <c r="J262" s="81">
        <f ca="1">EFEITO!$J$262*EFEITO!$Y$262</f>
        <v>1304.0239133308719</v>
      </c>
      <c r="K262" s="81">
        <f>EFEITO!$L$262*EFEITO!$Z$262</f>
        <v>0</v>
      </c>
      <c r="L262" s="81">
        <f>EFEITO!$N$262*EFEITO!$AA$262</f>
        <v>0</v>
      </c>
      <c r="M262" s="81">
        <f ca="1">$J$262-EFEITO!$K$262*EFEITO!$Y$262</f>
        <v>0</v>
      </c>
      <c r="N262" s="81">
        <f>$K$262-EFEITO!$M$262*EFEITO!$Z$262</f>
        <v>0</v>
      </c>
      <c r="O262" s="81">
        <f>$L$262-EFEITO!$O$262*EFEITO!$AA$262</f>
        <v>0</v>
      </c>
      <c r="P262" s="18"/>
      <c r="Q262" s="18"/>
      <c r="R262" s="18"/>
      <c r="S262" s="18"/>
      <c r="T262" s="18"/>
      <c r="U262" s="18"/>
      <c r="V262" s="18"/>
      <c r="W262" s="18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</row>
    <row r="263" spans="1:36" ht="11.25" customHeight="1" x14ac:dyDescent="0.2">
      <c r="A263" s="74" t="s">
        <v>28</v>
      </c>
      <c r="B263" s="74" t="s">
        <v>35</v>
      </c>
      <c r="C263" s="74" t="s">
        <v>39</v>
      </c>
      <c r="D263" s="74" t="s">
        <v>43</v>
      </c>
      <c r="E263" s="74" t="s">
        <v>25</v>
      </c>
      <c r="F263" s="74" t="s">
        <v>25</v>
      </c>
      <c r="G263" s="74" t="s">
        <v>25</v>
      </c>
      <c r="H263" s="74" t="s">
        <v>25</v>
      </c>
      <c r="I263" s="80">
        <v>44652</v>
      </c>
      <c r="J263" s="81">
        <f ca="1">EFEITO!$J$263*EFEITO!$Y$263</f>
        <v>3977.272935659159</v>
      </c>
      <c r="K263" s="81">
        <f>EFEITO!$L$263*EFEITO!$Z$263</f>
        <v>0</v>
      </c>
      <c r="L263" s="81">
        <f>EFEITO!$N$263*EFEITO!$AA$263</f>
        <v>0</v>
      </c>
      <c r="M263" s="81">
        <f ca="1">$J$263-EFEITO!$K$263*EFEITO!$Y$263</f>
        <v>0</v>
      </c>
      <c r="N263" s="81">
        <f>$K$263-EFEITO!$M$263*EFEITO!$Z$263</f>
        <v>0</v>
      </c>
      <c r="O263" s="81">
        <f>$L$263-EFEITO!$O$263*EFEITO!$AA$263</f>
        <v>0</v>
      </c>
      <c r="P263" s="18"/>
      <c r="Q263" s="18"/>
      <c r="R263" s="18"/>
      <c r="S263" s="18"/>
      <c r="T263" s="18"/>
      <c r="U263" s="18"/>
      <c r="V263" s="18"/>
      <c r="W263" s="18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</row>
    <row r="264" spans="1:36" ht="11.25" customHeight="1" x14ac:dyDescent="0.2">
      <c r="A264" s="74" t="s">
        <v>21</v>
      </c>
      <c r="B264" s="74" t="s">
        <v>35</v>
      </c>
      <c r="C264" s="74" t="s">
        <v>39</v>
      </c>
      <c r="D264" s="74" t="s">
        <v>43</v>
      </c>
      <c r="E264" s="74" t="s">
        <v>25</v>
      </c>
      <c r="F264" s="74" t="s">
        <v>25</v>
      </c>
      <c r="G264" s="74" t="s">
        <v>25</v>
      </c>
      <c r="H264" s="74" t="s">
        <v>25</v>
      </c>
      <c r="I264" s="80">
        <v>44682</v>
      </c>
      <c r="J264" s="81">
        <f ca="1">EFEITO!$J$264*EFEITO!$Y$264</f>
        <v>1304.0239133308719</v>
      </c>
      <c r="K264" s="81">
        <f>EFEITO!$L$264*EFEITO!$Z$264</f>
        <v>0</v>
      </c>
      <c r="L264" s="81">
        <f>EFEITO!$N$264*EFEITO!$AA$264</f>
        <v>0</v>
      </c>
      <c r="M264" s="81">
        <f ca="1">$J$264-EFEITO!$K$264*EFEITO!$Y$264</f>
        <v>0</v>
      </c>
      <c r="N264" s="81">
        <f>$K$264-EFEITO!$M$264*EFEITO!$Z$264</f>
        <v>0</v>
      </c>
      <c r="O264" s="81">
        <f>$L$264-EFEITO!$O$264*EFEITO!$AA$264</f>
        <v>0</v>
      </c>
      <c r="P264" s="18"/>
      <c r="Q264" s="18"/>
      <c r="R264" s="18"/>
      <c r="S264" s="18"/>
      <c r="T264" s="18"/>
      <c r="U264" s="18"/>
      <c r="V264" s="18"/>
      <c r="W264" s="18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</row>
    <row r="265" spans="1:36" ht="11.25" customHeight="1" x14ac:dyDescent="0.2">
      <c r="A265" s="74" t="s">
        <v>28</v>
      </c>
      <c r="B265" s="74" t="s">
        <v>35</v>
      </c>
      <c r="C265" s="74" t="s">
        <v>39</v>
      </c>
      <c r="D265" s="74" t="s">
        <v>43</v>
      </c>
      <c r="E265" s="74" t="s">
        <v>25</v>
      </c>
      <c r="F265" s="74" t="s">
        <v>25</v>
      </c>
      <c r="G265" s="74" t="s">
        <v>25</v>
      </c>
      <c r="H265" s="74" t="s">
        <v>25</v>
      </c>
      <c r="I265" s="80">
        <v>44682</v>
      </c>
      <c r="J265" s="81">
        <f ca="1">EFEITO!$J$265*EFEITO!$Y$265</f>
        <v>2173.3731888847865</v>
      </c>
      <c r="K265" s="81">
        <f>EFEITO!$L$265*EFEITO!$Z$265</f>
        <v>0</v>
      </c>
      <c r="L265" s="81">
        <f>EFEITO!$N$265*EFEITO!$AA$265</f>
        <v>0</v>
      </c>
      <c r="M265" s="81">
        <f ca="1">$J$265-EFEITO!$K$265*EFEITO!$Y$265</f>
        <v>0</v>
      </c>
      <c r="N265" s="81">
        <f>$K$265-EFEITO!$M$265*EFEITO!$Z$265</f>
        <v>0</v>
      </c>
      <c r="O265" s="81">
        <f>$L$265-EFEITO!$O$265*EFEITO!$AA$265</f>
        <v>0</v>
      </c>
      <c r="P265" s="18"/>
      <c r="Q265" s="18"/>
      <c r="R265" s="18"/>
      <c r="S265" s="18"/>
      <c r="T265" s="18"/>
      <c r="U265" s="18"/>
      <c r="V265" s="18"/>
      <c r="W265" s="18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</row>
    <row r="266" spans="1:36" ht="11.25" customHeight="1" x14ac:dyDescent="0.2">
      <c r="A266" s="74" t="s">
        <v>21</v>
      </c>
      <c r="B266" s="74" t="s">
        <v>35</v>
      </c>
      <c r="C266" s="74" t="s">
        <v>39</v>
      </c>
      <c r="D266" s="74" t="s">
        <v>43</v>
      </c>
      <c r="E266" s="74" t="s">
        <v>25</v>
      </c>
      <c r="F266" s="74" t="s">
        <v>25</v>
      </c>
      <c r="G266" s="74" t="s">
        <v>25</v>
      </c>
      <c r="H266" s="74" t="s">
        <v>25</v>
      </c>
      <c r="I266" s="80">
        <v>44713</v>
      </c>
      <c r="J266" s="81">
        <f ca="1">EFEITO!$J$266*EFEITO!$Y$266</f>
        <v>1304.0239133308719</v>
      </c>
      <c r="K266" s="81">
        <f>EFEITO!$L$266*EFEITO!$Z$266</f>
        <v>0</v>
      </c>
      <c r="L266" s="81">
        <f>EFEITO!$N$266*EFEITO!$AA$266</f>
        <v>0</v>
      </c>
      <c r="M266" s="81">
        <f ca="1">$J$266-EFEITO!$K$266*EFEITO!$Y$266</f>
        <v>0</v>
      </c>
      <c r="N266" s="81">
        <f>$K$266-EFEITO!$M$266*EFEITO!$Z$266</f>
        <v>0</v>
      </c>
      <c r="O266" s="81">
        <f>$L$266-EFEITO!$O$266*EFEITO!$AA$266</f>
        <v>0</v>
      </c>
      <c r="P266" s="18"/>
      <c r="Q266" s="18"/>
      <c r="R266" s="18"/>
      <c r="S266" s="18"/>
      <c r="T266" s="18"/>
      <c r="U266" s="18"/>
      <c r="V266" s="18"/>
      <c r="W266" s="18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</row>
    <row r="267" spans="1:36" ht="11.25" customHeight="1" x14ac:dyDescent="0.2">
      <c r="A267" s="74" t="s">
        <v>28</v>
      </c>
      <c r="B267" s="74" t="s">
        <v>35</v>
      </c>
      <c r="C267" s="74" t="s">
        <v>39</v>
      </c>
      <c r="D267" s="74" t="s">
        <v>43</v>
      </c>
      <c r="E267" s="74" t="s">
        <v>25</v>
      </c>
      <c r="F267" s="74" t="s">
        <v>25</v>
      </c>
      <c r="G267" s="74" t="s">
        <v>25</v>
      </c>
      <c r="H267" s="74" t="s">
        <v>25</v>
      </c>
      <c r="I267" s="80">
        <v>44713</v>
      </c>
      <c r="J267" s="81">
        <f ca="1">EFEITO!$J$267*EFEITO!$Y$267</f>
        <v>2173.3731888847865</v>
      </c>
      <c r="K267" s="81">
        <f>EFEITO!$L$267*EFEITO!$Z$267</f>
        <v>0</v>
      </c>
      <c r="L267" s="81">
        <f>EFEITO!$N$267*EFEITO!$AA$267</f>
        <v>0</v>
      </c>
      <c r="M267" s="81">
        <f ca="1">$J$267-EFEITO!$K$267*EFEITO!$Y$267</f>
        <v>0</v>
      </c>
      <c r="N267" s="81">
        <f>$K$267-EFEITO!$M$267*EFEITO!$Z$267</f>
        <v>0</v>
      </c>
      <c r="O267" s="81">
        <f>$L$267-EFEITO!$O$267*EFEITO!$AA$267</f>
        <v>0</v>
      </c>
      <c r="P267" s="18"/>
      <c r="Q267" s="18"/>
      <c r="R267" s="18"/>
      <c r="S267" s="18"/>
      <c r="T267" s="18"/>
      <c r="U267" s="18"/>
      <c r="V267" s="18"/>
      <c r="W267" s="18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</row>
    <row r="268" spans="1:36" ht="11.25" customHeight="1" x14ac:dyDescent="0.2">
      <c r="A268" s="74" t="s">
        <v>55</v>
      </c>
      <c r="B268" s="74" t="s">
        <v>35</v>
      </c>
      <c r="C268" s="74" t="s">
        <v>39</v>
      </c>
      <c r="D268" s="74" t="s">
        <v>43</v>
      </c>
      <c r="E268" s="74" t="s">
        <v>25</v>
      </c>
      <c r="F268" s="74" t="s">
        <v>25</v>
      </c>
      <c r="G268" s="74" t="s">
        <v>25</v>
      </c>
      <c r="H268" s="74" t="s">
        <v>25</v>
      </c>
      <c r="I268" s="80">
        <v>44743</v>
      </c>
      <c r="J268" s="81">
        <f ca="1">EFEITO!$J$268*EFEITO!$Y$268</f>
        <v>1304.0239133308719</v>
      </c>
      <c r="K268" s="81">
        <f>EFEITO!$L$268*EFEITO!$Z$268</f>
        <v>0</v>
      </c>
      <c r="L268" s="81">
        <f>EFEITO!$N$268*EFEITO!$AA$268</f>
        <v>0</v>
      </c>
      <c r="M268" s="81">
        <f ca="1">$J$268-EFEITO!$K$268*EFEITO!$Y$268</f>
        <v>0</v>
      </c>
      <c r="N268" s="81">
        <f>$K$268-EFEITO!$M$268*EFEITO!$Z$268</f>
        <v>0</v>
      </c>
      <c r="O268" s="81">
        <f>$L$268-EFEITO!$O$268*EFEITO!$AA$268</f>
        <v>0</v>
      </c>
      <c r="P268" s="18"/>
      <c r="Q268" s="18"/>
      <c r="R268" s="18"/>
      <c r="S268" s="18"/>
      <c r="T268" s="18"/>
      <c r="U268" s="18"/>
      <c r="V268" s="18"/>
      <c r="W268" s="18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</row>
    <row r="269" spans="1:36" ht="11.25" customHeight="1" x14ac:dyDescent="0.2">
      <c r="A269" s="74" t="s">
        <v>55</v>
      </c>
      <c r="B269" s="74" t="s">
        <v>35</v>
      </c>
      <c r="C269" s="74" t="s">
        <v>39</v>
      </c>
      <c r="D269" s="74" t="s">
        <v>43</v>
      </c>
      <c r="E269" s="74" t="s">
        <v>25</v>
      </c>
      <c r="F269" s="74" t="s">
        <v>25</v>
      </c>
      <c r="G269" s="74" t="s">
        <v>25</v>
      </c>
      <c r="H269" s="74" t="s">
        <v>25</v>
      </c>
      <c r="I269" s="80">
        <v>44743</v>
      </c>
      <c r="J269" s="81">
        <f ca="1">EFEITO!$J$269*EFEITO!$Y$269</f>
        <v>2173.3731888847865</v>
      </c>
      <c r="K269" s="81">
        <f>EFEITO!$L$269*EFEITO!$Z$269</f>
        <v>0</v>
      </c>
      <c r="L269" s="81">
        <f>EFEITO!$N$269*EFEITO!$AA$269</f>
        <v>0</v>
      </c>
      <c r="M269" s="81">
        <f ca="1">$J$269-EFEITO!$K$269*EFEITO!$Y$269</f>
        <v>0</v>
      </c>
      <c r="N269" s="81">
        <f>$K$269-EFEITO!$M$269*EFEITO!$Z$269</f>
        <v>0</v>
      </c>
      <c r="O269" s="81">
        <f>$L$269-EFEITO!$O$269*EFEITO!$AA$269</f>
        <v>0</v>
      </c>
      <c r="P269" s="18"/>
      <c r="Q269" s="18"/>
      <c r="R269" s="18"/>
      <c r="S269" s="18"/>
      <c r="T269" s="18"/>
      <c r="U269" s="18"/>
      <c r="V269" s="18"/>
      <c r="W269" s="18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</row>
    <row r="270" spans="1:36" ht="11.25" customHeight="1" x14ac:dyDescent="0.2">
      <c r="A270" s="74" t="s">
        <v>21</v>
      </c>
      <c r="B270" s="74" t="s">
        <v>35</v>
      </c>
      <c r="C270" s="74" t="s">
        <v>39</v>
      </c>
      <c r="D270" s="74" t="s">
        <v>43</v>
      </c>
      <c r="E270" s="74" t="s">
        <v>25</v>
      </c>
      <c r="F270" s="74" t="s">
        <v>25</v>
      </c>
      <c r="G270" s="74" t="s">
        <v>25</v>
      </c>
      <c r="H270" s="74" t="s">
        <v>37</v>
      </c>
      <c r="I270" s="80">
        <v>44409</v>
      </c>
      <c r="J270" s="81">
        <f>EFEITO!$J$270*EFEITO!$Y$270</f>
        <v>0</v>
      </c>
      <c r="K270" s="81">
        <f ca="1">EFEITO!$L$270*EFEITO!$Z$270</f>
        <v>2491.7934173795561</v>
      </c>
      <c r="L270" s="81">
        <f>EFEITO!$N$270*EFEITO!$AA$270</f>
        <v>605.40638758027012</v>
      </c>
      <c r="M270" s="81">
        <f>$J$270-EFEITO!$K$270*EFEITO!$Y$270</f>
        <v>0</v>
      </c>
      <c r="N270" s="81">
        <f ca="1">$K$270-EFEITO!$M$270*EFEITO!$Z$270</f>
        <v>0</v>
      </c>
      <c r="O270" s="81">
        <f>$L$270-EFEITO!$O$270*EFEITO!$AA$270</f>
        <v>0</v>
      </c>
      <c r="P270" s="18"/>
      <c r="Q270" s="18"/>
      <c r="R270" s="18"/>
      <c r="S270" s="18"/>
      <c r="T270" s="18"/>
      <c r="U270" s="18"/>
      <c r="V270" s="18"/>
      <c r="W270" s="18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</row>
    <row r="271" spans="1:36" ht="11.25" customHeight="1" x14ac:dyDescent="0.2">
      <c r="A271" s="74" t="s">
        <v>21</v>
      </c>
      <c r="B271" s="74" t="s">
        <v>35</v>
      </c>
      <c r="C271" s="74" t="s">
        <v>39</v>
      </c>
      <c r="D271" s="74" t="s">
        <v>43</v>
      </c>
      <c r="E271" s="74" t="s">
        <v>25</v>
      </c>
      <c r="F271" s="74" t="s">
        <v>25</v>
      </c>
      <c r="G271" s="74" t="s">
        <v>25</v>
      </c>
      <c r="H271" s="74" t="s">
        <v>37</v>
      </c>
      <c r="I271" s="80">
        <v>44440</v>
      </c>
      <c r="J271" s="81">
        <f>EFEITO!$J$271*EFEITO!$Y$271</f>
        <v>0</v>
      </c>
      <c r="K271" s="81">
        <f ca="1">EFEITO!$L$271*EFEITO!$Z$271</f>
        <v>2642.5849902707096</v>
      </c>
      <c r="L271" s="81">
        <f>EFEITO!$N$271*EFEITO!$AA$271</f>
        <v>642.04272379693123</v>
      </c>
      <c r="M271" s="81">
        <f>$J$271-EFEITO!$K$271*EFEITO!$Y$271</f>
        <v>0</v>
      </c>
      <c r="N271" s="81">
        <f ca="1">$K$271-EFEITO!$M$271*EFEITO!$Z$271</f>
        <v>0</v>
      </c>
      <c r="O271" s="81">
        <f>$L$271-EFEITO!$O$271*EFEITO!$AA$271</f>
        <v>0</v>
      </c>
      <c r="P271" s="18"/>
      <c r="Q271" s="18"/>
      <c r="R271" s="18"/>
      <c r="S271" s="18"/>
      <c r="T271" s="18"/>
      <c r="U271" s="18"/>
      <c r="V271" s="18"/>
      <c r="W271" s="18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</row>
    <row r="272" spans="1:36" ht="11.25" customHeight="1" x14ac:dyDescent="0.2">
      <c r="A272" s="74" t="s">
        <v>21</v>
      </c>
      <c r="B272" s="74" t="s">
        <v>35</v>
      </c>
      <c r="C272" s="74" t="s">
        <v>39</v>
      </c>
      <c r="D272" s="74" t="s">
        <v>43</v>
      </c>
      <c r="E272" s="74" t="s">
        <v>25</v>
      </c>
      <c r="F272" s="74" t="s">
        <v>25</v>
      </c>
      <c r="G272" s="74" t="s">
        <v>25</v>
      </c>
      <c r="H272" s="74" t="s">
        <v>37</v>
      </c>
      <c r="I272" s="80">
        <v>44470</v>
      </c>
      <c r="J272" s="81">
        <f>EFEITO!$J$272*EFEITO!$Y$272</f>
        <v>0</v>
      </c>
      <c r="K272" s="81">
        <f ca="1">EFEITO!$L$272*EFEITO!$Z$272</f>
        <v>2349.9597597096595</v>
      </c>
      <c r="L272" s="81">
        <f>EFEITO!$N$272*EFEITO!$AA$272</f>
        <v>570.94646737648009</v>
      </c>
      <c r="M272" s="81">
        <f>$J$272-EFEITO!$K$272*EFEITO!$Y$272</f>
        <v>0</v>
      </c>
      <c r="N272" s="81">
        <f ca="1">$K$272-EFEITO!$M$272*EFEITO!$Z$272</f>
        <v>0</v>
      </c>
      <c r="O272" s="81">
        <f>$L$272-EFEITO!$O$272*EFEITO!$AA$272</f>
        <v>0</v>
      </c>
      <c r="P272" s="18"/>
      <c r="Q272" s="18"/>
      <c r="R272" s="18"/>
      <c r="S272" s="18"/>
      <c r="T272" s="18"/>
      <c r="U272" s="18"/>
      <c r="V272" s="18"/>
      <c r="W272" s="18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</row>
    <row r="273" spans="1:36" ht="11.25" customHeight="1" x14ac:dyDescent="0.2">
      <c r="A273" s="74" t="s">
        <v>21</v>
      </c>
      <c r="B273" s="74" t="s">
        <v>35</v>
      </c>
      <c r="C273" s="74" t="s">
        <v>39</v>
      </c>
      <c r="D273" s="74" t="s">
        <v>43</v>
      </c>
      <c r="E273" s="74" t="s">
        <v>25</v>
      </c>
      <c r="F273" s="74" t="s">
        <v>25</v>
      </c>
      <c r="G273" s="74" t="s">
        <v>25</v>
      </c>
      <c r="H273" s="74" t="s">
        <v>37</v>
      </c>
      <c r="I273" s="80">
        <v>44501</v>
      </c>
      <c r="J273" s="81">
        <f>EFEITO!$J$273*EFEITO!$Y$273</f>
        <v>0</v>
      </c>
      <c r="K273" s="81">
        <f ca="1">EFEITO!$L$273*EFEITO!$Z$273</f>
        <v>2763.5168457576742</v>
      </c>
      <c r="L273" s="81">
        <f>EFEITO!$N$273*EFEITO!$AA$273</f>
        <v>671.42433997068906</v>
      </c>
      <c r="M273" s="81">
        <f>$J$273-EFEITO!$K$273*EFEITO!$Y$273</f>
        <v>0</v>
      </c>
      <c r="N273" s="81">
        <f ca="1">$K$273-EFEITO!$M$273*EFEITO!$Z$273</f>
        <v>0</v>
      </c>
      <c r="O273" s="81">
        <f>$L$273-EFEITO!$O$273*EFEITO!$AA$273</f>
        <v>0</v>
      </c>
      <c r="P273" s="18"/>
      <c r="Q273" s="18"/>
      <c r="R273" s="18"/>
      <c r="S273" s="18"/>
      <c r="T273" s="18"/>
      <c r="U273" s="18"/>
      <c r="V273" s="18"/>
      <c r="W273" s="18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</row>
    <row r="274" spans="1:36" ht="11.25" customHeight="1" x14ac:dyDescent="0.2">
      <c r="A274" s="74" t="s">
        <v>21</v>
      </c>
      <c r="B274" s="74" t="s">
        <v>35</v>
      </c>
      <c r="C274" s="74" t="s">
        <v>39</v>
      </c>
      <c r="D274" s="74" t="s">
        <v>43</v>
      </c>
      <c r="E274" s="74" t="s">
        <v>25</v>
      </c>
      <c r="F274" s="74" t="s">
        <v>25</v>
      </c>
      <c r="G274" s="74" t="s">
        <v>25</v>
      </c>
      <c r="H274" s="74" t="s">
        <v>37</v>
      </c>
      <c r="I274" s="80">
        <v>44531</v>
      </c>
      <c r="J274" s="81">
        <f>EFEITO!$J$274*EFEITO!$Y$274</f>
        <v>0</v>
      </c>
      <c r="K274" s="81">
        <f ca="1">EFEITO!$L$274*EFEITO!$Z$274</f>
        <v>851.00194601938097</v>
      </c>
      <c r="L274" s="81">
        <f>EFEITO!$N$274*EFEITO!$AA$274</f>
        <v>206.75952122274055</v>
      </c>
      <c r="M274" s="81">
        <f>$J$274-EFEITO!$K$274*EFEITO!$Y$274</f>
        <v>0</v>
      </c>
      <c r="N274" s="81">
        <f ca="1">$K$274-EFEITO!$M$274*EFEITO!$Z$274</f>
        <v>0</v>
      </c>
      <c r="O274" s="81">
        <f>$L$274-EFEITO!$O$274*EFEITO!$AA$274</f>
        <v>0</v>
      </c>
      <c r="P274" s="18"/>
      <c r="Q274" s="18"/>
      <c r="R274" s="18"/>
      <c r="S274" s="18"/>
      <c r="T274" s="18"/>
      <c r="U274" s="18"/>
      <c r="V274" s="18"/>
      <c r="W274" s="18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</row>
    <row r="275" spans="1:36" ht="11.25" customHeight="1" x14ac:dyDescent="0.2">
      <c r="A275" s="74" t="s">
        <v>28</v>
      </c>
      <c r="B275" s="74" t="s">
        <v>35</v>
      </c>
      <c r="C275" s="74" t="s">
        <v>39</v>
      </c>
      <c r="D275" s="74" t="s">
        <v>43</v>
      </c>
      <c r="E275" s="74" t="s">
        <v>25</v>
      </c>
      <c r="F275" s="74" t="s">
        <v>25</v>
      </c>
      <c r="G275" s="74" t="s">
        <v>25</v>
      </c>
      <c r="H275" s="74" t="s">
        <v>37</v>
      </c>
      <c r="I275" s="80">
        <v>44531</v>
      </c>
      <c r="J275" s="81">
        <f>EFEITO!$J$275*EFEITO!$Y$275</f>
        <v>0</v>
      </c>
      <c r="K275" s="81">
        <f ca="1">EFEITO!$L$275*EFEITO!$Z$275</f>
        <v>2332.0439292671463</v>
      </c>
      <c r="L275" s="81">
        <f>EFEITO!$N$275*EFEITO!$AA$275</f>
        <v>566.59363535073817</v>
      </c>
      <c r="M275" s="81">
        <f>$J$275-EFEITO!$K$275*EFEITO!$Y$275</f>
        <v>0</v>
      </c>
      <c r="N275" s="81">
        <f ca="1">$K$275-EFEITO!$M$275*EFEITO!$Z$275</f>
        <v>0</v>
      </c>
      <c r="O275" s="81">
        <f>$L$275-EFEITO!$O$275*EFEITO!$AA$275</f>
        <v>0</v>
      </c>
      <c r="P275" s="18"/>
      <c r="Q275" s="18"/>
      <c r="R275" s="18"/>
      <c r="S275" s="18"/>
      <c r="T275" s="18"/>
      <c r="U275" s="18"/>
      <c r="V275" s="18"/>
      <c r="W275" s="18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</row>
    <row r="276" spans="1:36" ht="11.25" customHeight="1" x14ac:dyDescent="0.2">
      <c r="A276" s="74" t="s">
        <v>21</v>
      </c>
      <c r="B276" s="74" t="s">
        <v>35</v>
      </c>
      <c r="C276" s="74" t="s">
        <v>39</v>
      </c>
      <c r="D276" s="74" t="s">
        <v>43</v>
      </c>
      <c r="E276" s="74" t="s">
        <v>25</v>
      </c>
      <c r="F276" s="74" t="s">
        <v>25</v>
      </c>
      <c r="G276" s="74" t="s">
        <v>25</v>
      </c>
      <c r="H276" s="74" t="s">
        <v>37</v>
      </c>
      <c r="I276" s="80">
        <v>44562</v>
      </c>
      <c r="J276" s="81">
        <f>EFEITO!$J$276*EFEITO!$Y$276</f>
        <v>0</v>
      </c>
      <c r="K276" s="81">
        <f ca="1">EFEITO!$L$276*EFEITO!$Z$276</f>
        <v>864.43881885126598</v>
      </c>
      <c r="L276" s="81">
        <f>EFEITO!$N$276*EFEITO!$AA$276</f>
        <v>210.02414524204696</v>
      </c>
      <c r="M276" s="81">
        <f>$J$276-EFEITO!$K$276*EFEITO!$Y$276</f>
        <v>0</v>
      </c>
      <c r="N276" s="81">
        <f ca="1">$K$276-EFEITO!$M$276*EFEITO!$Z$276</f>
        <v>0</v>
      </c>
      <c r="O276" s="81">
        <f>$L$276-EFEITO!$O$276*EFEITO!$AA$276</f>
        <v>0</v>
      </c>
      <c r="P276" s="18"/>
      <c r="Q276" s="18"/>
      <c r="R276" s="18"/>
      <c r="S276" s="18"/>
      <c r="T276" s="18"/>
      <c r="U276" s="18"/>
      <c r="V276" s="18"/>
      <c r="W276" s="18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</row>
    <row r="277" spans="1:36" ht="11.25" customHeight="1" x14ac:dyDescent="0.2">
      <c r="A277" s="74" t="s">
        <v>28</v>
      </c>
      <c r="B277" s="74" t="s">
        <v>35</v>
      </c>
      <c r="C277" s="74" t="s">
        <v>39</v>
      </c>
      <c r="D277" s="74" t="s">
        <v>43</v>
      </c>
      <c r="E277" s="74" t="s">
        <v>25</v>
      </c>
      <c r="F277" s="74" t="s">
        <v>25</v>
      </c>
      <c r="G277" s="74" t="s">
        <v>25</v>
      </c>
      <c r="H277" s="74" t="s">
        <v>37</v>
      </c>
      <c r="I277" s="80">
        <v>44562</v>
      </c>
      <c r="J277" s="81">
        <f>EFEITO!$J$277*EFEITO!$Y$277</f>
        <v>0</v>
      </c>
      <c r="K277" s="81">
        <f ca="1">EFEITO!$L$277*EFEITO!$Z$277</f>
        <v>1866.2323377618006</v>
      </c>
      <c r="L277" s="81">
        <f>EFEITO!$N$277*EFEITO!$AA$277</f>
        <v>453.42000268144858</v>
      </c>
      <c r="M277" s="81">
        <f>$J$277-EFEITO!$K$277*EFEITO!$Y$277</f>
        <v>0</v>
      </c>
      <c r="N277" s="81">
        <f ca="1">$K$277-EFEITO!$M$277*EFEITO!$Z$277</f>
        <v>0</v>
      </c>
      <c r="O277" s="81">
        <f>$L$277-EFEITO!$O$277*EFEITO!$AA$277</f>
        <v>0</v>
      </c>
      <c r="P277" s="18"/>
      <c r="Q277" s="18"/>
      <c r="R277" s="18"/>
      <c r="S277" s="18"/>
      <c r="T277" s="18"/>
      <c r="U277" s="18"/>
      <c r="V277" s="18"/>
      <c r="W277" s="18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</row>
    <row r="278" spans="1:36" ht="11.25" customHeight="1" x14ac:dyDescent="0.2">
      <c r="A278" s="74" t="s">
        <v>21</v>
      </c>
      <c r="B278" s="74" t="s">
        <v>35</v>
      </c>
      <c r="C278" s="74" t="s">
        <v>39</v>
      </c>
      <c r="D278" s="74" t="s">
        <v>43</v>
      </c>
      <c r="E278" s="74" t="s">
        <v>25</v>
      </c>
      <c r="F278" s="74" t="s">
        <v>25</v>
      </c>
      <c r="G278" s="74" t="s">
        <v>25</v>
      </c>
      <c r="H278" s="74" t="s">
        <v>37</v>
      </c>
      <c r="I278" s="80">
        <v>44593</v>
      </c>
      <c r="J278" s="81">
        <f>EFEITO!$J$278*EFEITO!$Y$278</f>
        <v>0</v>
      </c>
      <c r="K278" s="81">
        <f ca="1">EFEITO!$L$278*EFEITO!$Z$278</f>
        <v>812.18431339393567</v>
      </c>
      <c r="L278" s="81">
        <f>EFEITO!$N$278*EFEITO!$AA$278</f>
        <v>197.32838516696643</v>
      </c>
      <c r="M278" s="81">
        <f>$J$278-EFEITO!$K$278*EFEITO!$Y$278</f>
        <v>0</v>
      </c>
      <c r="N278" s="81">
        <f ca="1">$K$278-EFEITO!$M$278*EFEITO!$Z$278</f>
        <v>0</v>
      </c>
      <c r="O278" s="81">
        <f>$L$278-EFEITO!$O$278*EFEITO!$AA$278</f>
        <v>0</v>
      </c>
      <c r="P278" s="18"/>
      <c r="Q278" s="18"/>
      <c r="R278" s="18"/>
      <c r="S278" s="18"/>
      <c r="T278" s="18"/>
      <c r="U278" s="18"/>
      <c r="V278" s="18"/>
      <c r="W278" s="18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</row>
    <row r="279" spans="1:36" ht="11.25" customHeight="1" x14ac:dyDescent="0.2">
      <c r="A279" s="74" t="s">
        <v>28</v>
      </c>
      <c r="B279" s="74" t="s">
        <v>35</v>
      </c>
      <c r="C279" s="74" t="s">
        <v>39</v>
      </c>
      <c r="D279" s="74" t="s">
        <v>43</v>
      </c>
      <c r="E279" s="74" t="s">
        <v>25</v>
      </c>
      <c r="F279" s="74" t="s">
        <v>25</v>
      </c>
      <c r="G279" s="74" t="s">
        <v>25</v>
      </c>
      <c r="H279" s="74" t="s">
        <v>37</v>
      </c>
      <c r="I279" s="80">
        <v>44593</v>
      </c>
      <c r="J279" s="81">
        <f>EFEITO!$J$279*EFEITO!$Y$279</f>
        <v>0</v>
      </c>
      <c r="K279" s="81">
        <f ca="1">EFEITO!$L$279*EFEITO!$Z$279</f>
        <v>2318.6070564352608</v>
      </c>
      <c r="L279" s="81">
        <f>EFEITO!$N$279*EFEITO!$AA$279</f>
        <v>563.32901133143173</v>
      </c>
      <c r="M279" s="81">
        <f>$J$279-EFEITO!$K$279*EFEITO!$Y$279</f>
        <v>0</v>
      </c>
      <c r="N279" s="81">
        <f ca="1">$K$279-EFEITO!$M$279*EFEITO!$Z$279</f>
        <v>0</v>
      </c>
      <c r="O279" s="81">
        <f>$L$279-EFEITO!$O$279*EFEITO!$AA$279</f>
        <v>0</v>
      </c>
      <c r="P279" s="18"/>
      <c r="Q279" s="18"/>
      <c r="R279" s="18"/>
      <c r="S279" s="18"/>
      <c r="T279" s="18"/>
      <c r="U279" s="18"/>
      <c r="V279" s="18"/>
      <c r="W279" s="18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</row>
    <row r="280" spans="1:36" ht="11.25" customHeight="1" x14ac:dyDescent="0.2">
      <c r="A280" s="74" t="s">
        <v>21</v>
      </c>
      <c r="B280" s="74" t="s">
        <v>35</v>
      </c>
      <c r="C280" s="74" t="s">
        <v>39</v>
      </c>
      <c r="D280" s="74" t="s">
        <v>43</v>
      </c>
      <c r="E280" s="74" t="s">
        <v>25</v>
      </c>
      <c r="F280" s="74" t="s">
        <v>25</v>
      </c>
      <c r="G280" s="74" t="s">
        <v>25</v>
      </c>
      <c r="H280" s="74" t="s">
        <v>37</v>
      </c>
      <c r="I280" s="80">
        <v>44621</v>
      </c>
      <c r="J280" s="81">
        <f>EFEITO!$J$280*EFEITO!$Y$280</f>
        <v>0</v>
      </c>
      <c r="K280" s="81">
        <f ca="1">EFEITO!$L$280*EFEITO!$Z$280</f>
        <v>876.38270581294148</v>
      </c>
      <c r="L280" s="81">
        <f>EFEITO!$N$280*EFEITO!$AA$280</f>
        <v>212.92603325920825</v>
      </c>
      <c r="M280" s="81">
        <f>$J$280-EFEITO!$K$280*EFEITO!$Y$280</f>
        <v>0</v>
      </c>
      <c r="N280" s="81">
        <f ca="1">$K$280-EFEITO!$M$280*EFEITO!$Z$280</f>
        <v>0</v>
      </c>
      <c r="O280" s="81">
        <f>$L$280-EFEITO!$O$280*EFEITO!$AA$280</f>
        <v>0</v>
      </c>
      <c r="P280" s="18"/>
      <c r="Q280" s="18"/>
      <c r="R280" s="18"/>
      <c r="S280" s="18"/>
      <c r="T280" s="18"/>
      <c r="U280" s="18"/>
      <c r="V280" s="18"/>
      <c r="W280" s="18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</row>
    <row r="281" spans="1:36" ht="11.25" customHeight="1" x14ac:dyDescent="0.2">
      <c r="A281" s="74" t="s">
        <v>28</v>
      </c>
      <c r="B281" s="74" t="s">
        <v>35</v>
      </c>
      <c r="C281" s="74" t="s">
        <v>39</v>
      </c>
      <c r="D281" s="74" t="s">
        <v>43</v>
      </c>
      <c r="E281" s="74" t="s">
        <v>25</v>
      </c>
      <c r="F281" s="74" t="s">
        <v>25</v>
      </c>
      <c r="G281" s="74" t="s">
        <v>25</v>
      </c>
      <c r="H281" s="74" t="s">
        <v>37</v>
      </c>
      <c r="I281" s="80">
        <v>44621</v>
      </c>
      <c r="J281" s="81">
        <f>EFEITO!$J$281*EFEITO!$Y$281</f>
        <v>0</v>
      </c>
      <c r="K281" s="81">
        <f ca="1">EFEITO!$L$281*EFEITO!$Z$281</f>
        <v>1884.1481682043138</v>
      </c>
      <c r="L281" s="81">
        <f>EFEITO!$N$281*EFEITO!$AA$281</f>
        <v>457.7728347071905</v>
      </c>
      <c r="M281" s="81">
        <f>$J$281-EFEITO!$K$281*EFEITO!$Y$281</f>
        <v>0</v>
      </c>
      <c r="N281" s="81">
        <f ca="1">$K$281-EFEITO!$M$281*EFEITO!$Z$281</f>
        <v>0</v>
      </c>
      <c r="O281" s="81">
        <f>$L$281-EFEITO!$O$281*EFEITO!$AA$281</f>
        <v>0</v>
      </c>
      <c r="P281" s="18"/>
      <c r="Q281" s="18"/>
      <c r="R281" s="18"/>
      <c r="S281" s="18"/>
      <c r="T281" s="18"/>
      <c r="U281" s="18"/>
      <c r="V281" s="18"/>
      <c r="W281" s="18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</row>
    <row r="282" spans="1:36" ht="11.25" customHeight="1" x14ac:dyDescent="0.2">
      <c r="A282" s="74" t="s">
        <v>21</v>
      </c>
      <c r="B282" s="74" t="s">
        <v>35</v>
      </c>
      <c r="C282" s="74" t="s">
        <v>39</v>
      </c>
      <c r="D282" s="74" t="s">
        <v>43</v>
      </c>
      <c r="E282" s="74" t="s">
        <v>25</v>
      </c>
      <c r="F282" s="74" t="s">
        <v>25</v>
      </c>
      <c r="G282" s="74" t="s">
        <v>25</v>
      </c>
      <c r="H282" s="74" t="s">
        <v>37</v>
      </c>
      <c r="I282" s="80">
        <v>44652</v>
      </c>
      <c r="J282" s="81">
        <f>EFEITO!$J$282*EFEITO!$Y$282</f>
        <v>0</v>
      </c>
      <c r="K282" s="81">
        <f ca="1">EFEITO!$L$282*EFEITO!$Z$282</f>
        <v>728.57710466220692</v>
      </c>
      <c r="L282" s="81">
        <f>EFEITO!$N$282*EFEITO!$AA$282</f>
        <v>177.01516904683751</v>
      </c>
      <c r="M282" s="81">
        <f>$J$282-EFEITO!$K$282*EFEITO!$Y$282</f>
        <v>0</v>
      </c>
      <c r="N282" s="81">
        <f ca="1">$K$282-EFEITO!$M$282*EFEITO!$Z$282</f>
        <v>0</v>
      </c>
      <c r="O282" s="81">
        <f>$L$282-EFEITO!$O$282*EFEITO!$AA$282</f>
        <v>0</v>
      </c>
      <c r="P282" s="18"/>
      <c r="Q282" s="18"/>
      <c r="R282" s="18"/>
      <c r="S282" s="18"/>
      <c r="T282" s="18"/>
      <c r="U282" s="18"/>
      <c r="V282" s="18"/>
      <c r="W282" s="18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</row>
    <row r="283" spans="1:36" ht="11.25" customHeight="1" x14ac:dyDescent="0.2">
      <c r="A283" s="74" t="s">
        <v>28</v>
      </c>
      <c r="B283" s="74" t="s">
        <v>35</v>
      </c>
      <c r="C283" s="74" t="s">
        <v>39</v>
      </c>
      <c r="D283" s="74" t="s">
        <v>43</v>
      </c>
      <c r="E283" s="74" t="s">
        <v>25</v>
      </c>
      <c r="F283" s="74" t="s">
        <v>25</v>
      </c>
      <c r="G283" s="74" t="s">
        <v>25</v>
      </c>
      <c r="H283" s="74" t="s">
        <v>37</v>
      </c>
      <c r="I283" s="80">
        <v>44652</v>
      </c>
      <c r="J283" s="81">
        <f>EFEITO!$J$283*EFEITO!$Y$283</f>
        <v>0</v>
      </c>
      <c r="K283" s="81">
        <f ca="1">EFEITO!$L$283*EFEITO!$Z$283</f>
        <v>1828.9076910065646</v>
      </c>
      <c r="L283" s="81">
        <f>EFEITO!$N$283*EFEITO!$AA$283</f>
        <v>444.35160262781966</v>
      </c>
      <c r="M283" s="81">
        <f>$J$283-EFEITO!$K$283*EFEITO!$Y$283</f>
        <v>0</v>
      </c>
      <c r="N283" s="81">
        <f ca="1">$K$283-EFEITO!$M$283*EFEITO!$Z$283</f>
        <v>0</v>
      </c>
      <c r="O283" s="81">
        <f>$L$283-EFEITO!$O$283*EFEITO!$AA$283</f>
        <v>0</v>
      </c>
      <c r="P283" s="18"/>
      <c r="Q283" s="18"/>
      <c r="R283" s="18"/>
      <c r="S283" s="18"/>
      <c r="T283" s="18"/>
      <c r="U283" s="18"/>
      <c r="V283" s="18"/>
      <c r="W283" s="18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</row>
    <row r="284" spans="1:36" ht="11.25" customHeight="1" x14ac:dyDescent="0.2">
      <c r="A284" s="74" t="s">
        <v>21</v>
      </c>
      <c r="B284" s="74" t="s">
        <v>35</v>
      </c>
      <c r="C284" s="74" t="s">
        <v>39</v>
      </c>
      <c r="D284" s="74" t="s">
        <v>43</v>
      </c>
      <c r="E284" s="74" t="s">
        <v>25</v>
      </c>
      <c r="F284" s="74" t="s">
        <v>25</v>
      </c>
      <c r="G284" s="74" t="s">
        <v>25</v>
      </c>
      <c r="H284" s="74" t="s">
        <v>37</v>
      </c>
      <c r="I284" s="80">
        <v>44682</v>
      </c>
      <c r="J284" s="81">
        <f>EFEITO!$J$284*EFEITO!$Y$284</f>
        <v>0</v>
      </c>
      <c r="K284" s="81">
        <f ca="1">EFEITO!$L$284*EFEITO!$Z$284</f>
        <v>803.22639817267907</v>
      </c>
      <c r="L284" s="81">
        <f>EFEITO!$N$284*EFEITO!$AA$284</f>
        <v>195.15196915409547</v>
      </c>
      <c r="M284" s="81">
        <f>$J$284-EFEITO!$K$284*EFEITO!$Y$284</f>
        <v>0</v>
      </c>
      <c r="N284" s="81">
        <f ca="1">$K$284-EFEITO!$M$284*EFEITO!$Z$284</f>
        <v>0</v>
      </c>
      <c r="O284" s="81">
        <f>$L$284-EFEITO!$O$284*EFEITO!$AA$284</f>
        <v>0</v>
      </c>
      <c r="P284" s="18"/>
      <c r="Q284" s="18"/>
      <c r="R284" s="18"/>
      <c r="S284" s="18"/>
      <c r="T284" s="18"/>
      <c r="U284" s="18"/>
      <c r="V284" s="18"/>
      <c r="W284" s="18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</row>
    <row r="285" spans="1:36" ht="11.25" customHeight="1" x14ac:dyDescent="0.2">
      <c r="A285" s="74" t="s">
        <v>28</v>
      </c>
      <c r="B285" s="74" t="s">
        <v>35</v>
      </c>
      <c r="C285" s="74" t="s">
        <v>39</v>
      </c>
      <c r="D285" s="74" t="s">
        <v>43</v>
      </c>
      <c r="E285" s="74" t="s">
        <v>25</v>
      </c>
      <c r="F285" s="74" t="s">
        <v>25</v>
      </c>
      <c r="G285" s="74" t="s">
        <v>25</v>
      </c>
      <c r="H285" s="74" t="s">
        <v>37</v>
      </c>
      <c r="I285" s="80">
        <v>44682</v>
      </c>
      <c r="J285" s="81">
        <f>EFEITO!$J$285*EFEITO!$Y$285</f>
        <v>0</v>
      </c>
      <c r="K285" s="81">
        <f ca="1">EFEITO!$L$285*EFEITO!$Z$285</f>
        <v>1942.3746171424818</v>
      </c>
      <c r="L285" s="81">
        <f>EFEITO!$N$285*EFEITO!$AA$285</f>
        <v>471.91953879085168</v>
      </c>
      <c r="M285" s="81">
        <f>$J$285-EFEITO!$K$285*EFEITO!$Y$285</f>
        <v>0</v>
      </c>
      <c r="N285" s="81">
        <f ca="1">$K$285-EFEITO!$M$285*EFEITO!$Z$285</f>
        <v>0</v>
      </c>
      <c r="O285" s="81">
        <f>$L$285-EFEITO!$O$285*EFEITO!$AA$285</f>
        <v>0</v>
      </c>
      <c r="P285" s="18"/>
      <c r="Q285" s="18"/>
      <c r="R285" s="18"/>
      <c r="S285" s="18"/>
      <c r="T285" s="18"/>
      <c r="U285" s="18"/>
      <c r="V285" s="18"/>
      <c r="W285" s="18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</row>
    <row r="286" spans="1:36" ht="11.25" customHeight="1" x14ac:dyDescent="0.2">
      <c r="A286" s="74" t="s">
        <v>21</v>
      </c>
      <c r="B286" s="74" t="s">
        <v>35</v>
      </c>
      <c r="C286" s="74" t="s">
        <v>39</v>
      </c>
      <c r="D286" s="74" t="s">
        <v>43</v>
      </c>
      <c r="E286" s="74" t="s">
        <v>25</v>
      </c>
      <c r="F286" s="74" t="s">
        <v>25</v>
      </c>
      <c r="G286" s="74" t="s">
        <v>25</v>
      </c>
      <c r="H286" s="74" t="s">
        <v>37</v>
      </c>
      <c r="I286" s="80">
        <v>44713</v>
      </c>
      <c r="J286" s="81">
        <f>EFEITO!$J$286*EFEITO!$Y$286</f>
        <v>0</v>
      </c>
      <c r="K286" s="81">
        <f ca="1">EFEITO!$L$286*EFEITO!$Z$286</f>
        <v>834.57910144707728</v>
      </c>
      <c r="L286" s="81">
        <f>EFEITO!$N$286*EFEITO!$AA$286</f>
        <v>202.76942519914383</v>
      </c>
      <c r="M286" s="81">
        <f>$J$286-EFEITO!$K$286*EFEITO!$Y$286</f>
        <v>0</v>
      </c>
      <c r="N286" s="81">
        <f ca="1">$K$286-EFEITO!$M$286*EFEITO!$Z$286</f>
        <v>0</v>
      </c>
      <c r="O286" s="81">
        <f>$L$286-EFEITO!$O$286*EFEITO!$AA$286</f>
        <v>0</v>
      </c>
      <c r="P286" s="18"/>
      <c r="Q286" s="18"/>
      <c r="R286" s="18"/>
      <c r="S286" s="18"/>
      <c r="T286" s="18"/>
      <c r="U286" s="18"/>
      <c r="V286" s="18"/>
      <c r="W286" s="18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</row>
    <row r="287" spans="1:36" ht="11.25" customHeight="1" x14ac:dyDescent="0.2">
      <c r="A287" s="74" t="s">
        <v>28</v>
      </c>
      <c r="B287" s="74" t="s">
        <v>35</v>
      </c>
      <c r="C287" s="74" t="s">
        <v>39</v>
      </c>
      <c r="D287" s="74" t="s">
        <v>43</v>
      </c>
      <c r="E287" s="74" t="s">
        <v>25</v>
      </c>
      <c r="F287" s="74" t="s">
        <v>25</v>
      </c>
      <c r="G287" s="74" t="s">
        <v>25</v>
      </c>
      <c r="H287" s="74" t="s">
        <v>37</v>
      </c>
      <c r="I287" s="80">
        <v>44713</v>
      </c>
      <c r="J287" s="81">
        <f>EFEITO!$J$287*EFEITO!$Y$287</f>
        <v>0</v>
      </c>
      <c r="K287" s="81">
        <f ca="1">EFEITO!$L$287*EFEITO!$Z$287</f>
        <v>1824.4287333959362</v>
      </c>
      <c r="L287" s="81">
        <f>EFEITO!$N$287*EFEITO!$AA$287</f>
        <v>443.26339462138412</v>
      </c>
      <c r="M287" s="81">
        <f>$J$287-EFEITO!$K$287*EFEITO!$Y$287</f>
        <v>0</v>
      </c>
      <c r="N287" s="81">
        <f ca="1">$K$287-EFEITO!$M$287*EFEITO!$Z$287</f>
        <v>0</v>
      </c>
      <c r="O287" s="81">
        <f>$L$287-EFEITO!$O$287*EFEITO!$AA$287</f>
        <v>0</v>
      </c>
      <c r="P287" s="18"/>
      <c r="Q287" s="18"/>
      <c r="R287" s="18"/>
      <c r="S287" s="18"/>
      <c r="T287" s="18"/>
      <c r="U287" s="18"/>
      <c r="V287" s="18"/>
      <c r="W287" s="18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</row>
    <row r="288" spans="1:36" ht="11.25" customHeight="1" x14ac:dyDescent="0.2">
      <c r="A288" s="74" t="s">
        <v>55</v>
      </c>
      <c r="B288" s="74" t="s">
        <v>35</v>
      </c>
      <c r="C288" s="74" t="s">
        <v>39</v>
      </c>
      <c r="D288" s="74" t="s">
        <v>43</v>
      </c>
      <c r="E288" s="74" t="s">
        <v>25</v>
      </c>
      <c r="F288" s="74" t="s">
        <v>25</v>
      </c>
      <c r="G288" s="74" t="s">
        <v>25</v>
      </c>
      <c r="H288" s="74" t="s">
        <v>37</v>
      </c>
      <c r="I288" s="80">
        <v>44743</v>
      </c>
      <c r="J288" s="81">
        <f>EFEITO!$J$288*EFEITO!$Y$288</f>
        <v>0</v>
      </c>
      <c r="K288" s="81">
        <f ca="1">EFEITO!$L$288*EFEITO!$Z$288</f>
        <v>834.57910144707728</v>
      </c>
      <c r="L288" s="81">
        <f>EFEITO!$N$288*EFEITO!$AA$288</f>
        <v>202.76942519914383</v>
      </c>
      <c r="M288" s="81">
        <f>$J$288-EFEITO!$K$288*EFEITO!$Y$288</f>
        <v>0</v>
      </c>
      <c r="N288" s="81">
        <f ca="1">$K$288-EFEITO!$M$288*EFEITO!$Z$288</f>
        <v>0</v>
      </c>
      <c r="O288" s="81">
        <f>$L$288-EFEITO!$O$288*EFEITO!$AA$288</f>
        <v>0</v>
      </c>
      <c r="P288" s="18"/>
      <c r="Q288" s="18"/>
      <c r="R288" s="18"/>
      <c r="S288" s="18"/>
      <c r="T288" s="18"/>
      <c r="U288" s="18"/>
      <c r="V288" s="18"/>
      <c r="W288" s="18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</row>
    <row r="289" spans="1:36" ht="11.25" customHeight="1" x14ac:dyDescent="0.2">
      <c r="A289" s="74" t="s">
        <v>55</v>
      </c>
      <c r="B289" s="74" t="s">
        <v>35</v>
      </c>
      <c r="C289" s="74" t="s">
        <v>39</v>
      </c>
      <c r="D289" s="74" t="s">
        <v>43</v>
      </c>
      <c r="E289" s="74" t="s">
        <v>25</v>
      </c>
      <c r="F289" s="74" t="s">
        <v>25</v>
      </c>
      <c r="G289" s="74" t="s">
        <v>25</v>
      </c>
      <c r="H289" s="74" t="s">
        <v>37</v>
      </c>
      <c r="I289" s="80">
        <v>44743</v>
      </c>
      <c r="J289" s="81">
        <f>EFEITO!$J$289*EFEITO!$Y$289</f>
        <v>0</v>
      </c>
      <c r="K289" s="81">
        <f ca="1">EFEITO!$L$289*EFEITO!$Z$289</f>
        <v>1824.4287333959362</v>
      </c>
      <c r="L289" s="81">
        <f>EFEITO!$N$289*EFEITO!$AA$289</f>
        <v>443.26339462138412</v>
      </c>
      <c r="M289" s="81">
        <f>$J$289-EFEITO!$K$289*EFEITO!$Y$289</f>
        <v>0</v>
      </c>
      <c r="N289" s="81">
        <f ca="1">$K$289-EFEITO!$M$289*EFEITO!$Z$289</f>
        <v>0</v>
      </c>
      <c r="O289" s="81">
        <f>$L$289-EFEITO!$O$289*EFEITO!$AA$289</f>
        <v>0</v>
      </c>
      <c r="P289" s="18"/>
      <c r="Q289" s="18"/>
      <c r="R289" s="18"/>
      <c r="S289" s="18"/>
      <c r="T289" s="18"/>
      <c r="U289" s="18"/>
      <c r="V289" s="18"/>
      <c r="W289" s="18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</row>
    <row r="290" spans="1:36" ht="11.25" customHeight="1" x14ac:dyDescent="0.2">
      <c r="A290" s="74" t="s">
        <v>21</v>
      </c>
      <c r="B290" s="74" t="s">
        <v>35</v>
      </c>
      <c r="C290" s="74" t="s">
        <v>39</v>
      </c>
      <c r="D290" s="74" t="s">
        <v>47</v>
      </c>
      <c r="E290" s="74" t="s">
        <v>48</v>
      </c>
      <c r="F290" s="74" t="s">
        <v>25</v>
      </c>
      <c r="G290" s="74" t="s">
        <v>25</v>
      </c>
      <c r="H290" s="74" t="s">
        <v>38</v>
      </c>
      <c r="I290" s="80">
        <v>44409</v>
      </c>
      <c r="J290" s="81">
        <f>EFEITO!$J$290*EFEITO!$Y$249</f>
        <v>0</v>
      </c>
      <c r="K290" s="81">
        <f ca="1">EFEITO!$L$290*EFEITO!$Z$249</f>
        <v>17047.169754087707</v>
      </c>
      <c r="L290" s="81">
        <f>EFEITO!$N$290*EFEITO!$AA$249</f>
        <v>32261.936571070517</v>
      </c>
      <c r="M290" s="81">
        <f>$J$290-EFEITO!$K$290*EFEITO!$Y$290</f>
        <v>0</v>
      </c>
      <c r="N290" s="81">
        <f ca="1">$K$290-EFEITO!$M$290*EFEITO!$Z$290</f>
        <v>511.41509262263207</v>
      </c>
      <c r="O290" s="81">
        <f>$L$290-EFEITO!$O$290*EFEITO!$AA$290</f>
        <v>967.85809713211711</v>
      </c>
      <c r="P290" s="18"/>
      <c r="Q290" s="18"/>
      <c r="R290" s="18"/>
      <c r="S290" s="18"/>
      <c r="T290" s="18"/>
      <c r="U290" s="18"/>
      <c r="V290" s="18"/>
      <c r="W290" s="18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</row>
    <row r="291" spans="1:36" ht="11.25" customHeight="1" x14ac:dyDescent="0.2">
      <c r="A291" s="74" t="s">
        <v>21</v>
      </c>
      <c r="B291" s="74" t="s">
        <v>35</v>
      </c>
      <c r="C291" s="74" t="s">
        <v>39</v>
      </c>
      <c r="D291" s="74" t="s">
        <v>47</v>
      </c>
      <c r="E291" s="74" t="s">
        <v>48</v>
      </c>
      <c r="F291" s="74" t="s">
        <v>25</v>
      </c>
      <c r="G291" s="74" t="s">
        <v>25</v>
      </c>
      <c r="H291" s="74" t="s">
        <v>38</v>
      </c>
      <c r="I291" s="80">
        <v>44440</v>
      </c>
      <c r="J291" s="81">
        <f>EFEITO!$J$291*EFEITO!$Y$249</f>
        <v>0</v>
      </c>
      <c r="K291" s="81">
        <f ca="1">EFEITO!$L$291*EFEITO!$Z$249</f>
        <v>16370.575996247808</v>
      </c>
      <c r="L291" s="81">
        <f>EFEITO!$N$291*EFEITO!$AA$249</f>
        <v>30981.476224004466</v>
      </c>
      <c r="M291" s="81">
        <f>$J$291-EFEITO!$K$291*EFEITO!$Y$291</f>
        <v>0</v>
      </c>
      <c r="N291" s="81">
        <f ca="1">$K$291-EFEITO!$M$291*EFEITO!$Z$291</f>
        <v>491.11727988743405</v>
      </c>
      <c r="O291" s="81">
        <f>$L$291-EFEITO!$O$291*EFEITO!$AA$291</f>
        <v>929.44428672013601</v>
      </c>
      <c r="P291" s="18"/>
      <c r="Q291" s="18"/>
      <c r="R291" s="18"/>
      <c r="S291" s="18"/>
      <c r="T291" s="18"/>
      <c r="U291" s="18"/>
      <c r="V291" s="18"/>
      <c r="W291" s="18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</row>
    <row r="292" spans="1:36" ht="11.25" customHeight="1" x14ac:dyDescent="0.2">
      <c r="A292" s="74" t="s">
        <v>21</v>
      </c>
      <c r="B292" s="74" t="s">
        <v>35</v>
      </c>
      <c r="C292" s="74" t="s">
        <v>39</v>
      </c>
      <c r="D292" s="74" t="s">
        <v>47</v>
      </c>
      <c r="E292" s="74" t="s">
        <v>48</v>
      </c>
      <c r="F292" s="74" t="s">
        <v>25</v>
      </c>
      <c r="G292" s="74" t="s">
        <v>25</v>
      </c>
      <c r="H292" s="74" t="s">
        <v>38</v>
      </c>
      <c r="I292" s="80">
        <v>44470</v>
      </c>
      <c r="J292" s="81">
        <f>EFEITO!$J$292*EFEITO!$Y$249</f>
        <v>0</v>
      </c>
      <c r="K292" s="81">
        <f ca="1">EFEITO!$L$292*EFEITO!$Z$249</f>
        <v>17339.747653899001</v>
      </c>
      <c r="L292" s="81">
        <f>EFEITO!$N$292*EFEITO!$AA$249</f>
        <v>32815.64312658515</v>
      </c>
      <c r="M292" s="81">
        <f>$J$292-EFEITO!$K$292*EFEITO!$Y$292</f>
        <v>0</v>
      </c>
      <c r="N292" s="81">
        <f ca="1">$K$292-EFEITO!$M$292*EFEITO!$Z$292</f>
        <v>520.19242961697091</v>
      </c>
      <c r="O292" s="81">
        <f>$L$292-EFEITO!$O$292*EFEITO!$AA$292</f>
        <v>984.46929379755966</v>
      </c>
      <c r="P292" s="18"/>
      <c r="Q292" s="18"/>
      <c r="R292" s="18"/>
      <c r="S292" s="18"/>
      <c r="T292" s="18"/>
      <c r="U292" s="18"/>
      <c r="V292" s="18"/>
      <c r="W292" s="18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</row>
    <row r="293" spans="1:36" ht="11.25" customHeight="1" x14ac:dyDescent="0.2">
      <c r="A293" s="74" t="s">
        <v>21</v>
      </c>
      <c r="B293" s="74" t="s">
        <v>35</v>
      </c>
      <c r="C293" s="74" t="s">
        <v>39</v>
      </c>
      <c r="D293" s="74" t="s">
        <v>47</v>
      </c>
      <c r="E293" s="74" t="s">
        <v>48</v>
      </c>
      <c r="F293" s="74" t="s">
        <v>25</v>
      </c>
      <c r="G293" s="74" t="s">
        <v>25</v>
      </c>
      <c r="H293" s="74" t="s">
        <v>38</v>
      </c>
      <c r="I293" s="80">
        <v>44501</v>
      </c>
      <c r="J293" s="81">
        <f>EFEITO!$J$293*EFEITO!$Y$249</f>
        <v>0</v>
      </c>
      <c r="K293" s="81">
        <f ca="1">EFEITO!$L$293*EFEITO!$Z$249</f>
        <v>17707.384805494352</v>
      </c>
      <c r="L293" s="81">
        <f>EFEITO!$N$293*EFEITO!$AA$249</f>
        <v>33511.400054980491</v>
      </c>
      <c r="M293" s="81">
        <f>$J$293-EFEITO!$K$293*EFEITO!$Y$293</f>
        <v>0</v>
      </c>
      <c r="N293" s="81">
        <f ca="1">$K$293-EFEITO!$M$293*EFEITO!$Z$293</f>
        <v>531.22154416483318</v>
      </c>
      <c r="O293" s="81">
        <f>$L$293-EFEITO!$O$293*EFEITO!$AA$293</f>
        <v>1005.3420016494129</v>
      </c>
      <c r="P293" s="18"/>
      <c r="Q293" s="18"/>
      <c r="R293" s="18"/>
      <c r="S293" s="18"/>
      <c r="T293" s="18"/>
      <c r="U293" s="18"/>
      <c r="V293" s="18"/>
      <c r="W293" s="18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</row>
    <row r="294" spans="1:36" ht="11.25" customHeight="1" x14ac:dyDescent="0.2">
      <c r="A294" s="74" t="s">
        <v>21</v>
      </c>
      <c r="B294" s="74" t="s">
        <v>35</v>
      </c>
      <c r="C294" s="74" t="s">
        <v>39</v>
      </c>
      <c r="D294" s="74" t="s">
        <v>47</v>
      </c>
      <c r="E294" s="74" t="s">
        <v>48</v>
      </c>
      <c r="F294" s="74" t="s">
        <v>25</v>
      </c>
      <c r="G294" s="74" t="s">
        <v>25</v>
      </c>
      <c r="H294" s="74" t="s">
        <v>38</v>
      </c>
      <c r="I294" s="80">
        <v>44531</v>
      </c>
      <c r="J294" s="81">
        <f>EFEITO!$J$294*EFEITO!$Y$249</f>
        <v>0</v>
      </c>
      <c r="K294" s="81">
        <f ca="1">EFEITO!$L$294*EFEITO!$Z$249</f>
        <v>21099.898020744873</v>
      </c>
      <c r="L294" s="81">
        <f>EFEITO!$N$294*EFEITO!$AA$249</f>
        <v>39931.764710567171</v>
      </c>
      <c r="M294" s="81">
        <f>$J$294-EFEITO!$K$294*EFEITO!$Y$294</f>
        <v>0</v>
      </c>
      <c r="N294" s="81">
        <f ca="1">$K$294-EFEITO!$M$294*EFEITO!$Z$294</f>
        <v>632.9969406223463</v>
      </c>
      <c r="O294" s="81">
        <f>$L$294-EFEITO!$O$294*EFEITO!$AA$294</f>
        <v>1197.9529413170167</v>
      </c>
      <c r="P294" s="18"/>
      <c r="Q294" s="18"/>
      <c r="R294" s="18"/>
      <c r="S294" s="18"/>
      <c r="T294" s="18"/>
      <c r="U294" s="18"/>
      <c r="V294" s="18"/>
      <c r="W294" s="18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</row>
    <row r="295" spans="1:36" ht="11.25" customHeight="1" x14ac:dyDescent="0.2">
      <c r="A295" s="74" t="s">
        <v>21</v>
      </c>
      <c r="B295" s="74" t="s">
        <v>35</v>
      </c>
      <c r="C295" s="74" t="s">
        <v>39</v>
      </c>
      <c r="D295" s="74" t="s">
        <v>47</v>
      </c>
      <c r="E295" s="74" t="s">
        <v>48</v>
      </c>
      <c r="F295" s="74" t="s">
        <v>25</v>
      </c>
      <c r="G295" s="74" t="s">
        <v>25</v>
      </c>
      <c r="H295" s="74" t="s">
        <v>38</v>
      </c>
      <c r="I295" s="80">
        <v>44562</v>
      </c>
      <c r="J295" s="81">
        <f>EFEITO!$J$295*EFEITO!$Y$249</f>
        <v>0</v>
      </c>
      <c r="K295" s="81">
        <f ca="1">EFEITO!$L$295*EFEITO!$Z$249</f>
        <v>25867.515581866453</v>
      </c>
      <c r="L295" s="81">
        <f>EFEITO!$N$295*EFEITO!$AA$249</f>
        <v>48954.527877171051</v>
      </c>
      <c r="M295" s="81">
        <f>$J$295-EFEITO!$K$295*EFEITO!$Y$295</f>
        <v>0</v>
      </c>
      <c r="N295" s="81">
        <f ca="1">$K$295-EFEITO!$M$295*EFEITO!$Z$295</f>
        <v>776.02546745599466</v>
      </c>
      <c r="O295" s="81">
        <f>$L$295-EFEITO!$O$295*EFEITO!$AA$295</f>
        <v>1468.6358363151303</v>
      </c>
      <c r="P295" s="18"/>
      <c r="Q295" s="18"/>
      <c r="R295" s="18"/>
      <c r="S295" s="18"/>
      <c r="T295" s="18"/>
      <c r="U295" s="18"/>
      <c r="V295" s="18"/>
      <c r="W295" s="18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</row>
    <row r="296" spans="1:36" ht="11.25" customHeight="1" x14ac:dyDescent="0.2">
      <c r="A296" s="74" t="s">
        <v>21</v>
      </c>
      <c r="B296" s="74" t="s">
        <v>35</v>
      </c>
      <c r="C296" s="74" t="s">
        <v>39</v>
      </c>
      <c r="D296" s="74" t="s">
        <v>47</v>
      </c>
      <c r="E296" s="74" t="s">
        <v>48</v>
      </c>
      <c r="F296" s="74" t="s">
        <v>25</v>
      </c>
      <c r="G296" s="74" t="s">
        <v>25</v>
      </c>
      <c r="H296" s="74" t="s">
        <v>38</v>
      </c>
      <c r="I296" s="80">
        <v>44593</v>
      </c>
      <c r="J296" s="81">
        <f>EFEITO!$J$296*EFEITO!$Y$249</f>
        <v>0</v>
      </c>
      <c r="K296" s="81">
        <f ca="1">EFEITO!$L$296*EFEITO!$Z$249</f>
        <v>20923.385055010953</v>
      </c>
      <c r="L296" s="81">
        <f>EFEITO!$N$296*EFEITO!$AA$249</f>
        <v>39597.712185331198</v>
      </c>
      <c r="M296" s="81">
        <f>$J$296-EFEITO!$K$296*EFEITO!$Y$296</f>
        <v>0</v>
      </c>
      <c r="N296" s="81">
        <f ca="1">$K$296-EFEITO!$M$296*EFEITO!$Z$296</f>
        <v>627.70155165033066</v>
      </c>
      <c r="O296" s="81">
        <f>$L$296-EFEITO!$O$296*EFEITO!$AA$296</f>
        <v>1187.9313655599399</v>
      </c>
      <c r="P296" s="18"/>
      <c r="Q296" s="18"/>
      <c r="R296" s="18"/>
      <c r="S296" s="18"/>
      <c r="T296" s="18"/>
      <c r="U296" s="18"/>
      <c r="V296" s="18"/>
      <c r="W296" s="18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</row>
    <row r="297" spans="1:36" ht="11.25" customHeight="1" x14ac:dyDescent="0.2">
      <c r="A297" s="74" t="s">
        <v>21</v>
      </c>
      <c r="B297" s="74" t="s">
        <v>35</v>
      </c>
      <c r="C297" s="74" t="s">
        <v>39</v>
      </c>
      <c r="D297" s="74" t="s">
        <v>47</v>
      </c>
      <c r="E297" s="74" t="s">
        <v>48</v>
      </c>
      <c r="F297" s="74" t="s">
        <v>25</v>
      </c>
      <c r="G297" s="74" t="s">
        <v>25</v>
      </c>
      <c r="H297" s="74" t="s">
        <v>38</v>
      </c>
      <c r="I297" s="80">
        <v>44621</v>
      </c>
      <c r="J297" s="81">
        <f>EFEITO!$J$297*EFEITO!$Y$249</f>
        <v>0</v>
      </c>
      <c r="K297" s="81">
        <f ca="1">EFEITO!$L$297*EFEITO!$Z$249</f>
        <v>20104.685398189009</v>
      </c>
      <c r="L297" s="81">
        <f>EFEITO!$N$297*EFEITO!$AA$249</f>
        <v>38048.315025558484</v>
      </c>
      <c r="M297" s="81">
        <f>$J$297-EFEITO!$K$297*EFEITO!$Y$297</f>
        <v>0</v>
      </c>
      <c r="N297" s="81">
        <f ca="1">$K$297-EFEITO!$M$297*EFEITO!$Z$297</f>
        <v>603.14056194567092</v>
      </c>
      <c r="O297" s="81">
        <f>$L$297-EFEITO!$O$297*EFEITO!$AA$297</f>
        <v>1141.449450766755</v>
      </c>
      <c r="P297" s="18"/>
      <c r="Q297" s="18"/>
      <c r="R297" s="18"/>
      <c r="S297" s="18"/>
      <c r="T297" s="18"/>
      <c r="U297" s="18"/>
      <c r="V297" s="18"/>
      <c r="W297" s="18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</row>
    <row r="298" spans="1:36" ht="11.25" customHeight="1" x14ac:dyDescent="0.2">
      <c r="A298" s="74" t="s">
        <v>21</v>
      </c>
      <c r="B298" s="74" t="s">
        <v>35</v>
      </c>
      <c r="C298" s="74" t="s">
        <v>39</v>
      </c>
      <c r="D298" s="74" t="s">
        <v>47</v>
      </c>
      <c r="E298" s="74" t="s">
        <v>48</v>
      </c>
      <c r="F298" s="74" t="s">
        <v>25</v>
      </c>
      <c r="G298" s="74" t="s">
        <v>25</v>
      </c>
      <c r="H298" s="74" t="s">
        <v>38</v>
      </c>
      <c r="I298" s="80">
        <v>44652</v>
      </c>
      <c r="J298" s="81">
        <f>EFEITO!$J$298*EFEITO!$Y$249</f>
        <v>0</v>
      </c>
      <c r="K298" s="81">
        <f ca="1">EFEITO!$L$298*EFEITO!$Z$249</f>
        <v>19354.210712768891</v>
      </c>
      <c r="L298" s="81">
        <f>EFEITO!$N$298*EFEITO!$AA$249</f>
        <v>36628.034295766833</v>
      </c>
      <c r="M298" s="81">
        <f>$J$298-EFEITO!$K$298*EFEITO!$Y$298</f>
        <v>0</v>
      </c>
      <c r="N298" s="81">
        <f ca="1">$K$298-EFEITO!$M$298*EFEITO!$Z$298</f>
        <v>580.62632138306799</v>
      </c>
      <c r="O298" s="81">
        <f>$L$298-EFEITO!$O$298*EFEITO!$AA$298</f>
        <v>1098.8410288730083</v>
      </c>
      <c r="P298" s="18"/>
      <c r="Q298" s="18"/>
      <c r="R298" s="18"/>
      <c r="S298" s="18"/>
      <c r="T298" s="18"/>
      <c r="U298" s="18"/>
      <c r="V298" s="18"/>
      <c r="W298" s="18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</row>
    <row r="299" spans="1:36" ht="11.25" customHeight="1" x14ac:dyDescent="0.2">
      <c r="A299" s="74" t="s">
        <v>21</v>
      </c>
      <c r="B299" s="74" t="s">
        <v>35</v>
      </c>
      <c r="C299" s="74" t="s">
        <v>39</v>
      </c>
      <c r="D299" s="74" t="s">
        <v>47</v>
      </c>
      <c r="E299" s="74" t="s">
        <v>48</v>
      </c>
      <c r="F299" s="74" t="s">
        <v>25</v>
      </c>
      <c r="G299" s="74" t="s">
        <v>25</v>
      </c>
      <c r="H299" s="74" t="s">
        <v>38</v>
      </c>
      <c r="I299" s="80">
        <v>44682</v>
      </c>
      <c r="J299" s="81">
        <f>EFEITO!$J$299*EFEITO!$Y$249</f>
        <v>0</v>
      </c>
      <c r="K299" s="81">
        <f ca="1">EFEITO!$L$299*EFEITO!$Z$249</f>
        <v>18870.979956777701</v>
      </c>
      <c r="L299" s="81">
        <f>EFEITO!$N$299*EFEITO!$AA$249</f>
        <v>35713.515333154872</v>
      </c>
      <c r="M299" s="81">
        <f>$J$299-EFEITO!$K$299*EFEITO!$Y$299</f>
        <v>0</v>
      </c>
      <c r="N299" s="81">
        <f ca="1">$K$299-EFEITO!$M$299*EFEITO!$Z$299</f>
        <v>566.12939870333139</v>
      </c>
      <c r="O299" s="81">
        <f>$L$299-EFEITO!$O$299*EFEITO!$AA$299</f>
        <v>1071.4054599946467</v>
      </c>
      <c r="P299" s="18"/>
      <c r="Q299" s="18"/>
      <c r="R299" s="18"/>
      <c r="S299" s="18"/>
      <c r="T299" s="18"/>
      <c r="U299" s="18"/>
      <c r="V299" s="18"/>
      <c r="W299" s="18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</row>
    <row r="300" spans="1:36" ht="11.25" customHeight="1" x14ac:dyDescent="0.2">
      <c r="A300" s="74" t="s">
        <v>21</v>
      </c>
      <c r="B300" s="74" t="s">
        <v>35</v>
      </c>
      <c r="C300" s="74" t="s">
        <v>39</v>
      </c>
      <c r="D300" s="74" t="s">
        <v>47</v>
      </c>
      <c r="E300" s="74" t="s">
        <v>48</v>
      </c>
      <c r="F300" s="74" t="s">
        <v>25</v>
      </c>
      <c r="G300" s="74" t="s">
        <v>25</v>
      </c>
      <c r="H300" s="74" t="s">
        <v>38</v>
      </c>
      <c r="I300" s="80">
        <v>44713</v>
      </c>
      <c r="J300" s="81">
        <f>EFEITO!$J$300*EFEITO!$Y$249</f>
        <v>0</v>
      </c>
      <c r="K300" s="81">
        <f ca="1">EFEITO!$L$300*EFEITO!$Z$249</f>
        <v>18856.250904229808</v>
      </c>
      <c r="L300" s="81">
        <f>EFEITO!$N$300*EFEITO!$AA$249</f>
        <v>35685.640456215951</v>
      </c>
      <c r="M300" s="81">
        <f>$J$300-EFEITO!$K$300*EFEITO!$Y$300</f>
        <v>0</v>
      </c>
      <c r="N300" s="81">
        <f ca="1">$K$300-EFEITO!$M$300*EFEITO!$Z$300</f>
        <v>565.68752712689457</v>
      </c>
      <c r="O300" s="81">
        <f>$L$300-EFEITO!$O$300*EFEITO!$AA$300</f>
        <v>1070.5692136864745</v>
      </c>
      <c r="P300" s="18"/>
      <c r="Q300" s="18"/>
      <c r="R300" s="18"/>
      <c r="S300" s="18"/>
      <c r="T300" s="18"/>
      <c r="U300" s="18"/>
      <c r="V300" s="18"/>
      <c r="W300" s="18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</row>
    <row r="301" spans="1:36" ht="11.25" customHeight="1" x14ac:dyDescent="0.2">
      <c r="A301" s="74" t="s">
        <v>55</v>
      </c>
      <c r="B301" s="74" t="s">
        <v>35</v>
      </c>
      <c r="C301" s="74" t="s">
        <v>39</v>
      </c>
      <c r="D301" s="74" t="s">
        <v>47</v>
      </c>
      <c r="E301" s="74" t="s">
        <v>48</v>
      </c>
      <c r="F301" s="74" t="s">
        <v>25</v>
      </c>
      <c r="G301" s="74" t="s">
        <v>25</v>
      </c>
      <c r="H301" s="74" t="s">
        <v>38</v>
      </c>
      <c r="I301" s="80">
        <v>44743</v>
      </c>
      <c r="J301" s="81">
        <f>EFEITO!$J$301*EFEITO!$Y$249</f>
        <v>0</v>
      </c>
      <c r="K301" s="81">
        <f ca="1">EFEITO!$L$301*EFEITO!$Z$249</f>
        <v>18856.250904229808</v>
      </c>
      <c r="L301" s="81">
        <f>EFEITO!$N$301*EFEITO!$AA$249</f>
        <v>35685.640456215951</v>
      </c>
      <c r="M301" s="81">
        <f>$J$301-EFEITO!$K$301*EFEITO!$Y$301</f>
        <v>0</v>
      </c>
      <c r="N301" s="81">
        <f ca="1">$K$301-EFEITO!$M$301*EFEITO!$Z$301</f>
        <v>565.68752712689457</v>
      </c>
      <c r="O301" s="81">
        <f>$L$301-EFEITO!$O$301*EFEITO!$AA$301</f>
        <v>1070.5692136864745</v>
      </c>
      <c r="P301" s="18"/>
      <c r="Q301" s="18"/>
      <c r="R301" s="18"/>
      <c r="S301" s="18"/>
      <c r="T301" s="18"/>
      <c r="U301" s="18"/>
      <c r="V301" s="18"/>
      <c r="W301" s="18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</row>
    <row r="302" spans="1:36" ht="11.25" customHeight="1" x14ac:dyDescent="0.2">
      <c r="A302" s="74" t="s">
        <v>21</v>
      </c>
      <c r="B302" s="74" t="s">
        <v>35</v>
      </c>
      <c r="C302" s="74" t="s">
        <v>39</v>
      </c>
      <c r="D302" s="74" t="s">
        <v>47</v>
      </c>
      <c r="E302" s="74" t="s">
        <v>48</v>
      </c>
      <c r="F302" s="74" t="s">
        <v>25</v>
      </c>
      <c r="G302" s="74" t="s">
        <v>25</v>
      </c>
      <c r="H302" s="74" t="s">
        <v>25</v>
      </c>
      <c r="I302" s="80">
        <v>44409</v>
      </c>
      <c r="J302" s="81">
        <f ca="1">EFEITO!$J$302*EFEITO!$Y$269</f>
        <v>8693.4927555391459</v>
      </c>
      <c r="K302" s="81">
        <f>EFEITO!$L$302*EFEITO!$Z$269</f>
        <v>0</v>
      </c>
      <c r="L302" s="81">
        <f>EFEITO!$N$302*EFEITO!$AA$269</f>
        <v>0</v>
      </c>
      <c r="M302" s="81">
        <f ca="1">$J$302-EFEITO!$K$302*EFEITO!$Y$302</f>
        <v>260.80478266617502</v>
      </c>
      <c r="N302" s="81">
        <f>$K$302-EFEITO!$M$302*EFEITO!$Z$302</f>
        <v>0</v>
      </c>
      <c r="O302" s="81">
        <f>$L$302-EFEITO!$O$302*EFEITO!$AA$302</f>
        <v>0</v>
      </c>
      <c r="P302" s="18"/>
      <c r="Q302" s="18"/>
      <c r="R302" s="18"/>
      <c r="S302" s="18"/>
      <c r="T302" s="18"/>
      <c r="U302" s="18"/>
      <c r="V302" s="18"/>
      <c r="W302" s="18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</row>
    <row r="303" spans="1:36" ht="11.25" customHeight="1" x14ac:dyDescent="0.2">
      <c r="A303" s="74" t="s">
        <v>21</v>
      </c>
      <c r="B303" s="74" t="s">
        <v>35</v>
      </c>
      <c r="C303" s="74" t="s">
        <v>39</v>
      </c>
      <c r="D303" s="74" t="s">
        <v>47</v>
      </c>
      <c r="E303" s="74" t="s">
        <v>48</v>
      </c>
      <c r="F303" s="74" t="s">
        <v>25</v>
      </c>
      <c r="G303" s="74" t="s">
        <v>25</v>
      </c>
      <c r="H303" s="74" t="s">
        <v>25</v>
      </c>
      <c r="I303" s="80">
        <v>44440</v>
      </c>
      <c r="J303" s="81">
        <f ca="1">EFEITO!$J$303*EFEITO!$Y$269</f>
        <v>8693.4927555391459</v>
      </c>
      <c r="K303" s="81">
        <f>EFEITO!$L$303*EFEITO!$Z$269</f>
        <v>0</v>
      </c>
      <c r="L303" s="81">
        <f>EFEITO!$N$303*EFEITO!$AA$269</f>
        <v>0</v>
      </c>
      <c r="M303" s="81">
        <f ca="1">$J$303-EFEITO!$K$303*EFEITO!$Y$303</f>
        <v>260.80478266617502</v>
      </c>
      <c r="N303" s="81">
        <f>$K$303-EFEITO!$M$303*EFEITO!$Z$303</f>
        <v>0</v>
      </c>
      <c r="O303" s="81">
        <f>$L$303-EFEITO!$O$303*EFEITO!$AA$303</f>
        <v>0</v>
      </c>
      <c r="P303" s="18"/>
      <c r="Q303" s="18"/>
      <c r="R303" s="18"/>
      <c r="S303" s="18"/>
      <c r="T303" s="18"/>
      <c r="U303" s="18"/>
      <c r="V303" s="18"/>
      <c r="W303" s="18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</row>
    <row r="304" spans="1:36" ht="11.25" customHeight="1" x14ac:dyDescent="0.2">
      <c r="A304" s="74" t="s">
        <v>21</v>
      </c>
      <c r="B304" s="74" t="s">
        <v>35</v>
      </c>
      <c r="C304" s="74" t="s">
        <v>39</v>
      </c>
      <c r="D304" s="74" t="s">
        <v>47</v>
      </c>
      <c r="E304" s="74" t="s">
        <v>48</v>
      </c>
      <c r="F304" s="74" t="s">
        <v>25</v>
      </c>
      <c r="G304" s="74" t="s">
        <v>25</v>
      </c>
      <c r="H304" s="74" t="s">
        <v>25</v>
      </c>
      <c r="I304" s="80">
        <v>44470</v>
      </c>
      <c r="J304" s="81">
        <f ca="1">EFEITO!$J$304*EFEITO!$Y$269</f>
        <v>8693.4927555391459</v>
      </c>
      <c r="K304" s="81">
        <f>EFEITO!$L$304*EFEITO!$Z$269</f>
        <v>0</v>
      </c>
      <c r="L304" s="81">
        <f>EFEITO!$N$304*EFEITO!$AA$269</f>
        <v>0</v>
      </c>
      <c r="M304" s="81">
        <f ca="1">$J$304-EFEITO!$K$304*EFEITO!$Y$304</f>
        <v>260.80478266617502</v>
      </c>
      <c r="N304" s="81">
        <f>$K$304-EFEITO!$M$304*EFEITO!$Z$304</f>
        <v>0</v>
      </c>
      <c r="O304" s="81">
        <f>$L$304-EFEITO!$O$304*EFEITO!$AA$304</f>
        <v>0</v>
      </c>
      <c r="P304" s="18"/>
      <c r="Q304" s="18"/>
      <c r="R304" s="18"/>
      <c r="S304" s="18"/>
      <c r="T304" s="18"/>
      <c r="U304" s="18"/>
      <c r="V304" s="18"/>
      <c r="W304" s="18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</row>
    <row r="305" spans="1:36" ht="11.25" customHeight="1" x14ac:dyDescent="0.2">
      <c r="A305" s="74" t="s">
        <v>21</v>
      </c>
      <c r="B305" s="74" t="s">
        <v>35</v>
      </c>
      <c r="C305" s="74" t="s">
        <v>39</v>
      </c>
      <c r="D305" s="74" t="s">
        <v>47</v>
      </c>
      <c r="E305" s="74" t="s">
        <v>48</v>
      </c>
      <c r="F305" s="74" t="s">
        <v>25</v>
      </c>
      <c r="G305" s="74" t="s">
        <v>25</v>
      </c>
      <c r="H305" s="74" t="s">
        <v>25</v>
      </c>
      <c r="I305" s="80">
        <v>44501</v>
      </c>
      <c r="J305" s="81">
        <f ca="1">EFEITO!$J$305*EFEITO!$Y$269</f>
        <v>8693.4927555391459</v>
      </c>
      <c r="K305" s="81">
        <f>EFEITO!$L$305*EFEITO!$Z$269</f>
        <v>0</v>
      </c>
      <c r="L305" s="81">
        <f>EFEITO!$N$305*EFEITO!$AA$269</f>
        <v>0</v>
      </c>
      <c r="M305" s="81">
        <f ca="1">$J$305-EFEITO!$K$305*EFEITO!$Y$305</f>
        <v>260.80478266617502</v>
      </c>
      <c r="N305" s="81">
        <f>$K$305-EFEITO!$M$305*EFEITO!$Z$305</f>
        <v>0</v>
      </c>
      <c r="O305" s="81">
        <f>$L$305-EFEITO!$O$305*EFEITO!$AA$305</f>
        <v>0</v>
      </c>
      <c r="P305" s="18"/>
      <c r="Q305" s="18"/>
      <c r="R305" s="18"/>
      <c r="S305" s="18"/>
      <c r="T305" s="18"/>
      <c r="U305" s="18"/>
      <c r="V305" s="18"/>
      <c r="W305" s="18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</row>
    <row r="306" spans="1:36" ht="11.25" customHeight="1" x14ac:dyDescent="0.2">
      <c r="A306" s="74" t="s">
        <v>21</v>
      </c>
      <c r="B306" s="74" t="s">
        <v>35</v>
      </c>
      <c r="C306" s="74" t="s">
        <v>39</v>
      </c>
      <c r="D306" s="74" t="s">
        <v>47</v>
      </c>
      <c r="E306" s="74" t="s">
        <v>48</v>
      </c>
      <c r="F306" s="74" t="s">
        <v>25</v>
      </c>
      <c r="G306" s="74" t="s">
        <v>25</v>
      </c>
      <c r="H306" s="74" t="s">
        <v>25</v>
      </c>
      <c r="I306" s="80">
        <v>44531</v>
      </c>
      <c r="J306" s="81">
        <f ca="1">EFEITO!$J$306*EFEITO!$Y$269</f>
        <v>10519.126234202366</v>
      </c>
      <c r="K306" s="81">
        <f>EFEITO!$L$306*EFEITO!$Z$269</f>
        <v>0</v>
      </c>
      <c r="L306" s="81">
        <f>EFEITO!$N$306*EFEITO!$AA$269</f>
        <v>0</v>
      </c>
      <c r="M306" s="81">
        <f ca="1">$J$306-EFEITO!$K$306*EFEITO!$Y$306</f>
        <v>315.57378702607093</v>
      </c>
      <c r="N306" s="81">
        <f>$K$306-EFEITO!$M$306*EFEITO!$Z$306</f>
        <v>0</v>
      </c>
      <c r="O306" s="81">
        <f>$L$306-EFEITO!$O$306*EFEITO!$AA$306</f>
        <v>0</v>
      </c>
      <c r="P306" s="18"/>
      <c r="Q306" s="18"/>
      <c r="R306" s="18"/>
      <c r="S306" s="18"/>
      <c r="T306" s="18"/>
      <c r="U306" s="18"/>
      <c r="V306" s="18"/>
      <c r="W306" s="18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</row>
    <row r="307" spans="1:36" ht="11.25" customHeight="1" x14ac:dyDescent="0.2">
      <c r="A307" s="74" t="s">
        <v>21</v>
      </c>
      <c r="B307" s="74" t="s">
        <v>35</v>
      </c>
      <c r="C307" s="74" t="s">
        <v>39</v>
      </c>
      <c r="D307" s="74" t="s">
        <v>47</v>
      </c>
      <c r="E307" s="74" t="s">
        <v>48</v>
      </c>
      <c r="F307" s="74" t="s">
        <v>25</v>
      </c>
      <c r="G307" s="74" t="s">
        <v>25</v>
      </c>
      <c r="H307" s="74" t="s">
        <v>25</v>
      </c>
      <c r="I307" s="80">
        <v>44562</v>
      </c>
      <c r="J307" s="81">
        <f ca="1">EFEITO!$J$307*EFEITO!$Y$269</f>
        <v>10649.528625535453</v>
      </c>
      <c r="K307" s="81">
        <f>EFEITO!$L$307*EFEITO!$Z$269</f>
        <v>0</v>
      </c>
      <c r="L307" s="81">
        <f>EFEITO!$N$307*EFEITO!$AA$269</f>
        <v>0</v>
      </c>
      <c r="M307" s="81">
        <f ca="1">$J$307-EFEITO!$K$307*EFEITO!$Y$307</f>
        <v>319.48585876606376</v>
      </c>
      <c r="N307" s="81">
        <f>$K$307-EFEITO!$M$307*EFEITO!$Z$307</f>
        <v>0</v>
      </c>
      <c r="O307" s="81">
        <f>$L$307-EFEITO!$O$307*EFEITO!$AA$307</f>
        <v>0</v>
      </c>
      <c r="P307" s="18"/>
      <c r="Q307" s="18"/>
      <c r="R307" s="18"/>
      <c r="S307" s="18"/>
      <c r="T307" s="18"/>
      <c r="U307" s="18"/>
      <c r="V307" s="18"/>
      <c r="W307" s="18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</row>
    <row r="308" spans="1:36" ht="11.25" customHeight="1" x14ac:dyDescent="0.2">
      <c r="A308" s="74" t="s">
        <v>21</v>
      </c>
      <c r="B308" s="74" t="s">
        <v>35</v>
      </c>
      <c r="C308" s="74" t="s">
        <v>39</v>
      </c>
      <c r="D308" s="74" t="s">
        <v>47</v>
      </c>
      <c r="E308" s="74" t="s">
        <v>48</v>
      </c>
      <c r="F308" s="74" t="s">
        <v>25</v>
      </c>
      <c r="G308" s="74" t="s">
        <v>25</v>
      </c>
      <c r="H308" s="74" t="s">
        <v>25</v>
      </c>
      <c r="I308" s="80">
        <v>44593</v>
      </c>
      <c r="J308" s="81">
        <f ca="1">EFEITO!$J$308*EFEITO!$Y$269</f>
        <v>9149.9011252049513</v>
      </c>
      <c r="K308" s="81">
        <f>EFEITO!$L$308*EFEITO!$Z$269</f>
        <v>0</v>
      </c>
      <c r="L308" s="81">
        <f>EFEITO!$N$308*EFEITO!$AA$269</f>
        <v>0</v>
      </c>
      <c r="M308" s="81">
        <f ca="1">$J$308-EFEITO!$K$308*EFEITO!$Y$308</f>
        <v>274.4970337561499</v>
      </c>
      <c r="N308" s="81">
        <f>$K$308-EFEITO!$M$308*EFEITO!$Z$308</f>
        <v>0</v>
      </c>
      <c r="O308" s="81">
        <f>$L$308-EFEITO!$O$308*EFEITO!$AA$308</f>
        <v>0</v>
      </c>
      <c r="P308" s="18"/>
      <c r="Q308" s="18"/>
      <c r="R308" s="18"/>
      <c r="S308" s="18"/>
      <c r="T308" s="18"/>
      <c r="U308" s="18"/>
      <c r="V308" s="18"/>
      <c r="W308" s="18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</row>
    <row r="309" spans="1:36" ht="11.25" customHeight="1" x14ac:dyDescent="0.2">
      <c r="A309" s="74" t="s">
        <v>21</v>
      </c>
      <c r="B309" s="74" t="s">
        <v>35</v>
      </c>
      <c r="C309" s="74" t="s">
        <v>39</v>
      </c>
      <c r="D309" s="74" t="s">
        <v>47</v>
      </c>
      <c r="E309" s="74" t="s">
        <v>48</v>
      </c>
      <c r="F309" s="74" t="s">
        <v>25</v>
      </c>
      <c r="G309" s="74" t="s">
        <v>25</v>
      </c>
      <c r="H309" s="74" t="s">
        <v>25</v>
      </c>
      <c r="I309" s="80">
        <v>44621</v>
      </c>
      <c r="J309" s="81">
        <f ca="1">EFEITO!$J$309*EFEITO!$Y$269</f>
        <v>9258.5697846491894</v>
      </c>
      <c r="K309" s="81">
        <f>EFEITO!$L$309*EFEITO!$Z$269</f>
        <v>0</v>
      </c>
      <c r="L309" s="81">
        <f>EFEITO!$N$309*EFEITO!$AA$269</f>
        <v>0</v>
      </c>
      <c r="M309" s="81">
        <f ca="1">$J$309-EFEITO!$K$309*EFEITO!$Y$309</f>
        <v>277.75709353947605</v>
      </c>
      <c r="N309" s="81">
        <f>$K$309-EFEITO!$M$309*EFEITO!$Z$309</f>
        <v>0</v>
      </c>
      <c r="O309" s="81">
        <f>$L$309-EFEITO!$O$309*EFEITO!$AA$309</f>
        <v>0</v>
      </c>
      <c r="P309" s="18"/>
      <c r="Q309" s="18"/>
      <c r="R309" s="18"/>
      <c r="S309" s="18"/>
      <c r="T309" s="18"/>
      <c r="U309" s="18"/>
      <c r="V309" s="18"/>
      <c r="W309" s="18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</row>
    <row r="310" spans="1:36" ht="11.25" customHeight="1" x14ac:dyDescent="0.2">
      <c r="A310" s="74" t="s">
        <v>21</v>
      </c>
      <c r="B310" s="74" t="s">
        <v>35</v>
      </c>
      <c r="C310" s="74" t="s">
        <v>39</v>
      </c>
      <c r="D310" s="74" t="s">
        <v>47</v>
      </c>
      <c r="E310" s="74" t="s">
        <v>48</v>
      </c>
      <c r="F310" s="74" t="s">
        <v>25</v>
      </c>
      <c r="G310" s="74" t="s">
        <v>25</v>
      </c>
      <c r="H310" s="74" t="s">
        <v>25</v>
      </c>
      <c r="I310" s="80">
        <v>44652</v>
      </c>
      <c r="J310" s="81">
        <f ca="1">EFEITO!$J$310*EFEITO!$Y$269</f>
        <v>8802.161414983384</v>
      </c>
      <c r="K310" s="81">
        <f>EFEITO!$L$310*EFEITO!$Z$269</f>
        <v>0</v>
      </c>
      <c r="L310" s="81">
        <f>EFEITO!$N$310*EFEITO!$AA$269</f>
        <v>0</v>
      </c>
      <c r="M310" s="81">
        <f ca="1">$J$310-EFEITO!$K$310*EFEITO!$Y$310</f>
        <v>264.06484244950116</v>
      </c>
      <c r="N310" s="81">
        <f>$K$310-EFEITO!$M$310*EFEITO!$Z$310</f>
        <v>0</v>
      </c>
      <c r="O310" s="81">
        <f>$L$310-EFEITO!$O$310*EFEITO!$AA$310</f>
        <v>0</v>
      </c>
      <c r="P310" s="18"/>
      <c r="Q310" s="18"/>
      <c r="R310" s="18"/>
      <c r="S310" s="18"/>
      <c r="T310" s="18"/>
      <c r="U310" s="18"/>
      <c r="V310" s="18"/>
      <c r="W310" s="18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</row>
    <row r="311" spans="1:36" ht="11.25" customHeight="1" x14ac:dyDescent="0.2">
      <c r="A311" s="74" t="s">
        <v>21</v>
      </c>
      <c r="B311" s="74" t="s">
        <v>35</v>
      </c>
      <c r="C311" s="74" t="s">
        <v>39</v>
      </c>
      <c r="D311" s="74" t="s">
        <v>47</v>
      </c>
      <c r="E311" s="74" t="s">
        <v>48</v>
      </c>
      <c r="F311" s="74" t="s">
        <v>25</v>
      </c>
      <c r="G311" s="74" t="s">
        <v>25</v>
      </c>
      <c r="H311" s="74" t="s">
        <v>25</v>
      </c>
      <c r="I311" s="80">
        <v>44682</v>
      </c>
      <c r="J311" s="81">
        <f ca="1">EFEITO!$J$311*EFEITO!$Y$269</f>
        <v>8693.4927555391459</v>
      </c>
      <c r="K311" s="81">
        <f>EFEITO!$L$311*EFEITO!$Z$269</f>
        <v>0</v>
      </c>
      <c r="L311" s="81">
        <f>EFEITO!$N$311*EFEITO!$AA$269</f>
        <v>0</v>
      </c>
      <c r="M311" s="81">
        <f ca="1">$J$311-EFEITO!$K$311*EFEITO!$Y$311</f>
        <v>260.80478266617502</v>
      </c>
      <c r="N311" s="81">
        <f>$K$311-EFEITO!$M$311*EFEITO!$Z$311</f>
        <v>0</v>
      </c>
      <c r="O311" s="81">
        <f>$L$311-EFEITO!$O$311*EFEITO!$AA$311</f>
        <v>0</v>
      </c>
      <c r="P311" s="18"/>
      <c r="Q311" s="18"/>
      <c r="R311" s="18"/>
      <c r="S311" s="18"/>
      <c r="T311" s="18"/>
      <c r="U311" s="18"/>
      <c r="V311" s="18"/>
      <c r="W311" s="18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</row>
    <row r="312" spans="1:36" ht="11.25" customHeight="1" x14ac:dyDescent="0.2">
      <c r="A312" s="74" t="s">
        <v>21</v>
      </c>
      <c r="B312" s="74" t="s">
        <v>35</v>
      </c>
      <c r="C312" s="74" t="s">
        <v>39</v>
      </c>
      <c r="D312" s="74" t="s">
        <v>47</v>
      </c>
      <c r="E312" s="74" t="s">
        <v>48</v>
      </c>
      <c r="F312" s="74" t="s">
        <v>25</v>
      </c>
      <c r="G312" s="74" t="s">
        <v>25</v>
      </c>
      <c r="H312" s="74" t="s">
        <v>25</v>
      </c>
      <c r="I312" s="80">
        <v>44713</v>
      </c>
      <c r="J312" s="81">
        <f ca="1">EFEITO!$J$312*EFEITO!$Y$269</f>
        <v>8693.4927555391459</v>
      </c>
      <c r="K312" s="81">
        <f>EFEITO!$L$312*EFEITO!$Z$269</f>
        <v>0</v>
      </c>
      <c r="L312" s="81">
        <f>EFEITO!$N$312*EFEITO!$AA$269</f>
        <v>0</v>
      </c>
      <c r="M312" s="81">
        <f ca="1">$J$312-EFEITO!$K$312*EFEITO!$Y$312</f>
        <v>260.80478266617502</v>
      </c>
      <c r="N312" s="81">
        <f>$K$312-EFEITO!$M$312*EFEITO!$Z$312</f>
        <v>0</v>
      </c>
      <c r="O312" s="81">
        <f>$L$312-EFEITO!$O$312*EFEITO!$AA$312</f>
        <v>0</v>
      </c>
      <c r="P312" s="18"/>
      <c r="Q312" s="18"/>
      <c r="R312" s="18"/>
      <c r="S312" s="18"/>
      <c r="T312" s="18"/>
      <c r="U312" s="18"/>
      <c r="V312" s="18"/>
      <c r="W312" s="18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</row>
    <row r="313" spans="1:36" ht="11.25" customHeight="1" x14ac:dyDescent="0.2">
      <c r="A313" s="74" t="s">
        <v>55</v>
      </c>
      <c r="B313" s="74" t="s">
        <v>35</v>
      </c>
      <c r="C313" s="74" t="s">
        <v>39</v>
      </c>
      <c r="D313" s="74" t="s">
        <v>47</v>
      </c>
      <c r="E313" s="74" t="s">
        <v>48</v>
      </c>
      <c r="F313" s="74" t="s">
        <v>25</v>
      </c>
      <c r="G313" s="74" t="s">
        <v>25</v>
      </c>
      <c r="H313" s="74" t="s">
        <v>25</v>
      </c>
      <c r="I313" s="80">
        <v>44743</v>
      </c>
      <c r="J313" s="81">
        <f ca="1">EFEITO!$J$313*EFEITO!$Y$269</f>
        <v>8693.4927555391459</v>
      </c>
      <c r="K313" s="81">
        <f>EFEITO!$L$313*EFEITO!$Z$269</f>
        <v>0</v>
      </c>
      <c r="L313" s="81">
        <f>EFEITO!$N$313*EFEITO!$AA$269</f>
        <v>0</v>
      </c>
      <c r="M313" s="81">
        <f ca="1">$J$313-EFEITO!$K$313*EFEITO!$Y$313</f>
        <v>260.80478266617502</v>
      </c>
      <c r="N313" s="81">
        <f>$K$313-EFEITO!$M$313*EFEITO!$Z$313</f>
        <v>0</v>
      </c>
      <c r="O313" s="81">
        <f>$L$313-EFEITO!$O$313*EFEITO!$AA$313</f>
        <v>0</v>
      </c>
      <c r="P313" s="18"/>
      <c r="Q313" s="18"/>
      <c r="R313" s="18"/>
      <c r="S313" s="18"/>
      <c r="T313" s="18"/>
      <c r="U313" s="18"/>
      <c r="V313" s="18"/>
      <c r="W313" s="18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</row>
    <row r="314" spans="1:36" ht="11.25" customHeight="1" x14ac:dyDescent="0.2">
      <c r="A314" s="74" t="s">
        <v>21</v>
      </c>
      <c r="B314" s="74" t="s">
        <v>35</v>
      </c>
      <c r="C314" s="74" t="s">
        <v>39</v>
      </c>
      <c r="D314" s="74" t="s">
        <v>47</v>
      </c>
      <c r="E314" s="74" t="s">
        <v>48</v>
      </c>
      <c r="F314" s="74" t="s">
        <v>25</v>
      </c>
      <c r="G314" s="74" t="s">
        <v>25</v>
      </c>
      <c r="H314" s="74" t="s">
        <v>37</v>
      </c>
      <c r="I314" s="80">
        <v>44409</v>
      </c>
      <c r="J314" s="81">
        <f>EFEITO!$J$314*EFEITO!$Y$289</f>
        <v>0</v>
      </c>
      <c r="K314" s="81">
        <f ca="1">EFEITO!$L$314*EFEITO!$Z$289</f>
        <v>21543.786107122225</v>
      </c>
      <c r="L314" s="81">
        <f>EFEITO!$N$314*EFEITO!$AA$289</f>
        <v>5234.2805109546425</v>
      </c>
      <c r="M314" s="81">
        <f>$J$314-EFEITO!$K$314*EFEITO!$Y$314</f>
        <v>0</v>
      </c>
      <c r="N314" s="81">
        <f ca="1">$K$314-EFEITO!$M$314*EFEITO!$Z$314</f>
        <v>646.31358321366497</v>
      </c>
      <c r="O314" s="81">
        <f>$L$314-EFEITO!$O$314*EFEITO!$AA$314</f>
        <v>157.02841532864022</v>
      </c>
      <c r="P314" s="18"/>
      <c r="Q314" s="18"/>
      <c r="R314" s="18"/>
      <c r="S314" s="18"/>
      <c r="T314" s="18"/>
      <c r="U314" s="18"/>
      <c r="V314" s="18"/>
      <c r="W314" s="18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</row>
    <row r="315" spans="1:36" ht="11.25" customHeight="1" x14ac:dyDescent="0.2">
      <c r="A315" s="74" t="s">
        <v>21</v>
      </c>
      <c r="B315" s="74" t="s">
        <v>35</v>
      </c>
      <c r="C315" s="74" t="s">
        <v>39</v>
      </c>
      <c r="D315" s="74" t="s">
        <v>47</v>
      </c>
      <c r="E315" s="74" t="s">
        <v>48</v>
      </c>
      <c r="F315" s="74" t="s">
        <v>25</v>
      </c>
      <c r="G315" s="74" t="s">
        <v>25</v>
      </c>
      <c r="H315" s="74" t="s">
        <v>37</v>
      </c>
      <c r="I315" s="80">
        <v>44440</v>
      </c>
      <c r="J315" s="81">
        <f>EFEITO!$J$315*EFEITO!$Y$289</f>
        <v>0</v>
      </c>
      <c r="K315" s="81">
        <f ca="1">EFEITO!$L$315*EFEITO!$Z$289</f>
        <v>20568.86633387546</v>
      </c>
      <c r="L315" s="81">
        <f>EFEITO!$N$315*EFEITO!$AA$289</f>
        <v>4997.4139015538531</v>
      </c>
      <c r="M315" s="81">
        <f>$J$315-EFEITO!$K$315*EFEITO!$Y$315</f>
        <v>0</v>
      </c>
      <c r="N315" s="81">
        <f ca="1">$K$315-EFEITO!$M$315*EFEITO!$Z$315</f>
        <v>617.06599001626455</v>
      </c>
      <c r="O315" s="81">
        <f>$L$315-EFEITO!$O$315*EFEITO!$AA$315</f>
        <v>149.92241704661592</v>
      </c>
      <c r="P315" s="18"/>
      <c r="Q315" s="18"/>
      <c r="R315" s="18"/>
      <c r="S315" s="18"/>
      <c r="T315" s="18"/>
      <c r="U315" s="18"/>
      <c r="V315" s="18"/>
      <c r="W315" s="18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</row>
    <row r="316" spans="1:36" ht="11.25" customHeight="1" x14ac:dyDescent="0.2">
      <c r="A316" s="74" t="s">
        <v>21</v>
      </c>
      <c r="B316" s="74" t="s">
        <v>35</v>
      </c>
      <c r="C316" s="74" t="s">
        <v>39</v>
      </c>
      <c r="D316" s="74" t="s">
        <v>47</v>
      </c>
      <c r="E316" s="74" t="s">
        <v>48</v>
      </c>
      <c r="F316" s="74" t="s">
        <v>25</v>
      </c>
      <c r="G316" s="74" t="s">
        <v>25</v>
      </c>
      <c r="H316" s="74" t="s">
        <v>37</v>
      </c>
      <c r="I316" s="80">
        <v>44470</v>
      </c>
      <c r="J316" s="81">
        <f>EFEITO!$J$316*EFEITO!$Y$289</f>
        <v>0</v>
      </c>
      <c r="K316" s="81">
        <f ca="1">EFEITO!$L$316*EFEITO!$Z$289</f>
        <v>19395.379439890839</v>
      </c>
      <c r="L316" s="81">
        <f>EFEITO!$N$316*EFEITO!$AA$289</f>
        <v>4712.3034038677588</v>
      </c>
      <c r="M316" s="81">
        <f>$J$316-EFEITO!$K$316*EFEITO!$Y$316</f>
        <v>0</v>
      </c>
      <c r="N316" s="81">
        <f ca="1">$K$316-EFEITO!$M$316*EFEITO!$Z$316</f>
        <v>581.86138319672318</v>
      </c>
      <c r="O316" s="81">
        <f>$L$316-EFEITO!$O$316*EFEITO!$AA$316</f>
        <v>141.36910211603299</v>
      </c>
      <c r="P316" s="18"/>
      <c r="Q316" s="18"/>
      <c r="R316" s="18"/>
      <c r="S316" s="18"/>
      <c r="T316" s="18"/>
      <c r="U316" s="18"/>
      <c r="V316" s="18"/>
      <c r="W316" s="18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</row>
    <row r="317" spans="1:36" ht="11.25" customHeight="1" x14ac:dyDescent="0.2">
      <c r="A317" s="74" t="s">
        <v>21</v>
      </c>
      <c r="B317" s="74" t="s">
        <v>35</v>
      </c>
      <c r="C317" s="74" t="s">
        <v>39</v>
      </c>
      <c r="D317" s="74" t="s">
        <v>47</v>
      </c>
      <c r="E317" s="74" t="s">
        <v>48</v>
      </c>
      <c r="F317" s="74" t="s">
        <v>25</v>
      </c>
      <c r="G317" s="74" t="s">
        <v>25</v>
      </c>
      <c r="H317" s="74" t="s">
        <v>37</v>
      </c>
      <c r="I317" s="80">
        <v>44501</v>
      </c>
      <c r="J317" s="81">
        <f>EFEITO!$J$317*EFEITO!$Y$289</f>
        <v>0</v>
      </c>
      <c r="K317" s="81">
        <f ca="1">EFEITO!$L$317*EFEITO!$Z$289</f>
        <v>20971.972518832012</v>
      </c>
      <c r="L317" s="81">
        <f>EFEITO!$N$317*EFEITO!$AA$289</f>
        <v>5095.3526221330467</v>
      </c>
      <c r="M317" s="81">
        <f>$J$317-EFEITO!$K$317*EFEITO!$Y$317</f>
        <v>0</v>
      </c>
      <c r="N317" s="81">
        <f ca="1">$K$317-EFEITO!$M$317*EFEITO!$Z$317</f>
        <v>629.15917556496061</v>
      </c>
      <c r="O317" s="81">
        <f>$L$317-EFEITO!$O$317*EFEITO!$AA$317</f>
        <v>152.86057866399187</v>
      </c>
      <c r="P317" s="18"/>
      <c r="Q317" s="18"/>
      <c r="R317" s="18"/>
      <c r="S317" s="18"/>
      <c r="T317" s="18"/>
      <c r="U317" s="18"/>
      <c r="V317" s="18"/>
      <c r="W317" s="18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</row>
    <row r="318" spans="1:36" ht="11.25" customHeight="1" x14ac:dyDescent="0.2">
      <c r="A318" s="74" t="s">
        <v>21</v>
      </c>
      <c r="B318" s="74" t="s">
        <v>35</v>
      </c>
      <c r="C318" s="74" t="s">
        <v>39</v>
      </c>
      <c r="D318" s="74" t="s">
        <v>47</v>
      </c>
      <c r="E318" s="74" t="s">
        <v>48</v>
      </c>
      <c r="F318" s="74" t="s">
        <v>25</v>
      </c>
      <c r="G318" s="74" t="s">
        <v>25</v>
      </c>
      <c r="H318" s="74" t="s">
        <v>37</v>
      </c>
      <c r="I318" s="80">
        <v>44531</v>
      </c>
      <c r="J318" s="81">
        <f>EFEITO!$J$318*EFEITO!$Y$289</f>
        <v>0</v>
      </c>
      <c r="K318" s="81">
        <f ca="1">EFEITO!$L$318*EFEITO!$Z$289</f>
        <v>31809.556950682341</v>
      </c>
      <c r="L318" s="81">
        <f>EFEITO!$N$318*EFEITO!$AA$289</f>
        <v>7728.4532617047553</v>
      </c>
      <c r="M318" s="81">
        <f>$J$318-EFEITO!$K$318*EFEITO!$Y$318</f>
        <v>0</v>
      </c>
      <c r="N318" s="81">
        <f ca="1">$K$318-EFEITO!$M$318*EFEITO!$Z$318</f>
        <v>954.28670852047071</v>
      </c>
      <c r="O318" s="81">
        <f>$L$318-EFEITO!$O$318*EFEITO!$AA$318</f>
        <v>231.8535978511436</v>
      </c>
      <c r="P318" s="18"/>
      <c r="Q318" s="18"/>
      <c r="R318" s="18"/>
      <c r="S318" s="18"/>
      <c r="T318" s="18"/>
      <c r="U318" s="18"/>
      <c r="V318" s="18"/>
      <c r="W318" s="18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</row>
    <row r="319" spans="1:36" ht="11.25" customHeight="1" x14ac:dyDescent="0.2">
      <c r="A319" s="74" t="s">
        <v>21</v>
      </c>
      <c r="B319" s="74" t="s">
        <v>35</v>
      </c>
      <c r="C319" s="74" t="s">
        <v>39</v>
      </c>
      <c r="D319" s="74" t="s">
        <v>47</v>
      </c>
      <c r="E319" s="74" t="s">
        <v>48</v>
      </c>
      <c r="F319" s="74" t="s">
        <v>25</v>
      </c>
      <c r="G319" s="74" t="s">
        <v>25</v>
      </c>
      <c r="H319" s="74" t="s">
        <v>37</v>
      </c>
      <c r="I319" s="80">
        <v>44562</v>
      </c>
      <c r="J319" s="81">
        <f>EFEITO!$J$319*EFEITO!$Y$289</f>
        <v>0</v>
      </c>
      <c r="K319" s="81">
        <f ca="1">EFEITO!$L$319*EFEITO!$Z$289</f>
        <v>33975.879448356238</v>
      </c>
      <c r="L319" s="81">
        <f>EFEITO!$N$319*EFEITO!$AA$289</f>
        <v>8254.7832008173809</v>
      </c>
      <c r="M319" s="81">
        <f>$J$319-EFEITO!$K$319*EFEITO!$Y$319</f>
        <v>0</v>
      </c>
      <c r="N319" s="81">
        <f ca="1">$K$319-EFEITO!$M$319*EFEITO!$Z$319</f>
        <v>1019.2763834506841</v>
      </c>
      <c r="O319" s="81">
        <f>$L$319-EFEITO!$O$319*EFEITO!$AA$319</f>
        <v>247.64349602452239</v>
      </c>
      <c r="P319" s="18"/>
      <c r="Q319" s="18"/>
      <c r="R319" s="18"/>
      <c r="S319" s="18"/>
      <c r="T319" s="18"/>
      <c r="U319" s="18"/>
      <c r="V319" s="18"/>
      <c r="W319" s="18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</row>
    <row r="320" spans="1:36" ht="11.25" customHeight="1" x14ac:dyDescent="0.2">
      <c r="A320" s="74" t="s">
        <v>21</v>
      </c>
      <c r="B320" s="74" t="s">
        <v>35</v>
      </c>
      <c r="C320" s="74" t="s">
        <v>39</v>
      </c>
      <c r="D320" s="74" t="s">
        <v>47</v>
      </c>
      <c r="E320" s="74" t="s">
        <v>48</v>
      </c>
      <c r="F320" s="74" t="s">
        <v>25</v>
      </c>
      <c r="G320" s="74" t="s">
        <v>25</v>
      </c>
      <c r="H320" s="74" t="s">
        <v>37</v>
      </c>
      <c r="I320" s="80">
        <v>44593</v>
      </c>
      <c r="J320" s="81">
        <f>EFEITO!$J$320*EFEITO!$Y$289</f>
        <v>0</v>
      </c>
      <c r="K320" s="81">
        <f ca="1">EFEITO!$L$320*EFEITO!$Z$289</f>
        <v>28238.334749141359</v>
      </c>
      <c r="L320" s="81">
        <f>EFEITO!$N$320*EFEITO!$AA$289</f>
        <v>6860.788744573535</v>
      </c>
      <c r="M320" s="81">
        <f>$J$320-EFEITO!$K$320*EFEITO!$Y$320</f>
        <v>0</v>
      </c>
      <c r="N320" s="81">
        <f ca="1">$K$320-EFEITO!$M$320*EFEITO!$Z$320</f>
        <v>847.15004247424076</v>
      </c>
      <c r="O320" s="81">
        <f>$L$320-EFEITO!$O$320*EFEITO!$AA$320</f>
        <v>205.82366233720677</v>
      </c>
      <c r="P320" s="18"/>
      <c r="Q320" s="18"/>
      <c r="R320" s="18"/>
      <c r="S320" s="18"/>
      <c r="T320" s="18"/>
      <c r="U320" s="18"/>
      <c r="V320" s="18"/>
      <c r="W320" s="18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</row>
    <row r="321" spans="1:36" ht="11.25" customHeight="1" x14ac:dyDescent="0.2">
      <c r="A321" s="74" t="s">
        <v>21</v>
      </c>
      <c r="B321" s="74" t="s">
        <v>35</v>
      </c>
      <c r="C321" s="74" t="s">
        <v>39</v>
      </c>
      <c r="D321" s="74" t="s">
        <v>47</v>
      </c>
      <c r="E321" s="74" t="s">
        <v>48</v>
      </c>
      <c r="F321" s="74" t="s">
        <v>25</v>
      </c>
      <c r="G321" s="74" t="s">
        <v>25</v>
      </c>
      <c r="H321" s="74" t="s">
        <v>37</v>
      </c>
      <c r="I321" s="80">
        <v>44621</v>
      </c>
      <c r="J321" s="81">
        <f>EFEITO!$J$321*EFEITO!$Y$289</f>
        <v>0</v>
      </c>
      <c r="K321" s="81">
        <f ca="1">EFEITO!$L$321*EFEITO!$Z$289</f>
        <v>28489.156375336544</v>
      </c>
      <c r="L321" s="81">
        <f>EFEITO!$N$321*EFEITO!$AA$289</f>
        <v>6921.7283929339219</v>
      </c>
      <c r="M321" s="81">
        <f>$J$321-EFEITO!$K$321*EFEITO!$Y$321</f>
        <v>0</v>
      </c>
      <c r="N321" s="81">
        <f ca="1">$K$321-EFEITO!$M$321*EFEITO!$Z$321</f>
        <v>854.67469126009746</v>
      </c>
      <c r="O321" s="81">
        <f>$L$321-EFEITO!$O$321*EFEITO!$AA$321</f>
        <v>207.65185178801858</v>
      </c>
      <c r="P321" s="18"/>
      <c r="Q321" s="18"/>
      <c r="R321" s="18"/>
      <c r="S321" s="18"/>
      <c r="T321" s="18"/>
      <c r="U321" s="18"/>
      <c r="V321" s="18"/>
      <c r="W321" s="18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</row>
    <row r="322" spans="1:36" ht="11.25" customHeight="1" x14ac:dyDescent="0.2">
      <c r="A322" s="74" t="s">
        <v>21</v>
      </c>
      <c r="B322" s="74" t="s">
        <v>35</v>
      </c>
      <c r="C322" s="74" t="s">
        <v>39</v>
      </c>
      <c r="D322" s="74" t="s">
        <v>47</v>
      </c>
      <c r="E322" s="74" t="s">
        <v>48</v>
      </c>
      <c r="F322" s="74" t="s">
        <v>25</v>
      </c>
      <c r="G322" s="74" t="s">
        <v>25</v>
      </c>
      <c r="H322" s="74" t="s">
        <v>37</v>
      </c>
      <c r="I322" s="80">
        <v>44652</v>
      </c>
      <c r="J322" s="81">
        <f>EFEITO!$J$322*EFEITO!$Y$289</f>
        <v>0</v>
      </c>
      <c r="K322" s="81">
        <f ca="1">EFEITO!$L$322*EFEITO!$Z$289</f>
        <v>24574.547423647393</v>
      </c>
      <c r="L322" s="81">
        <f>EFEITO!$N$322*EFEITO!$AA$289</f>
        <v>5970.634595309315</v>
      </c>
      <c r="M322" s="81">
        <f>$J$322-EFEITO!$K$322*EFEITO!$Y$322</f>
        <v>0</v>
      </c>
      <c r="N322" s="81">
        <f ca="1">$K$322-EFEITO!$M$322*EFEITO!$Z$322</f>
        <v>737.23642270942219</v>
      </c>
      <c r="O322" s="81">
        <f>$L$322-EFEITO!$O$322*EFEITO!$AA$322</f>
        <v>179.11903785928007</v>
      </c>
      <c r="P322" s="18"/>
      <c r="Q322" s="18"/>
      <c r="R322" s="18"/>
      <c r="S322" s="18"/>
      <c r="T322" s="18"/>
      <c r="U322" s="18"/>
      <c r="V322" s="18"/>
      <c r="W322" s="18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</row>
    <row r="323" spans="1:36" ht="11.25" customHeight="1" x14ac:dyDescent="0.2">
      <c r="A323" s="74" t="s">
        <v>21</v>
      </c>
      <c r="B323" s="74" t="s">
        <v>35</v>
      </c>
      <c r="C323" s="74" t="s">
        <v>39</v>
      </c>
      <c r="D323" s="74" t="s">
        <v>47</v>
      </c>
      <c r="E323" s="74" t="s">
        <v>48</v>
      </c>
      <c r="F323" s="74" t="s">
        <v>25</v>
      </c>
      <c r="G323" s="74" t="s">
        <v>25</v>
      </c>
      <c r="H323" s="74" t="s">
        <v>37</v>
      </c>
      <c r="I323" s="80">
        <v>44682</v>
      </c>
      <c r="J323" s="81">
        <f>EFEITO!$J$323*EFEITO!$Y$289</f>
        <v>0</v>
      </c>
      <c r="K323" s="81">
        <f ca="1">EFEITO!$L$323*EFEITO!$Z$289</f>
        <v>26778.194568076524</v>
      </c>
      <c r="L323" s="81">
        <f>EFEITO!$N$323*EFEITO!$AA$289</f>
        <v>6506.0329344755692</v>
      </c>
      <c r="M323" s="81">
        <f>$J$323-EFEITO!$K$323*EFEITO!$Y$323</f>
        <v>0</v>
      </c>
      <c r="N323" s="81">
        <f ca="1">$K$323-EFEITO!$M$323*EFEITO!$Z$323</f>
        <v>803.3458370422959</v>
      </c>
      <c r="O323" s="81">
        <f>$L$323-EFEITO!$O$323*EFEITO!$AA$323</f>
        <v>195.1809880342671</v>
      </c>
      <c r="P323" s="18"/>
      <c r="Q323" s="18"/>
      <c r="R323" s="18"/>
      <c r="S323" s="18"/>
      <c r="T323" s="18"/>
      <c r="U323" s="18"/>
      <c r="V323" s="18"/>
      <c r="W323" s="18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</row>
    <row r="324" spans="1:36" ht="11.25" customHeight="1" x14ac:dyDescent="0.2">
      <c r="A324" s="74" t="s">
        <v>21</v>
      </c>
      <c r="B324" s="74" t="s">
        <v>35</v>
      </c>
      <c r="C324" s="74" t="s">
        <v>39</v>
      </c>
      <c r="D324" s="74" t="s">
        <v>47</v>
      </c>
      <c r="E324" s="74" t="s">
        <v>48</v>
      </c>
      <c r="F324" s="74" t="s">
        <v>25</v>
      </c>
      <c r="G324" s="74" t="s">
        <v>25</v>
      </c>
      <c r="H324" s="74" t="s">
        <v>37</v>
      </c>
      <c r="I324" s="80">
        <v>44713</v>
      </c>
      <c r="J324" s="81">
        <f>EFEITO!$J$324*EFEITO!$Y$289</f>
        <v>0</v>
      </c>
      <c r="K324" s="81">
        <f ca="1">EFEITO!$L$324*EFEITO!$Z$289</f>
        <v>26875.238649640141</v>
      </c>
      <c r="L324" s="81">
        <f>EFEITO!$N$324*EFEITO!$AA$289</f>
        <v>6529.6107746150055</v>
      </c>
      <c r="M324" s="81">
        <f>$J$324-EFEITO!$K$324*EFEITO!$Y$324</f>
        <v>0</v>
      </c>
      <c r="N324" s="81">
        <f ca="1">$K$324-EFEITO!$M$324*EFEITO!$Z$324</f>
        <v>806.25715948920697</v>
      </c>
      <c r="O324" s="81">
        <f>$L$324-EFEITO!$O$324*EFEITO!$AA$324</f>
        <v>195.88832323845145</v>
      </c>
      <c r="P324" s="18"/>
      <c r="Q324" s="18"/>
      <c r="R324" s="18"/>
      <c r="S324" s="18"/>
      <c r="T324" s="18"/>
      <c r="U324" s="18"/>
      <c r="V324" s="18"/>
      <c r="W324" s="18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</row>
    <row r="325" spans="1:36" ht="11.25" customHeight="1" x14ac:dyDescent="0.2">
      <c r="A325" s="74" t="s">
        <v>55</v>
      </c>
      <c r="B325" s="74" t="s">
        <v>35</v>
      </c>
      <c r="C325" s="74" t="s">
        <v>39</v>
      </c>
      <c r="D325" s="74" t="s">
        <v>47</v>
      </c>
      <c r="E325" s="74" t="s">
        <v>48</v>
      </c>
      <c r="F325" s="74" t="s">
        <v>25</v>
      </c>
      <c r="G325" s="74" t="s">
        <v>25</v>
      </c>
      <c r="H325" s="74" t="s">
        <v>37</v>
      </c>
      <c r="I325" s="80">
        <v>44743</v>
      </c>
      <c r="J325" s="81">
        <f>EFEITO!$J$325*EFEITO!$Y$289</f>
        <v>0</v>
      </c>
      <c r="K325" s="81">
        <f ca="1">EFEITO!$L$325*EFEITO!$Z$289</f>
        <v>26875.238649640141</v>
      </c>
      <c r="L325" s="81">
        <f>EFEITO!$N$325*EFEITO!$AA$289</f>
        <v>6529.6107746150055</v>
      </c>
      <c r="M325" s="81">
        <f>$J$325-EFEITO!$K$325*EFEITO!$Y$325</f>
        <v>0</v>
      </c>
      <c r="N325" s="81">
        <f ca="1">$K$325-EFEITO!$M$325*EFEITO!$Z$325</f>
        <v>806.25715948920697</v>
      </c>
      <c r="O325" s="81">
        <f>$L$325-EFEITO!$O$325*EFEITO!$AA$325</f>
        <v>195.88832323845145</v>
      </c>
      <c r="P325" s="18"/>
      <c r="Q325" s="18"/>
      <c r="R325" s="18"/>
      <c r="S325" s="18"/>
      <c r="T325" s="18"/>
      <c r="U325" s="18"/>
      <c r="V325" s="18"/>
      <c r="W325" s="18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</row>
    <row r="326" spans="1:36" ht="11.25" customHeight="1" x14ac:dyDescent="0.2">
      <c r="A326" s="74" t="s">
        <v>21</v>
      </c>
      <c r="B326" s="74" t="s">
        <v>22</v>
      </c>
      <c r="C326" s="74" t="s">
        <v>23</v>
      </c>
      <c r="D326" s="74" t="s">
        <v>24</v>
      </c>
      <c r="E326" s="74" t="s">
        <v>24</v>
      </c>
      <c r="F326" s="74" t="s">
        <v>25</v>
      </c>
      <c r="G326" s="74" t="s">
        <v>25</v>
      </c>
      <c r="H326" s="74" t="s">
        <v>25</v>
      </c>
      <c r="I326" s="80">
        <v>44409</v>
      </c>
      <c r="J326" s="81">
        <f>EFEITO!$J$326*EFEITO!$Y$326</f>
        <v>0</v>
      </c>
      <c r="K326" s="81">
        <f ca="1">EFEITO!$L$326*EFEITO!$Z$326</f>
        <v>2057878.2077428231</v>
      </c>
      <c r="L326" s="81">
        <f>EFEITO!$N$326*EFEITO!$AA$326</f>
        <v>1156326.11345714</v>
      </c>
      <c r="M326" s="81">
        <f>$J$326-EFEITO!$K$326*EFEITO!$Y$326</f>
        <v>0</v>
      </c>
      <c r="N326" s="81">
        <f ca="1">$K$326-EFEITO!$M$326*EFEITO!$Z$326</f>
        <v>0</v>
      </c>
      <c r="O326" s="81">
        <f>$L$326-EFEITO!$O$326*EFEITO!$AA$326</f>
        <v>0</v>
      </c>
      <c r="P326" s="18"/>
      <c r="Q326" s="18"/>
      <c r="R326" s="18"/>
      <c r="S326" s="18"/>
      <c r="T326" s="18"/>
      <c r="U326" s="18"/>
      <c r="V326" s="18"/>
      <c r="W326" s="18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</row>
    <row r="327" spans="1:36" ht="11.25" customHeight="1" x14ac:dyDescent="0.2">
      <c r="A327" s="74" t="s">
        <v>27</v>
      </c>
      <c r="B327" s="74" t="s">
        <v>22</v>
      </c>
      <c r="C327" s="74" t="s">
        <v>23</v>
      </c>
      <c r="D327" s="74" t="s">
        <v>24</v>
      </c>
      <c r="E327" s="74" t="s">
        <v>24</v>
      </c>
      <c r="F327" s="74" t="s">
        <v>25</v>
      </c>
      <c r="G327" s="74" t="s">
        <v>25</v>
      </c>
      <c r="H327" s="74" t="s">
        <v>25</v>
      </c>
      <c r="I327" s="80">
        <v>44409</v>
      </c>
      <c r="J327" s="81">
        <f>EFEITO!$J$327*EFEITO!$Y$327</f>
        <v>0</v>
      </c>
      <c r="K327" s="81">
        <f ca="1">EFEITO!$L$327*EFEITO!$Z$327</f>
        <v>-3079.2963370172929</v>
      </c>
      <c r="L327" s="81">
        <f>EFEITO!$N$327*EFEITO!$AA$327</f>
        <v>-1730.2631186670292</v>
      </c>
      <c r="M327" s="81">
        <f>$J$327-EFEITO!$K$327*EFEITO!$Y$327</f>
        <v>0</v>
      </c>
      <c r="N327" s="81">
        <f ca="1">$K$327-EFEITO!$M$327*EFEITO!$Z$327</f>
        <v>0</v>
      </c>
      <c r="O327" s="81">
        <f>$L$327-EFEITO!$O$327*EFEITO!$AA$327</f>
        <v>0</v>
      </c>
      <c r="P327" s="18"/>
      <c r="Q327" s="18"/>
      <c r="R327" s="18"/>
      <c r="S327" s="18"/>
      <c r="T327" s="18"/>
      <c r="U327" s="18"/>
      <c r="V327" s="18"/>
      <c r="W327" s="18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</row>
    <row r="328" spans="1:36" ht="11.25" customHeight="1" x14ac:dyDescent="0.2">
      <c r="A328" s="74" t="s">
        <v>28</v>
      </c>
      <c r="B328" s="74" t="s">
        <v>22</v>
      </c>
      <c r="C328" s="74" t="s">
        <v>23</v>
      </c>
      <c r="D328" s="74" t="s">
        <v>24</v>
      </c>
      <c r="E328" s="74" t="s">
        <v>24</v>
      </c>
      <c r="F328" s="74" t="s">
        <v>25</v>
      </c>
      <c r="G328" s="74" t="s">
        <v>25</v>
      </c>
      <c r="H328" s="74" t="s">
        <v>25</v>
      </c>
      <c r="I328" s="80">
        <v>44409</v>
      </c>
      <c r="J328" s="81">
        <f>EFEITO!$J$328*EFEITO!$Y$328</f>
        <v>0</v>
      </c>
      <c r="K328" s="81">
        <f ca="1">EFEITO!$L$328*EFEITO!$Z$328</f>
        <v>6397.453198142789</v>
      </c>
      <c r="L328" s="81">
        <f>EFEITO!$N$328*EFEITO!$AA$328</f>
        <v>3594.7424705694179</v>
      </c>
      <c r="M328" s="81">
        <f>$J$328-EFEITO!$K$328*EFEITO!$Y$328</f>
        <v>0</v>
      </c>
      <c r="N328" s="81">
        <f ca="1">$K$328-EFEITO!$M$328*EFEITO!$Z$328</f>
        <v>0</v>
      </c>
      <c r="O328" s="81">
        <f>$L$328-EFEITO!$O$328*EFEITO!$AA$328</f>
        <v>0</v>
      </c>
      <c r="P328" s="18"/>
      <c r="Q328" s="18"/>
      <c r="R328" s="18"/>
      <c r="S328" s="18"/>
      <c r="T328" s="18"/>
      <c r="U328" s="18"/>
      <c r="V328" s="18"/>
      <c r="W328" s="18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</row>
    <row r="329" spans="1:36" ht="11.25" customHeight="1" x14ac:dyDescent="0.2">
      <c r="A329" s="74" t="s">
        <v>21</v>
      </c>
      <c r="B329" s="74" t="s">
        <v>22</v>
      </c>
      <c r="C329" s="74" t="s">
        <v>23</v>
      </c>
      <c r="D329" s="74" t="s">
        <v>24</v>
      </c>
      <c r="E329" s="74" t="s">
        <v>24</v>
      </c>
      <c r="F329" s="74" t="s">
        <v>25</v>
      </c>
      <c r="G329" s="74" t="s">
        <v>25</v>
      </c>
      <c r="H329" s="74" t="s">
        <v>25</v>
      </c>
      <c r="I329" s="80">
        <v>44440</v>
      </c>
      <c r="J329" s="81">
        <f>EFEITO!$J$329*EFEITO!$Y$329</f>
        <v>0</v>
      </c>
      <c r="K329" s="81">
        <f ca="1">EFEITO!$L$329*EFEITO!$Z$329</f>
        <v>2175194.2200879045</v>
      </c>
      <c r="L329" s="81">
        <f>EFEITO!$N$329*EFEITO!$AA$329</f>
        <v>1222246.2286956755</v>
      </c>
      <c r="M329" s="81">
        <f>$J$329-EFEITO!$K$329*EFEITO!$Y$329</f>
        <v>0</v>
      </c>
      <c r="N329" s="81">
        <f ca="1">$K$329-EFEITO!$M$329*EFEITO!$Z$329</f>
        <v>0</v>
      </c>
      <c r="O329" s="81">
        <f>$L$329-EFEITO!$O$329*EFEITO!$AA$329</f>
        <v>0</v>
      </c>
      <c r="P329" s="18"/>
      <c r="Q329" s="18"/>
      <c r="R329" s="18"/>
      <c r="S329" s="18"/>
      <c r="T329" s="18"/>
      <c r="U329" s="18"/>
      <c r="V329" s="18"/>
      <c r="W329" s="18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</row>
    <row r="330" spans="1:36" ht="11.25" customHeight="1" x14ac:dyDescent="0.2">
      <c r="A330" s="74" t="s">
        <v>27</v>
      </c>
      <c r="B330" s="74" t="s">
        <v>22</v>
      </c>
      <c r="C330" s="74" t="s">
        <v>23</v>
      </c>
      <c r="D330" s="74" t="s">
        <v>24</v>
      </c>
      <c r="E330" s="74" t="s">
        <v>24</v>
      </c>
      <c r="F330" s="74" t="s">
        <v>25</v>
      </c>
      <c r="G330" s="74" t="s">
        <v>25</v>
      </c>
      <c r="H330" s="74" t="s">
        <v>25</v>
      </c>
      <c r="I330" s="80">
        <v>44440</v>
      </c>
      <c r="J330" s="81">
        <f>EFEITO!$J$330*EFEITO!$Y$330</f>
        <v>0</v>
      </c>
      <c r="K330" s="81">
        <f ca="1">EFEITO!$L$330*EFEITO!$Z$330</f>
        <v>-2366.055471323567</v>
      </c>
      <c r="L330" s="81">
        <f>EFEITO!$N$330*EFEITO!$AA$330</f>
        <v>-1329.4915690761309</v>
      </c>
      <c r="M330" s="81">
        <f>$J$330-EFEITO!$K$330*EFEITO!$Y$330</f>
        <v>0</v>
      </c>
      <c r="N330" s="81">
        <f ca="1">$K$330-EFEITO!$M$330*EFEITO!$Z$330</f>
        <v>0</v>
      </c>
      <c r="O330" s="81">
        <f>$L$330-EFEITO!$O$330*EFEITO!$AA$330</f>
        <v>0</v>
      </c>
      <c r="P330" s="18"/>
      <c r="Q330" s="18"/>
      <c r="R330" s="18"/>
      <c r="S330" s="18"/>
      <c r="T330" s="18"/>
      <c r="U330" s="18"/>
      <c r="V330" s="18"/>
      <c r="W330" s="18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</row>
    <row r="331" spans="1:36" ht="11.25" customHeight="1" x14ac:dyDescent="0.2">
      <c r="A331" s="74" t="s">
        <v>28</v>
      </c>
      <c r="B331" s="74" t="s">
        <v>22</v>
      </c>
      <c r="C331" s="74" t="s">
        <v>23</v>
      </c>
      <c r="D331" s="74" t="s">
        <v>24</v>
      </c>
      <c r="E331" s="74" t="s">
        <v>24</v>
      </c>
      <c r="F331" s="74" t="s">
        <v>25</v>
      </c>
      <c r="G331" s="74" t="s">
        <v>25</v>
      </c>
      <c r="H331" s="74" t="s">
        <v>25</v>
      </c>
      <c r="I331" s="80">
        <v>44440</v>
      </c>
      <c r="J331" s="81">
        <f>EFEITO!$J$331*EFEITO!$Y$331</f>
        <v>0</v>
      </c>
      <c r="K331" s="81">
        <f ca="1">EFEITO!$L$331*EFEITO!$Z$331</f>
        <v>7405.5114240120256</v>
      </c>
      <c r="L331" s="81">
        <f>EFEITO!$N$331*EFEITO!$AA$331</f>
        <v>4161.172517824939</v>
      </c>
      <c r="M331" s="81">
        <f>$J$331-EFEITO!$K$331*EFEITO!$Y$331</f>
        <v>0</v>
      </c>
      <c r="N331" s="81">
        <f ca="1">$K$331-EFEITO!$M$331*EFEITO!$Z$331</f>
        <v>0</v>
      </c>
      <c r="O331" s="81">
        <f>$L$331-EFEITO!$O$331*EFEITO!$AA$331</f>
        <v>0</v>
      </c>
      <c r="P331" s="18"/>
      <c r="Q331" s="18"/>
      <c r="R331" s="18"/>
      <c r="S331" s="18"/>
      <c r="T331" s="18"/>
      <c r="U331" s="18"/>
      <c r="V331" s="18"/>
      <c r="W331" s="18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</row>
    <row r="332" spans="1:36" ht="11.25" customHeight="1" x14ac:dyDescent="0.2">
      <c r="A332" s="74" t="s">
        <v>21</v>
      </c>
      <c r="B332" s="74" t="s">
        <v>22</v>
      </c>
      <c r="C332" s="74" t="s">
        <v>23</v>
      </c>
      <c r="D332" s="74" t="s">
        <v>24</v>
      </c>
      <c r="E332" s="74" t="s">
        <v>24</v>
      </c>
      <c r="F332" s="74" t="s">
        <v>25</v>
      </c>
      <c r="G332" s="74" t="s">
        <v>25</v>
      </c>
      <c r="H332" s="74" t="s">
        <v>25</v>
      </c>
      <c r="I332" s="80">
        <v>44470</v>
      </c>
      <c r="J332" s="81">
        <f>EFEITO!$J$332*EFEITO!$Y$332</f>
        <v>0</v>
      </c>
      <c r="K332" s="81">
        <f ca="1">EFEITO!$L$332*EFEITO!$Z$332</f>
        <v>2057402.1570479223</v>
      </c>
      <c r="L332" s="81">
        <f>EFEITO!$N$332*EFEITO!$AA$332</f>
        <v>1156058.619565727</v>
      </c>
      <c r="M332" s="81">
        <f>$J$332-EFEITO!$K$332*EFEITO!$Y$332</f>
        <v>0</v>
      </c>
      <c r="N332" s="81">
        <f ca="1">$K$332-EFEITO!$M$332*EFEITO!$Z$332</f>
        <v>0</v>
      </c>
      <c r="O332" s="81">
        <f>$L$332-EFEITO!$O$332*EFEITO!$AA$332</f>
        <v>0</v>
      </c>
      <c r="P332" s="18"/>
      <c r="Q332" s="18"/>
      <c r="R332" s="18"/>
      <c r="S332" s="18"/>
      <c r="T332" s="18"/>
      <c r="U332" s="18"/>
      <c r="V332" s="18"/>
      <c r="W332" s="18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</row>
    <row r="333" spans="1:36" ht="11.25" customHeight="1" x14ac:dyDescent="0.2">
      <c r="A333" s="74" t="s">
        <v>27</v>
      </c>
      <c r="B333" s="74" t="s">
        <v>22</v>
      </c>
      <c r="C333" s="74" t="s">
        <v>23</v>
      </c>
      <c r="D333" s="74" t="s">
        <v>24</v>
      </c>
      <c r="E333" s="74" t="s">
        <v>24</v>
      </c>
      <c r="F333" s="74" t="s">
        <v>25</v>
      </c>
      <c r="G333" s="74" t="s">
        <v>25</v>
      </c>
      <c r="H333" s="74" t="s">
        <v>25</v>
      </c>
      <c r="I333" s="80">
        <v>44470</v>
      </c>
      <c r="J333" s="81">
        <f>EFEITO!$J$333*EFEITO!$Y$333</f>
        <v>0</v>
      </c>
      <c r="K333" s="81">
        <f ca="1">EFEITO!$L$333*EFEITO!$Z$333</f>
        <v>-1954.3133790671181</v>
      </c>
      <c r="L333" s="81">
        <f>EFEITO!$N$333*EFEITO!$AA$333</f>
        <v>-1098.1328173802137</v>
      </c>
      <c r="M333" s="81">
        <f>$J$333-EFEITO!$K$333*EFEITO!$Y$333</f>
        <v>0</v>
      </c>
      <c r="N333" s="81">
        <f ca="1">$K$333-EFEITO!$M$333*EFEITO!$Z$333</f>
        <v>0</v>
      </c>
      <c r="O333" s="81">
        <f>$L$333-EFEITO!$O$333*EFEITO!$AA$333</f>
        <v>0</v>
      </c>
      <c r="P333" s="18"/>
      <c r="Q333" s="18"/>
      <c r="R333" s="18"/>
      <c r="S333" s="18"/>
      <c r="T333" s="18"/>
      <c r="U333" s="18"/>
      <c r="V333" s="18"/>
      <c r="W333" s="18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</row>
    <row r="334" spans="1:36" ht="11.25" customHeight="1" x14ac:dyDescent="0.2">
      <c r="A334" s="74" t="s">
        <v>28</v>
      </c>
      <c r="B334" s="74" t="s">
        <v>22</v>
      </c>
      <c r="C334" s="74" t="s">
        <v>23</v>
      </c>
      <c r="D334" s="74" t="s">
        <v>24</v>
      </c>
      <c r="E334" s="74" t="s">
        <v>24</v>
      </c>
      <c r="F334" s="74" t="s">
        <v>25</v>
      </c>
      <c r="G334" s="74" t="s">
        <v>25</v>
      </c>
      <c r="H334" s="74" t="s">
        <v>25</v>
      </c>
      <c r="I334" s="80">
        <v>44470</v>
      </c>
      <c r="J334" s="81">
        <f>EFEITO!$J$334*EFEITO!$Y$334</f>
        <v>0</v>
      </c>
      <c r="K334" s="81">
        <f ca="1">EFEITO!$L$334*EFEITO!$Z$334</f>
        <v>6165.6916756252149</v>
      </c>
      <c r="L334" s="81">
        <f>EFEITO!$N$334*EFEITO!$AA$334</f>
        <v>3464.5151813288157</v>
      </c>
      <c r="M334" s="81">
        <f>$J$334-EFEITO!$K$334*EFEITO!$Y$334</f>
        <v>0</v>
      </c>
      <c r="N334" s="81">
        <f ca="1">$K$334-EFEITO!$M$334*EFEITO!$Z$334</f>
        <v>0</v>
      </c>
      <c r="O334" s="81">
        <f>$L$334-EFEITO!$O$334*EFEITO!$AA$334</f>
        <v>0</v>
      </c>
      <c r="P334" s="18"/>
      <c r="Q334" s="18"/>
      <c r="R334" s="18"/>
      <c r="S334" s="18"/>
      <c r="T334" s="18"/>
      <c r="U334" s="18"/>
      <c r="V334" s="18"/>
      <c r="W334" s="18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</row>
    <row r="335" spans="1:36" ht="11.25" customHeight="1" x14ac:dyDescent="0.2">
      <c r="A335" s="74" t="s">
        <v>21</v>
      </c>
      <c r="B335" s="74" t="s">
        <v>22</v>
      </c>
      <c r="C335" s="74" t="s">
        <v>23</v>
      </c>
      <c r="D335" s="74" t="s">
        <v>24</v>
      </c>
      <c r="E335" s="74" t="s">
        <v>24</v>
      </c>
      <c r="F335" s="74" t="s">
        <v>25</v>
      </c>
      <c r="G335" s="74" t="s">
        <v>25</v>
      </c>
      <c r="H335" s="74" t="s">
        <v>25</v>
      </c>
      <c r="I335" s="80">
        <v>44501</v>
      </c>
      <c r="J335" s="81">
        <f>EFEITO!$J$335*EFEITO!$Y$335</f>
        <v>0</v>
      </c>
      <c r="K335" s="81">
        <f ca="1">EFEITO!$L$335*EFEITO!$Z$335</f>
        <v>2140861.7780423099</v>
      </c>
      <c r="L335" s="81">
        <f>EFEITO!$N$335*EFEITO!$AA$335</f>
        <v>1202954.756961972</v>
      </c>
      <c r="M335" s="81">
        <f>$J$335-EFEITO!$K$335*EFEITO!$Y$335</f>
        <v>0</v>
      </c>
      <c r="N335" s="81">
        <f ca="1">$K$335-EFEITO!$M$335*EFEITO!$Z$335</f>
        <v>0</v>
      </c>
      <c r="O335" s="81">
        <f>$L$335-EFEITO!$O$335*EFEITO!$AA$335</f>
        <v>0</v>
      </c>
      <c r="P335" s="18"/>
      <c r="Q335" s="18"/>
      <c r="R335" s="18"/>
      <c r="S335" s="18"/>
      <c r="T335" s="18"/>
      <c r="U335" s="18"/>
      <c r="V335" s="18"/>
      <c r="W335" s="18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</row>
    <row r="336" spans="1:36" ht="11.25" customHeight="1" x14ac:dyDescent="0.2">
      <c r="A336" s="74" t="s">
        <v>27</v>
      </c>
      <c r="B336" s="74" t="s">
        <v>22</v>
      </c>
      <c r="C336" s="74" t="s">
        <v>23</v>
      </c>
      <c r="D336" s="74" t="s">
        <v>24</v>
      </c>
      <c r="E336" s="74" t="s">
        <v>24</v>
      </c>
      <c r="F336" s="74" t="s">
        <v>25</v>
      </c>
      <c r="G336" s="74" t="s">
        <v>25</v>
      </c>
      <c r="H336" s="74" t="s">
        <v>25</v>
      </c>
      <c r="I336" s="80">
        <v>44501</v>
      </c>
      <c r="J336" s="81">
        <f>EFEITO!$J$336*EFEITO!$Y$336</f>
        <v>0</v>
      </c>
      <c r="K336" s="81">
        <f ca="1">EFEITO!$L$336*EFEITO!$Z$336</f>
        <v>-2422.012307390873</v>
      </c>
      <c r="L336" s="81">
        <f>EFEITO!$N$336*EFEITO!$AA$336</f>
        <v>-1360.9338335053931</v>
      </c>
      <c r="M336" s="81">
        <f>$J$336-EFEITO!$K$336*EFEITO!$Y$336</f>
        <v>0</v>
      </c>
      <c r="N336" s="81">
        <f ca="1">$K$336-EFEITO!$M$336*EFEITO!$Z$336</f>
        <v>0</v>
      </c>
      <c r="O336" s="81">
        <f>$L$336-EFEITO!$O$336*EFEITO!$AA$336</f>
        <v>0</v>
      </c>
      <c r="P336" s="18"/>
      <c r="Q336" s="18"/>
      <c r="R336" s="18"/>
      <c r="S336" s="18"/>
      <c r="T336" s="18"/>
      <c r="U336" s="18"/>
      <c r="V336" s="18"/>
      <c r="W336" s="18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</row>
    <row r="337" spans="1:36" ht="11.25" customHeight="1" x14ac:dyDescent="0.2">
      <c r="A337" s="74" t="s">
        <v>28</v>
      </c>
      <c r="B337" s="74" t="s">
        <v>22</v>
      </c>
      <c r="C337" s="74" t="s">
        <v>23</v>
      </c>
      <c r="D337" s="74" t="s">
        <v>24</v>
      </c>
      <c r="E337" s="74" t="s">
        <v>24</v>
      </c>
      <c r="F337" s="74" t="s">
        <v>25</v>
      </c>
      <c r="G337" s="74" t="s">
        <v>25</v>
      </c>
      <c r="H337" s="74" t="s">
        <v>25</v>
      </c>
      <c r="I337" s="80">
        <v>44501</v>
      </c>
      <c r="J337" s="81">
        <f>EFEITO!$J$337*EFEITO!$Y$337</f>
        <v>0</v>
      </c>
      <c r="K337" s="81">
        <f ca="1">EFEITO!$L$337*EFEITO!$Z$337</f>
        <v>5258.6898253402187</v>
      </c>
      <c r="L337" s="81">
        <f>EFEITO!$N$337*EFEITO!$AA$337</f>
        <v>2954.8689250574857</v>
      </c>
      <c r="M337" s="81">
        <f>$J$337-EFEITO!$K$337*EFEITO!$Y$337</f>
        <v>0</v>
      </c>
      <c r="N337" s="81">
        <f ca="1">$K$337-EFEITO!$M$337*EFEITO!$Z$337</f>
        <v>0</v>
      </c>
      <c r="O337" s="81">
        <f>$L$337-EFEITO!$O$337*EFEITO!$AA$337</f>
        <v>0</v>
      </c>
      <c r="P337" s="18"/>
      <c r="Q337" s="18"/>
      <c r="R337" s="18"/>
      <c r="S337" s="18"/>
      <c r="T337" s="18"/>
      <c r="U337" s="18"/>
      <c r="V337" s="18"/>
      <c r="W337" s="18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</row>
    <row r="338" spans="1:36" ht="11.25" customHeight="1" x14ac:dyDescent="0.2">
      <c r="A338" s="74" t="s">
        <v>21</v>
      </c>
      <c r="B338" s="74" t="s">
        <v>22</v>
      </c>
      <c r="C338" s="74" t="s">
        <v>23</v>
      </c>
      <c r="D338" s="74" t="s">
        <v>24</v>
      </c>
      <c r="E338" s="74" t="s">
        <v>24</v>
      </c>
      <c r="F338" s="74" t="s">
        <v>25</v>
      </c>
      <c r="G338" s="74" t="s">
        <v>25</v>
      </c>
      <c r="H338" s="74" t="s">
        <v>25</v>
      </c>
      <c r="I338" s="80">
        <v>44531</v>
      </c>
      <c r="J338" s="81">
        <f>EFEITO!$J$338*EFEITO!$Y$338</f>
        <v>0</v>
      </c>
      <c r="K338" s="81">
        <f ca="1">EFEITO!$L$338*EFEITO!$Z$338</f>
        <v>2185699.0720887189</v>
      </c>
      <c r="L338" s="81">
        <f>EFEITO!$N$338*EFEITO!$AA$338</f>
        <v>1228148.9272328585</v>
      </c>
      <c r="M338" s="81">
        <f>$J$338-EFEITO!$K$338*EFEITO!$Y$338</f>
        <v>0</v>
      </c>
      <c r="N338" s="81">
        <f ca="1">$K$338-EFEITO!$M$338*EFEITO!$Z$338</f>
        <v>0</v>
      </c>
      <c r="O338" s="81">
        <f>$L$338-EFEITO!$O$338*EFEITO!$AA$338</f>
        <v>0</v>
      </c>
      <c r="P338" s="18"/>
      <c r="Q338" s="18"/>
      <c r="R338" s="18"/>
      <c r="S338" s="18"/>
      <c r="T338" s="18"/>
      <c r="U338" s="18"/>
      <c r="V338" s="18"/>
      <c r="W338" s="18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</row>
    <row r="339" spans="1:36" ht="11.25" customHeight="1" x14ac:dyDescent="0.2">
      <c r="A339" s="74" t="s">
        <v>27</v>
      </c>
      <c r="B339" s="74" t="s">
        <v>22</v>
      </c>
      <c r="C339" s="74" t="s">
        <v>23</v>
      </c>
      <c r="D339" s="74" t="s">
        <v>24</v>
      </c>
      <c r="E339" s="74" t="s">
        <v>24</v>
      </c>
      <c r="F339" s="74" t="s">
        <v>25</v>
      </c>
      <c r="G339" s="74" t="s">
        <v>25</v>
      </c>
      <c r="H339" s="74" t="s">
        <v>25</v>
      </c>
      <c r="I339" s="80">
        <v>44531</v>
      </c>
      <c r="J339" s="81">
        <f>EFEITO!$J$339*EFEITO!$Y$339</f>
        <v>0</v>
      </c>
      <c r="K339" s="81">
        <f ca="1">EFEITO!$L$339*EFEITO!$Z$339</f>
        <v>-2249.5483275714882</v>
      </c>
      <c r="L339" s="81">
        <f>EFEITO!$N$339*EFEITO!$AA$339</f>
        <v>-1264.0259588092333</v>
      </c>
      <c r="M339" s="81">
        <f>$J$339-EFEITO!$K$339*EFEITO!$Y$339</f>
        <v>0</v>
      </c>
      <c r="N339" s="81">
        <f ca="1">$K$339-EFEITO!$M$339*EFEITO!$Z$339</f>
        <v>0</v>
      </c>
      <c r="O339" s="81">
        <f>$L$339-EFEITO!$O$339*EFEITO!$AA$339</f>
        <v>0</v>
      </c>
      <c r="P339" s="18"/>
      <c r="Q339" s="18"/>
      <c r="R339" s="18"/>
      <c r="S339" s="18"/>
      <c r="T339" s="18"/>
      <c r="U339" s="18"/>
      <c r="V339" s="18"/>
      <c r="W339" s="18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</row>
    <row r="340" spans="1:36" ht="11.25" customHeight="1" x14ac:dyDescent="0.2">
      <c r="A340" s="74" t="s">
        <v>28</v>
      </c>
      <c r="B340" s="74" t="s">
        <v>22</v>
      </c>
      <c r="C340" s="74" t="s">
        <v>23</v>
      </c>
      <c r="D340" s="74" t="s">
        <v>24</v>
      </c>
      <c r="E340" s="74" t="s">
        <v>24</v>
      </c>
      <c r="F340" s="74" t="s">
        <v>25</v>
      </c>
      <c r="G340" s="74" t="s">
        <v>25</v>
      </c>
      <c r="H340" s="74" t="s">
        <v>25</v>
      </c>
      <c r="I340" s="80">
        <v>44531</v>
      </c>
      <c r="J340" s="81">
        <f>EFEITO!$J$340*EFEITO!$Y$340</f>
        <v>0</v>
      </c>
      <c r="K340" s="81">
        <f ca="1">EFEITO!$L$340*EFEITO!$Z$340</f>
        <v>5102.9293786752542</v>
      </c>
      <c r="L340" s="81">
        <f>EFEITO!$N$340*EFEITO!$AA$340</f>
        <v>2867.346800937225</v>
      </c>
      <c r="M340" s="81">
        <f>$J$340-EFEITO!$K$340*EFEITO!$Y$340</f>
        <v>0</v>
      </c>
      <c r="N340" s="81">
        <f ca="1">$K$340-EFEITO!$M$340*EFEITO!$Z$340</f>
        <v>0</v>
      </c>
      <c r="O340" s="81">
        <f>$L$340-EFEITO!$O$340*EFEITO!$AA$340</f>
        <v>0</v>
      </c>
      <c r="P340" s="18"/>
      <c r="Q340" s="18"/>
      <c r="R340" s="18"/>
      <c r="S340" s="18"/>
      <c r="T340" s="18"/>
      <c r="U340" s="18"/>
      <c r="V340" s="18"/>
      <c r="W340" s="18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</row>
    <row r="341" spans="1:36" ht="11.25" customHeight="1" x14ac:dyDescent="0.2">
      <c r="A341" s="74" t="s">
        <v>21</v>
      </c>
      <c r="B341" s="74" t="s">
        <v>22</v>
      </c>
      <c r="C341" s="74" t="s">
        <v>23</v>
      </c>
      <c r="D341" s="74" t="s">
        <v>24</v>
      </c>
      <c r="E341" s="74" t="s">
        <v>24</v>
      </c>
      <c r="F341" s="74" t="s">
        <v>25</v>
      </c>
      <c r="G341" s="74" t="s">
        <v>25</v>
      </c>
      <c r="H341" s="74" t="s">
        <v>25</v>
      </c>
      <c r="I341" s="80">
        <v>44562</v>
      </c>
      <c r="J341" s="81">
        <f>EFEITO!$J$341*EFEITO!$Y$341</f>
        <v>0</v>
      </c>
      <c r="K341" s="81">
        <f ca="1">EFEITO!$L$341*EFEITO!$Z$341</f>
        <v>3278019.941308741</v>
      </c>
      <c r="L341" s="81">
        <f>EFEITO!$N$341*EFEITO!$AA$341</f>
        <v>1841926.3318435603</v>
      </c>
      <c r="M341" s="81">
        <f>$J$341-EFEITO!$K$341*EFEITO!$Y$341</f>
        <v>0</v>
      </c>
      <c r="N341" s="81">
        <f ca="1">$K$341-EFEITO!$M$341*EFEITO!$Z$341</f>
        <v>0</v>
      </c>
      <c r="O341" s="81">
        <f>$L$341-EFEITO!$O$341*EFEITO!$AA$341</f>
        <v>0</v>
      </c>
      <c r="P341" s="18"/>
      <c r="Q341" s="18"/>
      <c r="R341" s="18"/>
      <c r="S341" s="18"/>
      <c r="T341" s="18"/>
      <c r="U341" s="18"/>
      <c r="V341" s="18"/>
      <c r="W341" s="18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</row>
    <row r="342" spans="1:36" ht="11.25" customHeight="1" x14ac:dyDescent="0.2">
      <c r="A342" s="74" t="s">
        <v>27</v>
      </c>
      <c r="B342" s="74" t="s">
        <v>22</v>
      </c>
      <c r="C342" s="74" t="s">
        <v>23</v>
      </c>
      <c r="D342" s="74" t="s">
        <v>24</v>
      </c>
      <c r="E342" s="74" t="s">
        <v>24</v>
      </c>
      <c r="F342" s="74" t="s">
        <v>25</v>
      </c>
      <c r="G342" s="74" t="s">
        <v>25</v>
      </c>
      <c r="H342" s="74" t="s">
        <v>25</v>
      </c>
      <c r="I342" s="80">
        <v>44562</v>
      </c>
      <c r="J342" s="81">
        <f>EFEITO!$J$342*EFEITO!$Y$342</f>
        <v>0</v>
      </c>
      <c r="K342" s="81">
        <f ca="1">EFEITO!$L$342*EFEITO!$Z$342</f>
        <v>-2710.9834309623361</v>
      </c>
      <c r="L342" s="81">
        <f>EFEITO!$N$342*EFEITO!$AA$342</f>
        <v>-1523.3073184684504</v>
      </c>
      <c r="M342" s="81">
        <f>$J$342-EFEITO!$K$342*EFEITO!$Y$342</f>
        <v>0</v>
      </c>
      <c r="N342" s="81">
        <f ca="1">$K$342-EFEITO!$M$342*EFEITO!$Z$342</f>
        <v>0</v>
      </c>
      <c r="O342" s="81">
        <f>$L$342-EFEITO!$O$342*EFEITO!$AA$342</f>
        <v>0</v>
      </c>
      <c r="P342" s="18"/>
      <c r="Q342" s="18"/>
      <c r="R342" s="18"/>
      <c r="S342" s="18"/>
      <c r="T342" s="18"/>
      <c r="U342" s="18"/>
      <c r="V342" s="18"/>
      <c r="W342" s="18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</row>
    <row r="343" spans="1:36" ht="11.25" customHeight="1" x14ac:dyDescent="0.2">
      <c r="A343" s="74" t="s">
        <v>28</v>
      </c>
      <c r="B343" s="74" t="s">
        <v>22</v>
      </c>
      <c r="C343" s="74" t="s">
        <v>23</v>
      </c>
      <c r="D343" s="74" t="s">
        <v>24</v>
      </c>
      <c r="E343" s="74" t="s">
        <v>24</v>
      </c>
      <c r="F343" s="74" t="s">
        <v>25</v>
      </c>
      <c r="G343" s="74" t="s">
        <v>25</v>
      </c>
      <c r="H343" s="74" t="s">
        <v>25</v>
      </c>
      <c r="I343" s="80">
        <v>44562</v>
      </c>
      <c r="J343" s="81">
        <f>EFEITO!$J$343*EFEITO!$Y$343</f>
        <v>0</v>
      </c>
      <c r="K343" s="81">
        <f ca="1">EFEITO!$L$343*EFEITO!$Z$343</f>
        <v>8682.4965336674213</v>
      </c>
      <c r="L343" s="81">
        <f>EFEITO!$N$343*EFEITO!$AA$343</f>
        <v>4878.7131493524375</v>
      </c>
      <c r="M343" s="81">
        <f>$J$343-EFEITO!$K$343*EFEITO!$Y$343</f>
        <v>0</v>
      </c>
      <c r="N343" s="81">
        <f ca="1">$K$343-EFEITO!$M$343*EFEITO!$Z$343</f>
        <v>0</v>
      </c>
      <c r="O343" s="81">
        <f>$L$343-EFEITO!$O$343*EFEITO!$AA$343</f>
        <v>0</v>
      </c>
      <c r="P343" s="18"/>
      <c r="Q343" s="18"/>
      <c r="R343" s="18"/>
      <c r="S343" s="18"/>
      <c r="T343" s="18"/>
      <c r="U343" s="18"/>
      <c r="V343" s="18"/>
      <c r="W343" s="18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</row>
    <row r="344" spans="1:36" ht="11.25" customHeight="1" x14ac:dyDescent="0.2">
      <c r="A344" s="74" t="s">
        <v>28</v>
      </c>
      <c r="B344" s="74" t="s">
        <v>22</v>
      </c>
      <c r="C344" s="74" t="s">
        <v>23</v>
      </c>
      <c r="D344" s="74" t="s">
        <v>24</v>
      </c>
      <c r="E344" s="74" t="s">
        <v>24</v>
      </c>
      <c r="F344" s="74" t="s">
        <v>25</v>
      </c>
      <c r="G344" s="74" t="s">
        <v>25</v>
      </c>
      <c r="H344" s="74" t="s">
        <v>25</v>
      </c>
      <c r="I344" s="80">
        <v>44562</v>
      </c>
      <c r="J344" s="81">
        <f>EFEITO!$J$344*EFEITO!$Y$344</f>
        <v>0</v>
      </c>
      <c r="K344" s="81">
        <f ca="1">EFEITO!$L$344*EFEITO!$Z$344</f>
        <v>-51.36336444984093</v>
      </c>
      <c r="L344" s="81">
        <f>EFEITO!$N$344*EFEITO!$AA$344</f>
        <v>-28.861183020890234</v>
      </c>
      <c r="M344" s="81">
        <f>$J$344-EFEITO!$K$344*EFEITO!$Y$344</f>
        <v>0</v>
      </c>
      <c r="N344" s="81">
        <f ca="1">$K$344-EFEITO!$M$344*EFEITO!$Z$344</f>
        <v>0</v>
      </c>
      <c r="O344" s="81">
        <f>$L$344-EFEITO!$O$344*EFEITO!$AA$344</f>
        <v>0</v>
      </c>
      <c r="P344" s="18"/>
      <c r="Q344" s="18"/>
      <c r="R344" s="18"/>
      <c r="S344" s="18"/>
      <c r="T344" s="18"/>
      <c r="U344" s="18"/>
      <c r="V344" s="18"/>
      <c r="W344" s="18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</row>
    <row r="345" spans="1:36" ht="11.25" customHeight="1" x14ac:dyDescent="0.2">
      <c r="A345" s="74" t="s">
        <v>21</v>
      </c>
      <c r="B345" s="74" t="s">
        <v>22</v>
      </c>
      <c r="C345" s="74" t="s">
        <v>23</v>
      </c>
      <c r="D345" s="74" t="s">
        <v>24</v>
      </c>
      <c r="E345" s="74" t="s">
        <v>24</v>
      </c>
      <c r="F345" s="74" t="s">
        <v>25</v>
      </c>
      <c r="G345" s="74" t="s">
        <v>25</v>
      </c>
      <c r="H345" s="74" t="s">
        <v>25</v>
      </c>
      <c r="I345" s="80">
        <v>44593</v>
      </c>
      <c r="J345" s="81">
        <f>EFEITO!$J$345*EFEITO!$Y$345</f>
        <v>0</v>
      </c>
      <c r="K345" s="81">
        <f ca="1">EFEITO!$L$345*EFEITO!$Z$345</f>
        <v>3138071.8943044078</v>
      </c>
      <c r="L345" s="81">
        <f>EFEITO!$N$345*EFEITO!$AA$345</f>
        <v>1763289.2285059749</v>
      </c>
      <c r="M345" s="81">
        <f>$J$345-EFEITO!$K$345*EFEITO!$Y$345</f>
        <v>0</v>
      </c>
      <c r="N345" s="81">
        <f ca="1">$K$345-EFEITO!$M$345*EFEITO!$Z$345</f>
        <v>0</v>
      </c>
      <c r="O345" s="81">
        <f>$L$345-EFEITO!$O$345*EFEITO!$AA$345</f>
        <v>0</v>
      </c>
      <c r="P345" s="18"/>
      <c r="Q345" s="18"/>
      <c r="R345" s="18"/>
      <c r="S345" s="18"/>
      <c r="T345" s="18"/>
      <c r="U345" s="18"/>
      <c r="V345" s="18"/>
      <c r="W345" s="18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</row>
    <row r="346" spans="1:36" ht="11.25" customHeight="1" x14ac:dyDescent="0.2">
      <c r="A346" s="74" t="s">
        <v>27</v>
      </c>
      <c r="B346" s="74" t="s">
        <v>22</v>
      </c>
      <c r="C346" s="74" t="s">
        <v>23</v>
      </c>
      <c r="D346" s="74" t="s">
        <v>24</v>
      </c>
      <c r="E346" s="74" t="s">
        <v>24</v>
      </c>
      <c r="F346" s="74" t="s">
        <v>25</v>
      </c>
      <c r="G346" s="74" t="s">
        <v>25</v>
      </c>
      <c r="H346" s="74" t="s">
        <v>25</v>
      </c>
      <c r="I346" s="80">
        <v>44593</v>
      </c>
      <c r="J346" s="81">
        <f>EFEITO!$J$346*EFEITO!$Y$346</f>
        <v>0</v>
      </c>
      <c r="K346" s="81">
        <f ca="1">EFEITO!$L$346*EFEITO!$Z$346</f>
        <v>-16974.547979850278</v>
      </c>
      <c r="L346" s="81">
        <f>EFEITO!$N$346*EFEITO!$AA$346</f>
        <v>-9538.0343789932285</v>
      </c>
      <c r="M346" s="81">
        <f>$J$346-EFEITO!$K$346*EFEITO!$Y$346</f>
        <v>0</v>
      </c>
      <c r="N346" s="81">
        <f ca="1">$K$346-EFEITO!$M$346*EFEITO!$Z$346</f>
        <v>0</v>
      </c>
      <c r="O346" s="81">
        <f>$L$346-EFEITO!$O$346*EFEITO!$AA$346</f>
        <v>0</v>
      </c>
      <c r="P346" s="18"/>
      <c r="Q346" s="18"/>
      <c r="R346" s="18"/>
      <c r="S346" s="18"/>
      <c r="T346" s="18"/>
      <c r="U346" s="18"/>
      <c r="V346" s="18"/>
      <c r="W346" s="18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</row>
    <row r="347" spans="1:36" ht="11.25" customHeight="1" x14ac:dyDescent="0.2">
      <c r="A347" s="74" t="s">
        <v>28</v>
      </c>
      <c r="B347" s="74" t="s">
        <v>22</v>
      </c>
      <c r="C347" s="74" t="s">
        <v>23</v>
      </c>
      <c r="D347" s="74" t="s">
        <v>24</v>
      </c>
      <c r="E347" s="74" t="s">
        <v>24</v>
      </c>
      <c r="F347" s="74" t="s">
        <v>25</v>
      </c>
      <c r="G347" s="74" t="s">
        <v>25</v>
      </c>
      <c r="H347" s="74" t="s">
        <v>25</v>
      </c>
      <c r="I347" s="80">
        <v>44593</v>
      </c>
      <c r="J347" s="81">
        <f>EFEITO!$J$347*EFEITO!$Y$347</f>
        <v>0</v>
      </c>
      <c r="K347" s="81">
        <f ca="1">EFEITO!$L$347*EFEITO!$Z$347</f>
        <v>11085.29977793071</v>
      </c>
      <c r="L347" s="81">
        <f>EFEITO!$N$347*EFEITO!$AA$347</f>
        <v>6228.8533696955465</v>
      </c>
      <c r="M347" s="81">
        <f>$J$347-EFEITO!$K$347*EFEITO!$Y$347</f>
        <v>0</v>
      </c>
      <c r="N347" s="81">
        <f ca="1">$K$347-EFEITO!$M$347*EFEITO!$Z$347</f>
        <v>0</v>
      </c>
      <c r="O347" s="81">
        <f>$L$347-EFEITO!$O$347*EFEITO!$AA$347</f>
        <v>0</v>
      </c>
      <c r="P347" s="18"/>
      <c r="Q347" s="18"/>
      <c r="R347" s="18"/>
      <c r="S347" s="18"/>
      <c r="T347" s="18"/>
      <c r="U347" s="18"/>
      <c r="V347" s="18"/>
      <c r="W347" s="18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</row>
    <row r="348" spans="1:36" ht="11.25" customHeight="1" x14ac:dyDescent="0.2">
      <c r="A348" s="74" t="s">
        <v>28</v>
      </c>
      <c r="B348" s="74" t="s">
        <v>22</v>
      </c>
      <c r="C348" s="74" t="s">
        <v>23</v>
      </c>
      <c r="D348" s="74" t="s">
        <v>24</v>
      </c>
      <c r="E348" s="74" t="s">
        <v>24</v>
      </c>
      <c r="F348" s="74" t="s">
        <v>25</v>
      </c>
      <c r="G348" s="74" t="s">
        <v>25</v>
      </c>
      <c r="H348" s="74" t="s">
        <v>25</v>
      </c>
      <c r="I348" s="80">
        <v>44593</v>
      </c>
      <c r="J348" s="81">
        <f>EFEITO!$J$348*EFEITO!$Y$348</f>
        <v>0</v>
      </c>
      <c r="K348" s="81">
        <f ca="1">EFEITO!$L$348*EFEITO!$Z$348</f>
        <v>145.32073844345237</v>
      </c>
      <c r="L348" s="81">
        <f>EFEITO!$N$348*EFEITO!$AA$348</f>
        <v>81.65603001032359</v>
      </c>
      <c r="M348" s="81">
        <f>$J$348-EFEITO!$K$348*EFEITO!$Y$348</f>
        <v>0</v>
      </c>
      <c r="N348" s="81">
        <f ca="1">$K$348-EFEITO!$M$348*EFEITO!$Z$348</f>
        <v>0</v>
      </c>
      <c r="O348" s="81">
        <f>$L$348-EFEITO!$O$348*EFEITO!$AA$348</f>
        <v>0</v>
      </c>
      <c r="P348" s="18"/>
      <c r="Q348" s="18"/>
      <c r="R348" s="18"/>
      <c r="S348" s="18"/>
      <c r="T348" s="18"/>
      <c r="U348" s="18"/>
      <c r="V348" s="18"/>
      <c r="W348" s="18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</row>
    <row r="349" spans="1:36" ht="11.25" customHeight="1" x14ac:dyDescent="0.2">
      <c r="A349" s="74" t="s">
        <v>21</v>
      </c>
      <c r="B349" s="74" t="s">
        <v>22</v>
      </c>
      <c r="C349" s="74" t="s">
        <v>23</v>
      </c>
      <c r="D349" s="74" t="s">
        <v>24</v>
      </c>
      <c r="E349" s="74" t="s">
        <v>24</v>
      </c>
      <c r="F349" s="74" t="s">
        <v>25</v>
      </c>
      <c r="G349" s="74" t="s">
        <v>25</v>
      </c>
      <c r="H349" s="74" t="s">
        <v>25</v>
      </c>
      <c r="I349" s="80">
        <v>44621</v>
      </c>
      <c r="J349" s="81">
        <f>EFEITO!$J$349*EFEITO!$Y$349</f>
        <v>0</v>
      </c>
      <c r="K349" s="81">
        <f ca="1">EFEITO!$L$349*EFEITO!$Z$349</f>
        <v>2763619.1870502145</v>
      </c>
      <c r="L349" s="81">
        <f>EFEITO!$N$349*EFEITO!$AA$349</f>
        <v>1552883.4610394598</v>
      </c>
      <c r="M349" s="81">
        <f>$J$349-EFEITO!$K$349*EFEITO!$Y$349</f>
        <v>0</v>
      </c>
      <c r="N349" s="81">
        <f ca="1">$K$349-EFEITO!$M$349*EFEITO!$Z$349</f>
        <v>0</v>
      </c>
      <c r="O349" s="81">
        <f>$L$349-EFEITO!$O$349*EFEITO!$AA$349</f>
        <v>0</v>
      </c>
      <c r="P349" s="18"/>
      <c r="Q349" s="18"/>
      <c r="R349" s="18"/>
      <c r="S349" s="18"/>
      <c r="T349" s="18"/>
      <c r="U349" s="18"/>
      <c r="V349" s="18"/>
      <c r="W349" s="18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</row>
    <row r="350" spans="1:36" ht="11.25" customHeight="1" x14ac:dyDescent="0.2">
      <c r="A350" s="74" t="s">
        <v>27</v>
      </c>
      <c r="B350" s="74" t="s">
        <v>22</v>
      </c>
      <c r="C350" s="74" t="s">
        <v>23</v>
      </c>
      <c r="D350" s="74" t="s">
        <v>24</v>
      </c>
      <c r="E350" s="74" t="s">
        <v>24</v>
      </c>
      <c r="F350" s="74" t="s">
        <v>25</v>
      </c>
      <c r="G350" s="74" t="s">
        <v>25</v>
      </c>
      <c r="H350" s="74" t="s">
        <v>25</v>
      </c>
      <c r="I350" s="80">
        <v>44621</v>
      </c>
      <c r="J350" s="81">
        <f>EFEITO!$J$350*EFEITO!$Y$350</f>
        <v>0</v>
      </c>
      <c r="K350" s="81">
        <f ca="1">EFEITO!$L$350*EFEITO!$Z$350</f>
        <v>-7300.6967534680407</v>
      </c>
      <c r="L350" s="81">
        <f>EFEITO!$N$350*EFEITO!$AA$350</f>
        <v>-4102.276932961171</v>
      </c>
      <c r="M350" s="81">
        <f>$J$350-EFEITO!$K$350*EFEITO!$Y$350</f>
        <v>0</v>
      </c>
      <c r="N350" s="81">
        <f ca="1">$K$350-EFEITO!$M$350*EFEITO!$Z$350</f>
        <v>0</v>
      </c>
      <c r="O350" s="81">
        <f>$L$350-EFEITO!$O$350*EFEITO!$AA$350</f>
        <v>0</v>
      </c>
      <c r="P350" s="18"/>
      <c r="Q350" s="18"/>
      <c r="R350" s="18"/>
      <c r="S350" s="18"/>
      <c r="T350" s="18"/>
      <c r="U350" s="18"/>
      <c r="V350" s="18"/>
      <c r="W350" s="18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</row>
    <row r="351" spans="1:36" ht="11.25" customHeight="1" x14ac:dyDescent="0.2">
      <c r="A351" s="74" t="s">
        <v>28</v>
      </c>
      <c r="B351" s="74" t="s">
        <v>22</v>
      </c>
      <c r="C351" s="74" t="s">
        <v>23</v>
      </c>
      <c r="D351" s="74" t="s">
        <v>24</v>
      </c>
      <c r="E351" s="74" t="s">
        <v>24</v>
      </c>
      <c r="F351" s="74" t="s">
        <v>25</v>
      </c>
      <c r="G351" s="74" t="s">
        <v>25</v>
      </c>
      <c r="H351" s="74" t="s">
        <v>25</v>
      </c>
      <c r="I351" s="80">
        <v>44621</v>
      </c>
      <c r="J351" s="81">
        <f>EFEITO!$J$351*EFEITO!$Y$351</f>
        <v>0</v>
      </c>
      <c r="K351" s="81">
        <f ca="1">EFEITO!$L$351*EFEITO!$Z$351</f>
        <v>11854.497479691743</v>
      </c>
      <c r="L351" s="81">
        <f>EFEITO!$N$351*EFEITO!$AA$351</f>
        <v>6661.0671837157079</v>
      </c>
      <c r="M351" s="81">
        <f>$J$351-EFEITO!$K$351*EFEITO!$Y$351</f>
        <v>0</v>
      </c>
      <c r="N351" s="81">
        <f ca="1">$K$351-EFEITO!$M$351*EFEITO!$Z$351</f>
        <v>0</v>
      </c>
      <c r="O351" s="81">
        <f>$L$351-EFEITO!$O$351*EFEITO!$AA$351</f>
        <v>0</v>
      </c>
      <c r="P351" s="18"/>
      <c r="Q351" s="18"/>
      <c r="R351" s="18"/>
      <c r="S351" s="18"/>
      <c r="T351" s="18"/>
      <c r="U351" s="18"/>
      <c r="V351" s="18"/>
      <c r="W351" s="18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</row>
    <row r="352" spans="1:36" ht="11.25" customHeight="1" x14ac:dyDescent="0.2">
      <c r="A352" s="74" t="s">
        <v>21</v>
      </c>
      <c r="B352" s="74" t="s">
        <v>22</v>
      </c>
      <c r="C352" s="74" t="s">
        <v>23</v>
      </c>
      <c r="D352" s="74" t="s">
        <v>24</v>
      </c>
      <c r="E352" s="74" t="s">
        <v>24</v>
      </c>
      <c r="F352" s="74" t="s">
        <v>25</v>
      </c>
      <c r="G352" s="74" t="s">
        <v>25</v>
      </c>
      <c r="H352" s="74" t="s">
        <v>25</v>
      </c>
      <c r="I352" s="80">
        <v>44652</v>
      </c>
      <c r="J352" s="81">
        <f>EFEITO!$J$352*EFEITO!$Y$352</f>
        <v>0</v>
      </c>
      <c r="K352" s="81">
        <f ca="1">EFEITO!$L$352*EFEITO!$Z$352</f>
        <v>2380808.8669822081</v>
      </c>
      <c r="L352" s="81">
        <f>EFEITO!$N$352*EFEITO!$AA$352</f>
        <v>1337781.5332722936</v>
      </c>
      <c r="M352" s="81">
        <f>$J$352-EFEITO!$K$352*EFEITO!$Y$352</f>
        <v>0</v>
      </c>
      <c r="N352" s="81">
        <f ca="1">$K$352-EFEITO!$M$352*EFEITO!$Z$352</f>
        <v>0</v>
      </c>
      <c r="O352" s="81">
        <f>$L$352-EFEITO!$O$352*EFEITO!$AA$352</f>
        <v>0</v>
      </c>
      <c r="P352" s="18"/>
      <c r="Q352" s="18"/>
      <c r="R352" s="18"/>
      <c r="S352" s="18"/>
      <c r="T352" s="18"/>
      <c r="U352" s="18"/>
      <c r="V352" s="18"/>
      <c r="W352" s="18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</row>
    <row r="353" spans="1:36" ht="11.25" customHeight="1" x14ac:dyDescent="0.2">
      <c r="A353" s="74" t="s">
        <v>27</v>
      </c>
      <c r="B353" s="74" t="s">
        <v>22</v>
      </c>
      <c r="C353" s="74" t="s">
        <v>23</v>
      </c>
      <c r="D353" s="74" t="s">
        <v>24</v>
      </c>
      <c r="E353" s="74" t="s">
        <v>24</v>
      </c>
      <c r="F353" s="74" t="s">
        <v>25</v>
      </c>
      <c r="G353" s="74" t="s">
        <v>25</v>
      </c>
      <c r="H353" s="74" t="s">
        <v>25</v>
      </c>
      <c r="I353" s="80">
        <v>44652</v>
      </c>
      <c r="J353" s="81">
        <f>EFEITO!$J$353*EFEITO!$Y$353</f>
        <v>0</v>
      </c>
      <c r="K353" s="81">
        <f ca="1">EFEITO!$L$353*EFEITO!$Z$353</f>
        <v>-1438.5917929244065</v>
      </c>
      <c r="L353" s="81">
        <f>EFEITO!$N$353*EFEITO!$AA$353</f>
        <v>-808.34776834932404</v>
      </c>
      <c r="M353" s="81">
        <f>$J$353-EFEITO!$K$353*EFEITO!$Y$353</f>
        <v>0</v>
      </c>
      <c r="N353" s="81">
        <f ca="1">$K$353-EFEITO!$M$353*EFEITO!$Z$353</f>
        <v>0</v>
      </c>
      <c r="O353" s="81">
        <f>$L$353-EFEITO!$O$353*EFEITO!$AA$353</f>
        <v>0</v>
      </c>
      <c r="P353" s="18"/>
      <c r="Q353" s="18"/>
      <c r="R353" s="18"/>
      <c r="S353" s="18"/>
      <c r="T353" s="18"/>
      <c r="U353" s="18"/>
      <c r="V353" s="18"/>
      <c r="W353" s="18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</row>
    <row r="354" spans="1:36" ht="11.25" customHeight="1" x14ac:dyDescent="0.2">
      <c r="A354" s="74" t="s">
        <v>28</v>
      </c>
      <c r="B354" s="74" t="s">
        <v>22</v>
      </c>
      <c r="C354" s="74" t="s">
        <v>23</v>
      </c>
      <c r="D354" s="74" t="s">
        <v>24</v>
      </c>
      <c r="E354" s="74" t="s">
        <v>24</v>
      </c>
      <c r="F354" s="74" t="s">
        <v>25</v>
      </c>
      <c r="G354" s="74" t="s">
        <v>25</v>
      </c>
      <c r="H354" s="74" t="s">
        <v>25</v>
      </c>
      <c r="I354" s="80">
        <v>44652</v>
      </c>
      <c r="J354" s="81">
        <f>EFEITO!$J$354*EFEITO!$Y$354</f>
        <v>0</v>
      </c>
      <c r="K354" s="81">
        <f ca="1">EFEITO!$L$354*EFEITO!$Z$354</f>
        <v>10520.302768982461</v>
      </c>
      <c r="L354" s="81">
        <f>EFEITO!$N$354*EFEITO!$AA$354</f>
        <v>5911.3803564657537</v>
      </c>
      <c r="M354" s="81">
        <f>$J$354-EFEITO!$K$354*EFEITO!$Y$354</f>
        <v>0</v>
      </c>
      <c r="N354" s="81">
        <f ca="1">$K$354-EFEITO!$M$354*EFEITO!$Z$354</f>
        <v>0</v>
      </c>
      <c r="O354" s="81">
        <f>$L$354-EFEITO!$O$354*EFEITO!$AA$354</f>
        <v>0</v>
      </c>
      <c r="P354" s="18"/>
      <c r="Q354" s="18"/>
      <c r="R354" s="18"/>
      <c r="S354" s="18"/>
      <c r="T354" s="18"/>
      <c r="U354" s="18"/>
      <c r="V354" s="18"/>
      <c r="W354" s="18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</row>
    <row r="355" spans="1:36" ht="11.25" customHeight="1" x14ac:dyDescent="0.2">
      <c r="A355" s="74" t="s">
        <v>21</v>
      </c>
      <c r="B355" s="74" t="s">
        <v>22</v>
      </c>
      <c r="C355" s="74" t="s">
        <v>23</v>
      </c>
      <c r="D355" s="74" t="s">
        <v>24</v>
      </c>
      <c r="E355" s="74" t="s">
        <v>24</v>
      </c>
      <c r="F355" s="74" t="s">
        <v>25</v>
      </c>
      <c r="G355" s="74" t="s">
        <v>25</v>
      </c>
      <c r="H355" s="74" t="s">
        <v>25</v>
      </c>
      <c r="I355" s="80">
        <v>44682</v>
      </c>
      <c r="J355" s="81">
        <f>EFEITO!$J$355*EFEITO!$Y$355</f>
        <v>0</v>
      </c>
      <c r="K355" s="81">
        <f ca="1">EFEITO!$L$355*EFEITO!$Z$355</f>
        <v>2214492.6225403077</v>
      </c>
      <c r="L355" s="81">
        <f>EFEITO!$N$355*EFEITO!$AA$355</f>
        <v>1244328.0840755934</v>
      </c>
      <c r="M355" s="81">
        <f>$J$355-EFEITO!$K$355*EFEITO!$Y$355</f>
        <v>0</v>
      </c>
      <c r="N355" s="81">
        <f ca="1">$K$355-EFEITO!$M$355*EFEITO!$Z$355</f>
        <v>0</v>
      </c>
      <c r="O355" s="81">
        <f>$L$355-EFEITO!$O$355*EFEITO!$AA$355</f>
        <v>0</v>
      </c>
      <c r="P355" s="18"/>
      <c r="Q355" s="18"/>
      <c r="R355" s="18"/>
      <c r="S355" s="18"/>
      <c r="T355" s="18"/>
      <c r="U355" s="18"/>
      <c r="V355" s="18"/>
      <c r="W355" s="18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</row>
    <row r="356" spans="1:36" ht="11.25" customHeight="1" x14ac:dyDescent="0.2">
      <c r="A356" s="74" t="s">
        <v>27</v>
      </c>
      <c r="B356" s="74" t="s">
        <v>22</v>
      </c>
      <c r="C356" s="74" t="s">
        <v>23</v>
      </c>
      <c r="D356" s="74" t="s">
        <v>24</v>
      </c>
      <c r="E356" s="74" t="s">
        <v>24</v>
      </c>
      <c r="F356" s="74" t="s">
        <v>25</v>
      </c>
      <c r="G356" s="74" t="s">
        <v>25</v>
      </c>
      <c r="H356" s="74" t="s">
        <v>25</v>
      </c>
      <c r="I356" s="80">
        <v>44682</v>
      </c>
      <c r="J356" s="81">
        <f>EFEITO!$J$356*EFEITO!$Y$356</f>
        <v>0</v>
      </c>
      <c r="K356" s="81">
        <f ca="1">EFEITO!$L$356*EFEITO!$Z$356</f>
        <v>-2649.1803582909829</v>
      </c>
      <c r="L356" s="81">
        <f>EFEITO!$N$356*EFEITO!$AA$356</f>
        <v>-1488.5800413376232</v>
      </c>
      <c r="M356" s="81">
        <f>$J$356-EFEITO!$K$356*EFEITO!$Y$356</f>
        <v>0</v>
      </c>
      <c r="N356" s="81">
        <f ca="1">$K$356-EFEITO!$M$356*EFEITO!$Z$356</f>
        <v>0</v>
      </c>
      <c r="O356" s="81">
        <f>$L$356-EFEITO!$O$356*EFEITO!$AA$356</f>
        <v>0</v>
      </c>
      <c r="P356" s="18"/>
      <c r="Q356" s="18"/>
      <c r="R356" s="18"/>
      <c r="S356" s="18"/>
      <c r="T356" s="18"/>
      <c r="U356" s="18"/>
      <c r="V356" s="18"/>
      <c r="W356" s="18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</row>
    <row r="357" spans="1:36" ht="11.25" customHeight="1" x14ac:dyDescent="0.2">
      <c r="A357" s="74" t="s">
        <v>28</v>
      </c>
      <c r="B357" s="74" t="s">
        <v>22</v>
      </c>
      <c r="C357" s="74" t="s">
        <v>23</v>
      </c>
      <c r="D357" s="74" t="s">
        <v>24</v>
      </c>
      <c r="E357" s="74" t="s">
        <v>24</v>
      </c>
      <c r="F357" s="74" t="s">
        <v>25</v>
      </c>
      <c r="G357" s="74" t="s">
        <v>25</v>
      </c>
      <c r="H357" s="74" t="s">
        <v>25</v>
      </c>
      <c r="I357" s="80">
        <v>44682</v>
      </c>
      <c r="J357" s="81">
        <f>EFEITO!$J$357*EFEITO!$Y$357</f>
        <v>0</v>
      </c>
      <c r="K357" s="81">
        <f ca="1">EFEITO!$L$357*EFEITO!$Z$357</f>
        <v>10618.853614593536</v>
      </c>
      <c r="L357" s="81">
        <f>EFEITO!$N$357*EFEITO!$AA$357</f>
        <v>5966.7562848635589</v>
      </c>
      <c r="M357" s="81">
        <f>$J$357-EFEITO!$K$357*EFEITO!$Y$357</f>
        <v>0</v>
      </c>
      <c r="N357" s="81">
        <f ca="1">$K$357-EFEITO!$M$357*EFEITO!$Z$357</f>
        <v>0</v>
      </c>
      <c r="O357" s="81">
        <f>$L$357-EFEITO!$O$357*EFEITO!$AA$357</f>
        <v>0</v>
      </c>
      <c r="P357" s="18"/>
      <c r="Q357" s="18"/>
      <c r="R357" s="18"/>
      <c r="S357" s="18"/>
      <c r="T357" s="18"/>
      <c r="U357" s="18"/>
      <c r="V357" s="18"/>
      <c r="W357" s="18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</row>
    <row r="358" spans="1:36" ht="11.25" customHeight="1" x14ac:dyDescent="0.2">
      <c r="A358" s="74" t="s">
        <v>21</v>
      </c>
      <c r="B358" s="74" t="s">
        <v>22</v>
      </c>
      <c r="C358" s="74" t="s">
        <v>23</v>
      </c>
      <c r="D358" s="74" t="s">
        <v>24</v>
      </c>
      <c r="E358" s="74" t="s">
        <v>24</v>
      </c>
      <c r="F358" s="74" t="s">
        <v>25</v>
      </c>
      <c r="G358" s="74" t="s">
        <v>25</v>
      </c>
      <c r="H358" s="74" t="s">
        <v>25</v>
      </c>
      <c r="I358" s="80">
        <v>44713</v>
      </c>
      <c r="J358" s="81">
        <f>EFEITO!$J$358*EFEITO!$Y$358</f>
        <v>0</v>
      </c>
      <c r="K358" s="81">
        <f ca="1">EFEITO!$L$358*EFEITO!$Z$358</f>
        <v>2077757.9177265561</v>
      </c>
      <c r="L358" s="81">
        <f>EFEITO!$N$358*EFEITO!$AA$358</f>
        <v>1167496.5645050467</v>
      </c>
      <c r="M358" s="81">
        <f>$J$358-EFEITO!$K$358*EFEITO!$Y$358</f>
        <v>0</v>
      </c>
      <c r="N358" s="81">
        <f ca="1">$K$358-EFEITO!$M$358*EFEITO!$Z$358</f>
        <v>0</v>
      </c>
      <c r="O358" s="81">
        <f>$L$358-EFEITO!$O$358*EFEITO!$AA$358</f>
        <v>0</v>
      </c>
      <c r="P358" s="18"/>
      <c r="Q358" s="18"/>
      <c r="R358" s="18"/>
      <c r="S358" s="18"/>
      <c r="T358" s="18"/>
      <c r="U358" s="18"/>
      <c r="V358" s="18"/>
      <c r="W358" s="18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</row>
    <row r="359" spans="1:36" ht="11.25" customHeight="1" x14ac:dyDescent="0.2">
      <c r="A359" s="74" t="s">
        <v>27</v>
      </c>
      <c r="B359" s="74" t="s">
        <v>22</v>
      </c>
      <c r="C359" s="74" t="s">
        <v>23</v>
      </c>
      <c r="D359" s="74" t="s">
        <v>24</v>
      </c>
      <c r="E359" s="74" t="s">
        <v>24</v>
      </c>
      <c r="F359" s="74" t="s">
        <v>25</v>
      </c>
      <c r="G359" s="74" t="s">
        <v>25</v>
      </c>
      <c r="H359" s="74" t="s">
        <v>25</v>
      </c>
      <c r="I359" s="80">
        <v>44713</v>
      </c>
      <c r="J359" s="81">
        <f>EFEITO!$J$359*EFEITO!$Y$359</f>
        <v>0</v>
      </c>
      <c r="K359" s="81">
        <f ca="1">EFEITO!$L$359*EFEITO!$Z$359</f>
        <v>-125447.29228465255</v>
      </c>
      <c r="L359" s="81">
        <f>EFEITO!$N$359*EFEITO!$AA$359</f>
        <v>-70489.098618883043</v>
      </c>
      <c r="M359" s="81">
        <f>$J$359-EFEITO!$K$359*EFEITO!$Y$359</f>
        <v>0</v>
      </c>
      <c r="N359" s="81">
        <f ca="1">$K$359-EFEITO!$M$359*EFEITO!$Z$359</f>
        <v>0</v>
      </c>
      <c r="O359" s="81">
        <f>$L$359-EFEITO!$O$359*EFEITO!$AA$359</f>
        <v>0</v>
      </c>
      <c r="P359" s="18"/>
      <c r="Q359" s="18"/>
      <c r="R359" s="18"/>
      <c r="S359" s="18"/>
      <c r="T359" s="18"/>
      <c r="U359" s="18"/>
      <c r="V359" s="18"/>
      <c r="W359" s="18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</row>
    <row r="360" spans="1:36" ht="11.25" customHeight="1" x14ac:dyDescent="0.2">
      <c r="A360" s="74" t="s">
        <v>28</v>
      </c>
      <c r="B360" s="74" t="s">
        <v>22</v>
      </c>
      <c r="C360" s="74" t="s">
        <v>23</v>
      </c>
      <c r="D360" s="74" t="s">
        <v>24</v>
      </c>
      <c r="E360" s="74" t="s">
        <v>24</v>
      </c>
      <c r="F360" s="74" t="s">
        <v>25</v>
      </c>
      <c r="G360" s="74" t="s">
        <v>25</v>
      </c>
      <c r="H360" s="74" t="s">
        <v>25</v>
      </c>
      <c r="I360" s="80">
        <v>44713</v>
      </c>
      <c r="J360" s="81">
        <f>EFEITO!$J$360*EFEITO!$Y$360</f>
        <v>0</v>
      </c>
      <c r="K360" s="81">
        <f ca="1">EFEITO!$L$360*EFEITO!$Z$360</f>
        <v>13740.326372825741</v>
      </c>
      <c r="L360" s="81">
        <f>EFEITO!$N$360*EFEITO!$AA$360</f>
        <v>7720.7184237347346</v>
      </c>
      <c r="M360" s="81">
        <f>$J$360-EFEITO!$K$360*EFEITO!$Y$360</f>
        <v>0</v>
      </c>
      <c r="N360" s="81">
        <f ca="1">$K$360-EFEITO!$M$360*EFEITO!$Z$360</f>
        <v>0</v>
      </c>
      <c r="O360" s="81">
        <f>$L$360-EFEITO!$O$360*EFEITO!$AA$360</f>
        <v>0</v>
      </c>
      <c r="P360" s="18"/>
      <c r="Q360" s="18"/>
      <c r="R360" s="18"/>
      <c r="S360" s="18"/>
      <c r="T360" s="18"/>
      <c r="U360" s="18"/>
      <c r="V360" s="18"/>
      <c r="W360" s="18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</row>
    <row r="361" spans="1:36" ht="11.25" customHeight="1" x14ac:dyDescent="0.2">
      <c r="A361" s="74" t="s">
        <v>55</v>
      </c>
      <c r="B361" s="74" t="s">
        <v>22</v>
      </c>
      <c r="C361" s="74" t="s">
        <v>23</v>
      </c>
      <c r="D361" s="74" t="s">
        <v>24</v>
      </c>
      <c r="E361" s="74" t="s">
        <v>24</v>
      </c>
      <c r="F361" s="74" t="s">
        <v>25</v>
      </c>
      <c r="G361" s="74" t="s">
        <v>25</v>
      </c>
      <c r="H361" s="74" t="s">
        <v>25</v>
      </c>
      <c r="I361" s="80">
        <v>44743</v>
      </c>
      <c r="J361" s="81">
        <f>EFEITO!$J$361*EFEITO!$Y$361</f>
        <v>0</v>
      </c>
      <c r="K361" s="81">
        <f ca="1">EFEITO!$L$361*EFEITO!$Z$361</f>
        <v>2077757.9177265561</v>
      </c>
      <c r="L361" s="81">
        <f>EFEITO!$N$361*EFEITO!$AA$361</f>
        <v>1167496.5645050467</v>
      </c>
      <c r="M361" s="81">
        <f>$J$361-EFEITO!$K$361*EFEITO!$Y$361</f>
        <v>0</v>
      </c>
      <c r="N361" s="81">
        <f ca="1">$K$361-EFEITO!$M$361*EFEITO!$Z$361</f>
        <v>0</v>
      </c>
      <c r="O361" s="81">
        <f>$L$361-EFEITO!$O$361*EFEITO!$AA$361</f>
        <v>0</v>
      </c>
      <c r="P361" s="18"/>
      <c r="Q361" s="18"/>
      <c r="R361" s="18"/>
      <c r="S361" s="18"/>
      <c r="T361" s="18"/>
      <c r="U361" s="18"/>
      <c r="V361" s="18"/>
      <c r="W361" s="18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</row>
    <row r="362" spans="1:36" ht="11.25" customHeight="1" x14ac:dyDescent="0.2">
      <c r="A362" s="74" t="s">
        <v>55</v>
      </c>
      <c r="B362" s="74" t="s">
        <v>22</v>
      </c>
      <c r="C362" s="74" t="s">
        <v>23</v>
      </c>
      <c r="D362" s="74" t="s">
        <v>24</v>
      </c>
      <c r="E362" s="74" t="s">
        <v>24</v>
      </c>
      <c r="F362" s="74" t="s">
        <v>25</v>
      </c>
      <c r="G362" s="74" t="s">
        <v>25</v>
      </c>
      <c r="H362" s="74" t="s">
        <v>25</v>
      </c>
      <c r="I362" s="80">
        <v>44743</v>
      </c>
      <c r="J362" s="81">
        <f>EFEITO!$J$362*EFEITO!$Y$362</f>
        <v>0</v>
      </c>
      <c r="K362" s="81">
        <f ca="1">EFEITO!$L$362*EFEITO!$Z$362</f>
        <v>-125447.29228465255</v>
      </c>
      <c r="L362" s="81">
        <f>EFEITO!$N$362*EFEITO!$AA$362</f>
        <v>-70489.098618883043</v>
      </c>
      <c r="M362" s="81">
        <f>$J$362-EFEITO!$K$362*EFEITO!$Y$362</f>
        <v>0</v>
      </c>
      <c r="N362" s="81">
        <f ca="1">$K$362-EFEITO!$M$362*EFEITO!$Z$362</f>
        <v>0</v>
      </c>
      <c r="O362" s="81">
        <f>$L$362-EFEITO!$O$362*EFEITO!$AA$362</f>
        <v>0</v>
      </c>
      <c r="P362" s="18"/>
      <c r="Q362" s="18"/>
      <c r="R362" s="18"/>
      <c r="S362" s="18"/>
      <c r="T362" s="18"/>
      <c r="U362" s="18"/>
      <c r="V362" s="18"/>
      <c r="W362" s="18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</row>
    <row r="363" spans="1:36" ht="11.25" customHeight="1" x14ac:dyDescent="0.2">
      <c r="A363" s="74" t="s">
        <v>55</v>
      </c>
      <c r="B363" s="74" t="s">
        <v>22</v>
      </c>
      <c r="C363" s="74" t="s">
        <v>23</v>
      </c>
      <c r="D363" s="74" t="s">
        <v>24</v>
      </c>
      <c r="E363" s="74" t="s">
        <v>24</v>
      </c>
      <c r="F363" s="74" t="s">
        <v>25</v>
      </c>
      <c r="G363" s="74" t="s">
        <v>25</v>
      </c>
      <c r="H363" s="74" t="s">
        <v>25</v>
      </c>
      <c r="I363" s="80">
        <v>44743</v>
      </c>
      <c r="J363" s="81">
        <f>EFEITO!$J$363*EFEITO!$Y$363</f>
        <v>0</v>
      </c>
      <c r="K363" s="81">
        <f ca="1">EFEITO!$L$363*EFEITO!$Z$363</f>
        <v>13740.326372825741</v>
      </c>
      <c r="L363" s="81">
        <f>EFEITO!$N$363*EFEITO!$AA$363</f>
        <v>7720.7184237347346</v>
      </c>
      <c r="M363" s="81">
        <f>$J$363-EFEITO!$K$363*EFEITO!$Y$363</f>
        <v>0</v>
      </c>
      <c r="N363" s="81">
        <f ca="1">$K$363-EFEITO!$M$363*EFEITO!$Z$363</f>
        <v>0</v>
      </c>
      <c r="O363" s="81">
        <f>$L$363-EFEITO!$O$363*EFEITO!$AA$363</f>
        <v>0</v>
      </c>
      <c r="P363" s="18"/>
      <c r="Q363" s="18"/>
      <c r="R363" s="18"/>
      <c r="S363" s="18"/>
      <c r="T363" s="18"/>
      <c r="U363" s="18"/>
      <c r="V363" s="18"/>
      <c r="W363" s="18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</row>
    <row r="364" spans="1:36" ht="11.25" customHeight="1" x14ac:dyDescent="0.2">
      <c r="A364" s="74" t="s">
        <v>21</v>
      </c>
      <c r="B364" s="74" t="s">
        <v>22</v>
      </c>
      <c r="C364" s="74" t="s">
        <v>23</v>
      </c>
      <c r="D364" s="74" t="s">
        <v>24</v>
      </c>
      <c r="E364" s="74" t="s">
        <v>29</v>
      </c>
      <c r="F364" s="74" t="s">
        <v>25</v>
      </c>
      <c r="G364" s="74" t="s">
        <v>25</v>
      </c>
      <c r="H364" s="74" t="s">
        <v>25</v>
      </c>
      <c r="I364" s="80">
        <v>44409</v>
      </c>
      <c r="J364" s="81">
        <f>EFEITO!$J$364*EFEITO!$Y$326</f>
        <v>0</v>
      </c>
      <c r="K364" s="81">
        <f ca="1">EFEITO!$L$364*EFEITO!$Z$416</f>
        <v>11616.827774621437</v>
      </c>
      <c r="L364" s="81">
        <f>EFEITO!$N$364*EFEITO!$AA$416</f>
        <v>9302.686683302556</v>
      </c>
      <c r="M364" s="81">
        <f>$J$364-EFEITO!$K$364*EFEITO!$Y$364</f>
        <v>0</v>
      </c>
      <c r="N364" s="81">
        <f ca="1">$K$364-EFEITO!$M$364*EFEITO!$Z$364</f>
        <v>7550.9380535039345</v>
      </c>
      <c r="O364" s="81">
        <f>$L$364-EFEITO!$O$364*EFEITO!$AA$364</f>
        <v>6046.7463441466616</v>
      </c>
      <c r="P364" s="18"/>
      <c r="Q364" s="18"/>
      <c r="R364" s="18"/>
      <c r="S364" s="18"/>
      <c r="T364" s="18"/>
      <c r="U364" s="18"/>
      <c r="V364" s="18"/>
      <c r="W364" s="18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</row>
    <row r="365" spans="1:36" ht="11.25" customHeight="1" x14ac:dyDescent="0.2">
      <c r="A365" s="74" t="s">
        <v>21</v>
      </c>
      <c r="B365" s="74" t="s">
        <v>22</v>
      </c>
      <c r="C365" s="74" t="s">
        <v>23</v>
      </c>
      <c r="D365" s="74" t="s">
        <v>24</v>
      </c>
      <c r="E365" s="74" t="s">
        <v>29</v>
      </c>
      <c r="F365" s="74" t="s">
        <v>25</v>
      </c>
      <c r="G365" s="74" t="s">
        <v>25</v>
      </c>
      <c r="H365" s="74" t="s">
        <v>25</v>
      </c>
      <c r="I365" s="80">
        <v>44440</v>
      </c>
      <c r="J365" s="81">
        <f>EFEITO!$J$365*EFEITO!$Y$326</f>
        <v>0</v>
      </c>
      <c r="K365" s="81">
        <f ca="1">EFEITO!$L$365*EFEITO!$Z$416</f>
        <v>11727.880030248272</v>
      </c>
      <c r="L365" s="81">
        <f>EFEITO!$N$365*EFEITO!$AA$416</f>
        <v>9391.6166700091999</v>
      </c>
      <c r="M365" s="81">
        <f>$J$365-EFEITO!$K$365*EFEITO!$Y$365</f>
        <v>0</v>
      </c>
      <c r="N365" s="81">
        <f ca="1">$K$365-EFEITO!$M$365*EFEITO!$Z$365</f>
        <v>7623.1220196613776</v>
      </c>
      <c r="O365" s="81">
        <f>$L$365-EFEITO!$O$365*EFEITO!$AA$365</f>
        <v>6104.5508355059792</v>
      </c>
      <c r="P365" s="18"/>
      <c r="Q365" s="18"/>
      <c r="R365" s="18"/>
      <c r="S365" s="18"/>
      <c r="T365" s="18"/>
      <c r="U365" s="18"/>
      <c r="V365" s="18"/>
      <c r="W365" s="18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</row>
    <row r="366" spans="1:36" ht="11.25" customHeight="1" x14ac:dyDescent="0.2">
      <c r="A366" s="74" t="s">
        <v>21</v>
      </c>
      <c r="B366" s="74" t="s">
        <v>22</v>
      </c>
      <c r="C366" s="74" t="s">
        <v>23</v>
      </c>
      <c r="D366" s="74" t="s">
        <v>24</v>
      </c>
      <c r="E366" s="74" t="s">
        <v>29</v>
      </c>
      <c r="F366" s="74" t="s">
        <v>25</v>
      </c>
      <c r="G366" s="74" t="s">
        <v>25</v>
      </c>
      <c r="H366" s="74" t="s">
        <v>25</v>
      </c>
      <c r="I366" s="80">
        <v>44470</v>
      </c>
      <c r="J366" s="81">
        <f>EFEITO!$J$366*EFEITO!$Y$326</f>
        <v>0</v>
      </c>
      <c r="K366" s="81">
        <f ca="1">EFEITO!$L$366*EFEITO!$Z$416</f>
        <v>11911.30671104616</v>
      </c>
      <c r="L366" s="81">
        <f>EFEITO!$N$366*EFEITO!$AA$416</f>
        <v>9538.503666522025</v>
      </c>
      <c r="M366" s="81">
        <f>$J$366-EFEITO!$K$366*EFEITO!$Y$366</f>
        <v>0</v>
      </c>
      <c r="N366" s="81">
        <f ca="1">$K$366-EFEITO!$M$366*EFEITO!$Z$366</f>
        <v>7742.3493621800044</v>
      </c>
      <c r="O366" s="81">
        <f>$L$366-EFEITO!$O$366*EFEITO!$AA$366</f>
        <v>6200.0273832393159</v>
      </c>
      <c r="P366" s="18"/>
      <c r="Q366" s="18"/>
      <c r="R366" s="18"/>
      <c r="S366" s="18"/>
      <c r="T366" s="18"/>
      <c r="U366" s="18"/>
      <c r="V366" s="18"/>
      <c r="W366" s="18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</row>
    <row r="367" spans="1:36" ht="11.25" customHeight="1" x14ac:dyDescent="0.2">
      <c r="A367" s="74" t="s">
        <v>21</v>
      </c>
      <c r="B367" s="74" t="s">
        <v>22</v>
      </c>
      <c r="C367" s="74" t="s">
        <v>23</v>
      </c>
      <c r="D367" s="74" t="s">
        <v>24</v>
      </c>
      <c r="E367" s="74" t="s">
        <v>29</v>
      </c>
      <c r="F367" s="74" t="s">
        <v>25</v>
      </c>
      <c r="G367" s="74" t="s">
        <v>25</v>
      </c>
      <c r="H367" s="74" t="s">
        <v>25</v>
      </c>
      <c r="I367" s="80">
        <v>44501</v>
      </c>
      <c r="J367" s="81">
        <f>EFEITO!$J$367*EFEITO!$Y$326</f>
        <v>0</v>
      </c>
      <c r="K367" s="81">
        <f ca="1">EFEITO!$L$367*EFEITO!$Z$416</f>
        <v>11954.96577724246</v>
      </c>
      <c r="L367" s="81">
        <f>EFEITO!$N$367*EFEITO!$AA$416</f>
        <v>9573.4655874172477</v>
      </c>
      <c r="M367" s="81">
        <f>$J$367-EFEITO!$K$367*EFEITO!$Y$367</f>
        <v>0</v>
      </c>
      <c r="N367" s="81">
        <f ca="1">$K$367-EFEITO!$M$367*EFEITO!$Z$367</f>
        <v>7770.7277552075993</v>
      </c>
      <c r="O367" s="81">
        <f>$L$367-EFEITO!$O$367*EFEITO!$AA$367</f>
        <v>6222.7526318212113</v>
      </c>
      <c r="P367" s="18"/>
      <c r="Q367" s="18"/>
      <c r="R367" s="18"/>
      <c r="S367" s="18"/>
      <c r="T367" s="18"/>
      <c r="U367" s="18"/>
      <c r="V367" s="18"/>
      <c r="W367" s="18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</row>
    <row r="368" spans="1:36" ht="11.25" customHeight="1" x14ac:dyDescent="0.2">
      <c r="A368" s="74" t="s">
        <v>21</v>
      </c>
      <c r="B368" s="74" t="s">
        <v>22</v>
      </c>
      <c r="C368" s="74" t="s">
        <v>23</v>
      </c>
      <c r="D368" s="74" t="s">
        <v>24</v>
      </c>
      <c r="E368" s="74" t="s">
        <v>29</v>
      </c>
      <c r="F368" s="74" t="s">
        <v>25</v>
      </c>
      <c r="G368" s="74" t="s">
        <v>25</v>
      </c>
      <c r="H368" s="74" t="s">
        <v>25</v>
      </c>
      <c r="I368" s="80">
        <v>44531</v>
      </c>
      <c r="J368" s="81">
        <f>EFEITO!$J$368*EFEITO!$Y$326</f>
        <v>0</v>
      </c>
      <c r="K368" s="81">
        <f ca="1">EFEITO!$L$368*EFEITO!$Z$416</f>
        <v>12071.878310211081</v>
      </c>
      <c r="L368" s="81">
        <f>EFEITO!$N$368*EFEITO!$AA$416</f>
        <v>9667.0884494118436</v>
      </c>
      <c r="M368" s="81">
        <f>$J$368-EFEITO!$K$368*EFEITO!$Y$368</f>
        <v>0</v>
      </c>
      <c r="N368" s="81">
        <f ca="1">$K$368-EFEITO!$M$368*EFEITO!$Z$368</f>
        <v>7846.7209016372026</v>
      </c>
      <c r="O368" s="81">
        <f>$L$368-EFEITO!$O$368*EFEITO!$AA$368</f>
        <v>6283.6074921176987</v>
      </c>
      <c r="P368" s="18"/>
      <c r="Q368" s="18"/>
      <c r="R368" s="18"/>
      <c r="S368" s="18"/>
      <c r="T368" s="18"/>
      <c r="U368" s="18"/>
      <c r="V368" s="18"/>
      <c r="W368" s="18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</row>
    <row r="369" spans="1:36" ht="11.25" customHeight="1" x14ac:dyDescent="0.2">
      <c r="A369" s="74" t="s">
        <v>21</v>
      </c>
      <c r="B369" s="74" t="s">
        <v>22</v>
      </c>
      <c r="C369" s="74" t="s">
        <v>23</v>
      </c>
      <c r="D369" s="74" t="s">
        <v>24</v>
      </c>
      <c r="E369" s="74" t="s">
        <v>29</v>
      </c>
      <c r="F369" s="74" t="s">
        <v>25</v>
      </c>
      <c r="G369" s="74" t="s">
        <v>25</v>
      </c>
      <c r="H369" s="74" t="s">
        <v>25</v>
      </c>
      <c r="I369" s="80">
        <v>44562</v>
      </c>
      <c r="J369" s="81">
        <f>EFEITO!$J$369*EFEITO!$Y$326</f>
        <v>0</v>
      </c>
      <c r="K369" s="81">
        <f ca="1">EFEITO!$L$369*EFEITO!$Z$416</f>
        <v>12041.111854166709</v>
      </c>
      <c r="L369" s="81">
        <f>EFEITO!$N$369*EFEITO!$AA$416</f>
        <v>9642.4508541501091</v>
      </c>
      <c r="M369" s="81">
        <f>$J$369-EFEITO!$K$369*EFEITO!$Y$369</f>
        <v>0</v>
      </c>
      <c r="N369" s="81">
        <f ca="1">$K$369-EFEITO!$M$369*EFEITO!$Z$369</f>
        <v>7826.7227052083617</v>
      </c>
      <c r="O369" s="81">
        <f>$L$369-EFEITO!$O$369*EFEITO!$AA$369</f>
        <v>6267.5930551975707</v>
      </c>
      <c r="P369" s="18"/>
      <c r="Q369" s="18"/>
      <c r="R369" s="18"/>
      <c r="S369" s="18"/>
      <c r="T369" s="18"/>
      <c r="U369" s="18"/>
      <c r="V369" s="18"/>
      <c r="W369" s="18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</row>
    <row r="370" spans="1:36" ht="11.25" customHeight="1" x14ac:dyDescent="0.2">
      <c r="A370" s="74" t="s">
        <v>21</v>
      </c>
      <c r="B370" s="74" t="s">
        <v>22</v>
      </c>
      <c r="C370" s="74" t="s">
        <v>23</v>
      </c>
      <c r="D370" s="74" t="s">
        <v>24</v>
      </c>
      <c r="E370" s="74" t="s">
        <v>29</v>
      </c>
      <c r="F370" s="74" t="s">
        <v>25</v>
      </c>
      <c r="G370" s="74" t="s">
        <v>25</v>
      </c>
      <c r="H370" s="74" t="s">
        <v>25</v>
      </c>
      <c r="I370" s="80">
        <v>44593</v>
      </c>
      <c r="J370" s="81">
        <f>EFEITO!$J$370*EFEITO!$Y$326</f>
        <v>0</v>
      </c>
      <c r="K370" s="81">
        <f ca="1">EFEITO!$L$370*EFEITO!$Z$416</f>
        <v>12269.369656629253</v>
      </c>
      <c r="L370" s="81">
        <f>EFEITO!$N$370*EFEITO!$AA$416</f>
        <v>9825.2383466157462</v>
      </c>
      <c r="M370" s="81">
        <f>$J$370-EFEITO!$K$370*EFEITO!$Y$370</f>
        <v>0</v>
      </c>
      <c r="N370" s="81">
        <f ca="1">$K$370-EFEITO!$M$370*EFEITO!$Z$370</f>
        <v>7975.0902768090145</v>
      </c>
      <c r="O370" s="81">
        <f>$L$370-EFEITO!$O$370*EFEITO!$AA$370</f>
        <v>6386.4049253002349</v>
      </c>
      <c r="P370" s="18"/>
      <c r="Q370" s="18"/>
      <c r="R370" s="18"/>
      <c r="S370" s="18"/>
      <c r="T370" s="18"/>
      <c r="U370" s="18"/>
      <c r="V370" s="18"/>
      <c r="W370" s="18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</row>
    <row r="371" spans="1:36" ht="11.25" customHeight="1" x14ac:dyDescent="0.2">
      <c r="A371" s="74" t="s">
        <v>21</v>
      </c>
      <c r="B371" s="74" t="s">
        <v>22</v>
      </c>
      <c r="C371" s="74" t="s">
        <v>23</v>
      </c>
      <c r="D371" s="74" t="s">
        <v>24</v>
      </c>
      <c r="E371" s="74" t="s">
        <v>29</v>
      </c>
      <c r="F371" s="74" t="s">
        <v>25</v>
      </c>
      <c r="G371" s="74" t="s">
        <v>25</v>
      </c>
      <c r="H371" s="74" t="s">
        <v>25</v>
      </c>
      <c r="I371" s="80">
        <v>44621</v>
      </c>
      <c r="J371" s="81">
        <f>EFEITO!$J$371*EFEITO!$Y$326</f>
        <v>0</v>
      </c>
      <c r="K371" s="81">
        <f ca="1">EFEITO!$L$371*EFEITO!$Z$416</f>
        <v>12448.69414328789</v>
      </c>
      <c r="L371" s="81">
        <f>EFEITO!$N$371*EFEITO!$AA$416</f>
        <v>9968.840330427005</v>
      </c>
      <c r="M371" s="81">
        <f>$J$371-EFEITO!$K$371*EFEITO!$Y$371</f>
        <v>0</v>
      </c>
      <c r="N371" s="81">
        <f ca="1">$K$371-EFEITO!$M$371*EFEITO!$Z$371</f>
        <v>8091.6511931371288</v>
      </c>
      <c r="O371" s="81">
        <f>$L$371-EFEITO!$O$371*EFEITO!$AA$371</f>
        <v>6479.7462147775532</v>
      </c>
      <c r="P371" s="18"/>
      <c r="Q371" s="18"/>
      <c r="R371" s="18"/>
      <c r="S371" s="18"/>
      <c r="T371" s="18"/>
      <c r="U371" s="18"/>
      <c r="V371" s="18"/>
      <c r="W371" s="18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</row>
    <row r="372" spans="1:36" ht="11.25" customHeight="1" x14ac:dyDescent="0.2">
      <c r="A372" s="74" t="s">
        <v>21</v>
      </c>
      <c r="B372" s="74" t="s">
        <v>22</v>
      </c>
      <c r="C372" s="74" t="s">
        <v>23</v>
      </c>
      <c r="D372" s="74" t="s">
        <v>24</v>
      </c>
      <c r="E372" s="74" t="s">
        <v>29</v>
      </c>
      <c r="F372" s="74" t="s">
        <v>25</v>
      </c>
      <c r="G372" s="74" t="s">
        <v>25</v>
      </c>
      <c r="H372" s="74" t="s">
        <v>25</v>
      </c>
      <c r="I372" s="80">
        <v>44652</v>
      </c>
      <c r="J372" s="81">
        <f>EFEITO!$J$372*EFEITO!$Y$326</f>
        <v>0</v>
      </c>
      <c r="K372" s="81">
        <f ca="1">EFEITO!$L$372*EFEITO!$Z$416</f>
        <v>12596.959160035065</v>
      </c>
      <c r="L372" s="81">
        <f>EFEITO!$N$372*EFEITO!$AA$416</f>
        <v>10087.57007521213</v>
      </c>
      <c r="M372" s="81">
        <f>$J$372-EFEITO!$K$372*EFEITO!$Y$372</f>
        <v>0</v>
      </c>
      <c r="N372" s="81">
        <f ca="1">$K$372-EFEITO!$M$372*EFEITO!$Z$372</f>
        <v>8188.023454022793</v>
      </c>
      <c r="O372" s="81">
        <f>$L$372-EFEITO!$O$372*EFEITO!$AA$372</f>
        <v>6556.9205488878843</v>
      </c>
      <c r="P372" s="18"/>
      <c r="Q372" s="18"/>
      <c r="R372" s="18"/>
      <c r="S372" s="18"/>
      <c r="T372" s="18"/>
      <c r="U372" s="18"/>
      <c r="V372" s="18"/>
      <c r="W372" s="18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</row>
    <row r="373" spans="1:36" ht="11.25" customHeight="1" x14ac:dyDescent="0.2">
      <c r="A373" s="74" t="s">
        <v>21</v>
      </c>
      <c r="B373" s="74" t="s">
        <v>22</v>
      </c>
      <c r="C373" s="74" t="s">
        <v>23</v>
      </c>
      <c r="D373" s="74" t="s">
        <v>24</v>
      </c>
      <c r="E373" s="74" t="s">
        <v>29</v>
      </c>
      <c r="F373" s="74" t="s">
        <v>25</v>
      </c>
      <c r="G373" s="74" t="s">
        <v>25</v>
      </c>
      <c r="H373" s="74" t="s">
        <v>25</v>
      </c>
      <c r="I373" s="80">
        <v>44682</v>
      </c>
      <c r="J373" s="81">
        <f>EFEITO!$J$373*EFEITO!$Y$326</f>
        <v>0</v>
      </c>
      <c r="K373" s="81">
        <f ca="1">EFEITO!$L$373*EFEITO!$Z$416</f>
        <v>13127.900287200831</v>
      </c>
      <c r="L373" s="81">
        <f>EFEITO!$N$373*EFEITO!$AA$416</f>
        <v>10512.744576300367</v>
      </c>
      <c r="M373" s="81">
        <f>$J$373-EFEITO!$K$373*EFEITO!$Y$373</f>
        <v>0</v>
      </c>
      <c r="N373" s="81">
        <f ca="1">$K$373-EFEITO!$M$373*EFEITO!$Z$373</f>
        <v>8533.1351866805417</v>
      </c>
      <c r="O373" s="81">
        <f>$L$373-EFEITO!$O$373*EFEITO!$AA$373</f>
        <v>6833.2839745952388</v>
      </c>
      <c r="P373" s="18"/>
      <c r="Q373" s="18"/>
      <c r="R373" s="18"/>
      <c r="S373" s="18"/>
      <c r="T373" s="18"/>
      <c r="U373" s="18"/>
      <c r="V373" s="18"/>
      <c r="W373" s="18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</row>
    <row r="374" spans="1:36" ht="11.25" customHeight="1" x14ac:dyDescent="0.2">
      <c r="A374" s="74" t="s">
        <v>21</v>
      </c>
      <c r="B374" s="74" t="s">
        <v>22</v>
      </c>
      <c r="C374" s="74" t="s">
        <v>23</v>
      </c>
      <c r="D374" s="74" t="s">
        <v>24</v>
      </c>
      <c r="E374" s="74" t="s">
        <v>29</v>
      </c>
      <c r="F374" s="74" t="s">
        <v>25</v>
      </c>
      <c r="G374" s="74" t="s">
        <v>25</v>
      </c>
      <c r="H374" s="74" t="s">
        <v>25</v>
      </c>
      <c r="I374" s="80">
        <v>44713</v>
      </c>
      <c r="J374" s="81">
        <f>EFEITO!$J$374*EFEITO!$Y$326</f>
        <v>0</v>
      </c>
      <c r="K374" s="81">
        <f ca="1">EFEITO!$L$374*EFEITO!$Z$416</f>
        <v>14627.252245096659</v>
      </c>
      <c r="L374" s="81">
        <f>EFEITO!$N$374*EFEITO!$AA$416</f>
        <v>11713.416718722281</v>
      </c>
      <c r="M374" s="81">
        <f>$J$374-EFEITO!$K$374*EFEITO!$Y$374</f>
        <v>0</v>
      </c>
      <c r="N374" s="81">
        <f ca="1">$K$374-EFEITO!$M$374*EFEITO!$Z$374</f>
        <v>9507.7139593128286</v>
      </c>
      <c r="O374" s="81">
        <f>$L$374-EFEITO!$O$374*EFEITO!$AA$374</f>
        <v>7613.7208671694825</v>
      </c>
      <c r="P374" s="18"/>
      <c r="Q374" s="18"/>
      <c r="R374" s="18"/>
      <c r="S374" s="18"/>
      <c r="T374" s="18"/>
      <c r="U374" s="18"/>
      <c r="V374" s="18"/>
      <c r="W374" s="18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</row>
    <row r="375" spans="1:36" ht="11.25" customHeight="1" x14ac:dyDescent="0.2">
      <c r="A375" s="74" t="s">
        <v>28</v>
      </c>
      <c r="B375" s="74" t="s">
        <v>22</v>
      </c>
      <c r="C375" s="74" t="s">
        <v>23</v>
      </c>
      <c r="D375" s="74" t="s">
        <v>24</v>
      </c>
      <c r="E375" s="74" t="s">
        <v>29</v>
      </c>
      <c r="F375" s="74" t="s">
        <v>25</v>
      </c>
      <c r="G375" s="74" t="s">
        <v>25</v>
      </c>
      <c r="H375" s="74" t="s">
        <v>25</v>
      </c>
      <c r="I375" s="80">
        <v>44713</v>
      </c>
      <c r="J375" s="81">
        <f>EFEITO!$J$375*EFEITO!$Y$326</f>
        <v>0</v>
      </c>
      <c r="K375" s="81">
        <f ca="1">EFEITO!$L$375*EFEITO!$Z$416</f>
        <v>17.58083202535656</v>
      </c>
      <c r="L375" s="81">
        <f>EFEITO!$N$375*EFEITO!$AA$416</f>
        <v>14.078625863848895</v>
      </c>
      <c r="M375" s="81">
        <f>$J$375-EFEITO!$K$375*EFEITO!$Y$375</f>
        <v>0</v>
      </c>
      <c r="N375" s="81">
        <f ca="1">$K$375-EFEITO!$M$375*EFEITO!$Z$375</f>
        <v>19.426819388018998</v>
      </c>
      <c r="O375" s="81">
        <f>$L$375-EFEITO!$O$375*EFEITO!$AA$375</f>
        <v>15.556881579553028</v>
      </c>
      <c r="P375" s="18"/>
      <c r="Q375" s="18"/>
      <c r="R375" s="18"/>
      <c r="S375" s="18"/>
      <c r="T375" s="18"/>
      <c r="U375" s="18"/>
      <c r="V375" s="18"/>
      <c r="W375" s="18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</row>
    <row r="376" spans="1:36" ht="11.25" customHeight="1" x14ac:dyDescent="0.2">
      <c r="A376" s="74" t="s">
        <v>55</v>
      </c>
      <c r="B376" s="74" t="s">
        <v>22</v>
      </c>
      <c r="C376" s="74" t="s">
        <v>23</v>
      </c>
      <c r="D376" s="74" t="s">
        <v>24</v>
      </c>
      <c r="E376" s="74" t="s">
        <v>29</v>
      </c>
      <c r="F376" s="74" t="s">
        <v>25</v>
      </c>
      <c r="G376" s="74" t="s">
        <v>25</v>
      </c>
      <c r="H376" s="74" t="s">
        <v>25</v>
      </c>
      <c r="I376" s="80">
        <v>44743</v>
      </c>
      <c r="J376" s="81">
        <f>EFEITO!$J$376*EFEITO!$Y$326</f>
        <v>0</v>
      </c>
      <c r="K376" s="81">
        <f ca="1">EFEITO!$L$376*EFEITO!$Z$416</f>
        <v>14627.252245096659</v>
      </c>
      <c r="L376" s="81">
        <f>EFEITO!$N$376*EFEITO!$AA$416</f>
        <v>11713.416718722281</v>
      </c>
      <c r="M376" s="81">
        <f>$J$376-EFEITO!$K$376*EFEITO!$Y$376</f>
        <v>0</v>
      </c>
      <c r="N376" s="81">
        <f ca="1">$K$376-EFEITO!$M$376*EFEITO!$Z$376</f>
        <v>9507.7139593128286</v>
      </c>
      <c r="O376" s="81">
        <f>$L$376-EFEITO!$O$376*EFEITO!$AA$376</f>
        <v>7613.7208671694825</v>
      </c>
      <c r="P376" s="18"/>
      <c r="Q376" s="18"/>
      <c r="R376" s="18"/>
      <c r="S376" s="18"/>
      <c r="T376" s="18"/>
      <c r="U376" s="18"/>
      <c r="V376" s="18"/>
      <c r="W376" s="18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</row>
    <row r="377" spans="1:36" ht="11.25" customHeight="1" x14ac:dyDescent="0.2">
      <c r="A377" s="74" t="s">
        <v>55</v>
      </c>
      <c r="B377" s="74" t="s">
        <v>22</v>
      </c>
      <c r="C377" s="74" t="s">
        <v>23</v>
      </c>
      <c r="D377" s="74" t="s">
        <v>24</v>
      </c>
      <c r="E377" s="74" t="s">
        <v>29</v>
      </c>
      <c r="F377" s="74" t="s">
        <v>25</v>
      </c>
      <c r="G377" s="74" t="s">
        <v>25</v>
      </c>
      <c r="H377" s="74" t="s">
        <v>25</v>
      </c>
      <c r="I377" s="80">
        <v>44743</v>
      </c>
      <c r="J377" s="81">
        <f>EFEITO!$J$377*EFEITO!$Y$326</f>
        <v>0</v>
      </c>
      <c r="K377" s="81">
        <f ca="1">EFEITO!$L$377*EFEITO!$Z$416</f>
        <v>17.58083202535656</v>
      </c>
      <c r="L377" s="81">
        <f>EFEITO!$N$377*EFEITO!$AA$416</f>
        <v>14.078625863848895</v>
      </c>
      <c r="M377" s="81">
        <f>$J$377-EFEITO!$K$377*EFEITO!$Y$377</f>
        <v>0</v>
      </c>
      <c r="N377" s="81">
        <f ca="1">$K$377-EFEITO!$M$377*EFEITO!$Z$377</f>
        <v>19.426819388018998</v>
      </c>
      <c r="O377" s="81">
        <f>$L$377-EFEITO!$O$377*EFEITO!$AA$377</f>
        <v>15.556881579553028</v>
      </c>
      <c r="P377" s="18"/>
      <c r="Q377" s="18"/>
      <c r="R377" s="18"/>
      <c r="S377" s="18"/>
      <c r="T377" s="18"/>
      <c r="U377" s="18"/>
      <c r="V377" s="18"/>
      <c r="W377" s="18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</row>
    <row r="378" spans="1:36" ht="11.25" customHeight="1" x14ac:dyDescent="0.2">
      <c r="A378" s="74" t="s">
        <v>21</v>
      </c>
      <c r="B378" s="74" t="s">
        <v>22</v>
      </c>
      <c r="C378" s="74" t="s">
        <v>23</v>
      </c>
      <c r="D378" s="74" t="s">
        <v>24</v>
      </c>
      <c r="E378" s="74" t="s">
        <v>30</v>
      </c>
      <c r="F378" s="74" t="s">
        <v>25</v>
      </c>
      <c r="G378" s="74" t="s">
        <v>25</v>
      </c>
      <c r="H378" s="74" t="s">
        <v>25</v>
      </c>
      <c r="I378" s="80">
        <v>44409</v>
      </c>
      <c r="J378" s="81">
        <f>EFEITO!$J$378*EFEITO!$Y$326</f>
        <v>0</v>
      </c>
      <c r="K378" s="81">
        <f ca="1">EFEITO!$L$378*EFEITO!$Z$416</f>
        <v>23440.523339407904</v>
      </c>
      <c r="L378" s="81">
        <f>EFEITO!$N$378*EFEITO!$AA$416</f>
        <v>18771.031864269735</v>
      </c>
      <c r="M378" s="81">
        <f>$J$378-EFEITO!$K$378*EFEITO!$Y$378</f>
        <v>0</v>
      </c>
      <c r="N378" s="81">
        <f ca="1">$K$378-EFEITO!$M$378*EFEITO!$Z$378</f>
        <v>9376.209335763162</v>
      </c>
      <c r="O378" s="81">
        <f>$L$378-EFEITO!$O$378*EFEITO!$AA$378</f>
        <v>7508.4127457078939</v>
      </c>
      <c r="P378" s="18"/>
      <c r="Q378" s="18"/>
      <c r="R378" s="18"/>
      <c r="S378" s="18"/>
      <c r="T378" s="18"/>
      <c r="U378" s="18"/>
      <c r="V378" s="18"/>
      <c r="W378" s="18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</row>
    <row r="379" spans="1:36" ht="11.25" customHeight="1" x14ac:dyDescent="0.2">
      <c r="A379" s="74" t="s">
        <v>21</v>
      </c>
      <c r="B379" s="74" t="s">
        <v>22</v>
      </c>
      <c r="C379" s="74" t="s">
        <v>23</v>
      </c>
      <c r="D379" s="74" t="s">
        <v>24</v>
      </c>
      <c r="E379" s="74" t="s">
        <v>30</v>
      </c>
      <c r="F379" s="74" t="s">
        <v>25</v>
      </c>
      <c r="G379" s="74" t="s">
        <v>25</v>
      </c>
      <c r="H379" s="74" t="s">
        <v>25</v>
      </c>
      <c r="I379" s="80">
        <v>44440</v>
      </c>
      <c r="J379" s="81">
        <f>EFEITO!$J$379*EFEITO!$Y$326</f>
        <v>0</v>
      </c>
      <c r="K379" s="81">
        <f ca="1">EFEITO!$L$379*EFEITO!$Z$416</f>
        <v>24442.337750986138</v>
      </c>
      <c r="L379" s="81">
        <f>EFEITO!$N$379*EFEITO!$AA$416</f>
        <v>19573.278894744722</v>
      </c>
      <c r="M379" s="81">
        <f>$J$379-EFEITO!$K$379*EFEITO!$Y$379</f>
        <v>0</v>
      </c>
      <c r="N379" s="81">
        <f ca="1">$K$379-EFEITO!$M$379*EFEITO!$Z$379</f>
        <v>9776.9351003944575</v>
      </c>
      <c r="O379" s="81">
        <f>$L$379-EFEITO!$O$379*EFEITO!$AA$379</f>
        <v>7829.3115578978886</v>
      </c>
      <c r="P379" s="18"/>
      <c r="Q379" s="18"/>
      <c r="R379" s="18"/>
      <c r="S379" s="18"/>
      <c r="T379" s="18"/>
      <c r="U379" s="18"/>
      <c r="V379" s="18"/>
      <c r="W379" s="18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</row>
    <row r="380" spans="1:36" ht="11.25" customHeight="1" x14ac:dyDescent="0.2">
      <c r="A380" s="74" t="s">
        <v>21</v>
      </c>
      <c r="B380" s="74" t="s">
        <v>22</v>
      </c>
      <c r="C380" s="74" t="s">
        <v>23</v>
      </c>
      <c r="D380" s="74" t="s">
        <v>24</v>
      </c>
      <c r="E380" s="74" t="s">
        <v>30</v>
      </c>
      <c r="F380" s="74" t="s">
        <v>25</v>
      </c>
      <c r="G380" s="74" t="s">
        <v>25</v>
      </c>
      <c r="H380" s="74" t="s">
        <v>25</v>
      </c>
      <c r="I380" s="80">
        <v>44470</v>
      </c>
      <c r="J380" s="81">
        <f>EFEITO!$J$380*EFEITO!$Y$326</f>
        <v>0</v>
      </c>
      <c r="K380" s="81">
        <f ca="1">EFEITO!$L$380*EFEITO!$Z$416</f>
        <v>24375.530589289778</v>
      </c>
      <c r="L380" s="81">
        <f>EFEITO!$N$380*EFEITO!$AA$416</f>
        <v>19519.780116462094</v>
      </c>
      <c r="M380" s="81">
        <f>$J$380-EFEITO!$K$380*EFEITO!$Y$380</f>
        <v>0</v>
      </c>
      <c r="N380" s="81">
        <f ca="1">$K$380-EFEITO!$M$380*EFEITO!$Z$380</f>
        <v>9750.2122357159096</v>
      </c>
      <c r="O380" s="81">
        <f>$L$380-EFEITO!$O$380*EFEITO!$AA$380</f>
        <v>7807.9120465848373</v>
      </c>
      <c r="P380" s="18"/>
      <c r="Q380" s="18"/>
      <c r="R380" s="18"/>
      <c r="S380" s="18"/>
      <c r="T380" s="18"/>
      <c r="U380" s="18"/>
      <c r="V380" s="18"/>
      <c r="W380" s="18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</row>
    <row r="381" spans="1:36" ht="11.25" customHeight="1" x14ac:dyDescent="0.2">
      <c r="A381" s="74" t="s">
        <v>27</v>
      </c>
      <c r="B381" s="74" t="s">
        <v>22</v>
      </c>
      <c r="C381" s="74" t="s">
        <v>23</v>
      </c>
      <c r="D381" s="74" t="s">
        <v>24</v>
      </c>
      <c r="E381" s="74" t="s">
        <v>30</v>
      </c>
      <c r="F381" s="74" t="s">
        <v>25</v>
      </c>
      <c r="G381" s="74" t="s">
        <v>25</v>
      </c>
      <c r="H381" s="74" t="s">
        <v>25</v>
      </c>
      <c r="I381" s="80">
        <v>44470</v>
      </c>
      <c r="J381" s="81">
        <f>EFEITO!$J$381*EFEITO!$Y$326</f>
        <v>0</v>
      </c>
      <c r="K381" s="81">
        <f ca="1">EFEITO!$L$381*EFEITO!$Z$416</f>
        <v>18.45987362662439</v>
      </c>
      <c r="L381" s="81">
        <f>EFEITO!$N$381*EFEITO!$AA$416</f>
        <v>14.782557157041341</v>
      </c>
      <c r="M381" s="81">
        <f>$J$381-EFEITO!$K$381*EFEITO!$Y$381</f>
        <v>0</v>
      </c>
      <c r="N381" s="81">
        <f ca="1">$K$381-EFEITO!$M$381*EFEITO!$Z$381</f>
        <v>7.3839494506497569</v>
      </c>
      <c r="O381" s="81">
        <f>$L$381-EFEITO!$O$381*EFEITO!$AA$381</f>
        <v>5.9130228628165362</v>
      </c>
      <c r="P381" s="18"/>
      <c r="Q381" s="18"/>
      <c r="R381" s="18"/>
      <c r="S381" s="18"/>
      <c r="T381" s="18"/>
      <c r="U381" s="18"/>
      <c r="V381" s="18"/>
      <c r="W381" s="18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</row>
    <row r="382" spans="1:36" ht="11.25" customHeight="1" x14ac:dyDescent="0.2">
      <c r="A382" s="74" t="s">
        <v>21</v>
      </c>
      <c r="B382" s="74" t="s">
        <v>22</v>
      </c>
      <c r="C382" s="74" t="s">
        <v>23</v>
      </c>
      <c r="D382" s="74" t="s">
        <v>24</v>
      </c>
      <c r="E382" s="74" t="s">
        <v>30</v>
      </c>
      <c r="F382" s="74" t="s">
        <v>25</v>
      </c>
      <c r="G382" s="74" t="s">
        <v>25</v>
      </c>
      <c r="H382" s="74" t="s">
        <v>25</v>
      </c>
      <c r="I382" s="80">
        <v>44501</v>
      </c>
      <c r="J382" s="81">
        <f>EFEITO!$J$382*EFEITO!$Y$326</f>
        <v>0</v>
      </c>
      <c r="K382" s="81">
        <f ca="1">EFEITO!$L$382*EFEITO!$Z$416</f>
        <v>24760.550810645091</v>
      </c>
      <c r="L382" s="81">
        <f>EFEITO!$N$382*EFEITO!$AA$416</f>
        <v>19828.102022880386</v>
      </c>
      <c r="M382" s="81">
        <f>$J$382-EFEITO!$K$382*EFEITO!$Y$382</f>
        <v>0</v>
      </c>
      <c r="N382" s="81">
        <f ca="1">$K$382-EFEITO!$M$382*EFEITO!$Z$382</f>
        <v>9904.2203242580363</v>
      </c>
      <c r="O382" s="81">
        <f>$L$382-EFEITO!$O$382*EFEITO!$AA$382</f>
        <v>7931.2408091521538</v>
      </c>
      <c r="P382" s="18"/>
      <c r="Q382" s="18"/>
      <c r="R382" s="18"/>
      <c r="S382" s="18"/>
      <c r="T382" s="18"/>
      <c r="U382" s="18"/>
      <c r="V382" s="18"/>
      <c r="W382" s="18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</row>
    <row r="383" spans="1:36" ht="11.25" customHeight="1" x14ac:dyDescent="0.2">
      <c r="A383" s="74" t="s">
        <v>21</v>
      </c>
      <c r="B383" s="74" t="s">
        <v>22</v>
      </c>
      <c r="C383" s="74" t="s">
        <v>23</v>
      </c>
      <c r="D383" s="74" t="s">
        <v>24</v>
      </c>
      <c r="E383" s="74" t="s">
        <v>30</v>
      </c>
      <c r="F383" s="74" t="s">
        <v>25</v>
      </c>
      <c r="G383" s="74" t="s">
        <v>25</v>
      </c>
      <c r="H383" s="74" t="s">
        <v>25</v>
      </c>
      <c r="I383" s="80">
        <v>44531</v>
      </c>
      <c r="J383" s="81">
        <f>EFEITO!$J$383*EFEITO!$Y$326</f>
        <v>0</v>
      </c>
      <c r="K383" s="81">
        <f ca="1">EFEITO!$L$383*EFEITO!$Z$416</f>
        <v>25110.116354082595</v>
      </c>
      <c r="L383" s="81">
        <f>EFEITO!$N$383*EFEITO!$AA$416</f>
        <v>20108.032033806583</v>
      </c>
      <c r="M383" s="81">
        <f>$J$383-EFEITO!$K$383*EFEITO!$Y$383</f>
        <v>0</v>
      </c>
      <c r="N383" s="81">
        <f ca="1">$K$383-EFEITO!$M$383*EFEITO!$Z$383</f>
        <v>10044.046541633037</v>
      </c>
      <c r="O383" s="81">
        <f>$L$383-EFEITO!$O$383*EFEITO!$AA$383</f>
        <v>8043.212813522634</v>
      </c>
      <c r="P383" s="18"/>
      <c r="Q383" s="18"/>
      <c r="R383" s="18"/>
      <c r="S383" s="18"/>
      <c r="T383" s="18"/>
      <c r="U383" s="18"/>
      <c r="V383" s="18"/>
      <c r="W383" s="18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</row>
    <row r="384" spans="1:36" ht="11.25" customHeight="1" x14ac:dyDescent="0.2">
      <c r="A384" s="74" t="s">
        <v>27</v>
      </c>
      <c r="B384" s="74" t="s">
        <v>22</v>
      </c>
      <c r="C384" s="74" t="s">
        <v>23</v>
      </c>
      <c r="D384" s="74" t="s">
        <v>24</v>
      </c>
      <c r="E384" s="74" t="s">
        <v>30</v>
      </c>
      <c r="F384" s="74" t="s">
        <v>25</v>
      </c>
      <c r="G384" s="74" t="s">
        <v>25</v>
      </c>
      <c r="H384" s="74" t="s">
        <v>25</v>
      </c>
      <c r="I384" s="80">
        <v>44531</v>
      </c>
      <c r="J384" s="81">
        <f>EFEITO!$J$384*EFEITO!$Y$326</f>
        <v>0</v>
      </c>
      <c r="K384" s="81">
        <f ca="1">EFEITO!$L$384*EFEITO!$Z$416</f>
        <v>12.599596284838867</v>
      </c>
      <c r="L384" s="81">
        <f>EFEITO!$N$384*EFEITO!$AA$416</f>
        <v>10.089681869091708</v>
      </c>
      <c r="M384" s="81">
        <f>$J$384-EFEITO!$K$384*EFEITO!$Y$384</f>
        <v>0</v>
      </c>
      <c r="N384" s="81">
        <f ca="1">$K$384-EFEITO!$M$384*EFEITO!$Z$384</f>
        <v>5.039838513935547</v>
      </c>
      <c r="O384" s="81">
        <f>$L$384-EFEITO!$O$384*EFEITO!$AA$384</f>
        <v>4.0358727476366827</v>
      </c>
      <c r="P384" s="18"/>
      <c r="Q384" s="18"/>
      <c r="R384" s="18"/>
      <c r="S384" s="18"/>
      <c r="T384" s="18"/>
      <c r="U384" s="18"/>
      <c r="V384" s="18"/>
      <c r="W384" s="18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</row>
    <row r="385" spans="1:36" ht="11.25" customHeight="1" x14ac:dyDescent="0.2">
      <c r="A385" s="74" t="s">
        <v>21</v>
      </c>
      <c r="B385" s="74" t="s">
        <v>22</v>
      </c>
      <c r="C385" s="74" t="s">
        <v>23</v>
      </c>
      <c r="D385" s="74" t="s">
        <v>24</v>
      </c>
      <c r="E385" s="74" t="s">
        <v>30</v>
      </c>
      <c r="F385" s="74" t="s">
        <v>25</v>
      </c>
      <c r="G385" s="74" t="s">
        <v>25</v>
      </c>
      <c r="H385" s="74" t="s">
        <v>25</v>
      </c>
      <c r="I385" s="80">
        <v>44562</v>
      </c>
      <c r="J385" s="81">
        <f>EFEITO!$J$385*EFEITO!$Y$326</f>
        <v>0</v>
      </c>
      <c r="K385" s="81">
        <f ca="1">EFEITO!$L$385*EFEITO!$Z$416</f>
        <v>26128.339542217833</v>
      </c>
      <c r="L385" s="81">
        <f>EFEITO!$N$385*EFEITO!$AA$416</f>
        <v>20923.419115087832</v>
      </c>
      <c r="M385" s="81">
        <f>$J$385-EFEITO!$K$385*EFEITO!$Y$385</f>
        <v>0</v>
      </c>
      <c r="N385" s="81">
        <f ca="1">$K$385-EFEITO!$M$385*EFEITO!$Z$385</f>
        <v>10451.335816887135</v>
      </c>
      <c r="O385" s="81">
        <f>$L$385-EFEITO!$O$385*EFEITO!$AA$385</f>
        <v>8369.3676460351326</v>
      </c>
      <c r="P385" s="18"/>
      <c r="Q385" s="18"/>
      <c r="R385" s="18"/>
      <c r="S385" s="18"/>
      <c r="T385" s="18"/>
      <c r="U385" s="18"/>
      <c r="V385" s="18"/>
      <c r="W385" s="18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</row>
    <row r="386" spans="1:36" ht="11.25" customHeight="1" x14ac:dyDescent="0.2">
      <c r="A386" s="74" t="s">
        <v>27</v>
      </c>
      <c r="B386" s="74" t="s">
        <v>22</v>
      </c>
      <c r="C386" s="74" t="s">
        <v>23</v>
      </c>
      <c r="D386" s="74" t="s">
        <v>24</v>
      </c>
      <c r="E386" s="74" t="s">
        <v>30</v>
      </c>
      <c r="F386" s="74" t="s">
        <v>25</v>
      </c>
      <c r="G386" s="74" t="s">
        <v>25</v>
      </c>
      <c r="H386" s="74" t="s">
        <v>25</v>
      </c>
      <c r="I386" s="80">
        <v>44562</v>
      </c>
      <c r="J386" s="81">
        <f>EFEITO!$J$386*EFEITO!$Y$326</f>
        <v>0</v>
      </c>
      <c r="K386" s="81">
        <f ca="1">EFEITO!$L$386*EFEITO!$Z$416</f>
        <v>-19.924942962070769</v>
      </c>
      <c r="L386" s="81">
        <f>EFEITO!$N$386*EFEITO!$AA$416</f>
        <v>-15.955775979028749</v>
      </c>
      <c r="M386" s="81">
        <f>$J$386-EFEITO!$K$386*EFEITO!$Y$386</f>
        <v>0</v>
      </c>
      <c r="N386" s="81">
        <f ca="1">$K$386-EFEITO!$M$386*EFEITO!$Z$386</f>
        <v>-7.9699771848283074</v>
      </c>
      <c r="O386" s="81">
        <f>$L$386-EFEITO!$O$386*EFEITO!$AA$386</f>
        <v>-6.3823103916114992</v>
      </c>
      <c r="P386" s="18"/>
      <c r="Q386" s="18"/>
      <c r="R386" s="18"/>
      <c r="S386" s="18"/>
      <c r="T386" s="18"/>
      <c r="U386" s="18"/>
      <c r="V386" s="18"/>
      <c r="W386" s="18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</row>
    <row r="387" spans="1:36" ht="11.25" customHeight="1" x14ac:dyDescent="0.2">
      <c r="A387" s="74" t="s">
        <v>21</v>
      </c>
      <c r="B387" s="74" t="s">
        <v>22</v>
      </c>
      <c r="C387" s="74" t="s">
        <v>23</v>
      </c>
      <c r="D387" s="74" t="s">
        <v>24</v>
      </c>
      <c r="E387" s="74" t="s">
        <v>30</v>
      </c>
      <c r="F387" s="74" t="s">
        <v>25</v>
      </c>
      <c r="G387" s="74" t="s">
        <v>25</v>
      </c>
      <c r="H387" s="74" t="s">
        <v>25</v>
      </c>
      <c r="I387" s="80">
        <v>44593</v>
      </c>
      <c r="J387" s="81">
        <f>EFEITO!$J$387*EFEITO!$Y$326</f>
        <v>0</v>
      </c>
      <c r="K387" s="81">
        <f ca="1">EFEITO!$L$387*EFEITO!$Z$416</f>
        <v>26553.795677231461</v>
      </c>
      <c r="L387" s="81">
        <f>EFEITO!$N$387*EFEITO!$AA$416</f>
        <v>21264.121860992975</v>
      </c>
      <c r="M387" s="81">
        <f>$J$387-EFEITO!$K$387*EFEITO!$Y$387</f>
        <v>0</v>
      </c>
      <c r="N387" s="81">
        <f ca="1">$K$387-EFEITO!$M$387*EFEITO!$Z$387</f>
        <v>10621.518270892586</v>
      </c>
      <c r="O387" s="81">
        <f>$L$387-EFEITO!$O$387*EFEITO!$AA$387</f>
        <v>8505.6487443971891</v>
      </c>
      <c r="P387" s="18"/>
      <c r="Q387" s="18"/>
      <c r="R387" s="18"/>
      <c r="S387" s="18"/>
      <c r="T387" s="18"/>
      <c r="U387" s="18"/>
      <c r="V387" s="18"/>
      <c r="W387" s="18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</row>
    <row r="388" spans="1:36" ht="11.25" customHeight="1" x14ac:dyDescent="0.2">
      <c r="A388" s="74" t="s">
        <v>21</v>
      </c>
      <c r="B388" s="74" t="s">
        <v>22</v>
      </c>
      <c r="C388" s="74" t="s">
        <v>23</v>
      </c>
      <c r="D388" s="74" t="s">
        <v>24</v>
      </c>
      <c r="E388" s="74" t="s">
        <v>30</v>
      </c>
      <c r="F388" s="74" t="s">
        <v>25</v>
      </c>
      <c r="G388" s="74" t="s">
        <v>25</v>
      </c>
      <c r="H388" s="74" t="s">
        <v>25</v>
      </c>
      <c r="I388" s="80">
        <v>44621</v>
      </c>
      <c r="J388" s="81">
        <f>EFEITO!$J$388*EFEITO!$Y$326</f>
        <v>0</v>
      </c>
      <c r="K388" s="81">
        <f ca="1">EFEITO!$L$388*EFEITO!$Z$416</f>
        <v>26891.054638251215</v>
      </c>
      <c r="L388" s="81">
        <f>EFEITO!$N$388*EFEITO!$AA$416</f>
        <v>21534.196833814476</v>
      </c>
      <c r="M388" s="81">
        <f>$J$388-EFEITO!$K$388*EFEITO!$Y$388</f>
        <v>0</v>
      </c>
      <c r="N388" s="81">
        <f ca="1">$K$388-EFEITO!$M$388*EFEITO!$Z$388</f>
        <v>10756.421855300485</v>
      </c>
      <c r="O388" s="81">
        <f>$L$388-EFEITO!$O$388*EFEITO!$AA$388</f>
        <v>8613.6787335257904</v>
      </c>
      <c r="P388" s="18"/>
      <c r="Q388" s="18"/>
      <c r="R388" s="18"/>
      <c r="S388" s="18"/>
      <c r="T388" s="18"/>
      <c r="U388" s="18"/>
      <c r="V388" s="18"/>
      <c r="W388" s="18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</row>
    <row r="389" spans="1:36" ht="11.25" customHeight="1" x14ac:dyDescent="0.2">
      <c r="A389" s="74" t="s">
        <v>21</v>
      </c>
      <c r="B389" s="74" t="s">
        <v>22</v>
      </c>
      <c r="C389" s="74" t="s">
        <v>23</v>
      </c>
      <c r="D389" s="74" t="s">
        <v>24</v>
      </c>
      <c r="E389" s="74" t="s">
        <v>30</v>
      </c>
      <c r="F389" s="74" t="s">
        <v>25</v>
      </c>
      <c r="G389" s="74" t="s">
        <v>25</v>
      </c>
      <c r="H389" s="74" t="s">
        <v>25</v>
      </c>
      <c r="I389" s="80">
        <v>44652</v>
      </c>
      <c r="J389" s="81">
        <f>EFEITO!$J$389*EFEITO!$Y$326</f>
        <v>0</v>
      </c>
      <c r="K389" s="81">
        <f ca="1">EFEITO!$L$389*EFEITO!$Z$416</f>
        <v>27051.919251283227</v>
      </c>
      <c r="L389" s="81">
        <f>EFEITO!$N$389*EFEITO!$AA$416</f>
        <v>21663.016260468692</v>
      </c>
      <c r="M389" s="81">
        <f>$J$389-EFEITO!$K$389*EFEITO!$Y$389</f>
        <v>0</v>
      </c>
      <c r="N389" s="81">
        <f ca="1">$K$389-EFEITO!$M$389*EFEITO!$Z$389</f>
        <v>10820.767700513292</v>
      </c>
      <c r="O389" s="81">
        <f>$L$389-EFEITO!$O$389*EFEITO!$AA$389</f>
        <v>8665.2065041874775</v>
      </c>
      <c r="P389" s="18"/>
      <c r="Q389" s="18"/>
      <c r="R389" s="18"/>
      <c r="S389" s="18"/>
      <c r="T389" s="18"/>
      <c r="U389" s="18"/>
      <c r="V389" s="18"/>
      <c r="W389" s="18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</row>
    <row r="390" spans="1:36" ht="11.25" customHeight="1" x14ac:dyDescent="0.2">
      <c r="A390" s="74" t="s">
        <v>27</v>
      </c>
      <c r="B390" s="74" t="s">
        <v>22</v>
      </c>
      <c r="C390" s="74" t="s">
        <v>23</v>
      </c>
      <c r="D390" s="74" t="s">
        <v>24</v>
      </c>
      <c r="E390" s="74" t="s">
        <v>30</v>
      </c>
      <c r="F390" s="74" t="s">
        <v>25</v>
      </c>
      <c r="G390" s="74" t="s">
        <v>25</v>
      </c>
      <c r="H390" s="74" t="s">
        <v>25</v>
      </c>
      <c r="I390" s="80">
        <v>44652</v>
      </c>
      <c r="J390" s="81">
        <f>EFEITO!$J$390*EFEITO!$Y$326</f>
        <v>0</v>
      </c>
      <c r="K390" s="81">
        <f ca="1">EFEITO!$L$390*EFEITO!$Z$416</f>
        <v>16.99480429117801</v>
      </c>
      <c r="L390" s="81">
        <f>EFEITO!$N$390*EFEITO!$AA$416</f>
        <v>13.609338335053932</v>
      </c>
      <c r="M390" s="81">
        <f>$J$390-EFEITO!$K$390*EFEITO!$Y$390</f>
        <v>0</v>
      </c>
      <c r="N390" s="81">
        <f ca="1">$K$390-EFEITO!$M$390*EFEITO!$Z$390</f>
        <v>6.7979217164712047</v>
      </c>
      <c r="O390" s="81">
        <f>$L$390-EFEITO!$O$390*EFEITO!$AA$390</f>
        <v>5.4437353340215715</v>
      </c>
      <c r="P390" s="18"/>
      <c r="Q390" s="18"/>
      <c r="R390" s="18"/>
      <c r="S390" s="18"/>
      <c r="T390" s="18"/>
      <c r="U390" s="18"/>
      <c r="V390" s="18"/>
      <c r="W390" s="18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</row>
    <row r="391" spans="1:36" ht="11.25" customHeight="1" x14ac:dyDescent="0.2">
      <c r="A391" s="74" t="s">
        <v>21</v>
      </c>
      <c r="B391" s="74" t="s">
        <v>22</v>
      </c>
      <c r="C391" s="74" t="s">
        <v>23</v>
      </c>
      <c r="D391" s="74" t="s">
        <v>24</v>
      </c>
      <c r="E391" s="74" t="s">
        <v>30</v>
      </c>
      <c r="F391" s="74" t="s">
        <v>25</v>
      </c>
      <c r="G391" s="74" t="s">
        <v>25</v>
      </c>
      <c r="H391" s="74" t="s">
        <v>25</v>
      </c>
      <c r="I391" s="80">
        <v>44682</v>
      </c>
      <c r="J391" s="81">
        <f>EFEITO!$J$391*EFEITO!$Y$326</f>
        <v>0</v>
      </c>
      <c r="K391" s="81">
        <f ca="1">EFEITO!$L$391*EFEITO!$Z$416</f>
        <v>27430.200153695485</v>
      </c>
      <c r="L391" s="81">
        <f>EFEITO!$N$391*EFEITO!$AA$416</f>
        <v>21965.941360305842</v>
      </c>
      <c r="M391" s="81">
        <f>$J$391-EFEITO!$K$391*EFEITO!$Y$391</f>
        <v>0</v>
      </c>
      <c r="N391" s="81">
        <f ca="1">$K$391-EFEITO!$M$391*EFEITO!$Z$391</f>
        <v>10972.080061478195</v>
      </c>
      <c r="O391" s="81">
        <f>$L$391-EFEITO!$O$391*EFEITO!$AA$391</f>
        <v>8786.3765441223368</v>
      </c>
      <c r="P391" s="18"/>
      <c r="Q391" s="18"/>
      <c r="R391" s="18"/>
      <c r="S391" s="18"/>
      <c r="T391" s="18"/>
      <c r="U391" s="18"/>
      <c r="V391" s="18"/>
      <c r="W391" s="18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</row>
    <row r="392" spans="1:36" ht="11.25" customHeight="1" x14ac:dyDescent="0.2">
      <c r="A392" s="74" t="s">
        <v>21</v>
      </c>
      <c r="B392" s="74" t="s">
        <v>22</v>
      </c>
      <c r="C392" s="74" t="s">
        <v>23</v>
      </c>
      <c r="D392" s="74" t="s">
        <v>24</v>
      </c>
      <c r="E392" s="74" t="s">
        <v>30</v>
      </c>
      <c r="F392" s="74" t="s">
        <v>25</v>
      </c>
      <c r="G392" s="74" t="s">
        <v>25</v>
      </c>
      <c r="H392" s="74" t="s">
        <v>25</v>
      </c>
      <c r="I392" s="80">
        <v>44713</v>
      </c>
      <c r="J392" s="81">
        <f>EFEITO!$J$392*EFEITO!$Y$326</f>
        <v>0</v>
      </c>
      <c r="K392" s="81">
        <f ca="1">EFEITO!$L$392*EFEITO!$Z$416</f>
        <v>29858.113056397226</v>
      </c>
      <c r="L392" s="81">
        <f>EFEITO!$N$392*EFEITO!$AA$416</f>
        <v>23910.199592103374</v>
      </c>
      <c r="M392" s="81">
        <f>$J$392-EFEITO!$K$392*EFEITO!$Y$392</f>
        <v>0</v>
      </c>
      <c r="N392" s="81">
        <f ca="1">$K$392-EFEITO!$M$392*EFEITO!$Z$392</f>
        <v>11943.24522255889</v>
      </c>
      <c r="O392" s="81">
        <f>$L$392-EFEITO!$O$392*EFEITO!$AA$392</f>
        <v>9564.0798368413489</v>
      </c>
      <c r="P392" s="18"/>
      <c r="Q392" s="18"/>
      <c r="R392" s="18"/>
      <c r="S392" s="18"/>
      <c r="T392" s="18"/>
      <c r="U392" s="18"/>
      <c r="V392" s="18"/>
      <c r="W392" s="18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</row>
    <row r="393" spans="1:36" ht="11.25" customHeight="1" x14ac:dyDescent="0.2">
      <c r="A393" s="74" t="s">
        <v>28</v>
      </c>
      <c r="B393" s="74" t="s">
        <v>22</v>
      </c>
      <c r="C393" s="74" t="s">
        <v>23</v>
      </c>
      <c r="D393" s="74" t="s">
        <v>24</v>
      </c>
      <c r="E393" s="74" t="s">
        <v>30</v>
      </c>
      <c r="F393" s="74" t="s">
        <v>25</v>
      </c>
      <c r="G393" s="74" t="s">
        <v>25</v>
      </c>
      <c r="H393" s="74" t="s">
        <v>25</v>
      </c>
      <c r="I393" s="80">
        <v>44713</v>
      </c>
      <c r="J393" s="81">
        <f>EFEITO!$J$393*EFEITO!$Y$326</f>
        <v>0</v>
      </c>
      <c r="K393" s="81">
        <f ca="1">EFEITO!$L$393*EFEITO!$Z$416</f>
        <v>4.102194139249864</v>
      </c>
      <c r="L393" s="81">
        <f>EFEITO!$N$393*EFEITO!$AA$416</f>
        <v>3.2850127015647423</v>
      </c>
      <c r="M393" s="81">
        <f>$J$393-EFEITO!$K$393*EFEITO!$Y$393</f>
        <v>0</v>
      </c>
      <c r="N393" s="81">
        <f ca="1">$K$393-EFEITO!$M$393*EFEITO!$Z$393</f>
        <v>3.6099308425398804</v>
      </c>
      <c r="O393" s="81">
        <f>$L$393-EFEITO!$O$393*EFEITO!$AA$393</f>
        <v>2.8908111773769734</v>
      </c>
      <c r="P393" s="18"/>
      <c r="Q393" s="18"/>
      <c r="R393" s="18"/>
      <c r="S393" s="18"/>
      <c r="T393" s="18"/>
      <c r="U393" s="18"/>
      <c r="V393" s="18"/>
      <c r="W393" s="18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</row>
    <row r="394" spans="1:36" ht="11.25" customHeight="1" x14ac:dyDescent="0.2">
      <c r="A394" s="74" t="s">
        <v>55</v>
      </c>
      <c r="B394" s="74" t="s">
        <v>22</v>
      </c>
      <c r="C394" s="74" t="s">
        <v>23</v>
      </c>
      <c r="D394" s="74" t="s">
        <v>24</v>
      </c>
      <c r="E394" s="74" t="s">
        <v>30</v>
      </c>
      <c r="F394" s="74" t="s">
        <v>25</v>
      </c>
      <c r="G394" s="74" t="s">
        <v>25</v>
      </c>
      <c r="H394" s="74" t="s">
        <v>25</v>
      </c>
      <c r="I394" s="80">
        <v>44743</v>
      </c>
      <c r="J394" s="81">
        <f>EFEITO!$J$394*EFEITO!$Y$326</f>
        <v>0</v>
      </c>
      <c r="K394" s="81">
        <f ca="1">EFEITO!$L$394*EFEITO!$Z$416</f>
        <v>29858.113056397226</v>
      </c>
      <c r="L394" s="81">
        <f>EFEITO!$N$394*EFEITO!$AA$416</f>
        <v>23910.199592103374</v>
      </c>
      <c r="M394" s="81">
        <f>$J$394-EFEITO!$K$394*EFEITO!$Y$394</f>
        <v>0</v>
      </c>
      <c r="N394" s="81">
        <f ca="1">$K$394-EFEITO!$M$394*EFEITO!$Z$394</f>
        <v>11943.24522255889</v>
      </c>
      <c r="O394" s="81">
        <f>$L$394-EFEITO!$O$394*EFEITO!$AA$394</f>
        <v>9564.0798368413489</v>
      </c>
      <c r="P394" s="18"/>
      <c r="Q394" s="18"/>
      <c r="R394" s="18"/>
      <c r="S394" s="18"/>
      <c r="T394" s="18"/>
      <c r="U394" s="18"/>
      <c r="V394" s="18"/>
      <c r="W394" s="18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</row>
    <row r="395" spans="1:36" ht="11.25" customHeight="1" x14ac:dyDescent="0.2">
      <c r="A395" s="74" t="s">
        <v>55</v>
      </c>
      <c r="B395" s="74" t="s">
        <v>22</v>
      </c>
      <c r="C395" s="74" t="s">
        <v>23</v>
      </c>
      <c r="D395" s="74" t="s">
        <v>24</v>
      </c>
      <c r="E395" s="74" t="s">
        <v>30</v>
      </c>
      <c r="F395" s="74" t="s">
        <v>25</v>
      </c>
      <c r="G395" s="74" t="s">
        <v>25</v>
      </c>
      <c r="H395" s="74" t="s">
        <v>25</v>
      </c>
      <c r="I395" s="80">
        <v>44743</v>
      </c>
      <c r="J395" s="81">
        <f>EFEITO!$J$395*EFEITO!$Y$326</f>
        <v>0</v>
      </c>
      <c r="K395" s="81">
        <f ca="1">EFEITO!$L$395*EFEITO!$Z$416</f>
        <v>4.102194139249864</v>
      </c>
      <c r="L395" s="81">
        <f>EFEITO!$N$395*EFEITO!$AA$416</f>
        <v>3.2850127015647423</v>
      </c>
      <c r="M395" s="81">
        <f>$J$395-EFEITO!$K$395*EFEITO!$Y$395</f>
        <v>0</v>
      </c>
      <c r="N395" s="81">
        <f ca="1">$K$395-EFEITO!$M$395*EFEITO!$Z$395</f>
        <v>3.6099308425398804</v>
      </c>
      <c r="O395" s="81">
        <f>$L$395-EFEITO!$O$395*EFEITO!$AA$395</f>
        <v>2.8908111773769734</v>
      </c>
      <c r="P395" s="18"/>
      <c r="Q395" s="18"/>
      <c r="R395" s="18"/>
      <c r="S395" s="18"/>
      <c r="T395" s="18"/>
      <c r="U395" s="18"/>
      <c r="V395" s="18"/>
      <c r="W395" s="18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</row>
    <row r="396" spans="1:36" ht="11.25" customHeight="1" x14ac:dyDescent="0.2">
      <c r="A396" s="74" t="s">
        <v>21</v>
      </c>
      <c r="B396" s="74" t="s">
        <v>22</v>
      </c>
      <c r="C396" s="74" t="s">
        <v>23</v>
      </c>
      <c r="D396" s="74" t="s">
        <v>24</v>
      </c>
      <c r="E396" s="74" t="s">
        <v>31</v>
      </c>
      <c r="F396" s="74" t="s">
        <v>25</v>
      </c>
      <c r="G396" s="74" t="s">
        <v>25</v>
      </c>
      <c r="H396" s="74" t="s">
        <v>25</v>
      </c>
      <c r="I396" s="80">
        <v>44409</v>
      </c>
      <c r="J396" s="81">
        <f>EFEITO!$J$396*EFEITO!$Y$326</f>
        <v>0</v>
      </c>
      <c r="K396" s="81">
        <f ca="1">EFEITO!$L$396*EFEITO!$Z$416</f>
        <v>22570.565168019839</v>
      </c>
      <c r="L396" s="81">
        <f>EFEITO!$N$396*EFEITO!$AA$416</f>
        <v>18074.374527773609</v>
      </c>
      <c r="M396" s="81">
        <f>$J$396-EFEITO!$K$396*EFEITO!$Y$396</f>
        <v>0</v>
      </c>
      <c r="N396" s="81">
        <f ca="1">$K$396-EFEITO!$M$396*EFEITO!$Z$396</f>
        <v>2257.0565168019784</v>
      </c>
      <c r="O396" s="81">
        <f>$L$396-EFEITO!$O$396*EFEITO!$AA$396</f>
        <v>1807.4374527773598</v>
      </c>
      <c r="P396" s="18"/>
      <c r="Q396" s="18"/>
      <c r="R396" s="18"/>
      <c r="S396" s="18"/>
      <c r="T396" s="18"/>
      <c r="U396" s="18"/>
      <c r="V396" s="18"/>
      <c r="W396" s="18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</row>
    <row r="397" spans="1:36" ht="11.25" customHeight="1" x14ac:dyDescent="0.2">
      <c r="A397" s="74" t="s">
        <v>27</v>
      </c>
      <c r="B397" s="74" t="s">
        <v>22</v>
      </c>
      <c r="C397" s="74" t="s">
        <v>23</v>
      </c>
      <c r="D397" s="74" t="s">
        <v>24</v>
      </c>
      <c r="E397" s="74" t="s">
        <v>31</v>
      </c>
      <c r="F397" s="74" t="s">
        <v>25</v>
      </c>
      <c r="G397" s="74" t="s">
        <v>25</v>
      </c>
      <c r="H397" s="74" t="s">
        <v>25</v>
      </c>
      <c r="I397" s="80">
        <v>44409</v>
      </c>
      <c r="J397" s="81">
        <f>EFEITO!$J$397*EFEITO!$Y$326</f>
        <v>0</v>
      </c>
      <c r="K397" s="81">
        <f ca="1">EFEITO!$L$397*EFEITO!$Z$416</f>
        <v>-19.631929094981494</v>
      </c>
      <c r="L397" s="81">
        <f>EFEITO!$N$397*EFEITO!$AA$416</f>
        <v>-15.721132214631268</v>
      </c>
      <c r="M397" s="81">
        <f>$J$397-EFEITO!$K$397*EFEITO!$Y$397</f>
        <v>0</v>
      </c>
      <c r="N397" s="81">
        <f ca="1">$K$397-EFEITO!$M$397*EFEITO!$Z$397</f>
        <v>-1.9631929094981473</v>
      </c>
      <c r="O397" s="81">
        <f>$L$397-EFEITO!$O$397*EFEITO!$AA$397</f>
        <v>-1.5721132214631268</v>
      </c>
      <c r="P397" s="18"/>
      <c r="Q397" s="18"/>
      <c r="R397" s="18"/>
      <c r="S397" s="18"/>
      <c r="T397" s="18"/>
      <c r="U397" s="18"/>
      <c r="V397" s="18"/>
      <c r="W397" s="18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</row>
    <row r="398" spans="1:36" ht="11.25" customHeight="1" x14ac:dyDescent="0.2">
      <c r="A398" s="74" t="s">
        <v>21</v>
      </c>
      <c r="B398" s="74" t="s">
        <v>22</v>
      </c>
      <c r="C398" s="74" t="s">
        <v>23</v>
      </c>
      <c r="D398" s="74" t="s">
        <v>24</v>
      </c>
      <c r="E398" s="74" t="s">
        <v>31</v>
      </c>
      <c r="F398" s="74" t="s">
        <v>25</v>
      </c>
      <c r="G398" s="74" t="s">
        <v>25</v>
      </c>
      <c r="H398" s="74" t="s">
        <v>25</v>
      </c>
      <c r="I398" s="80">
        <v>44440</v>
      </c>
      <c r="J398" s="81">
        <f>EFEITO!$J$398*EFEITO!$Y$326</f>
        <v>0</v>
      </c>
      <c r="K398" s="81">
        <f ca="1">EFEITO!$L$398*EFEITO!$Z$416</f>
        <v>24950.716810386031</v>
      </c>
      <c r="L398" s="81">
        <f>EFEITO!$N$398*EFEITO!$AA$416</f>
        <v>19980.385825974354</v>
      </c>
      <c r="M398" s="81">
        <f>$J$398-EFEITO!$K$398*EFEITO!$Y$398</f>
        <v>0</v>
      </c>
      <c r="N398" s="81">
        <f ca="1">$K$398-EFEITO!$M$398*EFEITO!$Z$398</f>
        <v>2495.0716810386002</v>
      </c>
      <c r="O398" s="81">
        <f>$L$398-EFEITO!$O$398*EFEITO!$AA$398</f>
        <v>1998.0385825974372</v>
      </c>
      <c r="P398" s="18"/>
      <c r="Q398" s="18"/>
      <c r="R398" s="18"/>
      <c r="S398" s="18"/>
      <c r="T398" s="18"/>
      <c r="U398" s="18"/>
      <c r="V398" s="18"/>
      <c r="W398" s="18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</row>
    <row r="399" spans="1:36" ht="11.25" customHeight="1" x14ac:dyDescent="0.2">
      <c r="A399" s="74" t="s">
        <v>27</v>
      </c>
      <c r="B399" s="74" t="s">
        <v>22</v>
      </c>
      <c r="C399" s="74" t="s">
        <v>23</v>
      </c>
      <c r="D399" s="74" t="s">
        <v>24</v>
      </c>
      <c r="E399" s="74" t="s">
        <v>31</v>
      </c>
      <c r="F399" s="74" t="s">
        <v>25</v>
      </c>
      <c r="G399" s="74" t="s">
        <v>25</v>
      </c>
      <c r="H399" s="74" t="s">
        <v>25</v>
      </c>
      <c r="I399" s="80">
        <v>44440</v>
      </c>
      <c r="J399" s="81">
        <f>EFEITO!$J$399*EFEITO!$Y$326</f>
        <v>0</v>
      </c>
      <c r="K399" s="81">
        <f ca="1">EFEITO!$L$399*EFEITO!$Z$416</f>
        <v>-24.906178702588463</v>
      </c>
      <c r="L399" s="81">
        <f>EFEITO!$N$399*EFEITO!$AA$416</f>
        <v>-19.944719973785936</v>
      </c>
      <c r="M399" s="81">
        <f>$J$399-EFEITO!$K$399*EFEITO!$Y$399</f>
        <v>0</v>
      </c>
      <c r="N399" s="81">
        <f ca="1">$K$399-EFEITO!$M$399*EFEITO!$Z$399</f>
        <v>-2.4906178702588448</v>
      </c>
      <c r="O399" s="81">
        <f>$L$399-EFEITO!$O$399*EFEITO!$AA$399</f>
        <v>-1.9944719973785929</v>
      </c>
      <c r="P399" s="18"/>
      <c r="Q399" s="18"/>
      <c r="R399" s="18"/>
      <c r="S399" s="18"/>
      <c r="T399" s="18"/>
      <c r="U399" s="18"/>
      <c r="V399" s="18"/>
      <c r="W399" s="18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</row>
    <row r="400" spans="1:36" ht="11.25" customHeight="1" x14ac:dyDescent="0.2">
      <c r="A400" s="74" t="s">
        <v>21</v>
      </c>
      <c r="B400" s="74" t="s">
        <v>22</v>
      </c>
      <c r="C400" s="74" t="s">
        <v>23</v>
      </c>
      <c r="D400" s="74" t="s">
        <v>24</v>
      </c>
      <c r="E400" s="74" t="s">
        <v>31</v>
      </c>
      <c r="F400" s="74" t="s">
        <v>25</v>
      </c>
      <c r="G400" s="74" t="s">
        <v>25</v>
      </c>
      <c r="H400" s="74" t="s">
        <v>25</v>
      </c>
      <c r="I400" s="80">
        <v>44470</v>
      </c>
      <c r="J400" s="81">
        <f>EFEITO!$J$400*EFEITO!$Y$326</f>
        <v>0</v>
      </c>
      <c r="K400" s="81">
        <f ca="1">EFEITO!$L$400*EFEITO!$Z$416</f>
        <v>23298.997641603783</v>
      </c>
      <c r="L400" s="81">
        <f>EFEITO!$N$400*EFEITO!$AA$416</f>
        <v>18657.69892606575</v>
      </c>
      <c r="M400" s="81">
        <f>$J$400-EFEITO!$K$400*EFEITO!$Y$400</f>
        <v>0</v>
      </c>
      <c r="N400" s="81">
        <f ca="1">$K$400-EFEITO!$M$400*EFEITO!$Z$400</f>
        <v>2329.8997641603746</v>
      </c>
      <c r="O400" s="81">
        <f>$L$400-EFEITO!$O$400*EFEITO!$AA$400</f>
        <v>1865.769892606575</v>
      </c>
      <c r="P400" s="18"/>
      <c r="Q400" s="18"/>
      <c r="R400" s="18"/>
      <c r="S400" s="18"/>
      <c r="T400" s="18"/>
      <c r="U400" s="18"/>
      <c r="V400" s="18"/>
      <c r="W400" s="18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</row>
    <row r="401" spans="1:36" ht="11.25" customHeight="1" x14ac:dyDescent="0.2">
      <c r="A401" s="74" t="s">
        <v>27</v>
      </c>
      <c r="B401" s="74" t="s">
        <v>22</v>
      </c>
      <c r="C401" s="74" t="s">
        <v>23</v>
      </c>
      <c r="D401" s="74" t="s">
        <v>24</v>
      </c>
      <c r="E401" s="74" t="s">
        <v>31</v>
      </c>
      <c r="F401" s="74" t="s">
        <v>25</v>
      </c>
      <c r="G401" s="74" t="s">
        <v>25</v>
      </c>
      <c r="H401" s="74" t="s">
        <v>25</v>
      </c>
      <c r="I401" s="80">
        <v>44470</v>
      </c>
      <c r="J401" s="81">
        <f>EFEITO!$J$401*EFEITO!$Y$326</f>
        <v>0</v>
      </c>
      <c r="K401" s="81">
        <f ca="1">EFEITO!$L$401*EFEITO!$Z$416</f>
        <v>-5.5672634746962437</v>
      </c>
      <c r="L401" s="81">
        <f>EFEITO!$N$401*EFEITO!$AA$416</f>
        <v>-4.4582315235521497</v>
      </c>
      <c r="M401" s="81">
        <f>$J$401-EFEITO!$K$401*EFEITO!$Y$401</f>
        <v>0</v>
      </c>
      <c r="N401" s="81">
        <f ca="1">$K$401-EFEITO!$M$401*EFEITO!$Z$401</f>
        <v>-0.55672634746962313</v>
      </c>
      <c r="O401" s="81">
        <f>$L$401-EFEITO!$O$401*EFEITO!$AA$401</f>
        <v>-0.44582315235521452</v>
      </c>
      <c r="P401" s="18"/>
      <c r="Q401" s="18"/>
      <c r="R401" s="18"/>
      <c r="S401" s="18"/>
      <c r="T401" s="18"/>
      <c r="U401" s="18"/>
      <c r="V401" s="18"/>
      <c r="W401" s="18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</row>
    <row r="402" spans="1:36" ht="11.25" customHeight="1" x14ac:dyDescent="0.2">
      <c r="A402" s="74" t="s">
        <v>21</v>
      </c>
      <c r="B402" s="74" t="s">
        <v>22</v>
      </c>
      <c r="C402" s="74" t="s">
        <v>23</v>
      </c>
      <c r="D402" s="74" t="s">
        <v>24</v>
      </c>
      <c r="E402" s="74" t="s">
        <v>31</v>
      </c>
      <c r="F402" s="74" t="s">
        <v>25</v>
      </c>
      <c r="G402" s="74" t="s">
        <v>25</v>
      </c>
      <c r="H402" s="74" t="s">
        <v>25</v>
      </c>
      <c r="I402" s="80">
        <v>44501</v>
      </c>
      <c r="J402" s="81">
        <f>EFEITO!$J$402*EFEITO!$Y$326</f>
        <v>0</v>
      </c>
      <c r="K402" s="81">
        <f ca="1">EFEITO!$L$402*EFEITO!$Z$416</f>
        <v>24269.752583270554</v>
      </c>
      <c r="L402" s="81">
        <f>EFEITO!$N$402*EFEITO!$AA$416</f>
        <v>19435.073717514606</v>
      </c>
      <c r="M402" s="81">
        <f>$J$402-EFEITO!$K$402*EFEITO!$Y$402</f>
        <v>0</v>
      </c>
      <c r="N402" s="81">
        <f ca="1">$K$402-EFEITO!$M$402*EFEITO!$Z$402</f>
        <v>2426.9752583270529</v>
      </c>
      <c r="O402" s="81">
        <f>$L$402-EFEITO!$O$402*EFEITO!$AA$402</f>
        <v>1943.5073717514606</v>
      </c>
      <c r="P402" s="18"/>
      <c r="Q402" s="18"/>
      <c r="R402" s="18"/>
      <c r="S402" s="18"/>
      <c r="T402" s="18"/>
      <c r="U402" s="18"/>
      <c r="V402" s="18"/>
      <c r="W402" s="18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</row>
    <row r="403" spans="1:36" ht="11.25" customHeight="1" x14ac:dyDescent="0.2">
      <c r="A403" s="74" t="s">
        <v>27</v>
      </c>
      <c r="B403" s="74" t="s">
        <v>22</v>
      </c>
      <c r="C403" s="74" t="s">
        <v>23</v>
      </c>
      <c r="D403" s="74" t="s">
        <v>24</v>
      </c>
      <c r="E403" s="74" t="s">
        <v>31</v>
      </c>
      <c r="F403" s="74" t="s">
        <v>25</v>
      </c>
      <c r="G403" s="74" t="s">
        <v>25</v>
      </c>
      <c r="H403" s="74" t="s">
        <v>25</v>
      </c>
      <c r="I403" s="80">
        <v>44501</v>
      </c>
      <c r="J403" s="81">
        <f>EFEITO!$J$403*EFEITO!$Y$326</f>
        <v>0</v>
      </c>
      <c r="K403" s="81">
        <f ca="1">EFEITO!$L$403*EFEITO!$Z$416</f>
        <v>-32.231525379820361</v>
      </c>
      <c r="L403" s="81">
        <f>EFEITO!$N$403*EFEITO!$AA$416</f>
        <v>-25.810814083722974</v>
      </c>
      <c r="M403" s="81">
        <f>$J$403-EFEITO!$K$403*EFEITO!$Y$403</f>
        <v>0</v>
      </c>
      <c r="N403" s="81">
        <f ca="1">$K$403-EFEITO!$M$403*EFEITO!$Z$403</f>
        <v>-3.2231525379820347</v>
      </c>
      <c r="O403" s="81">
        <f>$L$403-EFEITO!$O$403*EFEITO!$AA$403</f>
        <v>-2.5810814083722953</v>
      </c>
      <c r="P403" s="18"/>
      <c r="Q403" s="18"/>
      <c r="R403" s="18"/>
      <c r="S403" s="18"/>
      <c r="T403" s="18"/>
      <c r="U403" s="18"/>
      <c r="V403" s="18"/>
      <c r="W403" s="18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</row>
    <row r="404" spans="1:36" ht="11.25" customHeight="1" x14ac:dyDescent="0.2">
      <c r="A404" s="74" t="s">
        <v>21</v>
      </c>
      <c r="B404" s="74" t="s">
        <v>22</v>
      </c>
      <c r="C404" s="74" t="s">
        <v>23</v>
      </c>
      <c r="D404" s="74" t="s">
        <v>24</v>
      </c>
      <c r="E404" s="74" t="s">
        <v>31</v>
      </c>
      <c r="F404" s="74" t="s">
        <v>25</v>
      </c>
      <c r="G404" s="74" t="s">
        <v>25</v>
      </c>
      <c r="H404" s="74" t="s">
        <v>25</v>
      </c>
      <c r="I404" s="80">
        <v>44531</v>
      </c>
      <c r="J404" s="81">
        <f>EFEITO!$J$404*EFEITO!$Y$326</f>
        <v>0</v>
      </c>
      <c r="K404" s="81">
        <f ca="1">EFEITO!$L$404*EFEITO!$Z$416</f>
        <v>24120.608524922111</v>
      </c>
      <c r="L404" s="81">
        <f>EFEITO!$N$404*EFEITO!$AA$416</f>
        <v>19315.640041436287</v>
      </c>
      <c r="M404" s="81">
        <f>$J$404-EFEITO!$K$404*EFEITO!$Y$404</f>
        <v>0</v>
      </c>
      <c r="N404" s="81">
        <f ca="1">$K$404-EFEITO!$M$404*EFEITO!$Z$404</f>
        <v>2412.0608524922063</v>
      </c>
      <c r="O404" s="81">
        <f>$L$404-EFEITO!$O$404*EFEITO!$AA$404</f>
        <v>1931.5640041436272</v>
      </c>
      <c r="P404" s="18"/>
      <c r="Q404" s="18"/>
      <c r="R404" s="18"/>
      <c r="S404" s="18"/>
      <c r="T404" s="18"/>
      <c r="U404" s="18"/>
      <c r="V404" s="18"/>
      <c r="W404" s="18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</row>
    <row r="405" spans="1:36" ht="11.25" customHeight="1" x14ac:dyDescent="0.2">
      <c r="A405" s="74" t="s">
        <v>27</v>
      </c>
      <c r="B405" s="74" t="s">
        <v>22</v>
      </c>
      <c r="C405" s="74" t="s">
        <v>23</v>
      </c>
      <c r="D405" s="74" t="s">
        <v>24</v>
      </c>
      <c r="E405" s="74" t="s">
        <v>31</v>
      </c>
      <c r="F405" s="74" t="s">
        <v>25</v>
      </c>
      <c r="G405" s="74" t="s">
        <v>25</v>
      </c>
      <c r="H405" s="74" t="s">
        <v>25</v>
      </c>
      <c r="I405" s="80">
        <v>44531</v>
      </c>
      <c r="J405" s="81">
        <f>EFEITO!$J$405*EFEITO!$Y$326</f>
        <v>0</v>
      </c>
      <c r="K405" s="81">
        <f ca="1">EFEITO!$L$405*EFEITO!$Z$416</f>
        <v>-16.99480429117801</v>
      </c>
      <c r="L405" s="81">
        <f>EFEITO!$N$405*EFEITO!$AA$416</f>
        <v>-13.609338335053932</v>
      </c>
      <c r="M405" s="81">
        <f>$J$405-EFEITO!$K$405*EFEITO!$Y$405</f>
        <v>0</v>
      </c>
      <c r="N405" s="81">
        <f ca="1">$K$405-EFEITO!$M$405*EFEITO!$Z$405</f>
        <v>-1.6994804291178003</v>
      </c>
      <c r="O405" s="81">
        <f>$L$405-EFEITO!$O$405*EFEITO!$AA$405</f>
        <v>-1.360933833505392</v>
      </c>
      <c r="P405" s="18"/>
      <c r="Q405" s="18"/>
      <c r="R405" s="18"/>
      <c r="S405" s="18"/>
      <c r="T405" s="18"/>
      <c r="U405" s="18"/>
      <c r="V405" s="18"/>
      <c r="W405" s="18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</row>
    <row r="406" spans="1:36" ht="11.25" customHeight="1" x14ac:dyDescent="0.2">
      <c r="A406" s="74" t="s">
        <v>21</v>
      </c>
      <c r="B406" s="74" t="s">
        <v>22</v>
      </c>
      <c r="C406" s="74" t="s">
        <v>23</v>
      </c>
      <c r="D406" s="74" t="s">
        <v>24</v>
      </c>
      <c r="E406" s="74" t="s">
        <v>31</v>
      </c>
      <c r="F406" s="74" t="s">
        <v>25</v>
      </c>
      <c r="G406" s="74" t="s">
        <v>25</v>
      </c>
      <c r="H406" s="74" t="s">
        <v>25</v>
      </c>
      <c r="I406" s="80">
        <v>44562</v>
      </c>
      <c r="J406" s="81">
        <f>EFEITO!$J$406*EFEITO!$Y$326</f>
        <v>0</v>
      </c>
      <c r="K406" s="81">
        <f ca="1">EFEITO!$L$406*EFEITO!$Z$416</f>
        <v>30606.470472943234</v>
      </c>
      <c r="L406" s="81">
        <f>EFEITO!$N$406*EFEITO!$AA$416</f>
        <v>24509.479766374541</v>
      </c>
      <c r="M406" s="81">
        <f>$J$406-EFEITO!$K$406*EFEITO!$Y$406</f>
        <v>0</v>
      </c>
      <c r="N406" s="81">
        <f ca="1">$K$406-EFEITO!$M$406*EFEITO!$Z$406</f>
        <v>3060.6470472943183</v>
      </c>
      <c r="O406" s="81">
        <f>$L$406-EFEITO!$O$406*EFEITO!$AA$406</f>
        <v>2450.9479766374534</v>
      </c>
      <c r="P406" s="18"/>
      <c r="Q406" s="18"/>
      <c r="R406" s="18"/>
      <c r="S406" s="18"/>
      <c r="T406" s="18"/>
      <c r="U406" s="18"/>
      <c r="V406" s="18"/>
      <c r="W406" s="18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</row>
    <row r="407" spans="1:36" ht="11.25" customHeight="1" x14ac:dyDescent="0.2">
      <c r="A407" s="74" t="s">
        <v>27</v>
      </c>
      <c r="B407" s="74" t="s">
        <v>22</v>
      </c>
      <c r="C407" s="74" t="s">
        <v>23</v>
      </c>
      <c r="D407" s="74" t="s">
        <v>24</v>
      </c>
      <c r="E407" s="74" t="s">
        <v>31</v>
      </c>
      <c r="F407" s="74" t="s">
        <v>25</v>
      </c>
      <c r="G407" s="74" t="s">
        <v>25</v>
      </c>
      <c r="H407" s="74" t="s">
        <v>25</v>
      </c>
      <c r="I407" s="80">
        <v>44562</v>
      </c>
      <c r="J407" s="81">
        <f>EFEITO!$J$407*EFEITO!$Y$326</f>
        <v>0</v>
      </c>
      <c r="K407" s="81">
        <f ca="1">EFEITO!$L$407*EFEITO!$Z$416</f>
        <v>-35.161664050713121</v>
      </c>
      <c r="L407" s="81">
        <f>EFEITO!$N$407*EFEITO!$AA$416</f>
        <v>-28.15725172769779</v>
      </c>
      <c r="M407" s="81">
        <f>$J$407-EFEITO!$K$407*EFEITO!$Y$407</f>
        <v>0</v>
      </c>
      <c r="N407" s="81">
        <f ca="1">$K$407-EFEITO!$M$407*EFEITO!$Z$407</f>
        <v>-3.51616640507131</v>
      </c>
      <c r="O407" s="81">
        <f>$L$407-EFEITO!$O$407*EFEITO!$AA$407</f>
        <v>-2.8157251727697776</v>
      </c>
      <c r="P407" s="18"/>
      <c r="Q407" s="18"/>
      <c r="R407" s="18"/>
      <c r="S407" s="18"/>
      <c r="T407" s="18"/>
      <c r="U407" s="18"/>
      <c r="V407" s="18"/>
      <c r="W407" s="18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</row>
    <row r="408" spans="1:36" ht="11.25" customHeight="1" x14ac:dyDescent="0.2">
      <c r="A408" s="74" t="s">
        <v>21</v>
      </c>
      <c r="B408" s="74" t="s">
        <v>22</v>
      </c>
      <c r="C408" s="74" t="s">
        <v>23</v>
      </c>
      <c r="D408" s="74" t="s">
        <v>24</v>
      </c>
      <c r="E408" s="74" t="s">
        <v>31</v>
      </c>
      <c r="F408" s="74" t="s">
        <v>25</v>
      </c>
      <c r="G408" s="74" t="s">
        <v>25</v>
      </c>
      <c r="H408" s="74" t="s">
        <v>25</v>
      </c>
      <c r="I408" s="80">
        <v>44593</v>
      </c>
      <c r="J408" s="81">
        <f>EFEITO!$J$408*EFEITO!$Y$326</f>
        <v>0</v>
      </c>
      <c r="K408" s="81">
        <f ca="1">EFEITO!$L$408*EFEITO!$Z$416</f>
        <v>31033.391677292311</v>
      </c>
      <c r="L408" s="81">
        <f>EFEITO!$N$408*EFEITO!$AA$416</f>
        <v>24851.355731101674</v>
      </c>
      <c r="M408" s="81">
        <f>$J$408-EFEITO!$K$408*EFEITO!$Y$408</f>
        <v>0</v>
      </c>
      <c r="N408" s="81">
        <f ca="1">$K$408-EFEITO!$M$408*EFEITO!$Z$408</f>
        <v>3103.3391677292275</v>
      </c>
      <c r="O408" s="81">
        <f>$L$408-EFEITO!$O$408*EFEITO!$AA$408</f>
        <v>2485.1355731101685</v>
      </c>
      <c r="P408" s="18"/>
      <c r="Q408" s="18"/>
      <c r="R408" s="18"/>
      <c r="S408" s="18"/>
      <c r="T408" s="18"/>
      <c r="U408" s="18"/>
      <c r="V408" s="18"/>
      <c r="W408" s="18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</row>
    <row r="409" spans="1:36" ht="11.25" customHeight="1" x14ac:dyDescent="0.2">
      <c r="A409" s="74" t="s">
        <v>21</v>
      </c>
      <c r="B409" s="74" t="s">
        <v>22</v>
      </c>
      <c r="C409" s="74" t="s">
        <v>23</v>
      </c>
      <c r="D409" s="74" t="s">
        <v>24</v>
      </c>
      <c r="E409" s="74" t="s">
        <v>31</v>
      </c>
      <c r="F409" s="74" t="s">
        <v>25</v>
      </c>
      <c r="G409" s="74" t="s">
        <v>25</v>
      </c>
      <c r="H409" s="74" t="s">
        <v>25</v>
      </c>
      <c r="I409" s="80">
        <v>44621</v>
      </c>
      <c r="J409" s="81">
        <f>EFEITO!$J$409*EFEITO!$Y$326</f>
        <v>0</v>
      </c>
      <c r="K409" s="81">
        <f ca="1">EFEITO!$L$409*EFEITO!$Z$416</f>
        <v>30395.207474771869</v>
      </c>
      <c r="L409" s="81">
        <f>EFEITO!$N$409*EFEITO!$AA$416</f>
        <v>24340.301612243959</v>
      </c>
      <c r="M409" s="81">
        <f>$J$409-EFEITO!$K$409*EFEITO!$Y$409</f>
        <v>0</v>
      </c>
      <c r="N409" s="81">
        <f ca="1">$K$409-EFEITO!$M$409*EFEITO!$Z$409</f>
        <v>3039.5207474771814</v>
      </c>
      <c r="O409" s="81">
        <f>$L$409-EFEITO!$O$409*EFEITO!$AA$409</f>
        <v>2434.0301612243966</v>
      </c>
      <c r="P409" s="18"/>
      <c r="Q409" s="18"/>
      <c r="R409" s="18"/>
      <c r="S409" s="18"/>
      <c r="T409" s="18"/>
      <c r="U409" s="18"/>
      <c r="V409" s="18"/>
      <c r="W409" s="18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</row>
    <row r="410" spans="1:36" ht="11.25" customHeight="1" x14ac:dyDescent="0.2">
      <c r="A410" s="74" t="s">
        <v>27</v>
      </c>
      <c r="B410" s="74" t="s">
        <v>22</v>
      </c>
      <c r="C410" s="74" t="s">
        <v>23</v>
      </c>
      <c r="D410" s="74" t="s">
        <v>24</v>
      </c>
      <c r="E410" s="74" t="s">
        <v>31</v>
      </c>
      <c r="F410" s="74" t="s">
        <v>25</v>
      </c>
      <c r="G410" s="74" t="s">
        <v>25</v>
      </c>
      <c r="H410" s="74" t="s">
        <v>25</v>
      </c>
      <c r="I410" s="80">
        <v>44621</v>
      </c>
      <c r="J410" s="81">
        <f>EFEITO!$J$410*EFEITO!$Y$326</f>
        <v>0</v>
      </c>
      <c r="K410" s="81">
        <f ca="1">EFEITO!$L$410*EFEITO!$Z$416</f>
        <v>-12.892610151928144</v>
      </c>
      <c r="L410" s="81">
        <f>EFEITO!$N$410*EFEITO!$AA$416</f>
        <v>-10.32432563348919</v>
      </c>
      <c r="M410" s="81">
        <f>$J$410-EFEITO!$K$410*EFEITO!$Y$410</f>
        <v>0</v>
      </c>
      <c r="N410" s="81">
        <f ca="1">$K$410-EFEITO!$M$410*EFEITO!$Z$410</f>
        <v>-1.2892610151928139</v>
      </c>
      <c r="O410" s="81">
        <f>$L$410-EFEITO!$O$410*EFEITO!$AA$410</f>
        <v>-1.0324325633489195</v>
      </c>
      <c r="P410" s="18"/>
      <c r="Q410" s="18"/>
      <c r="R410" s="18"/>
      <c r="S410" s="18"/>
      <c r="T410" s="18"/>
      <c r="U410" s="18"/>
      <c r="V410" s="18"/>
      <c r="W410" s="18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</row>
    <row r="411" spans="1:36" ht="11.25" customHeight="1" x14ac:dyDescent="0.2">
      <c r="A411" s="74" t="s">
        <v>21</v>
      </c>
      <c r="B411" s="74" t="s">
        <v>22</v>
      </c>
      <c r="C411" s="74" t="s">
        <v>23</v>
      </c>
      <c r="D411" s="74" t="s">
        <v>24</v>
      </c>
      <c r="E411" s="74" t="s">
        <v>31</v>
      </c>
      <c r="F411" s="74" t="s">
        <v>25</v>
      </c>
      <c r="G411" s="74" t="s">
        <v>25</v>
      </c>
      <c r="H411" s="74" t="s">
        <v>25</v>
      </c>
      <c r="I411" s="80">
        <v>44652</v>
      </c>
      <c r="J411" s="81">
        <f>EFEITO!$J$411*EFEITO!$Y$326</f>
        <v>0</v>
      </c>
      <c r="K411" s="81">
        <f ca="1">EFEITO!$L$411*EFEITO!$Z$416</f>
        <v>29600.846881092843</v>
      </c>
      <c r="L411" s="81">
        <f>EFEITO!$N$411*EFEITO!$AA$416</f>
        <v>23704.182366962388</v>
      </c>
      <c r="M411" s="81">
        <f>$J$411-EFEITO!$K$411*EFEITO!$Y$411</f>
        <v>0</v>
      </c>
      <c r="N411" s="81">
        <f ca="1">$K$411-EFEITO!$M$411*EFEITO!$Z$411</f>
        <v>2960.0846881092803</v>
      </c>
      <c r="O411" s="81">
        <f>$L$411-EFEITO!$O$411*EFEITO!$AA$411</f>
        <v>2370.4182366962377</v>
      </c>
      <c r="P411" s="18"/>
      <c r="Q411" s="18"/>
      <c r="R411" s="18"/>
      <c r="S411" s="18"/>
      <c r="T411" s="18"/>
      <c r="U411" s="18"/>
      <c r="V411" s="18"/>
      <c r="W411" s="18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</row>
    <row r="412" spans="1:36" ht="11.25" customHeight="1" x14ac:dyDescent="0.2">
      <c r="A412" s="74" t="s">
        <v>27</v>
      </c>
      <c r="B412" s="74" t="s">
        <v>22</v>
      </c>
      <c r="C412" s="74" t="s">
        <v>23</v>
      </c>
      <c r="D412" s="74" t="s">
        <v>24</v>
      </c>
      <c r="E412" s="74" t="s">
        <v>31</v>
      </c>
      <c r="F412" s="74" t="s">
        <v>25</v>
      </c>
      <c r="G412" s="74" t="s">
        <v>25</v>
      </c>
      <c r="H412" s="74" t="s">
        <v>25</v>
      </c>
      <c r="I412" s="80">
        <v>44652</v>
      </c>
      <c r="J412" s="81">
        <f>EFEITO!$J$412*EFEITO!$Y$326</f>
        <v>0</v>
      </c>
      <c r="K412" s="81">
        <f ca="1">EFEITO!$L$412*EFEITO!$Z$416</f>
        <v>17.287818158267282</v>
      </c>
      <c r="L412" s="81">
        <f>EFEITO!$N$412*EFEITO!$AA$416</f>
        <v>13.843982099451413</v>
      </c>
      <c r="M412" s="81">
        <f>$J$412-EFEITO!$K$412*EFEITO!$Y$412</f>
        <v>0</v>
      </c>
      <c r="N412" s="81">
        <f ca="1">$K$412-EFEITO!$M$412*EFEITO!$Z$412</f>
        <v>1.728781815826725</v>
      </c>
      <c r="O412" s="81">
        <f>$L$412-EFEITO!$O$412*EFEITO!$AA$412</f>
        <v>1.3843982099451413</v>
      </c>
      <c r="P412" s="18"/>
      <c r="Q412" s="18"/>
      <c r="R412" s="18"/>
      <c r="S412" s="18"/>
      <c r="T412" s="18"/>
      <c r="U412" s="18"/>
      <c r="V412" s="18"/>
      <c r="W412" s="18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</row>
    <row r="413" spans="1:36" ht="11.25" customHeight="1" x14ac:dyDescent="0.2">
      <c r="A413" s="74" t="s">
        <v>21</v>
      </c>
      <c r="B413" s="74" t="s">
        <v>22</v>
      </c>
      <c r="C413" s="74" t="s">
        <v>23</v>
      </c>
      <c r="D413" s="74" t="s">
        <v>24</v>
      </c>
      <c r="E413" s="74" t="s">
        <v>31</v>
      </c>
      <c r="F413" s="74" t="s">
        <v>25</v>
      </c>
      <c r="G413" s="74" t="s">
        <v>25</v>
      </c>
      <c r="H413" s="74" t="s">
        <v>25</v>
      </c>
      <c r="I413" s="80">
        <v>44682</v>
      </c>
      <c r="J413" s="81">
        <f>EFEITO!$J$413*EFEITO!$Y$326</f>
        <v>0</v>
      </c>
      <c r="K413" s="81">
        <f ca="1">EFEITO!$L$413*EFEITO!$Z$416</f>
        <v>26672.173279535527</v>
      </c>
      <c r="L413" s="81">
        <f>EFEITO!$N$413*EFEITO!$AA$416</f>
        <v>21358.917941809555</v>
      </c>
      <c r="M413" s="81">
        <f>$J$413-EFEITO!$K$413*EFEITO!$Y$413</f>
        <v>0</v>
      </c>
      <c r="N413" s="81">
        <f ca="1">$K$413-EFEITO!$M$413*EFEITO!$Z$413</f>
        <v>2667.2173279535491</v>
      </c>
      <c r="O413" s="81">
        <f>$L$413-EFEITO!$O$413*EFEITO!$AA$413</f>
        <v>2135.8917941809523</v>
      </c>
      <c r="P413" s="18"/>
      <c r="Q413" s="18"/>
      <c r="R413" s="18"/>
      <c r="S413" s="18"/>
      <c r="T413" s="18"/>
      <c r="U413" s="18"/>
      <c r="V413" s="18"/>
      <c r="W413" s="18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</row>
    <row r="414" spans="1:36" ht="11.25" customHeight="1" x14ac:dyDescent="0.2">
      <c r="A414" s="74" t="s">
        <v>21</v>
      </c>
      <c r="B414" s="74" t="s">
        <v>22</v>
      </c>
      <c r="C414" s="74" t="s">
        <v>23</v>
      </c>
      <c r="D414" s="74" t="s">
        <v>24</v>
      </c>
      <c r="E414" s="74" t="s">
        <v>31</v>
      </c>
      <c r="F414" s="74" t="s">
        <v>25</v>
      </c>
      <c r="G414" s="74" t="s">
        <v>25</v>
      </c>
      <c r="H414" s="74" t="s">
        <v>25</v>
      </c>
      <c r="I414" s="80">
        <v>44713</v>
      </c>
      <c r="J414" s="81">
        <f>EFEITO!$J$414*EFEITO!$Y$326</f>
        <v>0</v>
      </c>
      <c r="K414" s="81">
        <f ca="1">EFEITO!$L$414*EFEITO!$Z$416</f>
        <v>29199.417883180533</v>
      </c>
      <c r="L414" s="81">
        <f>EFEITO!$N$414*EFEITO!$AA$416</f>
        <v>23382.720409737834</v>
      </c>
      <c r="M414" s="81">
        <f>$J$414-EFEITO!$K$414*EFEITO!$Y$414</f>
        <v>0</v>
      </c>
      <c r="N414" s="81">
        <f ca="1">$K$414-EFEITO!$M$414*EFEITO!$Z$414</f>
        <v>2919.9417883180504</v>
      </c>
      <c r="O414" s="81">
        <f>$L$414-EFEITO!$O$414*EFEITO!$AA$414</f>
        <v>2338.2720409737813</v>
      </c>
      <c r="P414" s="18"/>
      <c r="Q414" s="18"/>
      <c r="R414" s="18"/>
      <c r="S414" s="18"/>
      <c r="T414" s="18"/>
      <c r="U414" s="18"/>
      <c r="V414" s="18"/>
      <c r="W414" s="18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</row>
    <row r="415" spans="1:36" ht="11.25" customHeight="1" x14ac:dyDescent="0.2">
      <c r="A415" s="74" t="s">
        <v>55</v>
      </c>
      <c r="B415" s="74" t="s">
        <v>22</v>
      </c>
      <c r="C415" s="74" t="s">
        <v>23</v>
      </c>
      <c r="D415" s="74" t="s">
        <v>24</v>
      </c>
      <c r="E415" s="74" t="s">
        <v>31</v>
      </c>
      <c r="F415" s="74" t="s">
        <v>25</v>
      </c>
      <c r="G415" s="74" t="s">
        <v>25</v>
      </c>
      <c r="H415" s="74" t="s">
        <v>25</v>
      </c>
      <c r="I415" s="80">
        <v>44743</v>
      </c>
      <c r="J415" s="81">
        <f>EFEITO!$J$415*EFEITO!$Y$326</f>
        <v>0</v>
      </c>
      <c r="K415" s="81">
        <f ca="1">EFEITO!$L$415*EFEITO!$Z$416</f>
        <v>29199.417883180533</v>
      </c>
      <c r="L415" s="81">
        <f>EFEITO!$N$415*EFEITO!$AA$416</f>
        <v>23382.720409737834</v>
      </c>
      <c r="M415" s="81">
        <f>$J$415-EFEITO!$K$415*EFEITO!$Y$415</f>
        <v>0</v>
      </c>
      <c r="N415" s="81">
        <f ca="1">$K$415-EFEITO!$M$415*EFEITO!$Z$415</f>
        <v>2919.9417883180504</v>
      </c>
      <c r="O415" s="81">
        <f>$L$415-EFEITO!$O$415*EFEITO!$AA$415</f>
        <v>2338.2720409737813</v>
      </c>
      <c r="P415" s="18"/>
      <c r="Q415" s="18"/>
      <c r="R415" s="18"/>
      <c r="S415" s="18"/>
      <c r="T415" s="18"/>
      <c r="U415" s="18"/>
      <c r="V415" s="18"/>
      <c r="W415" s="18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</row>
    <row r="416" spans="1:36" ht="11.25" customHeight="1" x14ac:dyDescent="0.2">
      <c r="A416" s="74" t="s">
        <v>21</v>
      </c>
      <c r="B416" s="74" t="s">
        <v>22</v>
      </c>
      <c r="C416" s="74" t="s">
        <v>23</v>
      </c>
      <c r="D416" s="74" t="s">
        <v>24</v>
      </c>
      <c r="E416" s="74" t="s">
        <v>32</v>
      </c>
      <c r="F416" s="74" t="s">
        <v>25</v>
      </c>
      <c r="G416" s="74" t="s">
        <v>25</v>
      </c>
      <c r="H416" s="74" t="s">
        <v>25</v>
      </c>
      <c r="I416" s="80">
        <v>44409</v>
      </c>
      <c r="J416" s="81">
        <f>EFEITO!$J$416*EFEITO!$Y$326</f>
        <v>0</v>
      </c>
      <c r="K416" s="81">
        <f ca="1">EFEITO!$L$416*EFEITO!$Z$416</f>
        <v>7524.3030929855177</v>
      </c>
      <c r="L416" s="81">
        <f>EFEITO!$N$416*EFEITO!$AA$416</f>
        <v>6025.4172259629295</v>
      </c>
      <c r="M416" s="81">
        <f>$J$416-EFEITO!$K$416*EFEITO!$Y$416</f>
        <v>0</v>
      </c>
      <c r="N416" s="81">
        <f ca="1">$K$416-EFEITO!$M$416*EFEITO!$Z$416</f>
        <v>0</v>
      </c>
      <c r="O416" s="81">
        <f>$L$416-EFEITO!$O$416*EFEITO!$AA$416</f>
        <v>0</v>
      </c>
      <c r="P416" s="18"/>
      <c r="Q416" s="18"/>
      <c r="R416" s="18"/>
      <c r="S416" s="18"/>
      <c r="T416" s="18"/>
      <c r="U416" s="18"/>
      <c r="V416" s="18"/>
      <c r="W416" s="18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</row>
    <row r="417" spans="1:36" ht="11.25" customHeight="1" x14ac:dyDescent="0.2">
      <c r="A417" s="74" t="s">
        <v>27</v>
      </c>
      <c r="B417" s="74" t="s">
        <v>22</v>
      </c>
      <c r="C417" s="74" t="s">
        <v>23</v>
      </c>
      <c r="D417" s="74" t="s">
        <v>24</v>
      </c>
      <c r="E417" s="74" t="s">
        <v>32</v>
      </c>
      <c r="F417" s="74" t="s">
        <v>25</v>
      </c>
      <c r="G417" s="74" t="s">
        <v>25</v>
      </c>
      <c r="H417" s="74" t="s">
        <v>25</v>
      </c>
      <c r="I417" s="80">
        <v>44409</v>
      </c>
      <c r="J417" s="81">
        <f>EFEITO!$J$417*EFEITO!$Y$326</f>
        <v>0</v>
      </c>
      <c r="K417" s="81">
        <f ca="1">EFEITO!$L$417*EFEITO!$Z$416</f>
        <v>-38.97084432287371</v>
      </c>
      <c r="L417" s="81">
        <f>EFEITO!$N$417*EFEITO!$AA$416</f>
        <v>-31.207620664865054</v>
      </c>
      <c r="M417" s="81">
        <f>$J$417-EFEITO!$K$417*EFEITO!$Y$417</f>
        <v>0</v>
      </c>
      <c r="N417" s="81">
        <f ca="1">$K$417-EFEITO!$M$417*EFEITO!$Z$417</f>
        <v>0</v>
      </c>
      <c r="O417" s="81">
        <f>$L$417-EFEITO!$O$417*EFEITO!$AA$417</f>
        <v>0</v>
      </c>
      <c r="P417" s="18"/>
      <c r="Q417" s="18"/>
      <c r="R417" s="18"/>
      <c r="S417" s="18"/>
      <c r="T417" s="18"/>
      <c r="U417" s="18"/>
      <c r="V417" s="18"/>
      <c r="W417" s="18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</row>
    <row r="418" spans="1:36" ht="11.25" customHeight="1" x14ac:dyDescent="0.2">
      <c r="A418" s="74" t="s">
        <v>21</v>
      </c>
      <c r="B418" s="74" t="s">
        <v>22</v>
      </c>
      <c r="C418" s="74" t="s">
        <v>23</v>
      </c>
      <c r="D418" s="74" t="s">
        <v>24</v>
      </c>
      <c r="E418" s="74" t="s">
        <v>32</v>
      </c>
      <c r="F418" s="74" t="s">
        <v>25</v>
      </c>
      <c r="G418" s="74" t="s">
        <v>25</v>
      </c>
      <c r="H418" s="74" t="s">
        <v>25</v>
      </c>
      <c r="I418" s="80">
        <v>44440</v>
      </c>
      <c r="J418" s="81">
        <f>EFEITO!$J$418*EFEITO!$Y$326</f>
        <v>0</v>
      </c>
      <c r="K418" s="81">
        <f ca="1">EFEITO!$L$418*EFEITO!$Z$416</f>
        <v>9720.7350406867299</v>
      </c>
      <c r="L418" s="81">
        <f>EFEITO!$N$418*EFEITO!$AA$416</f>
        <v>7784.306883886451</v>
      </c>
      <c r="M418" s="81">
        <f>$J$418-EFEITO!$K$418*EFEITO!$Y$418</f>
        <v>0</v>
      </c>
      <c r="N418" s="81">
        <f ca="1">$K$418-EFEITO!$M$418*EFEITO!$Z$418</f>
        <v>0</v>
      </c>
      <c r="O418" s="81">
        <f>$L$418-EFEITO!$O$418*EFEITO!$AA$418</f>
        <v>0</v>
      </c>
      <c r="P418" s="18"/>
      <c r="Q418" s="18"/>
      <c r="R418" s="18"/>
      <c r="S418" s="18"/>
      <c r="T418" s="18"/>
      <c r="U418" s="18"/>
      <c r="V418" s="18"/>
      <c r="W418" s="18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</row>
    <row r="419" spans="1:36" ht="11.25" customHeight="1" x14ac:dyDescent="0.2">
      <c r="A419" s="74" t="s">
        <v>27</v>
      </c>
      <c r="B419" s="74" t="s">
        <v>22</v>
      </c>
      <c r="C419" s="74" t="s">
        <v>23</v>
      </c>
      <c r="D419" s="74" t="s">
        <v>24</v>
      </c>
      <c r="E419" s="74" t="s">
        <v>32</v>
      </c>
      <c r="F419" s="74" t="s">
        <v>25</v>
      </c>
      <c r="G419" s="74" t="s">
        <v>25</v>
      </c>
      <c r="H419" s="74" t="s">
        <v>25</v>
      </c>
      <c r="I419" s="80">
        <v>44440</v>
      </c>
      <c r="J419" s="81">
        <f>EFEITO!$J$419*EFEITO!$Y$326</f>
        <v>0</v>
      </c>
      <c r="K419" s="81">
        <f ca="1">EFEITO!$L$419*EFEITO!$Z$416</f>
        <v>-33.696594715266741</v>
      </c>
      <c r="L419" s="81">
        <f>EFEITO!$N$419*EFEITO!$AA$416</f>
        <v>-26.984032905710382</v>
      </c>
      <c r="M419" s="81">
        <f>$J$419-EFEITO!$K$419*EFEITO!$Y$419</f>
        <v>0</v>
      </c>
      <c r="N419" s="81">
        <f ca="1">$K$419-EFEITO!$M$419*EFEITO!$Z$419</f>
        <v>0</v>
      </c>
      <c r="O419" s="81">
        <f>$L$419-EFEITO!$O$419*EFEITO!$AA$419</f>
        <v>0</v>
      </c>
      <c r="P419" s="18"/>
      <c r="Q419" s="18"/>
      <c r="R419" s="18"/>
      <c r="S419" s="18"/>
      <c r="T419" s="18"/>
      <c r="U419" s="18"/>
      <c r="V419" s="18"/>
      <c r="W419" s="18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</row>
    <row r="420" spans="1:36" ht="11.25" customHeight="1" x14ac:dyDescent="0.2">
      <c r="A420" s="74" t="s">
        <v>21</v>
      </c>
      <c r="B420" s="74" t="s">
        <v>22</v>
      </c>
      <c r="C420" s="74" t="s">
        <v>23</v>
      </c>
      <c r="D420" s="74" t="s">
        <v>24</v>
      </c>
      <c r="E420" s="74" t="s">
        <v>32</v>
      </c>
      <c r="F420" s="74" t="s">
        <v>25</v>
      </c>
      <c r="G420" s="74" t="s">
        <v>25</v>
      </c>
      <c r="H420" s="74" t="s">
        <v>25</v>
      </c>
      <c r="I420" s="80">
        <v>44470</v>
      </c>
      <c r="J420" s="81">
        <f>EFEITO!$J$420*EFEITO!$Y$326</f>
        <v>0</v>
      </c>
      <c r="K420" s="81">
        <f ca="1">EFEITO!$L$420*EFEITO!$Z$416</f>
        <v>7447.2404459410391</v>
      </c>
      <c r="L420" s="81">
        <f>EFEITO!$N$420*EFEITO!$AA$416</f>
        <v>5963.7059159263918</v>
      </c>
      <c r="M420" s="81">
        <f>$J$420-EFEITO!$K$420*EFEITO!$Y$420</f>
        <v>0</v>
      </c>
      <c r="N420" s="81">
        <f ca="1">$K$420-EFEITO!$M$420*EFEITO!$Z$420</f>
        <v>0</v>
      </c>
      <c r="O420" s="81">
        <f>$L$420-EFEITO!$O$420*EFEITO!$AA$420</f>
        <v>0</v>
      </c>
      <c r="P420" s="18"/>
      <c r="Q420" s="18"/>
      <c r="R420" s="18"/>
      <c r="S420" s="18"/>
      <c r="T420" s="18"/>
      <c r="U420" s="18"/>
      <c r="V420" s="18"/>
      <c r="W420" s="18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</row>
    <row r="421" spans="1:36" ht="11.25" customHeight="1" x14ac:dyDescent="0.2">
      <c r="A421" s="74" t="s">
        <v>27</v>
      </c>
      <c r="B421" s="74" t="s">
        <v>22</v>
      </c>
      <c r="C421" s="74" t="s">
        <v>23</v>
      </c>
      <c r="D421" s="74" t="s">
        <v>24</v>
      </c>
      <c r="E421" s="74" t="s">
        <v>32</v>
      </c>
      <c r="F421" s="74" t="s">
        <v>25</v>
      </c>
      <c r="G421" s="74" t="s">
        <v>25</v>
      </c>
      <c r="H421" s="74" t="s">
        <v>25</v>
      </c>
      <c r="I421" s="80">
        <v>44470</v>
      </c>
      <c r="J421" s="81">
        <f>EFEITO!$J$421*EFEITO!$Y$326</f>
        <v>0</v>
      </c>
      <c r="K421" s="81">
        <f ca="1">EFEITO!$L$421*EFEITO!$Z$416</f>
        <v>-48.347288069730546</v>
      </c>
      <c r="L421" s="81">
        <f>EFEITO!$N$421*EFEITO!$AA$416</f>
        <v>-38.716221125584461</v>
      </c>
      <c r="M421" s="81">
        <f>$J$421-EFEITO!$K$421*EFEITO!$Y$421</f>
        <v>0</v>
      </c>
      <c r="N421" s="81">
        <f ca="1">$K$421-EFEITO!$M$421*EFEITO!$Z$421</f>
        <v>0</v>
      </c>
      <c r="O421" s="81">
        <f>$L$421-EFEITO!$O$421*EFEITO!$AA$421</f>
        <v>0</v>
      </c>
      <c r="P421" s="18"/>
      <c r="Q421" s="18"/>
      <c r="R421" s="18"/>
      <c r="S421" s="18"/>
      <c r="T421" s="18"/>
      <c r="U421" s="18"/>
      <c r="V421" s="18"/>
      <c r="W421" s="18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</row>
    <row r="422" spans="1:36" ht="11.25" customHeight="1" x14ac:dyDescent="0.2">
      <c r="A422" s="74" t="s">
        <v>21</v>
      </c>
      <c r="B422" s="74" t="s">
        <v>22</v>
      </c>
      <c r="C422" s="74" t="s">
        <v>23</v>
      </c>
      <c r="D422" s="74" t="s">
        <v>24</v>
      </c>
      <c r="E422" s="74" t="s">
        <v>32</v>
      </c>
      <c r="F422" s="74" t="s">
        <v>25</v>
      </c>
      <c r="G422" s="74" t="s">
        <v>25</v>
      </c>
      <c r="H422" s="74" t="s">
        <v>25</v>
      </c>
      <c r="I422" s="80">
        <v>44501</v>
      </c>
      <c r="J422" s="81">
        <f>EFEITO!$J$422*EFEITO!$Y$326</f>
        <v>0</v>
      </c>
      <c r="K422" s="81">
        <f ca="1">EFEITO!$L$422*EFEITO!$Z$416</f>
        <v>7343.513536991436</v>
      </c>
      <c r="L422" s="81">
        <f>EFEITO!$N$422*EFEITO!$AA$416</f>
        <v>5880.642023329684</v>
      </c>
      <c r="M422" s="81">
        <f>$J$422-EFEITO!$K$422*EFEITO!$Y$422</f>
        <v>0</v>
      </c>
      <c r="N422" s="81">
        <f ca="1">$K$422-EFEITO!$M$422*EFEITO!$Z$422</f>
        <v>0</v>
      </c>
      <c r="O422" s="81">
        <f>$L$422-EFEITO!$O$422*EFEITO!$AA$422</f>
        <v>0</v>
      </c>
      <c r="P422" s="18"/>
      <c r="Q422" s="18"/>
      <c r="R422" s="18"/>
      <c r="S422" s="18"/>
      <c r="T422" s="18"/>
      <c r="U422" s="18"/>
      <c r="V422" s="18"/>
      <c r="W422" s="18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</row>
    <row r="423" spans="1:36" ht="11.25" customHeight="1" x14ac:dyDescent="0.2">
      <c r="A423" s="74" t="s">
        <v>27</v>
      </c>
      <c r="B423" s="74" t="s">
        <v>22</v>
      </c>
      <c r="C423" s="74" t="s">
        <v>23</v>
      </c>
      <c r="D423" s="74" t="s">
        <v>24</v>
      </c>
      <c r="E423" s="74" t="s">
        <v>32</v>
      </c>
      <c r="F423" s="74" t="s">
        <v>25</v>
      </c>
      <c r="G423" s="74" t="s">
        <v>25</v>
      </c>
      <c r="H423" s="74" t="s">
        <v>25</v>
      </c>
      <c r="I423" s="80">
        <v>44501</v>
      </c>
      <c r="J423" s="81">
        <f>EFEITO!$J$423*EFEITO!$Y$326</f>
        <v>0</v>
      </c>
      <c r="K423" s="81">
        <f ca="1">EFEITO!$L$423*EFEITO!$Z$416</f>
        <v>-26.078234170945564</v>
      </c>
      <c r="L423" s="81">
        <f>EFEITO!$N$423*EFEITO!$AA$416</f>
        <v>-20.883295031375859</v>
      </c>
      <c r="M423" s="81">
        <f>$J$423-EFEITO!$K$423*EFEITO!$Y$423</f>
        <v>0</v>
      </c>
      <c r="N423" s="81">
        <f ca="1">$K$423-EFEITO!$M$423*EFEITO!$Z$423</f>
        <v>0</v>
      </c>
      <c r="O423" s="81">
        <f>$L$423-EFEITO!$O$423*EFEITO!$AA$423</f>
        <v>0</v>
      </c>
      <c r="P423" s="18"/>
      <c r="Q423" s="18"/>
      <c r="R423" s="18"/>
      <c r="S423" s="18"/>
      <c r="T423" s="18"/>
      <c r="U423" s="18"/>
      <c r="V423" s="18"/>
      <c r="W423" s="18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</row>
    <row r="424" spans="1:36" ht="11.25" customHeight="1" x14ac:dyDescent="0.2">
      <c r="A424" s="74" t="s">
        <v>21</v>
      </c>
      <c r="B424" s="74" t="s">
        <v>22</v>
      </c>
      <c r="C424" s="74" t="s">
        <v>23</v>
      </c>
      <c r="D424" s="74" t="s">
        <v>24</v>
      </c>
      <c r="E424" s="74" t="s">
        <v>32</v>
      </c>
      <c r="F424" s="74" t="s">
        <v>25</v>
      </c>
      <c r="G424" s="74" t="s">
        <v>25</v>
      </c>
      <c r="H424" s="74" t="s">
        <v>25</v>
      </c>
      <c r="I424" s="80">
        <v>44531</v>
      </c>
      <c r="J424" s="81">
        <f>EFEITO!$J$424*EFEITO!$Y$326</f>
        <v>0</v>
      </c>
      <c r="K424" s="81">
        <f ca="1">EFEITO!$L$424*EFEITO!$Z$416</f>
        <v>7036.4350042818742</v>
      </c>
      <c r="L424" s="81">
        <f>EFEITO!$N$424*EFEITO!$AA$416</f>
        <v>5634.7353582411224</v>
      </c>
      <c r="M424" s="81">
        <f>$J$424-EFEITO!$K$424*EFEITO!$Y$424</f>
        <v>0</v>
      </c>
      <c r="N424" s="81">
        <f ca="1">$K$424-EFEITO!$M$424*EFEITO!$Z$424</f>
        <v>0</v>
      </c>
      <c r="O424" s="81">
        <f>$L$424-EFEITO!$O$424*EFEITO!$AA$424</f>
        <v>0</v>
      </c>
      <c r="P424" s="18"/>
      <c r="Q424" s="18"/>
      <c r="R424" s="18"/>
      <c r="S424" s="18"/>
      <c r="T424" s="18"/>
      <c r="U424" s="18"/>
      <c r="V424" s="18"/>
      <c r="W424" s="18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</row>
    <row r="425" spans="1:36" ht="11.25" customHeight="1" x14ac:dyDescent="0.2">
      <c r="A425" s="74" t="s">
        <v>27</v>
      </c>
      <c r="B425" s="74" t="s">
        <v>22</v>
      </c>
      <c r="C425" s="74" t="s">
        <v>23</v>
      </c>
      <c r="D425" s="74" t="s">
        <v>24</v>
      </c>
      <c r="E425" s="74" t="s">
        <v>32</v>
      </c>
      <c r="F425" s="74" t="s">
        <v>25</v>
      </c>
      <c r="G425" s="74" t="s">
        <v>25</v>
      </c>
      <c r="H425" s="74" t="s">
        <v>25</v>
      </c>
      <c r="I425" s="80">
        <v>44531</v>
      </c>
      <c r="J425" s="81">
        <f>EFEITO!$J$425*EFEITO!$Y$326</f>
        <v>0</v>
      </c>
      <c r="K425" s="81">
        <f ca="1">EFEITO!$L$425*EFEITO!$Z$416</f>
        <v>-6.7393189430533482</v>
      </c>
      <c r="L425" s="81">
        <f>EFEITO!$N$425*EFEITO!$AA$416</f>
        <v>-5.3968065811420765</v>
      </c>
      <c r="M425" s="81">
        <f>$J$425-EFEITO!$K$425*EFEITO!$Y$425</f>
        <v>0</v>
      </c>
      <c r="N425" s="81">
        <f ca="1">$K$425-EFEITO!$M$425*EFEITO!$Z$425</f>
        <v>0</v>
      </c>
      <c r="O425" s="81">
        <f>$L$425-EFEITO!$O$425*EFEITO!$AA$425</f>
        <v>0</v>
      </c>
      <c r="P425" s="18"/>
      <c r="Q425" s="18"/>
      <c r="R425" s="18"/>
      <c r="S425" s="18"/>
      <c r="T425" s="18"/>
      <c r="U425" s="18"/>
      <c r="V425" s="18"/>
      <c r="W425" s="18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</row>
    <row r="426" spans="1:36" ht="11.25" customHeight="1" x14ac:dyDescent="0.2">
      <c r="A426" s="74" t="s">
        <v>21</v>
      </c>
      <c r="B426" s="74" t="s">
        <v>22</v>
      </c>
      <c r="C426" s="74" t="s">
        <v>23</v>
      </c>
      <c r="D426" s="74" t="s">
        <v>24</v>
      </c>
      <c r="E426" s="74" t="s">
        <v>32</v>
      </c>
      <c r="F426" s="74" t="s">
        <v>25</v>
      </c>
      <c r="G426" s="74" t="s">
        <v>25</v>
      </c>
      <c r="H426" s="74" t="s">
        <v>25</v>
      </c>
      <c r="I426" s="80">
        <v>44562</v>
      </c>
      <c r="J426" s="81">
        <f>EFEITO!$J$426*EFEITO!$Y$326</f>
        <v>0</v>
      </c>
      <c r="K426" s="81">
        <f ca="1">EFEITO!$L$426*EFEITO!$Z$416</f>
        <v>15868.165972219742</v>
      </c>
      <c r="L426" s="81">
        <f>EFEITO!$N$426*EFEITO!$AA$416</f>
        <v>12707.133060945616</v>
      </c>
      <c r="M426" s="81">
        <f>$J$426-EFEITO!$K$426*EFEITO!$Y$426</f>
        <v>0</v>
      </c>
      <c r="N426" s="81">
        <f ca="1">$K$426-EFEITO!$M$426*EFEITO!$Z$426</f>
        <v>0</v>
      </c>
      <c r="O426" s="81">
        <f>$L$426-EFEITO!$O$426*EFEITO!$AA$426</f>
        <v>0</v>
      </c>
      <c r="P426" s="18"/>
      <c r="Q426" s="18"/>
      <c r="R426" s="18"/>
      <c r="S426" s="18"/>
      <c r="T426" s="18"/>
      <c r="U426" s="18"/>
      <c r="V426" s="18"/>
      <c r="W426" s="18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</row>
    <row r="427" spans="1:36" ht="11.25" customHeight="1" x14ac:dyDescent="0.2">
      <c r="A427" s="74" t="s">
        <v>27</v>
      </c>
      <c r="B427" s="74" t="s">
        <v>22</v>
      </c>
      <c r="C427" s="74" t="s">
        <v>23</v>
      </c>
      <c r="D427" s="74" t="s">
        <v>24</v>
      </c>
      <c r="E427" s="74" t="s">
        <v>32</v>
      </c>
      <c r="F427" s="74" t="s">
        <v>25</v>
      </c>
      <c r="G427" s="74" t="s">
        <v>25</v>
      </c>
      <c r="H427" s="74" t="s">
        <v>25</v>
      </c>
      <c r="I427" s="80">
        <v>44562</v>
      </c>
      <c r="J427" s="81">
        <f>EFEITO!$J$427*EFEITO!$Y$326</f>
        <v>0</v>
      </c>
      <c r="K427" s="81">
        <f ca="1">EFEITO!$L$427*EFEITO!$Z$416</f>
        <v>-2.9301386708927599</v>
      </c>
      <c r="L427" s="81">
        <f>EFEITO!$N$427*EFEITO!$AA$416</f>
        <v>-2.346437643974816</v>
      </c>
      <c r="M427" s="81">
        <f>$J$427-EFEITO!$K$427*EFEITO!$Y$427</f>
        <v>0</v>
      </c>
      <c r="N427" s="81">
        <f ca="1">$K$427-EFEITO!$M$427*EFEITO!$Z$427</f>
        <v>0</v>
      </c>
      <c r="O427" s="81">
        <f>$L$427-EFEITO!$O$427*EFEITO!$AA$427</f>
        <v>0</v>
      </c>
      <c r="P427" s="18"/>
      <c r="Q427" s="18"/>
      <c r="R427" s="18"/>
      <c r="S427" s="18"/>
      <c r="T427" s="18"/>
      <c r="U427" s="18"/>
      <c r="V427" s="18"/>
      <c r="W427" s="18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</row>
    <row r="428" spans="1:36" ht="11.25" customHeight="1" x14ac:dyDescent="0.2">
      <c r="A428" s="74" t="s">
        <v>21</v>
      </c>
      <c r="B428" s="74" t="s">
        <v>22</v>
      </c>
      <c r="C428" s="74" t="s">
        <v>23</v>
      </c>
      <c r="D428" s="74" t="s">
        <v>24</v>
      </c>
      <c r="E428" s="74" t="s">
        <v>32</v>
      </c>
      <c r="F428" s="74" t="s">
        <v>25</v>
      </c>
      <c r="G428" s="74" t="s">
        <v>25</v>
      </c>
      <c r="H428" s="74" t="s">
        <v>25</v>
      </c>
      <c r="I428" s="80">
        <v>44593</v>
      </c>
      <c r="J428" s="81">
        <f>EFEITO!$J$428*EFEITO!$Y$326</f>
        <v>0</v>
      </c>
      <c r="K428" s="81">
        <f ca="1">EFEITO!$L$428*EFEITO!$Z$416</f>
        <v>18618.687142586776</v>
      </c>
      <c r="L428" s="81">
        <f>EFEITO!$N$428*EFEITO!$AA$416</f>
        <v>14909.734077344776</v>
      </c>
      <c r="M428" s="81">
        <f>$J$428-EFEITO!$K$428*EFEITO!$Y$428</f>
        <v>0</v>
      </c>
      <c r="N428" s="81">
        <f ca="1">$K$428-EFEITO!$M$428*EFEITO!$Z$428</f>
        <v>0</v>
      </c>
      <c r="O428" s="81">
        <f>$L$428-EFEITO!$O$428*EFEITO!$AA$428</f>
        <v>0</v>
      </c>
      <c r="P428" s="18"/>
      <c r="Q428" s="18"/>
      <c r="R428" s="18"/>
      <c r="S428" s="18"/>
      <c r="T428" s="18"/>
      <c r="U428" s="18"/>
      <c r="V428" s="18"/>
      <c r="W428" s="18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</row>
    <row r="429" spans="1:36" ht="11.25" customHeight="1" x14ac:dyDescent="0.2">
      <c r="A429" s="74" t="s">
        <v>21</v>
      </c>
      <c r="B429" s="74" t="s">
        <v>22</v>
      </c>
      <c r="C429" s="74" t="s">
        <v>23</v>
      </c>
      <c r="D429" s="74" t="s">
        <v>24</v>
      </c>
      <c r="E429" s="74" t="s">
        <v>32</v>
      </c>
      <c r="F429" s="74" t="s">
        <v>25</v>
      </c>
      <c r="G429" s="74" t="s">
        <v>25</v>
      </c>
      <c r="H429" s="74" t="s">
        <v>25</v>
      </c>
      <c r="I429" s="80">
        <v>44621</v>
      </c>
      <c r="J429" s="81">
        <f>EFEITO!$J$429*EFEITO!$Y$326</f>
        <v>0</v>
      </c>
      <c r="K429" s="81">
        <f ca="1">EFEITO!$L$429*EFEITO!$Z$416</f>
        <v>16574.622405771988</v>
      </c>
      <c r="L429" s="81">
        <f>EFEITO!$N$429*EFEITO!$AA$416</f>
        <v>13272.859176907945</v>
      </c>
      <c r="M429" s="81">
        <f>$J$429-EFEITO!$K$429*EFEITO!$Y$429</f>
        <v>0</v>
      </c>
      <c r="N429" s="81">
        <f ca="1">$K$429-EFEITO!$M$429*EFEITO!$Z$429</f>
        <v>0</v>
      </c>
      <c r="O429" s="81">
        <f>$L$429-EFEITO!$O$429*EFEITO!$AA$429</f>
        <v>0</v>
      </c>
      <c r="P429" s="18"/>
      <c r="Q429" s="18"/>
      <c r="R429" s="18"/>
      <c r="S429" s="18"/>
      <c r="T429" s="18"/>
      <c r="U429" s="18"/>
      <c r="V429" s="18"/>
      <c r="W429" s="18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</row>
    <row r="430" spans="1:36" ht="11.25" customHeight="1" x14ac:dyDescent="0.2">
      <c r="A430" s="74" t="s">
        <v>27</v>
      </c>
      <c r="B430" s="74" t="s">
        <v>22</v>
      </c>
      <c r="C430" s="74" t="s">
        <v>23</v>
      </c>
      <c r="D430" s="74" t="s">
        <v>24</v>
      </c>
      <c r="E430" s="74" t="s">
        <v>32</v>
      </c>
      <c r="F430" s="74" t="s">
        <v>25</v>
      </c>
      <c r="G430" s="74" t="s">
        <v>25</v>
      </c>
      <c r="H430" s="74" t="s">
        <v>25</v>
      </c>
      <c r="I430" s="80">
        <v>44621</v>
      </c>
      <c r="J430" s="81">
        <f>EFEITO!$J$430*EFEITO!$Y$326</f>
        <v>0</v>
      </c>
      <c r="K430" s="81">
        <f ca="1">EFEITO!$L$430*EFEITO!$Z$416</f>
        <v>-431.9024400895928</v>
      </c>
      <c r="L430" s="81">
        <f>EFEITO!$N$430*EFEITO!$AA$416</f>
        <v>-345.86490872188784</v>
      </c>
      <c r="M430" s="81">
        <f>$J$430-EFEITO!$K$430*EFEITO!$Y$430</f>
        <v>0</v>
      </c>
      <c r="N430" s="81">
        <f ca="1">$K$430-EFEITO!$M$430*EFEITO!$Z$430</f>
        <v>0</v>
      </c>
      <c r="O430" s="81">
        <f>$L$430-EFEITO!$O$430*EFEITO!$AA$430</f>
        <v>0</v>
      </c>
      <c r="P430" s="18"/>
      <c r="Q430" s="18"/>
      <c r="R430" s="18"/>
      <c r="S430" s="18"/>
      <c r="T430" s="18"/>
      <c r="U430" s="18"/>
      <c r="V430" s="18"/>
      <c r="W430" s="18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</row>
    <row r="431" spans="1:36" ht="11.25" customHeight="1" x14ac:dyDescent="0.2">
      <c r="A431" s="74" t="s">
        <v>21</v>
      </c>
      <c r="B431" s="74" t="s">
        <v>22</v>
      </c>
      <c r="C431" s="74" t="s">
        <v>23</v>
      </c>
      <c r="D431" s="74" t="s">
        <v>24</v>
      </c>
      <c r="E431" s="74" t="s">
        <v>32</v>
      </c>
      <c r="F431" s="74" t="s">
        <v>25</v>
      </c>
      <c r="G431" s="74" t="s">
        <v>25</v>
      </c>
      <c r="H431" s="74" t="s">
        <v>25</v>
      </c>
      <c r="I431" s="80">
        <v>44652</v>
      </c>
      <c r="J431" s="81">
        <f>EFEITO!$J$431*EFEITO!$Y$326</f>
        <v>0</v>
      </c>
      <c r="K431" s="81">
        <f ca="1">EFEITO!$L$431*EFEITO!$Z$416</f>
        <v>12317.130916964807</v>
      </c>
      <c r="L431" s="81">
        <f>EFEITO!$N$431*EFEITO!$AA$416</f>
        <v>9863.485280212537</v>
      </c>
      <c r="M431" s="81">
        <f>$J$431-EFEITO!$K$431*EFEITO!$Y$431</f>
        <v>0</v>
      </c>
      <c r="N431" s="81">
        <f ca="1">$K$431-EFEITO!$M$431*EFEITO!$Z$431</f>
        <v>0</v>
      </c>
      <c r="O431" s="81">
        <f>$L$431-EFEITO!$O$431*EFEITO!$AA$431</f>
        <v>0</v>
      </c>
      <c r="P431" s="18"/>
      <c r="Q431" s="18"/>
      <c r="R431" s="18"/>
      <c r="S431" s="18"/>
      <c r="T431" s="18"/>
      <c r="U431" s="18"/>
      <c r="V431" s="18"/>
      <c r="W431" s="18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</row>
    <row r="432" spans="1:36" ht="11.25" customHeight="1" x14ac:dyDescent="0.2">
      <c r="A432" s="74" t="s">
        <v>27</v>
      </c>
      <c r="B432" s="74" t="s">
        <v>22</v>
      </c>
      <c r="C432" s="74" t="s">
        <v>23</v>
      </c>
      <c r="D432" s="74" t="s">
        <v>24</v>
      </c>
      <c r="E432" s="74" t="s">
        <v>32</v>
      </c>
      <c r="F432" s="74" t="s">
        <v>25</v>
      </c>
      <c r="G432" s="74" t="s">
        <v>25</v>
      </c>
      <c r="H432" s="74" t="s">
        <v>25</v>
      </c>
      <c r="I432" s="80">
        <v>44652</v>
      </c>
      <c r="J432" s="81">
        <f>EFEITO!$J$432*EFEITO!$Y$326</f>
        <v>0</v>
      </c>
      <c r="K432" s="81">
        <f ca="1">EFEITO!$L$432*EFEITO!$Z$416</f>
        <v>-84.974021455890039</v>
      </c>
      <c r="L432" s="81">
        <f>EFEITO!$N$432*EFEITO!$AA$416</f>
        <v>-68.046691675269656</v>
      </c>
      <c r="M432" s="81">
        <f>$J$432-EFEITO!$K$432*EFEITO!$Y$432</f>
        <v>0</v>
      </c>
      <c r="N432" s="81">
        <f ca="1">$K$432-EFEITO!$M$432*EFEITO!$Z$432</f>
        <v>0</v>
      </c>
      <c r="O432" s="81">
        <f>$L$432-EFEITO!$O$432*EFEITO!$AA$432</f>
        <v>0</v>
      </c>
      <c r="P432" s="18"/>
      <c r="Q432" s="18"/>
      <c r="R432" s="18"/>
      <c r="S432" s="18"/>
      <c r="T432" s="18"/>
      <c r="U432" s="18"/>
      <c r="V432" s="18"/>
      <c r="W432" s="18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</row>
    <row r="433" spans="1:36" ht="11.25" customHeight="1" x14ac:dyDescent="0.2">
      <c r="A433" s="74" t="s">
        <v>21</v>
      </c>
      <c r="B433" s="74" t="s">
        <v>22</v>
      </c>
      <c r="C433" s="74" t="s">
        <v>23</v>
      </c>
      <c r="D433" s="74" t="s">
        <v>24</v>
      </c>
      <c r="E433" s="74" t="s">
        <v>32</v>
      </c>
      <c r="F433" s="74" t="s">
        <v>25</v>
      </c>
      <c r="G433" s="74" t="s">
        <v>25</v>
      </c>
      <c r="H433" s="74" t="s">
        <v>25</v>
      </c>
      <c r="I433" s="80">
        <v>44682</v>
      </c>
      <c r="J433" s="81">
        <f>EFEITO!$J$433*EFEITO!$Y$326</f>
        <v>0</v>
      </c>
      <c r="K433" s="81">
        <f ca="1">EFEITO!$L$433*EFEITO!$Z$416</f>
        <v>8517.6201024181646</v>
      </c>
      <c r="L433" s="81">
        <f>EFEITO!$N$433*EFEITO!$AA$416</f>
        <v>6820.8595872703918</v>
      </c>
      <c r="M433" s="81">
        <f>$J$433-EFEITO!$K$433*EFEITO!$Y$433</f>
        <v>0</v>
      </c>
      <c r="N433" s="81">
        <f ca="1">$K$433-EFEITO!$M$433*EFEITO!$Z$433</f>
        <v>0</v>
      </c>
      <c r="O433" s="81">
        <f>$L$433-EFEITO!$O$433*EFEITO!$AA$433</f>
        <v>0</v>
      </c>
      <c r="P433" s="18"/>
      <c r="Q433" s="18"/>
      <c r="R433" s="18"/>
      <c r="S433" s="18"/>
      <c r="T433" s="18"/>
      <c r="U433" s="18"/>
      <c r="V433" s="18"/>
      <c r="W433" s="18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</row>
    <row r="434" spans="1:36" ht="11.25" customHeight="1" x14ac:dyDescent="0.2">
      <c r="A434" s="74" t="s">
        <v>21</v>
      </c>
      <c r="B434" s="74" t="s">
        <v>22</v>
      </c>
      <c r="C434" s="74" t="s">
        <v>23</v>
      </c>
      <c r="D434" s="74" t="s">
        <v>24</v>
      </c>
      <c r="E434" s="74" t="s">
        <v>32</v>
      </c>
      <c r="F434" s="74" t="s">
        <v>25</v>
      </c>
      <c r="G434" s="74" t="s">
        <v>25</v>
      </c>
      <c r="H434" s="74" t="s">
        <v>25</v>
      </c>
      <c r="I434" s="80">
        <v>44713</v>
      </c>
      <c r="J434" s="81">
        <f>EFEITO!$J$434*EFEITO!$Y$326</f>
        <v>0</v>
      </c>
      <c r="K434" s="81">
        <f ca="1">EFEITO!$L$434*EFEITO!$Z$416</f>
        <v>11346.962003032213</v>
      </c>
      <c r="L434" s="81">
        <f>EFEITO!$N$434*EFEITO!$AA$416</f>
        <v>9086.5797762924758</v>
      </c>
      <c r="M434" s="81">
        <f>$J$434-EFEITO!$K$434*EFEITO!$Y$434</f>
        <v>0</v>
      </c>
      <c r="N434" s="81">
        <f ca="1">$K$434-EFEITO!$M$434*EFEITO!$Z$434</f>
        <v>0</v>
      </c>
      <c r="O434" s="81">
        <f>$L$434-EFEITO!$O$434*EFEITO!$AA$434</f>
        <v>0</v>
      </c>
      <c r="P434" s="18"/>
      <c r="Q434" s="18"/>
      <c r="R434" s="18"/>
      <c r="S434" s="18"/>
      <c r="T434" s="18"/>
      <c r="U434" s="18"/>
      <c r="V434" s="18"/>
      <c r="W434" s="18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</row>
    <row r="435" spans="1:36" ht="11.25" customHeight="1" x14ac:dyDescent="0.2">
      <c r="A435" s="74" t="s">
        <v>55</v>
      </c>
      <c r="B435" s="74" t="s">
        <v>22</v>
      </c>
      <c r="C435" s="74" t="s">
        <v>23</v>
      </c>
      <c r="D435" s="74" t="s">
        <v>24</v>
      </c>
      <c r="E435" s="74" t="s">
        <v>32</v>
      </c>
      <c r="F435" s="74" t="s">
        <v>25</v>
      </c>
      <c r="G435" s="74" t="s">
        <v>25</v>
      </c>
      <c r="H435" s="74" t="s">
        <v>25</v>
      </c>
      <c r="I435" s="80">
        <v>44743</v>
      </c>
      <c r="J435" s="81">
        <f>EFEITO!$J$435*EFEITO!$Y$326</f>
        <v>0</v>
      </c>
      <c r="K435" s="81">
        <f ca="1">EFEITO!$L$435*EFEITO!$Z$416</f>
        <v>11346.962003032213</v>
      </c>
      <c r="L435" s="81">
        <f>EFEITO!$N$435*EFEITO!$AA$416</f>
        <v>9086.5797762924758</v>
      </c>
      <c r="M435" s="81">
        <f>$J$435-EFEITO!$K$435*EFEITO!$Y$435</f>
        <v>0</v>
      </c>
      <c r="N435" s="81">
        <f ca="1">$K$435-EFEITO!$M$435*EFEITO!$Z$435</f>
        <v>0</v>
      </c>
      <c r="O435" s="81">
        <f>$L$435-EFEITO!$O$435*EFEITO!$AA$435</f>
        <v>0</v>
      </c>
      <c r="P435" s="18"/>
      <c r="Q435" s="18"/>
      <c r="R435" s="18"/>
      <c r="S435" s="18"/>
      <c r="T435" s="18"/>
      <c r="U435" s="18"/>
      <c r="V435" s="18"/>
      <c r="W435" s="18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</row>
    <row r="436" spans="1:36" ht="11.25" customHeight="1" x14ac:dyDescent="0.2">
      <c r="A436" s="74" t="s">
        <v>21</v>
      </c>
      <c r="B436" s="74" t="s">
        <v>41</v>
      </c>
      <c r="C436" s="74" t="s">
        <v>23</v>
      </c>
      <c r="D436" s="74" t="s">
        <v>42</v>
      </c>
      <c r="E436" s="74" t="s">
        <v>52</v>
      </c>
      <c r="F436" s="74" t="s">
        <v>53</v>
      </c>
      <c r="G436" s="74" t="s">
        <v>25</v>
      </c>
      <c r="H436" s="74" t="s">
        <v>25</v>
      </c>
      <c r="I436" s="80">
        <v>44409</v>
      </c>
      <c r="J436" s="81">
        <f>EFEITO!$J$436*EFEITO!$Y$326</f>
        <v>0</v>
      </c>
      <c r="K436" s="81">
        <f ca="1">EFEITO!$L$436*EFEITO!$Z$326</f>
        <v>1032.2783489431445</v>
      </c>
      <c r="L436" s="81">
        <f>EFEITO!$N$436*EFEITO!$AA$326</f>
        <v>580.03938559057451</v>
      </c>
      <c r="M436" s="81">
        <f>$J$436-EFEITO!$K$436*EFEITO!$Y$436</f>
        <v>0</v>
      </c>
      <c r="N436" s="81">
        <f ca="1">$K$436-EFEITO!$M$436*EFEITO!$Z$436</f>
        <v>61.936700936588636</v>
      </c>
      <c r="O436" s="81">
        <f>$L$436-EFEITO!$O$436*EFEITO!$AA$436</f>
        <v>34.802363135434575</v>
      </c>
      <c r="P436" s="18"/>
      <c r="Q436" s="18"/>
      <c r="R436" s="18"/>
      <c r="S436" s="18"/>
      <c r="T436" s="18"/>
      <c r="U436" s="18"/>
      <c r="V436" s="18"/>
      <c r="W436" s="18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</row>
    <row r="437" spans="1:36" ht="11.25" customHeight="1" x14ac:dyDescent="0.2">
      <c r="A437" s="74" t="s">
        <v>21</v>
      </c>
      <c r="B437" s="74" t="s">
        <v>41</v>
      </c>
      <c r="C437" s="74" t="s">
        <v>23</v>
      </c>
      <c r="D437" s="74" t="s">
        <v>42</v>
      </c>
      <c r="E437" s="74" t="s">
        <v>52</v>
      </c>
      <c r="F437" s="74" t="s">
        <v>53</v>
      </c>
      <c r="G437" s="74" t="s">
        <v>25</v>
      </c>
      <c r="H437" s="74" t="s">
        <v>25</v>
      </c>
      <c r="I437" s="80">
        <v>44440</v>
      </c>
      <c r="J437" s="81">
        <f>EFEITO!$J$437*EFEITO!$Y$326</f>
        <v>0</v>
      </c>
      <c r="K437" s="81">
        <f ca="1">EFEITO!$L$437*EFEITO!$Z$326</f>
        <v>1540.4833451663674</v>
      </c>
      <c r="L437" s="81">
        <f>EFEITO!$N$437*EFEITO!$AA$326</f>
        <v>865.6008468623096</v>
      </c>
      <c r="M437" s="81">
        <f>$J$437-EFEITO!$K$437*EFEITO!$Y$437</f>
        <v>0</v>
      </c>
      <c r="N437" s="81">
        <f ca="1">$K$437-EFEITO!$M$437*EFEITO!$Z$437</f>
        <v>92.42900070998212</v>
      </c>
      <c r="O437" s="81">
        <f>$L$437-EFEITO!$O$437*EFEITO!$AA$437</f>
        <v>51.936050811738596</v>
      </c>
      <c r="P437" s="18"/>
      <c r="Q437" s="18"/>
      <c r="R437" s="18"/>
      <c r="S437" s="18"/>
      <c r="T437" s="18"/>
      <c r="U437" s="18"/>
      <c r="V437" s="18"/>
      <c r="W437" s="18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</row>
    <row r="438" spans="1:36" ht="11.25" customHeight="1" x14ac:dyDescent="0.2">
      <c r="A438" s="74" t="s">
        <v>21</v>
      </c>
      <c r="B438" s="74" t="s">
        <v>41</v>
      </c>
      <c r="C438" s="74" t="s">
        <v>23</v>
      </c>
      <c r="D438" s="74" t="s">
        <v>42</v>
      </c>
      <c r="E438" s="74" t="s">
        <v>52</v>
      </c>
      <c r="F438" s="74" t="s">
        <v>53</v>
      </c>
      <c r="G438" s="74" t="s">
        <v>25</v>
      </c>
      <c r="H438" s="74" t="s">
        <v>25</v>
      </c>
      <c r="I438" s="80">
        <v>44470</v>
      </c>
      <c r="J438" s="81">
        <f>EFEITO!$J$438*EFEITO!$Y$326</f>
        <v>0</v>
      </c>
      <c r="K438" s="81">
        <f ca="1">EFEITO!$L$438*EFEITO!$Z$326</f>
        <v>642.25084978744189</v>
      </c>
      <c r="L438" s="81">
        <f>EFEITO!$N$438*EFEITO!$AA$326</f>
        <v>360.88210964332671</v>
      </c>
      <c r="M438" s="81">
        <f>$J$438-EFEITO!$K$438*EFEITO!$Y$438</f>
        <v>0</v>
      </c>
      <c r="N438" s="81">
        <f ca="1">$K$438-EFEITO!$M$438*EFEITO!$Z$438</f>
        <v>38.535050987246564</v>
      </c>
      <c r="O438" s="81">
        <f>$L$438-EFEITO!$O$438*EFEITO!$AA$438</f>
        <v>21.652926578599647</v>
      </c>
      <c r="P438" s="18"/>
      <c r="Q438" s="18"/>
      <c r="R438" s="18"/>
      <c r="S438" s="18"/>
      <c r="T438" s="18"/>
      <c r="U438" s="18"/>
      <c r="V438" s="18"/>
      <c r="W438" s="18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</row>
    <row r="439" spans="1:36" ht="11.25" customHeight="1" x14ac:dyDescent="0.2">
      <c r="A439" s="74" t="s">
        <v>21</v>
      </c>
      <c r="B439" s="74" t="s">
        <v>41</v>
      </c>
      <c r="C439" s="74" t="s">
        <v>23</v>
      </c>
      <c r="D439" s="74" t="s">
        <v>42</v>
      </c>
      <c r="E439" s="74" t="s">
        <v>52</v>
      </c>
      <c r="F439" s="74" t="s">
        <v>53</v>
      </c>
      <c r="G439" s="74" t="s">
        <v>25</v>
      </c>
      <c r="H439" s="74" t="s">
        <v>25</v>
      </c>
      <c r="I439" s="80">
        <v>44501</v>
      </c>
      <c r="J439" s="81">
        <f>EFEITO!$J$439*EFEITO!$Y$326</f>
        <v>0</v>
      </c>
      <c r="K439" s="81">
        <f ca="1">EFEITO!$L$439*EFEITO!$Z$326</f>
        <v>1138.7633728025708</v>
      </c>
      <c r="L439" s="81">
        <f>EFEITO!$N$439*EFEITO!$AA$326</f>
        <v>639.87354551193232</v>
      </c>
      <c r="M439" s="81">
        <f>$J$439-EFEITO!$K$439*EFEITO!$Y$439</f>
        <v>0</v>
      </c>
      <c r="N439" s="81">
        <f ca="1">$K$439-EFEITO!$M$439*EFEITO!$Z$439</f>
        <v>68.3258023681542</v>
      </c>
      <c r="O439" s="81">
        <f>$L$439-EFEITO!$O$439*EFEITO!$AA$439</f>
        <v>38.392412730716046</v>
      </c>
      <c r="P439" s="18"/>
      <c r="Q439" s="18"/>
      <c r="R439" s="18"/>
      <c r="S439" s="18"/>
      <c r="T439" s="18"/>
      <c r="U439" s="18"/>
      <c r="V439" s="18"/>
      <c r="W439" s="18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</row>
    <row r="440" spans="1:36" ht="11.25" customHeight="1" x14ac:dyDescent="0.2">
      <c r="A440" s="74" t="s">
        <v>21</v>
      </c>
      <c r="B440" s="74" t="s">
        <v>41</v>
      </c>
      <c r="C440" s="74" t="s">
        <v>23</v>
      </c>
      <c r="D440" s="74" t="s">
        <v>42</v>
      </c>
      <c r="E440" s="74" t="s">
        <v>52</v>
      </c>
      <c r="F440" s="74" t="s">
        <v>53</v>
      </c>
      <c r="G440" s="74" t="s">
        <v>25</v>
      </c>
      <c r="H440" s="74" t="s">
        <v>25</v>
      </c>
      <c r="I440" s="80">
        <v>44531</v>
      </c>
      <c r="J440" s="81">
        <f>EFEITO!$J$440*EFEITO!$Y$326</f>
        <v>0</v>
      </c>
      <c r="K440" s="81">
        <f ca="1">EFEITO!$L$440*EFEITO!$Z$326</f>
        <v>3430.0705332601092</v>
      </c>
      <c r="L440" s="81">
        <f>EFEITO!$N$440*EFEITO!$AA$326</f>
        <v>1927.3638807609138</v>
      </c>
      <c r="M440" s="81">
        <f>$J$440-EFEITO!$K$440*EFEITO!$Y$440</f>
        <v>0</v>
      </c>
      <c r="N440" s="81">
        <f ca="1">$K$440-EFEITO!$M$440*EFEITO!$Z$440</f>
        <v>205.80423199560664</v>
      </c>
      <c r="O440" s="81">
        <f>$L$440-EFEITO!$O$440*EFEITO!$AA$440</f>
        <v>115.64183284565502</v>
      </c>
      <c r="P440" s="18"/>
      <c r="Q440" s="18"/>
      <c r="R440" s="18"/>
      <c r="S440" s="18"/>
      <c r="T440" s="18"/>
      <c r="U440" s="18"/>
      <c r="V440" s="18"/>
      <c r="W440" s="18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</row>
    <row r="441" spans="1:36" ht="11.25" customHeight="1" x14ac:dyDescent="0.2">
      <c r="A441" s="74" t="s">
        <v>27</v>
      </c>
      <c r="B441" s="74" t="s">
        <v>41</v>
      </c>
      <c r="C441" s="74" t="s">
        <v>23</v>
      </c>
      <c r="D441" s="74" t="s">
        <v>42</v>
      </c>
      <c r="E441" s="74" t="s">
        <v>52</v>
      </c>
      <c r="F441" s="74" t="s">
        <v>53</v>
      </c>
      <c r="G441" s="74" t="s">
        <v>25</v>
      </c>
      <c r="H441" s="74" t="s">
        <v>25</v>
      </c>
      <c r="I441" s="80">
        <v>44531</v>
      </c>
      <c r="J441" s="81">
        <f>EFEITO!$J$441*EFEITO!$Y$326</f>
        <v>0</v>
      </c>
      <c r="K441" s="81">
        <f ca="1">EFEITO!$L$441*EFEITO!$Z$326</f>
        <v>-356.20284451800256</v>
      </c>
      <c r="L441" s="81">
        <f>EFEITO!$N$441*EFEITO!$AA$326</f>
        <v>-200.15113103105179</v>
      </c>
      <c r="M441" s="81">
        <f>$J$441-EFEITO!$K$441*EFEITO!$Y$441</f>
        <v>0</v>
      </c>
      <c r="N441" s="81">
        <f ca="1">$K$441-EFEITO!$M$441*EFEITO!$Z$441</f>
        <v>-21.372170671080198</v>
      </c>
      <c r="O441" s="81">
        <f>$L$441-EFEITO!$O$441*EFEITO!$AA$441</f>
        <v>-12.009067861863116</v>
      </c>
      <c r="P441" s="18"/>
      <c r="Q441" s="18"/>
      <c r="R441" s="18"/>
      <c r="S441" s="18"/>
      <c r="T441" s="18"/>
      <c r="U441" s="18"/>
      <c r="V441" s="18"/>
      <c r="W441" s="18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</row>
    <row r="442" spans="1:36" ht="11.25" customHeight="1" x14ac:dyDescent="0.2">
      <c r="A442" s="74" t="s">
        <v>21</v>
      </c>
      <c r="B442" s="74" t="s">
        <v>41</v>
      </c>
      <c r="C442" s="74" t="s">
        <v>23</v>
      </c>
      <c r="D442" s="74" t="s">
        <v>42</v>
      </c>
      <c r="E442" s="74" t="s">
        <v>52</v>
      </c>
      <c r="F442" s="74" t="s">
        <v>53</v>
      </c>
      <c r="G442" s="74" t="s">
        <v>25</v>
      </c>
      <c r="H442" s="74" t="s">
        <v>25</v>
      </c>
      <c r="I442" s="80">
        <v>44562</v>
      </c>
      <c r="J442" s="81">
        <f>EFEITO!$J$442*EFEITO!$Y$326</f>
        <v>0</v>
      </c>
      <c r="K442" s="81">
        <f ca="1">EFEITO!$L$442*EFEITO!$Z$326</f>
        <v>2130.1180655173871</v>
      </c>
      <c r="L442" s="81">
        <f>EFEITO!$N$442*EFEITO!$AA$326</f>
        <v>1196.9178421915535</v>
      </c>
      <c r="M442" s="81">
        <f>$J$442-EFEITO!$K$442*EFEITO!$Y$442</f>
        <v>0</v>
      </c>
      <c r="N442" s="81">
        <f ca="1">$K$442-EFEITO!$M$442*EFEITO!$Z$442</f>
        <v>127.80708393104351</v>
      </c>
      <c r="O442" s="81">
        <f>$L$442-EFEITO!$O$442*EFEITO!$AA$442</f>
        <v>71.815070531493348</v>
      </c>
      <c r="P442" s="18"/>
      <c r="Q442" s="18"/>
      <c r="R442" s="18"/>
      <c r="S442" s="18"/>
      <c r="T442" s="18"/>
      <c r="U442" s="18"/>
      <c r="V442" s="18"/>
      <c r="W442" s="18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</row>
    <row r="443" spans="1:36" ht="11.25" customHeight="1" x14ac:dyDescent="0.2">
      <c r="A443" s="74" t="s">
        <v>27</v>
      </c>
      <c r="B443" s="74" t="s">
        <v>41</v>
      </c>
      <c r="C443" s="74" t="s">
        <v>23</v>
      </c>
      <c r="D443" s="74" t="s">
        <v>42</v>
      </c>
      <c r="E443" s="74" t="s">
        <v>52</v>
      </c>
      <c r="F443" s="74" t="s">
        <v>53</v>
      </c>
      <c r="G443" s="74" t="s">
        <v>25</v>
      </c>
      <c r="H443" s="74" t="s">
        <v>25</v>
      </c>
      <c r="I443" s="80">
        <v>44562</v>
      </c>
      <c r="J443" s="81">
        <f>EFEITO!$J$443*EFEITO!$Y$326</f>
        <v>0</v>
      </c>
      <c r="K443" s="81">
        <f ca="1">EFEITO!$L$443*EFEITO!$Z$326</f>
        <v>-1096.5869515876609</v>
      </c>
      <c r="L443" s="81">
        <f>EFEITO!$N$443*EFEITO!$AA$326</f>
        <v>-616.17452530778667</v>
      </c>
      <c r="M443" s="81">
        <f>$J$443-EFEITO!$K$443*EFEITO!$Y$443</f>
        <v>0</v>
      </c>
      <c r="N443" s="81">
        <f ca="1">$K$443-EFEITO!$M$443*EFEITO!$Z$443</f>
        <v>-65.795217095259886</v>
      </c>
      <c r="O443" s="81">
        <f>$L$443-EFEITO!$O$443*EFEITO!$AA$443</f>
        <v>-36.97047151846732</v>
      </c>
      <c r="P443" s="18"/>
      <c r="Q443" s="18"/>
      <c r="R443" s="18"/>
      <c r="S443" s="18"/>
      <c r="T443" s="18"/>
      <c r="U443" s="18"/>
      <c r="V443" s="18"/>
      <c r="W443" s="18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</row>
    <row r="444" spans="1:36" ht="11.25" customHeight="1" x14ac:dyDescent="0.2">
      <c r="A444" s="74" t="s">
        <v>21</v>
      </c>
      <c r="B444" s="74" t="s">
        <v>41</v>
      </c>
      <c r="C444" s="74" t="s">
        <v>23</v>
      </c>
      <c r="D444" s="74" t="s">
        <v>42</v>
      </c>
      <c r="E444" s="74" t="s">
        <v>52</v>
      </c>
      <c r="F444" s="74" t="s">
        <v>53</v>
      </c>
      <c r="G444" s="74" t="s">
        <v>25</v>
      </c>
      <c r="H444" s="74" t="s">
        <v>25</v>
      </c>
      <c r="I444" s="80">
        <v>44593</v>
      </c>
      <c r="J444" s="81">
        <f>EFEITO!$J$444*EFEITO!$Y$326</f>
        <v>0</v>
      </c>
      <c r="K444" s="81">
        <f ca="1">EFEITO!$L$444*EFEITO!$Z$326</f>
        <v>1719.2111499186594</v>
      </c>
      <c r="L444" s="81">
        <f>EFEITO!$N$444*EFEITO!$AA$326</f>
        <v>966.02837802443173</v>
      </c>
      <c r="M444" s="81">
        <f>$J$444-EFEITO!$K$444*EFEITO!$Y$444</f>
        <v>0</v>
      </c>
      <c r="N444" s="81">
        <f ca="1">$K$444-EFEITO!$M$444*EFEITO!$Z$444</f>
        <v>103.15266899511971</v>
      </c>
      <c r="O444" s="81">
        <f>$L$444-EFEITO!$O$444*EFEITO!$AA$444</f>
        <v>57.961702681466022</v>
      </c>
      <c r="P444" s="18"/>
      <c r="Q444" s="18"/>
      <c r="R444" s="18"/>
      <c r="S444" s="18"/>
      <c r="T444" s="18"/>
      <c r="U444" s="18"/>
      <c r="V444" s="18"/>
      <c r="W444" s="18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</row>
    <row r="445" spans="1:36" ht="11.25" customHeight="1" x14ac:dyDescent="0.2">
      <c r="A445" s="74" t="s">
        <v>21</v>
      </c>
      <c r="B445" s="74" t="s">
        <v>41</v>
      </c>
      <c r="C445" s="74" t="s">
        <v>23</v>
      </c>
      <c r="D445" s="74" t="s">
        <v>42</v>
      </c>
      <c r="E445" s="74" t="s">
        <v>52</v>
      </c>
      <c r="F445" s="74" t="s">
        <v>53</v>
      </c>
      <c r="G445" s="74" t="s">
        <v>25</v>
      </c>
      <c r="H445" s="74" t="s">
        <v>25</v>
      </c>
      <c r="I445" s="80">
        <v>44621</v>
      </c>
      <c r="J445" s="81">
        <f>EFEITO!$J$445*EFEITO!$Y$326</f>
        <v>0</v>
      </c>
      <c r="K445" s="81">
        <f ca="1">EFEITO!$L$445*EFEITO!$Z$326</f>
        <v>647.67949806262834</v>
      </c>
      <c r="L445" s="81">
        <f>EFEITO!$N$445*EFEITO!$AA$326</f>
        <v>363.93247858049392</v>
      </c>
      <c r="M445" s="81">
        <f>$J$445-EFEITO!$K$445*EFEITO!$Y$445</f>
        <v>0</v>
      </c>
      <c r="N445" s="81">
        <f ca="1">$K$445-EFEITO!$M$445*EFEITO!$Z$445</f>
        <v>38.860769883757825</v>
      </c>
      <c r="O445" s="81">
        <f>$L$445-EFEITO!$O$445*EFEITO!$AA$445</f>
        <v>21.835948714829669</v>
      </c>
      <c r="P445" s="18"/>
      <c r="Q445" s="18"/>
      <c r="R445" s="18"/>
      <c r="S445" s="18"/>
      <c r="T445" s="18"/>
      <c r="U445" s="18"/>
      <c r="V445" s="18"/>
      <c r="W445" s="18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</row>
    <row r="446" spans="1:36" ht="11.25" customHeight="1" x14ac:dyDescent="0.2">
      <c r="A446" s="74" t="s">
        <v>21</v>
      </c>
      <c r="B446" s="74" t="s">
        <v>41</v>
      </c>
      <c r="C446" s="74" t="s">
        <v>23</v>
      </c>
      <c r="D446" s="74" t="s">
        <v>42</v>
      </c>
      <c r="E446" s="74" t="s">
        <v>52</v>
      </c>
      <c r="F446" s="74" t="s">
        <v>53</v>
      </c>
      <c r="G446" s="74" t="s">
        <v>25</v>
      </c>
      <c r="H446" s="74" t="s">
        <v>25</v>
      </c>
      <c r="I446" s="80">
        <v>44652</v>
      </c>
      <c r="J446" s="81">
        <f>EFEITO!$J$446*EFEITO!$Y$326</f>
        <v>0</v>
      </c>
      <c r="K446" s="81">
        <f ca="1">EFEITO!$L$446*EFEITO!$Z$326</f>
        <v>495.67734635740806</v>
      </c>
      <c r="L446" s="81">
        <f>EFEITO!$N$446*EFEITO!$AA$326</f>
        <v>278.52214833981066</v>
      </c>
      <c r="M446" s="81">
        <f>$J$446-EFEITO!$K$446*EFEITO!$Y$446</f>
        <v>0</v>
      </c>
      <c r="N446" s="81">
        <f ca="1">$K$446-EFEITO!$M$446*EFEITO!$Z$446</f>
        <v>29.74064078144454</v>
      </c>
      <c r="O446" s="81">
        <f>$L$446-EFEITO!$O$446*EFEITO!$AA$446</f>
        <v>16.711328900388651</v>
      </c>
      <c r="P446" s="18"/>
      <c r="Q446" s="18"/>
      <c r="R446" s="18"/>
      <c r="S446" s="18"/>
      <c r="T446" s="18"/>
      <c r="U446" s="18"/>
      <c r="V446" s="18"/>
      <c r="W446" s="18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</row>
    <row r="447" spans="1:36" ht="11.25" customHeight="1" x14ac:dyDescent="0.2">
      <c r="A447" s="74" t="s">
        <v>21</v>
      </c>
      <c r="B447" s="74" t="s">
        <v>41</v>
      </c>
      <c r="C447" s="74" t="s">
        <v>23</v>
      </c>
      <c r="D447" s="74" t="s">
        <v>42</v>
      </c>
      <c r="E447" s="74" t="s">
        <v>52</v>
      </c>
      <c r="F447" s="74" t="s">
        <v>53</v>
      </c>
      <c r="G447" s="74" t="s">
        <v>25</v>
      </c>
      <c r="H447" s="74" t="s">
        <v>25</v>
      </c>
      <c r="I447" s="80">
        <v>44682</v>
      </c>
      <c r="J447" s="81">
        <f>EFEITO!$J$447*EFEITO!$Y$326</f>
        <v>0</v>
      </c>
      <c r="K447" s="81">
        <f ca="1">EFEITO!$L$447*EFEITO!$Z$326</f>
        <v>114.00161377891524</v>
      </c>
      <c r="L447" s="81">
        <f>EFEITO!$N$447*EFEITO!$AA$326</f>
        <v>64.057747680512477</v>
      </c>
      <c r="M447" s="81">
        <f>$J$447-EFEITO!$K$447*EFEITO!$Y$447</f>
        <v>0</v>
      </c>
      <c r="N447" s="81">
        <f ca="1">$K$447-EFEITO!$M$447*EFEITO!$Z$447</f>
        <v>6.8400968267349214</v>
      </c>
      <c r="O447" s="81">
        <f>$L$447-EFEITO!$O$447*EFEITO!$AA$447</f>
        <v>3.8434648608307498</v>
      </c>
      <c r="P447" s="18"/>
      <c r="Q447" s="18"/>
      <c r="R447" s="18"/>
      <c r="S447" s="18"/>
      <c r="T447" s="18"/>
      <c r="U447" s="18"/>
      <c r="V447" s="18"/>
      <c r="W447" s="18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</row>
    <row r="448" spans="1:36" ht="11.25" customHeight="1" x14ac:dyDescent="0.2">
      <c r="A448" s="74" t="s">
        <v>27</v>
      </c>
      <c r="B448" s="74" t="s">
        <v>41</v>
      </c>
      <c r="C448" s="74" t="s">
        <v>23</v>
      </c>
      <c r="D448" s="74" t="s">
        <v>42</v>
      </c>
      <c r="E448" s="74" t="s">
        <v>52</v>
      </c>
      <c r="F448" s="74" t="s">
        <v>53</v>
      </c>
      <c r="G448" s="74" t="s">
        <v>25</v>
      </c>
      <c r="H448" s="74" t="s">
        <v>25</v>
      </c>
      <c r="I448" s="80">
        <v>44682</v>
      </c>
      <c r="J448" s="81">
        <f>EFEITO!$J$448*EFEITO!$Y$326</f>
        <v>0</v>
      </c>
      <c r="K448" s="81">
        <f ca="1">EFEITO!$L$448*EFEITO!$Z$326</f>
        <v>-140.30967849712647</v>
      </c>
      <c r="L448" s="81">
        <f>EFEITO!$N$448*EFEITO!$AA$326</f>
        <v>-78.840304837553816</v>
      </c>
      <c r="M448" s="81">
        <f>$J$448-EFEITO!$K$448*EFEITO!$Y$448</f>
        <v>0</v>
      </c>
      <c r="N448" s="81">
        <f ca="1">$K$448-EFEITO!$M$448*EFEITO!$Z$448</f>
        <v>-8.4185807098276086</v>
      </c>
      <c r="O448" s="81">
        <f>$L$448-EFEITO!$O$448*EFEITO!$AA$448</f>
        <v>-4.7304182902532261</v>
      </c>
      <c r="P448" s="18"/>
      <c r="Q448" s="18"/>
      <c r="R448" s="18"/>
      <c r="S448" s="18"/>
      <c r="T448" s="18"/>
      <c r="U448" s="18"/>
      <c r="V448" s="18"/>
      <c r="W448" s="18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</row>
    <row r="449" spans="1:36" ht="11.25" customHeight="1" x14ac:dyDescent="0.2">
      <c r="A449" s="74" t="s">
        <v>21</v>
      </c>
      <c r="B449" s="74" t="s">
        <v>41</v>
      </c>
      <c r="C449" s="74" t="s">
        <v>23</v>
      </c>
      <c r="D449" s="74" t="s">
        <v>42</v>
      </c>
      <c r="E449" s="74" t="s">
        <v>52</v>
      </c>
      <c r="F449" s="74" t="s">
        <v>53</v>
      </c>
      <c r="G449" s="74" t="s">
        <v>25</v>
      </c>
      <c r="H449" s="74" t="s">
        <v>25</v>
      </c>
      <c r="I449" s="80">
        <v>44713</v>
      </c>
      <c r="J449" s="81">
        <f>EFEITO!$J$449*EFEITO!$Y$326</f>
        <v>0</v>
      </c>
      <c r="K449" s="81">
        <f ca="1">EFEITO!$L$449*EFEITO!$Z$326</f>
        <v>73.913134208307682</v>
      </c>
      <c r="L449" s="81">
        <f>EFEITO!$N$449*EFEITO!$AA$326</f>
        <v>41.531946298354242</v>
      </c>
      <c r="M449" s="81">
        <f>$J$449-EFEITO!$K$449*EFEITO!$Y$449</f>
        <v>0</v>
      </c>
      <c r="N449" s="81">
        <f ca="1">$K$449-EFEITO!$M$449*EFEITO!$Z$449</f>
        <v>4.434788052498476</v>
      </c>
      <c r="O449" s="81">
        <f>$L$449-EFEITO!$O$449*EFEITO!$AA$449</f>
        <v>2.4919167779012596</v>
      </c>
      <c r="P449" s="18"/>
      <c r="Q449" s="18"/>
      <c r="R449" s="18"/>
      <c r="S449" s="18"/>
      <c r="T449" s="18"/>
      <c r="U449" s="18"/>
      <c r="V449" s="18"/>
      <c r="W449" s="18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</row>
    <row r="450" spans="1:36" ht="11.25" customHeight="1" x14ac:dyDescent="0.2">
      <c r="A450" s="74" t="s">
        <v>55</v>
      </c>
      <c r="B450" s="74" t="s">
        <v>41</v>
      </c>
      <c r="C450" s="74" t="s">
        <v>23</v>
      </c>
      <c r="D450" s="74" t="s">
        <v>42</v>
      </c>
      <c r="E450" s="74" t="s">
        <v>52</v>
      </c>
      <c r="F450" s="74" t="s">
        <v>53</v>
      </c>
      <c r="G450" s="74" t="s">
        <v>25</v>
      </c>
      <c r="H450" s="74" t="s">
        <v>25</v>
      </c>
      <c r="I450" s="80">
        <v>44743</v>
      </c>
      <c r="J450" s="81">
        <f>EFEITO!$J$450*EFEITO!$Y$326</f>
        <v>0</v>
      </c>
      <c r="K450" s="81">
        <f ca="1">EFEITO!$L$450*EFEITO!$Z$326</f>
        <v>73.913134208307682</v>
      </c>
      <c r="L450" s="81">
        <f>EFEITO!$N$450*EFEITO!$AA$326</f>
        <v>41.531946298354242</v>
      </c>
      <c r="M450" s="81">
        <f>$J$450-EFEITO!$K$450*EFEITO!$Y$450</f>
        <v>0</v>
      </c>
      <c r="N450" s="81">
        <f ca="1">$K$450-EFEITO!$M$450*EFEITO!$Z$450</f>
        <v>4.434788052498476</v>
      </c>
      <c r="O450" s="81">
        <f>$L$450-EFEITO!$O$450*EFEITO!$AA$450</f>
        <v>2.4919167779012596</v>
      </c>
      <c r="P450" s="18"/>
      <c r="Q450" s="18"/>
      <c r="R450" s="18"/>
      <c r="S450" s="18"/>
      <c r="T450" s="18"/>
      <c r="U450" s="18"/>
      <c r="V450" s="18"/>
      <c r="W450" s="18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</row>
    <row r="451" spans="1:36" ht="11.25" customHeight="1" x14ac:dyDescent="0.2">
      <c r="A451" s="74" t="s">
        <v>21</v>
      </c>
      <c r="B451" s="74" t="s">
        <v>41</v>
      </c>
      <c r="C451" s="74" t="s">
        <v>23</v>
      </c>
      <c r="D451" s="74" t="s">
        <v>42</v>
      </c>
      <c r="E451" s="74" t="s">
        <v>52</v>
      </c>
      <c r="F451" s="74" t="s">
        <v>54</v>
      </c>
      <c r="G451" s="74" t="s">
        <v>25</v>
      </c>
      <c r="H451" s="74" t="s">
        <v>25</v>
      </c>
      <c r="I451" s="80">
        <v>44409</v>
      </c>
      <c r="J451" s="81">
        <f>EFEITO!$J$451*EFEITO!$Y$326</f>
        <v>0</v>
      </c>
      <c r="K451" s="81">
        <f ca="1">EFEITO!$L$451*EFEITO!$Z$326</f>
        <v>548.29347579383045</v>
      </c>
      <c r="L451" s="81">
        <f>EFEITO!$N$451*EFEITO!$AA$326</f>
        <v>308.08726265389333</v>
      </c>
      <c r="M451" s="81">
        <f>$J$451-EFEITO!$K$451*EFEITO!$Y$451</f>
        <v>0</v>
      </c>
      <c r="N451" s="81">
        <f ca="1">$K$451-EFEITO!$M$451*EFEITO!$Z$451</f>
        <v>342.13512889535025</v>
      </c>
      <c r="O451" s="81">
        <f>$L$451-EFEITO!$O$451*EFEITO!$AA$451</f>
        <v>192.24645189602944</v>
      </c>
      <c r="P451" s="18"/>
      <c r="Q451" s="18"/>
      <c r="R451" s="18"/>
      <c r="S451" s="18"/>
      <c r="T451" s="18"/>
      <c r="U451" s="18"/>
      <c r="V451" s="18"/>
      <c r="W451" s="18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</row>
    <row r="452" spans="1:36" ht="11.25" customHeight="1" x14ac:dyDescent="0.2">
      <c r="A452" s="74" t="s">
        <v>21</v>
      </c>
      <c r="B452" s="74" t="s">
        <v>41</v>
      </c>
      <c r="C452" s="74" t="s">
        <v>23</v>
      </c>
      <c r="D452" s="74" t="s">
        <v>42</v>
      </c>
      <c r="E452" s="74" t="s">
        <v>52</v>
      </c>
      <c r="F452" s="74" t="s">
        <v>54</v>
      </c>
      <c r="G452" s="74" t="s">
        <v>25</v>
      </c>
      <c r="H452" s="74" t="s">
        <v>25</v>
      </c>
      <c r="I452" s="80">
        <v>44440</v>
      </c>
      <c r="J452" s="81">
        <f>EFEITO!$J$452*EFEITO!$Y$326</f>
        <v>0</v>
      </c>
      <c r="K452" s="81">
        <f ca="1">EFEITO!$L$452*EFEITO!$Z$326</f>
        <v>735.3730471233323</v>
      </c>
      <c r="L452" s="81">
        <f>EFEITO!$N$452*EFEITO!$AA$326</f>
        <v>413.20766910396503</v>
      </c>
      <c r="M452" s="81">
        <f>$J$452-EFEITO!$K$452*EFEITO!$Y$452</f>
        <v>0</v>
      </c>
      <c r="N452" s="81">
        <f ca="1">$K$452-EFEITO!$M$452*EFEITO!$Z$452</f>
        <v>458.87278140495937</v>
      </c>
      <c r="O452" s="81">
        <f>$L$452-EFEITO!$O$452*EFEITO!$AA$452</f>
        <v>257.84158552087416</v>
      </c>
      <c r="P452" s="18"/>
      <c r="Q452" s="18"/>
      <c r="R452" s="18"/>
      <c r="S452" s="18"/>
      <c r="T452" s="18"/>
      <c r="U452" s="18"/>
      <c r="V452" s="18"/>
      <c r="W452" s="18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</row>
    <row r="453" spans="1:36" ht="11.25" customHeight="1" x14ac:dyDescent="0.2">
      <c r="A453" s="74" t="s">
        <v>21</v>
      </c>
      <c r="B453" s="74" t="s">
        <v>41</v>
      </c>
      <c r="C453" s="74" t="s">
        <v>23</v>
      </c>
      <c r="D453" s="74" t="s">
        <v>42</v>
      </c>
      <c r="E453" s="74" t="s">
        <v>52</v>
      </c>
      <c r="F453" s="74" t="s">
        <v>54</v>
      </c>
      <c r="G453" s="74" t="s">
        <v>25</v>
      </c>
      <c r="H453" s="74" t="s">
        <v>25</v>
      </c>
      <c r="I453" s="80">
        <v>44470</v>
      </c>
      <c r="J453" s="81">
        <f>EFEITO!$J$453*EFEITO!$Y$326</f>
        <v>0</v>
      </c>
      <c r="K453" s="81">
        <f ca="1">EFEITO!$L$453*EFEITO!$Z$326</f>
        <v>344.92795963876915</v>
      </c>
      <c r="L453" s="81">
        <f>EFEITO!$N$453*EFEITO!$AA$326</f>
        <v>193.81574939231979</v>
      </c>
      <c r="M453" s="81">
        <f>$J$453-EFEITO!$K$453*EFEITO!$Y$453</f>
        <v>0</v>
      </c>
      <c r="N453" s="81">
        <f ca="1">$K$453-EFEITO!$M$453*EFEITO!$Z$453</f>
        <v>215.23504681459195</v>
      </c>
      <c r="O453" s="81">
        <f>$L$453-EFEITO!$O$453*EFEITO!$AA$453</f>
        <v>120.94102762080755</v>
      </c>
      <c r="P453" s="18"/>
      <c r="Q453" s="18"/>
      <c r="R453" s="18"/>
      <c r="S453" s="18"/>
      <c r="T453" s="18"/>
      <c r="U453" s="18"/>
      <c r="V453" s="18"/>
      <c r="W453" s="18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</row>
    <row r="454" spans="1:36" ht="11.25" customHeight="1" x14ac:dyDescent="0.2">
      <c r="A454" s="74" t="s">
        <v>21</v>
      </c>
      <c r="B454" s="74" t="s">
        <v>41</v>
      </c>
      <c r="C454" s="74" t="s">
        <v>23</v>
      </c>
      <c r="D454" s="74" t="s">
        <v>42</v>
      </c>
      <c r="E454" s="74" t="s">
        <v>52</v>
      </c>
      <c r="F454" s="74" t="s">
        <v>54</v>
      </c>
      <c r="G454" s="74" t="s">
        <v>25</v>
      </c>
      <c r="H454" s="74" t="s">
        <v>25</v>
      </c>
      <c r="I454" s="80">
        <v>44501</v>
      </c>
      <c r="J454" s="81">
        <f>EFEITO!$J$454*EFEITO!$Y$326</f>
        <v>0</v>
      </c>
      <c r="K454" s="81">
        <f ca="1">EFEITO!$L$454*EFEITO!$Z$326</f>
        <v>659.37197127072216</v>
      </c>
      <c r="L454" s="81">
        <f>EFEITO!$N$454*EFEITO!$AA$326</f>
        <v>370.5025039836234</v>
      </c>
      <c r="M454" s="81">
        <f>$J$454-EFEITO!$K$454*EFEITO!$Y$454</f>
        <v>0</v>
      </c>
      <c r="N454" s="81">
        <f ca="1">$K$454-EFEITO!$M$454*EFEITO!$Z$454</f>
        <v>411.4481100729306</v>
      </c>
      <c r="O454" s="81">
        <f>$L$454-EFEITO!$O$454*EFEITO!$AA$454</f>
        <v>231.193562485781</v>
      </c>
      <c r="P454" s="18"/>
      <c r="Q454" s="18"/>
      <c r="R454" s="18"/>
      <c r="S454" s="18"/>
      <c r="T454" s="18"/>
      <c r="U454" s="18"/>
      <c r="V454" s="18"/>
      <c r="W454" s="18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</row>
    <row r="455" spans="1:36" ht="11.25" customHeight="1" x14ac:dyDescent="0.2">
      <c r="A455" s="74" t="s">
        <v>21</v>
      </c>
      <c r="B455" s="74" t="s">
        <v>41</v>
      </c>
      <c r="C455" s="74" t="s">
        <v>23</v>
      </c>
      <c r="D455" s="74" t="s">
        <v>42</v>
      </c>
      <c r="E455" s="74" t="s">
        <v>52</v>
      </c>
      <c r="F455" s="74" t="s">
        <v>54</v>
      </c>
      <c r="G455" s="74" t="s">
        <v>25</v>
      </c>
      <c r="H455" s="74" t="s">
        <v>25</v>
      </c>
      <c r="I455" s="80">
        <v>44531</v>
      </c>
      <c r="J455" s="81">
        <f>EFEITO!$J$455*EFEITO!$Y$326</f>
        <v>0</v>
      </c>
      <c r="K455" s="81">
        <f ca="1">EFEITO!$L$455*EFEITO!$Z$326</f>
        <v>1337.1178290113062</v>
      </c>
      <c r="L455" s="81">
        <f>EFEITO!$N$455*EFEITO!$AA$326</f>
        <v>751.32933360073605</v>
      </c>
      <c r="M455" s="81">
        <f>$J$455-EFEITO!$K$455*EFEITO!$Y$455</f>
        <v>0</v>
      </c>
      <c r="N455" s="81">
        <f ca="1">$K$455-EFEITO!$M$455*EFEITO!$Z$455</f>
        <v>834.36152530305515</v>
      </c>
      <c r="O455" s="81">
        <f>$L$455-EFEITO!$O$455*EFEITO!$AA$455</f>
        <v>468.82950416685935</v>
      </c>
      <c r="P455" s="18"/>
      <c r="Q455" s="18"/>
      <c r="R455" s="18"/>
      <c r="S455" s="18"/>
      <c r="T455" s="18"/>
      <c r="U455" s="18"/>
      <c r="V455" s="18"/>
      <c r="W455" s="18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</row>
    <row r="456" spans="1:36" ht="11.25" customHeight="1" x14ac:dyDescent="0.2">
      <c r="A456" s="74" t="s">
        <v>27</v>
      </c>
      <c r="B456" s="74" t="s">
        <v>41</v>
      </c>
      <c r="C456" s="74" t="s">
        <v>23</v>
      </c>
      <c r="D456" s="74" t="s">
        <v>42</v>
      </c>
      <c r="E456" s="74" t="s">
        <v>52</v>
      </c>
      <c r="F456" s="74" t="s">
        <v>54</v>
      </c>
      <c r="G456" s="74" t="s">
        <v>25</v>
      </c>
      <c r="H456" s="74" t="s">
        <v>25</v>
      </c>
      <c r="I456" s="80">
        <v>44531</v>
      </c>
      <c r="J456" s="81">
        <f>EFEITO!$J$456*EFEITO!$Y$326</f>
        <v>0</v>
      </c>
      <c r="K456" s="81">
        <f ca="1">EFEITO!$L$456*EFEITO!$Z$326</f>
        <v>33.407066308839632</v>
      </c>
      <c r="L456" s="81">
        <f>EFEITO!$N$456*EFEITO!$AA$326</f>
        <v>18.771501151798528</v>
      </c>
      <c r="M456" s="81">
        <f>$J$456-EFEITO!$K$456*EFEITO!$Y$456</f>
        <v>0</v>
      </c>
      <c r="N456" s="81">
        <f ca="1">$K$456-EFEITO!$M$456*EFEITO!$Z$456</f>
        <v>20.846009376715934</v>
      </c>
      <c r="O456" s="81">
        <f>$L$456-EFEITO!$O$456*EFEITO!$AA$456</f>
        <v>11.713416718722282</v>
      </c>
      <c r="P456" s="18"/>
      <c r="Q456" s="18"/>
      <c r="R456" s="18"/>
      <c r="S456" s="18"/>
      <c r="T456" s="18"/>
      <c r="U456" s="18"/>
      <c r="V456" s="18"/>
      <c r="W456" s="18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</row>
    <row r="457" spans="1:36" ht="11.25" customHeight="1" x14ac:dyDescent="0.2">
      <c r="A457" s="74" t="s">
        <v>21</v>
      </c>
      <c r="B457" s="74" t="s">
        <v>41</v>
      </c>
      <c r="C457" s="74" t="s">
        <v>23</v>
      </c>
      <c r="D457" s="74" t="s">
        <v>42</v>
      </c>
      <c r="E457" s="74" t="s">
        <v>52</v>
      </c>
      <c r="F457" s="74" t="s">
        <v>54</v>
      </c>
      <c r="G457" s="74" t="s">
        <v>25</v>
      </c>
      <c r="H457" s="74" t="s">
        <v>25</v>
      </c>
      <c r="I457" s="80">
        <v>44562</v>
      </c>
      <c r="J457" s="81">
        <f>EFEITO!$J$457*EFEITO!$Y$326</f>
        <v>0</v>
      </c>
      <c r="K457" s="81">
        <f ca="1">EFEITO!$L$457*EFEITO!$Z$326</f>
        <v>1259.0288115143937</v>
      </c>
      <c r="L457" s="81">
        <f>EFEITO!$N$457*EFEITO!$AA$326</f>
        <v>707.45094965840701</v>
      </c>
      <c r="M457" s="81">
        <f>$J$457-EFEITO!$K$457*EFEITO!$Y$457</f>
        <v>0</v>
      </c>
      <c r="N457" s="81">
        <f ca="1">$K$457-EFEITO!$M$457*EFEITO!$Z$457</f>
        <v>785.63397838498179</v>
      </c>
      <c r="O457" s="81">
        <f>$L$457-EFEITO!$O$457*EFEITO!$AA$457</f>
        <v>441.44939258684599</v>
      </c>
      <c r="P457" s="18"/>
      <c r="Q457" s="18"/>
      <c r="R457" s="18"/>
      <c r="S457" s="18"/>
      <c r="T457" s="18"/>
      <c r="U457" s="18"/>
      <c r="V457" s="18"/>
      <c r="W457" s="18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</row>
    <row r="458" spans="1:36" ht="11.25" customHeight="1" x14ac:dyDescent="0.2">
      <c r="A458" s="74" t="s">
        <v>21</v>
      </c>
      <c r="B458" s="74" t="s">
        <v>41</v>
      </c>
      <c r="C458" s="74" t="s">
        <v>23</v>
      </c>
      <c r="D458" s="74" t="s">
        <v>42</v>
      </c>
      <c r="E458" s="74" t="s">
        <v>52</v>
      </c>
      <c r="F458" s="74" t="s">
        <v>54</v>
      </c>
      <c r="G458" s="74" t="s">
        <v>25</v>
      </c>
      <c r="H458" s="74" t="s">
        <v>25</v>
      </c>
      <c r="I458" s="80">
        <v>44593</v>
      </c>
      <c r="J458" s="81">
        <f>EFEITO!$J$458*EFEITO!$Y$326</f>
        <v>0</v>
      </c>
      <c r="K458" s="81">
        <f ca="1">EFEITO!$L$458*EFEITO!$Z$326</f>
        <v>1071.9492401848918</v>
      </c>
      <c r="L458" s="81">
        <f>EFEITO!$N$458*EFEITO!$AA$326</f>
        <v>602.33054320833526</v>
      </c>
      <c r="M458" s="81">
        <f>$J$458-EFEITO!$K$458*EFEITO!$Y$458</f>
        <v>0</v>
      </c>
      <c r="N458" s="81">
        <f ca="1">$K$458-EFEITO!$M$458*EFEITO!$Z$458</f>
        <v>668.89632587537267</v>
      </c>
      <c r="O458" s="81">
        <f>$L$458-EFEITO!$O$458*EFEITO!$AA$458</f>
        <v>375.85425896200127</v>
      </c>
      <c r="P458" s="18"/>
      <c r="Q458" s="18"/>
      <c r="R458" s="18"/>
      <c r="S458" s="18"/>
      <c r="T458" s="18"/>
      <c r="U458" s="18"/>
      <c r="V458" s="18"/>
      <c r="W458" s="18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</row>
    <row r="459" spans="1:36" ht="11.25" customHeight="1" x14ac:dyDescent="0.2">
      <c r="A459" s="74" t="s">
        <v>21</v>
      </c>
      <c r="B459" s="74" t="s">
        <v>41</v>
      </c>
      <c r="C459" s="74" t="s">
        <v>23</v>
      </c>
      <c r="D459" s="74" t="s">
        <v>42</v>
      </c>
      <c r="E459" s="74" t="s">
        <v>52</v>
      </c>
      <c r="F459" s="74" t="s">
        <v>54</v>
      </c>
      <c r="G459" s="74" t="s">
        <v>25</v>
      </c>
      <c r="H459" s="74" t="s">
        <v>25</v>
      </c>
      <c r="I459" s="80">
        <v>44621</v>
      </c>
      <c r="J459" s="81">
        <f>EFEITO!$J$459*EFEITO!$Y$326</f>
        <v>0</v>
      </c>
      <c r="K459" s="81">
        <f ca="1">EFEITO!$L$459*EFEITO!$Z$326</f>
        <v>152.00215170522031</v>
      </c>
      <c r="L459" s="81">
        <f>EFEITO!$N$459*EFEITO!$AA$326</f>
        <v>85.410330240683294</v>
      </c>
      <c r="M459" s="81">
        <f>$J$459-EFEITO!$K$459*EFEITO!$Y$459</f>
        <v>0</v>
      </c>
      <c r="N459" s="81">
        <f ca="1">$K$459-EFEITO!$M$459*EFEITO!$Z$459</f>
        <v>94.849342664057474</v>
      </c>
      <c r="O459" s="81">
        <f>$L$459-EFEITO!$O$459*EFEITO!$AA$459</f>
        <v>53.296046070186371</v>
      </c>
      <c r="P459" s="18"/>
      <c r="Q459" s="18"/>
      <c r="R459" s="18"/>
      <c r="S459" s="18"/>
      <c r="T459" s="18"/>
      <c r="U459" s="18"/>
      <c r="V459" s="18"/>
      <c r="W459" s="18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</row>
    <row r="460" spans="1:36" ht="11.25" customHeight="1" x14ac:dyDescent="0.2">
      <c r="A460" s="74" t="s">
        <v>21</v>
      </c>
      <c r="B460" s="74" t="s">
        <v>41</v>
      </c>
      <c r="C460" s="74" t="s">
        <v>23</v>
      </c>
      <c r="D460" s="74" t="s">
        <v>42</v>
      </c>
      <c r="E460" s="74" t="s">
        <v>52</v>
      </c>
      <c r="F460" s="74" t="s">
        <v>54</v>
      </c>
      <c r="G460" s="74" t="s">
        <v>25</v>
      </c>
      <c r="H460" s="74" t="s">
        <v>25</v>
      </c>
      <c r="I460" s="80">
        <v>44652</v>
      </c>
      <c r="J460" s="81">
        <f>EFEITO!$J$460*EFEITO!$Y$326</f>
        <v>0</v>
      </c>
      <c r="K460" s="81">
        <f ca="1">EFEITO!$L$460*EFEITO!$Z$326</f>
        <v>12.110061536954367</v>
      </c>
      <c r="L460" s="81">
        <f>EFEITO!$N$460*EFEITO!$AA$326</f>
        <v>6.8046691675269662</v>
      </c>
      <c r="M460" s="81">
        <f>$J$460-EFEITO!$K$460*EFEITO!$Y$460</f>
        <v>0</v>
      </c>
      <c r="N460" s="81">
        <f ca="1">$K$460-EFEITO!$M$460*EFEITO!$Z$460</f>
        <v>7.5566783990595265</v>
      </c>
      <c r="O460" s="81">
        <f>$L$460-EFEITO!$O$460*EFEITO!$AA$460</f>
        <v>4.246113560536827</v>
      </c>
      <c r="P460" s="18"/>
      <c r="Q460" s="18"/>
      <c r="R460" s="18"/>
      <c r="S460" s="18"/>
      <c r="T460" s="18"/>
      <c r="U460" s="18"/>
      <c r="V460" s="18"/>
      <c r="W460" s="18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</row>
    <row r="461" spans="1:36" ht="11.25" customHeight="1" x14ac:dyDescent="0.2">
      <c r="A461" s="74" t="s">
        <v>21</v>
      </c>
      <c r="B461" s="74" t="s">
        <v>41</v>
      </c>
      <c r="C461" s="74" t="s">
        <v>23</v>
      </c>
      <c r="D461" s="74" t="s">
        <v>42</v>
      </c>
      <c r="E461" s="74" t="s">
        <v>52</v>
      </c>
      <c r="F461" s="74" t="s">
        <v>54</v>
      </c>
      <c r="G461" s="74" t="s">
        <v>25</v>
      </c>
      <c r="H461" s="74" t="s">
        <v>25</v>
      </c>
      <c r="I461" s="80">
        <v>44682</v>
      </c>
      <c r="J461" s="81">
        <f>EFEITO!$J$461*EFEITO!$Y$326</f>
        <v>0</v>
      </c>
      <c r="K461" s="81">
        <f ca="1">EFEITO!$L$461*EFEITO!$Z$326</f>
        <v>11.274884879233376</v>
      </c>
      <c r="L461" s="81">
        <f>EFEITO!$N$461*EFEITO!$AA$326</f>
        <v>6.3353816387320032</v>
      </c>
      <c r="M461" s="81">
        <f>$J$461-EFEITO!$K$461*EFEITO!$Y$461</f>
        <v>0</v>
      </c>
      <c r="N461" s="81">
        <f ca="1">$K$461-EFEITO!$M$461*EFEITO!$Z$461</f>
        <v>7.0355281646416268</v>
      </c>
      <c r="O461" s="81">
        <f>$L$461-EFEITO!$O$461*EFEITO!$AA$461</f>
        <v>3.9532781425687702</v>
      </c>
      <c r="P461" s="18"/>
      <c r="Q461" s="18"/>
      <c r="R461" s="18"/>
      <c r="S461" s="18"/>
      <c r="T461" s="18"/>
      <c r="U461" s="18"/>
      <c r="V461" s="18"/>
      <c r="W461" s="18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</row>
    <row r="462" spans="1:36" ht="11.25" customHeight="1" x14ac:dyDescent="0.2">
      <c r="A462" s="74" t="s">
        <v>27</v>
      </c>
      <c r="B462" s="74" t="s">
        <v>41</v>
      </c>
      <c r="C462" s="74" t="s">
        <v>23</v>
      </c>
      <c r="D462" s="74" t="s">
        <v>42</v>
      </c>
      <c r="E462" s="74" t="s">
        <v>52</v>
      </c>
      <c r="F462" s="74" t="s">
        <v>54</v>
      </c>
      <c r="G462" s="74" t="s">
        <v>25</v>
      </c>
      <c r="H462" s="74" t="s">
        <v>25</v>
      </c>
      <c r="I462" s="80">
        <v>44682</v>
      </c>
      <c r="J462" s="81">
        <f>EFEITO!$J$462*EFEITO!$Y$326</f>
        <v>0</v>
      </c>
      <c r="K462" s="81">
        <f ca="1">EFEITO!$L$462*EFEITO!$Z$326</f>
        <v>37.582949597444582</v>
      </c>
      <c r="L462" s="81">
        <f>EFEITO!$N$462*EFEITO!$AA$326</f>
        <v>21.117938795773341</v>
      </c>
      <c r="M462" s="81">
        <f>$J$462-EFEITO!$K$462*EFEITO!$Y$462</f>
        <v>0</v>
      </c>
      <c r="N462" s="81">
        <f ca="1">$K$462-EFEITO!$M$462*EFEITO!$Z$462</f>
        <v>23.451760548805421</v>
      </c>
      <c r="O462" s="81">
        <f>$L$462-EFEITO!$O$462*EFEITO!$AA$462</f>
        <v>13.177593808562566</v>
      </c>
      <c r="P462" s="18"/>
      <c r="Q462" s="18"/>
      <c r="R462" s="18"/>
      <c r="S462" s="18"/>
      <c r="T462" s="18"/>
      <c r="U462" s="18"/>
      <c r="V462" s="18"/>
      <c r="W462" s="18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</row>
    <row r="463" spans="1:36" ht="11.25" customHeight="1" x14ac:dyDescent="0.2">
      <c r="A463" s="74" t="s">
        <v>21</v>
      </c>
      <c r="B463" s="74" t="s">
        <v>41</v>
      </c>
      <c r="C463" s="74" t="s">
        <v>23</v>
      </c>
      <c r="D463" s="74" t="s">
        <v>42</v>
      </c>
      <c r="E463" s="74" t="s">
        <v>52</v>
      </c>
      <c r="F463" s="74" t="s">
        <v>54</v>
      </c>
      <c r="G463" s="74" t="s">
        <v>25</v>
      </c>
      <c r="H463" s="74" t="s">
        <v>25</v>
      </c>
      <c r="I463" s="80">
        <v>44713</v>
      </c>
      <c r="J463" s="81">
        <f>EFEITO!$J$463*EFEITO!$Y$326</f>
        <v>0</v>
      </c>
      <c r="K463" s="81">
        <f ca="1">EFEITO!$L$463*EFEITO!$Z$326</f>
        <v>9.6045315637913937</v>
      </c>
      <c r="L463" s="81">
        <f>EFEITO!$N$463*EFEITO!$AA$326</f>
        <v>5.3968065811420765</v>
      </c>
      <c r="M463" s="81">
        <f>$J$463-EFEITO!$K$463*EFEITO!$Y$463</f>
        <v>0</v>
      </c>
      <c r="N463" s="81">
        <f ca="1">$K$463-EFEITO!$M$463*EFEITO!$Z$463</f>
        <v>5.9932276958058299</v>
      </c>
      <c r="O463" s="81">
        <f>$L$463-EFEITO!$O$463*EFEITO!$AA$463</f>
        <v>3.3676073066326557</v>
      </c>
      <c r="P463" s="18"/>
      <c r="Q463" s="18"/>
      <c r="R463" s="18"/>
      <c r="S463" s="18"/>
      <c r="T463" s="18"/>
      <c r="U463" s="18"/>
      <c r="V463" s="18"/>
      <c r="W463" s="18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</row>
    <row r="464" spans="1:36" ht="11.25" customHeight="1" x14ac:dyDescent="0.2">
      <c r="A464" s="74" t="s">
        <v>55</v>
      </c>
      <c r="B464" s="74" t="s">
        <v>41</v>
      </c>
      <c r="C464" s="74" t="s">
        <v>23</v>
      </c>
      <c r="D464" s="74" t="s">
        <v>42</v>
      </c>
      <c r="E464" s="74" t="s">
        <v>52</v>
      </c>
      <c r="F464" s="74" t="s">
        <v>54</v>
      </c>
      <c r="G464" s="74" t="s">
        <v>25</v>
      </c>
      <c r="H464" s="74" t="s">
        <v>25</v>
      </c>
      <c r="I464" s="80">
        <v>44743</v>
      </c>
      <c r="J464" s="81">
        <f>EFEITO!$J$464*EFEITO!$Y$326</f>
        <v>0</v>
      </c>
      <c r="K464" s="81">
        <f ca="1">EFEITO!$L$464*EFEITO!$Z$326</f>
        <v>9.6045315637913937</v>
      </c>
      <c r="L464" s="81">
        <f>EFEITO!$N$464*EFEITO!$AA$326</f>
        <v>5.3968065811420765</v>
      </c>
      <c r="M464" s="81">
        <f>$J$464-EFEITO!$K$464*EFEITO!$Y$464</f>
        <v>0</v>
      </c>
      <c r="N464" s="81">
        <f ca="1">$K$464-EFEITO!$M$464*EFEITO!$Z$464</f>
        <v>5.9932276958058299</v>
      </c>
      <c r="O464" s="81">
        <f>$L$464-EFEITO!$O$464*EFEITO!$AA$464</f>
        <v>3.3676073066326557</v>
      </c>
      <c r="P464" s="18"/>
      <c r="Q464" s="18"/>
      <c r="R464" s="18"/>
      <c r="S464" s="18"/>
      <c r="T464" s="18"/>
      <c r="U464" s="18"/>
      <c r="V464" s="18"/>
      <c r="W464" s="18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</row>
    <row r="465" spans="1:36" ht="11.25" customHeight="1" x14ac:dyDescent="0.2">
      <c r="A465" s="74" t="s">
        <v>21</v>
      </c>
      <c r="B465" s="74" t="s">
        <v>41</v>
      </c>
      <c r="C465" s="74" t="s">
        <v>23</v>
      </c>
      <c r="D465" s="74" t="s">
        <v>42</v>
      </c>
      <c r="E465" s="74" t="s">
        <v>25</v>
      </c>
      <c r="F465" s="74" t="s">
        <v>25</v>
      </c>
      <c r="G465" s="74" t="s">
        <v>25</v>
      </c>
      <c r="H465" s="74" t="s">
        <v>25</v>
      </c>
      <c r="I465" s="80">
        <v>44409</v>
      </c>
      <c r="J465" s="81">
        <f>EFEITO!$J$465*EFEITO!$Y$326</f>
        <v>0</v>
      </c>
      <c r="K465" s="81">
        <f ca="1">EFEITO!$L$465*EFEITO!$Z$326</f>
        <v>313626.79127237306</v>
      </c>
      <c r="L465" s="81">
        <f>EFEITO!$N$465*EFEITO!$AA$326</f>
        <v>176227.55674437777</v>
      </c>
      <c r="M465" s="81">
        <f>$J$465-EFEITO!$K$465*EFEITO!$Y$465</f>
        <v>0</v>
      </c>
      <c r="N465" s="81">
        <f ca="1">$K$465-EFEITO!$M$465*EFEITO!$Z$465</f>
        <v>18817.607476342411</v>
      </c>
      <c r="O465" s="81">
        <f>$L$465-EFEITO!$O$465*EFEITO!$AA$465</f>
        <v>10573.653404662677</v>
      </c>
      <c r="P465" s="18"/>
      <c r="Q465" s="18"/>
      <c r="R465" s="18"/>
      <c r="S465" s="18"/>
      <c r="T465" s="18"/>
      <c r="U465" s="18"/>
      <c r="V465" s="18"/>
      <c r="W465" s="18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</row>
    <row r="466" spans="1:36" ht="11.25" customHeight="1" x14ac:dyDescent="0.2">
      <c r="A466" s="74" t="s">
        <v>27</v>
      </c>
      <c r="B466" s="74" t="s">
        <v>41</v>
      </c>
      <c r="C466" s="74" t="s">
        <v>23</v>
      </c>
      <c r="D466" s="74" t="s">
        <v>42</v>
      </c>
      <c r="E466" s="74" t="s">
        <v>25</v>
      </c>
      <c r="F466" s="74" t="s">
        <v>25</v>
      </c>
      <c r="G466" s="74" t="s">
        <v>25</v>
      </c>
      <c r="H466" s="74" t="s">
        <v>25</v>
      </c>
      <c r="I466" s="80">
        <v>44409</v>
      </c>
      <c r="J466" s="81">
        <f>EFEITO!$J$466*EFEITO!$Y$326</f>
        <v>0</v>
      </c>
      <c r="K466" s="81">
        <f ca="1">EFEITO!$L$466*EFEITO!$Z$326</f>
        <v>-533.26029595485261</v>
      </c>
      <c r="L466" s="81">
        <f>EFEITO!$N$466*EFEITO!$AA$326</f>
        <v>-299.640087135584</v>
      </c>
      <c r="M466" s="81">
        <f>$J$466-EFEITO!$K$466*EFEITO!$Y$466</f>
        <v>0</v>
      </c>
      <c r="N466" s="81">
        <f ca="1">$K$466-EFEITO!$M$466*EFEITO!$Z$466</f>
        <v>-31.995617757291257</v>
      </c>
      <c r="O466" s="81">
        <f>$L$466-EFEITO!$O$466*EFEITO!$AA$466</f>
        <v>-17.978405228135102</v>
      </c>
      <c r="P466" s="18"/>
      <c r="Q466" s="18"/>
      <c r="R466" s="18"/>
      <c r="S466" s="18"/>
      <c r="T466" s="18"/>
      <c r="U466" s="18"/>
      <c r="V466" s="18"/>
      <c r="W466" s="18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</row>
    <row r="467" spans="1:36" ht="11.25" customHeight="1" x14ac:dyDescent="0.2">
      <c r="A467" s="74" t="s">
        <v>28</v>
      </c>
      <c r="B467" s="74" t="s">
        <v>41</v>
      </c>
      <c r="C467" s="74" t="s">
        <v>23</v>
      </c>
      <c r="D467" s="74" t="s">
        <v>42</v>
      </c>
      <c r="E467" s="74" t="s">
        <v>25</v>
      </c>
      <c r="F467" s="74" t="s">
        <v>25</v>
      </c>
      <c r="G467" s="74" t="s">
        <v>25</v>
      </c>
      <c r="H467" s="74" t="s">
        <v>25</v>
      </c>
      <c r="I467" s="80">
        <v>44409</v>
      </c>
      <c r="J467" s="81">
        <f>EFEITO!$J$467*EFEITO!$Y$326</f>
        <v>0</v>
      </c>
      <c r="K467" s="81">
        <f ca="1">EFEITO!$L$467*EFEITO!$Z$326</f>
        <v>2679.2467179689384</v>
      </c>
      <c r="L467" s="81">
        <f>EFEITO!$N$467*EFEITO!$AA$326</f>
        <v>1505.4743923742419</v>
      </c>
      <c r="M467" s="81">
        <f>$J$467-EFEITO!$K$467*EFEITO!$Y$467</f>
        <v>0</v>
      </c>
      <c r="N467" s="81">
        <f ca="1">$K$467-EFEITO!$M$467*EFEITO!$Z$467</f>
        <v>160.75480307813632</v>
      </c>
      <c r="O467" s="81">
        <f>$L$467-EFEITO!$O$467*EFEITO!$AA$467</f>
        <v>90.328463542454529</v>
      </c>
      <c r="P467" s="18"/>
      <c r="Q467" s="18"/>
      <c r="R467" s="18"/>
      <c r="S467" s="18"/>
      <c r="T467" s="18"/>
      <c r="U467" s="18"/>
      <c r="V467" s="18"/>
      <c r="W467" s="18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</row>
    <row r="468" spans="1:36" ht="11.25" customHeight="1" x14ac:dyDescent="0.2">
      <c r="A468" s="74" t="s">
        <v>21</v>
      </c>
      <c r="B468" s="74" t="s">
        <v>41</v>
      </c>
      <c r="C468" s="74" t="s">
        <v>23</v>
      </c>
      <c r="D468" s="74" t="s">
        <v>42</v>
      </c>
      <c r="E468" s="74" t="s">
        <v>25</v>
      </c>
      <c r="F468" s="74" t="s">
        <v>25</v>
      </c>
      <c r="G468" s="74" t="s">
        <v>25</v>
      </c>
      <c r="H468" s="74" t="s">
        <v>25</v>
      </c>
      <c r="I468" s="80">
        <v>44440</v>
      </c>
      <c r="J468" s="81">
        <f>EFEITO!$J$468*EFEITO!$Y$326</f>
        <v>0</v>
      </c>
      <c r="K468" s="81">
        <f ca="1">EFEITO!$L$468*EFEITO!$Z$326</f>
        <v>385196.0021907867</v>
      </c>
      <c r="L468" s="81">
        <f>EFEITO!$N$468*EFEITO!$AA$326</f>
        <v>216442.44759316894</v>
      </c>
      <c r="M468" s="81">
        <f>$J$468-EFEITO!$K$468*EFEITO!$Y$468</f>
        <v>0</v>
      </c>
      <c r="N468" s="81">
        <f ca="1">$K$468-EFEITO!$M$468*EFEITO!$Z$468</f>
        <v>23111.760131447227</v>
      </c>
      <c r="O468" s="81">
        <f>$L$468-EFEITO!$O$468*EFEITO!$AA$468</f>
        <v>12986.546855590161</v>
      </c>
      <c r="P468" s="18"/>
      <c r="Q468" s="18"/>
      <c r="R468" s="18"/>
      <c r="S468" s="18"/>
      <c r="T468" s="18"/>
      <c r="U468" s="18"/>
      <c r="V468" s="18"/>
      <c r="W468" s="18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</row>
    <row r="469" spans="1:36" ht="11.25" customHeight="1" x14ac:dyDescent="0.2">
      <c r="A469" s="74" t="s">
        <v>27</v>
      </c>
      <c r="B469" s="74" t="s">
        <v>41</v>
      </c>
      <c r="C469" s="74" t="s">
        <v>23</v>
      </c>
      <c r="D469" s="74" t="s">
        <v>42</v>
      </c>
      <c r="E469" s="74" t="s">
        <v>25</v>
      </c>
      <c r="F469" s="74" t="s">
        <v>25</v>
      </c>
      <c r="G469" s="74" t="s">
        <v>25</v>
      </c>
      <c r="H469" s="74" t="s">
        <v>25</v>
      </c>
      <c r="I469" s="80">
        <v>44440</v>
      </c>
      <c r="J469" s="81">
        <f>EFEITO!$J$469*EFEITO!$Y$326</f>
        <v>0</v>
      </c>
      <c r="K469" s="81">
        <f ca="1">EFEITO!$L$469*EFEITO!$Z$326</f>
        <v>-207.54139944366619</v>
      </c>
      <c r="L469" s="81">
        <f>EFEITO!$N$469*EFEITO!$AA$326</f>
        <v>-116.61795090554835</v>
      </c>
      <c r="M469" s="81">
        <f>$J$469-EFEITO!$K$469*EFEITO!$Y$469</f>
        <v>0</v>
      </c>
      <c r="N469" s="81">
        <f ca="1">$K$469-EFEITO!$M$469*EFEITO!$Z$469</f>
        <v>-12.45248396661998</v>
      </c>
      <c r="O469" s="81">
        <f>$L$469-EFEITO!$O$469*EFEITO!$AA$469</f>
        <v>-6.9970770543329195</v>
      </c>
      <c r="P469" s="18"/>
      <c r="Q469" s="18"/>
      <c r="R469" s="18"/>
      <c r="S469" s="18"/>
      <c r="T469" s="18"/>
      <c r="U469" s="18"/>
      <c r="V469" s="18"/>
      <c r="W469" s="18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</row>
    <row r="470" spans="1:36" ht="11.25" customHeight="1" x14ac:dyDescent="0.2">
      <c r="A470" s="74" t="s">
        <v>28</v>
      </c>
      <c r="B470" s="74" t="s">
        <v>41</v>
      </c>
      <c r="C470" s="74" t="s">
        <v>23</v>
      </c>
      <c r="D470" s="74" t="s">
        <v>42</v>
      </c>
      <c r="E470" s="74" t="s">
        <v>25</v>
      </c>
      <c r="F470" s="74" t="s">
        <v>25</v>
      </c>
      <c r="G470" s="74" t="s">
        <v>25</v>
      </c>
      <c r="H470" s="74" t="s">
        <v>25</v>
      </c>
      <c r="I470" s="80">
        <v>44440</v>
      </c>
      <c r="J470" s="81">
        <f>EFEITO!$J$470*EFEITO!$Y$326</f>
        <v>0</v>
      </c>
      <c r="K470" s="81">
        <f ca="1">EFEITO!$L$470*EFEITO!$Z$326</f>
        <v>3475.1700727770422</v>
      </c>
      <c r="L470" s="81">
        <f>EFEITO!$N$470*EFEITO!$AA$326</f>
        <v>1952.7054073158415</v>
      </c>
      <c r="M470" s="81">
        <f>$J$470-EFEITO!$K$470*EFEITO!$Y$470</f>
        <v>0</v>
      </c>
      <c r="N470" s="81">
        <f ca="1">$K$470-EFEITO!$M$470*EFEITO!$Z$470</f>
        <v>208.51020436662293</v>
      </c>
      <c r="O470" s="81">
        <f>$L$470-EFEITO!$O$470*EFEITO!$AA$470</f>
        <v>117.16232443895046</v>
      </c>
      <c r="P470" s="18"/>
      <c r="Q470" s="18"/>
      <c r="R470" s="18"/>
      <c r="S470" s="18"/>
      <c r="T470" s="18"/>
      <c r="U470" s="18"/>
      <c r="V470" s="18"/>
      <c r="W470" s="18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</row>
    <row r="471" spans="1:36" ht="11.25" customHeight="1" x14ac:dyDescent="0.2">
      <c r="A471" s="74" t="s">
        <v>21</v>
      </c>
      <c r="B471" s="74" t="s">
        <v>41</v>
      </c>
      <c r="C471" s="74" t="s">
        <v>23</v>
      </c>
      <c r="D471" s="74" t="s">
        <v>42</v>
      </c>
      <c r="E471" s="74" t="s">
        <v>25</v>
      </c>
      <c r="F471" s="74" t="s">
        <v>25</v>
      </c>
      <c r="G471" s="74" t="s">
        <v>25</v>
      </c>
      <c r="H471" s="74" t="s">
        <v>25</v>
      </c>
      <c r="I471" s="80">
        <v>44470</v>
      </c>
      <c r="J471" s="81">
        <f>EFEITO!$J$471*EFEITO!$Y$326</f>
        <v>0</v>
      </c>
      <c r="K471" s="81">
        <f ca="1">EFEITO!$L$471*EFEITO!$Z$326</f>
        <v>482062.29648324038</v>
      </c>
      <c r="L471" s="81">
        <f>EFEITO!$N$471*EFEITO!$AA$326</f>
        <v>270871.82304539514</v>
      </c>
      <c r="M471" s="81">
        <f>$J$471-EFEITO!$K$471*EFEITO!$Y$471</f>
        <v>0</v>
      </c>
      <c r="N471" s="81">
        <f ca="1">$K$471-EFEITO!$M$471*EFEITO!$Z$471</f>
        <v>28923.737788994447</v>
      </c>
      <c r="O471" s="81">
        <f>$L$471-EFEITO!$O$471*EFEITO!$AA$471</f>
        <v>16252.309382723732</v>
      </c>
      <c r="P471" s="18"/>
      <c r="Q471" s="18"/>
      <c r="R471" s="18"/>
      <c r="S471" s="18"/>
      <c r="T471" s="18"/>
      <c r="U471" s="18"/>
      <c r="V471" s="18"/>
      <c r="W471" s="18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</row>
    <row r="472" spans="1:36" ht="11.25" customHeight="1" x14ac:dyDescent="0.2">
      <c r="A472" s="74" t="s">
        <v>28</v>
      </c>
      <c r="B472" s="74" t="s">
        <v>41</v>
      </c>
      <c r="C472" s="74" t="s">
        <v>23</v>
      </c>
      <c r="D472" s="74" t="s">
        <v>42</v>
      </c>
      <c r="E472" s="74" t="s">
        <v>25</v>
      </c>
      <c r="F472" s="74" t="s">
        <v>25</v>
      </c>
      <c r="G472" s="74" t="s">
        <v>25</v>
      </c>
      <c r="H472" s="74" t="s">
        <v>25</v>
      </c>
      <c r="I472" s="80">
        <v>44470</v>
      </c>
      <c r="J472" s="81">
        <f>EFEITO!$J$472*EFEITO!$Y$326</f>
        <v>0</v>
      </c>
      <c r="K472" s="81">
        <f ca="1">EFEITO!$L$472*EFEITO!$Z$326</f>
        <v>4714.9898211638538</v>
      </c>
      <c r="L472" s="81">
        <f>EFEITO!$N$472*EFEITO!$AA$326</f>
        <v>2649.3627438119647</v>
      </c>
      <c r="M472" s="81">
        <f>$J$472-EFEITO!$K$472*EFEITO!$Y$472</f>
        <v>0</v>
      </c>
      <c r="N472" s="81">
        <f ca="1">$K$472-EFEITO!$M$472*EFEITO!$Z$472</f>
        <v>282.89938926983177</v>
      </c>
      <c r="O472" s="81">
        <f>$L$472-EFEITO!$O$472*EFEITO!$AA$472</f>
        <v>158.9617646287179</v>
      </c>
      <c r="P472" s="18"/>
      <c r="Q472" s="18"/>
      <c r="R472" s="18"/>
      <c r="S472" s="18"/>
      <c r="T472" s="18"/>
      <c r="U472" s="18"/>
      <c r="V472" s="18"/>
      <c r="W472" s="18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</row>
    <row r="473" spans="1:36" ht="11.25" customHeight="1" x14ac:dyDescent="0.2">
      <c r="A473" s="74" t="s">
        <v>21</v>
      </c>
      <c r="B473" s="74" t="s">
        <v>41</v>
      </c>
      <c r="C473" s="74" t="s">
        <v>23</v>
      </c>
      <c r="D473" s="74" t="s">
        <v>42</v>
      </c>
      <c r="E473" s="74" t="s">
        <v>25</v>
      </c>
      <c r="F473" s="74" t="s">
        <v>25</v>
      </c>
      <c r="G473" s="74" t="s">
        <v>25</v>
      </c>
      <c r="H473" s="74" t="s">
        <v>25</v>
      </c>
      <c r="I473" s="80">
        <v>44501</v>
      </c>
      <c r="J473" s="81">
        <f>EFEITO!$J$473*EFEITO!$Y$326</f>
        <v>0</v>
      </c>
      <c r="K473" s="81">
        <f ca="1">EFEITO!$L$473*EFEITO!$Z$326</f>
        <v>631608.19363810332</v>
      </c>
      <c r="L473" s="81">
        <f>EFEITO!$N$473*EFEITO!$AA$326</f>
        <v>354901.97866389243</v>
      </c>
      <c r="M473" s="81">
        <f>$J$473-EFEITO!$K$473*EFEITO!$Y$473</f>
        <v>0</v>
      </c>
      <c r="N473" s="81">
        <f ca="1">$K$473-EFEITO!$M$473*EFEITO!$Z$473</f>
        <v>37896.491618286353</v>
      </c>
      <c r="O473" s="81">
        <f>$L$473-EFEITO!$O$473*EFEITO!$AA$473</f>
        <v>21294.118719833554</v>
      </c>
      <c r="P473" s="18"/>
      <c r="Q473" s="18"/>
      <c r="R473" s="18"/>
      <c r="S473" s="18"/>
      <c r="T473" s="18"/>
      <c r="U473" s="18"/>
      <c r="V473" s="18"/>
      <c r="W473" s="18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</row>
    <row r="474" spans="1:36" ht="11.25" customHeight="1" x14ac:dyDescent="0.2">
      <c r="A474" s="74" t="s">
        <v>27</v>
      </c>
      <c r="B474" s="74" t="s">
        <v>41</v>
      </c>
      <c r="C474" s="74" t="s">
        <v>23</v>
      </c>
      <c r="D474" s="74" t="s">
        <v>42</v>
      </c>
      <c r="E474" s="74" t="s">
        <v>25</v>
      </c>
      <c r="F474" s="74" t="s">
        <v>25</v>
      </c>
      <c r="G474" s="74" t="s">
        <v>25</v>
      </c>
      <c r="H474" s="74" t="s">
        <v>25</v>
      </c>
      <c r="I474" s="80">
        <v>44501</v>
      </c>
      <c r="J474" s="81">
        <f>EFEITO!$J$474*EFEITO!$Y$326</f>
        <v>0</v>
      </c>
      <c r="K474" s="81">
        <f ca="1">EFEITO!$L$474*EFEITO!$Z$326</f>
        <v>-1244.8308083331367</v>
      </c>
      <c r="L474" s="81">
        <f>EFEITO!$N$474*EFEITO!$AA$326</f>
        <v>-699.47306166889257</v>
      </c>
      <c r="M474" s="81">
        <f>$J$474-EFEITO!$K$474*EFEITO!$Y$474</f>
        <v>0</v>
      </c>
      <c r="N474" s="81">
        <f ca="1">$K$474-EFEITO!$M$474*EFEITO!$Z$474</f>
        <v>-74.689848499988329</v>
      </c>
      <c r="O474" s="81">
        <f>$L$474-EFEITO!$O$474*EFEITO!$AA$474</f>
        <v>-41.968383700133586</v>
      </c>
      <c r="P474" s="18"/>
      <c r="Q474" s="18"/>
      <c r="R474" s="18"/>
      <c r="S474" s="18"/>
      <c r="T474" s="18"/>
      <c r="U474" s="18"/>
      <c r="V474" s="18"/>
      <c r="W474" s="18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</row>
    <row r="475" spans="1:36" ht="11.25" customHeight="1" x14ac:dyDescent="0.2">
      <c r="A475" s="74" t="s">
        <v>28</v>
      </c>
      <c r="B475" s="74" t="s">
        <v>41</v>
      </c>
      <c r="C475" s="74" t="s">
        <v>23</v>
      </c>
      <c r="D475" s="74" t="s">
        <v>42</v>
      </c>
      <c r="E475" s="74" t="s">
        <v>25</v>
      </c>
      <c r="F475" s="74" t="s">
        <v>25</v>
      </c>
      <c r="G475" s="74" t="s">
        <v>25</v>
      </c>
      <c r="H475" s="74" t="s">
        <v>25</v>
      </c>
      <c r="I475" s="80">
        <v>44501</v>
      </c>
      <c r="J475" s="81">
        <f>EFEITO!$J$475*EFEITO!$Y$326</f>
        <v>0</v>
      </c>
      <c r="K475" s="81">
        <f ca="1">EFEITO!$L$475*EFEITO!$Z$326</f>
        <v>3354.4870457363591</v>
      </c>
      <c r="L475" s="81">
        <f>EFEITO!$N$475*EFEITO!$AA$326</f>
        <v>1884.8933594049695</v>
      </c>
      <c r="M475" s="81">
        <f>$J$475-EFEITO!$K$475*EFEITO!$Y$475</f>
        <v>0</v>
      </c>
      <c r="N475" s="81">
        <f ca="1">$K$475-EFEITO!$M$475*EFEITO!$Z$475</f>
        <v>201.26922274418166</v>
      </c>
      <c r="O475" s="81">
        <f>$L$475-EFEITO!$O$475*EFEITO!$AA$475</f>
        <v>113.0936015642983</v>
      </c>
      <c r="P475" s="18"/>
      <c r="Q475" s="18"/>
      <c r="R475" s="18"/>
      <c r="S475" s="18"/>
      <c r="T475" s="18"/>
      <c r="U475" s="18"/>
      <c r="V475" s="18"/>
      <c r="W475" s="18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</row>
    <row r="476" spans="1:36" ht="11.25" customHeight="1" x14ac:dyDescent="0.2">
      <c r="A476" s="74" t="s">
        <v>21</v>
      </c>
      <c r="B476" s="74" t="s">
        <v>41</v>
      </c>
      <c r="C476" s="74" t="s">
        <v>23</v>
      </c>
      <c r="D476" s="74" t="s">
        <v>42</v>
      </c>
      <c r="E476" s="74" t="s">
        <v>25</v>
      </c>
      <c r="F476" s="74" t="s">
        <v>25</v>
      </c>
      <c r="G476" s="74" t="s">
        <v>25</v>
      </c>
      <c r="H476" s="74" t="s">
        <v>25</v>
      </c>
      <c r="I476" s="80">
        <v>44531</v>
      </c>
      <c r="J476" s="81">
        <f>EFEITO!$J$476*EFEITO!$Y$326</f>
        <v>0</v>
      </c>
      <c r="K476" s="81">
        <f ca="1">EFEITO!$L$476*EFEITO!$Z$326</f>
        <v>593061.86776597763</v>
      </c>
      <c r="L476" s="81">
        <f>EFEITO!$N$476*EFEITO!$AA$326</f>
        <v>333242.71670365415</v>
      </c>
      <c r="M476" s="81">
        <f>$J$476-EFEITO!$K$476*EFEITO!$Y$476</f>
        <v>0</v>
      </c>
      <c r="N476" s="81">
        <f ca="1">$K$476-EFEITO!$M$476*EFEITO!$Z$476</f>
        <v>35583.712065958767</v>
      </c>
      <c r="O476" s="81">
        <f>$L$476-EFEITO!$O$476*EFEITO!$AA$476</f>
        <v>19994.563002219249</v>
      </c>
      <c r="P476" s="18"/>
      <c r="Q476" s="18"/>
      <c r="R476" s="18"/>
      <c r="S476" s="18"/>
      <c r="T476" s="18"/>
      <c r="U476" s="18"/>
      <c r="V476" s="18"/>
      <c r="W476" s="18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</row>
    <row r="477" spans="1:36" ht="11.25" customHeight="1" x14ac:dyDescent="0.2">
      <c r="A477" s="74" t="s">
        <v>27</v>
      </c>
      <c r="B477" s="74" t="s">
        <v>41</v>
      </c>
      <c r="C477" s="74" t="s">
        <v>23</v>
      </c>
      <c r="D477" s="74" t="s">
        <v>42</v>
      </c>
      <c r="E477" s="74" t="s">
        <v>25</v>
      </c>
      <c r="F477" s="74" t="s">
        <v>25</v>
      </c>
      <c r="G477" s="74" t="s">
        <v>25</v>
      </c>
      <c r="H477" s="74" t="s">
        <v>25</v>
      </c>
      <c r="I477" s="80">
        <v>44531</v>
      </c>
      <c r="J477" s="81">
        <f>EFEITO!$J$477*EFEITO!$Y$326</f>
        <v>0</v>
      </c>
      <c r="K477" s="81">
        <f ca="1">EFEITO!$L$477*EFEITO!$Z$326</f>
        <v>-119.84785038296216</v>
      </c>
      <c r="L477" s="81">
        <f>EFEITO!$N$477*EFEITO!$AA$326</f>
        <v>-67.342760382077216</v>
      </c>
      <c r="M477" s="81">
        <f>$J$477-EFEITO!$K$477*EFEITO!$Y$477</f>
        <v>0</v>
      </c>
      <c r="N477" s="81">
        <f ca="1">$K$477-EFEITO!$M$477*EFEITO!$Z$477</f>
        <v>-7.1908710229777455</v>
      </c>
      <c r="O477" s="81">
        <f>$L$477-EFEITO!$O$477*EFEITO!$AA$477</f>
        <v>-4.040565622924646</v>
      </c>
      <c r="P477" s="18"/>
      <c r="Q477" s="18"/>
      <c r="R477" s="18"/>
      <c r="S477" s="18"/>
      <c r="T477" s="18"/>
      <c r="U477" s="18"/>
      <c r="V477" s="18"/>
      <c r="W477" s="18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</row>
    <row r="478" spans="1:36" ht="11.25" customHeight="1" x14ac:dyDescent="0.2">
      <c r="A478" s="74" t="s">
        <v>28</v>
      </c>
      <c r="B478" s="74" t="s">
        <v>41</v>
      </c>
      <c r="C478" s="74" t="s">
        <v>23</v>
      </c>
      <c r="D478" s="74" t="s">
        <v>42</v>
      </c>
      <c r="E478" s="74" t="s">
        <v>25</v>
      </c>
      <c r="F478" s="74" t="s">
        <v>25</v>
      </c>
      <c r="G478" s="74" t="s">
        <v>25</v>
      </c>
      <c r="H478" s="74" t="s">
        <v>25</v>
      </c>
      <c r="I478" s="80">
        <v>44531</v>
      </c>
      <c r="J478" s="81">
        <f>EFEITO!$J$478*EFEITO!$Y$326</f>
        <v>0</v>
      </c>
      <c r="K478" s="81">
        <f ca="1">EFEITO!$L$478*EFEITO!$Z$326</f>
        <v>4997.6971198024085</v>
      </c>
      <c r="L478" s="81">
        <f>EFEITO!$N$478*EFEITO!$AA$326</f>
        <v>2808.2165723090598</v>
      </c>
      <c r="M478" s="81">
        <f>$J$478-EFEITO!$K$478*EFEITO!$Y$478</f>
        <v>0</v>
      </c>
      <c r="N478" s="81">
        <f ca="1">$K$478-EFEITO!$M$478*EFEITO!$Z$478</f>
        <v>299.86182718814507</v>
      </c>
      <c r="O478" s="81">
        <f>$L$478-EFEITO!$O$478*EFEITO!$AA$478</f>
        <v>168.49299433854367</v>
      </c>
      <c r="P478" s="18"/>
      <c r="Q478" s="18"/>
      <c r="R478" s="18"/>
      <c r="S478" s="18"/>
      <c r="T478" s="18"/>
      <c r="U478" s="18"/>
      <c r="V478" s="18"/>
      <c r="W478" s="18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</row>
    <row r="479" spans="1:36" ht="11.25" customHeight="1" x14ac:dyDescent="0.2">
      <c r="A479" s="74" t="s">
        <v>21</v>
      </c>
      <c r="B479" s="74" t="s">
        <v>41</v>
      </c>
      <c r="C479" s="74" t="s">
        <v>23</v>
      </c>
      <c r="D479" s="74" t="s">
        <v>42</v>
      </c>
      <c r="E479" s="74" t="s">
        <v>25</v>
      </c>
      <c r="F479" s="74" t="s">
        <v>25</v>
      </c>
      <c r="G479" s="74" t="s">
        <v>25</v>
      </c>
      <c r="H479" s="74" t="s">
        <v>25</v>
      </c>
      <c r="I479" s="80">
        <v>44562</v>
      </c>
      <c r="J479" s="81">
        <f>EFEITO!$J$479*EFEITO!$Y$326</f>
        <v>0</v>
      </c>
      <c r="K479" s="81">
        <f ca="1">EFEITO!$L$479*EFEITO!$Z$326</f>
        <v>430256.28840480739</v>
      </c>
      <c r="L479" s="81">
        <f>EFEITO!$N$479*EFEITO!$AA$326</f>
        <v>241761.91763424358</v>
      </c>
      <c r="M479" s="81">
        <f>$J$479-EFEITO!$K$479*EFEITO!$Y$479</f>
        <v>0</v>
      </c>
      <c r="N479" s="81">
        <f ca="1">$K$479-EFEITO!$M$479*EFEITO!$Z$479</f>
        <v>25815.3773042885</v>
      </c>
      <c r="O479" s="81">
        <f>$L$479-EFEITO!$O$479*EFEITO!$AA$479</f>
        <v>14505.715058054629</v>
      </c>
      <c r="P479" s="18"/>
      <c r="Q479" s="18"/>
      <c r="R479" s="18"/>
      <c r="S479" s="18"/>
      <c r="T479" s="18"/>
      <c r="U479" s="18"/>
      <c r="V479" s="18"/>
      <c r="W479" s="18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</row>
    <row r="480" spans="1:36" ht="11.25" customHeight="1" x14ac:dyDescent="0.2">
      <c r="A480" s="74" t="s">
        <v>28</v>
      </c>
      <c r="B480" s="74" t="s">
        <v>41</v>
      </c>
      <c r="C480" s="74" t="s">
        <v>23</v>
      </c>
      <c r="D480" s="74" t="s">
        <v>42</v>
      </c>
      <c r="E480" s="74" t="s">
        <v>25</v>
      </c>
      <c r="F480" s="74" t="s">
        <v>25</v>
      </c>
      <c r="G480" s="74" t="s">
        <v>25</v>
      </c>
      <c r="H480" s="74" t="s">
        <v>25</v>
      </c>
      <c r="I480" s="80">
        <v>44562</v>
      </c>
      <c r="J480" s="81">
        <f>EFEITO!$J$480*EFEITO!$Y$326</f>
        <v>0</v>
      </c>
      <c r="K480" s="81">
        <f ca="1">EFEITO!$L$480*EFEITO!$Z$326</f>
        <v>2905.1620038824663</v>
      </c>
      <c r="L480" s="81">
        <f>EFEITO!$N$480*EFEITO!$AA$326</f>
        <v>1632.4166689132794</v>
      </c>
      <c r="M480" s="81">
        <f>$J$480-EFEITO!$K$480*EFEITO!$Y$480</f>
        <v>0</v>
      </c>
      <c r="N480" s="81">
        <f ca="1">$K$480-EFEITO!$M$480*EFEITO!$Z$480</f>
        <v>174.30972023294817</v>
      </c>
      <c r="O480" s="81">
        <f>$L$480-EFEITO!$O$480*EFEITO!$AA$480</f>
        <v>97.945000134796828</v>
      </c>
      <c r="P480" s="18"/>
      <c r="Q480" s="18"/>
      <c r="R480" s="18"/>
      <c r="S480" s="18"/>
      <c r="T480" s="18"/>
      <c r="U480" s="18"/>
      <c r="V480" s="18"/>
      <c r="W480" s="18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</row>
    <row r="481" spans="1:36" ht="11.25" customHeight="1" x14ac:dyDescent="0.2">
      <c r="A481" s="74" t="s">
        <v>21</v>
      </c>
      <c r="B481" s="74" t="s">
        <v>41</v>
      </c>
      <c r="C481" s="74" t="s">
        <v>23</v>
      </c>
      <c r="D481" s="74" t="s">
        <v>42</v>
      </c>
      <c r="E481" s="74" t="s">
        <v>25</v>
      </c>
      <c r="F481" s="74" t="s">
        <v>25</v>
      </c>
      <c r="G481" s="74" t="s">
        <v>25</v>
      </c>
      <c r="H481" s="74" t="s">
        <v>25</v>
      </c>
      <c r="I481" s="80">
        <v>44593</v>
      </c>
      <c r="J481" s="81">
        <f>EFEITO!$J$481*EFEITO!$Y$326</f>
        <v>0</v>
      </c>
      <c r="K481" s="81">
        <f ca="1">EFEITO!$L$481*EFEITO!$Z$326</f>
        <v>418960.10652080207</v>
      </c>
      <c r="L481" s="81">
        <f>EFEITO!$N$481*EFEITO!$AA$326</f>
        <v>235414.56916352731</v>
      </c>
      <c r="M481" s="81">
        <f>$J$481-EFEITO!$K$481*EFEITO!$Y$481</f>
        <v>0</v>
      </c>
      <c r="N481" s="81">
        <f ca="1">$K$481-EFEITO!$M$481*EFEITO!$Z$481</f>
        <v>25137.606391248119</v>
      </c>
      <c r="O481" s="81">
        <f>$L$481-EFEITO!$O$481*EFEITO!$AA$481</f>
        <v>14124.874149811658</v>
      </c>
      <c r="P481" s="18"/>
      <c r="Q481" s="18"/>
      <c r="R481" s="18"/>
      <c r="S481" s="18"/>
      <c r="T481" s="18"/>
      <c r="U481" s="18"/>
      <c r="V481" s="18"/>
      <c r="W481" s="18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</row>
    <row r="482" spans="1:36" ht="11.25" customHeight="1" x14ac:dyDescent="0.2">
      <c r="A482" s="74" t="s">
        <v>27</v>
      </c>
      <c r="B482" s="74" t="s">
        <v>41</v>
      </c>
      <c r="C482" s="74" t="s">
        <v>23</v>
      </c>
      <c r="D482" s="74" t="s">
        <v>42</v>
      </c>
      <c r="E482" s="74" t="s">
        <v>25</v>
      </c>
      <c r="F482" s="74" t="s">
        <v>25</v>
      </c>
      <c r="G482" s="74" t="s">
        <v>25</v>
      </c>
      <c r="H482" s="74" t="s">
        <v>25</v>
      </c>
      <c r="I482" s="80">
        <v>44593</v>
      </c>
      <c r="J482" s="81">
        <f>EFEITO!$J$482*EFEITO!$Y$326</f>
        <v>0</v>
      </c>
      <c r="K482" s="81">
        <f ca="1">EFEITO!$L$482*EFEITO!$Z$326</f>
        <v>-878.60584392248234</v>
      </c>
      <c r="L482" s="81">
        <f>EFEITO!$N$482*EFEITO!$AA$326</f>
        <v>-493.69048029230129</v>
      </c>
      <c r="M482" s="81">
        <f>$J$482-EFEITO!$K$482*EFEITO!$Y$482</f>
        <v>0</v>
      </c>
      <c r="N482" s="81">
        <f ca="1">$K$482-EFEITO!$M$482*EFEITO!$Z$482</f>
        <v>-52.716350635349045</v>
      </c>
      <c r="O482" s="81">
        <f>$L$482-EFEITO!$O$482*EFEITO!$AA$482</f>
        <v>-29.621428817538117</v>
      </c>
      <c r="P482" s="18"/>
      <c r="Q482" s="18"/>
      <c r="R482" s="18"/>
      <c r="S482" s="18"/>
      <c r="T482" s="18"/>
      <c r="U482" s="18"/>
      <c r="V482" s="18"/>
      <c r="W482" s="18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</row>
    <row r="483" spans="1:36" ht="11.25" customHeight="1" x14ac:dyDescent="0.2">
      <c r="A483" s="74" t="s">
        <v>28</v>
      </c>
      <c r="B483" s="74" t="s">
        <v>41</v>
      </c>
      <c r="C483" s="74" t="s">
        <v>23</v>
      </c>
      <c r="D483" s="74" t="s">
        <v>42</v>
      </c>
      <c r="E483" s="74" t="s">
        <v>25</v>
      </c>
      <c r="F483" s="74" t="s">
        <v>25</v>
      </c>
      <c r="G483" s="74" t="s">
        <v>25</v>
      </c>
      <c r="H483" s="74" t="s">
        <v>25</v>
      </c>
      <c r="I483" s="80">
        <v>44593</v>
      </c>
      <c r="J483" s="81">
        <f>EFEITO!$J$483*EFEITO!$Y$326</f>
        <v>0</v>
      </c>
      <c r="K483" s="81">
        <f ca="1">EFEITO!$L$483*EFEITO!$Z$326</f>
        <v>6459.2562708141422</v>
      </c>
      <c r="L483" s="81">
        <f>EFEITO!$N$483*EFEITO!$AA$326</f>
        <v>3629.4697477002451</v>
      </c>
      <c r="M483" s="81">
        <f>$J$483-EFEITO!$K$483*EFEITO!$Y$483</f>
        <v>0</v>
      </c>
      <c r="N483" s="81">
        <f ca="1">$K$483-EFEITO!$M$483*EFEITO!$Z$483</f>
        <v>387.55537624884892</v>
      </c>
      <c r="O483" s="81">
        <f>$L$483-EFEITO!$O$483*EFEITO!$AA$483</f>
        <v>217.768184862015</v>
      </c>
      <c r="P483" s="18"/>
      <c r="Q483" s="18"/>
      <c r="R483" s="18"/>
      <c r="S483" s="18"/>
      <c r="T483" s="18"/>
      <c r="U483" s="18"/>
      <c r="V483" s="18"/>
      <c r="W483" s="18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</row>
    <row r="484" spans="1:36" ht="11.25" customHeight="1" x14ac:dyDescent="0.2">
      <c r="A484" s="74" t="s">
        <v>21</v>
      </c>
      <c r="B484" s="74" t="s">
        <v>41</v>
      </c>
      <c r="C484" s="74" t="s">
        <v>23</v>
      </c>
      <c r="D484" s="74" t="s">
        <v>42</v>
      </c>
      <c r="E484" s="74" t="s">
        <v>25</v>
      </c>
      <c r="F484" s="74" t="s">
        <v>25</v>
      </c>
      <c r="G484" s="74" t="s">
        <v>25</v>
      </c>
      <c r="H484" s="74" t="s">
        <v>25</v>
      </c>
      <c r="I484" s="80">
        <v>44621</v>
      </c>
      <c r="J484" s="81">
        <f>EFEITO!$J$484*EFEITO!$Y$326</f>
        <v>0</v>
      </c>
      <c r="K484" s="81">
        <f ca="1">EFEITO!$L$484*EFEITO!$Z$326</f>
        <v>366485.12193953455</v>
      </c>
      <c r="L484" s="81">
        <f>EFEITO!$N$484*EFEITO!$AA$326</f>
        <v>205928.76444181098</v>
      </c>
      <c r="M484" s="81">
        <f>$J$484-EFEITO!$K$484*EFEITO!$Y$484</f>
        <v>0</v>
      </c>
      <c r="N484" s="81">
        <f ca="1">$K$484-EFEITO!$M$484*EFEITO!$Z$484</f>
        <v>21989.107316372101</v>
      </c>
      <c r="O484" s="81">
        <f>$L$484-EFEITO!$O$484*EFEITO!$AA$484</f>
        <v>12355.72586650867</v>
      </c>
      <c r="P484" s="18"/>
      <c r="Q484" s="18"/>
      <c r="R484" s="18"/>
      <c r="S484" s="18"/>
      <c r="T484" s="18"/>
      <c r="U484" s="18"/>
      <c r="V484" s="18"/>
      <c r="W484" s="18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</row>
    <row r="485" spans="1:36" ht="11.25" customHeight="1" x14ac:dyDescent="0.2">
      <c r="A485" s="74" t="s">
        <v>27</v>
      </c>
      <c r="B485" s="74" t="s">
        <v>41</v>
      </c>
      <c r="C485" s="74" t="s">
        <v>23</v>
      </c>
      <c r="D485" s="74" t="s">
        <v>42</v>
      </c>
      <c r="E485" s="74" t="s">
        <v>25</v>
      </c>
      <c r="F485" s="74" t="s">
        <v>25</v>
      </c>
      <c r="G485" s="74" t="s">
        <v>25</v>
      </c>
      <c r="H485" s="74" t="s">
        <v>25</v>
      </c>
      <c r="I485" s="80">
        <v>44621</v>
      </c>
      <c r="J485" s="81">
        <f>EFEITO!$J$485*EFEITO!$Y$326</f>
        <v>0</v>
      </c>
      <c r="K485" s="81">
        <f ca="1">EFEITO!$L$485*EFEITO!$Z$326</f>
        <v>-1959.7420273423047</v>
      </c>
      <c r="L485" s="81">
        <f>EFEITO!$N$485*EFEITO!$AA$326</f>
        <v>-1101.1831863173811</v>
      </c>
      <c r="M485" s="81">
        <f>$J$485-EFEITO!$K$485*EFEITO!$Y$485</f>
        <v>0</v>
      </c>
      <c r="N485" s="81">
        <f ca="1">$K$485-EFEITO!$M$485*EFEITO!$Z$485</f>
        <v>-117.58452164053847</v>
      </c>
      <c r="O485" s="81">
        <f>$L$485-EFEITO!$O$485*EFEITO!$AA$485</f>
        <v>-66.070991179042949</v>
      </c>
      <c r="P485" s="18"/>
      <c r="Q485" s="18"/>
      <c r="R485" s="18"/>
      <c r="S485" s="18"/>
      <c r="T485" s="18"/>
      <c r="U485" s="18"/>
      <c r="V485" s="18"/>
      <c r="W485" s="18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</row>
    <row r="486" spans="1:36" ht="11.25" customHeight="1" x14ac:dyDescent="0.2">
      <c r="A486" s="74" t="s">
        <v>28</v>
      </c>
      <c r="B486" s="74" t="s">
        <v>41</v>
      </c>
      <c r="C486" s="74" t="s">
        <v>23</v>
      </c>
      <c r="D486" s="74" t="s">
        <v>42</v>
      </c>
      <c r="E486" s="74" t="s">
        <v>25</v>
      </c>
      <c r="F486" s="74" t="s">
        <v>25</v>
      </c>
      <c r="G486" s="74" t="s">
        <v>25</v>
      </c>
      <c r="H486" s="74" t="s">
        <v>25</v>
      </c>
      <c r="I486" s="80">
        <v>44621</v>
      </c>
      <c r="J486" s="81">
        <f>EFEITO!$J$486*EFEITO!$Y$326</f>
        <v>0</v>
      </c>
      <c r="K486" s="81">
        <f ca="1">EFEITO!$L$486*EFEITO!$Z$326</f>
        <v>3236.3095486688394</v>
      </c>
      <c r="L486" s="81">
        <f>EFEITO!$N$486*EFEITO!$AA$326</f>
        <v>1818.4891740804824</v>
      </c>
      <c r="M486" s="81">
        <f>$J$486-EFEITO!$K$486*EFEITO!$Y$486</f>
        <v>0</v>
      </c>
      <c r="N486" s="81">
        <f ca="1">$K$486-EFEITO!$M$486*EFEITO!$Z$486</f>
        <v>194.17857292013105</v>
      </c>
      <c r="O486" s="81">
        <f>$L$486-EFEITO!$O$486*EFEITO!$AA$486</f>
        <v>109.10935044482903</v>
      </c>
      <c r="P486" s="18"/>
      <c r="Q486" s="18"/>
      <c r="R486" s="18"/>
      <c r="S486" s="18"/>
      <c r="T486" s="18"/>
      <c r="U486" s="18"/>
      <c r="V486" s="18"/>
      <c r="W486" s="18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</row>
    <row r="487" spans="1:36" ht="11.25" customHeight="1" x14ac:dyDescent="0.2">
      <c r="A487" s="74" t="s">
        <v>21</v>
      </c>
      <c r="B487" s="74" t="s">
        <v>41</v>
      </c>
      <c r="C487" s="74" t="s">
        <v>23</v>
      </c>
      <c r="D487" s="74" t="s">
        <v>42</v>
      </c>
      <c r="E487" s="74" t="s">
        <v>25</v>
      </c>
      <c r="F487" s="74" t="s">
        <v>25</v>
      </c>
      <c r="G487" s="74" t="s">
        <v>25</v>
      </c>
      <c r="H487" s="74" t="s">
        <v>25</v>
      </c>
      <c r="I487" s="80">
        <v>44652</v>
      </c>
      <c r="J487" s="81">
        <f>EFEITO!$J$487*EFEITO!$Y$326</f>
        <v>0</v>
      </c>
      <c r="K487" s="81">
        <f ca="1">EFEITO!$L$487*EFEITO!$Z$326</f>
        <v>320382.1176683493</v>
      </c>
      <c r="L487" s="81">
        <f>EFEITO!$N$487*EFEITO!$AA$326</f>
        <v>180023.38892103583</v>
      </c>
      <c r="M487" s="81">
        <f>$J$487-EFEITO!$K$487*EFEITO!$Y$487</f>
        <v>0</v>
      </c>
      <c r="N487" s="81">
        <f ca="1">$K$487-EFEITO!$M$487*EFEITO!$Z$487</f>
        <v>19222.927060101007</v>
      </c>
      <c r="O487" s="81">
        <f>$L$487-EFEITO!$O$487*EFEITO!$AA$487</f>
        <v>10801.403335262177</v>
      </c>
      <c r="P487" s="18"/>
      <c r="Q487" s="18"/>
      <c r="R487" s="18"/>
      <c r="S487" s="18"/>
      <c r="T487" s="18"/>
      <c r="U487" s="18"/>
      <c r="V487" s="18"/>
      <c r="W487" s="18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</row>
    <row r="488" spans="1:36" ht="11.25" customHeight="1" x14ac:dyDescent="0.2">
      <c r="A488" s="74" t="s">
        <v>27</v>
      </c>
      <c r="B488" s="74" t="s">
        <v>41</v>
      </c>
      <c r="C488" s="74" t="s">
        <v>23</v>
      </c>
      <c r="D488" s="74" t="s">
        <v>42</v>
      </c>
      <c r="E488" s="74" t="s">
        <v>25</v>
      </c>
      <c r="F488" s="74" t="s">
        <v>25</v>
      </c>
      <c r="G488" s="74" t="s">
        <v>25</v>
      </c>
      <c r="H488" s="74" t="s">
        <v>25</v>
      </c>
      <c r="I488" s="80">
        <v>44652</v>
      </c>
      <c r="J488" s="81">
        <f>EFEITO!$J$488*EFEITO!$Y$326</f>
        <v>0</v>
      </c>
      <c r="K488" s="81">
        <f ca="1">EFEITO!$L$488*EFEITO!$Z$326</f>
        <v>-152.83732836294129</v>
      </c>
      <c r="L488" s="81">
        <f>EFEITO!$N$488*EFEITO!$AA$326</f>
        <v>-85.879617769478259</v>
      </c>
      <c r="M488" s="81">
        <f>$J$488-EFEITO!$K$488*EFEITO!$Y$488</f>
        <v>0</v>
      </c>
      <c r="N488" s="81">
        <f ca="1">$K$488-EFEITO!$M$488*EFEITO!$Z$488</f>
        <v>-9.1702397017764667</v>
      </c>
      <c r="O488" s="81">
        <f>$L$488-EFEITO!$O$488*EFEITO!$AA$488</f>
        <v>-5.1527770661686958</v>
      </c>
      <c r="P488" s="18"/>
      <c r="Q488" s="18"/>
      <c r="R488" s="18"/>
      <c r="S488" s="18"/>
      <c r="T488" s="18"/>
      <c r="U488" s="18"/>
      <c r="V488" s="18"/>
      <c r="W488" s="18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</row>
    <row r="489" spans="1:36" ht="11.25" customHeight="1" x14ac:dyDescent="0.2">
      <c r="A489" s="74" t="s">
        <v>28</v>
      </c>
      <c r="B489" s="74" t="s">
        <v>41</v>
      </c>
      <c r="C489" s="74" t="s">
        <v>23</v>
      </c>
      <c r="D489" s="74" t="s">
        <v>42</v>
      </c>
      <c r="E489" s="74" t="s">
        <v>25</v>
      </c>
      <c r="F489" s="74" t="s">
        <v>25</v>
      </c>
      <c r="G489" s="74" t="s">
        <v>25</v>
      </c>
      <c r="H489" s="74" t="s">
        <v>25</v>
      </c>
      <c r="I489" s="80">
        <v>44652</v>
      </c>
      <c r="J489" s="81">
        <f>EFEITO!$J$489*EFEITO!$Y$326</f>
        <v>0</v>
      </c>
      <c r="K489" s="81">
        <f ca="1">EFEITO!$L$489*EFEITO!$Z$326</f>
        <v>4019.7052536111282</v>
      </c>
      <c r="L489" s="81">
        <f>EFEITO!$N$489*EFEITO!$AA$326</f>
        <v>2258.6808760901577</v>
      </c>
      <c r="M489" s="81">
        <f>$J$489-EFEITO!$K$489*EFEITO!$Y$489</f>
        <v>0</v>
      </c>
      <c r="N489" s="81">
        <f ca="1">$K$489-EFEITO!$M$489*EFEITO!$Z$489</f>
        <v>241.18231521666803</v>
      </c>
      <c r="O489" s="81">
        <f>$L$489-EFEITO!$O$489*EFEITO!$AA$489</f>
        <v>135.52085256540977</v>
      </c>
      <c r="P489" s="18"/>
      <c r="Q489" s="18"/>
      <c r="R489" s="18"/>
      <c r="S489" s="18"/>
      <c r="T489" s="18"/>
      <c r="U489" s="18"/>
      <c r="V489" s="18"/>
      <c r="W489" s="18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</row>
    <row r="490" spans="1:36" ht="11.25" customHeight="1" x14ac:dyDescent="0.2">
      <c r="A490" s="74" t="s">
        <v>21</v>
      </c>
      <c r="B490" s="74" t="s">
        <v>41</v>
      </c>
      <c r="C490" s="74" t="s">
        <v>23</v>
      </c>
      <c r="D490" s="74" t="s">
        <v>42</v>
      </c>
      <c r="E490" s="74" t="s">
        <v>25</v>
      </c>
      <c r="F490" s="74" t="s">
        <v>25</v>
      </c>
      <c r="G490" s="74" t="s">
        <v>25</v>
      </c>
      <c r="H490" s="74" t="s">
        <v>25</v>
      </c>
      <c r="I490" s="80">
        <v>44682</v>
      </c>
      <c r="J490" s="81">
        <f>EFEITO!$J$490*EFEITO!$Y$326</f>
        <v>0</v>
      </c>
      <c r="K490" s="81">
        <f ca="1">EFEITO!$L$490*EFEITO!$Z$326</f>
        <v>316228.36656117393</v>
      </c>
      <c r="L490" s="81">
        <f>EFEITO!$N$490*EFEITO!$AA$326</f>
        <v>177689.38739657408</v>
      </c>
      <c r="M490" s="81">
        <f>$J$490-EFEITO!$K$490*EFEITO!$Y$490</f>
        <v>0</v>
      </c>
      <c r="N490" s="81">
        <f ca="1">$K$490-EFEITO!$M$490*EFEITO!$Z$490</f>
        <v>18973.701993670489</v>
      </c>
      <c r="O490" s="81">
        <f>$L$490-EFEITO!$O$490*EFEITO!$AA$490</f>
        <v>10661.363243794447</v>
      </c>
      <c r="P490" s="18"/>
      <c r="Q490" s="18"/>
      <c r="R490" s="18"/>
      <c r="S490" s="18"/>
      <c r="T490" s="18"/>
      <c r="U490" s="18"/>
      <c r="V490" s="18"/>
      <c r="W490" s="18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</row>
    <row r="491" spans="1:36" ht="11.25" customHeight="1" x14ac:dyDescent="0.2">
      <c r="A491" s="74" t="s">
        <v>28</v>
      </c>
      <c r="B491" s="74" t="s">
        <v>41</v>
      </c>
      <c r="C491" s="74" t="s">
        <v>23</v>
      </c>
      <c r="D491" s="74" t="s">
        <v>42</v>
      </c>
      <c r="E491" s="74" t="s">
        <v>25</v>
      </c>
      <c r="F491" s="74" t="s">
        <v>25</v>
      </c>
      <c r="G491" s="74" t="s">
        <v>25</v>
      </c>
      <c r="H491" s="74" t="s">
        <v>25</v>
      </c>
      <c r="I491" s="80">
        <v>44682</v>
      </c>
      <c r="J491" s="81">
        <f>EFEITO!$J$491*EFEITO!$Y$326</f>
        <v>0</v>
      </c>
      <c r="K491" s="81">
        <f ca="1">EFEITO!$L$491*EFEITO!$Z$326</f>
        <v>6051.2724735174388</v>
      </c>
      <c r="L491" s="81">
        <f>EFEITO!$N$491*EFEITO!$AA$326</f>
        <v>3400.2227898839055</v>
      </c>
      <c r="M491" s="81">
        <f>$J$491-EFEITO!$K$491*EFEITO!$Y$491</f>
        <v>0</v>
      </c>
      <c r="N491" s="81">
        <f ca="1">$K$491-EFEITO!$M$491*EFEITO!$Z$491</f>
        <v>363.07634841104755</v>
      </c>
      <c r="O491" s="81">
        <f>$L$491-EFEITO!$O$491*EFEITO!$AA$491</f>
        <v>204.01336739303451</v>
      </c>
      <c r="P491" s="18"/>
      <c r="Q491" s="18"/>
      <c r="R491" s="18"/>
      <c r="S491" s="18"/>
      <c r="T491" s="18"/>
      <c r="U491" s="18"/>
      <c r="V491" s="18"/>
      <c r="W491" s="18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</row>
    <row r="492" spans="1:36" ht="11.25" customHeight="1" x14ac:dyDescent="0.2">
      <c r="A492" s="74" t="s">
        <v>21</v>
      </c>
      <c r="B492" s="74" t="s">
        <v>41</v>
      </c>
      <c r="C492" s="74" t="s">
        <v>23</v>
      </c>
      <c r="D492" s="74" t="s">
        <v>42</v>
      </c>
      <c r="E492" s="74" t="s">
        <v>25</v>
      </c>
      <c r="F492" s="74" t="s">
        <v>25</v>
      </c>
      <c r="G492" s="74" t="s">
        <v>25</v>
      </c>
      <c r="H492" s="74" t="s">
        <v>25</v>
      </c>
      <c r="I492" s="80">
        <v>44713</v>
      </c>
      <c r="J492" s="81">
        <f>EFEITO!$J$492*EFEITO!$Y$326</f>
        <v>0</v>
      </c>
      <c r="K492" s="81">
        <f ca="1">EFEITO!$L$492*EFEITO!$Z$326</f>
        <v>287094.48162156373</v>
      </c>
      <c r="L492" s="81">
        <f>EFEITO!$N$492*EFEITO!$AA$326</f>
        <v>161318.99588585497</v>
      </c>
      <c r="M492" s="81">
        <f>$J$492-EFEITO!$K$492*EFEITO!$Y$492</f>
        <v>0</v>
      </c>
      <c r="N492" s="81">
        <f ca="1">$K$492-EFEITO!$M$492*EFEITO!$Z$492</f>
        <v>17225.668897293857</v>
      </c>
      <c r="O492" s="81">
        <f>$L$492-EFEITO!$O$492*EFEITO!$AA$492</f>
        <v>9679.1397531513066</v>
      </c>
      <c r="P492" s="18"/>
      <c r="Q492" s="18"/>
      <c r="R492" s="18"/>
      <c r="S492" s="18"/>
      <c r="T492" s="18"/>
      <c r="U492" s="18"/>
      <c r="V492" s="18"/>
      <c r="W492" s="18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</row>
    <row r="493" spans="1:36" ht="11.25" customHeight="1" x14ac:dyDescent="0.2">
      <c r="A493" s="74" t="s">
        <v>27</v>
      </c>
      <c r="B493" s="74" t="s">
        <v>41</v>
      </c>
      <c r="C493" s="74" t="s">
        <v>23</v>
      </c>
      <c r="D493" s="74" t="s">
        <v>42</v>
      </c>
      <c r="E493" s="74" t="s">
        <v>25</v>
      </c>
      <c r="F493" s="74" t="s">
        <v>25</v>
      </c>
      <c r="G493" s="74" t="s">
        <v>25</v>
      </c>
      <c r="H493" s="74" t="s">
        <v>25</v>
      </c>
      <c r="I493" s="80">
        <v>44713</v>
      </c>
      <c r="J493" s="81">
        <f>EFEITO!$J$493*EFEITO!$Y$326</f>
        <v>0</v>
      </c>
      <c r="K493" s="81">
        <f ca="1">EFEITO!$L$493*EFEITO!$Z$326</f>
        <v>-1109.9497781111968</v>
      </c>
      <c r="L493" s="81">
        <f>EFEITO!$N$493*EFEITO!$AA$326</f>
        <v>-623.6831257685061</v>
      </c>
      <c r="M493" s="81">
        <f>$J$493-EFEITO!$K$493*EFEITO!$Y$493</f>
        <v>0</v>
      </c>
      <c r="N493" s="81">
        <f ca="1">$K$493-EFEITO!$M$493*EFEITO!$Z$493</f>
        <v>-66.596986686671926</v>
      </c>
      <c r="O493" s="81">
        <f>$L$493-EFEITO!$O$493*EFEITO!$AA$493</f>
        <v>-37.420987546110496</v>
      </c>
      <c r="P493" s="18"/>
      <c r="Q493" s="18"/>
      <c r="R493" s="18"/>
      <c r="S493" s="18"/>
      <c r="T493" s="18"/>
      <c r="U493" s="18"/>
      <c r="V493" s="18"/>
      <c r="W493" s="18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</row>
    <row r="494" spans="1:36" ht="11.25" customHeight="1" x14ac:dyDescent="0.2">
      <c r="A494" s="74" t="s">
        <v>28</v>
      </c>
      <c r="B494" s="74" t="s">
        <v>41</v>
      </c>
      <c r="C494" s="74" t="s">
        <v>23</v>
      </c>
      <c r="D494" s="74" t="s">
        <v>42</v>
      </c>
      <c r="E494" s="74" t="s">
        <v>25</v>
      </c>
      <c r="F494" s="74" t="s">
        <v>25</v>
      </c>
      <c r="G494" s="74" t="s">
        <v>25</v>
      </c>
      <c r="H494" s="74" t="s">
        <v>25</v>
      </c>
      <c r="I494" s="80">
        <v>44713</v>
      </c>
      <c r="J494" s="81">
        <f>EFEITO!$J$494*EFEITO!$Y$326</f>
        <v>0</v>
      </c>
      <c r="K494" s="81">
        <f ca="1">EFEITO!$L$494*EFEITO!$Z$326</f>
        <v>5265.7888269308469</v>
      </c>
      <c r="L494" s="81">
        <f>EFEITO!$N$494*EFEITO!$AA$326</f>
        <v>2958.8578690522427</v>
      </c>
      <c r="M494" s="81">
        <f>$J$494-EFEITO!$K$494*EFEITO!$Y$494</f>
        <v>0</v>
      </c>
      <c r="N494" s="81">
        <f ca="1">$K$494-EFEITO!$M$494*EFEITO!$Z$494</f>
        <v>315.94732961585123</v>
      </c>
      <c r="O494" s="81">
        <f>$L$494-EFEITO!$O$494*EFEITO!$AA$494</f>
        <v>177.53147214313458</v>
      </c>
      <c r="P494" s="18"/>
      <c r="Q494" s="18"/>
      <c r="R494" s="18"/>
      <c r="S494" s="18"/>
      <c r="T494" s="18"/>
      <c r="U494" s="18"/>
      <c r="V494" s="18"/>
      <c r="W494" s="18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</row>
    <row r="495" spans="1:36" ht="11.25" customHeight="1" x14ac:dyDescent="0.2">
      <c r="A495" s="74" t="s">
        <v>55</v>
      </c>
      <c r="B495" s="74" t="s">
        <v>41</v>
      </c>
      <c r="C495" s="74" t="s">
        <v>23</v>
      </c>
      <c r="D495" s="74" t="s">
        <v>42</v>
      </c>
      <c r="E495" s="74" t="s">
        <v>25</v>
      </c>
      <c r="F495" s="74" t="s">
        <v>25</v>
      </c>
      <c r="G495" s="74" t="s">
        <v>25</v>
      </c>
      <c r="H495" s="74" t="s">
        <v>25</v>
      </c>
      <c r="I495" s="80">
        <v>44743</v>
      </c>
      <c r="J495" s="81">
        <f>EFEITO!$J$495*EFEITO!$Y$326</f>
        <v>0</v>
      </c>
      <c r="K495" s="81">
        <f ca="1">EFEITO!$L$495*EFEITO!$Z$326</f>
        <v>287094.48162156373</v>
      </c>
      <c r="L495" s="81">
        <f>EFEITO!$N$495*EFEITO!$AA$326</f>
        <v>161318.99588585497</v>
      </c>
      <c r="M495" s="81">
        <f>$J$495-EFEITO!$K$495*EFEITO!$Y$495</f>
        <v>0</v>
      </c>
      <c r="N495" s="81">
        <f ca="1">$K$495-EFEITO!$M$495*EFEITO!$Z$495</f>
        <v>17225.668897293857</v>
      </c>
      <c r="O495" s="81">
        <f>$L$495-EFEITO!$O$495*EFEITO!$AA$495</f>
        <v>9679.1397531513066</v>
      </c>
      <c r="P495" s="18"/>
      <c r="Q495" s="18"/>
      <c r="R495" s="18"/>
      <c r="S495" s="18"/>
      <c r="T495" s="18"/>
      <c r="U495" s="18"/>
      <c r="V495" s="18"/>
      <c r="W495" s="18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</row>
    <row r="496" spans="1:36" ht="11.25" customHeight="1" x14ac:dyDescent="0.2">
      <c r="A496" s="74" t="s">
        <v>55</v>
      </c>
      <c r="B496" s="74" t="s">
        <v>41</v>
      </c>
      <c r="C496" s="74" t="s">
        <v>23</v>
      </c>
      <c r="D496" s="74" t="s">
        <v>42</v>
      </c>
      <c r="E496" s="74" t="s">
        <v>25</v>
      </c>
      <c r="F496" s="74" t="s">
        <v>25</v>
      </c>
      <c r="G496" s="74" t="s">
        <v>25</v>
      </c>
      <c r="H496" s="74" t="s">
        <v>25</v>
      </c>
      <c r="I496" s="80">
        <v>44743</v>
      </c>
      <c r="J496" s="81">
        <f>EFEITO!$J$496*EFEITO!$Y$326</f>
        <v>0</v>
      </c>
      <c r="K496" s="81">
        <f ca="1">EFEITO!$L$496*EFEITO!$Z$326</f>
        <v>-1109.9497781111968</v>
      </c>
      <c r="L496" s="81">
        <f>EFEITO!$N$496*EFEITO!$AA$326</f>
        <v>-623.6831257685061</v>
      </c>
      <c r="M496" s="81">
        <f>$J$496-EFEITO!$K$496*EFEITO!$Y$496</f>
        <v>0</v>
      </c>
      <c r="N496" s="81">
        <f ca="1">$K$496-EFEITO!$M$496*EFEITO!$Z$496</f>
        <v>-66.596986686671926</v>
      </c>
      <c r="O496" s="81">
        <f>$L$496-EFEITO!$O$496*EFEITO!$AA$496</f>
        <v>-37.420987546110496</v>
      </c>
      <c r="P496" s="18"/>
      <c r="Q496" s="18"/>
      <c r="R496" s="18"/>
      <c r="S496" s="18"/>
      <c r="T496" s="18"/>
      <c r="U496" s="18"/>
      <c r="V496" s="18"/>
      <c r="W496" s="18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</row>
    <row r="497" spans="1:36" ht="11.25" customHeight="1" x14ac:dyDescent="0.2">
      <c r="A497" s="74" t="s">
        <v>55</v>
      </c>
      <c r="B497" s="74" t="s">
        <v>41</v>
      </c>
      <c r="C497" s="74" t="s">
        <v>23</v>
      </c>
      <c r="D497" s="74" t="s">
        <v>42</v>
      </c>
      <c r="E497" s="74" t="s">
        <v>25</v>
      </c>
      <c r="F497" s="74" t="s">
        <v>25</v>
      </c>
      <c r="G497" s="74" t="s">
        <v>25</v>
      </c>
      <c r="H497" s="74" t="s">
        <v>25</v>
      </c>
      <c r="I497" s="80">
        <v>44743</v>
      </c>
      <c r="J497" s="81">
        <f>EFEITO!$J$497*EFEITO!$Y$326</f>
        <v>0</v>
      </c>
      <c r="K497" s="81">
        <f ca="1">EFEITO!$L$497*EFEITO!$Z$326</f>
        <v>5265.7888269308469</v>
      </c>
      <c r="L497" s="81">
        <f>EFEITO!$N$497*EFEITO!$AA$326</f>
        <v>2958.8578690522427</v>
      </c>
      <c r="M497" s="81">
        <f>$J$497-EFEITO!$K$497*EFEITO!$Y$497</f>
        <v>0</v>
      </c>
      <c r="N497" s="81">
        <f ca="1">$K$497-EFEITO!$M$497*EFEITO!$Z$497</f>
        <v>315.94732961585123</v>
      </c>
      <c r="O497" s="81">
        <f>$L$497-EFEITO!$O$497*EFEITO!$AA$497</f>
        <v>177.53147214313458</v>
      </c>
      <c r="P497" s="18"/>
      <c r="Q497" s="18"/>
      <c r="R497" s="18"/>
      <c r="S497" s="18"/>
      <c r="T497" s="18"/>
      <c r="U497" s="18"/>
      <c r="V497" s="18"/>
      <c r="W497" s="18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</row>
    <row r="498" spans="1:36" ht="11.25" customHeight="1" x14ac:dyDescent="0.2">
      <c r="A498" s="74" t="s">
        <v>21</v>
      </c>
      <c r="B498" s="74" t="s">
        <v>33</v>
      </c>
      <c r="C498" s="74" t="s">
        <v>50</v>
      </c>
      <c r="D498" s="74" t="s">
        <v>49</v>
      </c>
      <c r="E498" s="74" t="s">
        <v>25</v>
      </c>
      <c r="F498" s="74" t="s">
        <v>25</v>
      </c>
      <c r="G498" s="74" t="s">
        <v>25</v>
      </c>
      <c r="H498" s="74" t="s">
        <v>38</v>
      </c>
      <c r="I498" s="80">
        <v>44409</v>
      </c>
      <c r="J498" s="81">
        <f>EFEITO!$J$498*EFEITO!$Y$498</f>
        <v>0</v>
      </c>
      <c r="K498" s="81">
        <f ca="1">EFEITO!$L$498*EFEITO!$Z$498</f>
        <v>450.67944770845327</v>
      </c>
      <c r="L498" s="81">
        <f>EFEITO!$N$498*EFEITO!$AA$498</f>
        <v>298.81868078518102</v>
      </c>
      <c r="M498" s="81">
        <f>$J$498-EFEITO!$K$498*EFEITO!$Y$498</f>
        <v>0</v>
      </c>
      <c r="N498" s="81">
        <f ca="1">$K$498-EFEITO!$M$498*EFEITO!$Z$498</f>
        <v>0</v>
      </c>
      <c r="O498" s="81">
        <f>$L$498-EFEITO!$O$498*EFEITO!$AA$498</f>
        <v>0</v>
      </c>
      <c r="P498" s="18"/>
      <c r="Q498" s="18"/>
      <c r="R498" s="18"/>
      <c r="S498" s="18"/>
      <c r="T498" s="18"/>
      <c r="U498" s="18"/>
      <c r="V498" s="18"/>
      <c r="W498" s="18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</row>
    <row r="499" spans="1:36" ht="11.25" customHeight="1" x14ac:dyDescent="0.2">
      <c r="A499" s="74" t="s">
        <v>21</v>
      </c>
      <c r="B499" s="74" t="s">
        <v>33</v>
      </c>
      <c r="C499" s="74" t="s">
        <v>50</v>
      </c>
      <c r="D499" s="74" t="s">
        <v>49</v>
      </c>
      <c r="E499" s="74" t="s">
        <v>25</v>
      </c>
      <c r="F499" s="74" t="s">
        <v>25</v>
      </c>
      <c r="G499" s="74" t="s">
        <v>25</v>
      </c>
      <c r="H499" s="74" t="s">
        <v>38</v>
      </c>
      <c r="I499" s="80">
        <v>44440</v>
      </c>
      <c r="J499" s="81">
        <f>EFEITO!$J$499*EFEITO!$Y$499</f>
        <v>0</v>
      </c>
      <c r="K499" s="81">
        <f ca="1">EFEITO!$L$499*EFEITO!$Z$499</f>
        <v>499.11067193980938</v>
      </c>
      <c r="L499" s="81">
        <f>EFEITO!$N$499*EFEITO!$AA$499</f>
        <v>330.9305390188124</v>
      </c>
      <c r="M499" s="81">
        <f>$J$499-EFEITO!$K$499*EFEITO!$Y$499</f>
        <v>0</v>
      </c>
      <c r="N499" s="81">
        <f ca="1">$K$499-EFEITO!$M$499*EFEITO!$Z$499</f>
        <v>0</v>
      </c>
      <c r="O499" s="81">
        <f>$L$499-EFEITO!$O$499*EFEITO!$AA$499</f>
        <v>0</v>
      </c>
      <c r="P499" s="18"/>
      <c r="Q499" s="18"/>
      <c r="R499" s="18"/>
      <c r="S499" s="18"/>
      <c r="T499" s="18"/>
      <c r="U499" s="18"/>
      <c r="V499" s="18"/>
      <c r="W499" s="18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</row>
    <row r="500" spans="1:36" ht="11.25" customHeight="1" x14ac:dyDescent="0.2">
      <c r="A500" s="74" t="s">
        <v>21</v>
      </c>
      <c r="B500" s="74" t="s">
        <v>33</v>
      </c>
      <c r="C500" s="74" t="s">
        <v>50</v>
      </c>
      <c r="D500" s="74" t="s">
        <v>49</v>
      </c>
      <c r="E500" s="74" t="s">
        <v>25</v>
      </c>
      <c r="F500" s="74" t="s">
        <v>25</v>
      </c>
      <c r="G500" s="74" t="s">
        <v>25</v>
      </c>
      <c r="H500" s="74" t="s">
        <v>38</v>
      </c>
      <c r="I500" s="80">
        <v>44470</v>
      </c>
      <c r="J500" s="81">
        <f>EFEITO!$J$500*EFEITO!$Y$500</f>
        <v>0</v>
      </c>
      <c r="K500" s="81">
        <f ca="1">EFEITO!$L$500*EFEITO!$Z$500</f>
        <v>465.47787733470091</v>
      </c>
      <c r="L500" s="81">
        <f>EFEITO!$N$500*EFEITO!$AA$500</f>
        <v>308.63063746767943</v>
      </c>
      <c r="M500" s="81">
        <f>$J$500-EFEITO!$K$500*EFEITO!$Y$500</f>
        <v>0</v>
      </c>
      <c r="N500" s="81">
        <f ca="1">$K$500-EFEITO!$M$500*EFEITO!$Z$500</f>
        <v>0</v>
      </c>
      <c r="O500" s="81">
        <f>$L$500-EFEITO!$O$500*EFEITO!$AA$500</f>
        <v>0</v>
      </c>
      <c r="P500" s="18"/>
      <c r="Q500" s="18"/>
      <c r="R500" s="18"/>
      <c r="S500" s="18"/>
      <c r="T500" s="18"/>
      <c r="U500" s="18"/>
      <c r="V500" s="18"/>
      <c r="W500" s="18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</row>
    <row r="501" spans="1:36" ht="11.25" customHeight="1" x14ac:dyDescent="0.2">
      <c r="A501" s="74" t="s">
        <v>21</v>
      </c>
      <c r="B501" s="74" t="s">
        <v>33</v>
      </c>
      <c r="C501" s="74" t="s">
        <v>50</v>
      </c>
      <c r="D501" s="74" t="s">
        <v>49</v>
      </c>
      <c r="E501" s="74" t="s">
        <v>25</v>
      </c>
      <c r="F501" s="74" t="s">
        <v>25</v>
      </c>
      <c r="G501" s="74" t="s">
        <v>25</v>
      </c>
      <c r="H501" s="74" t="s">
        <v>38</v>
      </c>
      <c r="I501" s="80">
        <v>44501</v>
      </c>
      <c r="J501" s="81">
        <f>EFEITO!$J$501*EFEITO!$Y$501</f>
        <v>0</v>
      </c>
      <c r="K501" s="81">
        <f ca="1">EFEITO!$L$501*EFEITO!$Z$501</f>
        <v>537.1157298435819</v>
      </c>
      <c r="L501" s="81">
        <f>EFEITO!$N$501*EFEITO!$AA$501</f>
        <v>356.12942777159259</v>
      </c>
      <c r="M501" s="81">
        <f>$J$501-EFEITO!$K$501*EFEITO!$Y$501</f>
        <v>0</v>
      </c>
      <c r="N501" s="81">
        <f ca="1">$K$501-EFEITO!$M$501*EFEITO!$Z$501</f>
        <v>0</v>
      </c>
      <c r="O501" s="81">
        <f>$L$501-EFEITO!$O$501*EFEITO!$AA$501</f>
        <v>0</v>
      </c>
      <c r="P501" s="18"/>
      <c r="Q501" s="18"/>
      <c r="R501" s="18"/>
      <c r="S501" s="18"/>
      <c r="T501" s="18"/>
      <c r="U501" s="18"/>
      <c r="V501" s="18"/>
      <c r="W501" s="18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</row>
    <row r="502" spans="1:36" ht="11.25" customHeight="1" x14ac:dyDescent="0.2">
      <c r="A502" s="74" t="s">
        <v>21</v>
      </c>
      <c r="B502" s="74" t="s">
        <v>33</v>
      </c>
      <c r="C502" s="74" t="s">
        <v>50</v>
      </c>
      <c r="D502" s="74" t="s">
        <v>49</v>
      </c>
      <c r="E502" s="74" t="s">
        <v>25</v>
      </c>
      <c r="F502" s="74" t="s">
        <v>25</v>
      </c>
      <c r="G502" s="74" t="s">
        <v>25</v>
      </c>
      <c r="H502" s="74" t="s">
        <v>38</v>
      </c>
      <c r="I502" s="80">
        <v>44531</v>
      </c>
      <c r="J502" s="81">
        <f>EFEITO!$J$502*EFEITO!$Y$502</f>
        <v>0</v>
      </c>
      <c r="K502" s="81">
        <f ca="1">EFEITO!$L$502*EFEITO!$Z$502</f>
        <v>761.44646985965528</v>
      </c>
      <c r="L502" s="81">
        <f>EFEITO!$N$502*EFEITO!$AA$502</f>
        <v>504.86977111764907</v>
      </c>
      <c r="M502" s="81">
        <f>$J$502-EFEITO!$K$502*EFEITO!$Y$502</f>
        <v>0</v>
      </c>
      <c r="N502" s="81">
        <f ca="1">$K$502-EFEITO!$M$502*EFEITO!$Z$502</f>
        <v>0</v>
      </c>
      <c r="O502" s="81">
        <f>$L$502-EFEITO!$O$502*EFEITO!$AA$502</f>
        <v>0</v>
      </c>
      <c r="P502" s="18"/>
      <c r="Q502" s="18"/>
      <c r="R502" s="18"/>
      <c r="S502" s="18"/>
      <c r="T502" s="18"/>
      <c r="U502" s="18"/>
      <c r="V502" s="18"/>
      <c r="W502" s="18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</row>
    <row r="503" spans="1:36" ht="11.25" customHeight="1" x14ac:dyDescent="0.2">
      <c r="A503" s="74" t="s">
        <v>21</v>
      </c>
      <c r="B503" s="74" t="s">
        <v>33</v>
      </c>
      <c r="C503" s="74" t="s">
        <v>50</v>
      </c>
      <c r="D503" s="74" t="s">
        <v>49</v>
      </c>
      <c r="E503" s="74" t="s">
        <v>25</v>
      </c>
      <c r="F503" s="74" t="s">
        <v>25</v>
      </c>
      <c r="G503" s="74" t="s">
        <v>25</v>
      </c>
      <c r="H503" s="74" t="s">
        <v>38</v>
      </c>
      <c r="I503" s="80">
        <v>44562</v>
      </c>
      <c r="J503" s="81">
        <f>EFEITO!$J$503*EFEITO!$Y$503</f>
        <v>0</v>
      </c>
      <c r="K503" s="81">
        <f ca="1">EFEITO!$L$503*EFEITO!$Z$503</f>
        <v>1089.7025452055138</v>
      </c>
      <c r="L503" s="81">
        <f>EFEITO!$N$503*EFEITO!$AA$503</f>
        <v>722.51681025670632</v>
      </c>
      <c r="M503" s="81">
        <f>$J$503-EFEITO!$K$503*EFEITO!$Y$503</f>
        <v>0</v>
      </c>
      <c r="N503" s="81">
        <f ca="1">$K$503-EFEITO!$M$503*EFEITO!$Z$503</f>
        <v>0</v>
      </c>
      <c r="O503" s="81">
        <f>$L$503-EFEITO!$O$503*EFEITO!$AA$503</f>
        <v>0</v>
      </c>
      <c r="P503" s="18"/>
      <c r="Q503" s="18"/>
      <c r="R503" s="18"/>
      <c r="S503" s="18"/>
      <c r="T503" s="18"/>
      <c r="U503" s="18"/>
      <c r="V503" s="18"/>
      <c r="W503" s="18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</row>
    <row r="504" spans="1:36" ht="11.25" customHeight="1" x14ac:dyDescent="0.2">
      <c r="A504" s="74" t="s">
        <v>21</v>
      </c>
      <c r="B504" s="74" t="s">
        <v>33</v>
      </c>
      <c r="C504" s="74" t="s">
        <v>50</v>
      </c>
      <c r="D504" s="74" t="s">
        <v>49</v>
      </c>
      <c r="E504" s="74" t="s">
        <v>25</v>
      </c>
      <c r="F504" s="74" t="s">
        <v>25</v>
      </c>
      <c r="G504" s="74" t="s">
        <v>25</v>
      </c>
      <c r="H504" s="74" t="s">
        <v>38</v>
      </c>
      <c r="I504" s="80">
        <v>44593</v>
      </c>
      <c r="J504" s="81">
        <f>EFEITO!$J$504*EFEITO!$Y$504</f>
        <v>0</v>
      </c>
      <c r="K504" s="81">
        <f ca="1">EFEITO!$L$504*EFEITO!$Z$504</f>
        <v>1608.9928939083882</v>
      </c>
      <c r="L504" s="81">
        <f>EFEITO!$N$504*EFEITO!$AA$504</f>
        <v>1066.8272902061983</v>
      </c>
      <c r="M504" s="81">
        <f>$J$504-EFEITO!$K$504*EFEITO!$Y$504</f>
        <v>0</v>
      </c>
      <c r="N504" s="81">
        <f ca="1">$K$504-EFEITO!$M$504*EFEITO!$Z$504</f>
        <v>0</v>
      </c>
      <c r="O504" s="81">
        <f>$L$504-EFEITO!$O$504*EFEITO!$AA$504</f>
        <v>0</v>
      </c>
      <c r="P504" s="18"/>
      <c r="Q504" s="18"/>
      <c r="R504" s="18"/>
      <c r="S504" s="18"/>
      <c r="T504" s="18"/>
      <c r="U504" s="18"/>
      <c r="V504" s="18"/>
      <c r="W504" s="18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</row>
    <row r="505" spans="1:36" ht="11.25" customHeight="1" x14ac:dyDescent="0.2">
      <c r="A505" s="74" t="s">
        <v>21</v>
      </c>
      <c r="B505" s="74" t="s">
        <v>33</v>
      </c>
      <c r="C505" s="74" t="s">
        <v>50</v>
      </c>
      <c r="D505" s="74" t="s">
        <v>49</v>
      </c>
      <c r="E505" s="74" t="s">
        <v>25</v>
      </c>
      <c r="F505" s="74" t="s">
        <v>25</v>
      </c>
      <c r="G505" s="74" t="s">
        <v>25</v>
      </c>
      <c r="H505" s="74" t="s">
        <v>38</v>
      </c>
      <c r="I505" s="80">
        <v>44621</v>
      </c>
      <c r="J505" s="81">
        <f>EFEITO!$J$505*EFEITO!$Y$505</f>
        <v>0</v>
      </c>
      <c r="K505" s="81">
        <f ca="1">EFEITO!$L$505*EFEITO!$Z$505</f>
        <v>1150.5779034407601</v>
      </c>
      <c r="L505" s="81">
        <f>EFEITO!$N$505*EFEITO!$AA$505</f>
        <v>762.87963206425684</v>
      </c>
      <c r="M505" s="81">
        <f>$J$505-EFEITO!$K$505*EFEITO!$Y$505</f>
        <v>0</v>
      </c>
      <c r="N505" s="81">
        <f ca="1">$K$505-EFEITO!$M$505*EFEITO!$Z$505</f>
        <v>0</v>
      </c>
      <c r="O505" s="81">
        <f>$L$505-EFEITO!$O$505*EFEITO!$AA$505</f>
        <v>0</v>
      </c>
      <c r="P505" s="18"/>
      <c r="Q505" s="18"/>
      <c r="R505" s="18"/>
      <c r="S505" s="18"/>
      <c r="T505" s="18"/>
      <c r="U505" s="18"/>
      <c r="V505" s="18"/>
      <c r="W505" s="18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</row>
    <row r="506" spans="1:36" ht="11.25" customHeight="1" x14ac:dyDescent="0.2">
      <c r="A506" s="74" t="s">
        <v>21</v>
      </c>
      <c r="B506" s="74" t="s">
        <v>33</v>
      </c>
      <c r="C506" s="74" t="s">
        <v>50</v>
      </c>
      <c r="D506" s="74" t="s">
        <v>49</v>
      </c>
      <c r="E506" s="74" t="s">
        <v>25</v>
      </c>
      <c r="F506" s="74" t="s">
        <v>25</v>
      </c>
      <c r="G506" s="74" t="s">
        <v>25</v>
      </c>
      <c r="H506" s="74" t="s">
        <v>38</v>
      </c>
      <c r="I506" s="80">
        <v>44652</v>
      </c>
      <c r="J506" s="81">
        <f>EFEITO!$J$506*EFEITO!$Y$506</f>
        <v>0</v>
      </c>
      <c r="K506" s="81">
        <f ca="1">EFEITO!$L$506*EFEITO!$Z$506</f>
        <v>1056.4060785464565</v>
      </c>
      <c r="L506" s="81">
        <f>EFEITO!$N$506*EFEITO!$AA$506</f>
        <v>700.43990772108475</v>
      </c>
      <c r="M506" s="81">
        <f>$J$506-EFEITO!$K$506*EFEITO!$Y$506</f>
        <v>0</v>
      </c>
      <c r="N506" s="81">
        <f ca="1">$K$506-EFEITO!$M$506*EFEITO!$Z$506</f>
        <v>0</v>
      </c>
      <c r="O506" s="81">
        <f>$L$506-EFEITO!$O$506*EFEITO!$AA$506</f>
        <v>0</v>
      </c>
      <c r="P506" s="18"/>
      <c r="Q506" s="18"/>
      <c r="R506" s="18"/>
      <c r="S506" s="18"/>
      <c r="T506" s="18"/>
      <c r="U506" s="18"/>
      <c r="V506" s="18"/>
      <c r="W506" s="18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</row>
    <row r="507" spans="1:36" ht="11.25" customHeight="1" x14ac:dyDescent="0.2">
      <c r="A507" s="74" t="s">
        <v>21</v>
      </c>
      <c r="B507" s="74" t="s">
        <v>33</v>
      </c>
      <c r="C507" s="74" t="s">
        <v>50</v>
      </c>
      <c r="D507" s="74" t="s">
        <v>49</v>
      </c>
      <c r="E507" s="74" t="s">
        <v>25</v>
      </c>
      <c r="F507" s="74" t="s">
        <v>25</v>
      </c>
      <c r="G507" s="74" t="s">
        <v>25</v>
      </c>
      <c r="H507" s="74" t="s">
        <v>38</v>
      </c>
      <c r="I507" s="80">
        <v>44682</v>
      </c>
      <c r="J507" s="81">
        <f>EFEITO!$J$507*EFEITO!$Y$507</f>
        <v>0</v>
      </c>
      <c r="K507" s="81">
        <f ca="1">EFEITO!$L$507*EFEITO!$Z$507</f>
        <v>626.24263554711933</v>
      </c>
      <c r="L507" s="81">
        <f>EFEITO!$N$507*EFEITO!$AA$507</f>
        <v>415.22416688209483</v>
      </c>
      <c r="M507" s="81">
        <f>$J$507-EFEITO!$K$507*EFEITO!$Y$507</f>
        <v>0</v>
      </c>
      <c r="N507" s="81">
        <f ca="1">$K$507-EFEITO!$M$507*EFEITO!$Z$507</f>
        <v>0</v>
      </c>
      <c r="O507" s="81">
        <f>$L$507-EFEITO!$O$507*EFEITO!$AA$507</f>
        <v>0</v>
      </c>
      <c r="P507" s="18"/>
      <c r="Q507" s="18"/>
      <c r="R507" s="18"/>
      <c r="S507" s="18"/>
      <c r="T507" s="18"/>
      <c r="U507" s="18"/>
      <c r="V507" s="18"/>
      <c r="W507" s="18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</row>
    <row r="508" spans="1:36" ht="11.25" customHeight="1" x14ac:dyDescent="0.2">
      <c r="A508" s="74" t="s">
        <v>21</v>
      </c>
      <c r="B508" s="74" t="s">
        <v>33</v>
      </c>
      <c r="C508" s="74" t="s">
        <v>50</v>
      </c>
      <c r="D508" s="74" t="s">
        <v>49</v>
      </c>
      <c r="E508" s="74" t="s">
        <v>25</v>
      </c>
      <c r="F508" s="74" t="s">
        <v>25</v>
      </c>
      <c r="G508" s="74" t="s">
        <v>25</v>
      </c>
      <c r="H508" s="74" t="s">
        <v>38</v>
      </c>
      <c r="I508" s="80">
        <v>44713</v>
      </c>
      <c r="J508" s="81">
        <f>EFEITO!$J$508*EFEITO!$Y$508</f>
        <v>0</v>
      </c>
      <c r="K508" s="81">
        <f ca="1">EFEITO!$L$508*EFEITO!$Z$508</f>
        <v>450.0067918163511</v>
      </c>
      <c r="L508" s="81">
        <f>EFEITO!$N$508*EFEITO!$AA$508</f>
        <v>298.37268275415835</v>
      </c>
      <c r="M508" s="81">
        <f>$J$508-EFEITO!$K$508*EFEITO!$Y$508</f>
        <v>0</v>
      </c>
      <c r="N508" s="81">
        <f ca="1">$K$508-EFEITO!$M$508*EFEITO!$Z$508</f>
        <v>0</v>
      </c>
      <c r="O508" s="81">
        <f>$L$508-EFEITO!$O$508*EFEITO!$AA$508</f>
        <v>0</v>
      </c>
      <c r="P508" s="18"/>
      <c r="Q508" s="18"/>
      <c r="R508" s="18"/>
      <c r="S508" s="18"/>
      <c r="T508" s="18"/>
      <c r="U508" s="18"/>
      <c r="V508" s="18"/>
      <c r="W508" s="18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</row>
    <row r="509" spans="1:36" ht="11.25" customHeight="1" x14ac:dyDescent="0.2">
      <c r="A509" s="74" t="s">
        <v>55</v>
      </c>
      <c r="B509" s="74" t="s">
        <v>33</v>
      </c>
      <c r="C509" s="74" t="s">
        <v>50</v>
      </c>
      <c r="D509" s="74" t="s">
        <v>49</v>
      </c>
      <c r="E509" s="74" t="s">
        <v>25</v>
      </c>
      <c r="F509" s="74" t="s">
        <v>25</v>
      </c>
      <c r="G509" s="74" t="s">
        <v>25</v>
      </c>
      <c r="H509" s="74" t="s">
        <v>38</v>
      </c>
      <c r="I509" s="80">
        <v>44743</v>
      </c>
      <c r="J509" s="81">
        <f>EFEITO!$J$509*EFEITO!$Y$509</f>
        <v>0</v>
      </c>
      <c r="K509" s="81">
        <f ca="1">EFEITO!$L$509*EFEITO!$Z$509</f>
        <v>450.0067918163511</v>
      </c>
      <c r="L509" s="81">
        <f>EFEITO!$N$509*EFEITO!$AA$509</f>
        <v>298.37268275415835</v>
      </c>
      <c r="M509" s="81">
        <f>$J$509-EFEITO!$K$509*EFEITO!$Y$509</f>
        <v>0</v>
      </c>
      <c r="N509" s="81">
        <f ca="1">$K$509-EFEITO!$M$509*EFEITO!$Z$509</f>
        <v>0</v>
      </c>
      <c r="O509" s="81">
        <f>$L$509-EFEITO!$O$509*EFEITO!$AA$509</f>
        <v>0</v>
      </c>
      <c r="P509" s="18"/>
      <c r="Q509" s="18"/>
      <c r="R509" s="18"/>
      <c r="S509" s="18"/>
      <c r="T509" s="18"/>
      <c r="U509" s="18"/>
      <c r="V509" s="18"/>
      <c r="W509" s="18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</row>
    <row r="510" spans="1:36" ht="11.25" customHeight="1" x14ac:dyDescent="0.2">
      <c r="A510" s="74" t="s">
        <v>21</v>
      </c>
      <c r="B510" s="74" t="s">
        <v>33</v>
      </c>
      <c r="C510" s="74" t="s">
        <v>50</v>
      </c>
      <c r="D510" s="74" t="s">
        <v>49</v>
      </c>
      <c r="E510" s="74" t="s">
        <v>25</v>
      </c>
      <c r="F510" s="74" t="s">
        <v>25</v>
      </c>
      <c r="G510" s="74" t="s">
        <v>25</v>
      </c>
      <c r="H510" s="74" t="s">
        <v>51</v>
      </c>
      <c r="I510" s="80">
        <v>44409</v>
      </c>
      <c r="J510" s="81">
        <f>EFEITO!$J$510*EFEITO!$Y$510</f>
        <v>0</v>
      </c>
      <c r="K510" s="81">
        <f ca="1">EFEITO!$L$510*EFEITO!$Z$510</f>
        <v>62.967815124257193</v>
      </c>
      <c r="L510" s="81">
        <f>EFEITO!$N$510*EFEITO!$AA$510</f>
        <v>19.623913364996959</v>
      </c>
      <c r="M510" s="81">
        <f>$J$510-EFEITO!$K$510*EFEITO!$Y$510</f>
        <v>0</v>
      </c>
      <c r="N510" s="81">
        <f ca="1">$K$510-EFEITO!$M$510*EFEITO!$Z$510</f>
        <v>0</v>
      </c>
      <c r="O510" s="81">
        <f>$L$510-EFEITO!$O$510*EFEITO!$AA$510</f>
        <v>0</v>
      </c>
      <c r="P510" s="18"/>
      <c r="Q510" s="18"/>
      <c r="R510" s="18"/>
      <c r="S510" s="18"/>
      <c r="T510" s="18"/>
      <c r="U510" s="18"/>
      <c r="V510" s="18"/>
      <c r="W510" s="18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</row>
    <row r="511" spans="1:36" ht="11.25" customHeight="1" x14ac:dyDescent="0.2">
      <c r="A511" s="74" t="s">
        <v>21</v>
      </c>
      <c r="B511" s="74" t="s">
        <v>33</v>
      </c>
      <c r="C511" s="74" t="s">
        <v>50</v>
      </c>
      <c r="D511" s="74" t="s">
        <v>49</v>
      </c>
      <c r="E511" s="74" t="s">
        <v>25</v>
      </c>
      <c r="F511" s="74" t="s">
        <v>25</v>
      </c>
      <c r="G511" s="74" t="s">
        <v>25</v>
      </c>
      <c r="H511" s="74" t="s">
        <v>51</v>
      </c>
      <c r="I511" s="80">
        <v>44440</v>
      </c>
      <c r="J511" s="81">
        <f>EFEITO!$J$511*EFEITO!$Y$511</f>
        <v>0</v>
      </c>
      <c r="K511" s="81">
        <f ca="1">EFEITO!$L$511*EFEITO!$Z$511</f>
        <v>72.269878722158836</v>
      </c>
      <c r="L511" s="81">
        <f>EFEITO!$N$511*EFEITO!$AA$511</f>
        <v>22.522900566644243</v>
      </c>
      <c r="M511" s="81">
        <f>$J$511-EFEITO!$K$511*EFEITO!$Y$511</f>
        <v>0</v>
      </c>
      <c r="N511" s="81">
        <f ca="1">$K$511-EFEITO!$M$511*EFEITO!$Z$511</f>
        <v>0</v>
      </c>
      <c r="O511" s="81">
        <f>$L$511-EFEITO!$O$511*EFEITO!$AA$511</f>
        <v>0</v>
      </c>
      <c r="P511" s="18"/>
      <c r="Q511" s="18"/>
      <c r="R511" s="18"/>
      <c r="S511" s="18"/>
      <c r="T511" s="18"/>
      <c r="U511" s="18"/>
      <c r="V511" s="18"/>
      <c r="W511" s="18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</row>
    <row r="512" spans="1:36" ht="11.25" customHeight="1" x14ac:dyDescent="0.2">
      <c r="A512" s="74" t="s">
        <v>21</v>
      </c>
      <c r="B512" s="74" t="s">
        <v>33</v>
      </c>
      <c r="C512" s="74" t="s">
        <v>50</v>
      </c>
      <c r="D512" s="74" t="s">
        <v>49</v>
      </c>
      <c r="E512" s="74" t="s">
        <v>25</v>
      </c>
      <c r="F512" s="74" t="s">
        <v>25</v>
      </c>
      <c r="G512" s="74" t="s">
        <v>25</v>
      </c>
      <c r="H512" s="74" t="s">
        <v>51</v>
      </c>
      <c r="I512" s="80">
        <v>44470</v>
      </c>
      <c r="J512" s="81">
        <f>EFEITO!$J$512*EFEITO!$Y$512</f>
        <v>0</v>
      </c>
      <c r="K512" s="81">
        <f ca="1">EFEITO!$L$512*EFEITO!$Z$512</f>
        <v>65.114445185311411</v>
      </c>
      <c r="L512" s="81">
        <f>EFEITO!$N$512*EFEITO!$AA$512</f>
        <v>20.292910411530947</v>
      </c>
      <c r="M512" s="81">
        <f>$J$512-EFEITO!$K$512*EFEITO!$Y$512</f>
        <v>0</v>
      </c>
      <c r="N512" s="81">
        <f ca="1">$K$512-EFEITO!$M$512*EFEITO!$Z$512</f>
        <v>0</v>
      </c>
      <c r="O512" s="81">
        <f>$L$512-EFEITO!$O$512*EFEITO!$AA$512</f>
        <v>0</v>
      </c>
      <c r="P512" s="18"/>
      <c r="Q512" s="18"/>
      <c r="R512" s="18"/>
      <c r="S512" s="18"/>
      <c r="T512" s="18"/>
      <c r="U512" s="18"/>
      <c r="V512" s="18"/>
      <c r="W512" s="18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</row>
    <row r="513" spans="1:36" ht="11.25" customHeight="1" x14ac:dyDescent="0.2">
      <c r="A513" s="74" t="s">
        <v>21</v>
      </c>
      <c r="B513" s="74" t="s">
        <v>33</v>
      </c>
      <c r="C513" s="74" t="s">
        <v>50</v>
      </c>
      <c r="D513" s="74" t="s">
        <v>49</v>
      </c>
      <c r="E513" s="74" t="s">
        <v>25</v>
      </c>
      <c r="F513" s="74" t="s">
        <v>25</v>
      </c>
      <c r="G513" s="74" t="s">
        <v>25</v>
      </c>
      <c r="H513" s="74" t="s">
        <v>51</v>
      </c>
      <c r="I513" s="80">
        <v>44501</v>
      </c>
      <c r="J513" s="81">
        <f>EFEITO!$J$513*EFEITO!$Y$513</f>
        <v>0</v>
      </c>
      <c r="K513" s="81">
        <f ca="1">EFEITO!$L$513*EFEITO!$Z$513</f>
        <v>70.123248661104611</v>
      </c>
      <c r="L513" s="81">
        <f>EFEITO!$N$513*EFEITO!$AA$513</f>
        <v>21.853903520110254</v>
      </c>
      <c r="M513" s="81">
        <f>$J$513-EFEITO!$K$513*EFEITO!$Y$513</f>
        <v>0</v>
      </c>
      <c r="N513" s="81">
        <f ca="1">$K$513-EFEITO!$M$513*EFEITO!$Z$513</f>
        <v>0</v>
      </c>
      <c r="O513" s="81">
        <f>$L$513-EFEITO!$O$513*EFEITO!$AA$513</f>
        <v>0</v>
      </c>
      <c r="P513" s="18"/>
      <c r="Q513" s="18"/>
      <c r="R513" s="18"/>
      <c r="S513" s="18"/>
      <c r="T513" s="18"/>
      <c r="U513" s="18"/>
      <c r="V513" s="18"/>
      <c r="W513" s="18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</row>
    <row r="514" spans="1:36" ht="11.25" customHeight="1" x14ac:dyDescent="0.2">
      <c r="A514" s="74" t="s">
        <v>21</v>
      </c>
      <c r="B514" s="74" t="s">
        <v>33</v>
      </c>
      <c r="C514" s="74" t="s">
        <v>50</v>
      </c>
      <c r="D514" s="74" t="s">
        <v>49</v>
      </c>
      <c r="E514" s="74" t="s">
        <v>25</v>
      </c>
      <c r="F514" s="74" t="s">
        <v>25</v>
      </c>
      <c r="G514" s="74" t="s">
        <v>25</v>
      </c>
      <c r="H514" s="74" t="s">
        <v>51</v>
      </c>
      <c r="I514" s="80">
        <v>44531</v>
      </c>
      <c r="J514" s="81">
        <f>EFEITO!$J$514*EFEITO!$Y$514</f>
        <v>0</v>
      </c>
      <c r="K514" s="81">
        <f ca="1">EFEITO!$L$514*EFEITO!$Z$514</f>
        <v>76.563138844267272</v>
      </c>
      <c r="L514" s="81">
        <f>EFEITO!$N$514*EFEITO!$AA$514</f>
        <v>23.860894659712212</v>
      </c>
      <c r="M514" s="81">
        <f>$J$514-EFEITO!$K$514*EFEITO!$Y$514</f>
        <v>0</v>
      </c>
      <c r="N514" s="81">
        <f ca="1">$K$514-EFEITO!$M$514*EFEITO!$Z$514</f>
        <v>0</v>
      </c>
      <c r="O514" s="81">
        <f>$L$514-EFEITO!$O$514*EFEITO!$AA$514</f>
        <v>0</v>
      </c>
      <c r="P514" s="18"/>
      <c r="Q514" s="18"/>
      <c r="R514" s="18"/>
      <c r="S514" s="18"/>
      <c r="T514" s="18"/>
      <c r="U514" s="18"/>
      <c r="V514" s="18"/>
      <c r="W514" s="18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</row>
    <row r="515" spans="1:36" ht="11.25" customHeight="1" x14ac:dyDescent="0.2">
      <c r="A515" s="74" t="s">
        <v>21</v>
      </c>
      <c r="B515" s="74" t="s">
        <v>33</v>
      </c>
      <c r="C515" s="74" t="s">
        <v>50</v>
      </c>
      <c r="D515" s="74" t="s">
        <v>49</v>
      </c>
      <c r="E515" s="74" t="s">
        <v>25</v>
      </c>
      <c r="F515" s="74" t="s">
        <v>25</v>
      </c>
      <c r="G515" s="74" t="s">
        <v>25</v>
      </c>
      <c r="H515" s="74" t="s">
        <v>51</v>
      </c>
      <c r="I515" s="80">
        <v>44562</v>
      </c>
      <c r="J515" s="81">
        <f>EFEITO!$J$515*EFEITO!$Y$515</f>
        <v>0</v>
      </c>
      <c r="K515" s="81">
        <f ca="1">EFEITO!$L$515*EFEITO!$Z$515</f>
        <v>115.20247994324328</v>
      </c>
      <c r="L515" s="81">
        <f>EFEITO!$N$515*EFEITO!$AA$515</f>
        <v>35.90284149732399</v>
      </c>
      <c r="M515" s="81">
        <f>$J$515-EFEITO!$K$515*EFEITO!$Y$515</f>
        <v>0</v>
      </c>
      <c r="N515" s="81">
        <f ca="1">$K$515-EFEITO!$M$515*EFEITO!$Z$515</f>
        <v>0</v>
      </c>
      <c r="O515" s="81">
        <f>$L$515-EFEITO!$O$515*EFEITO!$AA$515</f>
        <v>0</v>
      </c>
      <c r="P515" s="18"/>
      <c r="Q515" s="18"/>
      <c r="R515" s="18"/>
      <c r="S515" s="18"/>
      <c r="T515" s="18"/>
      <c r="U515" s="18"/>
      <c r="V515" s="18"/>
      <c r="W515" s="18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</row>
    <row r="516" spans="1:36" ht="11.25" customHeight="1" x14ac:dyDescent="0.2">
      <c r="A516" s="74" t="s">
        <v>21</v>
      </c>
      <c r="B516" s="74" t="s">
        <v>33</v>
      </c>
      <c r="C516" s="74" t="s">
        <v>50</v>
      </c>
      <c r="D516" s="74" t="s">
        <v>49</v>
      </c>
      <c r="E516" s="74" t="s">
        <v>25</v>
      </c>
      <c r="F516" s="74" t="s">
        <v>25</v>
      </c>
      <c r="G516" s="74" t="s">
        <v>25</v>
      </c>
      <c r="H516" s="74" t="s">
        <v>51</v>
      </c>
      <c r="I516" s="80">
        <v>44593</v>
      </c>
      <c r="J516" s="81">
        <f>EFEITO!$J$516*EFEITO!$Y$516</f>
        <v>0</v>
      </c>
      <c r="K516" s="81">
        <f ca="1">EFEITO!$L$516*EFEITO!$Z$516</f>
        <v>162.42834128643617</v>
      </c>
      <c r="L516" s="81">
        <f>EFEITO!$N$516*EFEITO!$AA$516</f>
        <v>50.620776521071711</v>
      </c>
      <c r="M516" s="81">
        <f>$J$516-EFEITO!$K$516*EFEITO!$Y$516</f>
        <v>0</v>
      </c>
      <c r="N516" s="81">
        <f ca="1">$K$516-EFEITO!$M$516*EFEITO!$Z$516</f>
        <v>0</v>
      </c>
      <c r="O516" s="81">
        <f>$L$516-EFEITO!$O$516*EFEITO!$AA$516</f>
        <v>0</v>
      </c>
      <c r="P516" s="18"/>
      <c r="Q516" s="18"/>
      <c r="R516" s="18"/>
      <c r="S516" s="18"/>
      <c r="T516" s="18"/>
      <c r="U516" s="18"/>
      <c r="V516" s="18"/>
      <c r="W516" s="18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</row>
    <row r="517" spans="1:36" ht="11.25" customHeight="1" x14ac:dyDescent="0.2">
      <c r="A517" s="74" t="s">
        <v>21</v>
      </c>
      <c r="B517" s="74" t="s">
        <v>33</v>
      </c>
      <c r="C517" s="74" t="s">
        <v>50</v>
      </c>
      <c r="D517" s="74" t="s">
        <v>49</v>
      </c>
      <c r="E517" s="74" t="s">
        <v>25</v>
      </c>
      <c r="F517" s="74" t="s">
        <v>25</v>
      </c>
      <c r="G517" s="74" t="s">
        <v>25</v>
      </c>
      <c r="H517" s="74" t="s">
        <v>51</v>
      </c>
      <c r="I517" s="80">
        <v>44621</v>
      </c>
      <c r="J517" s="81">
        <f>EFEITO!$J$517*EFEITO!$Y$517</f>
        <v>0</v>
      </c>
      <c r="K517" s="81">
        <f ca="1">EFEITO!$L$517*EFEITO!$Z$517</f>
        <v>128.0822603095686</v>
      </c>
      <c r="L517" s="81">
        <f>EFEITO!$N$517*EFEITO!$AA$517</f>
        <v>39.916823776527906</v>
      </c>
      <c r="M517" s="81">
        <f>$J$517-EFEITO!$K$517*EFEITO!$Y$517</f>
        <v>0</v>
      </c>
      <c r="N517" s="81">
        <f ca="1">$K$517-EFEITO!$M$517*EFEITO!$Z$517</f>
        <v>0</v>
      </c>
      <c r="O517" s="81">
        <f>$L$517-EFEITO!$O$517*EFEITO!$AA$517</f>
        <v>0</v>
      </c>
      <c r="P517" s="18"/>
      <c r="Q517" s="18"/>
      <c r="R517" s="18"/>
      <c r="S517" s="18"/>
      <c r="T517" s="18"/>
      <c r="U517" s="18"/>
      <c r="V517" s="18"/>
      <c r="W517" s="18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</row>
    <row r="518" spans="1:36" ht="11.25" customHeight="1" x14ac:dyDescent="0.2">
      <c r="A518" s="74" t="s">
        <v>21</v>
      </c>
      <c r="B518" s="74" t="s">
        <v>33</v>
      </c>
      <c r="C518" s="74" t="s">
        <v>50</v>
      </c>
      <c r="D518" s="74" t="s">
        <v>49</v>
      </c>
      <c r="E518" s="74" t="s">
        <v>25</v>
      </c>
      <c r="F518" s="74" t="s">
        <v>25</v>
      </c>
      <c r="G518" s="74" t="s">
        <v>25</v>
      </c>
      <c r="H518" s="74" t="s">
        <v>51</v>
      </c>
      <c r="I518" s="80">
        <v>44652</v>
      </c>
      <c r="J518" s="81">
        <f>EFEITO!$J$518*EFEITO!$Y$518</f>
        <v>0</v>
      </c>
      <c r="K518" s="81">
        <f ca="1">EFEITO!$L$518*EFEITO!$Z$518</f>
        <v>135.95323720010077</v>
      </c>
      <c r="L518" s="81">
        <f>EFEITO!$N$518*EFEITO!$AA$518</f>
        <v>42.369812947152532</v>
      </c>
      <c r="M518" s="81">
        <f>$J$518-EFEITO!$K$518*EFEITO!$Y$518</f>
        <v>0</v>
      </c>
      <c r="N518" s="81">
        <f ca="1">$K$518-EFEITO!$M$518*EFEITO!$Z$518</f>
        <v>0</v>
      </c>
      <c r="O518" s="81">
        <f>$L$518-EFEITO!$O$518*EFEITO!$AA$518</f>
        <v>0</v>
      </c>
      <c r="P518" s="18"/>
      <c r="Q518" s="18"/>
      <c r="R518" s="18"/>
      <c r="S518" s="18"/>
      <c r="T518" s="18"/>
      <c r="U518" s="18"/>
      <c r="V518" s="18"/>
      <c r="W518" s="18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</row>
    <row r="519" spans="1:36" ht="11.25" customHeight="1" x14ac:dyDescent="0.2">
      <c r="A519" s="74" t="s">
        <v>21</v>
      </c>
      <c r="B519" s="74" t="s">
        <v>33</v>
      </c>
      <c r="C519" s="74" t="s">
        <v>50</v>
      </c>
      <c r="D519" s="74" t="s">
        <v>49</v>
      </c>
      <c r="E519" s="74" t="s">
        <v>25</v>
      </c>
      <c r="F519" s="74" t="s">
        <v>25</v>
      </c>
      <c r="G519" s="74" t="s">
        <v>25</v>
      </c>
      <c r="H519" s="74" t="s">
        <v>51</v>
      </c>
      <c r="I519" s="80">
        <v>44682</v>
      </c>
      <c r="J519" s="81">
        <f>EFEITO!$J$519*EFEITO!$Y$519</f>
        <v>0</v>
      </c>
      <c r="K519" s="81">
        <f ca="1">EFEITO!$L$519*EFEITO!$Z$519</f>
        <v>83.003029027429946</v>
      </c>
      <c r="L519" s="81">
        <f>EFEITO!$N$519*EFEITO!$AA$519</f>
        <v>25.867885799314177</v>
      </c>
      <c r="M519" s="81">
        <f>$J$519-EFEITO!$K$519*EFEITO!$Y$519</f>
        <v>0</v>
      </c>
      <c r="N519" s="81">
        <f ca="1">$K$519-EFEITO!$M$519*EFEITO!$Z$519</f>
        <v>0</v>
      </c>
      <c r="O519" s="81">
        <f>$L$519-EFEITO!$O$519*EFEITO!$AA$519</f>
        <v>0</v>
      </c>
      <c r="P519" s="18"/>
      <c r="Q519" s="18"/>
      <c r="R519" s="18"/>
      <c r="S519" s="18"/>
      <c r="T519" s="18"/>
      <c r="U519" s="18"/>
      <c r="V519" s="18"/>
      <c r="W519" s="18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</row>
    <row r="520" spans="1:36" ht="11.25" customHeight="1" x14ac:dyDescent="0.2">
      <c r="A520" s="74" t="s">
        <v>21</v>
      </c>
      <c r="B520" s="74" t="s">
        <v>33</v>
      </c>
      <c r="C520" s="74" t="s">
        <v>50</v>
      </c>
      <c r="D520" s="74" t="s">
        <v>49</v>
      </c>
      <c r="E520" s="74" t="s">
        <v>25</v>
      </c>
      <c r="F520" s="74" t="s">
        <v>25</v>
      </c>
      <c r="G520" s="74" t="s">
        <v>25</v>
      </c>
      <c r="H520" s="74" t="s">
        <v>51</v>
      </c>
      <c r="I520" s="80">
        <v>44713</v>
      </c>
      <c r="J520" s="81">
        <f>EFEITO!$J$520*EFEITO!$Y$520</f>
        <v>0</v>
      </c>
      <c r="K520" s="81">
        <f ca="1">EFEITO!$L$520*EFEITO!$Z$520</f>
        <v>62.967815124257193</v>
      </c>
      <c r="L520" s="81">
        <f>EFEITO!$N$520*EFEITO!$AA$520</f>
        <v>19.623913364996959</v>
      </c>
      <c r="M520" s="81">
        <f>$J$520-EFEITO!$K$520*EFEITO!$Y$520</f>
        <v>0</v>
      </c>
      <c r="N520" s="81">
        <f ca="1">$K$520-EFEITO!$M$520*EFEITO!$Z$520</f>
        <v>0</v>
      </c>
      <c r="O520" s="81">
        <f>$L$520-EFEITO!$O$520*EFEITO!$AA$520</f>
        <v>0</v>
      </c>
      <c r="P520" s="18"/>
      <c r="Q520" s="18"/>
      <c r="R520" s="18"/>
      <c r="S520" s="18"/>
      <c r="T520" s="18"/>
      <c r="U520" s="18"/>
      <c r="V520" s="18"/>
      <c r="W520" s="18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</row>
    <row r="521" spans="1:36" ht="11.25" customHeight="1" x14ac:dyDescent="0.2">
      <c r="A521" s="74" t="s">
        <v>55</v>
      </c>
      <c r="B521" s="74" t="s">
        <v>33</v>
      </c>
      <c r="C521" s="74" t="s">
        <v>50</v>
      </c>
      <c r="D521" s="74" t="s">
        <v>49</v>
      </c>
      <c r="E521" s="74" t="s">
        <v>25</v>
      </c>
      <c r="F521" s="74" t="s">
        <v>25</v>
      </c>
      <c r="G521" s="74" t="s">
        <v>25</v>
      </c>
      <c r="H521" s="74" t="s">
        <v>51</v>
      </c>
      <c r="I521" s="80">
        <v>44743</v>
      </c>
      <c r="J521" s="81">
        <f>EFEITO!$J$521*EFEITO!$Y$521</f>
        <v>0</v>
      </c>
      <c r="K521" s="81">
        <f ca="1">EFEITO!$L$521*EFEITO!$Z$521</f>
        <v>62.967815124257193</v>
      </c>
      <c r="L521" s="81">
        <f>EFEITO!$N$521*EFEITO!$AA$521</f>
        <v>19.623913364996959</v>
      </c>
      <c r="M521" s="81">
        <f>$J$521-EFEITO!$K$521*EFEITO!$Y$521</f>
        <v>0</v>
      </c>
      <c r="N521" s="81">
        <f ca="1">$K$521-EFEITO!$M$521*EFEITO!$Z$521</f>
        <v>0</v>
      </c>
      <c r="O521" s="81">
        <f>$L$521-EFEITO!$O$521*EFEITO!$AA$521</f>
        <v>0</v>
      </c>
      <c r="P521" s="18"/>
      <c r="Q521" s="18"/>
      <c r="R521" s="18"/>
      <c r="S521" s="18"/>
      <c r="T521" s="18"/>
      <c r="U521" s="18"/>
      <c r="V521" s="18"/>
      <c r="W521" s="18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</row>
    <row r="522" spans="1:36" ht="11.25" customHeight="1" x14ac:dyDescent="0.2">
      <c r="A522" s="74" t="s">
        <v>21</v>
      </c>
      <c r="B522" s="74" t="s">
        <v>33</v>
      </c>
      <c r="C522" s="74" t="s">
        <v>50</v>
      </c>
      <c r="D522" s="74" t="s">
        <v>49</v>
      </c>
      <c r="E522" s="74" t="s">
        <v>25</v>
      </c>
      <c r="F522" s="74" t="s">
        <v>25</v>
      </c>
      <c r="G522" s="74" t="s">
        <v>25</v>
      </c>
      <c r="H522" s="74" t="s">
        <v>37</v>
      </c>
      <c r="I522" s="80">
        <v>44409</v>
      </c>
      <c r="J522" s="81">
        <f>EFEITO!$J$522*EFEITO!$Y$522</f>
        <v>0</v>
      </c>
      <c r="K522" s="81">
        <f ca="1">EFEITO!$L$522*EFEITO!$Z$522</f>
        <v>77.727879382572226</v>
      </c>
      <c r="L522" s="81">
        <f>EFEITO!$N$522*EFEITO!$AA$522</f>
        <v>25.754256152306276</v>
      </c>
      <c r="M522" s="81">
        <f>$J$522-EFEITO!$K$522*EFEITO!$Y$522</f>
        <v>0</v>
      </c>
      <c r="N522" s="81">
        <f ca="1">$K$522-EFEITO!$M$522*EFEITO!$Z$522</f>
        <v>0</v>
      </c>
      <c r="O522" s="81">
        <f>$L$522-EFEITO!$O$522*EFEITO!$AA$522</f>
        <v>0</v>
      </c>
      <c r="P522" s="18"/>
      <c r="Q522" s="18"/>
      <c r="R522" s="18"/>
      <c r="S522" s="18"/>
      <c r="T522" s="18"/>
      <c r="U522" s="18"/>
      <c r="V522" s="18"/>
      <c r="W522" s="18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</row>
    <row r="523" spans="1:36" ht="11.25" customHeight="1" x14ac:dyDescent="0.2">
      <c r="A523" s="74" t="s">
        <v>21</v>
      </c>
      <c r="B523" s="74" t="s">
        <v>33</v>
      </c>
      <c r="C523" s="74" t="s">
        <v>50</v>
      </c>
      <c r="D523" s="74" t="s">
        <v>49</v>
      </c>
      <c r="E523" s="74" t="s">
        <v>25</v>
      </c>
      <c r="F523" s="74" t="s">
        <v>25</v>
      </c>
      <c r="G523" s="74" t="s">
        <v>25</v>
      </c>
      <c r="H523" s="74" t="s">
        <v>37</v>
      </c>
      <c r="I523" s="80">
        <v>44440</v>
      </c>
      <c r="J523" s="81">
        <f>EFEITO!$J$523*EFEITO!$Y$523</f>
        <v>0</v>
      </c>
      <c r="K523" s="81">
        <f ca="1">EFEITO!$L$523*EFEITO!$Z$523</f>
        <v>94.149262350721287</v>
      </c>
      <c r="L523" s="81">
        <f>EFEITO!$N$523*EFEITO!$AA$523</f>
        <v>31.195296184483659</v>
      </c>
      <c r="M523" s="81">
        <f>$J$523-EFEITO!$K$523*EFEITO!$Y$523</f>
        <v>0</v>
      </c>
      <c r="N523" s="81">
        <f ca="1">$K$523-EFEITO!$M$523*EFEITO!$Z$523</f>
        <v>0</v>
      </c>
      <c r="O523" s="81">
        <f>$L$523-EFEITO!$O$523*EFEITO!$AA$523</f>
        <v>0</v>
      </c>
      <c r="P523" s="18"/>
      <c r="Q523" s="18"/>
      <c r="R523" s="18"/>
      <c r="S523" s="18"/>
      <c r="T523" s="18"/>
      <c r="U523" s="18"/>
      <c r="V523" s="18"/>
      <c r="W523" s="18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</row>
    <row r="524" spans="1:36" ht="11.25" customHeight="1" x14ac:dyDescent="0.2">
      <c r="A524" s="74" t="s">
        <v>21</v>
      </c>
      <c r="B524" s="74" t="s">
        <v>33</v>
      </c>
      <c r="C524" s="74" t="s">
        <v>50</v>
      </c>
      <c r="D524" s="74" t="s">
        <v>49</v>
      </c>
      <c r="E524" s="74" t="s">
        <v>25</v>
      </c>
      <c r="F524" s="74" t="s">
        <v>25</v>
      </c>
      <c r="G524" s="74" t="s">
        <v>25</v>
      </c>
      <c r="H524" s="74" t="s">
        <v>37</v>
      </c>
      <c r="I524" s="80">
        <v>44470</v>
      </c>
      <c r="J524" s="81">
        <f>EFEITO!$J$524*EFEITO!$Y$524</f>
        <v>0</v>
      </c>
      <c r="K524" s="81">
        <f ca="1">EFEITO!$L$524*EFEITO!$Z$524</f>
        <v>96.338780079807833</v>
      </c>
      <c r="L524" s="81">
        <f>EFEITO!$N$524*EFEITO!$AA$524</f>
        <v>31.920768188773977</v>
      </c>
      <c r="M524" s="81">
        <f>$J$524-EFEITO!$K$524*EFEITO!$Y$524</f>
        <v>0</v>
      </c>
      <c r="N524" s="81">
        <f ca="1">$K$524-EFEITO!$M$524*EFEITO!$Z$524</f>
        <v>0</v>
      </c>
      <c r="O524" s="81">
        <f>$L$524-EFEITO!$O$524*EFEITO!$AA$524</f>
        <v>0</v>
      </c>
      <c r="P524" s="18"/>
      <c r="Q524" s="18"/>
      <c r="R524" s="18"/>
      <c r="S524" s="18"/>
      <c r="T524" s="18"/>
      <c r="U524" s="18"/>
      <c r="V524" s="18"/>
      <c r="W524" s="18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</row>
    <row r="525" spans="1:36" ht="11.25" customHeight="1" x14ac:dyDescent="0.2">
      <c r="A525" s="74" t="s">
        <v>21</v>
      </c>
      <c r="B525" s="74" t="s">
        <v>33</v>
      </c>
      <c r="C525" s="74" t="s">
        <v>50</v>
      </c>
      <c r="D525" s="74" t="s">
        <v>49</v>
      </c>
      <c r="E525" s="74" t="s">
        <v>25</v>
      </c>
      <c r="F525" s="74" t="s">
        <v>25</v>
      </c>
      <c r="G525" s="74" t="s">
        <v>25</v>
      </c>
      <c r="H525" s="74" t="s">
        <v>37</v>
      </c>
      <c r="I525" s="80">
        <v>44501</v>
      </c>
      <c r="J525" s="81">
        <f>EFEITO!$J$525*EFEITO!$Y$525</f>
        <v>0</v>
      </c>
      <c r="K525" s="81">
        <f ca="1">EFEITO!$L$525*EFEITO!$Z$525</f>
        <v>70.064567330769336</v>
      </c>
      <c r="L525" s="81">
        <f>EFEITO!$N$525*EFEITO!$AA$525</f>
        <v>23.215104137290169</v>
      </c>
      <c r="M525" s="81">
        <f>$J$525-EFEITO!$K$525*EFEITO!$Y$525</f>
        <v>0</v>
      </c>
      <c r="N525" s="81">
        <f ca="1">$K$525-EFEITO!$M$525*EFEITO!$Z$525</f>
        <v>0</v>
      </c>
      <c r="O525" s="81">
        <f>$L$525-EFEITO!$O$525*EFEITO!$AA$525</f>
        <v>0</v>
      </c>
      <c r="P525" s="18"/>
      <c r="Q525" s="18"/>
      <c r="R525" s="18"/>
      <c r="S525" s="18"/>
      <c r="T525" s="18"/>
      <c r="U525" s="18"/>
      <c r="V525" s="18"/>
      <c r="W525" s="18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</row>
    <row r="526" spans="1:36" ht="11.25" customHeight="1" x14ac:dyDescent="0.2">
      <c r="A526" s="74" t="s">
        <v>21</v>
      </c>
      <c r="B526" s="74" t="s">
        <v>33</v>
      </c>
      <c r="C526" s="74" t="s">
        <v>50</v>
      </c>
      <c r="D526" s="74" t="s">
        <v>49</v>
      </c>
      <c r="E526" s="74" t="s">
        <v>25</v>
      </c>
      <c r="F526" s="74" t="s">
        <v>25</v>
      </c>
      <c r="G526" s="74" t="s">
        <v>25</v>
      </c>
      <c r="H526" s="74" t="s">
        <v>37</v>
      </c>
      <c r="I526" s="80">
        <v>44531</v>
      </c>
      <c r="J526" s="81">
        <f>EFEITO!$J$526*EFEITO!$Y$526</f>
        <v>0</v>
      </c>
      <c r="K526" s="81">
        <f ca="1">EFEITO!$L$526*EFEITO!$Z$526</f>
        <v>78.822638247115492</v>
      </c>
      <c r="L526" s="81">
        <f>EFEITO!$N$526*EFEITO!$AA$526</f>
        <v>26.116992154451435</v>
      </c>
      <c r="M526" s="81">
        <f>$J$526-EFEITO!$K$526*EFEITO!$Y$526</f>
        <v>0</v>
      </c>
      <c r="N526" s="81">
        <f ca="1">$K$526-EFEITO!$M$526*EFEITO!$Z$526</f>
        <v>0</v>
      </c>
      <c r="O526" s="81">
        <f>$L$526-EFEITO!$O$526*EFEITO!$AA$526</f>
        <v>0</v>
      </c>
      <c r="P526" s="18"/>
      <c r="Q526" s="18"/>
      <c r="R526" s="18"/>
      <c r="S526" s="18"/>
      <c r="T526" s="18"/>
      <c r="U526" s="18"/>
      <c r="V526" s="18"/>
      <c r="W526" s="18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</row>
    <row r="527" spans="1:36" ht="11.25" customHeight="1" x14ac:dyDescent="0.2">
      <c r="A527" s="74" t="s">
        <v>21</v>
      </c>
      <c r="B527" s="74" t="s">
        <v>33</v>
      </c>
      <c r="C527" s="74" t="s">
        <v>50</v>
      </c>
      <c r="D527" s="74" t="s">
        <v>49</v>
      </c>
      <c r="E527" s="74" t="s">
        <v>25</v>
      </c>
      <c r="F527" s="74" t="s">
        <v>25</v>
      </c>
      <c r="G527" s="74" t="s">
        <v>25</v>
      </c>
      <c r="H527" s="74" t="s">
        <v>37</v>
      </c>
      <c r="I527" s="80">
        <v>44562</v>
      </c>
      <c r="J527" s="81">
        <f>EFEITO!$J$527*EFEITO!$Y$527</f>
        <v>0</v>
      </c>
      <c r="K527" s="81">
        <f ca="1">EFEITO!$L$527*EFEITO!$Z$527</f>
        <v>147.79244671334158</v>
      </c>
      <c r="L527" s="81">
        <f>EFEITO!$N$527*EFEITO!$AA$527</f>
        <v>48.969360289596452</v>
      </c>
      <c r="M527" s="81">
        <f>$J$527-EFEITO!$K$527*EFEITO!$Y$527</f>
        <v>0</v>
      </c>
      <c r="N527" s="81">
        <f ca="1">$K$527-EFEITO!$M$527*EFEITO!$Z$527</f>
        <v>0</v>
      </c>
      <c r="O527" s="81">
        <f>$L$527-EFEITO!$O$527*EFEITO!$AA$527</f>
        <v>0</v>
      </c>
      <c r="P527" s="18"/>
      <c r="Q527" s="18"/>
      <c r="R527" s="18"/>
      <c r="S527" s="18"/>
      <c r="T527" s="18"/>
      <c r="U527" s="18"/>
      <c r="V527" s="18"/>
      <c r="W527" s="18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</row>
    <row r="528" spans="1:36" ht="11.25" customHeight="1" x14ac:dyDescent="0.2">
      <c r="A528" s="74" t="s">
        <v>21</v>
      </c>
      <c r="B528" s="74" t="s">
        <v>33</v>
      </c>
      <c r="C528" s="74" t="s">
        <v>50</v>
      </c>
      <c r="D528" s="74" t="s">
        <v>49</v>
      </c>
      <c r="E528" s="74" t="s">
        <v>25</v>
      </c>
      <c r="F528" s="74" t="s">
        <v>25</v>
      </c>
      <c r="G528" s="74" t="s">
        <v>25</v>
      </c>
      <c r="H528" s="74" t="s">
        <v>37</v>
      </c>
      <c r="I528" s="80">
        <v>44593</v>
      </c>
      <c r="J528" s="81">
        <f>EFEITO!$J$528*EFEITO!$Y$528</f>
        <v>0</v>
      </c>
      <c r="K528" s="81">
        <f ca="1">EFEITO!$L$528*EFEITO!$Z$528</f>
        <v>117.13919850612999</v>
      </c>
      <c r="L528" s="81">
        <f>EFEITO!$N$528*EFEITO!$AA$528</f>
        <v>38.812752229531995</v>
      </c>
      <c r="M528" s="81">
        <f>$J$528-EFEITO!$K$528*EFEITO!$Y$528</f>
        <v>0</v>
      </c>
      <c r="N528" s="81">
        <f ca="1">$K$528-EFEITO!$M$528*EFEITO!$Z$528</f>
        <v>0</v>
      </c>
      <c r="O528" s="81">
        <f>$L$528-EFEITO!$O$528*EFEITO!$AA$528</f>
        <v>0</v>
      </c>
      <c r="P528" s="18"/>
      <c r="Q528" s="18"/>
      <c r="R528" s="18"/>
      <c r="S528" s="18"/>
      <c r="T528" s="18"/>
      <c r="U528" s="18"/>
      <c r="V528" s="18"/>
      <c r="W528" s="18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</row>
    <row r="529" spans="1:36" ht="11.25" customHeight="1" x14ac:dyDescent="0.2">
      <c r="A529" s="74" t="s">
        <v>21</v>
      </c>
      <c r="B529" s="74" t="s">
        <v>33</v>
      </c>
      <c r="C529" s="74" t="s">
        <v>50</v>
      </c>
      <c r="D529" s="74" t="s">
        <v>49</v>
      </c>
      <c r="E529" s="74" t="s">
        <v>25</v>
      </c>
      <c r="F529" s="74" t="s">
        <v>25</v>
      </c>
      <c r="G529" s="74" t="s">
        <v>25</v>
      </c>
      <c r="H529" s="74" t="s">
        <v>37</v>
      </c>
      <c r="I529" s="80">
        <v>44621</v>
      </c>
      <c r="J529" s="81">
        <f>EFEITO!$J$529*EFEITO!$Y$529</f>
        <v>0</v>
      </c>
      <c r="K529" s="81">
        <f ca="1">EFEITO!$L$529*EFEITO!$Z$529</f>
        <v>133.56058147427905</v>
      </c>
      <c r="L529" s="81">
        <f>EFEITO!$N$529*EFEITO!$AA$529</f>
        <v>44.253792261709378</v>
      </c>
      <c r="M529" s="81">
        <f>$J$529-EFEITO!$K$529*EFEITO!$Y$529</f>
        <v>0</v>
      </c>
      <c r="N529" s="81">
        <f ca="1">$K$529-EFEITO!$M$529*EFEITO!$Z$529</f>
        <v>0</v>
      </c>
      <c r="O529" s="81">
        <f>$L$529-EFEITO!$O$529*EFEITO!$AA$529</f>
        <v>0</v>
      </c>
      <c r="P529" s="18"/>
      <c r="Q529" s="18"/>
      <c r="R529" s="18"/>
      <c r="S529" s="18"/>
      <c r="T529" s="18"/>
      <c r="U529" s="18"/>
      <c r="V529" s="18"/>
      <c r="W529" s="18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</row>
    <row r="530" spans="1:36" ht="11.25" customHeight="1" x14ac:dyDescent="0.2">
      <c r="A530" s="74" t="s">
        <v>21</v>
      </c>
      <c r="B530" s="74" t="s">
        <v>33</v>
      </c>
      <c r="C530" s="74" t="s">
        <v>50</v>
      </c>
      <c r="D530" s="74" t="s">
        <v>49</v>
      </c>
      <c r="E530" s="74" t="s">
        <v>25</v>
      </c>
      <c r="F530" s="74" t="s">
        <v>25</v>
      </c>
      <c r="G530" s="74" t="s">
        <v>25</v>
      </c>
      <c r="H530" s="74" t="s">
        <v>37</v>
      </c>
      <c r="I530" s="80">
        <v>44652</v>
      </c>
      <c r="J530" s="81">
        <f>EFEITO!$J$530*EFEITO!$Y$530</f>
        <v>0</v>
      </c>
      <c r="K530" s="81">
        <f ca="1">EFEITO!$L$530*EFEITO!$Z$530</f>
        <v>163.11907081694736</v>
      </c>
      <c r="L530" s="81">
        <f>EFEITO!$N$530*EFEITO!$AA$530</f>
        <v>54.047664319628666</v>
      </c>
      <c r="M530" s="81">
        <f>$J$530-EFEITO!$K$530*EFEITO!$Y$530</f>
        <v>0</v>
      </c>
      <c r="N530" s="81">
        <f ca="1">$K$530-EFEITO!$M$530*EFEITO!$Z$530</f>
        <v>0</v>
      </c>
      <c r="O530" s="81">
        <f>$L$530-EFEITO!$O$530*EFEITO!$AA$530</f>
        <v>0</v>
      </c>
      <c r="P530" s="18"/>
      <c r="Q530" s="18"/>
      <c r="R530" s="18"/>
      <c r="S530" s="18"/>
      <c r="T530" s="18"/>
      <c r="U530" s="18"/>
      <c r="V530" s="18"/>
      <c r="W530" s="18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</row>
    <row r="531" spans="1:36" ht="11.25" customHeight="1" x14ac:dyDescent="0.2">
      <c r="A531" s="74" t="s">
        <v>21</v>
      </c>
      <c r="B531" s="74" t="s">
        <v>33</v>
      </c>
      <c r="C531" s="74" t="s">
        <v>50</v>
      </c>
      <c r="D531" s="74" t="s">
        <v>49</v>
      </c>
      <c r="E531" s="74" t="s">
        <v>25</v>
      </c>
      <c r="F531" s="74" t="s">
        <v>25</v>
      </c>
      <c r="G531" s="74" t="s">
        <v>25</v>
      </c>
      <c r="H531" s="74" t="s">
        <v>37</v>
      </c>
      <c r="I531" s="80">
        <v>44682</v>
      </c>
      <c r="J531" s="81">
        <f>EFEITO!$J$531*EFEITO!$Y$531</f>
        <v>0</v>
      </c>
      <c r="K531" s="81">
        <f ca="1">EFEITO!$L$531*EFEITO!$Z$531</f>
        <v>100.71781553798093</v>
      </c>
      <c r="L531" s="81">
        <f>EFEITO!$N$531*EFEITO!$AA$531</f>
        <v>33.371712197354611</v>
      </c>
      <c r="M531" s="81">
        <f>$J$531-EFEITO!$K$531*EFEITO!$Y$531</f>
        <v>0</v>
      </c>
      <c r="N531" s="81">
        <f ca="1">$K$531-EFEITO!$M$531*EFEITO!$Z$531</f>
        <v>0</v>
      </c>
      <c r="O531" s="81">
        <f>$L$531-EFEITO!$O$531*EFEITO!$AA$531</f>
        <v>0</v>
      </c>
      <c r="P531" s="18"/>
      <c r="Q531" s="18"/>
      <c r="R531" s="18"/>
      <c r="S531" s="18"/>
      <c r="T531" s="18"/>
      <c r="U531" s="18"/>
      <c r="V531" s="18"/>
      <c r="W531" s="18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</row>
    <row r="532" spans="1:36" ht="11.25" customHeight="1" x14ac:dyDescent="0.2">
      <c r="A532" s="74" t="s">
        <v>21</v>
      </c>
      <c r="B532" s="74" t="s">
        <v>33</v>
      </c>
      <c r="C532" s="74" t="s">
        <v>50</v>
      </c>
      <c r="D532" s="74" t="s">
        <v>49</v>
      </c>
      <c r="E532" s="74" t="s">
        <v>25</v>
      </c>
      <c r="F532" s="74" t="s">
        <v>25</v>
      </c>
      <c r="G532" s="74" t="s">
        <v>25</v>
      </c>
      <c r="H532" s="74" t="s">
        <v>37</v>
      </c>
      <c r="I532" s="80">
        <v>44713</v>
      </c>
      <c r="J532" s="81">
        <f>EFEITO!$J$532*EFEITO!$Y$532</f>
        <v>0</v>
      </c>
      <c r="K532" s="81">
        <f ca="1">EFEITO!$L$532*EFEITO!$Z$532</f>
        <v>84.29643256983185</v>
      </c>
      <c r="L532" s="81">
        <f>EFEITO!$N$532*EFEITO!$AA$532</f>
        <v>27.930672165177231</v>
      </c>
      <c r="M532" s="81">
        <f>$J$532-EFEITO!$K$532*EFEITO!$Y$532</f>
        <v>0</v>
      </c>
      <c r="N532" s="81">
        <f ca="1">$K$532-EFEITO!$M$532*EFEITO!$Z$532</f>
        <v>0</v>
      </c>
      <c r="O532" s="81">
        <f>$L$532-EFEITO!$O$532*EFEITO!$AA$532</f>
        <v>0</v>
      </c>
      <c r="P532" s="18"/>
      <c r="Q532" s="18"/>
      <c r="R532" s="18"/>
      <c r="S532" s="18"/>
      <c r="T532" s="18"/>
      <c r="U532" s="18"/>
      <c r="V532" s="18"/>
      <c r="W532" s="18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</row>
    <row r="533" spans="1:36" ht="11.25" customHeight="1" x14ac:dyDescent="0.2">
      <c r="A533" s="74" t="s">
        <v>55</v>
      </c>
      <c r="B533" s="74" t="s">
        <v>33</v>
      </c>
      <c r="C533" s="74" t="s">
        <v>50</v>
      </c>
      <c r="D533" s="74" t="s">
        <v>49</v>
      </c>
      <c r="E533" s="74" t="s">
        <v>25</v>
      </c>
      <c r="F533" s="74" t="s">
        <v>25</v>
      </c>
      <c r="G533" s="74" t="s">
        <v>25</v>
      </c>
      <c r="H533" s="74" t="s">
        <v>37</v>
      </c>
      <c r="I533" s="80">
        <v>44743</v>
      </c>
      <c r="J533" s="81">
        <f>EFEITO!$J$533*EFEITO!$Y$533</f>
        <v>0</v>
      </c>
      <c r="K533" s="81">
        <f ca="1">EFEITO!$L$533*EFEITO!$Z$533</f>
        <v>84.29643256983185</v>
      </c>
      <c r="L533" s="81">
        <f>EFEITO!$N$533*EFEITO!$AA$533</f>
        <v>27.930672165177231</v>
      </c>
      <c r="M533" s="81">
        <f>$J$533-EFEITO!$K$533*EFEITO!$Y$533</f>
        <v>0</v>
      </c>
      <c r="N533" s="81">
        <f ca="1">$K$533-EFEITO!$M$533*EFEITO!$Z$533</f>
        <v>0</v>
      </c>
      <c r="O533" s="81">
        <f>$L$533-EFEITO!$O$533*EFEITO!$AA$533</f>
        <v>0</v>
      </c>
      <c r="P533" s="18"/>
      <c r="Q533" s="18"/>
      <c r="R533" s="18"/>
      <c r="S533" s="18"/>
      <c r="T533" s="18"/>
      <c r="U533" s="18"/>
      <c r="V533" s="18"/>
      <c r="W533" s="18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</row>
    <row r="534" spans="1:36" ht="11.25" customHeight="1" x14ac:dyDescent="0.2">
      <c r="A534" s="74" t="s">
        <v>21</v>
      </c>
      <c r="B534" s="74" t="s">
        <v>33</v>
      </c>
      <c r="C534" s="74" t="s">
        <v>23</v>
      </c>
      <c r="D534" s="74" t="s">
        <v>40</v>
      </c>
      <c r="E534" s="74" t="s">
        <v>25</v>
      </c>
      <c r="F534" s="74" t="s">
        <v>25</v>
      </c>
      <c r="G534" s="74" t="s">
        <v>25</v>
      </c>
      <c r="H534" s="74" t="s">
        <v>25</v>
      </c>
      <c r="I534" s="80">
        <v>44409</v>
      </c>
      <c r="J534" s="81">
        <f>EFEITO!$J$534*EFEITO!$Y$534</f>
        <v>0</v>
      </c>
      <c r="K534" s="81">
        <f ca="1">EFEITO!$L$534*EFEITO!$Z$534</f>
        <v>618649.17502857558</v>
      </c>
      <c r="L534" s="81">
        <f>EFEITO!$N$534*EFEITO!$AA$534</f>
        <v>347620.27872334543</v>
      </c>
      <c r="M534" s="81">
        <f>$J$534-EFEITO!$K$534*EFEITO!$Y$534</f>
        <v>0</v>
      </c>
      <c r="N534" s="81">
        <f ca="1">$K$534-EFEITO!$M$534*EFEITO!$Z$534</f>
        <v>0</v>
      </c>
      <c r="O534" s="81">
        <f>$L$534-EFEITO!$O$534*EFEITO!$AA$534</f>
        <v>0</v>
      </c>
      <c r="P534" s="18"/>
      <c r="Q534" s="18"/>
      <c r="R534" s="18"/>
      <c r="S534" s="18"/>
      <c r="T534" s="18"/>
      <c r="U534" s="18"/>
      <c r="V534" s="18"/>
      <c r="W534" s="18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</row>
    <row r="535" spans="1:36" ht="11.25" customHeight="1" x14ac:dyDescent="0.2">
      <c r="A535" s="74" t="s">
        <v>27</v>
      </c>
      <c r="B535" s="74" t="s">
        <v>33</v>
      </c>
      <c r="C535" s="74" t="s">
        <v>23</v>
      </c>
      <c r="D535" s="74" t="s">
        <v>40</v>
      </c>
      <c r="E535" s="74" t="s">
        <v>25</v>
      </c>
      <c r="F535" s="74" t="s">
        <v>25</v>
      </c>
      <c r="G535" s="74" t="s">
        <v>25</v>
      </c>
      <c r="H535" s="74" t="s">
        <v>25</v>
      </c>
      <c r="I535" s="80">
        <v>44409</v>
      </c>
      <c r="J535" s="81">
        <f>EFEITO!$J$535*EFEITO!$Y$535</f>
        <v>0</v>
      </c>
      <c r="K535" s="81">
        <f ca="1">EFEITO!$L$535*EFEITO!$Z$535</f>
        <v>-1494.548628991713</v>
      </c>
      <c r="L535" s="81">
        <f>EFEITO!$N$535*EFEITO!$AA$535</f>
        <v>-839.79003277858669</v>
      </c>
      <c r="M535" s="81">
        <f>$J$535-EFEITO!$K$535*EFEITO!$Y$535</f>
        <v>0</v>
      </c>
      <c r="N535" s="81">
        <f ca="1">$K$535-EFEITO!$M$535*EFEITO!$Z$535</f>
        <v>0</v>
      </c>
      <c r="O535" s="81">
        <f>$L$535-EFEITO!$O$535*EFEITO!$AA$535</f>
        <v>0</v>
      </c>
      <c r="P535" s="18"/>
      <c r="Q535" s="18"/>
      <c r="R535" s="18"/>
      <c r="S535" s="18"/>
      <c r="T535" s="18"/>
      <c r="U535" s="18"/>
      <c r="V535" s="18"/>
      <c r="W535" s="18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</row>
    <row r="536" spans="1:36" ht="11.25" customHeight="1" x14ac:dyDescent="0.2">
      <c r="A536" s="74" t="s">
        <v>28</v>
      </c>
      <c r="B536" s="74" t="s">
        <v>33</v>
      </c>
      <c r="C536" s="74" t="s">
        <v>23</v>
      </c>
      <c r="D536" s="74" t="s">
        <v>40</v>
      </c>
      <c r="E536" s="74" t="s">
        <v>25</v>
      </c>
      <c r="F536" s="74" t="s">
        <v>25</v>
      </c>
      <c r="G536" s="74" t="s">
        <v>25</v>
      </c>
      <c r="H536" s="74" t="s">
        <v>25</v>
      </c>
      <c r="I536" s="80">
        <v>44409</v>
      </c>
      <c r="J536" s="81">
        <f>EFEITO!$J$536*EFEITO!$Y$536</f>
        <v>0</v>
      </c>
      <c r="K536" s="81">
        <f ca="1">EFEITO!$L$536*EFEITO!$Z$536</f>
        <v>14038.066851303272</v>
      </c>
      <c r="L536" s="81">
        <f>EFEITO!$N$536*EFEITO!$AA$536</f>
        <v>7888.0194277501378</v>
      </c>
      <c r="M536" s="81">
        <f>$J$536-EFEITO!$K$536*EFEITO!$Y$536</f>
        <v>0</v>
      </c>
      <c r="N536" s="81">
        <f ca="1">$K$536-EFEITO!$M$536*EFEITO!$Z$536</f>
        <v>0</v>
      </c>
      <c r="O536" s="81">
        <f>$L$536-EFEITO!$O$536*EFEITO!$AA$536</f>
        <v>0</v>
      </c>
      <c r="P536" s="18"/>
      <c r="Q536" s="18"/>
      <c r="R536" s="18"/>
      <c r="S536" s="18"/>
      <c r="T536" s="18"/>
      <c r="U536" s="18"/>
      <c r="V536" s="18"/>
      <c r="W536" s="18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</row>
    <row r="537" spans="1:36" ht="11.25" customHeight="1" x14ac:dyDescent="0.2">
      <c r="A537" s="74" t="s">
        <v>21</v>
      </c>
      <c r="B537" s="74" t="s">
        <v>33</v>
      </c>
      <c r="C537" s="74" t="s">
        <v>23</v>
      </c>
      <c r="D537" s="74" t="s">
        <v>40</v>
      </c>
      <c r="E537" s="74" t="s">
        <v>25</v>
      </c>
      <c r="F537" s="74" t="s">
        <v>25</v>
      </c>
      <c r="G537" s="74" t="s">
        <v>25</v>
      </c>
      <c r="H537" s="74" t="s">
        <v>25</v>
      </c>
      <c r="I537" s="80">
        <v>44440</v>
      </c>
      <c r="J537" s="81">
        <f>EFEITO!$J$537*EFEITO!$Y$537</f>
        <v>0</v>
      </c>
      <c r="K537" s="81">
        <f ca="1">EFEITO!$L$537*EFEITO!$Z$537</f>
        <v>694029.71462449897</v>
      </c>
      <c r="L537" s="81">
        <f>EFEITO!$N$537*EFEITO!$AA$537</f>
        <v>389976.76320979238</v>
      </c>
      <c r="M537" s="81">
        <f>$J$537-EFEITO!$K$537*EFEITO!$Y$537</f>
        <v>0</v>
      </c>
      <c r="N537" s="81">
        <f ca="1">$K$537-EFEITO!$M$537*EFEITO!$Z$537</f>
        <v>0</v>
      </c>
      <c r="O537" s="81">
        <f>$L$537-EFEITO!$O$537*EFEITO!$AA$537</f>
        <v>0</v>
      </c>
      <c r="P537" s="18"/>
      <c r="Q537" s="18"/>
      <c r="R537" s="18"/>
      <c r="S537" s="18"/>
      <c r="T537" s="18"/>
      <c r="U537" s="18"/>
      <c r="V537" s="18"/>
      <c r="W537" s="18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</row>
    <row r="538" spans="1:36" ht="11.25" customHeight="1" x14ac:dyDescent="0.2">
      <c r="A538" s="74" t="s">
        <v>27</v>
      </c>
      <c r="B538" s="74" t="s">
        <v>33</v>
      </c>
      <c r="C538" s="74" t="s">
        <v>23</v>
      </c>
      <c r="D538" s="74" t="s">
        <v>40</v>
      </c>
      <c r="E538" s="74" t="s">
        <v>25</v>
      </c>
      <c r="F538" s="74" t="s">
        <v>25</v>
      </c>
      <c r="G538" s="74" t="s">
        <v>25</v>
      </c>
      <c r="H538" s="74" t="s">
        <v>25</v>
      </c>
      <c r="I538" s="80">
        <v>44440</v>
      </c>
      <c r="J538" s="81">
        <f>EFEITO!$J$538*EFEITO!$Y$538</f>
        <v>0</v>
      </c>
      <c r="K538" s="81">
        <f ca="1">EFEITO!$L$538*EFEITO!$Z$538</f>
        <v>-154.09009334952279</v>
      </c>
      <c r="L538" s="81">
        <f>EFEITO!$N$538*EFEITO!$AA$538</f>
        <v>-86.583549062670699</v>
      </c>
      <c r="M538" s="81">
        <f>$J$538-EFEITO!$K$538*EFEITO!$Y$538</f>
        <v>0</v>
      </c>
      <c r="N538" s="81">
        <f ca="1">$K$538-EFEITO!$M$538*EFEITO!$Z$538</f>
        <v>0</v>
      </c>
      <c r="O538" s="81">
        <f>$L$538-EFEITO!$O$538*EFEITO!$AA$538</f>
        <v>0</v>
      </c>
      <c r="P538" s="18"/>
      <c r="Q538" s="18"/>
      <c r="R538" s="18"/>
      <c r="S538" s="18"/>
      <c r="T538" s="18"/>
      <c r="U538" s="18"/>
      <c r="V538" s="18"/>
      <c r="W538" s="18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</row>
    <row r="539" spans="1:36" ht="11.25" customHeight="1" x14ac:dyDescent="0.2">
      <c r="A539" s="74" t="s">
        <v>28</v>
      </c>
      <c r="B539" s="74" t="s">
        <v>33</v>
      </c>
      <c r="C539" s="74" t="s">
        <v>23</v>
      </c>
      <c r="D539" s="74" t="s">
        <v>40</v>
      </c>
      <c r="E539" s="74" t="s">
        <v>25</v>
      </c>
      <c r="F539" s="74" t="s">
        <v>25</v>
      </c>
      <c r="G539" s="74" t="s">
        <v>25</v>
      </c>
      <c r="H539" s="74" t="s">
        <v>25</v>
      </c>
      <c r="I539" s="80">
        <v>44440</v>
      </c>
      <c r="J539" s="81">
        <f>EFEITO!$J$539*EFEITO!$Y$539</f>
        <v>0</v>
      </c>
      <c r="K539" s="81">
        <f ca="1">EFEITO!$L$539*EFEITO!$Z$539</f>
        <v>15130.477919602328</v>
      </c>
      <c r="L539" s="81">
        <f>EFEITO!$N$539*EFEITO!$AA$539</f>
        <v>8501.8475154139505</v>
      </c>
      <c r="M539" s="81">
        <f>$J$539-EFEITO!$K$539*EFEITO!$Y$539</f>
        <v>0</v>
      </c>
      <c r="N539" s="81">
        <f ca="1">$K$539-EFEITO!$M$539*EFEITO!$Z$539</f>
        <v>0</v>
      </c>
      <c r="O539" s="81">
        <f>$L$539-EFEITO!$O$539*EFEITO!$AA$539</f>
        <v>0</v>
      </c>
      <c r="P539" s="18"/>
      <c r="Q539" s="18"/>
      <c r="R539" s="18"/>
      <c r="S539" s="18"/>
      <c r="T539" s="18"/>
      <c r="U539" s="18"/>
      <c r="V539" s="18"/>
      <c r="W539" s="18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</row>
    <row r="540" spans="1:36" ht="11.25" customHeight="1" x14ac:dyDescent="0.2">
      <c r="A540" s="74" t="s">
        <v>21</v>
      </c>
      <c r="B540" s="74" t="s">
        <v>33</v>
      </c>
      <c r="C540" s="74" t="s">
        <v>23</v>
      </c>
      <c r="D540" s="74" t="s">
        <v>40</v>
      </c>
      <c r="E540" s="74" t="s">
        <v>25</v>
      </c>
      <c r="F540" s="74" t="s">
        <v>25</v>
      </c>
      <c r="G540" s="74" t="s">
        <v>25</v>
      </c>
      <c r="H540" s="74" t="s">
        <v>25</v>
      </c>
      <c r="I540" s="80">
        <v>44470</v>
      </c>
      <c r="J540" s="81">
        <f>EFEITO!$J$540*EFEITO!$Y$540</f>
        <v>0</v>
      </c>
      <c r="K540" s="81">
        <f ca="1">EFEITO!$L$540*EFEITO!$Z$540</f>
        <v>659945.32004624768</v>
      </c>
      <c r="L540" s="81">
        <f>EFEITO!$N$540*EFEITO!$AA$540</f>
        <v>370824.66987214121</v>
      </c>
      <c r="M540" s="81">
        <f>$J$540-EFEITO!$K$540*EFEITO!$Y$540</f>
        <v>0</v>
      </c>
      <c r="N540" s="81">
        <f ca="1">$K$540-EFEITO!$M$540*EFEITO!$Z$540</f>
        <v>0</v>
      </c>
      <c r="O540" s="81">
        <f>$L$540-EFEITO!$O$540*EFEITO!$AA$540</f>
        <v>0</v>
      </c>
      <c r="P540" s="18"/>
      <c r="Q540" s="18"/>
      <c r="R540" s="18"/>
      <c r="S540" s="18"/>
      <c r="T540" s="18"/>
      <c r="U540" s="18"/>
      <c r="V540" s="18"/>
      <c r="W540" s="18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</row>
    <row r="541" spans="1:36" ht="11.25" customHeight="1" x14ac:dyDescent="0.2">
      <c r="A541" s="74" t="s">
        <v>27</v>
      </c>
      <c r="B541" s="74" t="s">
        <v>33</v>
      </c>
      <c r="C541" s="74" t="s">
        <v>23</v>
      </c>
      <c r="D541" s="74" t="s">
        <v>40</v>
      </c>
      <c r="E541" s="74" t="s">
        <v>25</v>
      </c>
      <c r="F541" s="74" t="s">
        <v>25</v>
      </c>
      <c r="G541" s="74" t="s">
        <v>25</v>
      </c>
      <c r="H541" s="74" t="s">
        <v>25</v>
      </c>
      <c r="I541" s="80">
        <v>44470</v>
      </c>
      <c r="J541" s="81">
        <f>EFEITO!$J$541*EFEITO!$Y$541</f>
        <v>0</v>
      </c>
      <c r="K541" s="81">
        <f ca="1">EFEITO!$L$541*EFEITO!$Z$541</f>
        <v>-625.54731663302209</v>
      </c>
      <c r="L541" s="81">
        <f>EFEITO!$N$541*EFEITO!$AA$541</f>
        <v>-351.49635906742742</v>
      </c>
      <c r="M541" s="81">
        <f>$J$541-EFEITO!$K$541*EFEITO!$Y$541</f>
        <v>0</v>
      </c>
      <c r="N541" s="81">
        <f ca="1">$K$541-EFEITO!$M$541*EFEITO!$Z$541</f>
        <v>0</v>
      </c>
      <c r="O541" s="81">
        <f>$L$541-EFEITO!$O$541*EFEITO!$AA$541</f>
        <v>0</v>
      </c>
      <c r="P541" s="18"/>
      <c r="Q541" s="18"/>
      <c r="R541" s="18"/>
      <c r="S541" s="18"/>
      <c r="T541" s="18"/>
      <c r="U541" s="18"/>
      <c r="V541" s="18"/>
      <c r="W541" s="18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</row>
    <row r="542" spans="1:36" ht="11.25" customHeight="1" x14ac:dyDescent="0.2">
      <c r="A542" s="74" t="s">
        <v>28</v>
      </c>
      <c r="B542" s="74" t="s">
        <v>33</v>
      </c>
      <c r="C542" s="74" t="s">
        <v>23</v>
      </c>
      <c r="D542" s="74" t="s">
        <v>40</v>
      </c>
      <c r="E542" s="74" t="s">
        <v>25</v>
      </c>
      <c r="F542" s="74" t="s">
        <v>25</v>
      </c>
      <c r="G542" s="74" t="s">
        <v>25</v>
      </c>
      <c r="H542" s="74" t="s">
        <v>25</v>
      </c>
      <c r="I542" s="80">
        <v>44470</v>
      </c>
      <c r="J542" s="81">
        <f>EFEITO!$J$542*EFEITO!$Y$542</f>
        <v>0</v>
      </c>
      <c r="K542" s="81">
        <f ca="1">EFEITO!$L$542*EFEITO!$Z$542</f>
        <v>13456.783897529464</v>
      </c>
      <c r="L542" s="81">
        <f>EFEITO!$N$542*EFEITO!$AA$542</f>
        <v>7561.3953077088445</v>
      </c>
      <c r="M542" s="81">
        <f>$J$542-EFEITO!$K$542*EFEITO!$Y$542</f>
        <v>0</v>
      </c>
      <c r="N542" s="81">
        <f ca="1">$K$542-EFEITO!$M$542*EFEITO!$Z$542</f>
        <v>0</v>
      </c>
      <c r="O542" s="81">
        <f>$L$542-EFEITO!$O$542*EFEITO!$AA$542</f>
        <v>0</v>
      </c>
      <c r="P542" s="18"/>
      <c r="Q542" s="18"/>
      <c r="R542" s="18"/>
      <c r="S542" s="18"/>
      <c r="T542" s="18"/>
      <c r="U542" s="18"/>
      <c r="V542" s="18"/>
      <c r="W542" s="18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</row>
    <row r="543" spans="1:36" ht="11.25" customHeight="1" x14ac:dyDescent="0.2">
      <c r="A543" s="74" t="s">
        <v>21</v>
      </c>
      <c r="B543" s="74" t="s">
        <v>33</v>
      </c>
      <c r="C543" s="74" t="s">
        <v>23</v>
      </c>
      <c r="D543" s="74" t="s">
        <v>40</v>
      </c>
      <c r="E543" s="74" t="s">
        <v>25</v>
      </c>
      <c r="F543" s="74" t="s">
        <v>25</v>
      </c>
      <c r="G543" s="74" t="s">
        <v>25</v>
      </c>
      <c r="H543" s="74" t="s">
        <v>25</v>
      </c>
      <c r="I543" s="80">
        <v>44501</v>
      </c>
      <c r="J543" s="81">
        <f>EFEITO!$J$543*EFEITO!$Y$543</f>
        <v>0</v>
      </c>
      <c r="K543" s="81">
        <f ca="1">EFEITO!$L$543*EFEITO!$Z$543</f>
        <v>814113.92000159621</v>
      </c>
      <c r="L543" s="81">
        <f>EFEITO!$N$543*EFEITO!$AA$543</f>
        <v>457452.33196251857</v>
      </c>
      <c r="M543" s="81">
        <f>$J$543-EFEITO!$K$543*EFEITO!$Y$543</f>
        <v>0</v>
      </c>
      <c r="N543" s="81">
        <f ca="1">$K$543-EFEITO!$M$543*EFEITO!$Z$543</f>
        <v>0</v>
      </c>
      <c r="O543" s="81">
        <f>$L$543-EFEITO!$O$543*EFEITO!$AA$543</f>
        <v>0</v>
      </c>
      <c r="P543" s="18"/>
      <c r="Q543" s="18"/>
      <c r="R543" s="18"/>
      <c r="S543" s="18"/>
      <c r="T543" s="18"/>
      <c r="U543" s="18"/>
      <c r="V543" s="18"/>
      <c r="W543" s="18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</row>
    <row r="544" spans="1:36" ht="11.25" customHeight="1" x14ac:dyDescent="0.2">
      <c r="A544" s="74" t="s">
        <v>27</v>
      </c>
      <c r="B544" s="74" t="s">
        <v>33</v>
      </c>
      <c r="C544" s="74" t="s">
        <v>23</v>
      </c>
      <c r="D544" s="74" t="s">
        <v>40</v>
      </c>
      <c r="E544" s="74" t="s">
        <v>25</v>
      </c>
      <c r="F544" s="74" t="s">
        <v>25</v>
      </c>
      <c r="G544" s="74" t="s">
        <v>25</v>
      </c>
      <c r="H544" s="74" t="s">
        <v>25</v>
      </c>
      <c r="I544" s="80">
        <v>44501</v>
      </c>
      <c r="J544" s="81">
        <f>EFEITO!$J$544*EFEITO!$Y$544</f>
        <v>0</v>
      </c>
      <c r="K544" s="81">
        <f ca="1">EFEITO!$L$544*EFEITO!$Z$544</f>
        <v>-114.83679043663624</v>
      </c>
      <c r="L544" s="81">
        <f>EFEITO!$N$544*EFEITO!$AA$544</f>
        <v>-64.527035209307442</v>
      </c>
      <c r="M544" s="81">
        <f>$J$544-EFEITO!$K$544*EFEITO!$Y$544</f>
        <v>0</v>
      </c>
      <c r="N544" s="81">
        <f ca="1">$K$544-EFEITO!$M$544*EFEITO!$Z$544</f>
        <v>0</v>
      </c>
      <c r="O544" s="81">
        <f>$L$544-EFEITO!$O$544*EFEITO!$AA$544</f>
        <v>0</v>
      </c>
      <c r="P544" s="18"/>
      <c r="Q544" s="18"/>
      <c r="R544" s="18"/>
      <c r="S544" s="18"/>
      <c r="T544" s="18"/>
      <c r="U544" s="18"/>
      <c r="V544" s="18"/>
      <c r="W544" s="18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</row>
    <row r="545" spans="1:36" ht="11.25" customHeight="1" x14ac:dyDescent="0.2">
      <c r="A545" s="74" t="s">
        <v>28</v>
      </c>
      <c r="B545" s="74" t="s">
        <v>33</v>
      </c>
      <c r="C545" s="74" t="s">
        <v>23</v>
      </c>
      <c r="D545" s="74" t="s">
        <v>40</v>
      </c>
      <c r="E545" s="74" t="s">
        <v>25</v>
      </c>
      <c r="F545" s="74" t="s">
        <v>25</v>
      </c>
      <c r="G545" s="74" t="s">
        <v>25</v>
      </c>
      <c r="H545" s="74" t="s">
        <v>25</v>
      </c>
      <c r="I545" s="80">
        <v>44501</v>
      </c>
      <c r="J545" s="81">
        <f>EFEITO!$J$545*EFEITO!$Y$545</f>
        <v>0</v>
      </c>
      <c r="K545" s="81">
        <f ca="1">EFEITO!$L$545*EFEITO!$Z$545</f>
        <v>8914.6756445138544</v>
      </c>
      <c r="L545" s="81">
        <f>EFEITO!$N$545*EFEITO!$AA$545</f>
        <v>5009.1750823574366</v>
      </c>
      <c r="M545" s="81">
        <f>$J$545-EFEITO!$K$545*EFEITO!$Y$545</f>
        <v>0</v>
      </c>
      <c r="N545" s="81">
        <f ca="1">$K$545-EFEITO!$M$545*EFEITO!$Z$545</f>
        <v>0</v>
      </c>
      <c r="O545" s="81">
        <f>$L$545-EFEITO!$O$545*EFEITO!$AA$545</f>
        <v>0</v>
      </c>
      <c r="P545" s="18"/>
      <c r="Q545" s="18"/>
      <c r="R545" s="18"/>
      <c r="S545" s="18"/>
      <c r="T545" s="18"/>
      <c r="U545" s="18"/>
      <c r="V545" s="18"/>
      <c r="W545" s="18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</row>
    <row r="546" spans="1:36" ht="11.25" customHeight="1" x14ac:dyDescent="0.2">
      <c r="A546" s="74" t="s">
        <v>21</v>
      </c>
      <c r="B546" s="74" t="s">
        <v>33</v>
      </c>
      <c r="C546" s="74" t="s">
        <v>23</v>
      </c>
      <c r="D546" s="74" t="s">
        <v>40</v>
      </c>
      <c r="E546" s="74" t="s">
        <v>25</v>
      </c>
      <c r="F546" s="74" t="s">
        <v>25</v>
      </c>
      <c r="G546" s="74" t="s">
        <v>25</v>
      </c>
      <c r="H546" s="74" t="s">
        <v>25</v>
      </c>
      <c r="I546" s="80">
        <v>44531</v>
      </c>
      <c r="J546" s="81">
        <f>EFEITO!$J$546*EFEITO!$Y$546</f>
        <v>0</v>
      </c>
      <c r="K546" s="81">
        <f ca="1">EFEITO!$L$546*EFEITO!$Z$546</f>
        <v>816614.43891481287</v>
      </c>
      <c r="L546" s="81">
        <f>EFEITO!$N$546*EFEITO!$AA$546</f>
        <v>458857.37882373075</v>
      </c>
      <c r="M546" s="81">
        <f>$J$546-EFEITO!$K$546*EFEITO!$Y$546</f>
        <v>0</v>
      </c>
      <c r="N546" s="81">
        <f ca="1">$K$546-EFEITO!$M$546*EFEITO!$Z$546</f>
        <v>0</v>
      </c>
      <c r="O546" s="81">
        <f>$L$546-EFEITO!$O$546*EFEITO!$AA$546</f>
        <v>0</v>
      </c>
      <c r="P546" s="18"/>
      <c r="Q546" s="18"/>
      <c r="R546" s="18"/>
      <c r="S546" s="18"/>
      <c r="T546" s="18"/>
      <c r="U546" s="18"/>
      <c r="V546" s="18"/>
      <c r="W546" s="18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</row>
    <row r="547" spans="1:36" ht="11.25" customHeight="1" x14ac:dyDescent="0.2">
      <c r="A547" s="74" t="s">
        <v>27</v>
      </c>
      <c r="B547" s="74" t="s">
        <v>33</v>
      </c>
      <c r="C547" s="74" t="s">
        <v>23</v>
      </c>
      <c r="D547" s="74" t="s">
        <v>40</v>
      </c>
      <c r="E547" s="74" t="s">
        <v>25</v>
      </c>
      <c r="F547" s="74" t="s">
        <v>25</v>
      </c>
      <c r="G547" s="74" t="s">
        <v>25</v>
      </c>
      <c r="H547" s="74" t="s">
        <v>25</v>
      </c>
      <c r="I547" s="80">
        <v>44531</v>
      </c>
      <c r="J547" s="81">
        <f>EFEITO!$J$547*EFEITO!$Y$547</f>
        <v>0</v>
      </c>
      <c r="K547" s="81">
        <f ca="1">EFEITO!$L$547*EFEITO!$Z$547</f>
        <v>-225.91528591352801</v>
      </c>
      <c r="L547" s="81">
        <f>EFEITO!$N$547*EFEITO!$AA$547</f>
        <v>-126.94227653903755</v>
      </c>
      <c r="M547" s="81">
        <f>$J$547-EFEITO!$K$547*EFEITO!$Y$547</f>
        <v>0</v>
      </c>
      <c r="N547" s="81">
        <f ca="1">$K$547-EFEITO!$M$547*EFEITO!$Z$547</f>
        <v>0</v>
      </c>
      <c r="O547" s="81">
        <f>$L$547-EFEITO!$O$547*EFEITO!$AA$547</f>
        <v>0</v>
      </c>
      <c r="P547" s="18"/>
      <c r="Q547" s="18"/>
      <c r="R547" s="18"/>
      <c r="S547" s="18"/>
      <c r="T547" s="18"/>
      <c r="U547" s="18"/>
      <c r="V547" s="18"/>
      <c r="W547" s="18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</row>
    <row r="548" spans="1:36" ht="11.25" customHeight="1" x14ac:dyDescent="0.2">
      <c r="A548" s="74" t="s">
        <v>28</v>
      </c>
      <c r="B548" s="74" t="s">
        <v>33</v>
      </c>
      <c r="C548" s="74" t="s">
        <v>23</v>
      </c>
      <c r="D548" s="74" t="s">
        <v>40</v>
      </c>
      <c r="E548" s="74" t="s">
        <v>25</v>
      </c>
      <c r="F548" s="74" t="s">
        <v>25</v>
      </c>
      <c r="G548" s="74" t="s">
        <v>25</v>
      </c>
      <c r="H548" s="74" t="s">
        <v>25</v>
      </c>
      <c r="I548" s="80">
        <v>44531</v>
      </c>
      <c r="J548" s="81">
        <f>EFEITO!$J$548*EFEITO!$Y$548</f>
        <v>0</v>
      </c>
      <c r="K548" s="81">
        <f ca="1">EFEITO!$L$548*EFEITO!$Z$548</f>
        <v>9519.7611330327127</v>
      </c>
      <c r="L548" s="81">
        <f>EFEITO!$N$548*EFEITO!$AA$548</f>
        <v>5349.1738969693879</v>
      </c>
      <c r="M548" s="81">
        <f>$J$548-EFEITO!$K$548*EFEITO!$Y$548</f>
        <v>0</v>
      </c>
      <c r="N548" s="81">
        <f ca="1">$K$548-EFEITO!$M$548*EFEITO!$Z$548</f>
        <v>0</v>
      </c>
      <c r="O548" s="81">
        <f>$L$548-EFEITO!$O$548*EFEITO!$AA$548</f>
        <v>0</v>
      </c>
      <c r="P548" s="18"/>
      <c r="Q548" s="18"/>
      <c r="R548" s="18"/>
      <c r="S548" s="18"/>
      <c r="T548" s="18"/>
      <c r="U548" s="18"/>
      <c r="V548" s="18"/>
      <c r="W548" s="18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</row>
    <row r="549" spans="1:36" ht="11.25" customHeight="1" x14ac:dyDescent="0.2">
      <c r="A549" s="74" t="s">
        <v>21</v>
      </c>
      <c r="B549" s="74" t="s">
        <v>33</v>
      </c>
      <c r="C549" s="74" t="s">
        <v>23</v>
      </c>
      <c r="D549" s="74" t="s">
        <v>40</v>
      </c>
      <c r="E549" s="74" t="s">
        <v>25</v>
      </c>
      <c r="F549" s="74" t="s">
        <v>25</v>
      </c>
      <c r="G549" s="74" t="s">
        <v>25</v>
      </c>
      <c r="H549" s="74" t="s">
        <v>25</v>
      </c>
      <c r="I549" s="80">
        <v>44562</v>
      </c>
      <c r="J549" s="81">
        <f>EFEITO!$J$549*EFEITO!$Y$549</f>
        <v>0</v>
      </c>
      <c r="K549" s="81">
        <f ca="1">EFEITO!$L$549*EFEITO!$Z$549</f>
        <v>999767.42718803964</v>
      </c>
      <c r="L549" s="81">
        <f>EFEITO!$N$549*EFEITO!$AA$549</f>
        <v>561771.42995717295</v>
      </c>
      <c r="M549" s="81">
        <f>$J$549-EFEITO!$K$549*EFEITO!$Y$549</f>
        <v>0</v>
      </c>
      <c r="N549" s="81">
        <f ca="1">$K$549-EFEITO!$M$549*EFEITO!$Z$549</f>
        <v>0</v>
      </c>
      <c r="O549" s="81">
        <f>$L$549-EFEITO!$O$549*EFEITO!$AA$549</f>
        <v>0</v>
      </c>
      <c r="P549" s="18"/>
      <c r="Q549" s="18"/>
      <c r="R549" s="18"/>
      <c r="S549" s="18"/>
      <c r="T549" s="18"/>
      <c r="U549" s="18"/>
      <c r="V549" s="18"/>
      <c r="W549" s="18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</row>
    <row r="550" spans="1:36" ht="11.25" customHeight="1" x14ac:dyDescent="0.2">
      <c r="A550" s="74" t="s">
        <v>27</v>
      </c>
      <c r="B550" s="74" t="s">
        <v>33</v>
      </c>
      <c r="C550" s="74" t="s">
        <v>23</v>
      </c>
      <c r="D550" s="74" t="s">
        <v>40</v>
      </c>
      <c r="E550" s="74" t="s">
        <v>25</v>
      </c>
      <c r="F550" s="74" t="s">
        <v>25</v>
      </c>
      <c r="G550" s="74" t="s">
        <v>25</v>
      </c>
      <c r="H550" s="74" t="s">
        <v>25</v>
      </c>
      <c r="I550" s="80">
        <v>44562</v>
      </c>
      <c r="J550" s="81">
        <f>EFEITO!$J$550*EFEITO!$Y$550</f>
        <v>0</v>
      </c>
      <c r="K550" s="81">
        <f ca="1">EFEITO!$L$550*EFEITO!$Z$550</f>
        <v>3359.0805173538251</v>
      </c>
      <c r="L550" s="81">
        <f>EFEITO!$N$550*EFEITO!$AA$550</f>
        <v>1887.474440813342</v>
      </c>
      <c r="M550" s="81">
        <f>$J$550-EFEITO!$K$550*EFEITO!$Y$550</f>
        <v>0</v>
      </c>
      <c r="N550" s="81">
        <f ca="1">$K$550-EFEITO!$M$550*EFEITO!$Z$550</f>
        <v>0</v>
      </c>
      <c r="O550" s="81">
        <f>$L$550-EFEITO!$O$550*EFEITO!$AA$550</f>
        <v>0</v>
      </c>
      <c r="P550" s="18"/>
      <c r="Q550" s="18"/>
      <c r="R550" s="18"/>
      <c r="S550" s="18"/>
      <c r="T550" s="18"/>
      <c r="U550" s="18"/>
      <c r="V550" s="18"/>
      <c r="W550" s="18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</row>
    <row r="551" spans="1:36" ht="11.25" customHeight="1" x14ac:dyDescent="0.2">
      <c r="A551" s="74" t="s">
        <v>28</v>
      </c>
      <c r="B551" s="74" t="s">
        <v>33</v>
      </c>
      <c r="C551" s="74" t="s">
        <v>23</v>
      </c>
      <c r="D551" s="74" t="s">
        <v>40</v>
      </c>
      <c r="E551" s="74" t="s">
        <v>25</v>
      </c>
      <c r="F551" s="74" t="s">
        <v>25</v>
      </c>
      <c r="G551" s="74" t="s">
        <v>25</v>
      </c>
      <c r="H551" s="74" t="s">
        <v>25</v>
      </c>
      <c r="I551" s="80">
        <v>44562</v>
      </c>
      <c r="J551" s="81">
        <f>EFEITO!$J$551*EFEITO!$Y$551</f>
        <v>0</v>
      </c>
      <c r="K551" s="81">
        <f ca="1">EFEITO!$L$551*EFEITO!$Z$551</f>
        <v>10632.634029445933</v>
      </c>
      <c r="L551" s="81">
        <f>EFEITO!$N$551*EFEITO!$AA$551</f>
        <v>5974.4995290886764</v>
      </c>
      <c r="M551" s="81">
        <f>$J$551-EFEITO!$K$551*EFEITO!$Y$551</f>
        <v>0</v>
      </c>
      <c r="N551" s="81">
        <f ca="1">$K$551-EFEITO!$M$551*EFEITO!$Z$551</f>
        <v>0</v>
      </c>
      <c r="O551" s="81">
        <f>$L$551-EFEITO!$O$551*EFEITO!$AA$551</f>
        <v>0</v>
      </c>
      <c r="P551" s="18"/>
      <c r="Q551" s="18"/>
      <c r="R551" s="18"/>
      <c r="S551" s="18"/>
      <c r="T551" s="18"/>
      <c r="U551" s="18"/>
      <c r="V551" s="18"/>
      <c r="W551" s="18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</row>
    <row r="552" spans="1:36" ht="11.25" customHeight="1" x14ac:dyDescent="0.2">
      <c r="A552" s="74" t="s">
        <v>21</v>
      </c>
      <c r="B552" s="74" t="s">
        <v>33</v>
      </c>
      <c r="C552" s="74" t="s">
        <v>23</v>
      </c>
      <c r="D552" s="74" t="s">
        <v>40</v>
      </c>
      <c r="E552" s="74" t="s">
        <v>25</v>
      </c>
      <c r="F552" s="74" t="s">
        <v>25</v>
      </c>
      <c r="G552" s="74" t="s">
        <v>25</v>
      </c>
      <c r="H552" s="74" t="s">
        <v>25</v>
      </c>
      <c r="I552" s="80">
        <v>44593</v>
      </c>
      <c r="J552" s="81">
        <f>EFEITO!$J$552*EFEITO!$Y$552</f>
        <v>0</v>
      </c>
      <c r="K552" s="81">
        <f ca="1">EFEITO!$L$552*EFEITO!$Z$552</f>
        <v>1039362.317353934</v>
      </c>
      <c r="L552" s="81">
        <f>EFEITO!$N$552*EFEITO!$AA$552</f>
        <v>584019.88240981335</v>
      </c>
      <c r="M552" s="81">
        <f>$J$552-EFEITO!$K$552*EFEITO!$Y$552</f>
        <v>0</v>
      </c>
      <c r="N552" s="81">
        <f ca="1">$K$552-EFEITO!$M$552*EFEITO!$Z$552</f>
        <v>0</v>
      </c>
      <c r="O552" s="81">
        <f>$L$552-EFEITO!$O$552*EFEITO!$AA$552</f>
        <v>0</v>
      </c>
      <c r="P552" s="18"/>
      <c r="Q552" s="18"/>
      <c r="R552" s="18"/>
      <c r="S552" s="18"/>
      <c r="T552" s="18"/>
      <c r="U552" s="18"/>
      <c r="V552" s="18"/>
      <c r="W552" s="18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</row>
    <row r="553" spans="1:36" ht="11.25" customHeight="1" x14ac:dyDescent="0.2">
      <c r="A553" s="74" t="s">
        <v>27</v>
      </c>
      <c r="B553" s="74" t="s">
        <v>33</v>
      </c>
      <c r="C553" s="74" t="s">
        <v>23</v>
      </c>
      <c r="D553" s="74" t="s">
        <v>40</v>
      </c>
      <c r="E553" s="74" t="s">
        <v>25</v>
      </c>
      <c r="F553" s="74" t="s">
        <v>25</v>
      </c>
      <c r="G553" s="74" t="s">
        <v>25</v>
      </c>
      <c r="H553" s="74" t="s">
        <v>25</v>
      </c>
      <c r="I553" s="80">
        <v>44593</v>
      </c>
      <c r="J553" s="81">
        <f>EFEITO!$J$553*EFEITO!$Y$553</f>
        <v>0</v>
      </c>
      <c r="K553" s="81">
        <f ca="1">EFEITO!$L$553*EFEITO!$Z$553</f>
        <v>469.36928163919686</v>
      </c>
      <c r="L553" s="81">
        <f>EFEITO!$N$553*EFEITO!$AA$553</f>
        <v>263.73959118276935</v>
      </c>
      <c r="M553" s="81">
        <f>$J$553-EFEITO!$K$553*EFEITO!$Y$553</f>
        <v>0</v>
      </c>
      <c r="N553" s="81">
        <f ca="1">$K$553-EFEITO!$M$553*EFEITO!$Z$553</f>
        <v>0</v>
      </c>
      <c r="O553" s="81">
        <f>$L$553-EFEITO!$O$553*EFEITO!$AA$553</f>
        <v>0</v>
      </c>
      <c r="P553" s="18"/>
      <c r="Q553" s="18"/>
      <c r="R553" s="18"/>
      <c r="S553" s="18"/>
      <c r="T553" s="18"/>
      <c r="U553" s="18"/>
      <c r="V553" s="18"/>
      <c r="W553" s="18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</row>
    <row r="554" spans="1:36" ht="11.25" customHeight="1" x14ac:dyDescent="0.2">
      <c r="A554" s="74" t="s">
        <v>28</v>
      </c>
      <c r="B554" s="74" t="s">
        <v>33</v>
      </c>
      <c r="C554" s="74" t="s">
        <v>23</v>
      </c>
      <c r="D554" s="74" t="s">
        <v>40</v>
      </c>
      <c r="E554" s="74" t="s">
        <v>25</v>
      </c>
      <c r="F554" s="74" t="s">
        <v>25</v>
      </c>
      <c r="G554" s="74" t="s">
        <v>25</v>
      </c>
      <c r="H554" s="74" t="s">
        <v>25</v>
      </c>
      <c r="I554" s="80">
        <v>44593</v>
      </c>
      <c r="J554" s="81">
        <f>EFEITO!$J$554*EFEITO!$Y$554</f>
        <v>0</v>
      </c>
      <c r="K554" s="81">
        <f ca="1">EFEITO!$L$554*EFEITO!$Z$554</f>
        <v>14146.22222847814</v>
      </c>
      <c r="L554" s="81">
        <f>EFEITO!$N$554*EFEITO!$AA$554</f>
        <v>7948.7921627290862</v>
      </c>
      <c r="M554" s="81">
        <f>$J$554-EFEITO!$K$554*EFEITO!$Y$554</f>
        <v>0</v>
      </c>
      <c r="N554" s="81">
        <f ca="1">$K$554-EFEITO!$M$554*EFEITO!$Z$554</f>
        <v>0</v>
      </c>
      <c r="O554" s="81">
        <f>$L$554-EFEITO!$O$554*EFEITO!$AA$554</f>
        <v>0</v>
      </c>
      <c r="P554" s="18"/>
      <c r="Q554" s="18"/>
      <c r="R554" s="18"/>
      <c r="S554" s="18"/>
      <c r="T554" s="18"/>
      <c r="U554" s="18"/>
      <c r="V554" s="18"/>
      <c r="W554" s="18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</row>
    <row r="555" spans="1:36" ht="11.25" customHeight="1" x14ac:dyDescent="0.2">
      <c r="A555" s="74" t="s">
        <v>21</v>
      </c>
      <c r="B555" s="74" t="s">
        <v>33</v>
      </c>
      <c r="C555" s="74" t="s">
        <v>23</v>
      </c>
      <c r="D555" s="74" t="s">
        <v>40</v>
      </c>
      <c r="E555" s="74" t="s">
        <v>25</v>
      </c>
      <c r="F555" s="74" t="s">
        <v>25</v>
      </c>
      <c r="G555" s="74" t="s">
        <v>25</v>
      </c>
      <c r="H555" s="74" t="s">
        <v>25</v>
      </c>
      <c r="I555" s="80">
        <v>44621</v>
      </c>
      <c r="J555" s="81">
        <f>EFEITO!$J$555*EFEITO!$Y$555</f>
        <v>0</v>
      </c>
      <c r="K555" s="81">
        <f ca="1">EFEITO!$L$555*EFEITO!$Z$555</f>
        <v>953722.88528289471</v>
      </c>
      <c r="L555" s="81">
        <f>EFEITO!$N$555*EFEITO!$AA$555</f>
        <v>535898.90456341335</v>
      </c>
      <c r="M555" s="81">
        <f>$J$555-EFEITO!$K$555*EFEITO!$Y$555</f>
        <v>0</v>
      </c>
      <c r="N555" s="81">
        <f ca="1">$K$555-EFEITO!$M$555*EFEITO!$Z$555</f>
        <v>0</v>
      </c>
      <c r="O555" s="81">
        <f>$L$555-EFEITO!$O$555*EFEITO!$AA$555</f>
        <v>0</v>
      </c>
      <c r="P555" s="18"/>
      <c r="Q555" s="18"/>
      <c r="R555" s="18"/>
      <c r="S555" s="18"/>
      <c r="T555" s="18"/>
      <c r="U555" s="18"/>
      <c r="V555" s="18"/>
      <c r="W555" s="18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</row>
    <row r="556" spans="1:36" ht="11.25" customHeight="1" x14ac:dyDescent="0.2">
      <c r="A556" s="74" t="s">
        <v>27</v>
      </c>
      <c r="B556" s="74" t="s">
        <v>33</v>
      </c>
      <c r="C556" s="74" t="s">
        <v>23</v>
      </c>
      <c r="D556" s="74" t="s">
        <v>40</v>
      </c>
      <c r="E556" s="74" t="s">
        <v>25</v>
      </c>
      <c r="F556" s="74" t="s">
        <v>25</v>
      </c>
      <c r="G556" s="74" t="s">
        <v>25</v>
      </c>
      <c r="H556" s="74" t="s">
        <v>25</v>
      </c>
      <c r="I556" s="80">
        <v>44621</v>
      </c>
      <c r="J556" s="81">
        <f>EFEITO!$J$556*EFEITO!$Y$556</f>
        <v>0</v>
      </c>
      <c r="K556" s="81">
        <f ca="1">EFEITO!$L$556*EFEITO!$Z$556</f>
        <v>815.96759459340797</v>
      </c>
      <c r="L556" s="81">
        <f>EFEITO!$N$556*EFEITO!$AA$556</f>
        <v>458.49391563267903</v>
      </c>
      <c r="M556" s="81">
        <f>$J$556-EFEITO!$K$556*EFEITO!$Y$556</f>
        <v>0</v>
      </c>
      <c r="N556" s="81">
        <f ca="1">$K$556-EFEITO!$M$556*EFEITO!$Z$556</f>
        <v>0</v>
      </c>
      <c r="O556" s="81">
        <f>$L$556-EFEITO!$O$556*EFEITO!$AA$556</f>
        <v>0</v>
      </c>
      <c r="P556" s="18"/>
      <c r="Q556" s="18"/>
      <c r="R556" s="18"/>
      <c r="S556" s="18"/>
      <c r="T556" s="18"/>
      <c r="U556" s="18"/>
      <c r="V556" s="18"/>
      <c r="W556" s="18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</row>
    <row r="557" spans="1:36" ht="11.25" customHeight="1" x14ac:dyDescent="0.2">
      <c r="A557" s="74" t="s">
        <v>28</v>
      </c>
      <c r="B557" s="74" t="s">
        <v>33</v>
      </c>
      <c r="C557" s="74" t="s">
        <v>23</v>
      </c>
      <c r="D557" s="74" t="s">
        <v>40</v>
      </c>
      <c r="E557" s="74" t="s">
        <v>25</v>
      </c>
      <c r="F557" s="74" t="s">
        <v>25</v>
      </c>
      <c r="G557" s="74" t="s">
        <v>25</v>
      </c>
      <c r="H557" s="74" t="s">
        <v>25</v>
      </c>
      <c r="I557" s="80">
        <v>44621</v>
      </c>
      <c r="J557" s="81">
        <f>EFEITO!$J$557*EFEITO!$Y$557</f>
        <v>0</v>
      </c>
      <c r="K557" s="81">
        <f ca="1">EFEITO!$L$557*EFEITO!$Z$557</f>
        <v>20391.673274915709</v>
      </c>
      <c r="L557" s="81">
        <f>EFEITO!$N$557*EFEITO!$AA$557</f>
        <v>11458.124303057821</v>
      </c>
      <c r="M557" s="81">
        <f>$J$557-EFEITO!$K$557*EFEITO!$Y$557</f>
        <v>0</v>
      </c>
      <c r="N557" s="81">
        <f ca="1">$K$557-EFEITO!$M$557*EFEITO!$Z$557</f>
        <v>0</v>
      </c>
      <c r="O557" s="81">
        <f>$L$557-EFEITO!$O$557*EFEITO!$AA$557</f>
        <v>0</v>
      </c>
      <c r="P557" s="18"/>
      <c r="Q557" s="18"/>
      <c r="R557" s="18"/>
      <c r="S557" s="18"/>
      <c r="T557" s="18"/>
      <c r="U557" s="18"/>
      <c r="V557" s="18"/>
      <c r="W557" s="18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</row>
    <row r="558" spans="1:36" ht="11.25" customHeight="1" x14ac:dyDescent="0.2">
      <c r="A558" s="74" t="s">
        <v>21</v>
      </c>
      <c r="B558" s="74" t="s">
        <v>33</v>
      </c>
      <c r="C558" s="74" t="s">
        <v>23</v>
      </c>
      <c r="D558" s="74" t="s">
        <v>40</v>
      </c>
      <c r="E558" s="74" t="s">
        <v>25</v>
      </c>
      <c r="F558" s="74" t="s">
        <v>25</v>
      </c>
      <c r="G558" s="74" t="s">
        <v>25</v>
      </c>
      <c r="H558" s="74" t="s">
        <v>25</v>
      </c>
      <c r="I558" s="80">
        <v>44652</v>
      </c>
      <c r="J558" s="81">
        <f>EFEITO!$J$558*EFEITO!$Y$558</f>
        <v>0</v>
      </c>
      <c r="K558" s="81">
        <f ca="1">EFEITO!$L$558*EFEITO!$Z$558</f>
        <v>864390.3020314133</v>
      </c>
      <c r="L558" s="81">
        <f>EFEITO!$N$558*EFEITO!$AA$558</f>
        <v>485702.73726468219</v>
      </c>
      <c r="M558" s="81">
        <f>$J$558-EFEITO!$K$558*EFEITO!$Y$558</f>
        <v>0</v>
      </c>
      <c r="N558" s="81">
        <f ca="1">$K$558-EFEITO!$M$558*EFEITO!$Z$558</f>
        <v>0</v>
      </c>
      <c r="O558" s="81">
        <f>$L$558-EFEITO!$O$558*EFEITO!$AA$558</f>
        <v>0</v>
      </c>
      <c r="P558" s="18"/>
      <c r="Q558" s="18"/>
      <c r="R558" s="18"/>
      <c r="S558" s="18"/>
      <c r="T558" s="18"/>
      <c r="U558" s="18"/>
      <c r="V558" s="18"/>
      <c r="W558" s="18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</row>
    <row r="559" spans="1:36" ht="11.25" customHeight="1" x14ac:dyDescent="0.2">
      <c r="A559" s="74" t="s">
        <v>27</v>
      </c>
      <c r="B559" s="74" t="s">
        <v>33</v>
      </c>
      <c r="C559" s="74" t="s">
        <v>23</v>
      </c>
      <c r="D559" s="74" t="s">
        <v>40</v>
      </c>
      <c r="E559" s="74" t="s">
        <v>25</v>
      </c>
      <c r="F559" s="74" t="s">
        <v>25</v>
      </c>
      <c r="G559" s="74" t="s">
        <v>25</v>
      </c>
      <c r="H559" s="74" t="s">
        <v>25</v>
      </c>
      <c r="I559" s="80">
        <v>44652</v>
      </c>
      <c r="J559" s="81">
        <f>EFEITO!$J$559*EFEITO!$Y$559</f>
        <v>0</v>
      </c>
      <c r="K559" s="81">
        <f ca="1">EFEITO!$L$559*EFEITO!$Z$559</f>
        <v>221.73940262492306</v>
      </c>
      <c r="L559" s="81">
        <f>EFEITO!$N$559*EFEITO!$AA$559</f>
        <v>124.59583889506273</v>
      </c>
      <c r="M559" s="81">
        <f>$J$559-EFEITO!$K$559*EFEITO!$Y$559</f>
        <v>0</v>
      </c>
      <c r="N559" s="81">
        <f ca="1">$K$559-EFEITO!$M$559*EFEITO!$Z$559</f>
        <v>0</v>
      </c>
      <c r="O559" s="81">
        <f>$L$559-EFEITO!$O$559*EFEITO!$AA$559</f>
        <v>0</v>
      </c>
      <c r="P559" s="18"/>
      <c r="Q559" s="18"/>
      <c r="R559" s="18"/>
      <c r="S559" s="18"/>
      <c r="T559" s="18"/>
      <c r="U559" s="18"/>
      <c r="V559" s="18"/>
      <c r="W559" s="18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</row>
    <row r="560" spans="1:36" ht="11.25" customHeight="1" x14ac:dyDescent="0.2">
      <c r="A560" s="74" t="s">
        <v>28</v>
      </c>
      <c r="B560" s="74" t="s">
        <v>33</v>
      </c>
      <c r="C560" s="74" t="s">
        <v>23</v>
      </c>
      <c r="D560" s="74" t="s">
        <v>40</v>
      </c>
      <c r="E560" s="74" t="s">
        <v>25</v>
      </c>
      <c r="F560" s="74" t="s">
        <v>25</v>
      </c>
      <c r="G560" s="74" t="s">
        <v>25</v>
      </c>
      <c r="H560" s="74" t="s">
        <v>25</v>
      </c>
      <c r="I560" s="80">
        <v>44652</v>
      </c>
      <c r="J560" s="81">
        <f>EFEITO!$J$560*EFEITO!$Y$560</f>
        <v>0</v>
      </c>
      <c r="K560" s="81">
        <f ca="1">EFEITO!$L$560*EFEITO!$Z$560</f>
        <v>21808.550474739372</v>
      </c>
      <c r="L560" s="81">
        <f>EFEITO!$N$560*EFEITO!$AA$560</f>
        <v>12254.270595658476</v>
      </c>
      <c r="M560" s="81">
        <f>$J$560-EFEITO!$K$560*EFEITO!$Y$560</f>
        <v>0</v>
      </c>
      <c r="N560" s="81">
        <f ca="1">$K$560-EFEITO!$M$560*EFEITO!$Z$560</f>
        <v>0</v>
      </c>
      <c r="O560" s="81">
        <f>$L$560-EFEITO!$O$560*EFEITO!$AA$560</f>
        <v>0</v>
      </c>
      <c r="P560" s="18"/>
      <c r="Q560" s="18"/>
      <c r="R560" s="18"/>
      <c r="S560" s="18"/>
      <c r="T560" s="18"/>
      <c r="U560" s="18"/>
      <c r="V560" s="18"/>
      <c r="W560" s="18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</row>
    <row r="561" spans="1:36" ht="11.25" customHeight="1" x14ac:dyDescent="0.2">
      <c r="A561" s="74" t="s">
        <v>21</v>
      </c>
      <c r="B561" s="74" t="s">
        <v>33</v>
      </c>
      <c r="C561" s="74" t="s">
        <v>23</v>
      </c>
      <c r="D561" s="74" t="s">
        <v>40</v>
      </c>
      <c r="E561" s="74" t="s">
        <v>25</v>
      </c>
      <c r="F561" s="74" t="s">
        <v>25</v>
      </c>
      <c r="G561" s="74" t="s">
        <v>25</v>
      </c>
      <c r="H561" s="74" t="s">
        <v>25</v>
      </c>
      <c r="I561" s="80">
        <v>44682</v>
      </c>
      <c r="J561" s="81">
        <f>EFEITO!$J$561*EFEITO!$Y$561</f>
        <v>0</v>
      </c>
      <c r="K561" s="81">
        <f ca="1">EFEITO!$L$561*EFEITO!$Z$561</f>
        <v>729447.46873680188</v>
      </c>
      <c r="L561" s="81">
        <f>EFEITO!$N$561*EFEITO!$AA$561</f>
        <v>409878.07408716483</v>
      </c>
      <c r="M561" s="81">
        <f>$J$561-EFEITO!$K$561*EFEITO!$Y$561</f>
        <v>0</v>
      </c>
      <c r="N561" s="81">
        <f ca="1">$K$561-EFEITO!$M$561*EFEITO!$Z$561</f>
        <v>0</v>
      </c>
      <c r="O561" s="81">
        <f>$L$561-EFEITO!$O$561*EFEITO!$AA$561</f>
        <v>0</v>
      </c>
      <c r="P561" s="18"/>
      <c r="Q561" s="18"/>
      <c r="R561" s="18"/>
      <c r="S561" s="18"/>
      <c r="T561" s="18"/>
      <c r="U561" s="18"/>
      <c r="V561" s="18"/>
      <c r="W561" s="18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</row>
    <row r="562" spans="1:36" ht="11.25" customHeight="1" x14ac:dyDescent="0.2">
      <c r="A562" s="74" t="s">
        <v>27</v>
      </c>
      <c r="B562" s="74" t="s">
        <v>33</v>
      </c>
      <c r="C562" s="74" t="s">
        <v>23</v>
      </c>
      <c r="D562" s="74" t="s">
        <v>40</v>
      </c>
      <c r="E562" s="74" t="s">
        <v>25</v>
      </c>
      <c r="F562" s="74" t="s">
        <v>25</v>
      </c>
      <c r="G562" s="74" t="s">
        <v>25</v>
      </c>
      <c r="H562" s="74" t="s">
        <v>25</v>
      </c>
      <c r="I562" s="80">
        <v>44682</v>
      </c>
      <c r="J562" s="81">
        <f>EFEITO!$J$562*EFEITO!$Y$562</f>
        <v>0</v>
      </c>
      <c r="K562" s="81">
        <f ca="1">EFEITO!$L$562*EFEITO!$Z$562</f>
        <v>-732.03234049244838</v>
      </c>
      <c r="L562" s="81">
        <f>EFEITO!$N$562*EFEITO!$AA$562</f>
        <v>-411.33051898878523</v>
      </c>
      <c r="M562" s="81">
        <f>$J$562-EFEITO!$K$562*EFEITO!$Y$562</f>
        <v>0</v>
      </c>
      <c r="N562" s="81">
        <f ca="1">$K$562-EFEITO!$M$562*EFEITO!$Z$562</f>
        <v>0</v>
      </c>
      <c r="O562" s="81">
        <f>$L$562-EFEITO!$O$562*EFEITO!$AA$562</f>
        <v>0</v>
      </c>
      <c r="P562" s="18"/>
      <c r="Q562" s="18"/>
      <c r="R562" s="18"/>
      <c r="S562" s="18"/>
      <c r="T562" s="18"/>
      <c r="U562" s="18"/>
      <c r="V562" s="18"/>
      <c r="W562" s="18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</row>
    <row r="563" spans="1:36" ht="11.25" customHeight="1" x14ac:dyDescent="0.2">
      <c r="A563" s="74" t="s">
        <v>28</v>
      </c>
      <c r="B563" s="74" t="s">
        <v>33</v>
      </c>
      <c r="C563" s="74" t="s">
        <v>23</v>
      </c>
      <c r="D563" s="74" t="s">
        <v>40</v>
      </c>
      <c r="E563" s="74" t="s">
        <v>25</v>
      </c>
      <c r="F563" s="74" t="s">
        <v>25</v>
      </c>
      <c r="G563" s="74" t="s">
        <v>25</v>
      </c>
      <c r="H563" s="74" t="s">
        <v>25</v>
      </c>
      <c r="I563" s="80">
        <v>44682</v>
      </c>
      <c r="J563" s="81">
        <f>EFEITO!$J$563*EFEITO!$Y$563</f>
        <v>0</v>
      </c>
      <c r="K563" s="81">
        <f ca="1">EFEITO!$L$563*EFEITO!$Z$563</f>
        <v>26199.909341036342</v>
      </c>
      <c r="L563" s="81">
        <f>EFEITO!$N$563*EFEITO!$AA$563</f>
        <v>14721.784422062392</v>
      </c>
      <c r="M563" s="81">
        <f>$J$563-EFEITO!$K$563*EFEITO!$Y$563</f>
        <v>0</v>
      </c>
      <c r="N563" s="81">
        <f ca="1">$K$563-EFEITO!$M$563*EFEITO!$Z$563</f>
        <v>0</v>
      </c>
      <c r="O563" s="81">
        <f>$L$563-EFEITO!$O$563*EFEITO!$AA$563</f>
        <v>0</v>
      </c>
      <c r="P563" s="18"/>
      <c r="Q563" s="18"/>
      <c r="R563" s="18"/>
      <c r="S563" s="18"/>
      <c r="T563" s="18"/>
      <c r="U563" s="18"/>
      <c r="V563" s="18"/>
      <c r="W563" s="18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</row>
    <row r="564" spans="1:36" ht="11.25" customHeight="1" x14ac:dyDescent="0.2">
      <c r="A564" s="74" t="s">
        <v>21</v>
      </c>
      <c r="B564" s="74" t="s">
        <v>33</v>
      </c>
      <c r="C564" s="74" t="s">
        <v>23</v>
      </c>
      <c r="D564" s="74" t="s">
        <v>40</v>
      </c>
      <c r="E564" s="74" t="s">
        <v>25</v>
      </c>
      <c r="F564" s="74" t="s">
        <v>25</v>
      </c>
      <c r="G564" s="74" t="s">
        <v>25</v>
      </c>
      <c r="H564" s="74" t="s">
        <v>25</v>
      </c>
      <c r="I564" s="80">
        <v>44713</v>
      </c>
      <c r="J564" s="81">
        <f>EFEITO!$J$564*EFEITO!$Y$564</f>
        <v>0</v>
      </c>
      <c r="K564" s="81">
        <f ca="1">EFEITO!$L$564*EFEITO!$Z$564</f>
        <v>668712.58701067371</v>
      </c>
      <c r="L564" s="81">
        <f>EFEITO!$N$564*EFEITO!$AA$564</f>
        <v>375751.01570566627</v>
      </c>
      <c r="M564" s="81">
        <f>$J$564-EFEITO!$K$564*EFEITO!$Y$564</f>
        <v>0</v>
      </c>
      <c r="N564" s="81">
        <f ca="1">$K$564-EFEITO!$M$564*EFEITO!$Z$564</f>
        <v>0</v>
      </c>
      <c r="O564" s="81">
        <f>$L$564-EFEITO!$O$564*EFEITO!$AA$564</f>
        <v>0</v>
      </c>
      <c r="P564" s="18"/>
      <c r="Q564" s="18"/>
      <c r="R564" s="18"/>
      <c r="S564" s="18"/>
      <c r="T564" s="18"/>
      <c r="U564" s="18"/>
      <c r="V564" s="18"/>
      <c r="W564" s="18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</row>
    <row r="565" spans="1:36" ht="11.25" customHeight="1" x14ac:dyDescent="0.2">
      <c r="A565" s="74" t="s">
        <v>28</v>
      </c>
      <c r="B565" s="74" t="s">
        <v>33</v>
      </c>
      <c r="C565" s="74" t="s">
        <v>23</v>
      </c>
      <c r="D565" s="74" t="s">
        <v>40</v>
      </c>
      <c r="E565" s="74" t="s">
        <v>25</v>
      </c>
      <c r="F565" s="74" t="s">
        <v>25</v>
      </c>
      <c r="G565" s="74" t="s">
        <v>25</v>
      </c>
      <c r="H565" s="74" t="s">
        <v>25</v>
      </c>
      <c r="I565" s="80">
        <v>44713</v>
      </c>
      <c r="J565" s="81">
        <f>EFEITO!$J$565*EFEITO!$Y$565</f>
        <v>0</v>
      </c>
      <c r="K565" s="81">
        <f ca="1">EFEITO!$L$565*EFEITO!$Z$565</f>
        <v>32239.489341345681</v>
      </c>
      <c r="L565" s="81">
        <f>EFEITO!$N$565*EFEITO!$AA$565</f>
        <v>18115.437186543168</v>
      </c>
      <c r="M565" s="81">
        <f>$J$565-EFEITO!$K$565*EFEITO!$Y$565</f>
        <v>0</v>
      </c>
      <c r="N565" s="81">
        <f ca="1">$K$565-EFEITO!$M$565*EFEITO!$Z$565</f>
        <v>0</v>
      </c>
      <c r="O565" s="81">
        <f>$L$565-EFEITO!$O$565*EFEITO!$AA$565</f>
        <v>0</v>
      </c>
      <c r="P565" s="18"/>
      <c r="Q565" s="18"/>
      <c r="R565" s="18"/>
      <c r="S565" s="18"/>
      <c r="T565" s="18"/>
      <c r="U565" s="18"/>
      <c r="V565" s="18"/>
      <c r="W565" s="18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</row>
    <row r="566" spans="1:36" ht="11.25" customHeight="1" x14ac:dyDescent="0.2">
      <c r="A566" s="74" t="s">
        <v>55</v>
      </c>
      <c r="B566" s="74" t="s">
        <v>33</v>
      </c>
      <c r="C566" s="74" t="s">
        <v>23</v>
      </c>
      <c r="D566" s="74" t="s">
        <v>40</v>
      </c>
      <c r="E566" s="74" t="s">
        <v>25</v>
      </c>
      <c r="F566" s="74" t="s">
        <v>25</v>
      </c>
      <c r="G566" s="74" t="s">
        <v>25</v>
      </c>
      <c r="H566" s="74" t="s">
        <v>25</v>
      </c>
      <c r="I566" s="80">
        <v>44743</v>
      </c>
      <c r="J566" s="81">
        <f>EFEITO!$J$566*EFEITO!$Y$566</f>
        <v>0</v>
      </c>
      <c r="K566" s="81">
        <f ca="1">EFEITO!$L$566*EFEITO!$Z$566</f>
        <v>668712.58701067371</v>
      </c>
      <c r="L566" s="81">
        <f>EFEITO!$N$566*EFEITO!$AA$566</f>
        <v>375751.01570566627</v>
      </c>
      <c r="M566" s="81">
        <f>$J$566-EFEITO!$K$566*EFEITO!$Y$566</f>
        <v>0</v>
      </c>
      <c r="N566" s="81">
        <f ca="1">$K$566-EFEITO!$M$566*EFEITO!$Z$566</f>
        <v>0</v>
      </c>
      <c r="O566" s="81">
        <f>$L$566-EFEITO!$O$566*EFEITO!$AA$566</f>
        <v>0</v>
      </c>
      <c r="P566" s="18"/>
      <c r="Q566" s="18"/>
      <c r="R566" s="18"/>
      <c r="S566" s="18"/>
      <c r="T566" s="18"/>
      <c r="U566" s="18"/>
      <c r="V566" s="18"/>
      <c r="W566" s="18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</row>
    <row r="567" spans="1:36" ht="11.25" customHeight="1" x14ac:dyDescent="0.2">
      <c r="A567" s="74" t="s">
        <v>55</v>
      </c>
      <c r="B567" s="74" t="s">
        <v>33</v>
      </c>
      <c r="C567" s="74" t="s">
        <v>23</v>
      </c>
      <c r="D567" s="74" t="s">
        <v>40</v>
      </c>
      <c r="E567" s="74" t="s">
        <v>25</v>
      </c>
      <c r="F567" s="74" t="s">
        <v>25</v>
      </c>
      <c r="G567" s="74" t="s">
        <v>25</v>
      </c>
      <c r="H567" s="74" t="s">
        <v>25</v>
      </c>
      <c r="I567" s="80">
        <v>44743</v>
      </c>
      <c r="J567" s="81">
        <f>EFEITO!$J$567*EFEITO!$Y$567</f>
        <v>0</v>
      </c>
      <c r="K567" s="81">
        <f ca="1">EFEITO!$L$567*EFEITO!$Z$567</f>
        <v>32239.489341345681</v>
      </c>
      <c r="L567" s="81">
        <f>EFEITO!$N$567*EFEITO!$AA$567</f>
        <v>18115.437186543168</v>
      </c>
      <c r="M567" s="81">
        <f>$J$567-EFEITO!$K$567*EFEITO!$Y$567</f>
        <v>0</v>
      </c>
      <c r="N567" s="81">
        <f ca="1">$K$567-EFEITO!$M$567*EFEITO!$Z$567</f>
        <v>0</v>
      </c>
      <c r="O567" s="81">
        <f>$L$567-EFEITO!$O$567*EFEITO!$AA$567</f>
        <v>0</v>
      </c>
      <c r="P567" s="18"/>
      <c r="Q567" s="18"/>
      <c r="R567" s="18"/>
      <c r="S567" s="18"/>
      <c r="T567" s="18"/>
      <c r="U567" s="18"/>
      <c r="V567" s="18"/>
      <c r="W567" s="18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</row>
    <row r="568" spans="1:36" ht="11.25" customHeight="1" x14ac:dyDescent="0.2">
      <c r="A568" s="74" t="s">
        <v>21</v>
      </c>
      <c r="B568" s="74" t="s">
        <v>33</v>
      </c>
      <c r="C568" s="74" t="s">
        <v>23</v>
      </c>
      <c r="D568" s="74" t="s">
        <v>49</v>
      </c>
      <c r="E568" s="74" t="s">
        <v>25</v>
      </c>
      <c r="F568" s="74" t="s">
        <v>25</v>
      </c>
      <c r="G568" s="74" t="s">
        <v>25</v>
      </c>
      <c r="H568" s="74" t="s">
        <v>25</v>
      </c>
      <c r="I568" s="80">
        <v>44409</v>
      </c>
      <c r="J568" s="81">
        <f>EFEITO!$J$568*EFEITO!$Y$568</f>
        <v>0</v>
      </c>
      <c r="K568" s="81">
        <f ca="1">EFEITO!$L$568*EFEITO!$Z$568</f>
        <v>2319.7031668200516</v>
      </c>
      <c r="L568" s="81">
        <f>EFEITO!$N$568*EFEITO!$AA$568</f>
        <v>1303.4461112280101</v>
      </c>
      <c r="M568" s="81">
        <f>$J$568-EFEITO!$K$568*EFEITO!$Y$568</f>
        <v>0</v>
      </c>
      <c r="N568" s="81">
        <f ca="1">$K$568-EFEITO!$M$568*EFEITO!$Z$568</f>
        <v>0</v>
      </c>
      <c r="O568" s="81">
        <f>$L$568-EFEITO!$O$568*EFEITO!$AA$568</f>
        <v>0</v>
      </c>
      <c r="P568" s="18"/>
      <c r="Q568" s="18"/>
      <c r="R568" s="18"/>
      <c r="S568" s="18"/>
      <c r="T568" s="18"/>
      <c r="U568" s="18"/>
      <c r="V568" s="18"/>
      <c r="W568" s="18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</row>
    <row r="569" spans="1:36" ht="11.25" customHeight="1" x14ac:dyDescent="0.2">
      <c r="A569" s="74" t="s">
        <v>21</v>
      </c>
      <c r="B569" s="74" t="s">
        <v>33</v>
      </c>
      <c r="C569" s="74" t="s">
        <v>23</v>
      </c>
      <c r="D569" s="74" t="s">
        <v>49</v>
      </c>
      <c r="E569" s="74" t="s">
        <v>25</v>
      </c>
      <c r="F569" s="74" t="s">
        <v>25</v>
      </c>
      <c r="G569" s="74" t="s">
        <v>25</v>
      </c>
      <c r="H569" s="74" t="s">
        <v>25</v>
      </c>
      <c r="I569" s="80">
        <v>44440</v>
      </c>
      <c r="J569" s="81">
        <f>EFEITO!$J$569*EFEITO!$Y$569</f>
        <v>0</v>
      </c>
      <c r="K569" s="81">
        <f ca="1">EFEITO!$L$569*EFEITO!$Z$569</f>
        <v>2379.0007095182423</v>
      </c>
      <c r="L569" s="81">
        <f>EFEITO!$N$569*EFEITO!$AA$569</f>
        <v>1336.7655257724525</v>
      </c>
      <c r="M569" s="81">
        <f>$J$569-EFEITO!$K$569*EFEITO!$Y$569</f>
        <v>0</v>
      </c>
      <c r="N569" s="81">
        <f ca="1">$K$569-EFEITO!$M$569*EFEITO!$Z$569</f>
        <v>0</v>
      </c>
      <c r="O569" s="81">
        <f>$L$569-EFEITO!$O$569*EFEITO!$AA$569</f>
        <v>0</v>
      </c>
      <c r="P569" s="18"/>
      <c r="Q569" s="18"/>
      <c r="R569" s="18"/>
      <c r="S569" s="18"/>
      <c r="T569" s="18"/>
      <c r="U569" s="18"/>
      <c r="V569" s="18"/>
      <c r="W569" s="18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</row>
    <row r="570" spans="1:36" ht="11.25" customHeight="1" x14ac:dyDescent="0.2">
      <c r="A570" s="74" t="s">
        <v>21</v>
      </c>
      <c r="B570" s="74" t="s">
        <v>33</v>
      </c>
      <c r="C570" s="74" t="s">
        <v>23</v>
      </c>
      <c r="D570" s="74" t="s">
        <v>49</v>
      </c>
      <c r="E570" s="74" t="s">
        <v>25</v>
      </c>
      <c r="F570" s="74" t="s">
        <v>25</v>
      </c>
      <c r="G570" s="74" t="s">
        <v>25</v>
      </c>
      <c r="H570" s="74" t="s">
        <v>25</v>
      </c>
      <c r="I570" s="80">
        <v>44470</v>
      </c>
      <c r="J570" s="81">
        <f>EFEITO!$J$570*EFEITO!$Y$570</f>
        <v>0</v>
      </c>
      <c r="K570" s="81">
        <f ca="1">EFEITO!$L$570*EFEITO!$Z$570</f>
        <v>2412.8253641559422</v>
      </c>
      <c r="L570" s="81">
        <f>EFEITO!$N$570*EFEITO!$AA$570</f>
        <v>1355.7716706886486</v>
      </c>
      <c r="M570" s="81">
        <f>$J$570-EFEITO!$K$570*EFEITO!$Y$570</f>
        <v>0</v>
      </c>
      <c r="N570" s="81">
        <f ca="1">$K$570-EFEITO!$M$570*EFEITO!$Z$570</f>
        <v>0</v>
      </c>
      <c r="O570" s="81">
        <f>$L$570-EFEITO!$O$570*EFEITO!$AA$570</f>
        <v>0</v>
      </c>
      <c r="P570" s="18"/>
      <c r="Q570" s="18"/>
      <c r="R570" s="18"/>
      <c r="S570" s="18"/>
      <c r="T570" s="18"/>
      <c r="U570" s="18"/>
      <c r="V570" s="18"/>
      <c r="W570" s="18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</row>
    <row r="571" spans="1:36" ht="11.25" customHeight="1" x14ac:dyDescent="0.2">
      <c r="A571" s="74" t="s">
        <v>21</v>
      </c>
      <c r="B571" s="74" t="s">
        <v>33</v>
      </c>
      <c r="C571" s="74" t="s">
        <v>23</v>
      </c>
      <c r="D571" s="74" t="s">
        <v>49</v>
      </c>
      <c r="E571" s="74" t="s">
        <v>25</v>
      </c>
      <c r="F571" s="74" t="s">
        <v>25</v>
      </c>
      <c r="G571" s="74" t="s">
        <v>25</v>
      </c>
      <c r="H571" s="74" t="s">
        <v>25</v>
      </c>
      <c r="I571" s="80">
        <v>44501</v>
      </c>
      <c r="J571" s="81">
        <f>EFEITO!$J$571*EFEITO!$Y$571</f>
        <v>0</v>
      </c>
      <c r="K571" s="81">
        <f ca="1">EFEITO!$L$571*EFEITO!$Z$571</f>
        <v>2611.1798203646777</v>
      </c>
      <c r="L571" s="81">
        <f>EFEITO!$N$571*EFEITO!$AA$571</f>
        <v>1467.2274587774525</v>
      </c>
      <c r="M571" s="81">
        <f>$J$571-EFEITO!$K$571*EFEITO!$Y$571</f>
        <v>0</v>
      </c>
      <c r="N571" s="81">
        <f ca="1">$K$571-EFEITO!$M$571*EFEITO!$Z$571</f>
        <v>0</v>
      </c>
      <c r="O571" s="81">
        <f>$L$571-EFEITO!$O$571*EFEITO!$AA$571</f>
        <v>0</v>
      </c>
      <c r="P571" s="18"/>
      <c r="Q571" s="18"/>
      <c r="R571" s="18"/>
      <c r="S571" s="18"/>
      <c r="T571" s="18"/>
      <c r="U571" s="18"/>
      <c r="V571" s="18"/>
      <c r="W571" s="18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</row>
    <row r="572" spans="1:36" ht="11.25" customHeight="1" x14ac:dyDescent="0.2">
      <c r="A572" s="74" t="s">
        <v>21</v>
      </c>
      <c r="B572" s="74" t="s">
        <v>33</v>
      </c>
      <c r="C572" s="74" t="s">
        <v>23</v>
      </c>
      <c r="D572" s="74" t="s">
        <v>49</v>
      </c>
      <c r="E572" s="74" t="s">
        <v>25</v>
      </c>
      <c r="F572" s="74" t="s">
        <v>25</v>
      </c>
      <c r="G572" s="74" t="s">
        <v>25</v>
      </c>
      <c r="H572" s="74" t="s">
        <v>25</v>
      </c>
      <c r="I572" s="80">
        <v>44531</v>
      </c>
      <c r="J572" s="81">
        <f>EFEITO!$J$572*EFEITO!$Y$572</f>
        <v>0</v>
      </c>
      <c r="K572" s="81">
        <f ca="1">EFEITO!$L$572*EFEITO!$Z$572</f>
        <v>2994.108317929752</v>
      </c>
      <c r="L572" s="81">
        <f>EFEITO!$N$572*EFEITO!$AA$572</f>
        <v>1682.395790729943</v>
      </c>
      <c r="M572" s="81">
        <f>$J$572-EFEITO!$K$572*EFEITO!$Y$572</f>
        <v>0</v>
      </c>
      <c r="N572" s="81">
        <f ca="1">$K$572-EFEITO!$M$572*EFEITO!$Z$572</f>
        <v>0</v>
      </c>
      <c r="O572" s="81">
        <f>$L$572-EFEITO!$O$572*EFEITO!$AA$572</f>
        <v>0</v>
      </c>
      <c r="P572" s="18"/>
      <c r="Q572" s="18"/>
      <c r="R572" s="18"/>
      <c r="S572" s="18"/>
      <c r="T572" s="18"/>
      <c r="U572" s="18"/>
      <c r="V572" s="18"/>
      <c r="W572" s="18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</row>
    <row r="573" spans="1:36" ht="11.25" customHeight="1" x14ac:dyDescent="0.2">
      <c r="A573" s="74" t="s">
        <v>21</v>
      </c>
      <c r="B573" s="74" t="s">
        <v>33</v>
      </c>
      <c r="C573" s="74" t="s">
        <v>23</v>
      </c>
      <c r="D573" s="74" t="s">
        <v>49</v>
      </c>
      <c r="E573" s="74" t="s">
        <v>25</v>
      </c>
      <c r="F573" s="74" t="s">
        <v>25</v>
      </c>
      <c r="G573" s="74" t="s">
        <v>25</v>
      </c>
      <c r="H573" s="74" t="s">
        <v>25</v>
      </c>
      <c r="I573" s="80">
        <v>44562</v>
      </c>
      <c r="J573" s="81">
        <f>EFEITO!$J$573*EFEITO!$Y$573</f>
        <v>0</v>
      </c>
      <c r="K573" s="81">
        <f ca="1">EFEITO!$L$573*EFEITO!$Z$573</f>
        <v>4219.7300631353064</v>
      </c>
      <c r="L573" s="81">
        <f>EFEITO!$N$573*EFEITO!$AA$573</f>
        <v>2371.0752392365516</v>
      </c>
      <c r="M573" s="81">
        <f>$J$573-EFEITO!$K$573*EFEITO!$Y$573</f>
        <v>0</v>
      </c>
      <c r="N573" s="81">
        <f ca="1">$K$573-EFEITO!$M$573*EFEITO!$Z$573</f>
        <v>0</v>
      </c>
      <c r="O573" s="81">
        <f>$L$573-EFEITO!$O$573*EFEITO!$AA$573</f>
        <v>0</v>
      </c>
      <c r="P573" s="18"/>
      <c r="Q573" s="18"/>
      <c r="R573" s="18"/>
      <c r="S573" s="18"/>
      <c r="T573" s="18"/>
      <c r="U573" s="18"/>
      <c r="V573" s="18"/>
      <c r="W573" s="18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</row>
    <row r="574" spans="1:36" ht="11.25" customHeight="1" x14ac:dyDescent="0.2">
      <c r="A574" s="74" t="s">
        <v>21</v>
      </c>
      <c r="B574" s="74" t="s">
        <v>33</v>
      </c>
      <c r="C574" s="74" t="s">
        <v>23</v>
      </c>
      <c r="D574" s="74" t="s">
        <v>49</v>
      </c>
      <c r="E574" s="74" t="s">
        <v>25</v>
      </c>
      <c r="F574" s="74" t="s">
        <v>25</v>
      </c>
      <c r="G574" s="74" t="s">
        <v>25</v>
      </c>
      <c r="H574" s="74" t="s">
        <v>25</v>
      </c>
      <c r="I574" s="80">
        <v>44593</v>
      </c>
      <c r="J574" s="81">
        <f>EFEITO!$J$574*EFEITO!$Y$574</f>
        <v>0</v>
      </c>
      <c r="K574" s="81">
        <f ca="1">EFEITO!$L$574*EFEITO!$Z$574</f>
        <v>4801.8481935668369</v>
      </c>
      <c r="L574" s="81">
        <f>EFEITO!$N$574*EFEITO!$AA$574</f>
        <v>2698.1686468066409</v>
      </c>
      <c r="M574" s="81">
        <f>$J$574-EFEITO!$K$574*EFEITO!$Y$574</f>
        <v>0</v>
      </c>
      <c r="N574" s="81">
        <f ca="1">$K$574-EFEITO!$M$574*EFEITO!$Z$574</f>
        <v>0</v>
      </c>
      <c r="O574" s="81">
        <f>$L$574-EFEITO!$O$574*EFEITO!$AA$574</f>
        <v>0</v>
      </c>
      <c r="P574" s="18"/>
      <c r="Q574" s="18"/>
      <c r="R574" s="18"/>
      <c r="S574" s="18"/>
      <c r="T574" s="18"/>
      <c r="U574" s="18"/>
      <c r="V574" s="18"/>
      <c r="W574" s="18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</row>
    <row r="575" spans="1:36" ht="11.25" customHeight="1" x14ac:dyDescent="0.2">
      <c r="A575" s="74" t="s">
        <v>21</v>
      </c>
      <c r="B575" s="74" t="s">
        <v>33</v>
      </c>
      <c r="C575" s="74" t="s">
        <v>23</v>
      </c>
      <c r="D575" s="74" t="s">
        <v>49</v>
      </c>
      <c r="E575" s="74" t="s">
        <v>25</v>
      </c>
      <c r="F575" s="74" t="s">
        <v>25</v>
      </c>
      <c r="G575" s="74" t="s">
        <v>25</v>
      </c>
      <c r="H575" s="74" t="s">
        <v>25</v>
      </c>
      <c r="I575" s="80">
        <v>44621</v>
      </c>
      <c r="J575" s="81">
        <f>EFEITO!$J$575*EFEITO!$Y$575</f>
        <v>0</v>
      </c>
      <c r="K575" s="81">
        <f ca="1">EFEITO!$L$575*EFEITO!$Z$575</f>
        <v>4685.3410498147587</v>
      </c>
      <c r="L575" s="81">
        <f>EFEITO!$N$575*EFEITO!$AA$575</f>
        <v>2632.7030365397436</v>
      </c>
      <c r="M575" s="81">
        <f>$J$575-EFEITO!$K$575*EFEITO!$Y$575</f>
        <v>0</v>
      </c>
      <c r="N575" s="81">
        <f ca="1">$K$575-EFEITO!$M$575*EFEITO!$Z$575</f>
        <v>0</v>
      </c>
      <c r="O575" s="81">
        <f>$L$575-EFEITO!$O$575*EFEITO!$AA$575</f>
        <v>0</v>
      </c>
      <c r="P575" s="18"/>
      <c r="Q575" s="18"/>
      <c r="R575" s="18"/>
      <c r="S575" s="18"/>
      <c r="T575" s="18"/>
      <c r="U575" s="18"/>
      <c r="V575" s="18"/>
      <c r="W575" s="18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</row>
    <row r="576" spans="1:36" ht="11.25" customHeight="1" x14ac:dyDescent="0.2">
      <c r="A576" s="74" t="s">
        <v>21</v>
      </c>
      <c r="B576" s="74" t="s">
        <v>33</v>
      </c>
      <c r="C576" s="74" t="s">
        <v>23</v>
      </c>
      <c r="D576" s="74" t="s">
        <v>49</v>
      </c>
      <c r="E576" s="74" t="s">
        <v>25</v>
      </c>
      <c r="F576" s="74" t="s">
        <v>25</v>
      </c>
      <c r="G576" s="74" t="s">
        <v>25</v>
      </c>
      <c r="H576" s="74" t="s">
        <v>25</v>
      </c>
      <c r="I576" s="80">
        <v>44652</v>
      </c>
      <c r="J576" s="81">
        <f>EFEITO!$J$576*EFEITO!$Y$576</f>
        <v>0</v>
      </c>
      <c r="K576" s="81">
        <f ca="1">EFEITO!$L$576*EFEITO!$Z$576</f>
        <v>3908.6267581342363</v>
      </c>
      <c r="L576" s="81">
        <f>EFEITO!$N$576*EFEITO!$AA$576</f>
        <v>2196.2656347604275</v>
      </c>
      <c r="M576" s="81">
        <f>$J$576-EFEITO!$K$576*EFEITO!$Y$576</f>
        <v>0</v>
      </c>
      <c r="N576" s="81">
        <f ca="1">$K$576-EFEITO!$M$576*EFEITO!$Z$576</f>
        <v>0</v>
      </c>
      <c r="O576" s="81">
        <f>$L$576-EFEITO!$O$576*EFEITO!$AA$576</f>
        <v>0</v>
      </c>
      <c r="P576" s="18"/>
      <c r="Q576" s="18"/>
      <c r="R576" s="18"/>
      <c r="S576" s="18"/>
      <c r="T576" s="18"/>
      <c r="U576" s="18"/>
      <c r="V576" s="18"/>
      <c r="W576" s="18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</row>
    <row r="577" spans="1:36" ht="11.25" customHeight="1" x14ac:dyDescent="0.2">
      <c r="A577" s="74" t="s">
        <v>21</v>
      </c>
      <c r="B577" s="74" t="s">
        <v>33</v>
      </c>
      <c r="C577" s="74" t="s">
        <v>23</v>
      </c>
      <c r="D577" s="74" t="s">
        <v>49</v>
      </c>
      <c r="E577" s="74" t="s">
        <v>25</v>
      </c>
      <c r="F577" s="74" t="s">
        <v>25</v>
      </c>
      <c r="G577" s="74" t="s">
        <v>25</v>
      </c>
      <c r="H577" s="74" t="s">
        <v>25</v>
      </c>
      <c r="I577" s="80">
        <v>44682</v>
      </c>
      <c r="J577" s="81">
        <f>EFEITO!$J$577*EFEITO!$Y$577</f>
        <v>0</v>
      </c>
      <c r="K577" s="81">
        <f ca="1">EFEITO!$L$577*EFEITO!$Z$577</f>
        <v>2633.3120017942838</v>
      </c>
      <c r="L577" s="81">
        <f>EFEITO!$N$577*EFEITO!$AA$577</f>
        <v>1479.6635782905189</v>
      </c>
      <c r="M577" s="81">
        <f>$J$577-EFEITO!$K$577*EFEITO!$Y$577</f>
        <v>0</v>
      </c>
      <c r="N577" s="81">
        <f ca="1">$K$577-EFEITO!$M$577*EFEITO!$Z$577</f>
        <v>0</v>
      </c>
      <c r="O577" s="81">
        <f>$L$577-EFEITO!$O$577*EFEITO!$AA$577</f>
        <v>0</v>
      </c>
      <c r="P577" s="18"/>
      <c r="Q577" s="18"/>
      <c r="R577" s="18"/>
      <c r="S577" s="18"/>
      <c r="T577" s="18"/>
      <c r="U577" s="18"/>
      <c r="V577" s="18"/>
      <c r="W577" s="18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</row>
    <row r="578" spans="1:36" ht="11.25" customHeight="1" x14ac:dyDescent="0.2">
      <c r="A578" s="74" t="s">
        <v>21</v>
      </c>
      <c r="B578" s="74" t="s">
        <v>33</v>
      </c>
      <c r="C578" s="74" t="s">
        <v>23</v>
      </c>
      <c r="D578" s="74" t="s">
        <v>49</v>
      </c>
      <c r="E578" s="74" t="s">
        <v>25</v>
      </c>
      <c r="F578" s="74" t="s">
        <v>25</v>
      </c>
      <c r="G578" s="74" t="s">
        <v>25</v>
      </c>
      <c r="H578" s="74" t="s">
        <v>25</v>
      </c>
      <c r="I578" s="80">
        <v>44713</v>
      </c>
      <c r="J578" s="81">
        <f>EFEITO!$J$578*EFEITO!$Y$578</f>
        <v>0</v>
      </c>
      <c r="K578" s="81">
        <f ca="1">EFEITO!$L$578*EFEITO!$Z$578</f>
        <v>2243.7020909674416</v>
      </c>
      <c r="L578" s="81">
        <f>EFEITO!$N$578*EFEITO!$AA$578</f>
        <v>1260.7409461076686</v>
      </c>
      <c r="M578" s="81">
        <f>$J$578-EFEITO!$K$578*EFEITO!$Y$578</f>
        <v>0</v>
      </c>
      <c r="N578" s="81">
        <f ca="1">$K$578-EFEITO!$M$578*EFEITO!$Z$578</f>
        <v>0</v>
      </c>
      <c r="O578" s="81">
        <f>$L$578-EFEITO!$O$578*EFEITO!$AA$578</f>
        <v>0</v>
      </c>
      <c r="P578" s="18"/>
      <c r="Q578" s="18"/>
      <c r="R578" s="18"/>
      <c r="S578" s="18"/>
      <c r="T578" s="18"/>
      <c r="U578" s="18"/>
      <c r="V578" s="18"/>
      <c r="W578" s="18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</row>
    <row r="579" spans="1:36" ht="11.25" customHeight="1" x14ac:dyDescent="0.2">
      <c r="A579" s="74" t="s">
        <v>55</v>
      </c>
      <c r="B579" s="74" t="s">
        <v>33</v>
      </c>
      <c r="C579" s="74" t="s">
        <v>23</v>
      </c>
      <c r="D579" s="74" t="s">
        <v>49</v>
      </c>
      <c r="E579" s="74" t="s">
        <v>25</v>
      </c>
      <c r="F579" s="74" t="s">
        <v>25</v>
      </c>
      <c r="G579" s="74" t="s">
        <v>25</v>
      </c>
      <c r="H579" s="74" t="s">
        <v>25</v>
      </c>
      <c r="I579" s="80">
        <v>44743</v>
      </c>
      <c r="J579" s="81">
        <f>EFEITO!$J$579*EFEITO!$Y$579</f>
        <v>0</v>
      </c>
      <c r="K579" s="81">
        <f ca="1">EFEITO!$L$579*EFEITO!$Z$579</f>
        <v>2243.7020909674416</v>
      </c>
      <c r="L579" s="81">
        <f>EFEITO!$N$579*EFEITO!$AA$579</f>
        <v>1260.7409461076686</v>
      </c>
      <c r="M579" s="81">
        <f>$J$579-EFEITO!$K$579*EFEITO!$Y$579</f>
        <v>0</v>
      </c>
      <c r="N579" s="81">
        <f ca="1">$K$579-EFEITO!$M$579*EFEITO!$Z$579</f>
        <v>0</v>
      </c>
      <c r="O579" s="81">
        <f>$L$579-EFEITO!$O$579*EFEITO!$AA$579</f>
        <v>0</v>
      </c>
      <c r="P579" s="18"/>
      <c r="Q579" s="18"/>
      <c r="R579" s="18"/>
      <c r="S579" s="18"/>
      <c r="T579" s="18"/>
      <c r="U579" s="18"/>
      <c r="V579" s="18"/>
      <c r="W579" s="18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</row>
    <row r="580" spans="1:36" ht="11.25" customHeight="1" x14ac:dyDescent="0.2">
      <c r="A580" s="74" t="s">
        <v>21</v>
      </c>
      <c r="B580" s="74" t="s">
        <v>33</v>
      </c>
      <c r="C580" s="74" t="s">
        <v>23</v>
      </c>
      <c r="D580" s="74" t="s">
        <v>34</v>
      </c>
      <c r="E580" s="74" t="s">
        <v>25</v>
      </c>
      <c r="F580" s="74" t="s">
        <v>25</v>
      </c>
      <c r="G580" s="74" t="s">
        <v>25</v>
      </c>
      <c r="H580" s="74" t="s">
        <v>25</v>
      </c>
      <c r="I580" s="80">
        <v>44409</v>
      </c>
      <c r="J580" s="81">
        <f>EFEITO!$J$580*EFEITO!$Y$580</f>
        <v>0</v>
      </c>
      <c r="K580" s="81">
        <f ca="1">EFEITO!$L$580*EFEITO!$Z$580</f>
        <v>126246.55634609153</v>
      </c>
      <c r="L580" s="81">
        <f>EFEITO!$N$580*EFEITO!$AA$580</f>
        <v>70938.206783939822</v>
      </c>
      <c r="M580" s="81">
        <f>$J$580-EFEITO!$K$580*EFEITO!$Y$580</f>
        <v>0</v>
      </c>
      <c r="N580" s="81">
        <f ca="1">$K$580-EFEITO!$M$580*EFEITO!$Z$580</f>
        <v>0</v>
      </c>
      <c r="O580" s="81">
        <f>$L$580-EFEITO!$O$580*EFEITO!$AA$580</f>
        <v>0</v>
      </c>
      <c r="P580" s="18"/>
      <c r="Q580" s="18"/>
      <c r="R580" s="18"/>
      <c r="S580" s="18"/>
      <c r="T580" s="18"/>
      <c r="U580" s="18"/>
      <c r="V580" s="18"/>
      <c r="W580" s="18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</row>
    <row r="581" spans="1:36" ht="11.25" customHeight="1" x14ac:dyDescent="0.2">
      <c r="A581" s="74" t="s">
        <v>28</v>
      </c>
      <c r="B581" s="74" t="s">
        <v>33</v>
      </c>
      <c r="C581" s="74" t="s">
        <v>23</v>
      </c>
      <c r="D581" s="74" t="s">
        <v>34</v>
      </c>
      <c r="E581" s="74" t="s">
        <v>25</v>
      </c>
      <c r="F581" s="74" t="s">
        <v>25</v>
      </c>
      <c r="G581" s="74" t="s">
        <v>25</v>
      </c>
      <c r="H581" s="74" t="s">
        <v>25</v>
      </c>
      <c r="I581" s="80">
        <v>44409</v>
      </c>
      <c r="J581" s="81">
        <f>EFEITO!$J$581*EFEITO!$Y$581</f>
        <v>0</v>
      </c>
      <c r="K581" s="81">
        <f ca="1">EFEITO!$L$581*EFEITO!$Z$581</f>
        <v>1834.4655286841562</v>
      </c>
      <c r="L581" s="81">
        <f>EFEITO!$N$581*EFEITO!$AA$581</f>
        <v>1030.7900569981366</v>
      </c>
      <c r="M581" s="81">
        <f>$J$581-EFEITO!$K$581*EFEITO!$Y$581</f>
        <v>0</v>
      </c>
      <c r="N581" s="81">
        <f ca="1">$K$581-EFEITO!$M$581*EFEITO!$Z$581</f>
        <v>0</v>
      </c>
      <c r="O581" s="81">
        <f>$L$581-EFEITO!$O$581*EFEITO!$AA$581</f>
        <v>0</v>
      </c>
      <c r="P581" s="18"/>
      <c r="Q581" s="18"/>
      <c r="R581" s="18"/>
      <c r="S581" s="18"/>
      <c r="T581" s="18"/>
      <c r="U581" s="18"/>
      <c r="V581" s="18"/>
      <c r="W581" s="18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</row>
    <row r="582" spans="1:36" ht="11.25" customHeight="1" x14ac:dyDescent="0.2">
      <c r="A582" s="74" t="s">
        <v>21</v>
      </c>
      <c r="B582" s="74" t="s">
        <v>33</v>
      </c>
      <c r="C582" s="74" t="s">
        <v>23</v>
      </c>
      <c r="D582" s="74" t="s">
        <v>34</v>
      </c>
      <c r="E582" s="74" t="s">
        <v>25</v>
      </c>
      <c r="F582" s="74" t="s">
        <v>25</v>
      </c>
      <c r="G582" s="74" t="s">
        <v>25</v>
      </c>
      <c r="H582" s="74" t="s">
        <v>25</v>
      </c>
      <c r="I582" s="80">
        <v>44440</v>
      </c>
      <c r="J582" s="81">
        <f>EFEITO!$J$582*EFEITO!$Y$582</f>
        <v>0</v>
      </c>
      <c r="K582" s="81">
        <f ca="1">EFEITO!$L$582*EFEITO!$Z$582</f>
        <v>137191.12885719625</v>
      </c>
      <c r="L582" s="81">
        <f>EFEITO!$N$582*EFEITO!$AA$582</f>
        <v>77087.985205033416</v>
      </c>
      <c r="M582" s="81">
        <f>$J$582-EFEITO!$K$582*EFEITO!$Y$582</f>
        <v>0</v>
      </c>
      <c r="N582" s="81">
        <f ca="1">$K$582-EFEITO!$M$582*EFEITO!$Z$582</f>
        <v>0</v>
      </c>
      <c r="O582" s="81">
        <f>$L$582-EFEITO!$O$582*EFEITO!$AA$582</f>
        <v>0</v>
      </c>
      <c r="P582" s="18"/>
      <c r="Q582" s="18"/>
      <c r="R582" s="18"/>
      <c r="S582" s="18"/>
      <c r="T582" s="18"/>
      <c r="U582" s="18"/>
      <c r="V582" s="18"/>
      <c r="W582" s="18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</row>
    <row r="583" spans="1:36" ht="11.25" customHeight="1" x14ac:dyDescent="0.2">
      <c r="A583" s="74" t="s">
        <v>28</v>
      </c>
      <c r="B583" s="74" t="s">
        <v>33</v>
      </c>
      <c r="C583" s="74" t="s">
        <v>23</v>
      </c>
      <c r="D583" s="74" t="s">
        <v>34</v>
      </c>
      <c r="E583" s="74" t="s">
        <v>25</v>
      </c>
      <c r="F583" s="74" t="s">
        <v>25</v>
      </c>
      <c r="G583" s="74" t="s">
        <v>25</v>
      </c>
      <c r="H583" s="74" t="s">
        <v>25</v>
      </c>
      <c r="I583" s="80">
        <v>44440</v>
      </c>
      <c r="J583" s="81">
        <f>EFEITO!$J$583*EFEITO!$Y$583</f>
        <v>0</v>
      </c>
      <c r="K583" s="81">
        <f ca="1">EFEITO!$L$583*EFEITO!$Z$583</f>
        <v>1312.8977059373976</v>
      </c>
      <c r="L583" s="81">
        <f>EFEITO!$N$583*EFEITO!$AA$583</f>
        <v>737.7199952656822</v>
      </c>
      <c r="M583" s="81">
        <f>$J$583-EFEITO!$K$583*EFEITO!$Y$583</f>
        <v>0</v>
      </c>
      <c r="N583" s="81">
        <f ca="1">$K$583-EFEITO!$M$583*EFEITO!$Z$583</f>
        <v>0</v>
      </c>
      <c r="O583" s="81">
        <f>$L$583-EFEITO!$O$583*EFEITO!$AA$583</f>
        <v>0</v>
      </c>
      <c r="P583" s="18"/>
      <c r="Q583" s="18"/>
      <c r="R583" s="18"/>
      <c r="S583" s="18"/>
      <c r="T583" s="18"/>
      <c r="U583" s="18"/>
      <c r="V583" s="18"/>
      <c r="W583" s="18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</row>
    <row r="584" spans="1:36" ht="11.25" customHeight="1" x14ac:dyDescent="0.2">
      <c r="A584" s="74" t="s">
        <v>21</v>
      </c>
      <c r="B584" s="74" t="s">
        <v>33</v>
      </c>
      <c r="C584" s="74" t="s">
        <v>23</v>
      </c>
      <c r="D584" s="74" t="s">
        <v>34</v>
      </c>
      <c r="E584" s="74" t="s">
        <v>25</v>
      </c>
      <c r="F584" s="74" t="s">
        <v>25</v>
      </c>
      <c r="G584" s="74" t="s">
        <v>25</v>
      </c>
      <c r="H584" s="74" t="s">
        <v>25</v>
      </c>
      <c r="I584" s="80">
        <v>44470</v>
      </c>
      <c r="J584" s="81">
        <f>EFEITO!$J$584*EFEITO!$Y$584</f>
        <v>0</v>
      </c>
      <c r="K584" s="81">
        <f ca="1">EFEITO!$L$584*EFEITO!$Z$584</f>
        <v>125994.75058378867</v>
      </c>
      <c r="L584" s="81">
        <f>EFEITO!$N$584*EFEITO!$AA$584</f>
        <v>70796.716594008147</v>
      </c>
      <c r="M584" s="81">
        <f>$J$584-EFEITO!$K$584*EFEITO!$Y$584</f>
        <v>0</v>
      </c>
      <c r="N584" s="81">
        <f ca="1">$K$584-EFEITO!$M$584*EFEITO!$Z$584</f>
        <v>0</v>
      </c>
      <c r="O584" s="81">
        <f>$L$584-EFEITO!$O$584*EFEITO!$AA$584</f>
        <v>0</v>
      </c>
      <c r="P584" s="18"/>
      <c r="Q584" s="18"/>
      <c r="R584" s="18"/>
      <c r="S584" s="18"/>
      <c r="T584" s="18"/>
      <c r="U584" s="18"/>
      <c r="V584" s="18"/>
      <c r="W584" s="18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</row>
    <row r="585" spans="1:36" ht="11.25" customHeight="1" x14ac:dyDescent="0.2">
      <c r="A585" s="74" t="s">
        <v>28</v>
      </c>
      <c r="B585" s="74" t="s">
        <v>33</v>
      </c>
      <c r="C585" s="74" t="s">
        <v>23</v>
      </c>
      <c r="D585" s="74" t="s">
        <v>34</v>
      </c>
      <c r="E585" s="74" t="s">
        <v>25</v>
      </c>
      <c r="F585" s="74" t="s">
        <v>25</v>
      </c>
      <c r="G585" s="74" t="s">
        <v>25</v>
      </c>
      <c r="H585" s="74" t="s">
        <v>25</v>
      </c>
      <c r="I585" s="80">
        <v>44470</v>
      </c>
      <c r="J585" s="81">
        <f>EFEITO!$J$585*EFEITO!$Y$585</f>
        <v>0</v>
      </c>
      <c r="K585" s="81">
        <f ca="1">EFEITO!$L$585*EFEITO!$Z$585</f>
        <v>752.0765802777521</v>
      </c>
      <c r="L585" s="81">
        <f>EFEITO!$N$585*EFEITO!$AA$585</f>
        <v>422.59341967986433</v>
      </c>
      <c r="M585" s="81">
        <f>$J$585-EFEITO!$K$585*EFEITO!$Y$585</f>
        <v>0</v>
      </c>
      <c r="N585" s="81">
        <f ca="1">$K$585-EFEITO!$M$585*EFEITO!$Z$585</f>
        <v>0</v>
      </c>
      <c r="O585" s="81">
        <f>$L$585-EFEITO!$O$585*EFEITO!$AA$585</f>
        <v>0</v>
      </c>
      <c r="P585" s="18"/>
      <c r="Q585" s="18"/>
      <c r="R585" s="18"/>
      <c r="S585" s="18"/>
      <c r="T585" s="18"/>
      <c r="U585" s="18"/>
      <c r="V585" s="18"/>
      <c r="W585" s="18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</row>
    <row r="586" spans="1:36" ht="11.25" customHeight="1" x14ac:dyDescent="0.2">
      <c r="A586" s="74" t="s">
        <v>21</v>
      </c>
      <c r="B586" s="74" t="s">
        <v>33</v>
      </c>
      <c r="C586" s="74" t="s">
        <v>23</v>
      </c>
      <c r="D586" s="74" t="s">
        <v>34</v>
      </c>
      <c r="E586" s="74" t="s">
        <v>25</v>
      </c>
      <c r="F586" s="74" t="s">
        <v>25</v>
      </c>
      <c r="G586" s="74" t="s">
        <v>25</v>
      </c>
      <c r="H586" s="74" t="s">
        <v>25</v>
      </c>
      <c r="I586" s="80">
        <v>44501</v>
      </c>
      <c r="J586" s="81">
        <f>EFEITO!$J$586*EFEITO!$Y$586</f>
        <v>0</v>
      </c>
      <c r="K586" s="81">
        <f ca="1">EFEITO!$L$586*EFEITO!$Z$586</f>
        <v>128109.83546946709</v>
      </c>
      <c r="L586" s="81">
        <f>EFEITO!$N$586*EFEITO!$AA$586</f>
        <v>71985.187260681399</v>
      </c>
      <c r="M586" s="81">
        <f>$J$586-EFEITO!$K$586*EFEITO!$Y$586</f>
        <v>0</v>
      </c>
      <c r="N586" s="81">
        <f ca="1">$K$586-EFEITO!$M$586*EFEITO!$Z$586</f>
        <v>0</v>
      </c>
      <c r="O586" s="81">
        <f>$L$586-EFEITO!$O$586*EFEITO!$AA$586</f>
        <v>0</v>
      </c>
      <c r="P586" s="18"/>
      <c r="Q586" s="18"/>
      <c r="R586" s="18"/>
      <c r="S586" s="18"/>
      <c r="T586" s="18"/>
      <c r="U586" s="18"/>
      <c r="V586" s="18"/>
      <c r="W586" s="18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</row>
    <row r="587" spans="1:36" ht="11.25" customHeight="1" x14ac:dyDescent="0.2">
      <c r="A587" s="74" t="s">
        <v>28</v>
      </c>
      <c r="B587" s="74" t="s">
        <v>33</v>
      </c>
      <c r="C587" s="74" t="s">
        <v>23</v>
      </c>
      <c r="D587" s="74" t="s">
        <v>34</v>
      </c>
      <c r="E587" s="74" t="s">
        <v>25</v>
      </c>
      <c r="F587" s="74" t="s">
        <v>25</v>
      </c>
      <c r="G587" s="74" t="s">
        <v>25</v>
      </c>
      <c r="H587" s="74" t="s">
        <v>25</v>
      </c>
      <c r="I587" s="80">
        <v>44501</v>
      </c>
      <c r="J587" s="81">
        <f>EFEITO!$J$587*EFEITO!$Y$587</f>
        <v>0</v>
      </c>
      <c r="K587" s="81">
        <f ca="1">EFEITO!$L$587*EFEITO!$Z$587</f>
        <v>125.27649865814861</v>
      </c>
      <c r="L587" s="81">
        <f>EFEITO!$N$587*EFEITO!$AA$587</f>
        <v>70.39312931924448</v>
      </c>
      <c r="M587" s="81">
        <f>$J$587-EFEITO!$K$587*EFEITO!$Y$587</f>
        <v>0</v>
      </c>
      <c r="N587" s="81">
        <f ca="1">$K$587-EFEITO!$M$587*EFEITO!$Z$587</f>
        <v>0</v>
      </c>
      <c r="O587" s="81">
        <f>$L$587-EFEITO!$O$587*EFEITO!$AA$587</f>
        <v>0</v>
      </c>
      <c r="P587" s="18"/>
      <c r="Q587" s="18"/>
      <c r="R587" s="18"/>
      <c r="S587" s="18"/>
      <c r="T587" s="18"/>
      <c r="U587" s="18"/>
      <c r="V587" s="18"/>
      <c r="W587" s="18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</row>
    <row r="588" spans="1:36" ht="11.25" customHeight="1" x14ac:dyDescent="0.2">
      <c r="A588" s="74" t="s">
        <v>21</v>
      </c>
      <c r="B588" s="74" t="s">
        <v>33</v>
      </c>
      <c r="C588" s="74" t="s">
        <v>23</v>
      </c>
      <c r="D588" s="74" t="s">
        <v>34</v>
      </c>
      <c r="E588" s="74" t="s">
        <v>25</v>
      </c>
      <c r="F588" s="74" t="s">
        <v>25</v>
      </c>
      <c r="G588" s="74" t="s">
        <v>25</v>
      </c>
      <c r="H588" s="74" t="s">
        <v>25</v>
      </c>
      <c r="I588" s="80">
        <v>44531</v>
      </c>
      <c r="J588" s="81">
        <f>EFEITO!$J$588*EFEITO!$Y$588</f>
        <v>0</v>
      </c>
      <c r="K588" s="81">
        <f ca="1">EFEITO!$L$588*EFEITO!$Z$588</f>
        <v>120054.13901741926</v>
      </c>
      <c r="L588" s="81">
        <f>EFEITO!$N$588*EFEITO!$AA$588</f>
        <v>67458.674401689583</v>
      </c>
      <c r="M588" s="81">
        <f>$J$588-EFEITO!$K$588*EFEITO!$Y$588</f>
        <v>0</v>
      </c>
      <c r="N588" s="81">
        <f ca="1">$K$588-EFEITO!$M$588*EFEITO!$Z$588</f>
        <v>0</v>
      </c>
      <c r="O588" s="81">
        <f>$L$588-EFEITO!$O$588*EFEITO!$AA$588</f>
        <v>0</v>
      </c>
      <c r="P588" s="18"/>
      <c r="Q588" s="18"/>
      <c r="R588" s="18"/>
      <c r="S588" s="18"/>
      <c r="T588" s="18"/>
      <c r="U588" s="18"/>
      <c r="V588" s="18"/>
      <c r="W588" s="18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</row>
    <row r="589" spans="1:36" ht="11.25" customHeight="1" x14ac:dyDescent="0.2">
      <c r="A589" s="74" t="s">
        <v>28</v>
      </c>
      <c r="B589" s="74" t="s">
        <v>33</v>
      </c>
      <c r="C589" s="74" t="s">
        <v>23</v>
      </c>
      <c r="D589" s="74" t="s">
        <v>34</v>
      </c>
      <c r="E589" s="74" t="s">
        <v>25</v>
      </c>
      <c r="F589" s="74" t="s">
        <v>25</v>
      </c>
      <c r="G589" s="74" t="s">
        <v>25</v>
      </c>
      <c r="H589" s="74" t="s">
        <v>25</v>
      </c>
      <c r="I589" s="80">
        <v>44531</v>
      </c>
      <c r="J589" s="81">
        <f>EFEITO!$J$589*EFEITO!$Y$589</f>
        <v>0</v>
      </c>
      <c r="K589" s="81">
        <f ca="1">EFEITO!$L$589*EFEITO!$Z$589</f>
        <v>1387.2284284745656</v>
      </c>
      <c r="L589" s="81">
        <f>EFEITO!$N$589*EFEITO!$AA$589</f>
        <v>779.48658532843388</v>
      </c>
      <c r="M589" s="81">
        <f>$J$589-EFEITO!$K$589*EFEITO!$Y$589</f>
        <v>0</v>
      </c>
      <c r="N589" s="81">
        <f ca="1">$K$589-EFEITO!$M$589*EFEITO!$Z$589</f>
        <v>0</v>
      </c>
      <c r="O589" s="81">
        <f>$L$589-EFEITO!$O$589*EFEITO!$AA$589</f>
        <v>0</v>
      </c>
      <c r="P589" s="18"/>
      <c r="Q589" s="18"/>
      <c r="R589" s="18"/>
      <c r="S589" s="18"/>
      <c r="T589" s="18"/>
      <c r="U589" s="18"/>
      <c r="V589" s="18"/>
      <c r="W589" s="18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</row>
    <row r="590" spans="1:36" ht="11.25" customHeight="1" x14ac:dyDescent="0.2">
      <c r="A590" s="74" t="s">
        <v>21</v>
      </c>
      <c r="B590" s="74" t="s">
        <v>33</v>
      </c>
      <c r="C590" s="74" t="s">
        <v>23</v>
      </c>
      <c r="D590" s="74" t="s">
        <v>34</v>
      </c>
      <c r="E590" s="74" t="s">
        <v>25</v>
      </c>
      <c r="F590" s="74" t="s">
        <v>25</v>
      </c>
      <c r="G590" s="74" t="s">
        <v>25</v>
      </c>
      <c r="H590" s="74" t="s">
        <v>25</v>
      </c>
      <c r="I590" s="80">
        <v>44562</v>
      </c>
      <c r="J590" s="81">
        <f>EFEITO!$J$590*EFEITO!$Y$590</f>
        <v>0</v>
      </c>
      <c r="K590" s="81">
        <f ca="1">EFEITO!$L$590*EFEITO!$Z$590</f>
        <v>106488.36456605721</v>
      </c>
      <c r="L590" s="81">
        <f>EFEITO!$N$590*EFEITO!$AA$590</f>
        <v>59836.037071472987</v>
      </c>
      <c r="M590" s="81">
        <f>$J$590-EFEITO!$K$590*EFEITO!$Y$590</f>
        <v>0</v>
      </c>
      <c r="N590" s="81">
        <f ca="1">$K$590-EFEITO!$M$590*EFEITO!$Z$590</f>
        <v>0</v>
      </c>
      <c r="O590" s="81">
        <f>$L$590-EFEITO!$O$590*EFEITO!$AA$590</f>
        <v>0</v>
      </c>
      <c r="P590" s="18"/>
      <c r="Q590" s="18"/>
      <c r="R590" s="18"/>
      <c r="S590" s="18"/>
      <c r="T590" s="18"/>
      <c r="U590" s="18"/>
      <c r="V590" s="18"/>
      <c r="W590" s="18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</row>
    <row r="591" spans="1:36" ht="11.25" customHeight="1" x14ac:dyDescent="0.2">
      <c r="A591" s="74" t="s">
        <v>28</v>
      </c>
      <c r="B591" s="74" t="s">
        <v>33</v>
      </c>
      <c r="C591" s="74" t="s">
        <v>23</v>
      </c>
      <c r="D591" s="74" t="s">
        <v>34</v>
      </c>
      <c r="E591" s="74" t="s">
        <v>25</v>
      </c>
      <c r="F591" s="74" t="s">
        <v>25</v>
      </c>
      <c r="G591" s="74" t="s">
        <v>25</v>
      </c>
      <c r="H591" s="74" t="s">
        <v>25</v>
      </c>
      <c r="I591" s="80">
        <v>44562</v>
      </c>
      <c r="J591" s="81">
        <f>EFEITO!$J$591*EFEITO!$Y$591</f>
        <v>0</v>
      </c>
      <c r="K591" s="81">
        <f ca="1">EFEITO!$L$591*EFEITO!$Z$591</f>
        <v>4403.4689278339238</v>
      </c>
      <c r="L591" s="81">
        <f>EFEITO!$N$591*EFEITO!$AA$591</f>
        <v>2474.3184955714432</v>
      </c>
      <c r="M591" s="81">
        <f>$J$591-EFEITO!$K$591*EFEITO!$Y$591</f>
        <v>0</v>
      </c>
      <c r="N591" s="81">
        <f ca="1">$K$591-EFEITO!$M$591*EFEITO!$Z$591</f>
        <v>0</v>
      </c>
      <c r="O591" s="81">
        <f>$L$591-EFEITO!$O$591*EFEITO!$AA$591</f>
        <v>0</v>
      </c>
      <c r="P591" s="18"/>
      <c r="Q591" s="18"/>
      <c r="R591" s="18"/>
      <c r="S591" s="18"/>
      <c r="T591" s="18"/>
      <c r="U591" s="18"/>
      <c r="V591" s="18"/>
      <c r="W591" s="18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</row>
    <row r="592" spans="1:36" ht="11.25" customHeight="1" x14ac:dyDescent="0.2">
      <c r="A592" s="74" t="s">
        <v>21</v>
      </c>
      <c r="B592" s="74" t="s">
        <v>33</v>
      </c>
      <c r="C592" s="74" t="s">
        <v>23</v>
      </c>
      <c r="D592" s="74" t="s">
        <v>34</v>
      </c>
      <c r="E592" s="74" t="s">
        <v>25</v>
      </c>
      <c r="F592" s="74" t="s">
        <v>25</v>
      </c>
      <c r="G592" s="74" t="s">
        <v>25</v>
      </c>
      <c r="H592" s="74" t="s">
        <v>25</v>
      </c>
      <c r="I592" s="80">
        <v>44593</v>
      </c>
      <c r="J592" s="81">
        <f>EFEITO!$J$592*EFEITO!$Y$592</f>
        <v>0</v>
      </c>
      <c r="K592" s="81">
        <f ca="1">EFEITO!$L$592*EFEITO!$Z$592</f>
        <v>128593.8203426164</v>
      </c>
      <c r="L592" s="81">
        <f>EFEITO!$N$592*EFEITO!$AA$592</f>
        <v>72257.13938361808</v>
      </c>
      <c r="M592" s="81">
        <f>$J$592-EFEITO!$K$592*EFEITO!$Y$592</f>
        <v>0</v>
      </c>
      <c r="N592" s="81">
        <f ca="1">$K$592-EFEITO!$M$592*EFEITO!$Z$592</f>
        <v>0</v>
      </c>
      <c r="O592" s="81">
        <f>$L$592-EFEITO!$O$592*EFEITO!$AA$592</f>
        <v>0</v>
      </c>
      <c r="P592" s="18"/>
      <c r="Q592" s="18"/>
      <c r="R592" s="18"/>
      <c r="S592" s="18"/>
      <c r="T592" s="18"/>
      <c r="U592" s="18"/>
      <c r="V592" s="18"/>
      <c r="W592" s="18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</row>
    <row r="593" spans="1:36" ht="11.25" customHeight="1" x14ac:dyDescent="0.2">
      <c r="A593" s="74" t="s">
        <v>28</v>
      </c>
      <c r="B593" s="74" t="s">
        <v>33</v>
      </c>
      <c r="C593" s="74" t="s">
        <v>23</v>
      </c>
      <c r="D593" s="74" t="s">
        <v>34</v>
      </c>
      <c r="E593" s="74" t="s">
        <v>25</v>
      </c>
      <c r="F593" s="74" t="s">
        <v>25</v>
      </c>
      <c r="G593" s="74" t="s">
        <v>25</v>
      </c>
      <c r="H593" s="74" t="s">
        <v>25</v>
      </c>
      <c r="I593" s="80">
        <v>44593</v>
      </c>
      <c r="J593" s="81">
        <f>EFEITO!$J$593*EFEITO!$Y$593</f>
        <v>0</v>
      </c>
      <c r="K593" s="81">
        <f ca="1">EFEITO!$L$593*EFEITO!$Z$593</f>
        <v>3019.5812059902419</v>
      </c>
      <c r="L593" s="81">
        <f>EFEITO!$N$593*EFEITO!$AA$593</f>
        <v>1696.7090603581894</v>
      </c>
      <c r="M593" s="81">
        <f>$J$593-EFEITO!$K$593*EFEITO!$Y$593</f>
        <v>0</v>
      </c>
      <c r="N593" s="81">
        <f ca="1">$K$593-EFEITO!$M$593*EFEITO!$Z$593</f>
        <v>0</v>
      </c>
      <c r="O593" s="81">
        <f>$L$593-EFEITO!$O$593*EFEITO!$AA$593</f>
        <v>0</v>
      </c>
      <c r="P593" s="18"/>
      <c r="Q593" s="18"/>
      <c r="R593" s="18"/>
      <c r="S593" s="18"/>
      <c r="T593" s="18"/>
      <c r="U593" s="18"/>
      <c r="V593" s="18"/>
      <c r="W593" s="18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</row>
    <row r="594" spans="1:36" ht="11.25" customHeight="1" x14ac:dyDescent="0.2">
      <c r="A594" s="74" t="s">
        <v>21</v>
      </c>
      <c r="B594" s="74" t="s">
        <v>33</v>
      </c>
      <c r="C594" s="74" t="s">
        <v>23</v>
      </c>
      <c r="D594" s="74" t="s">
        <v>34</v>
      </c>
      <c r="E594" s="74" t="s">
        <v>25</v>
      </c>
      <c r="F594" s="74" t="s">
        <v>25</v>
      </c>
      <c r="G594" s="74" t="s">
        <v>25</v>
      </c>
      <c r="H594" s="74" t="s">
        <v>25</v>
      </c>
      <c r="I594" s="80">
        <v>44621</v>
      </c>
      <c r="J594" s="81">
        <f>EFEITO!$J$594*EFEITO!$Y$594</f>
        <v>0</v>
      </c>
      <c r="K594" s="81">
        <f ca="1">EFEITO!$L$594*EFEITO!$Z$594</f>
        <v>123513.44073369961</v>
      </c>
      <c r="L594" s="81">
        <f>EFEITO!$N$594*EFEITO!$AA$594</f>
        <v>69402.463345958313</v>
      </c>
      <c r="M594" s="81">
        <f>$J$594-EFEITO!$K$594*EFEITO!$Y$594</f>
        <v>0</v>
      </c>
      <c r="N594" s="81">
        <f ca="1">$K$594-EFEITO!$M$594*EFEITO!$Z$594</f>
        <v>0</v>
      </c>
      <c r="O594" s="81">
        <f>$L$594-EFEITO!$O$594*EFEITO!$AA$594</f>
        <v>0</v>
      </c>
      <c r="P594" s="18"/>
      <c r="Q594" s="18"/>
      <c r="R594" s="18"/>
      <c r="S594" s="18"/>
      <c r="T594" s="18"/>
      <c r="U594" s="18"/>
      <c r="V594" s="18"/>
      <c r="W594" s="18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</row>
    <row r="595" spans="1:36" ht="11.25" customHeight="1" x14ac:dyDescent="0.2">
      <c r="A595" s="74" t="s">
        <v>28</v>
      </c>
      <c r="B595" s="74" t="s">
        <v>33</v>
      </c>
      <c r="C595" s="74" t="s">
        <v>23</v>
      </c>
      <c r="D595" s="74" t="s">
        <v>34</v>
      </c>
      <c r="E595" s="74" t="s">
        <v>25</v>
      </c>
      <c r="F595" s="74" t="s">
        <v>25</v>
      </c>
      <c r="G595" s="74" t="s">
        <v>25</v>
      </c>
      <c r="H595" s="74" t="s">
        <v>25</v>
      </c>
      <c r="I595" s="80">
        <v>44621</v>
      </c>
      <c r="J595" s="81">
        <f>EFEITO!$J$595*EFEITO!$Y$595</f>
        <v>0</v>
      </c>
      <c r="K595" s="81">
        <f ca="1">EFEITO!$L$595*EFEITO!$Z$595</f>
        <v>3767.4819029793894</v>
      </c>
      <c r="L595" s="81">
        <f>EFEITO!$N$595*EFEITO!$AA$595</f>
        <v>2116.9560423940788</v>
      </c>
      <c r="M595" s="81">
        <f>$J$595-EFEITO!$K$595*EFEITO!$Y$595</f>
        <v>0</v>
      </c>
      <c r="N595" s="81">
        <f ca="1">$K$595-EFEITO!$M$595*EFEITO!$Z$595</f>
        <v>0</v>
      </c>
      <c r="O595" s="81">
        <f>$L$595-EFEITO!$O$595*EFEITO!$AA$595</f>
        <v>0</v>
      </c>
      <c r="P595" s="18"/>
      <c r="Q595" s="18"/>
      <c r="R595" s="18"/>
      <c r="S595" s="18"/>
      <c r="T595" s="18"/>
      <c r="U595" s="18"/>
      <c r="V595" s="18"/>
      <c r="W595" s="18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</row>
    <row r="596" spans="1:36" ht="11.25" customHeight="1" x14ac:dyDescent="0.2">
      <c r="A596" s="74" t="s">
        <v>21</v>
      </c>
      <c r="B596" s="74" t="s">
        <v>33</v>
      </c>
      <c r="C596" s="74" t="s">
        <v>23</v>
      </c>
      <c r="D596" s="74" t="s">
        <v>34</v>
      </c>
      <c r="E596" s="74" t="s">
        <v>25</v>
      </c>
      <c r="F596" s="74" t="s">
        <v>25</v>
      </c>
      <c r="G596" s="74" t="s">
        <v>25</v>
      </c>
      <c r="H596" s="74" t="s">
        <v>25</v>
      </c>
      <c r="I596" s="80">
        <v>44652</v>
      </c>
      <c r="J596" s="81">
        <f>EFEITO!$J$596*EFEITO!$Y$596</f>
        <v>0</v>
      </c>
      <c r="K596" s="81">
        <f ca="1">EFEITO!$L$596*EFEITO!$Z$596</f>
        <v>117533.15827608845</v>
      </c>
      <c r="L596" s="81">
        <f>EFEITO!$N$596*EFEITO!$AA$596</f>
        <v>66042.129996021977</v>
      </c>
      <c r="M596" s="81">
        <f>$J$596-EFEITO!$K$596*EFEITO!$Y$596</f>
        <v>0</v>
      </c>
      <c r="N596" s="81">
        <f ca="1">$K$596-EFEITO!$M$596*EFEITO!$Z$596</f>
        <v>0</v>
      </c>
      <c r="O596" s="81">
        <f>$L$596-EFEITO!$O$596*EFEITO!$AA$596</f>
        <v>0</v>
      </c>
      <c r="P596" s="18"/>
      <c r="Q596" s="18"/>
      <c r="R596" s="18"/>
      <c r="S596" s="18"/>
      <c r="T596" s="18"/>
      <c r="U596" s="18"/>
      <c r="V596" s="18"/>
      <c r="W596" s="18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</row>
    <row r="597" spans="1:36" ht="11.25" customHeight="1" x14ac:dyDescent="0.2">
      <c r="A597" s="74" t="s">
        <v>28</v>
      </c>
      <c r="B597" s="74" t="s">
        <v>33</v>
      </c>
      <c r="C597" s="74" t="s">
        <v>23</v>
      </c>
      <c r="D597" s="74" t="s">
        <v>34</v>
      </c>
      <c r="E597" s="74" t="s">
        <v>25</v>
      </c>
      <c r="F597" s="74" t="s">
        <v>25</v>
      </c>
      <c r="G597" s="74" t="s">
        <v>25</v>
      </c>
      <c r="H597" s="74" t="s">
        <v>25</v>
      </c>
      <c r="I597" s="80">
        <v>44652</v>
      </c>
      <c r="J597" s="81">
        <f>EFEITO!$J$597*EFEITO!$Y$597</f>
        <v>0</v>
      </c>
      <c r="K597" s="81">
        <f ca="1">EFEITO!$L$597*EFEITO!$Z$597</f>
        <v>5381.4607940252045</v>
      </c>
      <c r="L597" s="81">
        <f>EFEITO!$N$597*EFEITO!$AA$597</f>
        <v>3023.8541917903453</v>
      </c>
      <c r="M597" s="81">
        <f>$J$597-EFEITO!$K$597*EFEITO!$Y$597</f>
        <v>0</v>
      </c>
      <c r="N597" s="81">
        <f ca="1">$K$597-EFEITO!$M$597*EFEITO!$Z$597</f>
        <v>0</v>
      </c>
      <c r="O597" s="81">
        <f>$L$597-EFEITO!$O$597*EFEITO!$AA$597</f>
        <v>0</v>
      </c>
      <c r="P597" s="18"/>
      <c r="Q597" s="18"/>
      <c r="R597" s="18"/>
      <c r="S597" s="18"/>
      <c r="T597" s="18"/>
      <c r="U597" s="18"/>
      <c r="V597" s="18"/>
      <c r="W597" s="18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</row>
    <row r="598" spans="1:36" ht="11.25" customHeight="1" x14ac:dyDescent="0.2">
      <c r="A598" s="74" t="s">
        <v>21</v>
      </c>
      <c r="B598" s="74" t="s">
        <v>33</v>
      </c>
      <c r="C598" s="74" t="s">
        <v>23</v>
      </c>
      <c r="D598" s="74" t="s">
        <v>34</v>
      </c>
      <c r="E598" s="74" t="s">
        <v>25</v>
      </c>
      <c r="F598" s="74" t="s">
        <v>25</v>
      </c>
      <c r="G598" s="74" t="s">
        <v>25</v>
      </c>
      <c r="H598" s="74" t="s">
        <v>25</v>
      </c>
      <c r="I598" s="80">
        <v>44682</v>
      </c>
      <c r="J598" s="81">
        <f>EFEITO!$J$598*EFEITO!$Y$598</f>
        <v>0</v>
      </c>
      <c r="K598" s="81">
        <f ca="1">EFEITO!$L$598*EFEITO!$Z$598</f>
        <v>114199.13305846626</v>
      </c>
      <c r="L598" s="81">
        <f>EFEITO!$N$598*EFEITO!$AA$598</f>
        <v>64168.734181072483</v>
      </c>
      <c r="M598" s="81">
        <f>$J$598-EFEITO!$K$598*EFEITO!$Y$598</f>
        <v>0</v>
      </c>
      <c r="N598" s="81">
        <f ca="1">$K$598-EFEITO!$M$598*EFEITO!$Z$598</f>
        <v>0</v>
      </c>
      <c r="O598" s="81">
        <f>$L$598-EFEITO!$O$598*EFEITO!$AA$598</f>
        <v>0</v>
      </c>
      <c r="P598" s="18"/>
      <c r="Q598" s="18"/>
      <c r="R598" s="18"/>
      <c r="S598" s="18"/>
      <c r="T598" s="18"/>
      <c r="U598" s="18"/>
      <c r="V598" s="18"/>
      <c r="W598" s="18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</row>
    <row r="599" spans="1:36" ht="11.25" customHeight="1" x14ac:dyDescent="0.2">
      <c r="A599" s="74" t="s">
        <v>28</v>
      </c>
      <c r="B599" s="74" t="s">
        <v>33</v>
      </c>
      <c r="C599" s="74" t="s">
        <v>23</v>
      </c>
      <c r="D599" s="74" t="s">
        <v>34</v>
      </c>
      <c r="E599" s="74" t="s">
        <v>25</v>
      </c>
      <c r="F599" s="74" t="s">
        <v>25</v>
      </c>
      <c r="G599" s="74" t="s">
        <v>25</v>
      </c>
      <c r="H599" s="74" t="s">
        <v>25</v>
      </c>
      <c r="I599" s="80">
        <v>44682</v>
      </c>
      <c r="J599" s="81">
        <f>EFEITO!$J$599*EFEITO!$Y$599</f>
        <v>0</v>
      </c>
      <c r="K599" s="81">
        <f ca="1">EFEITO!$L$599*EFEITO!$Z$599</f>
        <v>4683.6706964993155</v>
      </c>
      <c r="L599" s="81">
        <f>EFEITO!$N$599*EFEITO!$AA$599</f>
        <v>2631.7644614821534</v>
      </c>
      <c r="M599" s="81">
        <f>$J$599-EFEITO!$K$599*EFEITO!$Y$599</f>
        <v>0</v>
      </c>
      <c r="N599" s="81">
        <f ca="1">$K$599-EFEITO!$M$599*EFEITO!$Z$599</f>
        <v>0</v>
      </c>
      <c r="O599" s="81">
        <f>$L$599-EFEITO!$O$599*EFEITO!$AA$599</f>
        <v>0</v>
      </c>
      <c r="P599" s="18"/>
      <c r="Q599" s="18"/>
      <c r="R599" s="18"/>
      <c r="S599" s="18"/>
      <c r="T599" s="18"/>
      <c r="U599" s="18"/>
      <c r="V599" s="18"/>
      <c r="W599" s="18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</row>
    <row r="600" spans="1:36" ht="11.25" customHeight="1" x14ac:dyDescent="0.2">
      <c r="A600" s="74" t="s">
        <v>21</v>
      </c>
      <c r="B600" s="74" t="s">
        <v>33</v>
      </c>
      <c r="C600" s="74" t="s">
        <v>23</v>
      </c>
      <c r="D600" s="74" t="s">
        <v>34</v>
      </c>
      <c r="E600" s="74" t="s">
        <v>25</v>
      </c>
      <c r="F600" s="74" t="s">
        <v>25</v>
      </c>
      <c r="G600" s="74" t="s">
        <v>25</v>
      </c>
      <c r="H600" s="74" t="s">
        <v>25</v>
      </c>
      <c r="I600" s="80">
        <v>44713</v>
      </c>
      <c r="J600" s="81">
        <f>EFEITO!$J$600*EFEITO!$Y$600</f>
        <v>0</v>
      </c>
      <c r="K600" s="81">
        <f ca="1">EFEITO!$L$600*EFEITO!$Z$600</f>
        <v>103605.33474360436</v>
      </c>
      <c r="L600" s="81">
        <f>EFEITO!$N$600*EFEITO!$AA$600</f>
        <v>58216.056522072773</v>
      </c>
      <c r="M600" s="81">
        <f>$J$600-EFEITO!$K$600*EFEITO!$Y$600</f>
        <v>0</v>
      </c>
      <c r="N600" s="81">
        <f ca="1">$K$600-EFEITO!$M$600*EFEITO!$Z$600</f>
        <v>0</v>
      </c>
      <c r="O600" s="81">
        <f>$L$600-EFEITO!$O$600*EFEITO!$AA$600</f>
        <v>0</v>
      </c>
      <c r="P600" s="18"/>
      <c r="Q600" s="18"/>
      <c r="R600" s="18"/>
      <c r="S600" s="18"/>
      <c r="T600" s="18"/>
      <c r="U600" s="18"/>
      <c r="V600" s="18"/>
      <c r="W600" s="18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</row>
    <row r="601" spans="1:36" ht="11.25" customHeight="1" x14ac:dyDescent="0.2">
      <c r="A601" s="74" t="s">
        <v>28</v>
      </c>
      <c r="B601" s="74" t="s">
        <v>33</v>
      </c>
      <c r="C601" s="74" t="s">
        <v>23</v>
      </c>
      <c r="D601" s="74" t="s">
        <v>34</v>
      </c>
      <c r="E601" s="74" t="s">
        <v>25</v>
      </c>
      <c r="F601" s="74" t="s">
        <v>25</v>
      </c>
      <c r="G601" s="74" t="s">
        <v>25</v>
      </c>
      <c r="H601" s="74" t="s">
        <v>25</v>
      </c>
      <c r="I601" s="80">
        <v>44713</v>
      </c>
      <c r="J601" s="81">
        <f>EFEITO!$J$601*EFEITO!$Y$601</f>
        <v>0</v>
      </c>
      <c r="K601" s="81">
        <f ca="1">EFEITO!$L$601*EFEITO!$Z$601</f>
        <v>5348.8889043740846</v>
      </c>
      <c r="L601" s="81">
        <f>EFEITO!$N$601*EFEITO!$AA$601</f>
        <v>3005.5519781673415</v>
      </c>
      <c r="M601" s="81">
        <f>$J$601-EFEITO!$K$601*EFEITO!$Y$601</f>
        <v>0</v>
      </c>
      <c r="N601" s="81">
        <f ca="1">$K$601-EFEITO!$M$601*EFEITO!$Z$601</f>
        <v>0</v>
      </c>
      <c r="O601" s="81">
        <f>$L$601-EFEITO!$O$601*EFEITO!$AA$601</f>
        <v>0</v>
      </c>
      <c r="P601" s="18"/>
      <c r="Q601" s="18"/>
      <c r="R601" s="18"/>
      <c r="S601" s="18"/>
      <c r="T601" s="18"/>
      <c r="U601" s="18"/>
      <c r="V601" s="18"/>
      <c r="W601" s="18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</row>
    <row r="602" spans="1:36" ht="11.25" customHeight="1" x14ac:dyDescent="0.2">
      <c r="A602" s="74" t="s">
        <v>55</v>
      </c>
      <c r="B602" s="74" t="s">
        <v>33</v>
      </c>
      <c r="C602" s="74" t="s">
        <v>23</v>
      </c>
      <c r="D602" s="74" t="s">
        <v>34</v>
      </c>
      <c r="E602" s="74" t="s">
        <v>25</v>
      </c>
      <c r="F602" s="74" t="s">
        <v>25</v>
      </c>
      <c r="G602" s="74" t="s">
        <v>25</v>
      </c>
      <c r="H602" s="74" t="s">
        <v>25</v>
      </c>
      <c r="I602" s="80">
        <v>44743</v>
      </c>
      <c r="J602" s="81">
        <f>EFEITO!$J$602*EFEITO!$Y$602</f>
        <v>0</v>
      </c>
      <c r="K602" s="81">
        <f ca="1">EFEITO!$L$602*EFEITO!$Z$602</f>
        <v>103605.33474360436</v>
      </c>
      <c r="L602" s="81">
        <f>EFEITO!$N$602*EFEITO!$AA$602</f>
        <v>58216.056522072773</v>
      </c>
      <c r="M602" s="81">
        <f>$J$602-EFEITO!$K$602*EFEITO!$Y$602</f>
        <v>0</v>
      </c>
      <c r="N602" s="81">
        <f ca="1">$K$602-EFEITO!$M$602*EFEITO!$Z$602</f>
        <v>0</v>
      </c>
      <c r="O602" s="81">
        <f>$L$602-EFEITO!$O$602*EFEITO!$AA$602</f>
        <v>0</v>
      </c>
      <c r="P602" s="18"/>
      <c r="Q602" s="18"/>
      <c r="R602" s="18"/>
      <c r="S602" s="18"/>
      <c r="T602" s="18"/>
      <c r="U602" s="18"/>
      <c r="V602" s="18"/>
      <c r="W602" s="18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</row>
    <row r="603" spans="1:36" ht="11.25" customHeight="1" x14ac:dyDescent="0.2">
      <c r="A603" s="74" t="s">
        <v>55</v>
      </c>
      <c r="B603" s="74" t="s">
        <v>33</v>
      </c>
      <c r="C603" s="74" t="s">
        <v>23</v>
      </c>
      <c r="D603" s="74" t="s">
        <v>34</v>
      </c>
      <c r="E603" s="74" t="s">
        <v>25</v>
      </c>
      <c r="F603" s="74" t="s">
        <v>25</v>
      </c>
      <c r="G603" s="74" t="s">
        <v>25</v>
      </c>
      <c r="H603" s="74" t="s">
        <v>25</v>
      </c>
      <c r="I603" s="80">
        <v>44743</v>
      </c>
      <c r="J603" s="81">
        <f>EFEITO!$J$603*EFEITO!$Y$603</f>
        <v>0</v>
      </c>
      <c r="K603" s="81">
        <f ca="1">EFEITO!$L$603*EFEITO!$Z$603</f>
        <v>5348.8889043740846</v>
      </c>
      <c r="L603" s="81">
        <f>EFEITO!$N$603*EFEITO!$AA$603</f>
        <v>3005.5519781673415</v>
      </c>
      <c r="M603" s="81">
        <f>$J$603-EFEITO!$K$603*EFEITO!$Y$603</f>
        <v>0</v>
      </c>
      <c r="N603" s="81">
        <f ca="1">$K$603-EFEITO!$M$603*EFEITO!$Z$603</f>
        <v>0</v>
      </c>
      <c r="O603" s="81">
        <f>$L$603-EFEITO!$O$603*EFEITO!$AA$603</f>
        <v>0</v>
      </c>
      <c r="P603" s="18"/>
      <c r="Q603" s="18"/>
      <c r="R603" s="18"/>
      <c r="S603" s="18"/>
      <c r="T603" s="18"/>
      <c r="U603" s="18"/>
      <c r="V603" s="18"/>
      <c r="W603" s="18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</row>
    <row r="604" spans="1:36" ht="11.25" customHeight="1" x14ac:dyDescent="0.2">
      <c r="A604" s="74" t="s">
        <v>21</v>
      </c>
      <c r="B604" s="74" t="s">
        <v>33</v>
      </c>
      <c r="C604" s="74" t="s">
        <v>23</v>
      </c>
      <c r="D604" s="74" t="s">
        <v>43</v>
      </c>
      <c r="E604" s="74" t="s">
        <v>25</v>
      </c>
      <c r="F604" s="74" t="s">
        <v>25</v>
      </c>
      <c r="G604" s="74" t="s">
        <v>25</v>
      </c>
      <c r="H604" s="74" t="s">
        <v>25</v>
      </c>
      <c r="I604" s="80">
        <v>44409</v>
      </c>
      <c r="J604" s="81">
        <f>EFEITO!$J$604*EFEITO!$Y$604</f>
        <v>0</v>
      </c>
      <c r="K604" s="81">
        <f ca="1">EFEITO!$L$604*EFEITO!$Z$604</f>
        <v>39047.849455087198</v>
      </c>
      <c r="L604" s="81">
        <f>EFEITO!$N$604*EFEITO!$AA$604</f>
        <v>21941.069121279706</v>
      </c>
      <c r="M604" s="81">
        <f>$J$604-EFEITO!$K$604*EFEITO!$Y$604</f>
        <v>0</v>
      </c>
      <c r="N604" s="81">
        <f ca="1">$K$604-EFEITO!$M$604*EFEITO!$Z$604</f>
        <v>0</v>
      </c>
      <c r="O604" s="81">
        <f>$L$604-EFEITO!$O$604*EFEITO!$AA$604</f>
        <v>0</v>
      </c>
      <c r="P604" s="18"/>
      <c r="Q604" s="18"/>
      <c r="R604" s="18"/>
      <c r="S604" s="18"/>
      <c r="T604" s="18"/>
      <c r="U604" s="18"/>
      <c r="V604" s="18"/>
      <c r="W604" s="18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</row>
    <row r="605" spans="1:36" ht="11.25" customHeight="1" x14ac:dyDescent="0.2">
      <c r="A605" s="74" t="s">
        <v>27</v>
      </c>
      <c r="B605" s="74" t="s">
        <v>33</v>
      </c>
      <c r="C605" s="74" t="s">
        <v>23</v>
      </c>
      <c r="D605" s="74" t="s">
        <v>43</v>
      </c>
      <c r="E605" s="74" t="s">
        <v>25</v>
      </c>
      <c r="F605" s="74" t="s">
        <v>25</v>
      </c>
      <c r="G605" s="74" t="s">
        <v>25</v>
      </c>
      <c r="H605" s="74" t="s">
        <v>25</v>
      </c>
      <c r="I605" s="80">
        <v>44409</v>
      </c>
      <c r="J605" s="81">
        <f>EFEITO!$J$605*EFEITO!$Y$605</f>
        <v>0</v>
      </c>
      <c r="K605" s="81">
        <f ca="1">EFEITO!$L$605*EFEITO!$Z$605</f>
        <v>-1085.729655037288</v>
      </c>
      <c r="L605" s="81">
        <f>EFEITO!$N$605*EFEITO!$AA$605</f>
        <v>-610.07378743345214</v>
      </c>
      <c r="M605" s="81">
        <f>$J$605-EFEITO!$K$605*EFEITO!$Y$605</f>
        <v>0</v>
      </c>
      <c r="N605" s="81">
        <f ca="1">$K$605-EFEITO!$M$605*EFEITO!$Z$605</f>
        <v>0</v>
      </c>
      <c r="O605" s="81">
        <f>$L$605-EFEITO!$O$605*EFEITO!$AA$605</f>
        <v>0</v>
      </c>
      <c r="P605" s="18"/>
      <c r="Q605" s="18"/>
      <c r="R605" s="18"/>
      <c r="S605" s="18"/>
      <c r="T605" s="18"/>
      <c r="U605" s="18"/>
      <c r="V605" s="18"/>
      <c r="W605" s="18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</row>
    <row r="606" spans="1:36" ht="11.25" customHeight="1" x14ac:dyDescent="0.2">
      <c r="A606" s="74" t="s">
        <v>21</v>
      </c>
      <c r="B606" s="74" t="s">
        <v>33</v>
      </c>
      <c r="C606" s="74" t="s">
        <v>23</v>
      </c>
      <c r="D606" s="74" t="s">
        <v>43</v>
      </c>
      <c r="E606" s="74" t="s">
        <v>25</v>
      </c>
      <c r="F606" s="74" t="s">
        <v>25</v>
      </c>
      <c r="G606" s="74" t="s">
        <v>25</v>
      </c>
      <c r="H606" s="74" t="s">
        <v>25</v>
      </c>
      <c r="I606" s="80">
        <v>44440</v>
      </c>
      <c r="J606" s="81">
        <f>EFEITO!$J$606*EFEITO!$Y$606</f>
        <v>0</v>
      </c>
      <c r="K606" s="81">
        <f ca="1">EFEITO!$L$606*EFEITO!$Z$606</f>
        <v>45367.631224061937</v>
      </c>
      <c r="L606" s="81">
        <f>EFEITO!$N$606*EFEITO!$AA$606</f>
        <v>25492.167851671195</v>
      </c>
      <c r="M606" s="81">
        <f>$J$606-EFEITO!$K$606*EFEITO!$Y$606</f>
        <v>0</v>
      </c>
      <c r="N606" s="81">
        <f ca="1">$K$606-EFEITO!$M$606*EFEITO!$Z$606</f>
        <v>0</v>
      </c>
      <c r="O606" s="81">
        <f>$L$606-EFEITO!$O$606*EFEITO!$AA$606</f>
        <v>0</v>
      </c>
      <c r="P606" s="18"/>
      <c r="Q606" s="18"/>
      <c r="R606" s="18"/>
      <c r="S606" s="18"/>
      <c r="T606" s="18"/>
      <c r="U606" s="18"/>
      <c r="V606" s="18"/>
      <c r="W606" s="18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</row>
    <row r="607" spans="1:36" ht="11.25" customHeight="1" x14ac:dyDescent="0.2">
      <c r="A607" s="74" t="s">
        <v>21</v>
      </c>
      <c r="B607" s="74" t="s">
        <v>33</v>
      </c>
      <c r="C607" s="74" t="s">
        <v>23</v>
      </c>
      <c r="D607" s="74" t="s">
        <v>43</v>
      </c>
      <c r="E607" s="74" t="s">
        <v>25</v>
      </c>
      <c r="F607" s="74" t="s">
        <v>25</v>
      </c>
      <c r="G607" s="74" t="s">
        <v>25</v>
      </c>
      <c r="H607" s="74" t="s">
        <v>25</v>
      </c>
      <c r="I607" s="80">
        <v>44470</v>
      </c>
      <c r="J607" s="81">
        <f>EFEITO!$J$607*EFEITO!$Y$607</f>
        <v>0</v>
      </c>
      <c r="K607" s="81">
        <f ca="1">EFEITO!$L$607*EFEITO!$Z$607</f>
        <v>42264.949940628459</v>
      </c>
      <c r="L607" s="81">
        <f>EFEITO!$N$607*EFEITO!$AA$607</f>
        <v>23748.764682197907</v>
      </c>
      <c r="M607" s="81">
        <f>$J$607-EFEITO!$K$607*EFEITO!$Y$607</f>
        <v>0</v>
      </c>
      <c r="N607" s="81">
        <f ca="1">$K$607-EFEITO!$M$607*EFEITO!$Z$607</f>
        <v>0</v>
      </c>
      <c r="O607" s="81">
        <f>$L$607-EFEITO!$O$607*EFEITO!$AA$607</f>
        <v>0</v>
      </c>
      <c r="P607" s="18"/>
      <c r="Q607" s="18"/>
      <c r="R607" s="18"/>
      <c r="S607" s="18"/>
      <c r="T607" s="18"/>
      <c r="U607" s="18"/>
      <c r="V607" s="18"/>
      <c r="W607" s="18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</row>
    <row r="608" spans="1:36" ht="11.25" customHeight="1" x14ac:dyDescent="0.2">
      <c r="A608" s="74" t="s">
        <v>21</v>
      </c>
      <c r="B608" s="74" t="s">
        <v>33</v>
      </c>
      <c r="C608" s="74" t="s">
        <v>23</v>
      </c>
      <c r="D608" s="74" t="s">
        <v>43</v>
      </c>
      <c r="E608" s="74" t="s">
        <v>25</v>
      </c>
      <c r="F608" s="74" t="s">
        <v>25</v>
      </c>
      <c r="G608" s="74" t="s">
        <v>25</v>
      </c>
      <c r="H608" s="74" t="s">
        <v>25</v>
      </c>
      <c r="I608" s="80">
        <v>44501</v>
      </c>
      <c r="J608" s="81">
        <f>EFEITO!$J$608*EFEITO!$Y$608</f>
        <v>0</v>
      </c>
      <c r="K608" s="81">
        <f ca="1">EFEITO!$L$608*EFEITO!$Z$608</f>
        <v>50683.11306212718</v>
      </c>
      <c r="L608" s="81">
        <f>EFEITO!$N$608*EFEITO!$AA$608</f>
        <v>28478.948328686736</v>
      </c>
      <c r="M608" s="81">
        <f>$J$608-EFEITO!$K$608*EFEITO!$Y$608</f>
        <v>0</v>
      </c>
      <c r="N608" s="81">
        <f ca="1">$K$608-EFEITO!$M$608*EFEITO!$Z$608</f>
        <v>0</v>
      </c>
      <c r="O608" s="81">
        <f>$L$608-EFEITO!$O$608*EFEITO!$AA$608</f>
        <v>0</v>
      </c>
      <c r="P608" s="18"/>
      <c r="Q608" s="18"/>
      <c r="R608" s="18"/>
      <c r="S608" s="18"/>
      <c r="T608" s="18"/>
      <c r="U608" s="18"/>
      <c r="V608" s="18"/>
      <c r="W608" s="18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</row>
    <row r="609" spans="1:36" ht="11.25" customHeight="1" x14ac:dyDescent="0.2">
      <c r="A609" s="74" t="s">
        <v>21</v>
      </c>
      <c r="B609" s="74" t="s">
        <v>33</v>
      </c>
      <c r="C609" s="74" t="s">
        <v>23</v>
      </c>
      <c r="D609" s="74" t="s">
        <v>43</v>
      </c>
      <c r="E609" s="74" t="s">
        <v>25</v>
      </c>
      <c r="F609" s="74" t="s">
        <v>25</v>
      </c>
      <c r="G609" s="74" t="s">
        <v>25</v>
      </c>
      <c r="H609" s="74" t="s">
        <v>25</v>
      </c>
      <c r="I609" s="80">
        <v>44531</v>
      </c>
      <c r="J609" s="81">
        <f>EFEITO!$J$609*EFEITO!$Y$609</f>
        <v>0</v>
      </c>
      <c r="K609" s="81">
        <f ca="1">EFEITO!$L$609*EFEITO!$Z$609</f>
        <v>59322.180409593115</v>
      </c>
      <c r="L609" s="81">
        <f>EFEITO!$N$609*EFEITO!$AA$609</f>
        <v>33333.258526541838</v>
      </c>
      <c r="M609" s="81">
        <f>$J$609-EFEITO!$K$609*EFEITO!$Y$609</f>
        <v>0</v>
      </c>
      <c r="N609" s="81">
        <f ca="1">$K$609-EFEITO!$M$609*EFEITO!$Z$609</f>
        <v>0</v>
      </c>
      <c r="O609" s="81">
        <f>$L$609-EFEITO!$O$609*EFEITO!$AA$609</f>
        <v>0</v>
      </c>
      <c r="P609" s="18"/>
      <c r="Q609" s="18"/>
      <c r="R609" s="18"/>
      <c r="S609" s="18"/>
      <c r="T609" s="18"/>
      <c r="U609" s="18"/>
      <c r="V609" s="18"/>
      <c r="W609" s="18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</row>
    <row r="610" spans="1:36" ht="11.25" customHeight="1" x14ac:dyDescent="0.2">
      <c r="A610" s="74" t="s">
        <v>21</v>
      </c>
      <c r="B610" s="74" t="s">
        <v>33</v>
      </c>
      <c r="C610" s="74" t="s">
        <v>23</v>
      </c>
      <c r="D610" s="74" t="s">
        <v>43</v>
      </c>
      <c r="E610" s="74" t="s">
        <v>25</v>
      </c>
      <c r="F610" s="74" t="s">
        <v>25</v>
      </c>
      <c r="G610" s="74" t="s">
        <v>25</v>
      </c>
      <c r="H610" s="74" t="s">
        <v>25</v>
      </c>
      <c r="I610" s="80">
        <v>44562</v>
      </c>
      <c r="J610" s="81">
        <f>EFEITO!$J$610*EFEITO!$Y$610</f>
        <v>0</v>
      </c>
      <c r="K610" s="81">
        <f ca="1">EFEITO!$L$610*EFEITO!$Z$610</f>
        <v>55931.363179245891</v>
      </c>
      <c r="L610" s="81">
        <f>EFEITO!$N$610*EFEITO!$AA$610</f>
        <v>31427.951159634285</v>
      </c>
      <c r="M610" s="81">
        <f>$J$610-EFEITO!$K$610*EFEITO!$Y$610</f>
        <v>0</v>
      </c>
      <c r="N610" s="81">
        <f ca="1">$K$610-EFEITO!$M$610*EFEITO!$Z$610</f>
        <v>0</v>
      </c>
      <c r="O610" s="81">
        <f>$L$610-EFEITO!$O$610*EFEITO!$AA$610</f>
        <v>0</v>
      </c>
      <c r="P610" s="18"/>
      <c r="Q610" s="18"/>
      <c r="R610" s="18"/>
      <c r="S610" s="18"/>
      <c r="T610" s="18"/>
      <c r="U610" s="18"/>
      <c r="V610" s="18"/>
      <c r="W610" s="18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</row>
    <row r="611" spans="1:36" ht="11.25" customHeight="1" x14ac:dyDescent="0.2">
      <c r="A611" s="74" t="s">
        <v>21</v>
      </c>
      <c r="B611" s="74" t="s">
        <v>33</v>
      </c>
      <c r="C611" s="74" t="s">
        <v>23</v>
      </c>
      <c r="D611" s="74" t="s">
        <v>43</v>
      </c>
      <c r="E611" s="74" t="s">
        <v>25</v>
      </c>
      <c r="F611" s="74" t="s">
        <v>25</v>
      </c>
      <c r="G611" s="74" t="s">
        <v>25</v>
      </c>
      <c r="H611" s="74" t="s">
        <v>25</v>
      </c>
      <c r="I611" s="80">
        <v>44593</v>
      </c>
      <c r="J611" s="81">
        <f>EFEITO!$J$611*EFEITO!$Y$611</f>
        <v>0</v>
      </c>
      <c r="K611" s="81">
        <f ca="1">EFEITO!$L$611*EFEITO!$Z$611</f>
        <v>66292.564794932507</v>
      </c>
      <c r="L611" s="81">
        <f>EFEITO!$N$611*EFEITO!$AA$611</f>
        <v>37249.932241864604</v>
      </c>
      <c r="M611" s="81">
        <f>$J$611-EFEITO!$K$611*EFEITO!$Y$611</f>
        <v>0</v>
      </c>
      <c r="N611" s="81">
        <f ca="1">$K$611-EFEITO!$M$611*EFEITO!$Z$611</f>
        <v>0</v>
      </c>
      <c r="O611" s="81">
        <f>$L$611-EFEITO!$O$611*EFEITO!$AA$611</f>
        <v>0</v>
      </c>
      <c r="P611" s="18"/>
      <c r="Q611" s="18"/>
      <c r="R611" s="18"/>
      <c r="S611" s="18"/>
      <c r="T611" s="18"/>
      <c r="U611" s="18"/>
      <c r="V611" s="18"/>
      <c r="W611" s="18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</row>
    <row r="612" spans="1:36" ht="11.25" customHeight="1" x14ac:dyDescent="0.2">
      <c r="A612" s="74" t="s">
        <v>21</v>
      </c>
      <c r="B612" s="74" t="s">
        <v>33</v>
      </c>
      <c r="C612" s="74" t="s">
        <v>23</v>
      </c>
      <c r="D612" s="74" t="s">
        <v>43</v>
      </c>
      <c r="E612" s="74" t="s">
        <v>25</v>
      </c>
      <c r="F612" s="74" t="s">
        <v>25</v>
      </c>
      <c r="G612" s="74" t="s">
        <v>25</v>
      </c>
      <c r="H612" s="74" t="s">
        <v>25</v>
      </c>
      <c r="I612" s="80">
        <v>44621</v>
      </c>
      <c r="J612" s="81">
        <f>EFEITO!$J$612*EFEITO!$Y$612</f>
        <v>0</v>
      </c>
      <c r="K612" s="81">
        <f ca="1">EFEITO!$L$612*EFEITO!$Z$612</f>
        <v>94891.10149694352</v>
      </c>
      <c r="L612" s="81">
        <f>EFEITO!$N$612*EFEITO!$AA$612</f>
        <v>53319.510446626125</v>
      </c>
      <c r="M612" s="81">
        <f>$J$612-EFEITO!$K$612*EFEITO!$Y$612</f>
        <v>0</v>
      </c>
      <c r="N612" s="81">
        <f ca="1">$K$612-EFEITO!$M$612*EFEITO!$Z$612</f>
        <v>0</v>
      </c>
      <c r="O612" s="81">
        <f>$L$612-EFEITO!$O$612*EFEITO!$AA$612</f>
        <v>0</v>
      </c>
      <c r="P612" s="18"/>
      <c r="Q612" s="18"/>
      <c r="R612" s="18"/>
      <c r="S612" s="18"/>
      <c r="T612" s="18"/>
      <c r="U612" s="18"/>
      <c r="V612" s="18"/>
      <c r="W612" s="18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</row>
    <row r="613" spans="1:36" ht="11.25" customHeight="1" x14ac:dyDescent="0.2">
      <c r="A613" s="74" t="s">
        <v>21</v>
      </c>
      <c r="B613" s="74" t="s">
        <v>33</v>
      </c>
      <c r="C613" s="74" t="s">
        <v>23</v>
      </c>
      <c r="D613" s="74" t="s">
        <v>43</v>
      </c>
      <c r="E613" s="74" t="s">
        <v>25</v>
      </c>
      <c r="F613" s="74" t="s">
        <v>25</v>
      </c>
      <c r="G613" s="74" t="s">
        <v>25</v>
      </c>
      <c r="H613" s="74" t="s">
        <v>25</v>
      </c>
      <c r="I613" s="80">
        <v>44652</v>
      </c>
      <c r="J613" s="81">
        <f>EFEITO!$J$613*EFEITO!$Y$613</f>
        <v>0</v>
      </c>
      <c r="K613" s="81">
        <f ca="1">EFEITO!$L$613*EFEITO!$Z$613</f>
        <v>75825.688754488758</v>
      </c>
      <c r="L613" s="81">
        <f>EFEITO!$N$613*EFEITO!$AA$613</f>
        <v>42606.61473929471</v>
      </c>
      <c r="M613" s="81">
        <f>$J$613-EFEITO!$K$613*EFEITO!$Y$613</f>
        <v>0</v>
      </c>
      <c r="N613" s="81">
        <f ca="1">$K$613-EFEITO!$M$613*EFEITO!$Z$613</f>
        <v>0</v>
      </c>
      <c r="O613" s="81">
        <f>$L$613-EFEITO!$O$613*EFEITO!$AA$613</f>
        <v>0</v>
      </c>
      <c r="P613" s="18"/>
      <c r="Q613" s="18"/>
      <c r="R613" s="18"/>
      <c r="S613" s="18"/>
      <c r="T613" s="18"/>
      <c r="U613" s="18"/>
      <c r="V613" s="18"/>
      <c r="W613" s="18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</row>
    <row r="614" spans="1:36" ht="11.25" customHeight="1" x14ac:dyDescent="0.2">
      <c r="A614" s="74" t="s">
        <v>21</v>
      </c>
      <c r="B614" s="74" t="s">
        <v>33</v>
      </c>
      <c r="C614" s="74" t="s">
        <v>23</v>
      </c>
      <c r="D614" s="74" t="s">
        <v>43</v>
      </c>
      <c r="E614" s="74" t="s">
        <v>25</v>
      </c>
      <c r="F614" s="74" t="s">
        <v>25</v>
      </c>
      <c r="G614" s="74" t="s">
        <v>25</v>
      </c>
      <c r="H614" s="74" t="s">
        <v>25</v>
      </c>
      <c r="I614" s="80">
        <v>44682</v>
      </c>
      <c r="J614" s="81">
        <f>EFEITO!$J$614*EFEITO!$Y$614</f>
        <v>0</v>
      </c>
      <c r="K614" s="81">
        <f ca="1">EFEITO!$L$614*EFEITO!$Z$614</f>
        <v>54306.944579978568</v>
      </c>
      <c r="L614" s="81">
        <f>EFEITO!$N$614*EFEITO!$AA$614</f>
        <v>30515.186916128085</v>
      </c>
      <c r="M614" s="81">
        <f>$J$614-EFEITO!$K$614*EFEITO!$Y$614</f>
        <v>0</v>
      </c>
      <c r="N614" s="81">
        <f ca="1">$K$614-EFEITO!$M$614*EFEITO!$Z$614</f>
        <v>0</v>
      </c>
      <c r="O614" s="81">
        <f>$L$614-EFEITO!$O$614*EFEITO!$AA$614</f>
        <v>0</v>
      </c>
      <c r="P614" s="18"/>
      <c r="Q614" s="18"/>
      <c r="R614" s="18"/>
      <c r="S614" s="18"/>
      <c r="T614" s="18"/>
      <c r="U614" s="18"/>
      <c r="V614" s="18"/>
      <c r="W614" s="18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</row>
    <row r="615" spans="1:36" ht="11.25" customHeight="1" x14ac:dyDescent="0.2">
      <c r="A615" s="74" t="s">
        <v>21</v>
      </c>
      <c r="B615" s="74" t="s">
        <v>33</v>
      </c>
      <c r="C615" s="74" t="s">
        <v>23</v>
      </c>
      <c r="D615" s="74" t="s">
        <v>43</v>
      </c>
      <c r="E615" s="74" t="s">
        <v>25</v>
      </c>
      <c r="F615" s="74" t="s">
        <v>25</v>
      </c>
      <c r="G615" s="74" t="s">
        <v>25</v>
      </c>
      <c r="H615" s="74" t="s">
        <v>25</v>
      </c>
      <c r="I615" s="80">
        <v>44713</v>
      </c>
      <c r="J615" s="81">
        <f>EFEITO!$J$615*EFEITO!$Y$615</f>
        <v>0</v>
      </c>
      <c r="K615" s="81">
        <f ca="1">EFEITO!$L$615*EFEITO!$Z$615</f>
        <v>47607.992608398497</v>
      </c>
      <c r="L615" s="81">
        <f>EFEITO!$N$615*EFEITO!$AA$615</f>
        <v>26751.031647663684</v>
      </c>
      <c r="M615" s="81">
        <f>$J$615-EFEITO!$K$615*EFEITO!$Y$615</f>
        <v>0</v>
      </c>
      <c r="N615" s="81">
        <f ca="1">$K$615-EFEITO!$M$615*EFEITO!$Z$615</f>
        <v>0</v>
      </c>
      <c r="O615" s="81">
        <f>$L$615-EFEITO!$O$615*EFEITO!$AA$615</f>
        <v>0</v>
      </c>
      <c r="P615" s="18"/>
      <c r="Q615" s="18"/>
      <c r="R615" s="18"/>
      <c r="S615" s="18"/>
      <c r="T615" s="18"/>
      <c r="U615" s="18"/>
      <c r="V615" s="18"/>
      <c r="W615" s="18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</row>
    <row r="616" spans="1:36" ht="11.25" customHeight="1" x14ac:dyDescent="0.2">
      <c r="A616" s="74" t="s">
        <v>55</v>
      </c>
      <c r="B616" s="74" t="s">
        <v>33</v>
      </c>
      <c r="C616" s="74" t="s">
        <v>23</v>
      </c>
      <c r="D616" s="74" t="s">
        <v>43</v>
      </c>
      <c r="E616" s="74" t="s">
        <v>25</v>
      </c>
      <c r="F616" s="74" t="s">
        <v>25</v>
      </c>
      <c r="G616" s="74" t="s">
        <v>25</v>
      </c>
      <c r="H616" s="74" t="s">
        <v>25</v>
      </c>
      <c r="I616" s="80">
        <v>44743</v>
      </c>
      <c r="J616" s="81">
        <f>EFEITO!$J$616*EFEITO!$Y$616</f>
        <v>0</v>
      </c>
      <c r="K616" s="81">
        <f ca="1">EFEITO!$L$616*EFEITO!$Z$616</f>
        <v>47607.992608398497</v>
      </c>
      <c r="L616" s="81">
        <f>EFEITO!$N$616*EFEITO!$AA$616</f>
        <v>26751.031647663684</v>
      </c>
      <c r="M616" s="81">
        <f>$J$616-EFEITO!$K$616*EFEITO!$Y$616</f>
        <v>0</v>
      </c>
      <c r="N616" s="81">
        <f ca="1">$K$616-EFEITO!$M$616*EFEITO!$Z$616</f>
        <v>0</v>
      </c>
      <c r="O616" s="81">
        <f>$L$616-EFEITO!$O$616*EFEITO!$AA$616</f>
        <v>0</v>
      </c>
      <c r="P616" s="18"/>
      <c r="Q616" s="18"/>
      <c r="R616" s="18"/>
      <c r="S616" s="18"/>
      <c r="T616" s="18"/>
      <c r="U616" s="18"/>
      <c r="V616" s="18"/>
      <c r="W616" s="18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</row>
    <row r="617" spans="1:36" ht="11.25" customHeight="1" x14ac:dyDescent="0.2">
      <c r="A617" s="74" t="s">
        <v>21</v>
      </c>
      <c r="B617" s="74" t="s">
        <v>33</v>
      </c>
      <c r="C617" s="74" t="s">
        <v>23</v>
      </c>
      <c r="D617" s="74" t="s">
        <v>47</v>
      </c>
      <c r="E617" s="74" t="s">
        <v>48</v>
      </c>
      <c r="F617" s="74" t="s">
        <v>25</v>
      </c>
      <c r="G617" s="74" t="s">
        <v>25</v>
      </c>
      <c r="H617" s="74" t="s">
        <v>25</v>
      </c>
      <c r="I617" s="80">
        <v>44409</v>
      </c>
      <c r="J617" s="81">
        <f>EFEITO!$J$617*EFEITO!$Y$616</f>
        <v>0</v>
      </c>
      <c r="K617" s="81">
        <f ca="1">EFEITO!$L$617*EFEITO!$Z$616</f>
        <v>19564.848383771929</v>
      </c>
      <c r="L617" s="81">
        <f>EFEITO!$N$617*EFEITO!$AA$616</f>
        <v>10993.529649550806</v>
      </c>
      <c r="M617" s="81">
        <f>$J$617-EFEITO!$K$617*EFEITO!$Y$617</f>
        <v>0</v>
      </c>
      <c r="N617" s="81">
        <f ca="1">$K$617-EFEITO!$M$617*EFEITO!$Z$617</f>
        <v>586.94545151315833</v>
      </c>
      <c r="O617" s="81">
        <f>$L$617-EFEITO!$O$617*EFEITO!$AA$617</f>
        <v>329.80588948652439</v>
      </c>
      <c r="P617" s="18"/>
      <c r="Q617" s="18"/>
      <c r="R617" s="18"/>
      <c r="S617" s="18"/>
      <c r="T617" s="18"/>
      <c r="U617" s="18"/>
      <c r="V617" s="18"/>
      <c r="W617" s="18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</row>
    <row r="618" spans="1:36" ht="11.25" customHeight="1" x14ac:dyDescent="0.2">
      <c r="A618" s="74" t="s">
        <v>21</v>
      </c>
      <c r="B618" s="74" t="s">
        <v>33</v>
      </c>
      <c r="C618" s="74" t="s">
        <v>23</v>
      </c>
      <c r="D618" s="74" t="s">
        <v>47</v>
      </c>
      <c r="E618" s="74" t="s">
        <v>48</v>
      </c>
      <c r="F618" s="74" t="s">
        <v>25</v>
      </c>
      <c r="G618" s="74" t="s">
        <v>25</v>
      </c>
      <c r="H618" s="74" t="s">
        <v>25</v>
      </c>
      <c r="I618" s="80">
        <v>44440</v>
      </c>
      <c r="J618" s="81">
        <f>EFEITO!$J$618*EFEITO!$Y$616</f>
        <v>0</v>
      </c>
      <c r="K618" s="81">
        <f ca="1">EFEITO!$L$618*EFEITO!$Z$616</f>
        <v>20585.851847835838</v>
      </c>
      <c r="L618" s="81">
        <f>EFEITO!$N$618*EFEITO!$AA$616</f>
        <v>11567.23365350265</v>
      </c>
      <c r="M618" s="81">
        <f>$J$618-EFEITO!$K$618*EFEITO!$Y$618</f>
        <v>0</v>
      </c>
      <c r="N618" s="81">
        <f ca="1">$K$618-EFEITO!$M$618*EFEITO!$Z$618</f>
        <v>617.5755554350726</v>
      </c>
      <c r="O618" s="81">
        <f>$L$618-EFEITO!$O$618*EFEITO!$AA$618</f>
        <v>347.0170096050806</v>
      </c>
      <c r="P618" s="18"/>
      <c r="Q618" s="18"/>
      <c r="R618" s="18"/>
      <c r="S618" s="18"/>
      <c r="T618" s="18"/>
      <c r="U618" s="18"/>
      <c r="V618" s="18"/>
      <c r="W618" s="18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</row>
    <row r="619" spans="1:36" ht="11.25" customHeight="1" x14ac:dyDescent="0.2">
      <c r="A619" s="74" t="s">
        <v>21</v>
      </c>
      <c r="B619" s="74" t="s">
        <v>33</v>
      </c>
      <c r="C619" s="74" t="s">
        <v>23</v>
      </c>
      <c r="D619" s="74" t="s">
        <v>47</v>
      </c>
      <c r="E619" s="74" t="s">
        <v>48</v>
      </c>
      <c r="F619" s="74" t="s">
        <v>25</v>
      </c>
      <c r="G619" s="74" t="s">
        <v>25</v>
      </c>
      <c r="H619" s="74" t="s">
        <v>25</v>
      </c>
      <c r="I619" s="80">
        <v>44470</v>
      </c>
      <c r="J619" s="81">
        <f>EFEITO!$J$619*EFEITO!$Y$616</f>
        <v>0</v>
      </c>
      <c r="K619" s="81">
        <f ca="1">EFEITO!$L$619*EFEITO!$Z$616</f>
        <v>19026.577027870753</v>
      </c>
      <c r="L619" s="81">
        <f>EFEITO!$N$619*EFEITO!$AA$616</f>
        <v>10691.073837242455</v>
      </c>
      <c r="M619" s="81">
        <f>$J$619-EFEITO!$K$619*EFEITO!$Y$619</f>
        <v>0</v>
      </c>
      <c r="N619" s="81">
        <f ca="1">$K$619-EFEITO!$M$619*EFEITO!$Z$619</f>
        <v>570.79731083612205</v>
      </c>
      <c r="O619" s="81">
        <f>$L$619-EFEITO!$O$619*EFEITO!$AA$619</f>
        <v>320.73221511727388</v>
      </c>
      <c r="P619" s="18"/>
      <c r="Q619" s="18"/>
      <c r="R619" s="18"/>
      <c r="S619" s="18"/>
      <c r="T619" s="18"/>
      <c r="U619" s="18"/>
      <c r="V619" s="18"/>
      <c r="W619" s="18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</row>
    <row r="620" spans="1:36" ht="11.25" customHeight="1" x14ac:dyDescent="0.2">
      <c r="A620" s="74" t="s">
        <v>21</v>
      </c>
      <c r="B620" s="74" t="s">
        <v>33</v>
      </c>
      <c r="C620" s="74" t="s">
        <v>23</v>
      </c>
      <c r="D620" s="74" t="s">
        <v>47</v>
      </c>
      <c r="E620" s="74" t="s">
        <v>48</v>
      </c>
      <c r="F620" s="74" t="s">
        <v>25</v>
      </c>
      <c r="G620" s="74" t="s">
        <v>25</v>
      </c>
      <c r="H620" s="74" t="s">
        <v>25</v>
      </c>
      <c r="I620" s="80">
        <v>44501</v>
      </c>
      <c r="J620" s="81">
        <f>EFEITO!$J$620*EFEITO!$Y$616</f>
        <v>0</v>
      </c>
      <c r="K620" s="81">
        <f ca="1">EFEITO!$L$620*EFEITO!$Z$616</f>
        <v>19803.708907880133</v>
      </c>
      <c r="L620" s="81">
        <f>EFEITO!$N$620*EFEITO!$AA$616</f>
        <v>11127.745882786166</v>
      </c>
      <c r="M620" s="81">
        <f>$J$620-EFEITO!$K$620*EFEITO!$Y$620</f>
        <v>0</v>
      </c>
      <c r="N620" s="81">
        <f ca="1">$K$620-EFEITO!$M$620*EFEITO!$Z$620</f>
        <v>594.11126723640336</v>
      </c>
      <c r="O620" s="81">
        <f>$L$620-EFEITO!$O$620*EFEITO!$AA$620</f>
        <v>333.8323764835859</v>
      </c>
      <c r="P620" s="18"/>
      <c r="Q620" s="18"/>
      <c r="R620" s="18"/>
      <c r="S620" s="18"/>
      <c r="T620" s="18"/>
      <c r="U620" s="18"/>
      <c r="V620" s="18"/>
      <c r="W620" s="18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</row>
    <row r="621" spans="1:36" ht="11.25" customHeight="1" x14ac:dyDescent="0.2">
      <c r="A621" s="74" t="s">
        <v>21</v>
      </c>
      <c r="B621" s="74" t="s">
        <v>33</v>
      </c>
      <c r="C621" s="74" t="s">
        <v>23</v>
      </c>
      <c r="D621" s="74" t="s">
        <v>47</v>
      </c>
      <c r="E621" s="74" t="s">
        <v>48</v>
      </c>
      <c r="F621" s="74" t="s">
        <v>25</v>
      </c>
      <c r="G621" s="74" t="s">
        <v>25</v>
      </c>
      <c r="H621" s="74" t="s">
        <v>25</v>
      </c>
      <c r="I621" s="80">
        <v>44531</v>
      </c>
      <c r="J621" s="81">
        <f>EFEITO!$J$621*EFEITO!$Y$616</f>
        <v>0</v>
      </c>
      <c r="K621" s="81">
        <f ca="1">EFEITO!$L$621*EFEITO!$Z$616</f>
        <v>18483.712200352107</v>
      </c>
      <c r="L621" s="81">
        <f>EFEITO!$N$621*EFEITO!$AA$616</f>
        <v>10386.036943525727</v>
      </c>
      <c r="M621" s="81">
        <f>$J$621-EFEITO!$K$621*EFEITO!$Y$621</f>
        <v>0</v>
      </c>
      <c r="N621" s="81">
        <f ca="1">$K$621-EFEITO!$M$621*EFEITO!$Z$621</f>
        <v>554.51136601056351</v>
      </c>
      <c r="O621" s="81">
        <f>$L$621-EFEITO!$O$621*EFEITO!$AA$621</f>
        <v>311.58110830577243</v>
      </c>
      <c r="P621" s="18"/>
      <c r="Q621" s="18"/>
      <c r="R621" s="18"/>
      <c r="S621" s="18"/>
      <c r="T621" s="18"/>
      <c r="U621" s="18"/>
      <c r="V621" s="18"/>
      <c r="W621" s="18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</row>
    <row r="622" spans="1:36" ht="11.25" customHeight="1" x14ac:dyDescent="0.2">
      <c r="A622" s="74" t="s">
        <v>27</v>
      </c>
      <c r="B622" s="74" t="s">
        <v>33</v>
      </c>
      <c r="C622" s="74" t="s">
        <v>23</v>
      </c>
      <c r="D622" s="74" t="s">
        <v>47</v>
      </c>
      <c r="E622" s="74" t="s">
        <v>48</v>
      </c>
      <c r="F622" s="74" t="s">
        <v>25</v>
      </c>
      <c r="G622" s="74" t="s">
        <v>25</v>
      </c>
      <c r="H622" s="74" t="s">
        <v>25</v>
      </c>
      <c r="I622" s="80">
        <v>44531</v>
      </c>
      <c r="J622" s="81">
        <f>EFEITO!$J$622*EFEITO!$Y$616</f>
        <v>0</v>
      </c>
      <c r="K622" s="81">
        <f ca="1">EFEITO!$L$622*EFEITO!$Z$616</f>
        <v>-128.19961696017208</v>
      </c>
      <c r="L622" s="81">
        <f>EFEITO!$N$622*EFEITO!$AA$616</f>
        <v>-72.035635670026849</v>
      </c>
      <c r="M622" s="81">
        <f>$J$622-EFEITO!$K$622*EFEITO!$Y$622</f>
        <v>0</v>
      </c>
      <c r="N622" s="81">
        <f ca="1">$K$622-EFEITO!$M$622*EFEITO!$Z$622</f>
        <v>-3.8459885088051635</v>
      </c>
      <c r="O622" s="81">
        <f>$L$622-EFEITO!$O$622*EFEITO!$AA$622</f>
        <v>-2.1610690701008082</v>
      </c>
      <c r="P622" s="18"/>
      <c r="Q622" s="18"/>
      <c r="R622" s="18"/>
      <c r="S622" s="18"/>
      <c r="T622" s="18"/>
      <c r="U622" s="18"/>
      <c r="V622" s="18"/>
      <c r="W622" s="18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</row>
    <row r="623" spans="1:36" ht="11.25" customHeight="1" x14ac:dyDescent="0.2">
      <c r="A623" s="74" t="s">
        <v>21</v>
      </c>
      <c r="B623" s="74" t="s">
        <v>33</v>
      </c>
      <c r="C623" s="74" t="s">
        <v>23</v>
      </c>
      <c r="D623" s="74" t="s">
        <v>47</v>
      </c>
      <c r="E623" s="74" t="s">
        <v>48</v>
      </c>
      <c r="F623" s="74" t="s">
        <v>25</v>
      </c>
      <c r="G623" s="74" t="s">
        <v>25</v>
      </c>
      <c r="H623" s="74" t="s">
        <v>25</v>
      </c>
      <c r="I623" s="80">
        <v>44562</v>
      </c>
      <c r="J623" s="81">
        <f>EFEITO!$J$623*EFEITO!$Y$616</f>
        <v>0</v>
      </c>
      <c r="K623" s="81">
        <f ca="1">EFEITO!$L$623*EFEITO!$Z$616</f>
        <v>25308.358258919183</v>
      </c>
      <c r="L623" s="81">
        <f>EFEITO!$N$623*EFEITO!$AA$616</f>
        <v>14220.819985073769</v>
      </c>
      <c r="M623" s="81">
        <f>$J$623-EFEITO!$K$623*EFEITO!$Y$623</f>
        <v>0</v>
      </c>
      <c r="N623" s="81">
        <f ca="1">$K$623-EFEITO!$M$623*EFEITO!$Z$623</f>
        <v>759.25074776757538</v>
      </c>
      <c r="O623" s="81">
        <f>$L$623-EFEITO!$O$623*EFEITO!$AA$623</f>
        <v>426.62459955221311</v>
      </c>
      <c r="P623" s="18"/>
      <c r="Q623" s="18"/>
      <c r="R623" s="18"/>
      <c r="S623" s="18"/>
      <c r="T623" s="18"/>
      <c r="U623" s="18"/>
      <c r="V623" s="18"/>
      <c r="W623" s="18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</row>
    <row r="624" spans="1:36" ht="11.25" customHeight="1" x14ac:dyDescent="0.2">
      <c r="A624" s="74" t="s">
        <v>21</v>
      </c>
      <c r="B624" s="74" t="s">
        <v>33</v>
      </c>
      <c r="C624" s="74" t="s">
        <v>23</v>
      </c>
      <c r="D624" s="74" t="s">
        <v>47</v>
      </c>
      <c r="E624" s="74" t="s">
        <v>48</v>
      </c>
      <c r="F624" s="74" t="s">
        <v>25</v>
      </c>
      <c r="G624" s="74" t="s">
        <v>25</v>
      </c>
      <c r="H624" s="74" t="s">
        <v>25</v>
      </c>
      <c r="I624" s="80">
        <v>44593</v>
      </c>
      <c r="J624" s="81">
        <f>EFEITO!$J$624*EFEITO!$Y$616</f>
        <v>0</v>
      </c>
      <c r="K624" s="81">
        <f ca="1">EFEITO!$L$624*EFEITO!$Z$616</f>
        <v>19996.217127484819</v>
      </c>
      <c r="L624" s="81">
        <f>EFEITO!$N$624*EFEITO!$AA$616</f>
        <v>11235.916658173406</v>
      </c>
      <c r="M624" s="81">
        <f>$J$624-EFEITO!$K$624*EFEITO!$Y$624</f>
        <v>0</v>
      </c>
      <c r="N624" s="81">
        <f ca="1">$K$624-EFEITO!$M$624*EFEITO!$Z$624</f>
        <v>599.88651382454191</v>
      </c>
      <c r="O624" s="81">
        <f>$L$624-EFEITO!$O$624*EFEITO!$AA$624</f>
        <v>337.07749974520266</v>
      </c>
      <c r="P624" s="18"/>
      <c r="Q624" s="18"/>
      <c r="R624" s="18"/>
      <c r="S624" s="18"/>
      <c r="T624" s="18"/>
      <c r="U624" s="18"/>
      <c r="V624" s="18"/>
      <c r="W624" s="18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</row>
    <row r="625" spans="1:36" ht="11.25" customHeight="1" x14ac:dyDescent="0.2">
      <c r="A625" s="74" t="s">
        <v>21</v>
      </c>
      <c r="B625" s="74" t="s">
        <v>33</v>
      </c>
      <c r="C625" s="74" t="s">
        <v>23</v>
      </c>
      <c r="D625" s="74" t="s">
        <v>47</v>
      </c>
      <c r="E625" s="74" t="s">
        <v>48</v>
      </c>
      <c r="F625" s="74" t="s">
        <v>25</v>
      </c>
      <c r="G625" s="74" t="s">
        <v>25</v>
      </c>
      <c r="H625" s="74" t="s">
        <v>25</v>
      </c>
      <c r="I625" s="80">
        <v>44621</v>
      </c>
      <c r="J625" s="81">
        <f>EFEITO!$J$625*EFEITO!$Y$616</f>
        <v>0</v>
      </c>
      <c r="K625" s="81">
        <f ca="1">EFEITO!$L$625*EFEITO!$Z$616</f>
        <v>27563.752823094721</v>
      </c>
      <c r="L625" s="81">
        <f>EFEITO!$N$625*EFEITO!$AA$616</f>
        <v>15488.130956584568</v>
      </c>
      <c r="M625" s="81">
        <f>$J$625-EFEITO!$K$625*EFEITO!$Y$625</f>
        <v>0</v>
      </c>
      <c r="N625" s="81">
        <f ca="1">$K$625-EFEITO!$M$625*EFEITO!$Z$625</f>
        <v>826.91258469284003</v>
      </c>
      <c r="O625" s="81">
        <f>$L$625-EFEITO!$O$625*EFEITO!$AA$625</f>
        <v>464.64392869753647</v>
      </c>
      <c r="P625" s="18"/>
      <c r="Q625" s="18"/>
      <c r="R625" s="18"/>
      <c r="S625" s="18"/>
      <c r="T625" s="18"/>
      <c r="U625" s="18"/>
      <c r="V625" s="18"/>
      <c r="W625" s="18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</row>
    <row r="626" spans="1:36" ht="11.25" customHeight="1" x14ac:dyDescent="0.2">
      <c r="A626" s="74" t="s">
        <v>21</v>
      </c>
      <c r="B626" s="74" t="s">
        <v>33</v>
      </c>
      <c r="C626" s="74" t="s">
        <v>23</v>
      </c>
      <c r="D626" s="74" t="s">
        <v>47</v>
      </c>
      <c r="E626" s="74" t="s">
        <v>48</v>
      </c>
      <c r="F626" s="74" t="s">
        <v>25</v>
      </c>
      <c r="G626" s="74" t="s">
        <v>25</v>
      </c>
      <c r="H626" s="74" t="s">
        <v>25</v>
      </c>
      <c r="I626" s="80">
        <v>44652</v>
      </c>
      <c r="J626" s="81">
        <f>EFEITO!$J$626*EFEITO!$Y$616</f>
        <v>0</v>
      </c>
      <c r="K626" s="81">
        <f ca="1">EFEITO!$L$626*EFEITO!$Z$616</f>
        <v>20848.932495017954</v>
      </c>
      <c r="L626" s="81">
        <f>EFEITO!$N$626*EFEITO!$AA$616</f>
        <v>11715.059225073062</v>
      </c>
      <c r="M626" s="81">
        <f>$J$626-EFEITO!$K$626*EFEITO!$Y$626</f>
        <v>0</v>
      </c>
      <c r="N626" s="81">
        <f ca="1">$K$626-EFEITO!$M$626*EFEITO!$Z$626</f>
        <v>625.46797485054049</v>
      </c>
      <c r="O626" s="81">
        <f>$L$626-EFEITO!$O$626*EFEITO!$AA$626</f>
        <v>351.45177675219202</v>
      </c>
      <c r="P626" s="18"/>
      <c r="Q626" s="18"/>
      <c r="R626" s="18"/>
      <c r="S626" s="18"/>
      <c r="T626" s="18"/>
      <c r="U626" s="18"/>
      <c r="V626" s="18"/>
      <c r="W626" s="18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</row>
    <row r="627" spans="1:36" ht="11.25" customHeight="1" x14ac:dyDescent="0.2">
      <c r="A627" s="74" t="s">
        <v>21</v>
      </c>
      <c r="B627" s="74" t="s">
        <v>33</v>
      </c>
      <c r="C627" s="74" t="s">
        <v>23</v>
      </c>
      <c r="D627" s="74" t="s">
        <v>47</v>
      </c>
      <c r="E627" s="74" t="s">
        <v>48</v>
      </c>
      <c r="F627" s="74" t="s">
        <v>25</v>
      </c>
      <c r="G627" s="74" t="s">
        <v>25</v>
      </c>
      <c r="H627" s="74" t="s">
        <v>25</v>
      </c>
      <c r="I627" s="80">
        <v>44682</v>
      </c>
      <c r="J627" s="81">
        <f>EFEITO!$J$627*EFEITO!$Y$616</f>
        <v>0</v>
      </c>
      <c r="K627" s="81">
        <f ca="1">EFEITO!$L$627*EFEITO!$Z$616</f>
        <v>21025.154769797082</v>
      </c>
      <c r="L627" s="81">
        <f>EFEITO!$N$627*EFEITO!$AA$616</f>
        <v>11814.078893648801</v>
      </c>
      <c r="M627" s="81">
        <f>$J$627-EFEITO!$K$627*EFEITO!$Y$627</f>
        <v>0</v>
      </c>
      <c r="N627" s="81">
        <f ca="1">$K$627-EFEITO!$M$627*EFEITO!$Z$627</f>
        <v>630.75464309391464</v>
      </c>
      <c r="O627" s="81">
        <f>$L$627-EFEITO!$O$627*EFEITO!$AA$627</f>
        <v>354.42236680946553</v>
      </c>
      <c r="P627" s="18"/>
      <c r="Q627" s="18"/>
      <c r="R627" s="18"/>
      <c r="S627" s="18"/>
      <c r="T627" s="18"/>
      <c r="U627" s="18"/>
      <c r="V627" s="18"/>
      <c r="W627" s="18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</row>
    <row r="628" spans="1:36" ht="11.25" customHeight="1" x14ac:dyDescent="0.2">
      <c r="A628" s="74" t="s">
        <v>21</v>
      </c>
      <c r="B628" s="74" t="s">
        <v>33</v>
      </c>
      <c r="C628" s="74" t="s">
        <v>23</v>
      </c>
      <c r="D628" s="74" t="s">
        <v>47</v>
      </c>
      <c r="E628" s="74" t="s">
        <v>48</v>
      </c>
      <c r="F628" s="74" t="s">
        <v>25</v>
      </c>
      <c r="G628" s="74" t="s">
        <v>25</v>
      </c>
      <c r="H628" s="74" t="s">
        <v>25</v>
      </c>
      <c r="I628" s="80">
        <v>44713</v>
      </c>
      <c r="J628" s="81">
        <f>EFEITO!$J$628*EFEITO!$Y$616</f>
        <v>0</v>
      </c>
      <c r="K628" s="81">
        <f ca="1">EFEITO!$L$628*EFEITO!$Z$616</f>
        <v>18870.816581205785</v>
      </c>
      <c r="L628" s="81">
        <f>EFEITO!$N$628*EFEITO!$AA$616</f>
        <v>10603.551713122193</v>
      </c>
      <c r="M628" s="81">
        <f>$J$628-EFEITO!$K$628*EFEITO!$Y$628</f>
        <v>0</v>
      </c>
      <c r="N628" s="81">
        <f ca="1">$K$628-EFEITO!$M$628*EFEITO!$Z$628</f>
        <v>566.12449743617253</v>
      </c>
      <c r="O628" s="81">
        <f>$L$628-EFEITO!$O$628*EFEITO!$AA$628</f>
        <v>318.10655139366645</v>
      </c>
      <c r="P628" s="18"/>
      <c r="Q628" s="18"/>
      <c r="R628" s="18"/>
      <c r="S628" s="18"/>
      <c r="T628" s="18"/>
      <c r="U628" s="18"/>
      <c r="V628" s="18"/>
      <c r="W628" s="18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</row>
    <row r="629" spans="1:36" ht="11.25" customHeight="1" x14ac:dyDescent="0.2">
      <c r="A629" s="74" t="s">
        <v>55</v>
      </c>
      <c r="B629" s="74" t="s">
        <v>33</v>
      </c>
      <c r="C629" s="74" t="s">
        <v>23</v>
      </c>
      <c r="D629" s="74" t="s">
        <v>47</v>
      </c>
      <c r="E629" s="74" t="s">
        <v>48</v>
      </c>
      <c r="F629" s="74" t="s">
        <v>25</v>
      </c>
      <c r="G629" s="74" t="s">
        <v>25</v>
      </c>
      <c r="H629" s="74" t="s">
        <v>25</v>
      </c>
      <c r="I629" s="80">
        <v>44743</v>
      </c>
      <c r="J629" s="81">
        <f>EFEITO!$J$629*EFEITO!$Y$616</f>
        <v>0</v>
      </c>
      <c r="K629" s="81">
        <f ca="1">EFEITO!$L$629*EFEITO!$Z$616</f>
        <v>18870.816581205785</v>
      </c>
      <c r="L629" s="81">
        <f>EFEITO!$N$629*EFEITO!$AA$616</f>
        <v>10603.551713122193</v>
      </c>
      <c r="M629" s="81">
        <f>$J$629-EFEITO!$K$629*EFEITO!$Y$629</f>
        <v>0</v>
      </c>
      <c r="N629" s="81">
        <f ca="1">$K$629-EFEITO!$M$629*EFEITO!$Z$629</f>
        <v>566.12449743617253</v>
      </c>
      <c r="O629" s="81">
        <f>$L$629-EFEITO!$O$629*EFEITO!$AA$629</f>
        <v>318.10655139366645</v>
      </c>
      <c r="P629" s="18"/>
      <c r="Q629" s="18"/>
      <c r="R629" s="18"/>
      <c r="S629" s="18"/>
      <c r="T629" s="18"/>
      <c r="U629" s="18"/>
      <c r="V629" s="18"/>
      <c r="W629" s="18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</row>
    <row r="630" spans="1:36" ht="11.25" customHeight="1" x14ac:dyDescent="0.2">
      <c r="A630" s="74" t="s">
        <v>21</v>
      </c>
      <c r="B630" s="74" t="s">
        <v>44</v>
      </c>
      <c r="C630" s="74" t="s">
        <v>23</v>
      </c>
      <c r="D630" s="74" t="s">
        <v>45</v>
      </c>
      <c r="E630" s="74" t="s">
        <v>46</v>
      </c>
      <c r="F630" s="74" t="s">
        <v>25</v>
      </c>
      <c r="G630" s="74" t="s">
        <v>25</v>
      </c>
      <c r="H630" s="74" t="s">
        <v>25</v>
      </c>
      <c r="I630" s="80">
        <v>44409</v>
      </c>
      <c r="J630" s="81">
        <f>EFEITO!$J$630*EFEITO!$Y$630</f>
        <v>0</v>
      </c>
      <c r="K630" s="81">
        <f ca="1">EFEITO!$L$630*EFEITO!$Z$630</f>
        <v>255401.84507627736</v>
      </c>
      <c r="L630" s="81">
        <f>EFEITO!$N$630*EFEITO!$AA$630</f>
        <v>143510.83644097854</v>
      </c>
      <c r="M630" s="81">
        <f>$J$630-EFEITO!$K$630*EFEITO!$Y$630</f>
        <v>0</v>
      </c>
      <c r="N630" s="81">
        <f ca="1">$K$630-EFEITO!$M$630*EFEITO!$Z$630</f>
        <v>0</v>
      </c>
      <c r="O630" s="81">
        <f>$L$630-EFEITO!$O$630*EFEITO!$AA$630</f>
        <v>0</v>
      </c>
      <c r="P630" s="18"/>
      <c r="Q630" s="18"/>
      <c r="R630" s="18"/>
      <c r="S630" s="18"/>
      <c r="T630" s="18"/>
      <c r="U630" s="18"/>
      <c r="V630" s="18"/>
      <c r="W630" s="18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</row>
    <row r="631" spans="1:36" ht="11.25" customHeight="1" x14ac:dyDescent="0.2">
      <c r="A631" s="74" t="s">
        <v>21</v>
      </c>
      <c r="B631" s="74" t="s">
        <v>44</v>
      </c>
      <c r="C631" s="74" t="s">
        <v>23</v>
      </c>
      <c r="D631" s="74" t="s">
        <v>45</v>
      </c>
      <c r="E631" s="74" t="s">
        <v>46</v>
      </c>
      <c r="F631" s="74" t="s">
        <v>25</v>
      </c>
      <c r="G631" s="74" t="s">
        <v>25</v>
      </c>
      <c r="H631" s="74" t="s">
        <v>25</v>
      </c>
      <c r="I631" s="80">
        <v>44440</v>
      </c>
      <c r="J631" s="81">
        <f>EFEITO!$J$631*EFEITO!$Y$631</f>
        <v>0</v>
      </c>
      <c r="K631" s="81">
        <f ca="1">EFEITO!$L$631*EFEITO!$Z$631</f>
        <v>232883.2691659765</v>
      </c>
      <c r="L631" s="81">
        <f>EFEITO!$N$631*EFEITO!$AA$631</f>
        <v>130857.60105271504</v>
      </c>
      <c r="M631" s="81">
        <f>$J$631-EFEITO!$K$631*EFEITO!$Y$631</f>
        <v>0</v>
      </c>
      <c r="N631" s="81">
        <f ca="1">$K$631-EFEITO!$M$631*EFEITO!$Z$631</f>
        <v>0</v>
      </c>
      <c r="O631" s="81">
        <f>$L$631-EFEITO!$O$631*EFEITO!$AA$631</f>
        <v>0</v>
      </c>
      <c r="P631" s="18"/>
      <c r="Q631" s="18"/>
      <c r="R631" s="18"/>
      <c r="S631" s="18"/>
      <c r="T631" s="18"/>
      <c r="U631" s="18"/>
      <c r="V631" s="18"/>
      <c r="W631" s="18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</row>
    <row r="632" spans="1:36" ht="11.25" customHeight="1" x14ac:dyDescent="0.2">
      <c r="A632" s="74" t="s">
        <v>21</v>
      </c>
      <c r="B632" s="74" t="s">
        <v>44</v>
      </c>
      <c r="C632" s="74" t="s">
        <v>23</v>
      </c>
      <c r="D632" s="74" t="s">
        <v>45</v>
      </c>
      <c r="E632" s="74" t="s">
        <v>46</v>
      </c>
      <c r="F632" s="74" t="s">
        <v>25</v>
      </c>
      <c r="G632" s="74" t="s">
        <v>25</v>
      </c>
      <c r="H632" s="74" t="s">
        <v>25</v>
      </c>
      <c r="I632" s="80">
        <v>44470</v>
      </c>
      <c r="J632" s="81">
        <f>EFEITO!$J$632*EFEITO!$Y$632</f>
        <v>0</v>
      </c>
      <c r="K632" s="81">
        <f ca="1">EFEITO!$L$632*EFEITO!$Z$632</f>
        <v>221598.48744334912</v>
      </c>
      <c r="L632" s="81">
        <f>EFEITO!$N$632*EFEITO!$AA$632</f>
        <v>124516.6583567668</v>
      </c>
      <c r="M632" s="81">
        <f>$J$632-EFEITO!$K$632*EFEITO!$Y$632</f>
        <v>0</v>
      </c>
      <c r="N632" s="81">
        <f ca="1">$K$632-EFEITO!$M$632*EFEITO!$Z$632</f>
        <v>0</v>
      </c>
      <c r="O632" s="81">
        <f>$L$632-EFEITO!$O$632*EFEITO!$AA$632</f>
        <v>0</v>
      </c>
      <c r="P632" s="18"/>
      <c r="Q632" s="18"/>
      <c r="R632" s="18"/>
      <c r="S632" s="18"/>
      <c r="T632" s="18"/>
      <c r="U632" s="18"/>
      <c r="V632" s="18"/>
      <c r="W632" s="18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</row>
    <row r="633" spans="1:36" ht="11.25" customHeight="1" x14ac:dyDescent="0.2">
      <c r="A633" s="74" t="s">
        <v>21</v>
      </c>
      <c r="B633" s="74" t="s">
        <v>44</v>
      </c>
      <c r="C633" s="74" t="s">
        <v>23</v>
      </c>
      <c r="D633" s="74" t="s">
        <v>45</v>
      </c>
      <c r="E633" s="74" t="s">
        <v>46</v>
      </c>
      <c r="F633" s="74" t="s">
        <v>25</v>
      </c>
      <c r="G633" s="74" t="s">
        <v>25</v>
      </c>
      <c r="H633" s="74" t="s">
        <v>25</v>
      </c>
      <c r="I633" s="80">
        <v>44501</v>
      </c>
      <c r="J633" s="81">
        <f>EFEITO!$J$633*EFEITO!$Y$633</f>
        <v>0</v>
      </c>
      <c r="K633" s="81">
        <f ca="1">EFEITO!$L$633*EFEITO!$Z$633</f>
        <v>204510.77302637763</v>
      </c>
      <c r="L633" s="81">
        <f>EFEITO!$N$633*EFEITO!$AA$633</f>
        <v>114915.03551762186</v>
      </c>
      <c r="M633" s="81">
        <f>$J$633-EFEITO!$K$633*EFEITO!$Y$633</f>
        <v>0</v>
      </c>
      <c r="N633" s="81">
        <f ca="1">$K$633-EFEITO!$M$633*EFEITO!$Z$633</f>
        <v>0</v>
      </c>
      <c r="O633" s="81">
        <f>$L$633-EFEITO!$O$633*EFEITO!$AA$633</f>
        <v>0</v>
      </c>
      <c r="P633" s="18"/>
      <c r="Q633" s="18"/>
      <c r="R633" s="18"/>
      <c r="S633" s="18"/>
      <c r="T633" s="18"/>
      <c r="U633" s="18"/>
      <c r="V633" s="18"/>
      <c r="W633" s="18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</row>
    <row r="634" spans="1:36" ht="11.25" customHeight="1" x14ac:dyDescent="0.2">
      <c r="A634" s="74" t="s">
        <v>21</v>
      </c>
      <c r="B634" s="74" t="s">
        <v>44</v>
      </c>
      <c r="C634" s="74" t="s">
        <v>23</v>
      </c>
      <c r="D634" s="74" t="s">
        <v>45</v>
      </c>
      <c r="E634" s="74" t="s">
        <v>46</v>
      </c>
      <c r="F634" s="74" t="s">
        <v>25</v>
      </c>
      <c r="G634" s="74" t="s">
        <v>25</v>
      </c>
      <c r="H634" s="74" t="s">
        <v>25</v>
      </c>
      <c r="I634" s="80">
        <v>44531</v>
      </c>
      <c r="J634" s="81">
        <f>EFEITO!$J$634*EFEITO!$Y$634</f>
        <v>0</v>
      </c>
      <c r="K634" s="81">
        <f ca="1">EFEITO!$L$634*EFEITO!$Z$634</f>
        <v>209013.29390581726</v>
      </c>
      <c r="L634" s="81">
        <f>EFEITO!$N$634*EFEITO!$AA$634</f>
        <v>117445.01151410838</v>
      </c>
      <c r="M634" s="81">
        <f>$J$634-EFEITO!$K$634*EFEITO!$Y$634</f>
        <v>0</v>
      </c>
      <c r="N634" s="81">
        <f ca="1">$K$634-EFEITO!$M$634*EFEITO!$Z$634</f>
        <v>0</v>
      </c>
      <c r="O634" s="81">
        <f>$L$634-EFEITO!$O$634*EFEITO!$AA$634</f>
        <v>0</v>
      </c>
      <c r="P634" s="18"/>
      <c r="Q634" s="18"/>
      <c r="R634" s="18"/>
      <c r="S634" s="18"/>
      <c r="T634" s="18"/>
      <c r="U634" s="18"/>
      <c r="V634" s="18"/>
      <c r="W634" s="18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</row>
    <row r="635" spans="1:36" ht="11.25" customHeight="1" x14ac:dyDescent="0.2">
      <c r="A635" s="74" t="s">
        <v>21</v>
      </c>
      <c r="B635" s="74" t="s">
        <v>44</v>
      </c>
      <c r="C635" s="74" t="s">
        <v>23</v>
      </c>
      <c r="D635" s="74" t="s">
        <v>45</v>
      </c>
      <c r="E635" s="74" t="s">
        <v>46</v>
      </c>
      <c r="F635" s="74" t="s">
        <v>25</v>
      </c>
      <c r="G635" s="74" t="s">
        <v>25</v>
      </c>
      <c r="H635" s="74" t="s">
        <v>25</v>
      </c>
      <c r="I635" s="80">
        <v>44562</v>
      </c>
      <c r="J635" s="81">
        <f>EFEITO!$J$635*EFEITO!$Y$635</f>
        <v>0</v>
      </c>
      <c r="K635" s="81">
        <f ca="1">EFEITO!$L$635*EFEITO!$Z$635</f>
        <v>208670.62092315435</v>
      </c>
      <c r="L635" s="81">
        <f>EFEITO!$N$635*EFEITO!$AA$635</f>
        <v>117252.4628410438</v>
      </c>
      <c r="M635" s="81">
        <f>$J$635-EFEITO!$K$635*EFEITO!$Y$635</f>
        <v>0</v>
      </c>
      <c r="N635" s="81">
        <f ca="1">$K$635-EFEITO!$M$635*EFEITO!$Z$635</f>
        <v>0</v>
      </c>
      <c r="O635" s="81">
        <f>$L$635-EFEITO!$O$635*EFEITO!$AA$635</f>
        <v>0</v>
      </c>
      <c r="P635" s="18"/>
      <c r="Q635" s="18"/>
      <c r="R635" s="18"/>
      <c r="S635" s="18"/>
      <c r="T635" s="18"/>
      <c r="U635" s="18"/>
      <c r="V635" s="18"/>
      <c r="W635" s="18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</row>
    <row r="636" spans="1:36" ht="11.25" customHeight="1" x14ac:dyDescent="0.2">
      <c r="A636" s="74" t="s">
        <v>21</v>
      </c>
      <c r="B636" s="74" t="s">
        <v>44</v>
      </c>
      <c r="C636" s="74" t="s">
        <v>23</v>
      </c>
      <c r="D636" s="74" t="s">
        <v>45</v>
      </c>
      <c r="E636" s="74" t="s">
        <v>46</v>
      </c>
      <c r="F636" s="74" t="s">
        <v>25</v>
      </c>
      <c r="G636" s="74" t="s">
        <v>25</v>
      </c>
      <c r="H636" s="74" t="s">
        <v>25</v>
      </c>
      <c r="I636" s="80">
        <v>44593</v>
      </c>
      <c r="J636" s="81">
        <f>EFEITO!$J$636*EFEITO!$Y$636</f>
        <v>0</v>
      </c>
      <c r="K636" s="81">
        <f ca="1">EFEITO!$L$636*EFEITO!$Z$636</f>
        <v>198408.11630899392</v>
      </c>
      <c r="L636" s="81">
        <f>EFEITO!$N$636*EFEITO!$AA$636</f>
        <v>111485.93981252884</v>
      </c>
      <c r="M636" s="81">
        <f>$J$636-EFEITO!$K$636*EFEITO!$Y$636</f>
        <v>0</v>
      </c>
      <c r="N636" s="81">
        <f ca="1">$K$636-EFEITO!$M$636*EFEITO!$Z$636</f>
        <v>0</v>
      </c>
      <c r="O636" s="81">
        <f>$L$636-EFEITO!$O$636*EFEITO!$AA$636</f>
        <v>0</v>
      </c>
      <c r="P636" s="18"/>
      <c r="Q636" s="18"/>
      <c r="R636" s="18"/>
      <c r="S636" s="18"/>
      <c r="T636" s="18"/>
      <c r="U636" s="18"/>
      <c r="V636" s="18"/>
      <c r="W636" s="18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</row>
    <row r="637" spans="1:36" ht="11.25" customHeight="1" x14ac:dyDescent="0.2">
      <c r="A637" s="74" t="s">
        <v>21</v>
      </c>
      <c r="B637" s="74" t="s">
        <v>44</v>
      </c>
      <c r="C637" s="74" t="s">
        <v>23</v>
      </c>
      <c r="D637" s="74" t="s">
        <v>45</v>
      </c>
      <c r="E637" s="74" t="s">
        <v>46</v>
      </c>
      <c r="F637" s="74" t="s">
        <v>25</v>
      </c>
      <c r="G637" s="74" t="s">
        <v>25</v>
      </c>
      <c r="H637" s="74" t="s">
        <v>25</v>
      </c>
      <c r="I637" s="80">
        <v>44621</v>
      </c>
      <c r="J637" s="81">
        <f>EFEITO!$J$637*EFEITO!$Y$637</f>
        <v>0</v>
      </c>
      <c r="K637" s="81">
        <f ca="1">EFEITO!$L$637*EFEITO!$Z$637</f>
        <v>216705.52147642491</v>
      </c>
      <c r="L637" s="81">
        <f>EFEITO!$N$637*EFEITO!$AA$637</f>
        <v>121767.29044056864</v>
      </c>
      <c r="M637" s="81">
        <f>$J$637-EFEITO!$K$637*EFEITO!$Y$637</f>
        <v>0</v>
      </c>
      <c r="N637" s="81">
        <f ca="1">$K$637-EFEITO!$M$637*EFEITO!$Z$637</f>
        <v>0</v>
      </c>
      <c r="O637" s="81">
        <f>$L$637-EFEITO!$O$637*EFEITO!$AA$637</f>
        <v>0</v>
      </c>
      <c r="P637" s="18"/>
      <c r="Q637" s="18"/>
      <c r="R637" s="18"/>
      <c r="S637" s="18"/>
      <c r="T637" s="18"/>
      <c r="U637" s="18"/>
      <c r="V637" s="18"/>
      <c r="W637" s="18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</row>
    <row r="638" spans="1:36" ht="11.25" customHeight="1" x14ac:dyDescent="0.2">
      <c r="A638" s="74" t="s">
        <v>21</v>
      </c>
      <c r="B638" s="74" t="s">
        <v>44</v>
      </c>
      <c r="C638" s="74" t="s">
        <v>23</v>
      </c>
      <c r="D638" s="74" t="s">
        <v>45</v>
      </c>
      <c r="E638" s="74" t="s">
        <v>46</v>
      </c>
      <c r="F638" s="74" t="s">
        <v>25</v>
      </c>
      <c r="G638" s="74" t="s">
        <v>25</v>
      </c>
      <c r="H638" s="74" t="s">
        <v>25</v>
      </c>
      <c r="I638" s="80">
        <v>44652</v>
      </c>
      <c r="J638" s="81">
        <f>EFEITO!$J$638*EFEITO!$Y$638</f>
        <v>0</v>
      </c>
      <c r="K638" s="81">
        <f ca="1">EFEITO!$L$638*EFEITO!$Z$638</f>
        <v>226155.67063503657</v>
      </c>
      <c r="L638" s="81">
        <f>EFEITO!$N$638*EFEITO!$AA$638</f>
        <v>127077.34922201296</v>
      </c>
      <c r="M638" s="81">
        <f>$J$638-EFEITO!$K$638*EFEITO!$Y$638</f>
        <v>0</v>
      </c>
      <c r="N638" s="81">
        <f ca="1">$K$638-EFEITO!$M$638*EFEITO!$Z$638</f>
        <v>0</v>
      </c>
      <c r="O638" s="81">
        <f>$L$638-EFEITO!$O$638*EFEITO!$AA$638</f>
        <v>0</v>
      </c>
      <c r="P638" s="18"/>
      <c r="Q638" s="18"/>
      <c r="R638" s="18"/>
      <c r="S638" s="18"/>
      <c r="T638" s="18"/>
      <c r="U638" s="18"/>
      <c r="V638" s="18"/>
      <c r="W638" s="18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</row>
    <row r="639" spans="1:36" ht="11.25" customHeight="1" x14ac:dyDescent="0.2">
      <c r="A639" s="74" t="s">
        <v>21</v>
      </c>
      <c r="B639" s="74" t="s">
        <v>44</v>
      </c>
      <c r="C639" s="74" t="s">
        <v>23</v>
      </c>
      <c r="D639" s="74" t="s">
        <v>45</v>
      </c>
      <c r="E639" s="74" t="s">
        <v>46</v>
      </c>
      <c r="F639" s="74" t="s">
        <v>25</v>
      </c>
      <c r="G639" s="74" t="s">
        <v>25</v>
      </c>
      <c r="H639" s="74" t="s">
        <v>25</v>
      </c>
      <c r="I639" s="80">
        <v>44682</v>
      </c>
      <c r="J639" s="81">
        <f>EFEITO!$J$639*EFEITO!$Y$639</f>
        <v>0</v>
      </c>
      <c r="K639" s="81">
        <f ca="1">EFEITO!$L$639*EFEITO!$Z$639</f>
        <v>247179.30120743334</v>
      </c>
      <c r="L639" s="81">
        <f>EFEITO!$N$639*EFEITO!$AA$639</f>
        <v>138890.57166592171</v>
      </c>
      <c r="M639" s="81">
        <f>$J$639-EFEITO!$K$639*EFEITO!$Y$639</f>
        <v>0</v>
      </c>
      <c r="N639" s="81">
        <f ca="1">$K$639-EFEITO!$M$639*EFEITO!$Z$639</f>
        <v>0</v>
      </c>
      <c r="O639" s="81">
        <f>$L$639-EFEITO!$O$639*EFEITO!$AA$639</f>
        <v>0</v>
      </c>
      <c r="P639" s="18"/>
      <c r="Q639" s="18"/>
      <c r="R639" s="18"/>
      <c r="S639" s="18"/>
      <c r="T639" s="18"/>
      <c r="U639" s="18"/>
      <c r="V639" s="18"/>
      <c r="W639" s="18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</row>
    <row r="640" spans="1:36" ht="11.25" customHeight="1" x14ac:dyDescent="0.2">
      <c r="A640" s="74" t="s">
        <v>21</v>
      </c>
      <c r="B640" s="74" t="s">
        <v>44</v>
      </c>
      <c r="C640" s="74" t="s">
        <v>23</v>
      </c>
      <c r="D640" s="74" t="s">
        <v>45</v>
      </c>
      <c r="E640" s="74" t="s">
        <v>46</v>
      </c>
      <c r="F640" s="74" t="s">
        <v>25</v>
      </c>
      <c r="G640" s="74" t="s">
        <v>25</v>
      </c>
      <c r="H640" s="74" t="s">
        <v>25</v>
      </c>
      <c r="I640" s="80">
        <v>44713</v>
      </c>
      <c r="J640" s="81">
        <f>EFEITO!$J$640*EFEITO!$Y$640</f>
        <v>0</v>
      </c>
      <c r="K640" s="81">
        <f ca="1">EFEITO!$L$640*EFEITO!$Z$640</f>
        <v>245412.65202335612</v>
      </c>
      <c r="L640" s="81">
        <f>EFEITO!$N$640*EFEITO!$AA$640</f>
        <v>137897.88775626174</v>
      </c>
      <c r="M640" s="81">
        <f>$J$640-EFEITO!$K$640*EFEITO!$Y$640</f>
        <v>0</v>
      </c>
      <c r="N640" s="81">
        <f ca="1">$K$640-EFEITO!$M$640*EFEITO!$Z$640</f>
        <v>0</v>
      </c>
      <c r="O640" s="81">
        <f>$L$640-EFEITO!$O$640*EFEITO!$AA$640</f>
        <v>0</v>
      </c>
      <c r="P640" s="18"/>
      <c r="Q640" s="18"/>
      <c r="R640" s="18"/>
      <c r="S640" s="18"/>
      <c r="T640" s="18"/>
      <c r="U640" s="18"/>
      <c r="V640" s="18"/>
      <c r="W640" s="18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</row>
    <row r="641" spans="1:36" ht="11.25" customHeight="1" x14ac:dyDescent="0.2">
      <c r="A641" s="74" t="s">
        <v>55</v>
      </c>
      <c r="B641" s="74" t="s">
        <v>44</v>
      </c>
      <c r="C641" s="74" t="s">
        <v>23</v>
      </c>
      <c r="D641" s="74" t="s">
        <v>45</v>
      </c>
      <c r="E641" s="74" t="s">
        <v>46</v>
      </c>
      <c r="F641" s="74" t="s">
        <v>25</v>
      </c>
      <c r="G641" s="74" t="s">
        <v>25</v>
      </c>
      <c r="H641" s="74" t="s">
        <v>25</v>
      </c>
      <c r="I641" s="80">
        <v>44743</v>
      </c>
      <c r="J641" s="81">
        <f>EFEITO!$J$641*EFEITO!$Y$641</f>
        <v>0</v>
      </c>
      <c r="K641" s="81">
        <f ca="1">EFEITO!$L$641*EFEITO!$Z$641</f>
        <v>245412.65202335612</v>
      </c>
      <c r="L641" s="81">
        <f>EFEITO!$N$641*EFEITO!$AA$641</f>
        <v>137897.88775626174</v>
      </c>
      <c r="M641" s="81">
        <f>$J$641-EFEITO!$K$641*EFEITO!$Y$641</f>
        <v>0</v>
      </c>
      <c r="N641" s="81">
        <f ca="1">$K$641-EFEITO!$M$641*EFEITO!$Z$641</f>
        <v>0</v>
      </c>
      <c r="O641" s="81">
        <f>$L$641-EFEITO!$O$641*EFEITO!$AA$641</f>
        <v>0</v>
      </c>
      <c r="P641" s="18"/>
      <c r="Q641" s="18"/>
      <c r="R641" s="18"/>
      <c r="S641" s="18"/>
      <c r="T641" s="18"/>
      <c r="U641" s="18"/>
      <c r="V641" s="18"/>
      <c r="W641" s="18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</row>
  </sheetData>
  <mergeCells count="1">
    <mergeCell ref="Q1:AJ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43796-CD6F-41AD-BD98-82348B257072}">
  <dimension ref="A1:BD103"/>
  <sheetViews>
    <sheetView showGridLines="0" topLeftCell="B28" workbookViewId="0">
      <selection activeCell="L53" sqref="L53:BD103"/>
    </sheetView>
  </sheetViews>
  <sheetFormatPr defaultColWidth="9.140625" defaultRowHeight="11.25" customHeight="1" x14ac:dyDescent="0.25"/>
  <cols>
    <col min="1" max="1" width="9.28515625" style="9" bestFit="1" customWidth="1"/>
    <col min="2" max="2" width="23.42578125" style="9" bestFit="1" customWidth="1"/>
    <col min="3" max="3" width="33" style="9" bestFit="1" customWidth="1"/>
    <col min="4" max="4" width="56.140625" style="9" bestFit="1" customWidth="1"/>
    <col min="5" max="5" width="65.7109375" style="9" bestFit="1" customWidth="1"/>
    <col min="6" max="6" width="75.42578125" style="9" bestFit="1" customWidth="1"/>
    <col min="7" max="7" width="7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7.85546875" style="9" bestFit="1" customWidth="1"/>
    <col min="14" max="14" width="8.7109375" style="9" bestFit="1" customWidth="1"/>
    <col min="15" max="15" width="4.140625" style="9" bestFit="1" customWidth="1"/>
    <col min="16" max="16" width="4.42578125" style="9" bestFit="1" customWidth="1"/>
    <col min="17" max="18" width="10" style="9" bestFit="1" customWidth="1"/>
    <col min="19" max="19" width="8.7109375" style="9" bestFit="1" customWidth="1"/>
    <col min="20" max="20" width="7.42578125" style="9" bestFit="1" customWidth="1"/>
    <col min="21" max="21" width="7.28515625" style="9" bestFit="1" customWidth="1"/>
    <col min="22" max="23" width="9.85546875" style="9" bestFit="1" customWidth="1"/>
    <col min="24" max="24" width="10" style="9" bestFit="1" customWidth="1"/>
    <col min="25" max="25" width="7.7109375" style="9" bestFit="1" customWidth="1"/>
    <col min="26" max="26" width="9.85546875" style="9" bestFit="1" customWidth="1"/>
    <col min="27" max="27" width="11.7109375" style="9" bestFit="1" customWidth="1"/>
    <col min="28" max="28" width="8" style="9" bestFit="1" customWidth="1"/>
    <col min="29" max="29" width="7.28515625" style="9" bestFit="1" customWidth="1"/>
    <col min="30" max="30" width="15.28515625" style="9" bestFit="1" customWidth="1"/>
    <col min="31" max="31" width="18" style="9" bestFit="1" customWidth="1"/>
    <col min="32" max="32" width="19.140625" style="9" bestFit="1" customWidth="1"/>
    <col min="33" max="33" width="7.85546875" style="9" bestFit="1" customWidth="1"/>
    <col min="34" max="34" width="9.140625" style="9"/>
    <col min="35" max="35" width="13.42578125" style="9" bestFit="1" customWidth="1"/>
    <col min="36" max="36" width="7.85546875" style="9" bestFit="1" customWidth="1"/>
    <col min="37" max="37" width="8.7109375" style="9" bestFit="1" customWidth="1"/>
    <col min="38" max="38" width="4.140625" style="9" bestFit="1" customWidth="1"/>
    <col min="39" max="39" width="4.42578125" style="9" bestFit="1" customWidth="1"/>
    <col min="40" max="41" width="10" style="9" bestFit="1" customWidth="1"/>
    <col min="42" max="42" width="8.7109375" style="9" bestFit="1" customWidth="1"/>
    <col min="43" max="43" width="7.42578125" style="9" bestFit="1" customWidth="1"/>
    <col min="44" max="44" width="7.28515625" style="9" bestFit="1" customWidth="1"/>
    <col min="45" max="46" width="9.85546875" style="9" bestFit="1" customWidth="1"/>
    <col min="47" max="47" width="10" style="9" bestFit="1" customWidth="1"/>
    <col min="48" max="48" width="7.7109375" style="9" bestFit="1" customWidth="1"/>
    <col min="49" max="49" width="9.85546875" style="9" bestFit="1" customWidth="1"/>
    <col min="50" max="50" width="11.7109375" style="9" bestFit="1" customWidth="1"/>
    <col min="51" max="51" width="8" style="9" bestFit="1" customWidth="1"/>
    <col min="52" max="52" width="7.28515625" style="9" bestFit="1" customWidth="1"/>
    <col min="53" max="53" width="15.28515625" style="9" bestFit="1" customWidth="1"/>
    <col min="54" max="54" width="18" style="9" bestFit="1" customWidth="1"/>
    <col min="55" max="55" width="19.140625" style="9" bestFit="1" customWidth="1"/>
    <col min="56" max="56" width="7.85546875" style="9" bestFit="1" customWidth="1"/>
    <col min="57" max="16384" width="9.140625" style="9"/>
  </cols>
  <sheetData>
    <row r="1" spans="1:56" ht="11.25" customHeight="1" x14ac:dyDescent="0.25">
      <c r="A1" s="145" t="s">
        <v>64</v>
      </c>
      <c r="B1" s="145" t="s">
        <v>65</v>
      </c>
      <c r="C1" s="145" t="s">
        <v>66</v>
      </c>
      <c r="D1" s="145" t="s">
        <v>67</v>
      </c>
      <c r="E1" s="145" t="s">
        <v>68</v>
      </c>
      <c r="F1" s="145" t="s">
        <v>15</v>
      </c>
      <c r="G1" s="145" t="s">
        <v>70</v>
      </c>
      <c r="H1" s="145" t="s">
        <v>71</v>
      </c>
      <c r="I1" s="145" t="s">
        <v>561</v>
      </c>
      <c r="J1" s="141"/>
      <c r="L1" s="146" t="s">
        <v>755</v>
      </c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  <c r="AA1" s="146"/>
      <c r="AB1" s="146"/>
      <c r="AC1" s="146"/>
      <c r="AD1" s="146"/>
      <c r="AE1" s="146"/>
      <c r="AF1" s="146"/>
      <c r="AG1" s="146"/>
      <c r="AI1" s="146" t="s">
        <v>756</v>
      </c>
      <c r="AJ1" s="146"/>
      <c r="AK1" s="146"/>
      <c r="AL1" s="146"/>
      <c r="AM1" s="146"/>
      <c r="AN1" s="146"/>
      <c r="AO1" s="146"/>
      <c r="AP1" s="146"/>
      <c r="AQ1" s="146"/>
      <c r="AR1" s="146"/>
      <c r="AS1" s="146"/>
      <c r="AT1" s="146"/>
      <c r="AU1" s="146"/>
      <c r="AV1" s="146"/>
      <c r="AW1" s="146"/>
      <c r="AX1" s="146"/>
      <c r="AY1" s="146"/>
      <c r="AZ1" s="146"/>
      <c r="BA1" s="146"/>
      <c r="BB1" s="146"/>
      <c r="BC1" s="146"/>
      <c r="BD1" s="146"/>
    </row>
    <row r="2" spans="1:56" ht="11.25" customHeight="1" x14ac:dyDescent="0.25">
      <c r="A2" s="145"/>
      <c r="B2" s="145"/>
      <c r="C2" s="145"/>
      <c r="D2" s="145"/>
      <c r="E2" s="145"/>
      <c r="F2" s="145"/>
      <c r="G2" s="145"/>
      <c r="H2" s="145"/>
      <c r="I2" s="145"/>
      <c r="J2" s="141"/>
      <c r="L2" s="146" t="s">
        <v>460</v>
      </c>
      <c r="M2" s="146"/>
      <c r="N2" s="146"/>
      <c r="O2" s="146"/>
      <c r="P2" s="146"/>
      <c r="Q2" s="146"/>
      <c r="R2" s="146"/>
      <c r="S2" s="146"/>
      <c r="T2" s="146"/>
      <c r="U2" s="146"/>
      <c r="V2" s="146"/>
      <c r="W2" s="146"/>
      <c r="X2" s="146"/>
      <c r="Y2" s="146"/>
      <c r="Z2" s="146"/>
      <c r="AA2" s="146"/>
      <c r="AB2" s="146"/>
      <c r="AC2" s="146"/>
      <c r="AD2" s="146"/>
      <c r="AE2" s="146"/>
      <c r="AF2" s="146"/>
      <c r="AG2" s="146"/>
      <c r="AI2" s="146" t="s">
        <v>460</v>
      </c>
      <c r="AJ2" s="146"/>
      <c r="AK2" s="146"/>
      <c r="AL2" s="146"/>
      <c r="AM2" s="146"/>
      <c r="AN2" s="146"/>
      <c r="AO2" s="146"/>
      <c r="AP2" s="146"/>
      <c r="AQ2" s="146"/>
      <c r="AR2" s="146"/>
      <c r="AS2" s="146"/>
      <c r="AT2" s="146"/>
      <c r="AU2" s="146"/>
      <c r="AV2" s="146"/>
      <c r="AW2" s="146"/>
      <c r="AX2" s="146"/>
      <c r="AY2" s="146"/>
      <c r="AZ2" s="146"/>
      <c r="BA2" s="146"/>
      <c r="BB2" s="146"/>
      <c r="BC2" s="146"/>
      <c r="BD2" s="146"/>
    </row>
    <row r="3" spans="1:56" ht="11.25" customHeight="1" x14ac:dyDescent="0.25">
      <c r="A3" s="145"/>
      <c r="B3" s="145"/>
      <c r="C3" s="145"/>
      <c r="D3" s="145"/>
      <c r="E3" s="145"/>
      <c r="F3" s="145"/>
      <c r="G3" s="145"/>
      <c r="H3" s="145"/>
      <c r="I3" s="145"/>
      <c r="J3" s="141"/>
      <c r="L3" s="146" t="s">
        <v>461</v>
      </c>
      <c r="M3" s="146"/>
      <c r="N3" s="146"/>
      <c r="O3" s="146"/>
      <c r="P3" s="146"/>
      <c r="Q3" s="146"/>
      <c r="R3" s="146"/>
      <c r="S3" s="146"/>
      <c r="T3" s="146" t="s">
        <v>470</v>
      </c>
      <c r="U3" s="146"/>
      <c r="V3" s="146"/>
      <c r="W3" s="146"/>
      <c r="X3" s="146"/>
      <c r="Y3" s="146"/>
      <c r="Z3" s="146"/>
      <c r="AA3" s="32" t="s">
        <v>478</v>
      </c>
      <c r="AB3" s="146" t="s">
        <v>480</v>
      </c>
      <c r="AC3" s="146"/>
      <c r="AD3" s="146" t="s">
        <v>483</v>
      </c>
      <c r="AE3" s="146"/>
      <c r="AF3" s="146"/>
      <c r="AG3" s="146"/>
      <c r="AI3" s="146" t="s">
        <v>461</v>
      </c>
      <c r="AJ3" s="146"/>
      <c r="AK3" s="146"/>
      <c r="AL3" s="146"/>
      <c r="AM3" s="146"/>
      <c r="AN3" s="146"/>
      <c r="AO3" s="146"/>
      <c r="AP3" s="146"/>
      <c r="AQ3" s="146" t="s">
        <v>470</v>
      </c>
      <c r="AR3" s="146"/>
      <c r="AS3" s="146"/>
      <c r="AT3" s="146"/>
      <c r="AU3" s="146"/>
      <c r="AV3" s="146"/>
      <c r="AW3" s="146"/>
      <c r="AX3" s="32" t="s">
        <v>478</v>
      </c>
      <c r="AY3" s="146" t="s">
        <v>480</v>
      </c>
      <c r="AZ3" s="146"/>
      <c r="BA3" s="146" t="s">
        <v>483</v>
      </c>
      <c r="BB3" s="146"/>
      <c r="BC3" s="146"/>
      <c r="BD3" s="146"/>
    </row>
    <row r="4" spans="1:56" ht="11.25" customHeight="1" x14ac:dyDescent="0.25">
      <c r="A4" s="145"/>
      <c r="B4" s="145"/>
      <c r="C4" s="145"/>
      <c r="D4" s="145"/>
      <c r="E4" s="145"/>
      <c r="F4" s="145"/>
      <c r="G4" s="145"/>
      <c r="H4" s="145"/>
      <c r="I4" s="145"/>
      <c r="J4" s="141"/>
      <c r="L4" s="32" t="s">
        <v>546</v>
      </c>
      <c r="M4" s="32" t="s">
        <v>462</v>
      </c>
      <c r="N4" s="32" t="s">
        <v>463</v>
      </c>
      <c r="O4" s="32" t="s">
        <v>464</v>
      </c>
      <c r="P4" s="32" t="s">
        <v>465</v>
      </c>
      <c r="Q4" s="32" t="s">
        <v>466</v>
      </c>
      <c r="R4" s="32" t="s">
        <v>467</v>
      </c>
      <c r="S4" s="32" t="s">
        <v>468</v>
      </c>
      <c r="T4" s="32" t="s">
        <v>471</v>
      </c>
      <c r="U4" s="32" t="s">
        <v>472</v>
      </c>
      <c r="V4" s="32" t="s">
        <v>473</v>
      </c>
      <c r="W4" s="32" t="s">
        <v>474</v>
      </c>
      <c r="X4" s="32" t="s">
        <v>475</v>
      </c>
      <c r="Y4" s="32" t="s">
        <v>476</v>
      </c>
      <c r="Z4" s="32" t="s">
        <v>477</v>
      </c>
      <c r="AA4" s="32" t="s">
        <v>479</v>
      </c>
      <c r="AB4" s="32" t="s">
        <v>481</v>
      </c>
      <c r="AC4" s="32" t="s">
        <v>482</v>
      </c>
      <c r="AD4" s="32" t="s">
        <v>484</v>
      </c>
      <c r="AE4" s="32" t="s">
        <v>485</v>
      </c>
      <c r="AF4" s="32" t="s">
        <v>486</v>
      </c>
      <c r="AG4" s="32" t="s">
        <v>487</v>
      </c>
      <c r="AI4" s="32" t="s">
        <v>546</v>
      </c>
      <c r="AJ4" s="32" t="s">
        <v>462</v>
      </c>
      <c r="AK4" s="32" t="s">
        <v>463</v>
      </c>
      <c r="AL4" s="32" t="s">
        <v>464</v>
      </c>
      <c r="AM4" s="32" t="s">
        <v>465</v>
      </c>
      <c r="AN4" s="32" t="s">
        <v>466</v>
      </c>
      <c r="AO4" s="32" t="s">
        <v>467</v>
      </c>
      <c r="AP4" s="32" t="s">
        <v>468</v>
      </c>
      <c r="AQ4" s="32" t="s">
        <v>471</v>
      </c>
      <c r="AR4" s="32" t="s">
        <v>472</v>
      </c>
      <c r="AS4" s="32" t="s">
        <v>473</v>
      </c>
      <c r="AT4" s="32" t="s">
        <v>474</v>
      </c>
      <c r="AU4" s="32" t="s">
        <v>475</v>
      </c>
      <c r="AV4" s="32" t="s">
        <v>476</v>
      </c>
      <c r="AW4" s="32" t="s">
        <v>477</v>
      </c>
      <c r="AX4" s="32" t="s">
        <v>479</v>
      </c>
      <c r="AY4" s="32" t="s">
        <v>481</v>
      </c>
      <c r="AZ4" s="32" t="s">
        <v>482</v>
      </c>
      <c r="BA4" s="32" t="s">
        <v>484</v>
      </c>
      <c r="BB4" s="32" t="s">
        <v>485</v>
      </c>
      <c r="BC4" s="32" t="s">
        <v>486</v>
      </c>
      <c r="BD4" s="32" t="s">
        <v>487</v>
      </c>
    </row>
    <row r="5" spans="1:56" ht="11.25" customHeight="1" x14ac:dyDescent="0.25">
      <c r="A5" s="149" t="s">
        <v>35</v>
      </c>
      <c r="B5" s="149" t="s">
        <v>36</v>
      </c>
      <c r="C5" s="149" t="s">
        <v>25</v>
      </c>
      <c r="D5" s="149" t="s">
        <v>25</v>
      </c>
      <c r="E5" s="149" t="s">
        <v>25</v>
      </c>
      <c r="F5" s="149" t="s">
        <v>25</v>
      </c>
      <c r="G5" s="57" t="s">
        <v>80</v>
      </c>
      <c r="H5" s="57" t="s">
        <v>79</v>
      </c>
      <c r="I5" s="57">
        <f>'MERCADO TUSD'!$U$2</f>
        <v>2966</v>
      </c>
      <c r="J5" s="15"/>
      <c r="L5" s="31">
        <f>('TUSD BE'!$L$5+'TUSD BF'!$L$5+'TUSD CVA'!$L$5)*1</f>
        <v>0</v>
      </c>
      <c r="M5" s="31">
        <f>('TUSD BE'!$M$5+'TUSD BF'!$M$5+'TUSD CVA'!$M$5)*1</f>
        <v>0</v>
      </c>
      <c r="N5" s="31">
        <f ca="1">('TUSD BE'!$N$5+'TUSD BF'!$N$5+'TUSD CVA'!$N$5)*1</f>
        <v>0</v>
      </c>
      <c r="O5" s="31">
        <f>('TUSD BE'!$O$5+'TUSD BF'!$O$5+'TUSD CVA'!$O$5)*1</f>
        <v>0</v>
      </c>
      <c r="P5" s="31">
        <f>('TUSD BE'!$P$5+'TUSD BF'!$P$5+'TUSD CVA'!$P$5)*1</f>
        <v>0</v>
      </c>
      <c r="Q5" s="31">
        <f>('TUSD BE'!$Q$5+'TUSD BF'!$Q$5+'TUSD CVA'!$Q$5)*1</f>
        <v>0</v>
      </c>
      <c r="R5" s="31">
        <f>('TUSD BE'!$R$5+'TUSD BF'!$R$5+'TUSD CVA'!$R$5)*1</f>
        <v>0</v>
      </c>
      <c r="S5" s="31">
        <f>('TUSD BE'!$S$5+'TUSD BF'!$S$5+'TUSD CVA'!$S$5)*1</f>
        <v>0</v>
      </c>
      <c r="T5" s="31">
        <f>('TUSD BE'!$U$5+'TUSD BF'!$U$5+'TUSD CVA'!$U$5)*1</f>
        <v>0</v>
      </c>
      <c r="U5" s="31">
        <f>('TUSD BE'!$V$5+'TUSD BF'!$V$5+'TUSD CVA'!$V$5)*1</f>
        <v>0</v>
      </c>
      <c r="V5" s="31">
        <f>('TUSD BE'!$W$5+'TUSD BF'!$W$5+'TUSD CVA'!$W$5)*1</f>
        <v>0</v>
      </c>
      <c r="W5" s="31">
        <f>('TUSD BE'!$X$5+'TUSD BF'!$X$5+'TUSD CVA'!$X$5)*1</f>
        <v>0</v>
      </c>
      <c r="X5" s="31">
        <f>('TUSD BE'!$Y$5+'TUSD BF'!$Y$5+'TUSD CVA'!$Y$5)*1</f>
        <v>32.793570992660797</v>
      </c>
      <c r="Y5" s="31">
        <f>('TUSD BE'!$Z$5+'TUSD BF'!$Z$5+'TUSD CVA'!$Z$5)*1</f>
        <v>0</v>
      </c>
      <c r="Z5" s="31">
        <f>('TUSD BE'!$AA$5+'TUSD BF'!$AA$5+'TUSD CVA'!$AA$5)*1</f>
        <v>0</v>
      </c>
      <c r="AA5" s="31">
        <f>('TUSD BE'!$AC$5+'TUSD BF'!$AC$5+'TUSD CVA'!$AC$5)*1</f>
        <v>23.686877705142454</v>
      </c>
      <c r="AB5" s="31">
        <f ca="1">('TUSD BE'!$AE$5+'TUSD BF'!$AE$5+'TUSD CVA'!$AE$5)*1</f>
        <v>0</v>
      </c>
      <c r="AC5" s="31">
        <f ca="1">('TUSD BE'!$AF$5+'TUSD BF'!$AF$5+'TUSD CVA'!$AF$5)*1</f>
        <v>0</v>
      </c>
      <c r="AD5" s="31">
        <f>('TUSD BE'!$AH$5+'TUSD BF'!$AH$5+'TUSD CVA'!$AH$5)*1</f>
        <v>0</v>
      </c>
      <c r="AE5" s="31">
        <f>('TUSD BE'!$AI$5+'TUSD BF'!$AI$5+'TUSD CVA'!$AI$5)*1</f>
        <v>0</v>
      </c>
      <c r="AF5" s="31">
        <f ca="1">('TUSD BE'!$AJ$5+'TUSD BF'!$AJ$5+'TUSD CVA'!$AJ$5)*1</f>
        <v>0</v>
      </c>
      <c r="AG5" s="31">
        <f ca="1">('TUSD BE'!$AK$5+'TUSD BF'!$AK$5+'TUSD CVA'!$AK$5)*1</f>
        <v>0</v>
      </c>
      <c r="AI5" s="31">
        <v>0</v>
      </c>
      <c r="AJ5" s="31">
        <v>0</v>
      </c>
      <c r="AK5" s="31">
        <v>0</v>
      </c>
      <c r="AL5" s="31">
        <v>0</v>
      </c>
      <c r="AM5" s="31">
        <v>0</v>
      </c>
      <c r="AN5" s="31">
        <v>0</v>
      </c>
      <c r="AO5" s="31">
        <v>0</v>
      </c>
      <c r="AP5" s="31">
        <v>0</v>
      </c>
      <c r="AQ5" s="31">
        <v>0</v>
      </c>
      <c r="AR5" s="31">
        <v>0</v>
      </c>
      <c r="AS5" s="31">
        <v>0</v>
      </c>
      <c r="AT5" s="31">
        <v>0</v>
      </c>
      <c r="AU5" s="31">
        <v>28.464116872009399</v>
      </c>
      <c r="AV5" s="31">
        <v>0</v>
      </c>
      <c r="AW5" s="31">
        <v>0</v>
      </c>
      <c r="AX5" s="31">
        <v>31.0067541944988</v>
      </c>
      <c r="AY5" s="31">
        <v>0</v>
      </c>
      <c r="AZ5" s="31">
        <v>0</v>
      </c>
      <c r="BA5" s="31">
        <v>0</v>
      </c>
      <c r="BB5" s="31">
        <v>0</v>
      </c>
      <c r="BC5" s="31">
        <v>0</v>
      </c>
      <c r="BD5" s="31">
        <v>0</v>
      </c>
    </row>
    <row r="6" spans="1:56" ht="11.25" customHeight="1" x14ac:dyDescent="0.25">
      <c r="A6" s="149"/>
      <c r="B6" s="149"/>
      <c r="C6" s="149"/>
      <c r="D6" s="149"/>
      <c r="E6" s="149"/>
      <c r="F6" s="149"/>
      <c r="G6" s="57" t="s">
        <v>81</v>
      </c>
      <c r="H6" s="57" t="s">
        <v>79</v>
      </c>
      <c r="I6" s="57">
        <f>'MERCADO TUSD'!$U$3</f>
        <v>31888</v>
      </c>
      <c r="J6" s="15"/>
      <c r="L6" s="31">
        <f>('TUSD BE'!$L$6+'TUSD BF'!$L$6+'TUSD CVA'!$L$6)*1</f>
        <v>0</v>
      </c>
      <c r="M6" s="31">
        <f>('TUSD BE'!$M$6+'TUSD BF'!$M$6+'TUSD CVA'!$M$6)*1</f>
        <v>0</v>
      </c>
      <c r="N6" s="31">
        <f ca="1">('TUSD BE'!$N$6+'TUSD BF'!$N$6+'TUSD CVA'!$N$6)*1</f>
        <v>0</v>
      </c>
      <c r="O6" s="31">
        <f>('TUSD BE'!$O$6+'TUSD BF'!$O$6+'TUSD CVA'!$O$6)*1</f>
        <v>0</v>
      </c>
      <c r="P6" s="31">
        <f>('TUSD BE'!$P$6+'TUSD BF'!$P$6+'TUSD CVA'!$P$6)*1</f>
        <v>0</v>
      </c>
      <c r="Q6" s="31">
        <f>('TUSD BE'!$Q$6+'TUSD BF'!$Q$6+'TUSD CVA'!$Q$6)*1</f>
        <v>0</v>
      </c>
      <c r="R6" s="31">
        <f>('TUSD BE'!$R$6+'TUSD BF'!$R$6+'TUSD CVA'!$R$6)*1</f>
        <v>0</v>
      </c>
      <c r="S6" s="31">
        <f>('TUSD BE'!$S$6+'TUSD BF'!$S$6+'TUSD CVA'!$S$6)*1</f>
        <v>0</v>
      </c>
      <c r="T6" s="31">
        <f>('TUSD BE'!$U$6+'TUSD BF'!$U$6+'TUSD CVA'!$U$6)*1</f>
        <v>0</v>
      </c>
      <c r="U6" s="31">
        <f>('TUSD BE'!$V$6+'TUSD BF'!$V$6+'TUSD CVA'!$V$6)*1</f>
        <v>0</v>
      </c>
      <c r="V6" s="31">
        <f>('TUSD BE'!$W$6+'TUSD BF'!$W$6+'TUSD CVA'!$W$6)*1</f>
        <v>0</v>
      </c>
      <c r="W6" s="31">
        <f>('TUSD BE'!$X$6+'TUSD BF'!$X$6+'TUSD CVA'!$X$6)*1</f>
        <v>0</v>
      </c>
      <c r="X6" s="31">
        <f>('TUSD BE'!$Y$6+'TUSD BF'!$Y$6+'TUSD CVA'!$Y$6)*1</f>
        <v>12.651928279086512</v>
      </c>
      <c r="Y6" s="31">
        <f>('TUSD BE'!$Z$6+'TUSD BF'!$Z$6+'TUSD CVA'!$Z$6)*1</f>
        <v>0</v>
      </c>
      <c r="Z6" s="31">
        <f>('TUSD BE'!$AA$6+'TUSD BF'!$AA$6+'TUSD CVA'!$AA$6)*1</f>
        <v>0</v>
      </c>
      <c r="AA6" s="31">
        <f>('TUSD BE'!$AC$6+'TUSD BF'!$AC$6+'TUSD CVA'!$AC$6)*1</f>
        <v>9.0818036097613497</v>
      </c>
      <c r="AB6" s="31">
        <f ca="1">('TUSD BE'!$AE$6+'TUSD BF'!$AE$6+'TUSD CVA'!$AE$6)*1</f>
        <v>0</v>
      </c>
      <c r="AC6" s="31">
        <f ca="1">('TUSD BE'!$AF$6+'TUSD BF'!$AF$6+'TUSD CVA'!$AF$6)*1</f>
        <v>0</v>
      </c>
      <c r="AD6" s="31">
        <f>('TUSD BE'!$AH$6+'TUSD BF'!$AH$6+'TUSD CVA'!$AH$6)*1</f>
        <v>0</v>
      </c>
      <c r="AE6" s="31">
        <f>('TUSD BE'!$AI$6+'TUSD BF'!$AI$6+'TUSD CVA'!$AI$6)*1</f>
        <v>0</v>
      </c>
      <c r="AF6" s="31">
        <f ca="1">('TUSD BE'!$AJ$6+'TUSD BF'!$AJ$6+'TUSD CVA'!$AJ$6)*1</f>
        <v>0</v>
      </c>
      <c r="AG6" s="31">
        <f ca="1">('TUSD BE'!$AK$6+'TUSD BF'!$AK$6+'TUSD CVA'!$AK$6)*1</f>
        <v>0</v>
      </c>
      <c r="AI6" s="31">
        <v>0</v>
      </c>
      <c r="AJ6" s="31">
        <v>0</v>
      </c>
      <c r="AK6" s="31">
        <v>0</v>
      </c>
      <c r="AL6" s="31">
        <v>0</v>
      </c>
      <c r="AM6" s="31">
        <v>0</v>
      </c>
      <c r="AN6" s="31">
        <v>0</v>
      </c>
      <c r="AO6" s="31">
        <v>0</v>
      </c>
      <c r="AP6" s="31">
        <v>0</v>
      </c>
      <c r="AQ6" s="31">
        <v>0</v>
      </c>
      <c r="AR6" s="31">
        <v>0</v>
      </c>
      <c r="AS6" s="31">
        <v>0</v>
      </c>
      <c r="AT6" s="31">
        <v>0</v>
      </c>
      <c r="AU6" s="31">
        <v>11.4564142720155</v>
      </c>
      <c r="AV6" s="31">
        <v>0</v>
      </c>
      <c r="AW6" s="31">
        <v>0</v>
      </c>
      <c r="AX6" s="31">
        <v>11.4426192417727</v>
      </c>
      <c r="AY6" s="31">
        <v>0</v>
      </c>
      <c r="AZ6" s="31">
        <v>0</v>
      </c>
      <c r="BA6" s="31">
        <v>0</v>
      </c>
      <c r="BB6" s="31">
        <v>0</v>
      </c>
      <c r="BC6" s="31">
        <v>0</v>
      </c>
      <c r="BD6" s="31">
        <v>0</v>
      </c>
    </row>
    <row r="7" spans="1:56" ht="11.25" customHeight="1" x14ac:dyDescent="0.25">
      <c r="A7" s="149"/>
      <c r="B7" s="149"/>
      <c r="C7" s="149"/>
      <c r="D7" s="149"/>
      <c r="E7" s="149"/>
      <c r="F7" s="149"/>
      <c r="G7" s="57" t="s">
        <v>78</v>
      </c>
      <c r="H7" s="57" t="s">
        <v>74</v>
      </c>
      <c r="I7" s="57">
        <f>'MERCADO TUSD'!$U$4</f>
        <v>12070.286</v>
      </c>
      <c r="J7" s="15"/>
      <c r="L7" s="31">
        <f>('TUSD BE'!$L$7+'TUSD BF'!$L$7+'TUSD CVA'!$L$7)*1</f>
        <v>0</v>
      </c>
      <c r="M7" s="31">
        <f>('TUSD BE'!$M$7+'TUSD BF'!$M$7+'TUSD CVA'!$M$7)*1</f>
        <v>0.28773383055543306</v>
      </c>
      <c r="N7" s="31">
        <f ca="1">('TUSD BE'!$N$7+'TUSD BF'!$N$7+'TUSD CVA'!$N$7)*1</f>
        <v>0.31831496415620103</v>
      </c>
      <c r="O7" s="31">
        <f>('TUSD BE'!$O$7+'TUSD BF'!$O$7+'TUSD CVA'!$O$7)*1</f>
        <v>0</v>
      </c>
      <c r="P7" s="31">
        <f>('TUSD BE'!$P$7+'TUSD BF'!$P$7+'TUSD CVA'!$P$7)*1</f>
        <v>0</v>
      </c>
      <c r="Q7" s="31">
        <f>('TUSD BE'!$Q$7+'TUSD BF'!$Q$7+'TUSD CVA'!$Q$7)*1</f>
        <v>90.238638173600648</v>
      </c>
      <c r="R7" s="31">
        <f>('TUSD BE'!$R$7+'TUSD BF'!$R$7+'TUSD CVA'!$R$7)*1</f>
        <v>17.134053264496636</v>
      </c>
      <c r="S7" s="31">
        <f>('TUSD BE'!$S$7+'TUSD BF'!$S$7+'TUSD CVA'!$S$7)*1</f>
        <v>0</v>
      </c>
      <c r="T7" s="31">
        <f>('TUSD BE'!$U$7+'TUSD BF'!$U$7+'TUSD CVA'!$U$7)*1</f>
        <v>0</v>
      </c>
      <c r="U7" s="31">
        <f>('TUSD BE'!$V$7+'TUSD BF'!$V$7+'TUSD CVA'!$V$7)*1</f>
        <v>0</v>
      </c>
      <c r="V7" s="31">
        <f>('TUSD BE'!$W$7+'TUSD BF'!$W$7+'TUSD CVA'!$W$7)*1</f>
        <v>0</v>
      </c>
      <c r="W7" s="31">
        <f>('TUSD BE'!$X$7+'TUSD BF'!$X$7+'TUSD CVA'!$X$7)*1</f>
        <v>0</v>
      </c>
      <c r="X7" s="31">
        <f>('TUSD BE'!$Y$7+'TUSD BF'!$Y$7+'TUSD CVA'!$Y$7)*1</f>
        <v>0</v>
      </c>
      <c r="Y7" s="31">
        <f>('TUSD BE'!$Z$7+'TUSD BF'!$Z$7+'TUSD CVA'!$Z$7)*1</f>
        <v>0</v>
      </c>
      <c r="Z7" s="31">
        <f>('TUSD BE'!$AA$7+'TUSD BF'!$AA$7+'TUSD CVA'!$AA$7)*1</f>
        <v>0</v>
      </c>
      <c r="AA7" s="31">
        <f>('TUSD BE'!$AC$7+'TUSD BF'!$AC$7+'TUSD CVA'!$AC$7)*1</f>
        <v>0</v>
      </c>
      <c r="AB7" s="31">
        <f ca="1">('TUSD BE'!$AE$7+'TUSD BF'!$AE$7+'TUSD CVA'!$AE$7)*1</f>
        <v>0</v>
      </c>
      <c r="AC7" s="31">
        <f ca="1">('TUSD BE'!$AF$7+'TUSD BF'!$AF$7+'TUSD CVA'!$AF$7)*1</f>
        <v>0</v>
      </c>
      <c r="AD7" s="31">
        <f>('TUSD BE'!$AH$7+'TUSD BF'!$AH$7+'TUSD CVA'!$AH$7)*1</f>
        <v>9.1873868143577795</v>
      </c>
      <c r="AE7" s="31">
        <f>('TUSD BE'!$AI$7+'TUSD BF'!$AI$7+'TUSD CVA'!$AI$7)*1</f>
        <v>0.19877577716434472</v>
      </c>
      <c r="AF7" s="31">
        <f ca="1">('TUSD BE'!$AJ$7+'TUSD BF'!$AJ$7+'TUSD CVA'!$AJ$7)*1</f>
        <v>0.22342221046464239</v>
      </c>
      <c r="AG7" s="31">
        <f ca="1">('TUSD BE'!$AK$7+'TUSD BF'!$AK$7+'TUSD CVA'!$AK$7)*1</f>
        <v>0.24409534832835572</v>
      </c>
      <c r="AI7" s="31">
        <v>0</v>
      </c>
      <c r="AJ7" s="31">
        <v>0.36117119386090102</v>
      </c>
      <c r="AK7" s="31">
        <v>0.40410741545373702</v>
      </c>
      <c r="AL7" s="31">
        <v>0</v>
      </c>
      <c r="AM7" s="31">
        <v>0</v>
      </c>
      <c r="AN7" s="31">
        <v>50.831254290248502</v>
      </c>
      <c r="AO7" s="31">
        <v>9.9433429673758802</v>
      </c>
      <c r="AP7" s="31">
        <v>0</v>
      </c>
      <c r="AQ7" s="31">
        <v>0</v>
      </c>
      <c r="AR7" s="31">
        <v>0</v>
      </c>
      <c r="AS7" s="31">
        <v>0</v>
      </c>
      <c r="AT7" s="31">
        <v>0</v>
      </c>
      <c r="AU7" s="31">
        <v>0</v>
      </c>
      <c r="AV7" s="31">
        <v>0</v>
      </c>
      <c r="AW7" s="31">
        <v>0</v>
      </c>
      <c r="AX7" s="31">
        <v>0</v>
      </c>
      <c r="AY7" s="31">
        <v>0</v>
      </c>
      <c r="AZ7" s="31">
        <v>0</v>
      </c>
      <c r="BA7" s="31">
        <v>11.2488712999866</v>
      </c>
      <c r="BB7" s="31">
        <v>0</v>
      </c>
      <c r="BC7" s="31">
        <v>0.18081818928061699</v>
      </c>
      <c r="BD7" s="31">
        <v>0.22236434563239901</v>
      </c>
    </row>
    <row r="8" spans="1:56" ht="11.25" customHeight="1" x14ac:dyDescent="0.25">
      <c r="A8" s="149"/>
      <c r="B8" s="149"/>
      <c r="C8" s="149"/>
      <c r="D8" s="149"/>
      <c r="E8" s="56" t="s">
        <v>82</v>
      </c>
      <c r="F8" s="56" t="s">
        <v>25</v>
      </c>
      <c r="G8" s="57" t="s">
        <v>78</v>
      </c>
      <c r="H8" s="57" t="s">
        <v>74</v>
      </c>
      <c r="I8" s="57">
        <f>'MERCADO TUSD'!$U$5</f>
        <v>0</v>
      </c>
      <c r="J8" s="15"/>
      <c r="L8" s="31">
        <f>('TUSD BE'!$L$8+'TUSD BF'!$L$8+'TUSD CVA'!$L$8)*1</f>
        <v>0</v>
      </c>
      <c r="M8" s="31">
        <f>('TUSD BE'!$M$8+'TUSD BF'!$M$8+'TUSD CVA'!$M$8)*1</f>
        <v>0.28773383055543306</v>
      </c>
      <c r="N8" s="31">
        <f ca="1">('TUSD BE'!$N$8+'TUSD BF'!$N$8+'TUSD CVA'!$N$8)*1</f>
        <v>0.30485666410087625</v>
      </c>
      <c r="O8" s="31">
        <f>('TUSD BE'!$O$8+'TUSD BF'!$O$8+'TUSD CVA'!$O$8)*1</f>
        <v>0</v>
      </c>
      <c r="P8" s="31">
        <f>('TUSD BE'!$P$8+'TUSD BF'!$P$8+'TUSD CVA'!$P$8)*1</f>
        <v>0</v>
      </c>
      <c r="Q8" s="31">
        <f>('TUSD BE'!$Q$8+'TUSD BF'!$Q$8+'TUSD CVA'!$Q$8)*1</f>
        <v>0</v>
      </c>
      <c r="R8" s="31">
        <f>('TUSD BE'!$R$8+'TUSD BF'!$R$8+'TUSD CVA'!$R$8)*1</f>
        <v>0</v>
      </c>
      <c r="S8" s="31">
        <f>('TUSD BE'!$S$8+'TUSD BF'!$S$8+'TUSD CVA'!$S$8)*1</f>
        <v>0</v>
      </c>
      <c r="T8" s="31">
        <f>('TUSD BE'!$U$8+'TUSD BF'!$U$8+'TUSD CVA'!$U$8)*1</f>
        <v>0</v>
      </c>
      <c r="U8" s="31">
        <f>('TUSD BE'!$V$8+'TUSD BF'!$V$8+'TUSD CVA'!$V$8)*1</f>
        <v>0</v>
      </c>
      <c r="V8" s="31">
        <f>('TUSD BE'!$W$8+'TUSD BF'!$W$8+'TUSD CVA'!$W$8)*1</f>
        <v>0</v>
      </c>
      <c r="W8" s="31">
        <f>('TUSD BE'!$X$8+'TUSD BF'!$X$8+'TUSD CVA'!$X$8)*1</f>
        <v>0</v>
      </c>
      <c r="X8" s="31">
        <f>('TUSD BE'!$Y$8+'TUSD BF'!$Y$8+'TUSD CVA'!$Y$8)*1</f>
        <v>0</v>
      </c>
      <c r="Y8" s="31">
        <f>('TUSD BE'!$Z$8+'TUSD BF'!$Z$8+'TUSD CVA'!$Z$8)*1</f>
        <v>0</v>
      </c>
      <c r="Z8" s="31">
        <f>('TUSD BE'!$AA$8+'TUSD BF'!$AA$8+'TUSD CVA'!$AA$8)*1</f>
        <v>0</v>
      </c>
      <c r="AA8" s="31">
        <f>('TUSD BE'!$AC$8+'TUSD BF'!$AC$8+'TUSD CVA'!$AC$8)*1</f>
        <v>0</v>
      </c>
      <c r="AB8" s="31">
        <f ca="1">('TUSD BE'!$AE$8+'TUSD BF'!$AE$8+'TUSD CVA'!$AE$8)*1</f>
        <v>0</v>
      </c>
      <c r="AC8" s="31">
        <f ca="1">('TUSD BE'!$AF$8+'TUSD BF'!$AF$8+'TUSD CVA'!$AF$8)*1</f>
        <v>0</v>
      </c>
      <c r="AD8" s="31">
        <f>('TUSD BE'!$AH$8+'TUSD BF'!$AH$8+'TUSD CVA'!$AH$8)*1</f>
        <v>9.1873868143577795</v>
      </c>
      <c r="AE8" s="31">
        <f>('TUSD BE'!$AI$8+'TUSD BF'!$AI$8+'TUSD CVA'!$AI$8)*1</f>
        <v>0.19877577716434472</v>
      </c>
      <c r="AF8" s="31">
        <f ca="1">('TUSD BE'!$AJ$8+'TUSD BF'!$AJ$8+'TUSD CVA'!$AJ$8)*1</f>
        <v>0.22342221046464239</v>
      </c>
      <c r="AG8" s="31">
        <f ca="1">('TUSD BE'!$AK$8+'TUSD BF'!$AK$8+'TUSD CVA'!$AK$8)*1</f>
        <v>0.24409534832835572</v>
      </c>
      <c r="AI8" s="31">
        <v>0</v>
      </c>
      <c r="AJ8" s="31">
        <v>0.36117119386090102</v>
      </c>
      <c r="AK8" s="31">
        <v>0.39022273492065701</v>
      </c>
      <c r="AL8" s="31">
        <v>0</v>
      </c>
      <c r="AM8" s="31">
        <v>0</v>
      </c>
      <c r="AN8" s="31">
        <v>0</v>
      </c>
      <c r="AO8" s="31">
        <v>0</v>
      </c>
      <c r="AP8" s="31">
        <v>0</v>
      </c>
      <c r="AQ8" s="31">
        <v>0</v>
      </c>
      <c r="AR8" s="31">
        <v>0</v>
      </c>
      <c r="AS8" s="31">
        <v>0</v>
      </c>
      <c r="AT8" s="31">
        <v>0</v>
      </c>
      <c r="AU8" s="31">
        <v>0</v>
      </c>
      <c r="AV8" s="31">
        <v>0</v>
      </c>
      <c r="AW8" s="31">
        <v>0</v>
      </c>
      <c r="AX8" s="31">
        <v>0</v>
      </c>
      <c r="AY8" s="31">
        <v>0</v>
      </c>
      <c r="AZ8" s="31">
        <v>0</v>
      </c>
      <c r="BA8" s="31">
        <v>11.2488712999866</v>
      </c>
      <c r="BB8" s="31">
        <v>0</v>
      </c>
      <c r="BC8" s="31">
        <v>0.18081818928061699</v>
      </c>
      <c r="BD8" s="31">
        <v>0.22236434563239901</v>
      </c>
    </row>
    <row r="9" spans="1:56" ht="11.25" customHeight="1" x14ac:dyDescent="0.25">
      <c r="A9" s="149"/>
      <c r="B9" s="56" t="s">
        <v>83</v>
      </c>
      <c r="C9" s="56" t="s">
        <v>25</v>
      </c>
      <c r="D9" s="56" t="s">
        <v>25</v>
      </c>
      <c r="E9" s="56" t="s">
        <v>25</v>
      </c>
      <c r="F9" s="56" t="s">
        <v>25</v>
      </c>
      <c r="G9" s="57" t="s">
        <v>9</v>
      </c>
      <c r="H9" s="57" t="s">
        <v>79</v>
      </c>
      <c r="I9" s="57">
        <f>'MERCADO TUSD'!$U$6</f>
        <v>0</v>
      </c>
      <c r="J9" s="15"/>
      <c r="L9" s="31">
        <f>('TUSD BE'!$L$9+'TUSD BF'!$L$9+'TUSD CVA'!$L$9)*1</f>
        <v>0</v>
      </c>
      <c r="M9" s="31">
        <f>('TUSD BE'!$M$9+'TUSD BF'!$M$9+'TUSD CVA'!$M$9)*1</f>
        <v>3.4725958126292922E-2</v>
      </c>
      <c r="N9" s="31">
        <f ca="1">('TUSD BE'!$N$9+'TUSD BF'!$N$9+'TUSD CVA'!$N$9)*1</f>
        <v>0.11816387448575158</v>
      </c>
      <c r="O9" s="31">
        <f>('TUSD BE'!$O$9+'TUSD BF'!$O$9+'TUSD CVA'!$O$9)*1</f>
        <v>0</v>
      </c>
      <c r="P9" s="31">
        <f>('TUSD BE'!$P$9+'TUSD BF'!$P$9+'TUSD CVA'!$P$9)*1</f>
        <v>0</v>
      </c>
      <c r="Q9" s="31">
        <f>('TUSD BE'!$Q$9+'TUSD BF'!$Q$9+'TUSD CVA'!$Q$9)*1</f>
        <v>0</v>
      </c>
      <c r="R9" s="31">
        <f>('TUSD BE'!$R$9+'TUSD BF'!$R$9+'TUSD CVA'!$R$9)*1</f>
        <v>0</v>
      </c>
      <c r="S9" s="31">
        <f>('TUSD BE'!$S$9+'TUSD BF'!$S$9+'TUSD CVA'!$S$9)*1</f>
        <v>0</v>
      </c>
      <c r="T9" s="31">
        <f>('TUSD BE'!$U$9+'TUSD BF'!$U$9+'TUSD CVA'!$U$9)*1</f>
        <v>0</v>
      </c>
      <c r="U9" s="31">
        <f>('TUSD BE'!$V$9+'TUSD BF'!$V$9+'TUSD CVA'!$V$9)*1</f>
        <v>0</v>
      </c>
      <c r="V9" s="31">
        <f>('TUSD BE'!$W$9+'TUSD BF'!$W$9+'TUSD CVA'!$W$9)*1</f>
        <v>0</v>
      </c>
      <c r="W9" s="31">
        <f>('TUSD BE'!$X$9+'TUSD BF'!$X$9+'TUSD CVA'!$X$9)*1</f>
        <v>0</v>
      </c>
      <c r="X9" s="31">
        <f>('TUSD BE'!$Y$9+'TUSD BF'!$Y$9+'TUSD CVA'!$Y$9)*1</f>
        <v>0</v>
      </c>
      <c r="Y9" s="31">
        <f>('TUSD BE'!$Z$9+'TUSD BF'!$Z$9+'TUSD CVA'!$Z$9)*1</f>
        <v>0</v>
      </c>
      <c r="Z9" s="31">
        <f>('TUSD BE'!$AA$9+'TUSD BF'!$AA$9+'TUSD CVA'!$AA$9)*1</f>
        <v>0</v>
      </c>
      <c r="AA9" s="31">
        <f>('TUSD BE'!$AC$9+'TUSD BF'!$AC$9+'TUSD CVA'!$AC$9)*1</f>
        <v>8.9121750016793619</v>
      </c>
      <c r="AB9" s="31">
        <f ca="1">('TUSD BE'!$AE$9+'TUSD BF'!$AE$9+'TUSD CVA'!$AE$9)*1</f>
        <v>0</v>
      </c>
      <c r="AC9" s="31">
        <f ca="1">('TUSD BE'!$AF$9+'TUSD BF'!$AF$9+'TUSD CVA'!$AF$9)*1</f>
        <v>0</v>
      </c>
      <c r="AD9" s="31">
        <f>('TUSD BE'!$AH$9+'TUSD BF'!$AH$9+'TUSD CVA'!$AH$9)*1</f>
        <v>0</v>
      </c>
      <c r="AE9" s="31">
        <f>('TUSD BE'!$AI$9+'TUSD BF'!$AI$9+'TUSD CVA'!$AI$9)*1</f>
        <v>0</v>
      </c>
      <c r="AF9" s="31">
        <f ca="1">('TUSD BE'!$AJ$9+'TUSD BF'!$AJ$9+'TUSD CVA'!$AJ$9)*1</f>
        <v>0</v>
      </c>
      <c r="AG9" s="31">
        <f ca="1">('TUSD BE'!$AK$9+'TUSD BF'!$AK$9+'TUSD CVA'!$AK$9)*1</f>
        <v>0</v>
      </c>
      <c r="AI9" s="31">
        <v>0</v>
      </c>
      <c r="AJ9" s="31">
        <v>3.6164595930188302E-2</v>
      </c>
      <c r="AK9" s="31">
        <v>0.129960609789632</v>
      </c>
      <c r="AL9" s="31">
        <v>0</v>
      </c>
      <c r="AM9" s="31">
        <v>0</v>
      </c>
      <c r="AN9" s="31">
        <v>0</v>
      </c>
      <c r="AO9" s="31">
        <v>0</v>
      </c>
      <c r="AP9" s="31">
        <v>0</v>
      </c>
      <c r="AQ9" s="31">
        <v>0</v>
      </c>
      <c r="AR9" s="31">
        <v>0</v>
      </c>
      <c r="AS9" s="31">
        <v>0</v>
      </c>
      <c r="AT9" s="31">
        <v>0</v>
      </c>
      <c r="AU9" s="31">
        <v>0</v>
      </c>
      <c r="AV9" s="31">
        <v>0</v>
      </c>
      <c r="AW9" s="31">
        <v>0</v>
      </c>
      <c r="AX9" s="31">
        <v>10.3698424054837</v>
      </c>
      <c r="AY9" s="31">
        <v>0</v>
      </c>
      <c r="AZ9" s="31">
        <v>0</v>
      </c>
      <c r="BA9" s="31">
        <v>0</v>
      </c>
      <c r="BB9" s="31">
        <v>0</v>
      </c>
      <c r="BC9" s="31">
        <v>0</v>
      </c>
      <c r="BD9" s="31">
        <v>0</v>
      </c>
    </row>
    <row r="10" spans="1:56" ht="11.25" customHeight="1" x14ac:dyDescent="0.25">
      <c r="A10" s="149"/>
      <c r="B10" s="149" t="s">
        <v>39</v>
      </c>
      <c r="C10" s="149" t="s">
        <v>25</v>
      </c>
      <c r="D10" s="149" t="s">
        <v>25</v>
      </c>
      <c r="E10" s="149" t="s">
        <v>25</v>
      </c>
      <c r="F10" s="149" t="s">
        <v>25</v>
      </c>
      <c r="G10" s="57" t="s">
        <v>9</v>
      </c>
      <c r="H10" s="57" t="s">
        <v>79</v>
      </c>
      <c r="I10" s="57">
        <f>'MERCADO TUSD'!$U$7</f>
        <v>426500</v>
      </c>
      <c r="J10" s="15"/>
      <c r="L10" s="31">
        <f>('TUSD BE'!$L$10+'TUSD BF'!$L$10+'TUSD CVA'!$L$10)*1</f>
        <v>0</v>
      </c>
      <c r="M10" s="31">
        <f>('TUSD BE'!$M$10+'TUSD BF'!$M$10+'TUSD CVA'!$M$10)*1</f>
        <v>0</v>
      </c>
      <c r="N10" s="31">
        <f ca="1">('TUSD BE'!$N$10+'TUSD BF'!$N$10+'TUSD CVA'!$N$10)*1</f>
        <v>0</v>
      </c>
      <c r="O10" s="31">
        <f>('TUSD BE'!$O$10+'TUSD BF'!$O$10+'TUSD CVA'!$O$10)*1</f>
        <v>0</v>
      </c>
      <c r="P10" s="31">
        <f>('TUSD BE'!$P$10+'TUSD BF'!$P$10+'TUSD CVA'!$P$10)*1</f>
        <v>0</v>
      </c>
      <c r="Q10" s="31">
        <f>('TUSD BE'!$Q$10+'TUSD BF'!$Q$10+'TUSD CVA'!$Q$10)*1</f>
        <v>0</v>
      </c>
      <c r="R10" s="31">
        <f>('TUSD BE'!$R$10+'TUSD BF'!$R$10+'TUSD CVA'!$R$10)*1</f>
        <v>0</v>
      </c>
      <c r="S10" s="31">
        <f>('TUSD BE'!$S$10+'TUSD BF'!$S$10+'TUSD CVA'!$S$10)*1</f>
        <v>0</v>
      </c>
      <c r="T10" s="31">
        <f>('TUSD BE'!$U$10+'TUSD BF'!$U$10+'TUSD CVA'!$U$10)*1</f>
        <v>0</v>
      </c>
      <c r="U10" s="31">
        <f>('TUSD BE'!$V$10+'TUSD BF'!$V$10+'TUSD CVA'!$V$10)*1</f>
        <v>0</v>
      </c>
      <c r="V10" s="31">
        <f>('TUSD BE'!$W$10+'TUSD BF'!$W$10+'TUSD CVA'!$W$10)*1</f>
        <v>0</v>
      </c>
      <c r="W10" s="31">
        <f>('TUSD BE'!$X$10+'TUSD BF'!$X$10+'TUSD CVA'!$X$10)*1</f>
        <v>0</v>
      </c>
      <c r="X10" s="31">
        <f>('TUSD BE'!$Y$10+'TUSD BF'!$Y$10+'TUSD CVA'!$Y$10)*1</f>
        <v>12.651928279086512</v>
      </c>
      <c r="Y10" s="31">
        <f>('TUSD BE'!$Z$10+'TUSD BF'!$Z$10+'TUSD CVA'!$Z$10)*1</f>
        <v>0</v>
      </c>
      <c r="Z10" s="31">
        <f>('TUSD BE'!$AA$10+'TUSD BF'!$AA$10+'TUSD CVA'!$AA$10)*1</f>
        <v>0</v>
      </c>
      <c r="AA10" s="31">
        <f>('TUSD BE'!$AC$10+'TUSD BF'!$AC$10+'TUSD CVA'!$AC$10)*1</f>
        <v>9.0818036097613497</v>
      </c>
      <c r="AB10" s="31">
        <f ca="1">('TUSD BE'!$AE$10+'TUSD BF'!$AE$10+'TUSD CVA'!$AE$10)*1</f>
        <v>0</v>
      </c>
      <c r="AC10" s="31">
        <f ca="1">('TUSD BE'!$AF$10+'TUSD BF'!$AF$10+'TUSD CVA'!$AF$10)*1</f>
        <v>0</v>
      </c>
      <c r="AD10" s="31">
        <f>('TUSD BE'!$AH$10+'TUSD BF'!$AH$10+'TUSD CVA'!$AH$10)*1</f>
        <v>0</v>
      </c>
      <c r="AE10" s="31">
        <f>('TUSD BE'!$AI$10+'TUSD BF'!$AI$10+'TUSD CVA'!$AI$10)*1</f>
        <v>0</v>
      </c>
      <c r="AF10" s="31">
        <f ca="1">('TUSD BE'!$AJ$10+'TUSD BF'!$AJ$10+'TUSD CVA'!$AJ$10)*1</f>
        <v>0</v>
      </c>
      <c r="AG10" s="31">
        <f ca="1">('TUSD BE'!$AK$10+'TUSD BF'!$AK$10+'TUSD CVA'!$AK$10)*1</f>
        <v>0</v>
      </c>
      <c r="AI10" s="31">
        <v>0</v>
      </c>
      <c r="AJ10" s="31">
        <v>0</v>
      </c>
      <c r="AK10" s="31">
        <v>0</v>
      </c>
      <c r="AL10" s="31">
        <v>0</v>
      </c>
      <c r="AM10" s="31">
        <v>0</v>
      </c>
      <c r="AN10" s="31">
        <v>0</v>
      </c>
      <c r="AO10" s="31">
        <v>0</v>
      </c>
      <c r="AP10" s="31">
        <v>0</v>
      </c>
      <c r="AQ10" s="31">
        <v>0</v>
      </c>
      <c r="AR10" s="31">
        <v>0</v>
      </c>
      <c r="AS10" s="31">
        <v>0</v>
      </c>
      <c r="AT10" s="31">
        <v>0</v>
      </c>
      <c r="AU10" s="31">
        <v>11.4564142720155</v>
      </c>
      <c r="AV10" s="31">
        <v>0</v>
      </c>
      <c r="AW10" s="31">
        <v>0</v>
      </c>
      <c r="AX10" s="31">
        <v>11.4426192417727</v>
      </c>
      <c r="AY10" s="31">
        <v>0</v>
      </c>
      <c r="AZ10" s="31">
        <v>0</v>
      </c>
      <c r="BA10" s="31">
        <v>0</v>
      </c>
      <c r="BB10" s="31">
        <v>0</v>
      </c>
      <c r="BC10" s="31">
        <v>0</v>
      </c>
      <c r="BD10" s="31">
        <v>0</v>
      </c>
    </row>
    <row r="11" spans="1:56" ht="11.25" customHeight="1" x14ac:dyDescent="0.25">
      <c r="A11" s="149"/>
      <c r="B11" s="149"/>
      <c r="C11" s="149"/>
      <c r="D11" s="149"/>
      <c r="E11" s="149"/>
      <c r="F11" s="149"/>
      <c r="G11" s="57" t="s">
        <v>75</v>
      </c>
      <c r="H11" s="57" t="s">
        <v>74</v>
      </c>
      <c r="I11" s="57">
        <f>'MERCADO TUSD'!$U$8</f>
        <v>6338.8209999999999</v>
      </c>
      <c r="J11" s="15"/>
      <c r="L11" s="31">
        <f>('TUSD BE'!$L$11+'TUSD BF'!$L$11+'TUSD CVA'!$L$11)*1</f>
        <v>0</v>
      </c>
      <c r="M11" s="31">
        <f>('TUSD BE'!$M$11+'TUSD BF'!$M$11+'TUSD CVA'!$M$11)*1</f>
        <v>0.28773383055543306</v>
      </c>
      <c r="N11" s="31">
        <f ca="1">('TUSD BE'!$N$11+'TUSD BF'!$N$11+'TUSD CVA'!$N$11)*1</f>
        <v>17.116386386310218</v>
      </c>
      <c r="O11" s="31">
        <f>('TUSD BE'!$O$11+'TUSD BF'!$O$11+'TUSD CVA'!$O$11)*1</f>
        <v>0</v>
      </c>
      <c r="P11" s="31">
        <f>('TUSD BE'!$P$11+'TUSD BF'!$P$11+'TUSD CVA'!$P$11)*1</f>
        <v>0</v>
      </c>
      <c r="Q11" s="31">
        <f>('TUSD BE'!$Q$11+'TUSD BF'!$Q$11+'TUSD CVA'!$Q$11)*1</f>
        <v>90.238638173600648</v>
      </c>
      <c r="R11" s="31">
        <f>('TUSD BE'!$R$11+'TUSD BF'!$R$11+'TUSD CVA'!$R$11)*1</f>
        <v>17.134053264496636</v>
      </c>
      <c r="S11" s="31">
        <f>('TUSD BE'!$S$11+'TUSD BF'!$S$11+'TUSD CVA'!$S$11)*1</f>
        <v>0</v>
      </c>
      <c r="T11" s="31">
        <f>('TUSD BE'!$U$11+'TUSD BF'!$U$11+'TUSD CVA'!$U$11)*1</f>
        <v>0</v>
      </c>
      <c r="U11" s="31">
        <f>('TUSD BE'!$V$11+'TUSD BF'!$V$11+'TUSD CVA'!$V$11)*1</f>
        <v>0</v>
      </c>
      <c r="V11" s="31">
        <f>('TUSD BE'!$W$11+'TUSD BF'!$W$11+'TUSD CVA'!$W$11)*1</f>
        <v>0</v>
      </c>
      <c r="W11" s="31">
        <f>('TUSD BE'!$X$11+'TUSD BF'!$X$11+'TUSD CVA'!$X$11)*1</f>
        <v>0</v>
      </c>
      <c r="X11" s="31">
        <f>('TUSD BE'!$Y$11+'TUSD BF'!$Y$11+'TUSD CVA'!$Y$11)*1</f>
        <v>788.68627523261796</v>
      </c>
      <c r="Y11" s="31">
        <f>('TUSD BE'!$Z$11+'TUSD BF'!$Z$11+'TUSD CVA'!$Z$11)*1</f>
        <v>0</v>
      </c>
      <c r="Z11" s="31">
        <f>('TUSD BE'!$AA$11+'TUSD BF'!$AA$11+'TUSD CVA'!$AA$11)*1</f>
        <v>0</v>
      </c>
      <c r="AA11" s="31">
        <f>('TUSD BE'!$AC$11+'TUSD BF'!$AC$11+'TUSD CVA'!$AC$11)*1</f>
        <v>569.66910317154429</v>
      </c>
      <c r="AB11" s="31">
        <f ca="1">('TUSD BE'!$AE$11+'TUSD BF'!$AE$11+'TUSD CVA'!$AE$11)*1</f>
        <v>0</v>
      </c>
      <c r="AC11" s="31">
        <f ca="1">('TUSD BE'!$AF$11+'TUSD BF'!$AF$11+'TUSD CVA'!$AF$11)*1</f>
        <v>0</v>
      </c>
      <c r="AD11" s="31">
        <f>('TUSD BE'!$AH$11+'TUSD BF'!$AH$11+'TUSD CVA'!$AH$11)*1</f>
        <v>9.1873868143577795</v>
      </c>
      <c r="AE11" s="31">
        <f>('TUSD BE'!$AI$11+'TUSD BF'!$AI$11+'TUSD CVA'!$AI$11)*1</f>
        <v>0.19877577716434472</v>
      </c>
      <c r="AF11" s="31">
        <f ca="1">('TUSD BE'!$AJ$11+'TUSD BF'!$AJ$11+'TUSD CVA'!$AJ$11)*1</f>
        <v>0.22342221046464239</v>
      </c>
      <c r="AG11" s="31">
        <f ca="1">('TUSD BE'!$AK$11+'TUSD BF'!$AK$11+'TUSD CVA'!$AK$11)*1</f>
        <v>0.24409534832835572</v>
      </c>
      <c r="AI11" s="31">
        <v>0</v>
      </c>
      <c r="AJ11" s="31">
        <v>0.36117119386090102</v>
      </c>
      <c r="AK11" s="31">
        <v>15.902150337840601</v>
      </c>
      <c r="AL11" s="31">
        <v>0</v>
      </c>
      <c r="AM11" s="31">
        <v>0</v>
      </c>
      <c r="AN11" s="31">
        <v>50.831254290248502</v>
      </c>
      <c r="AO11" s="31">
        <v>9.9433429673758802</v>
      </c>
      <c r="AP11" s="31">
        <v>0</v>
      </c>
      <c r="AQ11" s="31">
        <v>0</v>
      </c>
      <c r="AR11" s="31">
        <v>0</v>
      </c>
      <c r="AS11" s="31">
        <v>0</v>
      </c>
      <c r="AT11" s="31">
        <v>0</v>
      </c>
      <c r="AU11" s="31">
        <v>684.56367706441995</v>
      </c>
      <c r="AV11" s="31">
        <v>0</v>
      </c>
      <c r="AW11" s="31">
        <v>0</v>
      </c>
      <c r="AX11" s="31">
        <v>745.71203796332395</v>
      </c>
      <c r="AY11" s="31">
        <v>0</v>
      </c>
      <c r="AZ11" s="31">
        <v>0</v>
      </c>
      <c r="BA11" s="31">
        <v>11.2488712999866</v>
      </c>
      <c r="BB11" s="31">
        <v>0</v>
      </c>
      <c r="BC11" s="31">
        <v>0.18081818928061699</v>
      </c>
      <c r="BD11" s="31">
        <v>0.22236434563239901</v>
      </c>
    </row>
    <row r="12" spans="1:56" ht="11.25" customHeight="1" x14ac:dyDescent="0.25">
      <c r="A12" s="149"/>
      <c r="B12" s="149"/>
      <c r="C12" s="149"/>
      <c r="D12" s="149"/>
      <c r="E12" s="149"/>
      <c r="F12" s="149"/>
      <c r="G12" s="57" t="s">
        <v>76</v>
      </c>
      <c r="H12" s="57" t="s">
        <v>74</v>
      </c>
      <c r="I12" s="57">
        <f>'MERCADO TUSD'!$U$9</f>
        <v>108386.66</v>
      </c>
      <c r="J12" s="15"/>
      <c r="L12" s="31">
        <f>('TUSD BE'!$L$12+'TUSD BF'!$L$12+'TUSD CVA'!$L$12)*1</f>
        <v>0</v>
      </c>
      <c r="M12" s="31">
        <f>('TUSD BE'!$M$12+'TUSD BF'!$M$12+'TUSD CVA'!$M$12)*1</f>
        <v>0.28773383055543306</v>
      </c>
      <c r="N12" s="31">
        <f ca="1">('TUSD BE'!$N$12+'TUSD BF'!$N$12+'TUSD CVA'!$N$12)*1</f>
        <v>0.31831496415620103</v>
      </c>
      <c r="O12" s="31">
        <f>('TUSD BE'!$O$12+'TUSD BF'!$O$12+'TUSD CVA'!$O$12)*1</f>
        <v>0</v>
      </c>
      <c r="P12" s="31">
        <f>('TUSD BE'!$P$12+'TUSD BF'!$P$12+'TUSD CVA'!$P$12)*1</f>
        <v>0</v>
      </c>
      <c r="Q12" s="31">
        <f>('TUSD BE'!$Q$12+'TUSD BF'!$Q$12+'TUSD CVA'!$Q$12)*1</f>
        <v>90.238638173600648</v>
      </c>
      <c r="R12" s="31">
        <f>('TUSD BE'!$R$12+'TUSD BF'!$R$12+'TUSD CVA'!$R$12)*1</f>
        <v>17.134053264496636</v>
      </c>
      <c r="S12" s="31">
        <f>('TUSD BE'!$S$12+'TUSD BF'!$S$12+'TUSD CVA'!$S$12)*1</f>
        <v>0</v>
      </c>
      <c r="T12" s="31">
        <f>('TUSD BE'!$U$12+'TUSD BF'!$U$12+'TUSD CVA'!$U$12)*1</f>
        <v>0</v>
      </c>
      <c r="U12" s="31">
        <f>('TUSD BE'!$V$12+'TUSD BF'!$V$12+'TUSD CVA'!$V$12)*1</f>
        <v>0</v>
      </c>
      <c r="V12" s="31">
        <f>('TUSD BE'!$W$12+'TUSD BF'!$W$12+'TUSD CVA'!$W$12)*1</f>
        <v>0</v>
      </c>
      <c r="W12" s="31">
        <f>('TUSD BE'!$X$12+'TUSD BF'!$X$12+'TUSD CVA'!$X$12)*1</f>
        <v>0</v>
      </c>
      <c r="X12" s="31">
        <f>('TUSD BE'!$Y$12+'TUSD BF'!$Y$12+'TUSD CVA'!$Y$12)*1</f>
        <v>0</v>
      </c>
      <c r="Y12" s="31">
        <f>('TUSD BE'!$Z$12+'TUSD BF'!$Z$12+'TUSD CVA'!$Z$12)*1</f>
        <v>0</v>
      </c>
      <c r="Z12" s="31">
        <f>('TUSD BE'!$AA$12+'TUSD BF'!$AA$12+'TUSD CVA'!$AA$12)*1</f>
        <v>0</v>
      </c>
      <c r="AA12" s="31">
        <f>('TUSD BE'!$AC$12+'TUSD BF'!$AC$12+'TUSD CVA'!$AC$12)*1</f>
        <v>0</v>
      </c>
      <c r="AB12" s="31">
        <f ca="1">('TUSD BE'!$AE$12+'TUSD BF'!$AE$12+'TUSD CVA'!$AE$12)*1</f>
        <v>0</v>
      </c>
      <c r="AC12" s="31">
        <f ca="1">('TUSD BE'!$AF$12+'TUSD BF'!$AF$12+'TUSD CVA'!$AF$12)*1</f>
        <v>0</v>
      </c>
      <c r="AD12" s="31">
        <f>('TUSD BE'!$AH$12+'TUSD BF'!$AH$12+'TUSD CVA'!$AH$12)*1</f>
        <v>9.1873868143577795</v>
      </c>
      <c r="AE12" s="31">
        <f>('TUSD BE'!$AI$12+'TUSD BF'!$AI$12+'TUSD CVA'!$AI$12)*1</f>
        <v>0.19877577716434472</v>
      </c>
      <c r="AF12" s="31">
        <f ca="1">('TUSD BE'!$AJ$12+'TUSD BF'!$AJ$12+'TUSD CVA'!$AJ$12)*1</f>
        <v>0.22342221046464239</v>
      </c>
      <c r="AG12" s="31">
        <f ca="1">('TUSD BE'!$AK$12+'TUSD BF'!$AK$12+'TUSD CVA'!$AK$12)*1</f>
        <v>0.24409534832835572</v>
      </c>
      <c r="AI12" s="31">
        <v>0</v>
      </c>
      <c r="AJ12" s="31">
        <v>0.36117119386090102</v>
      </c>
      <c r="AK12" s="31">
        <v>0.40410741545373702</v>
      </c>
      <c r="AL12" s="31">
        <v>0</v>
      </c>
      <c r="AM12" s="31">
        <v>0</v>
      </c>
      <c r="AN12" s="31">
        <v>50.831254290248502</v>
      </c>
      <c r="AO12" s="31">
        <v>9.9433429673758802</v>
      </c>
      <c r="AP12" s="31">
        <v>0</v>
      </c>
      <c r="AQ12" s="31">
        <v>0</v>
      </c>
      <c r="AR12" s="31">
        <v>0</v>
      </c>
      <c r="AS12" s="31">
        <v>0</v>
      </c>
      <c r="AT12" s="31">
        <v>0</v>
      </c>
      <c r="AU12" s="31">
        <v>0</v>
      </c>
      <c r="AV12" s="31">
        <v>0</v>
      </c>
      <c r="AW12" s="31">
        <v>0</v>
      </c>
      <c r="AX12" s="31">
        <v>0</v>
      </c>
      <c r="AY12" s="31">
        <v>0</v>
      </c>
      <c r="AZ12" s="31">
        <v>0</v>
      </c>
      <c r="BA12" s="31">
        <v>11.2488712999866</v>
      </c>
      <c r="BB12" s="31">
        <v>0</v>
      </c>
      <c r="BC12" s="31">
        <v>0.18081818928061699</v>
      </c>
      <c r="BD12" s="31">
        <v>0.22236434563239901</v>
      </c>
    </row>
    <row r="13" spans="1:56" ht="11.25" customHeight="1" x14ac:dyDescent="0.25">
      <c r="A13" s="149"/>
      <c r="B13" s="149"/>
      <c r="C13" s="149"/>
      <c r="D13" s="149"/>
      <c r="E13" s="149" t="s">
        <v>82</v>
      </c>
      <c r="F13" s="149" t="s">
        <v>25</v>
      </c>
      <c r="G13" s="57" t="s">
        <v>75</v>
      </c>
      <c r="H13" s="57" t="s">
        <v>74</v>
      </c>
      <c r="I13" s="57">
        <f>'MERCADO TUSD'!$U$10</f>
        <v>0</v>
      </c>
      <c r="J13" s="15"/>
      <c r="L13" s="31">
        <f>('TUSD BE'!$L$13+'TUSD BF'!$L$13+'TUSD CVA'!$L$13)*1</f>
        <v>0</v>
      </c>
      <c r="M13" s="31">
        <f>('TUSD BE'!$M$13+'TUSD BF'!$M$13+'TUSD CVA'!$M$13)*1</f>
        <v>0.28773383055543306</v>
      </c>
      <c r="N13" s="31">
        <f ca="1">('TUSD BE'!$N$13+'TUSD BF'!$N$13+'TUSD CVA'!$N$13)*1</f>
        <v>17.102928086254895</v>
      </c>
      <c r="O13" s="31">
        <f>('TUSD BE'!$O$13+'TUSD BF'!$O$13+'TUSD CVA'!$O$13)*1</f>
        <v>0</v>
      </c>
      <c r="P13" s="31">
        <f>('TUSD BE'!$P$13+'TUSD BF'!$P$13+'TUSD CVA'!$P$13)*1</f>
        <v>0</v>
      </c>
      <c r="Q13" s="31">
        <f>('TUSD BE'!$Q$13+'TUSD BF'!$Q$13+'TUSD CVA'!$Q$13)*1</f>
        <v>0</v>
      </c>
      <c r="R13" s="31">
        <f>('TUSD BE'!$R$13+'TUSD BF'!$R$13+'TUSD CVA'!$R$13)*1</f>
        <v>0</v>
      </c>
      <c r="S13" s="31">
        <f>('TUSD BE'!$S$13+'TUSD BF'!$S$13+'TUSD CVA'!$S$13)*1</f>
        <v>0</v>
      </c>
      <c r="T13" s="31">
        <f>('TUSD BE'!$U$13+'TUSD BF'!$U$13+'TUSD CVA'!$U$13)*1</f>
        <v>0</v>
      </c>
      <c r="U13" s="31">
        <f>('TUSD BE'!$V$13+'TUSD BF'!$V$13+'TUSD CVA'!$V$13)*1</f>
        <v>0</v>
      </c>
      <c r="V13" s="31">
        <f>('TUSD BE'!$W$13+'TUSD BF'!$W$13+'TUSD CVA'!$W$13)*1</f>
        <v>0</v>
      </c>
      <c r="W13" s="31">
        <f>('TUSD BE'!$X$13+'TUSD BF'!$X$13+'TUSD CVA'!$X$13)*1</f>
        <v>0</v>
      </c>
      <c r="X13" s="31">
        <f>('TUSD BE'!$Y$13+'TUSD BF'!$Y$13+'TUSD CVA'!$Y$13)*1</f>
        <v>788.68627523261796</v>
      </c>
      <c r="Y13" s="31">
        <f>('TUSD BE'!$Z$13+'TUSD BF'!$Z$13+'TUSD CVA'!$Z$13)*1</f>
        <v>0</v>
      </c>
      <c r="Z13" s="31">
        <f>('TUSD BE'!$AA$13+'TUSD BF'!$AA$13+'TUSD CVA'!$AA$13)*1</f>
        <v>0</v>
      </c>
      <c r="AA13" s="31">
        <f>('TUSD BE'!$AC$13+'TUSD BF'!$AC$13+'TUSD CVA'!$AC$13)*1</f>
        <v>569.66910317154429</v>
      </c>
      <c r="AB13" s="31">
        <f ca="1">('TUSD BE'!$AE$13+'TUSD BF'!$AE$13+'TUSD CVA'!$AE$13)*1</f>
        <v>0</v>
      </c>
      <c r="AC13" s="31">
        <f ca="1">('TUSD BE'!$AF$13+'TUSD BF'!$AF$13+'TUSD CVA'!$AF$13)*1</f>
        <v>0</v>
      </c>
      <c r="AD13" s="31">
        <f>('TUSD BE'!$AH$13+'TUSD BF'!$AH$13+'TUSD CVA'!$AH$13)*1</f>
        <v>9.1873868143577795</v>
      </c>
      <c r="AE13" s="31">
        <f>('TUSD BE'!$AI$13+'TUSD BF'!$AI$13+'TUSD CVA'!$AI$13)*1</f>
        <v>0.19877577716434472</v>
      </c>
      <c r="AF13" s="31">
        <f ca="1">('TUSD BE'!$AJ$13+'TUSD BF'!$AJ$13+'TUSD CVA'!$AJ$13)*1</f>
        <v>0.22342221046464239</v>
      </c>
      <c r="AG13" s="31">
        <f ca="1">('TUSD BE'!$AK$13+'TUSD BF'!$AK$13+'TUSD CVA'!$AK$13)*1</f>
        <v>0.24409534832835572</v>
      </c>
      <c r="AI13" s="31">
        <v>0</v>
      </c>
      <c r="AJ13" s="31">
        <v>0.36117119386090102</v>
      </c>
      <c r="AK13" s="31">
        <v>15.8882656573075</v>
      </c>
      <c r="AL13" s="31">
        <v>0</v>
      </c>
      <c r="AM13" s="31">
        <v>0</v>
      </c>
      <c r="AN13" s="31">
        <v>0</v>
      </c>
      <c r="AO13" s="31">
        <v>0</v>
      </c>
      <c r="AP13" s="31">
        <v>0</v>
      </c>
      <c r="AQ13" s="31">
        <v>0</v>
      </c>
      <c r="AR13" s="31">
        <v>0</v>
      </c>
      <c r="AS13" s="31">
        <v>0</v>
      </c>
      <c r="AT13" s="31">
        <v>0</v>
      </c>
      <c r="AU13" s="31">
        <v>684.56367706441995</v>
      </c>
      <c r="AV13" s="31">
        <v>0</v>
      </c>
      <c r="AW13" s="31">
        <v>0</v>
      </c>
      <c r="AX13" s="31">
        <v>745.71203796332395</v>
      </c>
      <c r="AY13" s="31">
        <v>0</v>
      </c>
      <c r="AZ13" s="31">
        <v>0</v>
      </c>
      <c r="BA13" s="31">
        <v>11.2488712999866</v>
      </c>
      <c r="BB13" s="31">
        <v>0</v>
      </c>
      <c r="BC13" s="31">
        <v>0.18081818928061699</v>
      </c>
      <c r="BD13" s="31">
        <v>0.22236434563239901</v>
      </c>
    </row>
    <row r="14" spans="1:56" ht="11.25" customHeight="1" x14ac:dyDescent="0.25">
      <c r="A14" s="149"/>
      <c r="B14" s="149"/>
      <c r="C14" s="149"/>
      <c r="D14" s="149"/>
      <c r="E14" s="149"/>
      <c r="F14" s="149"/>
      <c r="G14" s="57" t="s">
        <v>76</v>
      </c>
      <c r="H14" s="57" t="s">
        <v>74</v>
      </c>
      <c r="I14" s="57">
        <f>'MERCADO TUSD'!$U$11</f>
        <v>0</v>
      </c>
      <c r="J14" s="15"/>
      <c r="L14" s="31">
        <f>('TUSD BE'!$L$14+'TUSD BF'!$L$14+'TUSD CVA'!$L$14)*1</f>
        <v>0</v>
      </c>
      <c r="M14" s="31">
        <f>('TUSD BE'!$M$14+'TUSD BF'!$M$14+'TUSD CVA'!$M$14)*1</f>
        <v>0.28773383055543306</v>
      </c>
      <c r="N14" s="31">
        <f ca="1">('TUSD BE'!$N$14+'TUSD BF'!$N$14+'TUSD CVA'!$N$14)*1</f>
        <v>0.30485666410087625</v>
      </c>
      <c r="O14" s="31">
        <f>('TUSD BE'!$O$14+'TUSD BF'!$O$14+'TUSD CVA'!$O$14)*1</f>
        <v>0</v>
      </c>
      <c r="P14" s="31">
        <f>('TUSD BE'!$P$14+'TUSD BF'!$P$14+'TUSD CVA'!$P$14)*1</f>
        <v>0</v>
      </c>
      <c r="Q14" s="31">
        <f>('TUSD BE'!$Q$14+'TUSD BF'!$Q$14+'TUSD CVA'!$Q$14)*1</f>
        <v>0</v>
      </c>
      <c r="R14" s="31">
        <f>('TUSD BE'!$R$14+'TUSD BF'!$R$14+'TUSD CVA'!$R$14)*1</f>
        <v>0</v>
      </c>
      <c r="S14" s="31">
        <f>('TUSD BE'!$S$14+'TUSD BF'!$S$14+'TUSD CVA'!$S$14)*1</f>
        <v>0</v>
      </c>
      <c r="T14" s="31">
        <f>('TUSD BE'!$U$14+'TUSD BF'!$U$14+'TUSD CVA'!$U$14)*1</f>
        <v>0</v>
      </c>
      <c r="U14" s="31">
        <f>('TUSD BE'!$V$14+'TUSD BF'!$V$14+'TUSD CVA'!$V$14)*1</f>
        <v>0</v>
      </c>
      <c r="V14" s="31">
        <f>('TUSD BE'!$W$14+'TUSD BF'!$W$14+'TUSD CVA'!$W$14)*1</f>
        <v>0</v>
      </c>
      <c r="W14" s="31">
        <f>('TUSD BE'!$X$14+'TUSD BF'!$X$14+'TUSD CVA'!$X$14)*1</f>
        <v>0</v>
      </c>
      <c r="X14" s="31">
        <f>('TUSD BE'!$Y$14+'TUSD BF'!$Y$14+'TUSD CVA'!$Y$14)*1</f>
        <v>0</v>
      </c>
      <c r="Y14" s="31">
        <f>('TUSD BE'!$Z$14+'TUSD BF'!$Z$14+'TUSD CVA'!$Z$14)*1</f>
        <v>0</v>
      </c>
      <c r="Z14" s="31">
        <f>('TUSD BE'!$AA$14+'TUSD BF'!$AA$14+'TUSD CVA'!$AA$14)*1</f>
        <v>0</v>
      </c>
      <c r="AA14" s="31">
        <f>('TUSD BE'!$AC$14+'TUSD BF'!$AC$14+'TUSD CVA'!$AC$14)*1</f>
        <v>0</v>
      </c>
      <c r="AB14" s="31">
        <f ca="1">('TUSD BE'!$AE$14+'TUSD BF'!$AE$14+'TUSD CVA'!$AE$14)*1</f>
        <v>0</v>
      </c>
      <c r="AC14" s="31">
        <f ca="1">('TUSD BE'!$AF$14+'TUSD BF'!$AF$14+'TUSD CVA'!$AF$14)*1</f>
        <v>0</v>
      </c>
      <c r="AD14" s="31">
        <f>('TUSD BE'!$AH$14+'TUSD BF'!$AH$14+'TUSD CVA'!$AH$14)*1</f>
        <v>9.1873868143577795</v>
      </c>
      <c r="AE14" s="31">
        <f>('TUSD BE'!$AI$14+'TUSD BF'!$AI$14+'TUSD CVA'!$AI$14)*1</f>
        <v>0.19877577716434472</v>
      </c>
      <c r="AF14" s="31">
        <f ca="1">('TUSD BE'!$AJ$14+'TUSD BF'!$AJ$14+'TUSD CVA'!$AJ$14)*1</f>
        <v>0.22342221046464239</v>
      </c>
      <c r="AG14" s="31">
        <f ca="1">('TUSD BE'!$AK$14+'TUSD BF'!$AK$14+'TUSD CVA'!$AK$14)*1</f>
        <v>0.24409534832835572</v>
      </c>
      <c r="AI14" s="31">
        <v>0</v>
      </c>
      <c r="AJ14" s="31">
        <v>0.36117119386090102</v>
      </c>
      <c r="AK14" s="31">
        <v>0.39022273492065701</v>
      </c>
      <c r="AL14" s="31">
        <v>0</v>
      </c>
      <c r="AM14" s="31">
        <v>0</v>
      </c>
      <c r="AN14" s="31">
        <v>0</v>
      </c>
      <c r="AO14" s="31">
        <v>0</v>
      </c>
      <c r="AP14" s="31">
        <v>0</v>
      </c>
      <c r="AQ14" s="31">
        <v>0</v>
      </c>
      <c r="AR14" s="31">
        <v>0</v>
      </c>
      <c r="AS14" s="31">
        <v>0</v>
      </c>
      <c r="AT14" s="31">
        <v>0</v>
      </c>
      <c r="AU14" s="31">
        <v>0</v>
      </c>
      <c r="AV14" s="31">
        <v>0</v>
      </c>
      <c r="AW14" s="31">
        <v>0</v>
      </c>
      <c r="AX14" s="31">
        <v>0</v>
      </c>
      <c r="AY14" s="31">
        <v>0</v>
      </c>
      <c r="AZ14" s="31">
        <v>0</v>
      </c>
      <c r="BA14" s="31">
        <v>11.2488712999866</v>
      </c>
      <c r="BB14" s="31">
        <v>0</v>
      </c>
      <c r="BC14" s="31">
        <v>0.18081818928061699</v>
      </c>
      <c r="BD14" s="31">
        <v>0.22236434563239901</v>
      </c>
    </row>
    <row r="15" spans="1:56" ht="11.25" customHeight="1" x14ac:dyDescent="0.25">
      <c r="A15" s="149" t="s">
        <v>84</v>
      </c>
      <c r="B15" s="149" t="s">
        <v>83</v>
      </c>
      <c r="C15" s="149" t="s">
        <v>25</v>
      </c>
      <c r="D15" s="149" t="s">
        <v>25</v>
      </c>
      <c r="E15" s="56" t="s">
        <v>85</v>
      </c>
      <c r="F15" s="56" t="s">
        <v>25</v>
      </c>
      <c r="G15" s="57" t="s">
        <v>9</v>
      </c>
      <c r="H15" s="57" t="s">
        <v>79</v>
      </c>
      <c r="I15" s="57">
        <f>'MERCADO TUSD'!$U$12+0.00000001</f>
        <v>1E-8</v>
      </c>
      <c r="J15" s="15"/>
      <c r="L15" s="31">
        <f>('TUSD BE'!$L$15+'TUSD BF'!$L$15+'TUSD CVA'!$L$15)*1</f>
        <v>0</v>
      </c>
      <c r="M15" s="31">
        <f>('TUSD BE'!$M$15+'TUSD BF'!$M$15+'TUSD CVA'!$M$15)*1</f>
        <v>3.522204324238281E-2</v>
      </c>
      <c r="N15" s="31">
        <f ca="1">('TUSD BE'!$N$15+'TUSD BF'!$N$15+'TUSD CVA'!$N$15)*1</f>
        <v>0.12004803649349706</v>
      </c>
      <c r="O15" s="31">
        <f>('TUSD BE'!$O$15+'TUSD BF'!$O$15+'TUSD CVA'!$O$15)*1</f>
        <v>0</v>
      </c>
      <c r="P15" s="31">
        <f>('TUSD BE'!$P$15+'TUSD BF'!$P$15+'TUSD CVA'!$P$15)*1</f>
        <v>0</v>
      </c>
      <c r="Q15" s="31">
        <f>('TUSD BE'!$Q$15+'TUSD BF'!$Q$15+'TUSD CVA'!$Q$15)*1</f>
        <v>0</v>
      </c>
      <c r="R15" s="31">
        <f>('TUSD BE'!$R$15+'TUSD BF'!$R$15+'TUSD CVA'!$R$15)*1</f>
        <v>0</v>
      </c>
      <c r="S15" s="31">
        <f>('TUSD BE'!$S$15+'TUSD BF'!$S$15+'TUSD CVA'!$S$15)*1</f>
        <v>0</v>
      </c>
      <c r="T15" s="31">
        <f>('TUSD BE'!$U$15+'TUSD BF'!$U$15+'TUSD CVA'!$U$15)*1</f>
        <v>0</v>
      </c>
      <c r="U15" s="31">
        <f>('TUSD BE'!$V$15+'TUSD BF'!$V$15+'TUSD CVA'!$V$15)*1</f>
        <v>0</v>
      </c>
      <c r="V15" s="31">
        <f>('TUSD BE'!$W$15+'TUSD BF'!$W$15+'TUSD CVA'!$W$15)*1</f>
        <v>0</v>
      </c>
      <c r="W15" s="31">
        <f>('TUSD BE'!$X$15+'TUSD BF'!$X$15+'TUSD CVA'!$X$15)*1</f>
        <v>0</v>
      </c>
      <c r="X15" s="31">
        <f>('TUSD BE'!$Y$15+'TUSD BF'!$Y$15+'TUSD CVA'!$Y$15)*1</f>
        <v>0</v>
      </c>
      <c r="Y15" s="31">
        <f>('TUSD BE'!$Z$15+'TUSD BF'!$Z$15+'TUSD CVA'!$Z$15)*1</f>
        <v>0</v>
      </c>
      <c r="Z15" s="31">
        <f>('TUSD BE'!$AA$15+'TUSD BF'!$AA$15+'TUSD CVA'!$AA$15)*1</f>
        <v>0</v>
      </c>
      <c r="AA15" s="31">
        <f>('TUSD BE'!$AC$15+'TUSD BF'!$AC$15+'TUSD CVA'!$AC$15)*1</f>
        <v>9.0508323804178517</v>
      </c>
      <c r="AB15" s="31">
        <f ca="1">('TUSD BE'!$AE$15+'TUSD BF'!$AE$15+'TUSD CVA'!$AE$15)*1</f>
        <v>0</v>
      </c>
      <c r="AC15" s="31">
        <f ca="1">('TUSD BE'!$AF$15+'TUSD BF'!$AF$15+'TUSD CVA'!$AF$15)*1</f>
        <v>0</v>
      </c>
      <c r="AD15" s="31">
        <f>('TUSD BE'!$AH$15+'TUSD BF'!$AH$15+'TUSD CVA'!$AH$15)*1</f>
        <v>0</v>
      </c>
      <c r="AE15" s="31">
        <f>('TUSD BE'!$AI$15+'TUSD BF'!$AI$15+'TUSD CVA'!$AI$15)*1</f>
        <v>0</v>
      </c>
      <c r="AF15" s="31">
        <f ca="1">('TUSD BE'!$AJ$15+'TUSD BF'!$AJ$15+'TUSD CVA'!$AJ$15)*1</f>
        <v>0</v>
      </c>
      <c r="AG15" s="31">
        <f ca="1">('TUSD BE'!$AK$15+'TUSD BF'!$AK$15+'TUSD CVA'!$AK$15)*1</f>
        <v>0</v>
      </c>
      <c r="AI15" s="31">
        <v>0</v>
      </c>
      <c r="AJ15" s="31">
        <v>2.2009016826146699E-2</v>
      </c>
      <c r="AK15" s="31">
        <v>7.9142679038558206E-2</v>
      </c>
      <c r="AL15" s="31">
        <v>0</v>
      </c>
      <c r="AM15" s="31">
        <v>0</v>
      </c>
      <c r="AN15" s="31">
        <v>0</v>
      </c>
      <c r="AO15" s="31">
        <v>0</v>
      </c>
      <c r="AP15" s="31">
        <v>0</v>
      </c>
      <c r="AQ15" s="31">
        <v>0</v>
      </c>
      <c r="AR15" s="31">
        <v>0</v>
      </c>
      <c r="AS15" s="31">
        <v>0</v>
      </c>
      <c r="AT15" s="31">
        <v>0</v>
      </c>
      <c r="AU15" s="31">
        <v>0</v>
      </c>
      <c r="AV15" s="31">
        <v>0</v>
      </c>
      <c r="AW15" s="31">
        <v>0</v>
      </c>
      <c r="AX15" s="31">
        <v>6.3101968121493499</v>
      </c>
      <c r="AY15" s="31">
        <v>0</v>
      </c>
      <c r="AZ15" s="31">
        <v>0</v>
      </c>
      <c r="BA15" s="31">
        <v>0</v>
      </c>
      <c r="BB15" s="31">
        <v>0</v>
      </c>
      <c r="BC15" s="31">
        <v>0</v>
      </c>
      <c r="BD15" s="31">
        <v>0</v>
      </c>
    </row>
    <row r="16" spans="1:56" ht="11.25" customHeight="1" x14ac:dyDescent="0.25">
      <c r="A16" s="149"/>
      <c r="B16" s="149"/>
      <c r="C16" s="149"/>
      <c r="D16" s="149"/>
      <c r="E16" s="56" t="s">
        <v>86</v>
      </c>
      <c r="F16" s="56" t="s">
        <v>25</v>
      </c>
      <c r="G16" s="57" t="s">
        <v>9</v>
      </c>
      <c r="H16" s="57" t="s">
        <v>79</v>
      </c>
      <c r="I16" s="57">
        <f>'MERCADO TUSD'!$U$13+0.00000001</f>
        <v>1E-8</v>
      </c>
      <c r="J16" s="15"/>
      <c r="L16" s="31">
        <f>('TUSD BE'!$L$16+'TUSD BF'!$L$16+'TUSD CVA'!$L$16)*1</f>
        <v>0</v>
      </c>
      <c r="M16" s="31">
        <f>('TUSD BE'!$M$16+'TUSD BF'!$M$16+'TUSD CVA'!$M$16)*1</f>
        <v>3.522204324238281E-2</v>
      </c>
      <c r="N16" s="31">
        <f ca="1">('TUSD BE'!$N$16+'TUSD BF'!$N$16+'TUSD CVA'!$N$16)*1</f>
        <v>0.12004803649349706</v>
      </c>
      <c r="O16" s="31">
        <f>('TUSD BE'!$O$16+'TUSD BF'!$O$16+'TUSD CVA'!$O$16)*1</f>
        <v>0</v>
      </c>
      <c r="P16" s="31">
        <f>('TUSD BE'!$P$16+'TUSD BF'!$P$16+'TUSD CVA'!$P$16)*1</f>
        <v>0</v>
      </c>
      <c r="Q16" s="31">
        <f>('TUSD BE'!$Q$16+'TUSD BF'!$Q$16+'TUSD CVA'!$Q$16)*1</f>
        <v>0</v>
      </c>
      <c r="R16" s="31">
        <f>('TUSD BE'!$R$16+'TUSD BF'!$R$16+'TUSD CVA'!$R$16)*1</f>
        <v>0</v>
      </c>
      <c r="S16" s="31">
        <f>('TUSD BE'!$S$16+'TUSD BF'!$S$16+'TUSD CVA'!$S$16)*1</f>
        <v>0</v>
      </c>
      <c r="T16" s="31">
        <f>('TUSD BE'!$U$16+'TUSD BF'!$U$16+'TUSD CVA'!$U$16)*1</f>
        <v>0</v>
      </c>
      <c r="U16" s="31">
        <f>('TUSD BE'!$V$16+'TUSD BF'!$V$16+'TUSD CVA'!$V$16)*1</f>
        <v>0</v>
      </c>
      <c r="V16" s="31">
        <f>('TUSD BE'!$W$16+'TUSD BF'!$W$16+'TUSD CVA'!$W$16)*1</f>
        <v>0</v>
      </c>
      <c r="W16" s="31">
        <f>('TUSD BE'!$X$16+'TUSD BF'!$X$16+'TUSD CVA'!$X$16)*1</f>
        <v>0</v>
      </c>
      <c r="X16" s="31">
        <f>('TUSD BE'!$Y$16+'TUSD BF'!$Y$16+'TUSD CVA'!$Y$16)*1</f>
        <v>0</v>
      </c>
      <c r="Y16" s="31">
        <f>('TUSD BE'!$Z$16+'TUSD BF'!$Z$16+'TUSD CVA'!$Z$16)*1</f>
        <v>0</v>
      </c>
      <c r="Z16" s="31">
        <f>('TUSD BE'!$AA$16+'TUSD BF'!$AA$16+'TUSD CVA'!$AA$16)*1</f>
        <v>0</v>
      </c>
      <c r="AA16" s="31">
        <f>('TUSD BE'!$AC$16+'TUSD BF'!$AC$16+'TUSD CVA'!$AC$16)*1</f>
        <v>14.419756114539581</v>
      </c>
      <c r="AB16" s="31">
        <f ca="1">('TUSD BE'!$AE$16+'TUSD BF'!$AE$16+'TUSD CVA'!$AE$16)*1</f>
        <v>0</v>
      </c>
      <c r="AC16" s="31">
        <f ca="1">('TUSD BE'!$AF$16+'TUSD BF'!$AF$16+'TUSD CVA'!$AF$16)*1</f>
        <v>0</v>
      </c>
      <c r="AD16" s="31">
        <f>('TUSD BE'!$AH$16+'TUSD BF'!$AH$16+'TUSD CVA'!$AH$16)*1</f>
        <v>0</v>
      </c>
      <c r="AE16" s="31">
        <f>('TUSD BE'!$AI$16+'TUSD BF'!$AI$16+'TUSD CVA'!$AI$16)*1</f>
        <v>0</v>
      </c>
      <c r="AF16" s="31">
        <f ca="1">('TUSD BE'!$AJ$16+'TUSD BF'!$AJ$16+'TUSD CVA'!$AJ$16)*1</f>
        <v>0</v>
      </c>
      <c r="AG16" s="31">
        <f ca="1">('TUSD BE'!$AK$16+'TUSD BF'!$AK$16+'TUSD CVA'!$AK$16)*1</f>
        <v>0</v>
      </c>
      <c r="AI16" s="31">
        <v>0</v>
      </c>
      <c r="AJ16" s="31">
        <v>2.2009016826146699E-2</v>
      </c>
      <c r="AK16" s="31">
        <v>7.9142679038558206E-2</v>
      </c>
      <c r="AL16" s="31">
        <v>0</v>
      </c>
      <c r="AM16" s="31">
        <v>0</v>
      </c>
      <c r="AN16" s="31">
        <v>0</v>
      </c>
      <c r="AO16" s="31">
        <v>0</v>
      </c>
      <c r="AP16" s="31">
        <v>0</v>
      </c>
      <c r="AQ16" s="31">
        <v>0</v>
      </c>
      <c r="AR16" s="31">
        <v>0</v>
      </c>
      <c r="AS16" s="31">
        <v>0</v>
      </c>
      <c r="AT16" s="31">
        <v>0</v>
      </c>
      <c r="AU16" s="31">
        <v>0</v>
      </c>
      <c r="AV16" s="31">
        <v>0</v>
      </c>
      <c r="AW16" s="31">
        <v>0</v>
      </c>
      <c r="AX16" s="31">
        <v>10.628220901149801</v>
      </c>
      <c r="AY16" s="31">
        <v>0</v>
      </c>
      <c r="AZ16" s="31">
        <v>0</v>
      </c>
      <c r="BA16" s="31">
        <v>0</v>
      </c>
      <c r="BB16" s="31">
        <v>0</v>
      </c>
      <c r="BC16" s="31">
        <v>0</v>
      </c>
      <c r="BD16" s="31">
        <v>0</v>
      </c>
    </row>
    <row r="17" spans="1:56" ht="11.25" customHeight="1" x14ac:dyDescent="0.25">
      <c r="A17" s="149" t="s">
        <v>22</v>
      </c>
      <c r="B17" s="149" t="s">
        <v>50</v>
      </c>
      <c r="C17" s="149" t="s">
        <v>24</v>
      </c>
      <c r="D17" s="149" t="s">
        <v>24</v>
      </c>
      <c r="E17" s="149" t="s">
        <v>25</v>
      </c>
      <c r="F17" s="149" t="s">
        <v>25</v>
      </c>
      <c r="G17" s="57" t="s">
        <v>75</v>
      </c>
      <c r="H17" s="57" t="s">
        <v>74</v>
      </c>
      <c r="I17" s="57">
        <f>'MERCADO TUSD'!$U$14</f>
        <v>0</v>
      </c>
      <c r="J17" s="15"/>
      <c r="L17" s="31">
        <f>('TUSD BE'!$L$17+'TUSD BF'!$L$17+'TUSD CVA'!$L$17)*1</f>
        <v>0</v>
      </c>
      <c r="M17" s="31">
        <f>('TUSD BE'!$M$17+'TUSD BF'!$M$17+'TUSD CVA'!$M$17)*1</f>
        <v>0.7643635808027277</v>
      </c>
      <c r="N17" s="31">
        <f ca="1">('TUSD BE'!$N$17+'TUSD BF'!$N$17+'TUSD CVA'!$N$17)*1</f>
        <v>10.291006397441985</v>
      </c>
      <c r="O17" s="31">
        <f>('TUSD BE'!$O$17+'TUSD BF'!$O$17+'TUSD CVA'!$O$17)*1</f>
        <v>0</v>
      </c>
      <c r="P17" s="31">
        <f>('TUSD BE'!$P$17+'TUSD BF'!$P$17+'TUSD CVA'!$P$17)*1</f>
        <v>0</v>
      </c>
      <c r="Q17" s="31">
        <f>('TUSD BE'!$Q$17+'TUSD BF'!$Q$17+'TUSD CVA'!$Q$17)*1</f>
        <v>107.42695020666744</v>
      </c>
      <c r="R17" s="31">
        <f>('TUSD BE'!$R$17+'TUSD BF'!$R$17+'TUSD CVA'!$R$17)*1</f>
        <v>17.134053264496636</v>
      </c>
      <c r="S17" s="31">
        <f>('TUSD BE'!$S$17+'TUSD BF'!$S$17+'TUSD CVA'!$S$17)*1</f>
        <v>0</v>
      </c>
      <c r="T17" s="31">
        <f>('TUSD BE'!$U$17+'TUSD BF'!$U$17+'TUSD CVA'!$U$17)*1</f>
        <v>0</v>
      </c>
      <c r="U17" s="31">
        <f>('TUSD BE'!$V$17+'TUSD BF'!$V$17+'TUSD CVA'!$V$17)*1</f>
        <v>0</v>
      </c>
      <c r="V17" s="31">
        <f>('TUSD BE'!$W$17+'TUSD BF'!$W$17+'TUSD CVA'!$W$17)*1</f>
        <v>0</v>
      </c>
      <c r="W17" s="31">
        <f>('TUSD BE'!$X$17+'TUSD BF'!$X$17+'TUSD CVA'!$X$17)*1</f>
        <v>0</v>
      </c>
      <c r="X17" s="31">
        <f>('TUSD BE'!$Y$17+'TUSD BF'!$Y$17+'TUSD CVA'!$Y$17)*1</f>
        <v>293.93323057168789</v>
      </c>
      <c r="Y17" s="31">
        <f>('TUSD BE'!$Z$17+'TUSD BF'!$Z$17+'TUSD CVA'!$Z$17)*1</f>
        <v>0</v>
      </c>
      <c r="Z17" s="31">
        <f>('TUSD BE'!$AA$17+'TUSD BF'!$AA$17+'TUSD CVA'!$AA$17)*1</f>
        <v>0</v>
      </c>
      <c r="AA17" s="31">
        <f>('TUSD BE'!$AC$17+'TUSD BF'!$AC$17+'TUSD CVA'!$AC$17)*1</f>
        <v>468.39766589623684</v>
      </c>
      <c r="AB17" s="31">
        <f ca="1">('TUSD BE'!$AE$17+'TUSD BF'!$AE$17+'TUSD CVA'!$AE$17)*1</f>
        <v>0</v>
      </c>
      <c r="AC17" s="31">
        <f ca="1">('TUSD BE'!$AF$17+'TUSD BF'!$AF$17+'TUSD CVA'!$AF$17)*1</f>
        <v>0</v>
      </c>
      <c r="AD17" s="31">
        <f>('TUSD BE'!$AH$17+'TUSD BF'!$AH$17+'TUSD CVA'!$AH$17)*1</f>
        <v>19.611783438307114</v>
      </c>
      <c r="AE17" s="31">
        <f>('TUSD BE'!$AI$17+'TUSD BF'!$AI$17+'TUSD CVA'!$AI$17)*1</f>
        <v>0.42431515873872833</v>
      </c>
      <c r="AF17" s="31">
        <f ca="1">('TUSD BE'!$AJ$17+'TUSD BF'!$AJ$17+'TUSD CVA'!$AJ$17)*1</f>
        <v>0.33980186671674456</v>
      </c>
      <c r="AG17" s="31">
        <f ca="1">('TUSD BE'!$AK$17+'TUSD BF'!$AK$17+'TUSD CVA'!$AK$17)*1</f>
        <v>0.37124355204593923</v>
      </c>
      <c r="AI17" s="31">
        <v>0</v>
      </c>
      <c r="AJ17" s="31">
        <v>0.64619418780064997</v>
      </c>
      <c r="AK17" s="31">
        <v>7.5093627583419797</v>
      </c>
      <c r="AL17" s="31">
        <v>0</v>
      </c>
      <c r="AM17" s="31">
        <v>0</v>
      </c>
      <c r="AN17" s="31">
        <v>58.426729069251103</v>
      </c>
      <c r="AO17" s="31">
        <v>9.9433429673758802</v>
      </c>
      <c r="AP17" s="31">
        <v>0</v>
      </c>
      <c r="AQ17" s="31">
        <v>0</v>
      </c>
      <c r="AR17" s="31">
        <v>0</v>
      </c>
      <c r="AS17" s="31">
        <v>0</v>
      </c>
      <c r="AT17" s="31">
        <v>0</v>
      </c>
      <c r="AU17" s="31">
        <v>247.18506128478899</v>
      </c>
      <c r="AV17" s="31">
        <v>0</v>
      </c>
      <c r="AW17" s="31">
        <v>0</v>
      </c>
      <c r="AX17" s="31">
        <v>356.36589852483399</v>
      </c>
      <c r="AY17" s="31">
        <v>0</v>
      </c>
      <c r="AZ17" s="31">
        <v>0</v>
      </c>
      <c r="BA17" s="31">
        <v>24.012351318409898</v>
      </c>
      <c r="BB17" s="31">
        <v>0</v>
      </c>
      <c r="BC17" s="31">
        <v>0.25321782839743501</v>
      </c>
      <c r="BD17" s="31">
        <v>0.31139907405371198</v>
      </c>
    </row>
    <row r="18" spans="1:56" ht="11.25" customHeight="1" x14ac:dyDescent="0.25">
      <c r="A18" s="149"/>
      <c r="B18" s="149"/>
      <c r="C18" s="149"/>
      <c r="D18" s="149"/>
      <c r="E18" s="149"/>
      <c r="F18" s="149"/>
      <c r="G18" s="57" t="s">
        <v>87</v>
      </c>
      <c r="H18" s="57" t="s">
        <v>74</v>
      </c>
      <c r="I18" s="57">
        <f>'MERCADO TUSD'!$U$15</f>
        <v>0</v>
      </c>
      <c r="J18" s="15"/>
      <c r="L18" s="31">
        <f>('TUSD BE'!$L$18+'TUSD BF'!$L$18+'TUSD CVA'!$L$18)*1</f>
        <v>0</v>
      </c>
      <c r="M18" s="31">
        <f>('TUSD BE'!$M$18+'TUSD BF'!$M$18+'TUSD CVA'!$M$18)*1</f>
        <v>0.7643635808027277</v>
      </c>
      <c r="N18" s="31">
        <f ca="1">('TUSD BE'!$N$18+'TUSD BF'!$N$18+'TUSD CVA'!$N$18)*1</f>
        <v>6.433653035425059</v>
      </c>
      <c r="O18" s="31">
        <f>('TUSD BE'!$O$18+'TUSD BF'!$O$18+'TUSD CVA'!$O$18)*1</f>
        <v>0</v>
      </c>
      <c r="P18" s="31">
        <f>('TUSD BE'!$P$18+'TUSD BF'!$P$18+'TUSD CVA'!$P$18)*1</f>
        <v>0</v>
      </c>
      <c r="Q18" s="31">
        <f>('TUSD BE'!$Q$18+'TUSD BF'!$Q$18+'TUSD CVA'!$Q$18)*1</f>
        <v>107.42695020666744</v>
      </c>
      <c r="R18" s="31">
        <f>('TUSD BE'!$R$18+'TUSD BF'!$R$18+'TUSD CVA'!$R$18)*1</f>
        <v>17.134053264496636</v>
      </c>
      <c r="S18" s="31">
        <f>('TUSD BE'!$S$18+'TUSD BF'!$S$18+'TUSD CVA'!$S$18)*1</f>
        <v>0</v>
      </c>
      <c r="T18" s="31">
        <f>('TUSD BE'!$U$18+'TUSD BF'!$U$18+'TUSD CVA'!$U$18)*1</f>
        <v>0</v>
      </c>
      <c r="U18" s="31">
        <f>('TUSD BE'!$V$18+'TUSD BF'!$V$18+'TUSD CVA'!$V$18)*1</f>
        <v>0</v>
      </c>
      <c r="V18" s="31">
        <f>('TUSD BE'!$W$18+'TUSD BF'!$W$18+'TUSD CVA'!$W$18)*1</f>
        <v>0</v>
      </c>
      <c r="W18" s="31">
        <f>('TUSD BE'!$X$18+'TUSD BF'!$X$18+'TUSD CVA'!$X$18)*1</f>
        <v>0</v>
      </c>
      <c r="X18" s="31">
        <f>('TUSD BE'!$Y$18+'TUSD BF'!$Y$18+'TUSD CVA'!$Y$18)*1</f>
        <v>176.35993834301274</v>
      </c>
      <c r="Y18" s="31">
        <f>('TUSD BE'!$Z$18+'TUSD BF'!$Z$18+'TUSD CVA'!$Z$18)*1</f>
        <v>0</v>
      </c>
      <c r="Z18" s="31">
        <f>('TUSD BE'!$AA$18+'TUSD BF'!$AA$18+'TUSD CVA'!$AA$18)*1</f>
        <v>0</v>
      </c>
      <c r="AA18" s="31">
        <f>('TUSD BE'!$AC$18+'TUSD BF'!$AC$18+'TUSD CVA'!$AC$18)*1</f>
        <v>281.03864028935971</v>
      </c>
      <c r="AB18" s="31">
        <f ca="1">('TUSD BE'!$AE$18+'TUSD BF'!$AE$18+'TUSD CVA'!$AE$18)*1</f>
        <v>0</v>
      </c>
      <c r="AC18" s="31">
        <f ca="1">('TUSD BE'!$AF$18+'TUSD BF'!$AF$18+'TUSD CVA'!$AF$18)*1</f>
        <v>0</v>
      </c>
      <c r="AD18" s="31">
        <f>('TUSD BE'!$AH$18+'TUSD BF'!$AH$18+'TUSD CVA'!$AH$18)*1</f>
        <v>19.611783438307114</v>
      </c>
      <c r="AE18" s="31">
        <f>('TUSD BE'!$AI$18+'TUSD BF'!$AI$18+'TUSD CVA'!$AI$18)*1</f>
        <v>0.42431515873872833</v>
      </c>
      <c r="AF18" s="31">
        <f ca="1">('TUSD BE'!$AJ$18+'TUSD BF'!$AJ$18+'TUSD CVA'!$AJ$18)*1</f>
        <v>0.33980186671674456</v>
      </c>
      <c r="AG18" s="31">
        <f ca="1">('TUSD BE'!$AK$18+'TUSD BF'!$AK$18+'TUSD CVA'!$AK$18)*1</f>
        <v>0.37124355204593923</v>
      </c>
      <c r="AI18" s="31">
        <v>0</v>
      </c>
      <c r="AJ18" s="31">
        <v>0.64619418780064997</v>
      </c>
      <c r="AK18" s="31">
        <v>4.83600081463047</v>
      </c>
      <c r="AL18" s="31">
        <v>0</v>
      </c>
      <c r="AM18" s="31">
        <v>0</v>
      </c>
      <c r="AN18" s="31">
        <v>58.426729069251103</v>
      </c>
      <c r="AO18" s="31">
        <v>9.9433429673758802</v>
      </c>
      <c r="AP18" s="31">
        <v>0</v>
      </c>
      <c r="AQ18" s="31">
        <v>0</v>
      </c>
      <c r="AR18" s="31">
        <v>0</v>
      </c>
      <c r="AS18" s="31">
        <v>0</v>
      </c>
      <c r="AT18" s="31">
        <v>0</v>
      </c>
      <c r="AU18" s="31">
        <v>148.311098201015</v>
      </c>
      <c r="AV18" s="31">
        <v>0</v>
      </c>
      <c r="AW18" s="31">
        <v>0</v>
      </c>
      <c r="AX18" s="31">
        <v>213.819494624415</v>
      </c>
      <c r="AY18" s="31">
        <v>0</v>
      </c>
      <c r="AZ18" s="31">
        <v>0</v>
      </c>
      <c r="BA18" s="31">
        <v>24.012351318409898</v>
      </c>
      <c r="BB18" s="31">
        <v>0</v>
      </c>
      <c r="BC18" s="31">
        <v>0.25321782839743501</v>
      </c>
      <c r="BD18" s="31">
        <v>0.31139907405371198</v>
      </c>
    </row>
    <row r="19" spans="1:56" ht="11.25" customHeight="1" x14ac:dyDescent="0.25">
      <c r="A19" s="149"/>
      <c r="B19" s="149"/>
      <c r="C19" s="149"/>
      <c r="D19" s="149"/>
      <c r="E19" s="149"/>
      <c r="F19" s="149"/>
      <c r="G19" s="57" t="s">
        <v>76</v>
      </c>
      <c r="H19" s="57" t="s">
        <v>74</v>
      </c>
      <c r="I19" s="57">
        <f>'MERCADO TUSD'!$U$16</f>
        <v>0</v>
      </c>
      <c r="J19" s="15"/>
      <c r="L19" s="31">
        <f>('TUSD BE'!$L$19+'TUSD BF'!$L$19+'TUSD CVA'!$L$19)*1</f>
        <v>0</v>
      </c>
      <c r="M19" s="31">
        <f>('TUSD BE'!$M$19+'TUSD BF'!$M$19+'TUSD CVA'!$M$19)*1</f>
        <v>0.7643635808027277</v>
      </c>
      <c r="N19" s="31">
        <f ca="1">('TUSD BE'!$N$19+'TUSD BF'!$N$19+'TUSD CVA'!$N$19)*1</f>
        <v>2.5762983275781295</v>
      </c>
      <c r="O19" s="31">
        <f>('TUSD BE'!$O$19+'TUSD BF'!$O$19+'TUSD CVA'!$O$19)*1</f>
        <v>0</v>
      </c>
      <c r="P19" s="31">
        <f>('TUSD BE'!$P$19+'TUSD BF'!$P$19+'TUSD CVA'!$P$19)*1</f>
        <v>0</v>
      </c>
      <c r="Q19" s="31">
        <f>('TUSD BE'!$Q$19+'TUSD BF'!$Q$19+'TUSD CVA'!$Q$19)*1</f>
        <v>107.42695020666744</v>
      </c>
      <c r="R19" s="31">
        <f>('TUSD BE'!$R$19+'TUSD BF'!$R$19+'TUSD CVA'!$R$19)*1</f>
        <v>17.134053264496636</v>
      </c>
      <c r="S19" s="31">
        <f>('TUSD BE'!$S$19+'TUSD BF'!$S$19+'TUSD CVA'!$S$19)*1</f>
        <v>0</v>
      </c>
      <c r="T19" s="31">
        <f>('TUSD BE'!$U$19+'TUSD BF'!$U$19+'TUSD CVA'!$U$19)*1</f>
        <v>0</v>
      </c>
      <c r="U19" s="31">
        <f>('TUSD BE'!$V$19+'TUSD BF'!$V$19+'TUSD CVA'!$V$19)*1</f>
        <v>0</v>
      </c>
      <c r="V19" s="31">
        <f>('TUSD BE'!$W$19+'TUSD BF'!$W$19+'TUSD CVA'!$W$19)*1</f>
        <v>0</v>
      </c>
      <c r="W19" s="31">
        <f>('TUSD BE'!$X$19+'TUSD BF'!$X$19+'TUSD CVA'!$X$19)*1</f>
        <v>0</v>
      </c>
      <c r="X19" s="31">
        <f>('TUSD BE'!$Y$19+'TUSD BF'!$Y$19+'TUSD CVA'!$Y$19)*1</f>
        <v>58.786646114337586</v>
      </c>
      <c r="Y19" s="31">
        <f>('TUSD BE'!$Z$19+'TUSD BF'!$Z$19+'TUSD CVA'!$Z$19)*1</f>
        <v>0</v>
      </c>
      <c r="Z19" s="31">
        <f>('TUSD BE'!$AA$19+'TUSD BF'!$AA$19+'TUSD CVA'!$AA$19)*1</f>
        <v>0</v>
      </c>
      <c r="AA19" s="31">
        <f>('TUSD BE'!$AC$19+'TUSD BF'!$AC$19+'TUSD CVA'!$AC$19)*1</f>
        <v>93.679512803438598</v>
      </c>
      <c r="AB19" s="31">
        <f ca="1">('TUSD BE'!$AE$19+'TUSD BF'!$AE$19+'TUSD CVA'!$AE$19)*1</f>
        <v>0</v>
      </c>
      <c r="AC19" s="31">
        <f ca="1">('TUSD BE'!$AF$19+'TUSD BF'!$AF$19+'TUSD CVA'!$AF$19)*1</f>
        <v>0</v>
      </c>
      <c r="AD19" s="31">
        <f>('TUSD BE'!$AH$19+'TUSD BF'!$AH$19+'TUSD CVA'!$AH$19)*1</f>
        <v>19.611783438307114</v>
      </c>
      <c r="AE19" s="31">
        <f>('TUSD BE'!$AI$19+'TUSD BF'!$AI$19+'TUSD CVA'!$AI$19)*1</f>
        <v>0.42431515873872833</v>
      </c>
      <c r="AF19" s="31">
        <f ca="1">('TUSD BE'!$AJ$19+'TUSD BF'!$AJ$19+'TUSD CVA'!$AJ$19)*1</f>
        <v>0.33980186671674456</v>
      </c>
      <c r="AG19" s="31">
        <f ca="1">('TUSD BE'!$AK$19+'TUSD BF'!$AK$19+'TUSD CVA'!$AK$19)*1</f>
        <v>0.37124355204593923</v>
      </c>
      <c r="AI19" s="31">
        <v>0</v>
      </c>
      <c r="AJ19" s="31">
        <v>0.64619418780064997</v>
      </c>
      <c r="AK19" s="31">
        <v>2.1626388709189599</v>
      </c>
      <c r="AL19" s="31">
        <v>0</v>
      </c>
      <c r="AM19" s="31">
        <v>0</v>
      </c>
      <c r="AN19" s="31">
        <v>58.426729069251103</v>
      </c>
      <c r="AO19" s="31">
        <v>9.9433429673758802</v>
      </c>
      <c r="AP19" s="31">
        <v>0</v>
      </c>
      <c r="AQ19" s="31">
        <v>0</v>
      </c>
      <c r="AR19" s="31">
        <v>0</v>
      </c>
      <c r="AS19" s="31">
        <v>0</v>
      </c>
      <c r="AT19" s="31">
        <v>0</v>
      </c>
      <c r="AU19" s="31">
        <v>49.436981541886901</v>
      </c>
      <c r="AV19" s="31">
        <v>0</v>
      </c>
      <c r="AW19" s="31">
        <v>0</v>
      </c>
      <c r="AX19" s="31">
        <v>71.273201950209696</v>
      </c>
      <c r="AY19" s="31">
        <v>0</v>
      </c>
      <c r="AZ19" s="31">
        <v>0</v>
      </c>
      <c r="BA19" s="31">
        <v>24.012351318409898</v>
      </c>
      <c r="BB19" s="31">
        <v>0</v>
      </c>
      <c r="BC19" s="31">
        <v>0.25321782839743501</v>
      </c>
      <c r="BD19" s="31">
        <v>0.31139907405371198</v>
      </c>
    </row>
    <row r="20" spans="1:56" ht="11.25" customHeight="1" x14ac:dyDescent="0.25">
      <c r="A20" s="149"/>
      <c r="B20" s="149" t="s">
        <v>23</v>
      </c>
      <c r="C20" s="149" t="s">
        <v>24</v>
      </c>
      <c r="D20" s="56" t="s">
        <v>24</v>
      </c>
      <c r="E20" s="56" t="s">
        <v>25</v>
      </c>
      <c r="F20" s="56" t="s">
        <v>25</v>
      </c>
      <c r="G20" s="57" t="s">
        <v>78</v>
      </c>
      <c r="H20" s="57" t="s">
        <v>74</v>
      </c>
      <c r="I20" s="57">
        <f>'MERCADO TUSD'!$U$17</f>
        <v>67923.810000000012</v>
      </c>
      <c r="J20" s="15"/>
      <c r="L20" s="31">
        <f>('TUSD BE'!$L$20+'TUSD BF'!$L$20+'TUSD CVA'!$L$20)*1</f>
        <v>0</v>
      </c>
      <c r="M20" s="31">
        <f>('TUSD BE'!$M$20+'TUSD BF'!$M$20+'TUSD CVA'!$M$20)*1</f>
        <v>0.7643635808027277</v>
      </c>
      <c r="N20" s="31">
        <f ca="1">('TUSD BE'!$N$20+'TUSD BF'!$N$20+'TUSD CVA'!$N$20)*1</f>
        <v>4.0312657257492539</v>
      </c>
      <c r="O20" s="31">
        <f>('TUSD BE'!$O$20+'TUSD BF'!$O$20+'TUSD CVA'!$O$20)*1</f>
        <v>0</v>
      </c>
      <c r="P20" s="31">
        <f>('TUSD BE'!$P$20+'TUSD BF'!$P$20+'TUSD CVA'!$P$20)*1</f>
        <v>0</v>
      </c>
      <c r="Q20" s="31">
        <f>('TUSD BE'!$Q$20+'TUSD BF'!$Q$20+'TUSD CVA'!$Q$20)*1</f>
        <v>107.42695020666744</v>
      </c>
      <c r="R20" s="31">
        <f>('TUSD BE'!$R$20+'TUSD BF'!$R$20+'TUSD CVA'!$R$20)*1</f>
        <v>17.134053264496636</v>
      </c>
      <c r="S20" s="31">
        <f>('TUSD BE'!$S$20+'TUSD BF'!$S$20+'TUSD CVA'!$S$20)*1</f>
        <v>0</v>
      </c>
      <c r="T20" s="31">
        <f>('TUSD BE'!$U$20+'TUSD BF'!$U$20+'TUSD CVA'!$U$20)*1</f>
        <v>0</v>
      </c>
      <c r="U20" s="31">
        <f>('TUSD BE'!$V$20+'TUSD BF'!$V$20+'TUSD CVA'!$V$20)*1</f>
        <v>0</v>
      </c>
      <c r="V20" s="31">
        <f>('TUSD BE'!$W$20+'TUSD BF'!$W$20+'TUSD CVA'!$W$20)*1</f>
        <v>0</v>
      </c>
      <c r="W20" s="31">
        <f>('TUSD BE'!$X$20+'TUSD BF'!$X$20+'TUSD CVA'!$X$20)*1</f>
        <v>0</v>
      </c>
      <c r="X20" s="31">
        <f>('TUSD BE'!$Y$20+'TUSD BF'!$Y$20+'TUSD CVA'!$Y$20)*1</f>
        <v>103.13450100717151</v>
      </c>
      <c r="Y20" s="31">
        <f>('TUSD BE'!$Z$20+'TUSD BF'!$Z$20+'TUSD CVA'!$Z$20)*1</f>
        <v>0</v>
      </c>
      <c r="Z20" s="31">
        <f>('TUSD BE'!$AA$20+'TUSD BF'!$AA$20+'TUSD CVA'!$AA$20)*1</f>
        <v>0</v>
      </c>
      <c r="AA20" s="31">
        <f>('TUSD BE'!$AC$20+'TUSD BF'!$AC$20+'TUSD CVA'!$AC$20)*1</f>
        <v>164.35005105979934</v>
      </c>
      <c r="AB20" s="31">
        <f ca="1">('TUSD BE'!$AE$20+'TUSD BF'!$AE$20+'TUSD CVA'!$AE$20)*1</f>
        <v>0</v>
      </c>
      <c r="AC20" s="31">
        <f ca="1">('TUSD BE'!$AF$20+'TUSD BF'!$AF$20+'TUSD CVA'!$AF$20)*1</f>
        <v>0</v>
      </c>
      <c r="AD20" s="31">
        <f>('TUSD BE'!$AH$20+'TUSD BF'!$AH$20+'TUSD CVA'!$AH$20)*1</f>
        <v>19.611783438307114</v>
      </c>
      <c r="AE20" s="31">
        <f>('TUSD BE'!$AI$20+'TUSD BF'!$AI$20+'TUSD CVA'!$AI$20)*1</f>
        <v>0.42431515873872833</v>
      </c>
      <c r="AF20" s="31">
        <f ca="1">('TUSD BE'!$AJ$20+'TUSD BF'!$AJ$20+'TUSD CVA'!$AJ$20)*1</f>
        <v>0.33980186671674456</v>
      </c>
      <c r="AG20" s="31">
        <f ca="1">('TUSD BE'!$AK$20+'TUSD BF'!$AK$20+'TUSD CVA'!$AK$20)*1</f>
        <v>0.37124355204593923</v>
      </c>
      <c r="AI20" s="31">
        <v>0</v>
      </c>
      <c r="AJ20" s="31">
        <v>0.64619418780064997</v>
      </c>
      <c r="AK20" s="31">
        <v>3.4993198427747099</v>
      </c>
      <c r="AL20" s="31">
        <v>0</v>
      </c>
      <c r="AM20" s="31">
        <v>0</v>
      </c>
      <c r="AN20" s="31">
        <v>58.426729069251103</v>
      </c>
      <c r="AO20" s="31">
        <v>9.9433429673758802</v>
      </c>
      <c r="AP20" s="31">
        <v>0</v>
      </c>
      <c r="AQ20" s="31">
        <v>0</v>
      </c>
      <c r="AR20" s="31">
        <v>0</v>
      </c>
      <c r="AS20" s="31">
        <v>0</v>
      </c>
      <c r="AT20" s="31">
        <v>0</v>
      </c>
      <c r="AU20" s="31">
        <v>98.874116659128006</v>
      </c>
      <c r="AV20" s="31">
        <v>0</v>
      </c>
      <c r="AW20" s="31">
        <v>0</v>
      </c>
      <c r="AX20" s="31">
        <v>142.54629267420501</v>
      </c>
      <c r="AY20" s="31">
        <v>0</v>
      </c>
      <c r="AZ20" s="31">
        <v>0</v>
      </c>
      <c r="BA20" s="31">
        <v>24.012351318409898</v>
      </c>
      <c r="BB20" s="31">
        <v>0</v>
      </c>
      <c r="BC20" s="31">
        <v>0.25321782839743501</v>
      </c>
      <c r="BD20" s="31">
        <v>0.31139907405371198</v>
      </c>
    </row>
    <row r="21" spans="1:56" ht="11.25" customHeight="1" x14ac:dyDescent="0.25">
      <c r="A21" s="149"/>
      <c r="B21" s="149"/>
      <c r="C21" s="149"/>
      <c r="D21" s="56" t="s">
        <v>29</v>
      </c>
      <c r="E21" s="56" t="s">
        <v>25</v>
      </c>
      <c r="F21" s="56" t="s">
        <v>25</v>
      </c>
      <c r="G21" s="57" t="s">
        <v>78</v>
      </c>
      <c r="H21" s="57" t="s">
        <v>74</v>
      </c>
      <c r="I21" s="57">
        <f>'MERCADO TUSD'!$U$18</f>
        <v>515.52700000000004</v>
      </c>
      <c r="J21" s="15"/>
      <c r="L21" s="31">
        <f>('TUSD BE'!$L$21+'TUSD BF'!$L$21+'TUSD CVA'!$L$21)*(1 - 0.65)</f>
        <v>0</v>
      </c>
      <c r="M21" s="31">
        <f>('TUSD BE'!$M$21+'TUSD BF'!$M$21+'TUSD CVA'!$M$21)*(1 - 0.65)</f>
        <v>0.26752725328095467</v>
      </c>
      <c r="N21" s="31">
        <f ca="1">('TUSD BE'!$N$21+'TUSD BF'!$N$21+'TUSD CVA'!$N$21)*(1 - 0.65)</f>
        <v>1.4062325989928752</v>
      </c>
      <c r="O21" s="31">
        <f>('TUSD BE'!$O$21+'TUSD BF'!$O$21+'TUSD CVA'!$O$21)*(1 - 0.65)</f>
        <v>0</v>
      </c>
      <c r="P21" s="31">
        <v>0</v>
      </c>
      <c r="Q21" s="31">
        <f>('TUSD BE'!$Q$21+'TUSD BF'!$Q$21+'TUSD CVA'!$Q$21)*(1 - 0.65)</f>
        <v>0</v>
      </c>
      <c r="R21" s="31">
        <v>0</v>
      </c>
      <c r="S21" s="31">
        <f>('TUSD BE'!$S$21+'TUSD BF'!$S$21+'TUSD CVA'!$S$21)*(1 - 0.65)</f>
        <v>0</v>
      </c>
      <c r="T21" s="31">
        <f>('TUSD BE'!$U$21+'TUSD BF'!$U$21+'TUSD CVA'!$U$21)*(1 - 0.65)</f>
        <v>0</v>
      </c>
      <c r="U21" s="31">
        <f>('TUSD BE'!$V$21+'TUSD BF'!$V$21+'TUSD CVA'!$V$21)*(1 - 0.65)</f>
        <v>0</v>
      </c>
      <c r="V21" s="31">
        <f>('TUSD BE'!$W$21+'TUSD BF'!$W$21+'TUSD CVA'!$W$21)*(1 - 0.65)</f>
        <v>0</v>
      </c>
      <c r="W21" s="31">
        <f>('TUSD BE'!$X$21+'TUSD BF'!$X$21+'TUSD CVA'!$X$21)*(1 - 0.65)</f>
        <v>0</v>
      </c>
      <c r="X21" s="31">
        <f>('TUSD BE'!$Y$21+'TUSD BF'!$Y$21+'TUSD CVA'!$Y$21)*(1 - 0.65)</f>
        <v>36.097075352510025</v>
      </c>
      <c r="Y21" s="31">
        <f>('TUSD BE'!$Z$21+'TUSD BF'!$Z$21+'TUSD CVA'!$Z$21)*(1 - 0.65)</f>
        <v>0</v>
      </c>
      <c r="Z21" s="31">
        <f>('TUSD BE'!$AA$21+'TUSD BF'!$AA$21+'TUSD CVA'!$AA$21)*(1 - 0.65)</f>
        <v>0</v>
      </c>
      <c r="AA21" s="31">
        <f>('TUSD BE'!$AC$21+'TUSD BF'!$AC$21+'TUSD CVA'!$AC$21)*(1 - 0.65)</f>
        <v>57.522517870929768</v>
      </c>
      <c r="AB21" s="31">
        <f ca="1">('TUSD BE'!$AE$21+'TUSD BF'!$AE$21+'TUSD CVA'!$AE$21)*(1 - 0.65)</f>
        <v>0</v>
      </c>
      <c r="AC21" s="31">
        <f ca="1">('TUSD BE'!$AF$21+'TUSD BF'!$AF$21+'TUSD CVA'!$AF$21)*(1 - 0.65)</f>
        <v>0</v>
      </c>
      <c r="AD21" s="31">
        <f>('TUSD BE'!$AH$21+'TUSD BF'!$AH$21+'TUSD CVA'!$AH$21)*(1 - 0.65)</f>
        <v>6.8641242034074894</v>
      </c>
      <c r="AE21" s="31">
        <f>('TUSD BE'!$AI$21+'TUSD BF'!$AI$21+'TUSD CVA'!$AI$21)*(1 - 0.65)</f>
        <v>0.14851030555855491</v>
      </c>
      <c r="AF21" s="31">
        <f ca="1">('TUSD BE'!$AJ$21+'TUSD BF'!$AJ$21+'TUSD CVA'!$AJ$21)*(1 - 0.65)</f>
        <v>0.11893065335086059</v>
      </c>
      <c r="AG21" s="31">
        <f ca="1">('TUSD BE'!$AK$21+'TUSD BF'!$AK$21+'TUSD CVA'!$AK$21)*(1 - 0.65)</f>
        <v>0.12993524321607872</v>
      </c>
      <c r="AI21" s="31">
        <v>0</v>
      </c>
      <c r="AJ21" s="31">
        <v>0.22616796573022699</v>
      </c>
      <c r="AK21" s="31">
        <v>1.21990230678457</v>
      </c>
      <c r="AL21" s="31">
        <v>0</v>
      </c>
      <c r="AM21" s="31">
        <v>0</v>
      </c>
      <c r="AN21" s="31">
        <v>0</v>
      </c>
      <c r="AO21" s="31">
        <v>0</v>
      </c>
      <c r="AP21" s="31">
        <v>0</v>
      </c>
      <c r="AQ21" s="31">
        <v>0</v>
      </c>
      <c r="AR21" s="31">
        <v>0</v>
      </c>
      <c r="AS21" s="31">
        <v>0</v>
      </c>
      <c r="AT21" s="31">
        <v>0</v>
      </c>
      <c r="AU21" s="31">
        <v>34.605940830694799</v>
      </c>
      <c r="AV21" s="31">
        <v>0</v>
      </c>
      <c r="AW21" s="31">
        <v>0</v>
      </c>
      <c r="AX21" s="31">
        <v>49.891202435971799</v>
      </c>
      <c r="AY21" s="31">
        <v>0</v>
      </c>
      <c r="AZ21" s="31">
        <v>0</v>
      </c>
      <c r="BA21" s="31">
        <v>8.4043229614434694</v>
      </c>
      <c r="BB21" s="31">
        <v>0</v>
      </c>
      <c r="BC21" s="31">
        <v>8.8626239939102305E-2</v>
      </c>
      <c r="BD21" s="31">
        <v>0.108989675918799</v>
      </c>
    </row>
    <row r="22" spans="1:56" ht="11.25" customHeight="1" x14ac:dyDescent="0.25">
      <c r="A22" s="149"/>
      <c r="B22" s="149"/>
      <c r="C22" s="149"/>
      <c r="D22" s="56" t="s">
        <v>30</v>
      </c>
      <c r="E22" s="56" t="s">
        <v>25</v>
      </c>
      <c r="F22" s="56" t="s">
        <v>25</v>
      </c>
      <c r="G22" s="57" t="s">
        <v>78</v>
      </c>
      <c r="H22" s="57" t="s">
        <v>74</v>
      </c>
      <c r="I22" s="57">
        <f>'MERCADO TUSD'!$U$19</f>
        <v>1078.232</v>
      </c>
      <c r="J22" s="15"/>
      <c r="L22" s="31">
        <f>('TUSD BE'!$L$22+'TUSD BF'!$L$22+'TUSD CVA'!$L$22)*(1 - 0.4)</f>
        <v>0</v>
      </c>
      <c r="M22" s="31">
        <f>('TUSD BE'!$M$22+'TUSD BF'!$M$22+'TUSD CVA'!$M$22)*(1 - 0.4)</f>
        <v>0.45861814848163662</v>
      </c>
      <c r="N22" s="31">
        <f ca="1">('TUSD BE'!$N$22+'TUSD BF'!$N$22+'TUSD CVA'!$N$22)*(1 - 0.4)</f>
        <v>2.4106844554163573</v>
      </c>
      <c r="O22" s="31">
        <f>('TUSD BE'!$O$22+'TUSD BF'!$O$22+'TUSD CVA'!$O$22)*(1 - 0.4)</f>
        <v>0</v>
      </c>
      <c r="P22" s="31">
        <v>0</v>
      </c>
      <c r="Q22" s="31">
        <f>('TUSD BE'!$Q$22+'TUSD BF'!$Q$22+'TUSD CVA'!$Q$22)*(1 - 0.4)</f>
        <v>0</v>
      </c>
      <c r="R22" s="31">
        <v>0</v>
      </c>
      <c r="S22" s="31">
        <f>('TUSD BE'!$S$22+'TUSD BF'!$S$22+'TUSD CVA'!$S$22)*(1 - 0.4)</f>
        <v>0</v>
      </c>
      <c r="T22" s="31">
        <f>('TUSD BE'!$U$22+'TUSD BF'!$U$22+'TUSD CVA'!$U$22)*(1 - 0.4)</f>
        <v>0</v>
      </c>
      <c r="U22" s="31">
        <f>('TUSD BE'!$V$22+'TUSD BF'!$V$22+'TUSD CVA'!$V$22)*(1 - 0.4)</f>
        <v>0</v>
      </c>
      <c r="V22" s="31">
        <f>('TUSD BE'!$W$22+'TUSD BF'!$W$22+'TUSD CVA'!$W$22)*(1 - 0.4)</f>
        <v>0</v>
      </c>
      <c r="W22" s="31">
        <f>('TUSD BE'!$X$22+'TUSD BF'!$X$22+'TUSD CVA'!$X$22)*(1 - 0.4)</f>
        <v>0</v>
      </c>
      <c r="X22" s="31">
        <f>('TUSD BE'!$Y$22+'TUSD BF'!$Y$22+'TUSD CVA'!$Y$22)*(1 - 0.4)</f>
        <v>61.880700604302902</v>
      </c>
      <c r="Y22" s="31">
        <f>('TUSD BE'!$Z$22+'TUSD BF'!$Z$22+'TUSD CVA'!$Z$22)*(1 - 0.4)</f>
        <v>0</v>
      </c>
      <c r="Z22" s="31">
        <f>('TUSD BE'!$AA$22+'TUSD BF'!$AA$22+'TUSD CVA'!$AA$22)*(1 - 0.4)</f>
        <v>0</v>
      </c>
      <c r="AA22" s="31">
        <f>('TUSD BE'!$AC$22+'TUSD BF'!$AC$22+'TUSD CVA'!$AC$22)*(1 - 0.4)</f>
        <v>98.610030635879596</v>
      </c>
      <c r="AB22" s="31">
        <f ca="1">('TUSD BE'!$AE$22+'TUSD BF'!$AE$22+'TUSD CVA'!$AE$22)*(1 - 0.4)</f>
        <v>0</v>
      </c>
      <c r="AC22" s="31">
        <f ca="1">('TUSD BE'!$AF$22+'TUSD BF'!$AF$22+'TUSD CVA'!$AF$22)*(1 - 0.4)</f>
        <v>0</v>
      </c>
      <c r="AD22" s="31">
        <f>('TUSD BE'!$AH$22+'TUSD BF'!$AH$22+'TUSD CVA'!$AH$22)*(1 - 0.4)</f>
        <v>11.767070062984269</v>
      </c>
      <c r="AE22" s="31">
        <f>('TUSD BE'!$AI$22+'TUSD BF'!$AI$22+'TUSD CVA'!$AI$22)*(1 - 0.4)</f>
        <v>0.25458909524323697</v>
      </c>
      <c r="AF22" s="31">
        <f ca="1">('TUSD BE'!$AJ$22+'TUSD BF'!$AJ$22+'TUSD CVA'!$AJ$22)*(1 - 0.4)</f>
        <v>0.20388112003004674</v>
      </c>
      <c r="AG22" s="31">
        <f ca="1">('TUSD BE'!$AK$22+'TUSD BF'!$AK$22+'TUSD CVA'!$AK$22)*(1 - 0.4)</f>
        <v>0.22274613122756354</v>
      </c>
      <c r="AI22" s="31">
        <v>0</v>
      </c>
      <c r="AJ22" s="31">
        <v>0.38771651268038998</v>
      </c>
      <c r="AK22" s="31">
        <v>2.0912610973449799</v>
      </c>
      <c r="AL22" s="31">
        <v>0</v>
      </c>
      <c r="AM22" s="31">
        <v>0</v>
      </c>
      <c r="AN22" s="31">
        <v>0</v>
      </c>
      <c r="AO22" s="31">
        <v>0</v>
      </c>
      <c r="AP22" s="31">
        <v>0</v>
      </c>
      <c r="AQ22" s="31">
        <v>0</v>
      </c>
      <c r="AR22" s="31">
        <v>0</v>
      </c>
      <c r="AS22" s="31">
        <v>0</v>
      </c>
      <c r="AT22" s="31">
        <v>0</v>
      </c>
      <c r="AU22" s="31">
        <v>59.324469995476797</v>
      </c>
      <c r="AV22" s="31">
        <v>0</v>
      </c>
      <c r="AW22" s="31">
        <v>0</v>
      </c>
      <c r="AX22" s="31">
        <v>85.527775604523001</v>
      </c>
      <c r="AY22" s="31">
        <v>0</v>
      </c>
      <c r="AZ22" s="31">
        <v>0</v>
      </c>
      <c r="BA22" s="31">
        <v>14.4074107910459</v>
      </c>
      <c r="BB22" s="31">
        <v>0</v>
      </c>
      <c r="BC22" s="31">
        <v>0.15193069703846099</v>
      </c>
      <c r="BD22" s="31">
        <v>0.186839444432227</v>
      </c>
    </row>
    <row r="23" spans="1:56" ht="11.25" customHeight="1" x14ac:dyDescent="0.25">
      <c r="A23" s="149"/>
      <c r="B23" s="149"/>
      <c r="C23" s="149"/>
      <c r="D23" s="56" t="s">
        <v>31</v>
      </c>
      <c r="E23" s="56" t="s">
        <v>25</v>
      </c>
      <c r="F23" s="56" t="s">
        <v>25</v>
      </c>
      <c r="G23" s="57" t="s">
        <v>78</v>
      </c>
      <c r="H23" s="57" t="s">
        <v>74</v>
      </c>
      <c r="I23" s="57">
        <f>'MERCADO TUSD'!$U$20</f>
        <v>1111.8500000000001</v>
      </c>
      <c r="J23" s="15"/>
      <c r="L23" s="31">
        <f>('TUSD BE'!$L$23+'TUSD BF'!$L$23+'TUSD CVA'!$L$23)*(1 - 0.1)</f>
        <v>0</v>
      </c>
      <c r="M23" s="31">
        <f>('TUSD BE'!$M$23+'TUSD BF'!$M$23+'TUSD CVA'!$M$23)*(1 - 0.1)</f>
        <v>0.68792722272245499</v>
      </c>
      <c r="N23" s="31">
        <f ca="1">('TUSD BE'!$N$23+'TUSD BF'!$N$23+'TUSD CVA'!$N$23)*(1 - 0.1)</f>
        <v>3.6160266831245367</v>
      </c>
      <c r="O23" s="31">
        <f>('TUSD BE'!$O$23+'TUSD BF'!$O$23+'TUSD CVA'!$O$23)*(1 - 0.1)</f>
        <v>0</v>
      </c>
      <c r="P23" s="31">
        <v>0</v>
      </c>
      <c r="Q23" s="31">
        <f>('TUSD BE'!$Q$23+'TUSD BF'!$Q$23+'TUSD CVA'!$Q$23)*(1 - 0.1)</f>
        <v>0</v>
      </c>
      <c r="R23" s="31">
        <v>0</v>
      </c>
      <c r="S23" s="31">
        <f>('TUSD BE'!$S$23+'TUSD BF'!$S$23+'TUSD CVA'!$S$23)*(1 - 0.1)</f>
        <v>0</v>
      </c>
      <c r="T23" s="31">
        <f>('TUSD BE'!$U$23+'TUSD BF'!$U$23+'TUSD CVA'!$U$23)*(1 - 0.1)</f>
        <v>0</v>
      </c>
      <c r="U23" s="31">
        <f>('TUSD BE'!$V$23+'TUSD BF'!$V$23+'TUSD CVA'!$V$23)*(1 - 0.1)</f>
        <v>0</v>
      </c>
      <c r="V23" s="31">
        <f>('TUSD BE'!$W$23+'TUSD BF'!$W$23+'TUSD CVA'!$W$23)*(1 - 0.1)</f>
        <v>0</v>
      </c>
      <c r="W23" s="31">
        <f>('TUSD BE'!$X$23+'TUSD BF'!$X$23+'TUSD CVA'!$X$23)*(1 - 0.1)</f>
        <v>0</v>
      </c>
      <c r="X23" s="31">
        <f>('TUSD BE'!$Y$23+'TUSD BF'!$Y$23+'TUSD CVA'!$Y$23)*(1 - 0.1)</f>
        <v>92.82105090645436</v>
      </c>
      <c r="Y23" s="31">
        <f>('TUSD BE'!$Z$23+'TUSD BF'!$Z$23+'TUSD CVA'!$Z$23)*(1 - 0.1)</f>
        <v>0</v>
      </c>
      <c r="Z23" s="31">
        <f>('TUSD BE'!$AA$23+'TUSD BF'!$AA$23+'TUSD CVA'!$AA$23)*(1 - 0.1)</f>
        <v>0</v>
      </c>
      <c r="AA23" s="31">
        <f>('TUSD BE'!$AC$23+'TUSD BF'!$AC$23+'TUSD CVA'!$AC$23)*(1 - 0.1)</f>
        <v>147.9150459538194</v>
      </c>
      <c r="AB23" s="31">
        <f ca="1">('TUSD BE'!$AE$23+'TUSD BF'!$AE$23+'TUSD CVA'!$AE$23)*(1 - 0.1)</f>
        <v>0</v>
      </c>
      <c r="AC23" s="31">
        <f ca="1">('TUSD BE'!$AF$23+'TUSD BF'!$AF$23+'TUSD CVA'!$AF$23)*(1 - 0.1)</f>
        <v>0</v>
      </c>
      <c r="AD23" s="31">
        <f>('TUSD BE'!$AH$23+'TUSD BF'!$AH$23+'TUSD CVA'!$AH$23)*(1 - 0.1)</f>
        <v>17.650605094476404</v>
      </c>
      <c r="AE23" s="31">
        <f>('TUSD BE'!$AI$23+'TUSD BF'!$AI$23+'TUSD CVA'!$AI$23)*(1 - 0.1)</f>
        <v>0.38188364286485549</v>
      </c>
      <c r="AF23" s="31">
        <f ca="1">('TUSD BE'!$AJ$23+'TUSD BF'!$AJ$23+'TUSD CVA'!$AJ$23)*(1 - 0.1)</f>
        <v>0.3058216800450701</v>
      </c>
      <c r="AG23" s="31">
        <f ca="1">('TUSD BE'!$AK$23+'TUSD BF'!$AK$23+'TUSD CVA'!$AK$23)*(1 - 0.1)</f>
        <v>0.33411919684134533</v>
      </c>
      <c r="AI23" s="31">
        <v>0</v>
      </c>
      <c r="AJ23" s="31">
        <v>0.58157476902058503</v>
      </c>
      <c r="AK23" s="31">
        <v>3.1368916460174701</v>
      </c>
      <c r="AL23" s="31">
        <v>0</v>
      </c>
      <c r="AM23" s="31">
        <v>0</v>
      </c>
      <c r="AN23" s="31">
        <v>0</v>
      </c>
      <c r="AO23" s="31">
        <v>0</v>
      </c>
      <c r="AP23" s="31">
        <v>0</v>
      </c>
      <c r="AQ23" s="31">
        <v>0</v>
      </c>
      <c r="AR23" s="31">
        <v>0</v>
      </c>
      <c r="AS23" s="31">
        <v>0</v>
      </c>
      <c r="AT23" s="31">
        <v>0</v>
      </c>
      <c r="AU23" s="31">
        <v>88.986704993215199</v>
      </c>
      <c r="AV23" s="31">
        <v>0</v>
      </c>
      <c r="AW23" s="31">
        <v>0</v>
      </c>
      <c r="AX23" s="31">
        <v>128.29166340678501</v>
      </c>
      <c r="AY23" s="31">
        <v>0</v>
      </c>
      <c r="AZ23" s="31">
        <v>0</v>
      </c>
      <c r="BA23" s="31">
        <v>21.6111161865689</v>
      </c>
      <c r="BB23" s="31">
        <v>0</v>
      </c>
      <c r="BC23" s="31">
        <v>0.227896045557692</v>
      </c>
      <c r="BD23" s="31">
        <v>0.280259166648341</v>
      </c>
    </row>
    <row r="24" spans="1:56" ht="11.25" customHeight="1" x14ac:dyDescent="0.25">
      <c r="A24" s="149"/>
      <c r="B24" s="149"/>
      <c r="C24" s="149"/>
      <c r="D24" s="56" t="s">
        <v>32</v>
      </c>
      <c r="E24" s="56" t="s">
        <v>25</v>
      </c>
      <c r="F24" s="56" t="s">
        <v>25</v>
      </c>
      <c r="G24" s="57" t="s">
        <v>78</v>
      </c>
      <c r="H24" s="57" t="s">
        <v>74</v>
      </c>
      <c r="I24" s="57">
        <f>'MERCADO TUSD'!$U$21</f>
        <v>453.86500000000007</v>
      </c>
      <c r="J24" s="15"/>
      <c r="L24" s="31">
        <f>('TUSD BE'!$L$24+'TUSD BF'!$L$24+'TUSD CVA'!$L$24)*1</f>
        <v>0</v>
      </c>
      <c r="M24" s="31">
        <f>('TUSD BE'!$M$24+'TUSD BF'!$M$24+'TUSD CVA'!$M$24)*1</f>
        <v>0.7643635808027277</v>
      </c>
      <c r="N24" s="31">
        <f ca="1">('TUSD BE'!$N$24+'TUSD BF'!$N$24+'TUSD CVA'!$N$24)*1</f>
        <v>4.0178074256939293</v>
      </c>
      <c r="O24" s="31">
        <f>('TUSD BE'!$O$24+'TUSD BF'!$O$24+'TUSD CVA'!$O$24)*1</f>
        <v>0</v>
      </c>
      <c r="P24" s="31">
        <v>0</v>
      </c>
      <c r="Q24" s="31">
        <f>('TUSD BE'!$Q$24+'TUSD BF'!$Q$24+'TUSD CVA'!$Q$24)*1</f>
        <v>0</v>
      </c>
      <c r="R24" s="31">
        <v>0</v>
      </c>
      <c r="S24" s="31">
        <f>('TUSD BE'!$S$24+'TUSD BF'!$S$24+'TUSD CVA'!$S$24)*1</f>
        <v>0</v>
      </c>
      <c r="T24" s="31">
        <f>('TUSD BE'!$U$24+'TUSD BF'!$U$24+'TUSD CVA'!$U$24)*1</f>
        <v>0</v>
      </c>
      <c r="U24" s="31">
        <f>('TUSD BE'!$V$24+'TUSD BF'!$V$24+'TUSD CVA'!$V$24)*1</f>
        <v>0</v>
      </c>
      <c r="V24" s="31">
        <f>('TUSD BE'!$W$24+'TUSD BF'!$W$24+'TUSD CVA'!$W$24)*1</f>
        <v>0</v>
      </c>
      <c r="W24" s="31">
        <f>('TUSD BE'!$X$24+'TUSD BF'!$X$24+'TUSD CVA'!$X$24)*1</f>
        <v>0</v>
      </c>
      <c r="X24" s="31">
        <f>('TUSD BE'!$Y$24+'TUSD BF'!$Y$24+'TUSD CVA'!$Y$24)*1</f>
        <v>103.13450100717151</v>
      </c>
      <c r="Y24" s="31">
        <f>('TUSD BE'!$Z$24+'TUSD BF'!$Z$24+'TUSD CVA'!$Z$24)*1</f>
        <v>0</v>
      </c>
      <c r="Z24" s="31">
        <f>('TUSD BE'!$AA$24+'TUSD BF'!$AA$24+'TUSD CVA'!$AA$24)*1</f>
        <v>0</v>
      </c>
      <c r="AA24" s="31">
        <f>('TUSD BE'!$AC$24+'TUSD BF'!$AC$24+'TUSD CVA'!$AC$24)*1</f>
        <v>164.35005105979934</v>
      </c>
      <c r="AB24" s="31">
        <f ca="1">('TUSD BE'!$AE$24+'TUSD BF'!$AE$24+'TUSD CVA'!$AE$24)*1</f>
        <v>0</v>
      </c>
      <c r="AC24" s="31">
        <f ca="1">('TUSD BE'!$AF$24+'TUSD BF'!$AF$24+'TUSD CVA'!$AF$24)*1</f>
        <v>0</v>
      </c>
      <c r="AD24" s="31">
        <f>('TUSD BE'!$AH$24+'TUSD BF'!$AH$24+'TUSD CVA'!$AH$24)*1</f>
        <v>19.611783438307114</v>
      </c>
      <c r="AE24" s="31">
        <f>('TUSD BE'!$AI$24+'TUSD BF'!$AI$24+'TUSD CVA'!$AI$24)*1</f>
        <v>0.42431515873872833</v>
      </c>
      <c r="AF24" s="31">
        <f ca="1">('TUSD BE'!$AJ$24+'TUSD BF'!$AJ$24+'TUSD CVA'!$AJ$24)*1</f>
        <v>0.33980186671674456</v>
      </c>
      <c r="AG24" s="31">
        <f ca="1">('TUSD BE'!$AK$24+'TUSD BF'!$AK$24+'TUSD CVA'!$AK$24)*1</f>
        <v>0.37124355204593923</v>
      </c>
      <c r="AI24" s="31">
        <v>0</v>
      </c>
      <c r="AJ24" s="31">
        <v>0.64619418780064997</v>
      </c>
      <c r="AK24" s="31">
        <v>3.4854351622416302</v>
      </c>
      <c r="AL24" s="31">
        <v>0</v>
      </c>
      <c r="AM24" s="31">
        <v>0</v>
      </c>
      <c r="AN24" s="31">
        <v>0</v>
      </c>
      <c r="AO24" s="31">
        <v>0</v>
      </c>
      <c r="AP24" s="31">
        <v>0</v>
      </c>
      <c r="AQ24" s="31">
        <v>0</v>
      </c>
      <c r="AR24" s="31">
        <v>0</v>
      </c>
      <c r="AS24" s="31">
        <v>0</v>
      </c>
      <c r="AT24" s="31">
        <v>0</v>
      </c>
      <c r="AU24" s="31">
        <v>98.874116659128006</v>
      </c>
      <c r="AV24" s="31">
        <v>0</v>
      </c>
      <c r="AW24" s="31">
        <v>0</v>
      </c>
      <c r="AX24" s="31">
        <v>142.54629267420501</v>
      </c>
      <c r="AY24" s="31">
        <v>0</v>
      </c>
      <c r="AZ24" s="31">
        <v>0</v>
      </c>
      <c r="BA24" s="31">
        <v>24.012351318409898</v>
      </c>
      <c r="BB24" s="31">
        <v>0</v>
      </c>
      <c r="BC24" s="31">
        <v>0.25321782839743501</v>
      </c>
      <c r="BD24" s="31">
        <v>0.31139907405371198</v>
      </c>
    </row>
    <row r="25" spans="1:56" ht="11.25" customHeight="1" x14ac:dyDescent="0.25">
      <c r="A25" s="149"/>
      <c r="B25" s="149" t="s">
        <v>89</v>
      </c>
      <c r="C25" s="149" t="s">
        <v>24</v>
      </c>
      <c r="D25" s="56" t="s">
        <v>24</v>
      </c>
      <c r="E25" s="56" t="s">
        <v>25</v>
      </c>
      <c r="F25" s="56" t="s">
        <v>25</v>
      </c>
      <c r="G25" s="57" t="s">
        <v>78</v>
      </c>
      <c r="H25" s="57" t="s">
        <v>74</v>
      </c>
      <c r="I25" s="57">
        <f>'MERCADO TUSD'!$U$22</f>
        <v>0</v>
      </c>
      <c r="J25" s="15"/>
      <c r="L25" s="31">
        <f>('TUSD BE'!$L$25+'TUSD BF'!$L$25+'TUSD CVA'!$L$25)*1</f>
        <v>0</v>
      </c>
      <c r="M25" s="31">
        <f>('TUSD BE'!$M$25+'TUSD BF'!$M$25+'TUSD CVA'!$M$25)*1</f>
        <v>0.7643635808027277</v>
      </c>
      <c r="N25" s="31">
        <f ca="1">('TUSD BE'!$N$25+'TUSD BF'!$N$25+'TUSD CVA'!$N$25)*1</f>
        <v>4.0312657257492539</v>
      </c>
      <c r="O25" s="31">
        <f>('TUSD BE'!$O$25+'TUSD BF'!$O$25+'TUSD CVA'!$O$25)*1</f>
        <v>0</v>
      </c>
      <c r="P25" s="31">
        <f>('TUSD BE'!$P$25+'TUSD BF'!$P$25+'TUSD CVA'!$P$25)*1</f>
        <v>0</v>
      </c>
      <c r="Q25" s="31">
        <f>('TUSD BE'!$Q$25+'TUSD BF'!$Q$25+'TUSD CVA'!$Q$25)*1</f>
        <v>107.42695020666744</v>
      </c>
      <c r="R25" s="31">
        <f>('TUSD BE'!$R$25+'TUSD BF'!$R$25+'TUSD CVA'!$R$25)*1</f>
        <v>17.134053264496636</v>
      </c>
      <c r="S25" s="31">
        <f>('TUSD BE'!$S$25+'TUSD BF'!$S$25+'TUSD CVA'!$S$25)*1</f>
        <v>0</v>
      </c>
      <c r="T25" s="31">
        <f>('TUSD BE'!$U$25+'TUSD BF'!$U$25+'TUSD CVA'!$U$25)*1</f>
        <v>0</v>
      </c>
      <c r="U25" s="31">
        <f>('TUSD BE'!$V$25+'TUSD BF'!$V$25+'TUSD CVA'!$V$25)*1</f>
        <v>0</v>
      </c>
      <c r="V25" s="31">
        <f>('TUSD BE'!$W$25+'TUSD BF'!$W$25+'TUSD CVA'!$W$25)*1</f>
        <v>0</v>
      </c>
      <c r="W25" s="31">
        <f>('TUSD BE'!$X$25+'TUSD BF'!$X$25+'TUSD CVA'!$X$25)*1</f>
        <v>0</v>
      </c>
      <c r="X25" s="31">
        <f>('TUSD BE'!$Y$25+'TUSD BF'!$Y$25+'TUSD CVA'!$Y$25)*1</f>
        <v>103.13450100717151</v>
      </c>
      <c r="Y25" s="31">
        <f>('TUSD BE'!$Z$25+'TUSD BF'!$Z$25+'TUSD CVA'!$Z$25)*1</f>
        <v>0</v>
      </c>
      <c r="Z25" s="31">
        <f>('TUSD BE'!$AA$25+'TUSD BF'!$AA$25+'TUSD CVA'!$AA$25)*1</f>
        <v>0</v>
      </c>
      <c r="AA25" s="31">
        <f>('TUSD BE'!$AC$25+'TUSD BF'!$AC$25+'TUSD CVA'!$AC$25)*1</f>
        <v>164.35005105979934</v>
      </c>
      <c r="AB25" s="31">
        <f ca="1">('TUSD BE'!$AE$25+'TUSD BF'!$AE$25+'TUSD CVA'!$AE$25)*1</f>
        <v>0</v>
      </c>
      <c r="AC25" s="31">
        <f ca="1">('TUSD BE'!$AF$25+'TUSD BF'!$AF$25+'TUSD CVA'!$AF$25)*1</f>
        <v>0</v>
      </c>
      <c r="AD25" s="31">
        <f>('TUSD BE'!$AH$25+'TUSD BF'!$AH$25+'TUSD CVA'!$AH$25)*1</f>
        <v>19.611783438307114</v>
      </c>
      <c r="AE25" s="31">
        <f>('TUSD BE'!$AI$25+'TUSD BF'!$AI$25+'TUSD CVA'!$AI$25)*1</f>
        <v>0.42431515873872833</v>
      </c>
      <c r="AF25" s="31">
        <f ca="1">('TUSD BE'!$AJ$25+'TUSD BF'!$AJ$25+'TUSD CVA'!$AJ$25)*1</f>
        <v>0.33980186671674456</v>
      </c>
      <c r="AG25" s="31">
        <f ca="1">('TUSD BE'!$AK$25+'TUSD BF'!$AK$25+'TUSD CVA'!$AK$25)*1</f>
        <v>0.37124355204593923</v>
      </c>
      <c r="AI25" s="31">
        <v>0</v>
      </c>
      <c r="AJ25" s="31">
        <v>0.64619418780064997</v>
      </c>
      <c r="AK25" s="31">
        <v>3.4993198427747099</v>
      </c>
      <c r="AL25" s="31">
        <v>0</v>
      </c>
      <c r="AM25" s="31">
        <v>0</v>
      </c>
      <c r="AN25" s="31">
        <v>58.426729069251103</v>
      </c>
      <c r="AO25" s="31">
        <v>9.9433429673758802</v>
      </c>
      <c r="AP25" s="31">
        <v>0</v>
      </c>
      <c r="AQ25" s="31">
        <v>0</v>
      </c>
      <c r="AR25" s="31">
        <v>0</v>
      </c>
      <c r="AS25" s="31">
        <v>0</v>
      </c>
      <c r="AT25" s="31">
        <v>0</v>
      </c>
      <c r="AU25" s="31">
        <v>98.874116659128006</v>
      </c>
      <c r="AV25" s="31">
        <v>0</v>
      </c>
      <c r="AW25" s="31">
        <v>0</v>
      </c>
      <c r="AX25" s="31">
        <v>142.54629267420501</v>
      </c>
      <c r="AY25" s="31">
        <v>0</v>
      </c>
      <c r="AZ25" s="31">
        <v>0</v>
      </c>
      <c r="BA25" s="31">
        <v>24.012351318409898</v>
      </c>
      <c r="BB25" s="31">
        <v>0</v>
      </c>
      <c r="BC25" s="31">
        <v>0.25321782839743501</v>
      </c>
      <c r="BD25" s="31">
        <v>0.31139907405371198</v>
      </c>
    </row>
    <row r="26" spans="1:56" ht="11.25" customHeight="1" x14ac:dyDescent="0.25">
      <c r="A26" s="149"/>
      <c r="B26" s="149"/>
      <c r="C26" s="149"/>
      <c r="D26" s="56" t="s">
        <v>29</v>
      </c>
      <c r="E26" s="56" t="s">
        <v>25</v>
      </c>
      <c r="F26" s="56" t="s">
        <v>25</v>
      </c>
      <c r="G26" s="57" t="s">
        <v>78</v>
      </c>
      <c r="H26" s="57" t="s">
        <v>74</v>
      </c>
      <c r="I26" s="57">
        <f>'MERCADO TUSD'!$U$23</f>
        <v>0</v>
      </c>
      <c r="J26" s="15"/>
      <c r="L26" s="31">
        <f>('TUSD BE'!$L$26+'TUSD BF'!$L$26+'TUSD CVA'!$L$26)*(1 - 0.65)</f>
        <v>0</v>
      </c>
      <c r="M26" s="31">
        <f>('TUSD BE'!$M$26+'TUSD BF'!$M$26+'TUSD CVA'!$M$26)*(1 - 0.65)</f>
        <v>0.26752725328095467</v>
      </c>
      <c r="N26" s="31">
        <f ca="1">('TUSD BE'!$N$26+'TUSD BF'!$N$26+'TUSD CVA'!$N$26)*(1 - 0.65)</f>
        <v>1.4062325989928752</v>
      </c>
      <c r="O26" s="31">
        <f>('TUSD BE'!$O$26+'TUSD BF'!$O$26+'TUSD CVA'!$O$26)*(1 - 0.65)</f>
        <v>0</v>
      </c>
      <c r="P26" s="31">
        <v>0</v>
      </c>
      <c r="Q26" s="31">
        <f>('TUSD BE'!$Q$26+'TUSD BF'!$Q$26+'TUSD CVA'!$Q$26)*(1 - 0.65)</f>
        <v>0</v>
      </c>
      <c r="R26" s="31">
        <v>0</v>
      </c>
      <c r="S26" s="31">
        <f>('TUSD BE'!$S$26+'TUSD BF'!$S$26+'TUSD CVA'!$S$26)*(1 - 0.65)</f>
        <v>0</v>
      </c>
      <c r="T26" s="31">
        <f>('TUSD BE'!$U$26+'TUSD BF'!$U$26+'TUSD CVA'!$U$26)*(1 - 0.65)</f>
        <v>0</v>
      </c>
      <c r="U26" s="31">
        <f>('TUSD BE'!$V$26+'TUSD BF'!$V$26+'TUSD CVA'!$V$26)*(1 - 0.65)</f>
        <v>0</v>
      </c>
      <c r="V26" s="31">
        <f>('TUSD BE'!$W$26+'TUSD BF'!$W$26+'TUSD CVA'!$W$26)*(1 - 0.65)</f>
        <v>0</v>
      </c>
      <c r="W26" s="31">
        <f>('TUSD BE'!$X$26+'TUSD BF'!$X$26+'TUSD CVA'!$X$26)*(1 - 0.65)</f>
        <v>0</v>
      </c>
      <c r="X26" s="31">
        <f>('TUSD BE'!$Y$26+'TUSD BF'!$Y$26+'TUSD CVA'!$Y$26)*(1 - 0.65)</f>
        <v>36.097075352510025</v>
      </c>
      <c r="Y26" s="31">
        <f>('TUSD BE'!$Z$26+'TUSD BF'!$Z$26+'TUSD CVA'!$Z$26)*(1 - 0.65)</f>
        <v>0</v>
      </c>
      <c r="Z26" s="31">
        <f>('TUSD BE'!$AA$26+'TUSD BF'!$AA$26+'TUSD CVA'!$AA$26)*(1 - 0.65)</f>
        <v>0</v>
      </c>
      <c r="AA26" s="31">
        <f>('TUSD BE'!$AC$26+'TUSD BF'!$AC$26+'TUSD CVA'!$AC$26)*(1 - 0.65)</f>
        <v>57.522517870929768</v>
      </c>
      <c r="AB26" s="31">
        <f ca="1">('TUSD BE'!$AE$26+'TUSD BF'!$AE$26+'TUSD CVA'!$AE$26)*(1 - 0.65)</f>
        <v>0</v>
      </c>
      <c r="AC26" s="31">
        <f ca="1">('TUSD BE'!$AF$26+'TUSD BF'!$AF$26+'TUSD CVA'!$AF$26)*(1 - 0.65)</f>
        <v>0</v>
      </c>
      <c r="AD26" s="31">
        <f>('TUSD BE'!$AH$26+'TUSD BF'!$AH$26+'TUSD CVA'!$AH$26)*(1 - 0.65)</f>
        <v>6.8641242034074894</v>
      </c>
      <c r="AE26" s="31">
        <f>('TUSD BE'!$AI$26+'TUSD BF'!$AI$26+'TUSD CVA'!$AI$26)*(1 - 0.65)</f>
        <v>0.14851030555855491</v>
      </c>
      <c r="AF26" s="31">
        <f ca="1">('TUSD BE'!$AJ$26+'TUSD BF'!$AJ$26+'TUSD CVA'!$AJ$26)*(1 - 0.65)</f>
        <v>0.11893065335086059</v>
      </c>
      <c r="AG26" s="31">
        <f ca="1">('TUSD BE'!$AK$26+'TUSD BF'!$AK$26+'TUSD CVA'!$AK$26)*(1 - 0.65)</f>
        <v>0.12993524321607872</v>
      </c>
      <c r="AI26" s="31">
        <v>0</v>
      </c>
      <c r="AJ26" s="31">
        <v>0.22616796573022699</v>
      </c>
      <c r="AK26" s="31">
        <v>1.21990230678457</v>
      </c>
      <c r="AL26" s="31">
        <v>0</v>
      </c>
      <c r="AM26" s="31">
        <v>0</v>
      </c>
      <c r="AN26" s="31">
        <v>0</v>
      </c>
      <c r="AO26" s="31">
        <v>0</v>
      </c>
      <c r="AP26" s="31">
        <v>0</v>
      </c>
      <c r="AQ26" s="31">
        <v>0</v>
      </c>
      <c r="AR26" s="31">
        <v>0</v>
      </c>
      <c r="AS26" s="31">
        <v>0</v>
      </c>
      <c r="AT26" s="31">
        <v>0</v>
      </c>
      <c r="AU26" s="31">
        <v>34.605940830694799</v>
      </c>
      <c r="AV26" s="31">
        <v>0</v>
      </c>
      <c r="AW26" s="31">
        <v>0</v>
      </c>
      <c r="AX26" s="31">
        <v>49.891202435971799</v>
      </c>
      <c r="AY26" s="31">
        <v>0</v>
      </c>
      <c r="AZ26" s="31">
        <v>0</v>
      </c>
      <c r="BA26" s="31">
        <v>8.4043229614434694</v>
      </c>
      <c r="BB26" s="31">
        <v>0</v>
      </c>
      <c r="BC26" s="31">
        <v>8.8626239939102305E-2</v>
      </c>
      <c r="BD26" s="31">
        <v>0.108989675918799</v>
      </c>
    </row>
    <row r="27" spans="1:56" ht="11.25" customHeight="1" x14ac:dyDescent="0.25">
      <c r="A27" s="149"/>
      <c r="B27" s="149"/>
      <c r="C27" s="149"/>
      <c r="D27" s="56" t="s">
        <v>30</v>
      </c>
      <c r="E27" s="56" t="s">
        <v>25</v>
      </c>
      <c r="F27" s="56" t="s">
        <v>25</v>
      </c>
      <c r="G27" s="57" t="s">
        <v>78</v>
      </c>
      <c r="H27" s="57" t="s">
        <v>74</v>
      </c>
      <c r="I27" s="57">
        <f>'MERCADO TUSD'!$U$24</f>
        <v>0</v>
      </c>
      <c r="J27" s="15"/>
      <c r="L27" s="31">
        <f>('TUSD BE'!$L$27+'TUSD BF'!$L$27+'TUSD CVA'!$L$27)*(1 - 0.4)</f>
        <v>0</v>
      </c>
      <c r="M27" s="31">
        <f>('TUSD BE'!$M$27+'TUSD BF'!$M$27+'TUSD CVA'!$M$27)*(1 - 0.4)</f>
        <v>0.45861814848163662</v>
      </c>
      <c r="N27" s="31">
        <f ca="1">('TUSD BE'!$N$27+'TUSD BF'!$N$27+'TUSD CVA'!$N$27)*(1 - 0.4)</f>
        <v>2.4106844554163573</v>
      </c>
      <c r="O27" s="31">
        <f>('TUSD BE'!$O$27+'TUSD BF'!$O$27+'TUSD CVA'!$O$27)*(1 - 0.4)</f>
        <v>0</v>
      </c>
      <c r="P27" s="31">
        <v>0</v>
      </c>
      <c r="Q27" s="31">
        <f>('TUSD BE'!$Q$27+'TUSD BF'!$Q$27+'TUSD CVA'!$Q$27)*(1 - 0.4)</f>
        <v>0</v>
      </c>
      <c r="R27" s="31">
        <v>0</v>
      </c>
      <c r="S27" s="31">
        <f>('TUSD BE'!$S$27+'TUSD BF'!$S$27+'TUSD CVA'!$S$27)*(1 - 0.4)</f>
        <v>0</v>
      </c>
      <c r="T27" s="31">
        <f>('TUSD BE'!$U$27+'TUSD BF'!$U$27+'TUSD CVA'!$U$27)*(1 - 0.4)</f>
        <v>0</v>
      </c>
      <c r="U27" s="31">
        <f>('TUSD BE'!$V$27+'TUSD BF'!$V$27+'TUSD CVA'!$V$27)*(1 - 0.4)</f>
        <v>0</v>
      </c>
      <c r="V27" s="31">
        <f>('TUSD BE'!$W$27+'TUSD BF'!$W$27+'TUSD CVA'!$W$27)*(1 - 0.4)</f>
        <v>0</v>
      </c>
      <c r="W27" s="31">
        <f>('TUSD BE'!$X$27+'TUSD BF'!$X$27+'TUSD CVA'!$X$27)*(1 - 0.4)</f>
        <v>0</v>
      </c>
      <c r="X27" s="31">
        <f>('TUSD BE'!$Y$27+'TUSD BF'!$Y$27+'TUSD CVA'!$Y$27)*(1 - 0.4)</f>
        <v>61.880700604302902</v>
      </c>
      <c r="Y27" s="31">
        <f>('TUSD BE'!$Z$27+'TUSD BF'!$Z$27+'TUSD CVA'!$Z$27)*(1 - 0.4)</f>
        <v>0</v>
      </c>
      <c r="Z27" s="31">
        <f>('TUSD BE'!$AA$27+'TUSD BF'!$AA$27+'TUSD CVA'!$AA$27)*(1 - 0.4)</f>
        <v>0</v>
      </c>
      <c r="AA27" s="31">
        <f>('TUSD BE'!$AC$27+'TUSD BF'!$AC$27+'TUSD CVA'!$AC$27)*(1 - 0.4)</f>
        <v>98.610030635879596</v>
      </c>
      <c r="AB27" s="31">
        <f ca="1">('TUSD BE'!$AE$27+'TUSD BF'!$AE$27+'TUSD CVA'!$AE$27)*(1 - 0.4)</f>
        <v>0</v>
      </c>
      <c r="AC27" s="31">
        <f ca="1">('TUSD BE'!$AF$27+'TUSD BF'!$AF$27+'TUSD CVA'!$AF$27)*(1 - 0.4)</f>
        <v>0</v>
      </c>
      <c r="AD27" s="31">
        <f>('TUSD BE'!$AH$27+'TUSD BF'!$AH$27+'TUSD CVA'!$AH$27)*(1 - 0.4)</f>
        <v>11.767070062984269</v>
      </c>
      <c r="AE27" s="31">
        <f>('TUSD BE'!$AI$27+'TUSD BF'!$AI$27+'TUSD CVA'!$AI$27)*(1 - 0.4)</f>
        <v>0.25458909524323697</v>
      </c>
      <c r="AF27" s="31">
        <f ca="1">('TUSD BE'!$AJ$27+'TUSD BF'!$AJ$27+'TUSD CVA'!$AJ$27)*(1 - 0.4)</f>
        <v>0.20388112003004674</v>
      </c>
      <c r="AG27" s="31">
        <f ca="1">('TUSD BE'!$AK$27+'TUSD BF'!$AK$27+'TUSD CVA'!$AK$27)*(1 - 0.4)</f>
        <v>0.22274613122756354</v>
      </c>
      <c r="AI27" s="31">
        <v>0</v>
      </c>
      <c r="AJ27" s="31">
        <v>0.38771651268038998</v>
      </c>
      <c r="AK27" s="31">
        <v>2.0912610973449799</v>
      </c>
      <c r="AL27" s="31">
        <v>0</v>
      </c>
      <c r="AM27" s="31">
        <v>0</v>
      </c>
      <c r="AN27" s="31">
        <v>0</v>
      </c>
      <c r="AO27" s="31">
        <v>0</v>
      </c>
      <c r="AP27" s="31">
        <v>0</v>
      </c>
      <c r="AQ27" s="31">
        <v>0</v>
      </c>
      <c r="AR27" s="31">
        <v>0</v>
      </c>
      <c r="AS27" s="31">
        <v>0</v>
      </c>
      <c r="AT27" s="31">
        <v>0</v>
      </c>
      <c r="AU27" s="31">
        <v>59.324469995476797</v>
      </c>
      <c r="AV27" s="31">
        <v>0</v>
      </c>
      <c r="AW27" s="31">
        <v>0</v>
      </c>
      <c r="AX27" s="31">
        <v>85.527775604523001</v>
      </c>
      <c r="AY27" s="31">
        <v>0</v>
      </c>
      <c r="AZ27" s="31">
        <v>0</v>
      </c>
      <c r="BA27" s="31">
        <v>14.4074107910459</v>
      </c>
      <c r="BB27" s="31">
        <v>0</v>
      </c>
      <c r="BC27" s="31">
        <v>0.15193069703846099</v>
      </c>
      <c r="BD27" s="31">
        <v>0.186839444432227</v>
      </c>
    </row>
    <row r="28" spans="1:56" ht="11.25" customHeight="1" x14ac:dyDescent="0.25">
      <c r="A28" s="149"/>
      <c r="B28" s="149"/>
      <c r="C28" s="149"/>
      <c r="D28" s="56" t="s">
        <v>31</v>
      </c>
      <c r="E28" s="56" t="s">
        <v>25</v>
      </c>
      <c r="F28" s="56" t="s">
        <v>25</v>
      </c>
      <c r="G28" s="57" t="s">
        <v>78</v>
      </c>
      <c r="H28" s="57" t="s">
        <v>74</v>
      </c>
      <c r="I28" s="57">
        <f>'MERCADO TUSD'!$U$25</f>
        <v>0</v>
      </c>
      <c r="J28" s="15"/>
      <c r="L28" s="31">
        <f>('TUSD BE'!$L$28+'TUSD BF'!$L$28+'TUSD CVA'!$L$28)*(1 - 0.1)</f>
        <v>0</v>
      </c>
      <c r="M28" s="31">
        <f>('TUSD BE'!$M$28+'TUSD BF'!$M$28+'TUSD CVA'!$M$28)*(1 - 0.1)</f>
        <v>0.68792722272245499</v>
      </c>
      <c r="N28" s="31">
        <f ca="1">('TUSD BE'!$N$28+'TUSD BF'!$N$28+'TUSD CVA'!$N$28)*(1 - 0.1)</f>
        <v>3.6160266831245367</v>
      </c>
      <c r="O28" s="31">
        <f>('TUSD BE'!$O$28+'TUSD BF'!$O$28+'TUSD CVA'!$O$28)*(1 - 0.1)</f>
        <v>0</v>
      </c>
      <c r="P28" s="31">
        <v>0</v>
      </c>
      <c r="Q28" s="31">
        <f>('TUSD BE'!$Q$28+'TUSD BF'!$Q$28+'TUSD CVA'!$Q$28)*(1 - 0.1)</f>
        <v>0</v>
      </c>
      <c r="R28" s="31">
        <v>0</v>
      </c>
      <c r="S28" s="31">
        <f>('TUSD BE'!$S$28+'TUSD BF'!$S$28+'TUSD CVA'!$S$28)*(1 - 0.1)</f>
        <v>0</v>
      </c>
      <c r="T28" s="31">
        <f>('TUSD BE'!$U$28+'TUSD BF'!$U$28+'TUSD CVA'!$U$28)*(1 - 0.1)</f>
        <v>0</v>
      </c>
      <c r="U28" s="31">
        <f>('TUSD BE'!$V$28+'TUSD BF'!$V$28+'TUSD CVA'!$V$28)*(1 - 0.1)</f>
        <v>0</v>
      </c>
      <c r="V28" s="31">
        <f>('TUSD BE'!$W$28+'TUSD BF'!$W$28+'TUSD CVA'!$W$28)*(1 - 0.1)</f>
        <v>0</v>
      </c>
      <c r="W28" s="31">
        <f>('TUSD BE'!$X$28+'TUSD BF'!$X$28+'TUSD CVA'!$X$28)*(1 - 0.1)</f>
        <v>0</v>
      </c>
      <c r="X28" s="31">
        <f>('TUSD BE'!$Y$28+'TUSD BF'!$Y$28+'TUSD CVA'!$Y$28)*(1 - 0.1)</f>
        <v>92.82105090645436</v>
      </c>
      <c r="Y28" s="31">
        <f>('TUSD BE'!$Z$28+'TUSD BF'!$Z$28+'TUSD CVA'!$Z$28)*(1 - 0.1)</f>
        <v>0</v>
      </c>
      <c r="Z28" s="31">
        <f>('TUSD BE'!$AA$28+'TUSD BF'!$AA$28+'TUSD CVA'!$AA$28)*(1 - 0.1)</f>
        <v>0</v>
      </c>
      <c r="AA28" s="31">
        <f>('TUSD BE'!$AC$28+'TUSD BF'!$AC$28+'TUSD CVA'!$AC$28)*(1 - 0.1)</f>
        <v>147.9150459538194</v>
      </c>
      <c r="AB28" s="31">
        <f ca="1">('TUSD BE'!$AE$28+'TUSD BF'!$AE$28+'TUSD CVA'!$AE$28)*(1 - 0.1)</f>
        <v>0</v>
      </c>
      <c r="AC28" s="31">
        <f ca="1">('TUSD BE'!$AF$28+'TUSD BF'!$AF$28+'TUSD CVA'!$AF$28)*(1 - 0.1)</f>
        <v>0</v>
      </c>
      <c r="AD28" s="31">
        <f>('TUSD BE'!$AH$28+'TUSD BF'!$AH$28+'TUSD CVA'!$AH$28)*(1 - 0.1)</f>
        <v>17.650605094476404</v>
      </c>
      <c r="AE28" s="31">
        <f>('TUSD BE'!$AI$28+'TUSD BF'!$AI$28+'TUSD CVA'!$AI$28)*(1 - 0.1)</f>
        <v>0.38188364286485549</v>
      </c>
      <c r="AF28" s="31">
        <f ca="1">('TUSD BE'!$AJ$28+'TUSD BF'!$AJ$28+'TUSD CVA'!$AJ$28)*(1 - 0.1)</f>
        <v>0.3058216800450701</v>
      </c>
      <c r="AG28" s="31">
        <f ca="1">('TUSD BE'!$AK$28+'TUSD BF'!$AK$28+'TUSD CVA'!$AK$28)*(1 - 0.1)</f>
        <v>0.33411919684134533</v>
      </c>
      <c r="AI28" s="31">
        <v>0</v>
      </c>
      <c r="AJ28" s="31">
        <v>0.58157476902058503</v>
      </c>
      <c r="AK28" s="31">
        <v>3.1368916460174701</v>
      </c>
      <c r="AL28" s="31">
        <v>0</v>
      </c>
      <c r="AM28" s="31">
        <v>0</v>
      </c>
      <c r="AN28" s="31">
        <v>0</v>
      </c>
      <c r="AO28" s="31">
        <v>0</v>
      </c>
      <c r="AP28" s="31">
        <v>0</v>
      </c>
      <c r="AQ28" s="31">
        <v>0</v>
      </c>
      <c r="AR28" s="31">
        <v>0</v>
      </c>
      <c r="AS28" s="31">
        <v>0</v>
      </c>
      <c r="AT28" s="31">
        <v>0</v>
      </c>
      <c r="AU28" s="31">
        <v>88.986704993215199</v>
      </c>
      <c r="AV28" s="31">
        <v>0</v>
      </c>
      <c r="AW28" s="31">
        <v>0</v>
      </c>
      <c r="AX28" s="31">
        <v>128.29166340678501</v>
      </c>
      <c r="AY28" s="31">
        <v>0</v>
      </c>
      <c r="AZ28" s="31">
        <v>0</v>
      </c>
      <c r="BA28" s="31">
        <v>21.6111161865689</v>
      </c>
      <c r="BB28" s="31">
        <v>0</v>
      </c>
      <c r="BC28" s="31">
        <v>0.227896045557692</v>
      </c>
      <c r="BD28" s="31">
        <v>0.280259166648341</v>
      </c>
    </row>
    <row r="29" spans="1:56" ht="11.25" customHeight="1" x14ac:dyDescent="0.25">
      <c r="A29" s="149"/>
      <c r="B29" s="149"/>
      <c r="C29" s="149"/>
      <c r="D29" s="56" t="s">
        <v>32</v>
      </c>
      <c r="E29" s="56" t="s">
        <v>25</v>
      </c>
      <c r="F29" s="56" t="s">
        <v>25</v>
      </c>
      <c r="G29" s="57" t="s">
        <v>78</v>
      </c>
      <c r="H29" s="57" t="s">
        <v>74</v>
      </c>
      <c r="I29" s="57">
        <f>'MERCADO TUSD'!$U$26</f>
        <v>0</v>
      </c>
      <c r="J29" s="15"/>
      <c r="L29" s="31">
        <f>('TUSD BE'!$L$29+'TUSD BF'!$L$29+'TUSD CVA'!$L$29)*1</f>
        <v>0</v>
      </c>
      <c r="M29" s="31">
        <f>('TUSD BE'!$M$29+'TUSD BF'!$M$29+'TUSD CVA'!$M$29)*1</f>
        <v>0.7643635808027277</v>
      </c>
      <c r="N29" s="31">
        <f ca="1">('TUSD BE'!$N$29+'TUSD BF'!$N$29+'TUSD CVA'!$N$29)*1</f>
        <v>4.0178074256939293</v>
      </c>
      <c r="O29" s="31">
        <f>('TUSD BE'!$O$29+'TUSD BF'!$O$29+'TUSD CVA'!$O$29)*1</f>
        <v>0</v>
      </c>
      <c r="P29" s="31">
        <v>0</v>
      </c>
      <c r="Q29" s="31">
        <f>('TUSD BE'!$Q$29+'TUSD BF'!$Q$29+'TUSD CVA'!$Q$29)*1</f>
        <v>0</v>
      </c>
      <c r="R29" s="31">
        <v>0</v>
      </c>
      <c r="S29" s="31">
        <f>('TUSD BE'!$S$29+'TUSD BF'!$S$29+'TUSD CVA'!$S$29)*1</f>
        <v>0</v>
      </c>
      <c r="T29" s="31">
        <f>('TUSD BE'!$U$29+'TUSD BF'!$U$29+'TUSD CVA'!$U$29)*1</f>
        <v>0</v>
      </c>
      <c r="U29" s="31">
        <f>('TUSD BE'!$V$29+'TUSD BF'!$V$29+'TUSD CVA'!$V$29)*1</f>
        <v>0</v>
      </c>
      <c r="V29" s="31">
        <f>('TUSD BE'!$W$29+'TUSD BF'!$W$29+'TUSD CVA'!$W$29)*1</f>
        <v>0</v>
      </c>
      <c r="W29" s="31">
        <f>('TUSD BE'!$X$29+'TUSD BF'!$X$29+'TUSD CVA'!$X$29)*1</f>
        <v>0</v>
      </c>
      <c r="X29" s="31">
        <f>('TUSD BE'!$Y$29+'TUSD BF'!$Y$29+'TUSD CVA'!$Y$29)*1</f>
        <v>103.13450100717151</v>
      </c>
      <c r="Y29" s="31">
        <f>('TUSD BE'!$Z$29+'TUSD BF'!$Z$29+'TUSD CVA'!$Z$29)*1</f>
        <v>0</v>
      </c>
      <c r="Z29" s="31">
        <f>('TUSD BE'!$AA$29+'TUSD BF'!$AA$29+'TUSD CVA'!$AA$29)*1</f>
        <v>0</v>
      </c>
      <c r="AA29" s="31">
        <f>('TUSD BE'!$AC$29+'TUSD BF'!$AC$29+'TUSD CVA'!$AC$29)*1</f>
        <v>164.35005105979934</v>
      </c>
      <c r="AB29" s="31">
        <f ca="1">('TUSD BE'!$AE$29+'TUSD BF'!$AE$29+'TUSD CVA'!$AE$29)*1</f>
        <v>0</v>
      </c>
      <c r="AC29" s="31">
        <f ca="1">('TUSD BE'!$AF$29+'TUSD BF'!$AF$29+'TUSD CVA'!$AF$29)*1</f>
        <v>0</v>
      </c>
      <c r="AD29" s="31">
        <f>('TUSD BE'!$AH$29+'TUSD BF'!$AH$29+'TUSD CVA'!$AH$29)*1</f>
        <v>19.611783438307114</v>
      </c>
      <c r="AE29" s="31">
        <f>('TUSD BE'!$AI$29+'TUSD BF'!$AI$29+'TUSD CVA'!$AI$29)*1</f>
        <v>0.42431515873872833</v>
      </c>
      <c r="AF29" s="31">
        <f ca="1">('TUSD BE'!$AJ$29+'TUSD BF'!$AJ$29+'TUSD CVA'!$AJ$29)*1</f>
        <v>0.33980186671674456</v>
      </c>
      <c r="AG29" s="31">
        <f ca="1">('TUSD BE'!$AK$29+'TUSD BF'!$AK$29+'TUSD CVA'!$AK$29)*1</f>
        <v>0.37124355204593923</v>
      </c>
      <c r="AI29" s="31">
        <v>0</v>
      </c>
      <c r="AJ29" s="31">
        <v>0.64619418780064997</v>
      </c>
      <c r="AK29" s="31">
        <v>3.4854351622416302</v>
      </c>
      <c r="AL29" s="31">
        <v>0</v>
      </c>
      <c r="AM29" s="31">
        <v>0</v>
      </c>
      <c r="AN29" s="31">
        <v>0</v>
      </c>
      <c r="AO29" s="31">
        <v>0</v>
      </c>
      <c r="AP29" s="31">
        <v>0</v>
      </c>
      <c r="AQ29" s="31">
        <v>0</v>
      </c>
      <c r="AR29" s="31">
        <v>0</v>
      </c>
      <c r="AS29" s="31">
        <v>0</v>
      </c>
      <c r="AT29" s="31">
        <v>0</v>
      </c>
      <c r="AU29" s="31">
        <v>98.874116659128006</v>
      </c>
      <c r="AV29" s="31">
        <v>0</v>
      </c>
      <c r="AW29" s="31">
        <v>0</v>
      </c>
      <c r="AX29" s="31">
        <v>142.54629267420501</v>
      </c>
      <c r="AY29" s="31">
        <v>0</v>
      </c>
      <c r="AZ29" s="31">
        <v>0</v>
      </c>
      <c r="BA29" s="31">
        <v>24.012351318409898</v>
      </c>
      <c r="BB29" s="31">
        <v>0</v>
      </c>
      <c r="BC29" s="31">
        <v>0.25321782839743501</v>
      </c>
      <c r="BD29" s="31">
        <v>0.31139907405371198</v>
      </c>
    </row>
    <row r="30" spans="1:56" ht="11.25" customHeight="1" x14ac:dyDescent="0.25">
      <c r="A30" s="149" t="s">
        <v>41</v>
      </c>
      <c r="B30" s="149" t="s">
        <v>50</v>
      </c>
      <c r="C30" s="149" t="s">
        <v>42</v>
      </c>
      <c r="D30" s="149" t="s">
        <v>25</v>
      </c>
      <c r="E30" s="149" t="s">
        <v>25</v>
      </c>
      <c r="F30" s="149" t="s">
        <v>25</v>
      </c>
      <c r="G30" s="57" t="s">
        <v>75</v>
      </c>
      <c r="H30" s="57" t="s">
        <v>74</v>
      </c>
      <c r="I30" s="57">
        <f>'MERCADO TUSD'!$U$27</f>
        <v>0</v>
      </c>
      <c r="J30" s="15"/>
      <c r="L30" s="31">
        <f>('TUSD BE'!$L$30+'TUSD BF'!$L$30+'TUSD CVA'!$L$30)*(1 - CUSTOS!$M$38)</f>
        <v>0</v>
      </c>
      <c r="M30" s="31">
        <f>('TUSD BE'!$M$30+'TUSD BF'!$M$30+'TUSD CVA'!$M$30)*(1 - CUSTOS!$M$38)</f>
        <v>0.71850176595456405</v>
      </c>
      <c r="N30" s="31">
        <f ca="1">('TUSD BE'!$N$30+'TUSD BF'!$N$30+'TUSD CVA'!$N$30)*(1 - CUSTOS!$M$38)</f>
        <v>10.468702055932615</v>
      </c>
      <c r="O30" s="31">
        <f>('TUSD BE'!$O$30+'TUSD BF'!$O$30+'TUSD CVA'!$O$30)*(1 - CUSTOS!$M$38)</f>
        <v>0</v>
      </c>
      <c r="P30" s="31">
        <f>('TUSD BE'!$P$30+'TUSD BF'!$P$30+'TUSD CVA'!$P$30)*(1 - CUSTOS!$M$38)</f>
        <v>0</v>
      </c>
      <c r="Q30" s="31">
        <f>('TUSD BE'!$Q$30+'TUSD BF'!$Q$30+'TUSD CVA'!$Q$30)*(1 - CUSTOS!$M$38)</f>
        <v>100.98133319426739</v>
      </c>
      <c r="R30" s="31">
        <f>('TUSD BE'!$R$30+'TUSD BF'!$R$30+'TUSD CVA'!$R$30)*(1 - CUSTOS!$M$38)</f>
        <v>16.106010068626837</v>
      </c>
      <c r="S30" s="31">
        <f>('TUSD BE'!$S$30+'TUSD BF'!$S$30+'TUSD CVA'!$S$30)*(1 - CUSTOS!$M$38)</f>
        <v>0</v>
      </c>
      <c r="T30" s="31">
        <f>('TUSD BE'!$U$30+'TUSD BF'!$U$30+'TUSD CVA'!$U$30)*(1 - CUSTOS!$M$38)</f>
        <v>0</v>
      </c>
      <c r="U30" s="31">
        <f>('TUSD BE'!$V$30+'TUSD BF'!$V$30+'TUSD CVA'!$V$30)*(1 - CUSTOS!$M$38)</f>
        <v>0</v>
      </c>
      <c r="V30" s="31">
        <f>('TUSD BE'!$W$30+'TUSD BF'!$W$30+'TUSD CVA'!$W$30)*(1 - CUSTOS!$M$38)</f>
        <v>0</v>
      </c>
      <c r="W30" s="31">
        <f>('TUSD BE'!$X$30+'TUSD BF'!$X$30+'TUSD CVA'!$X$30)*(1 - CUSTOS!$M$38)</f>
        <v>0</v>
      </c>
      <c r="X30" s="31">
        <f>('TUSD BE'!$Y$30+'TUSD BF'!$Y$30+'TUSD CVA'!$Y$30)*(1 - CUSTOS!$M$38)</f>
        <v>300.53381757382897</v>
      </c>
      <c r="Y30" s="31">
        <f>('TUSD BE'!$Z$30+'TUSD BF'!$Z$30+'TUSD CVA'!$Z$30)*(1 - CUSTOS!$M$38)</f>
        <v>0</v>
      </c>
      <c r="Z30" s="31">
        <f>('TUSD BE'!$AA$30+'TUSD BF'!$AA$30+'TUSD CVA'!$AA$30)*(1 - CUSTOS!$M$38)</f>
        <v>0</v>
      </c>
      <c r="AA30" s="31">
        <f>('TUSD BE'!$AC$30+'TUSD BF'!$AC$30+'TUSD CVA'!$AC$30)*(1 - CUSTOS!$M$38)</f>
        <v>478.91606794151545</v>
      </c>
      <c r="AB30" s="31">
        <f ca="1">('TUSD BE'!$AE$30+'TUSD BF'!$AE$30+'TUSD CVA'!$AE$30)*(1 - CUSTOS!$M$38)</f>
        <v>0</v>
      </c>
      <c r="AC30" s="31">
        <f ca="1">('TUSD BE'!$AF$30+'TUSD BF'!$AF$30+'TUSD CVA'!$AF$30)*(1 - CUSTOS!$M$38)</f>
        <v>0</v>
      </c>
      <c r="AD30" s="31">
        <f>('TUSD BE'!$AH$30+'TUSD BF'!$AH$30+'TUSD CVA'!$AH$30)*(1 - CUSTOS!$M$38)</f>
        <v>18.435076432008685</v>
      </c>
      <c r="AE30" s="31">
        <f>('TUSD BE'!$AI$30+'TUSD BF'!$AI$30+'TUSD CVA'!$AI$30)*(1 - CUSTOS!$M$38)</f>
        <v>0.3988562492144046</v>
      </c>
      <c r="AF30" s="31">
        <f ca="1">('TUSD BE'!$AJ$30+'TUSD BF'!$AJ$30+'TUSD CVA'!$AJ$30)*(1 - CUSTOS!$M$38)</f>
        <v>0.31941375471373989</v>
      </c>
      <c r="AG30" s="31">
        <f ca="1">('TUSD BE'!$AK$30+'TUSD BF'!$AK$30+'TUSD CVA'!$AK$30)*(1 - CUSTOS!$M$38)</f>
        <v>0.34896893892318287</v>
      </c>
      <c r="AI30" s="31">
        <v>0</v>
      </c>
      <c r="AJ30" s="31">
        <v>0.56865088526457197</v>
      </c>
      <c r="AK30" s="31">
        <v>8.2550304290376104</v>
      </c>
      <c r="AL30" s="31">
        <v>0</v>
      </c>
      <c r="AM30" s="31">
        <v>0</v>
      </c>
      <c r="AN30" s="31">
        <v>51.415521580940997</v>
      </c>
      <c r="AO30" s="31">
        <v>8.7501418112907796</v>
      </c>
      <c r="AP30" s="31">
        <v>0</v>
      </c>
      <c r="AQ30" s="31">
        <v>0</v>
      </c>
      <c r="AR30" s="31">
        <v>0</v>
      </c>
      <c r="AS30" s="31">
        <v>0</v>
      </c>
      <c r="AT30" s="31">
        <v>0</v>
      </c>
      <c r="AU30" s="31">
        <v>278.42937736579302</v>
      </c>
      <c r="AV30" s="31">
        <v>0</v>
      </c>
      <c r="AW30" s="31">
        <v>0</v>
      </c>
      <c r="AX30" s="31">
        <v>401.410477625444</v>
      </c>
      <c r="AY30" s="31">
        <v>0</v>
      </c>
      <c r="AZ30" s="31">
        <v>0</v>
      </c>
      <c r="BA30" s="31">
        <v>21.130869160200699</v>
      </c>
      <c r="BB30" s="31">
        <v>0</v>
      </c>
      <c r="BC30" s="31">
        <v>0.22283168898974301</v>
      </c>
      <c r="BD30" s="31">
        <v>0.27403118516726699</v>
      </c>
    </row>
    <row r="31" spans="1:56" ht="11.25" customHeight="1" x14ac:dyDescent="0.25">
      <c r="A31" s="149"/>
      <c r="B31" s="149"/>
      <c r="C31" s="149"/>
      <c r="D31" s="149"/>
      <c r="E31" s="149"/>
      <c r="F31" s="149"/>
      <c r="G31" s="57" t="s">
        <v>87</v>
      </c>
      <c r="H31" s="57" t="s">
        <v>74</v>
      </c>
      <c r="I31" s="57">
        <f>'MERCADO TUSD'!$U$28</f>
        <v>0</v>
      </c>
      <c r="J31" s="15"/>
      <c r="L31" s="31">
        <f>('TUSD BE'!$L$31+'TUSD BF'!$L$31+'TUSD CVA'!$L$31)*(1 - CUSTOS!$M$38)</f>
        <v>0</v>
      </c>
      <c r="M31" s="31">
        <f>('TUSD BE'!$M$31+'TUSD BF'!$M$31+'TUSD CVA'!$M$31)*(1 - CUSTOS!$M$38)</f>
        <v>0.71850176595456405</v>
      </c>
      <c r="N31" s="31">
        <f ca="1">('TUSD BE'!$N$31+'TUSD BF'!$N$31+'TUSD CVA'!$N$31)*(1 - CUSTOS!$M$38)</f>
        <v>6.5247272256858073</v>
      </c>
      <c r="O31" s="31">
        <f>('TUSD BE'!$O$31+'TUSD BF'!$O$31+'TUSD CVA'!$O$31)*(1 - CUSTOS!$M$38)</f>
        <v>0</v>
      </c>
      <c r="P31" s="31">
        <f>('TUSD BE'!$P$31+'TUSD BF'!$P$31+'TUSD CVA'!$P$31)*(1 - CUSTOS!$M$38)</f>
        <v>0</v>
      </c>
      <c r="Q31" s="31">
        <f>('TUSD BE'!$Q$31+'TUSD BF'!$Q$31+'TUSD CVA'!$Q$31)*(1 - CUSTOS!$M$38)</f>
        <v>100.98133319426739</v>
      </c>
      <c r="R31" s="31">
        <f>('TUSD BE'!$R$31+'TUSD BF'!$R$31+'TUSD CVA'!$R$31)*(1 - CUSTOS!$M$38)</f>
        <v>16.106010068626837</v>
      </c>
      <c r="S31" s="31">
        <f>('TUSD BE'!$S$31+'TUSD BF'!$S$31+'TUSD CVA'!$S$31)*(1 - CUSTOS!$M$38)</f>
        <v>0</v>
      </c>
      <c r="T31" s="31">
        <f>('TUSD BE'!$U$31+'TUSD BF'!$U$31+'TUSD CVA'!$U$31)*(1 - CUSTOS!$M$38)</f>
        <v>0</v>
      </c>
      <c r="U31" s="31">
        <f>('TUSD BE'!$V$31+'TUSD BF'!$V$31+'TUSD CVA'!$V$31)*(1 - CUSTOS!$M$38)</f>
        <v>0</v>
      </c>
      <c r="V31" s="31">
        <f>('TUSD BE'!$W$31+'TUSD BF'!$W$31+'TUSD CVA'!$W$31)*(1 - CUSTOS!$M$38)</f>
        <v>0</v>
      </c>
      <c r="W31" s="31">
        <f>('TUSD BE'!$X$31+'TUSD BF'!$X$31+'TUSD CVA'!$X$31)*(1 - CUSTOS!$M$38)</f>
        <v>0</v>
      </c>
      <c r="X31" s="31">
        <f>('TUSD BE'!$Y$31+'TUSD BF'!$Y$31+'TUSD CVA'!$Y$31)*(1 - CUSTOS!$M$38)</f>
        <v>180.32029054429745</v>
      </c>
      <c r="Y31" s="31">
        <f>('TUSD BE'!$Z$31+'TUSD BF'!$Z$31+'TUSD CVA'!$Z$31)*(1 - CUSTOS!$M$38)</f>
        <v>0</v>
      </c>
      <c r="Z31" s="31">
        <f>('TUSD BE'!$AA$31+'TUSD BF'!$AA$31+'TUSD CVA'!$AA$31)*(1 - CUSTOS!$M$38)</f>
        <v>0</v>
      </c>
      <c r="AA31" s="31">
        <f>('TUSD BE'!$AC$31+'TUSD BF'!$AC$31+'TUSD CVA'!$AC$31)*(1 - CUSTOS!$M$38)</f>
        <v>287.34965991816955</v>
      </c>
      <c r="AB31" s="31">
        <f ca="1">('TUSD BE'!$AE$31+'TUSD BF'!$AE$31+'TUSD CVA'!$AE$31)*(1 - CUSTOS!$M$38)</f>
        <v>0</v>
      </c>
      <c r="AC31" s="31">
        <f ca="1">('TUSD BE'!$AF$31+'TUSD BF'!$AF$31+'TUSD CVA'!$AF$31)*(1 - CUSTOS!$M$38)</f>
        <v>0</v>
      </c>
      <c r="AD31" s="31">
        <f>('TUSD BE'!$AH$31+'TUSD BF'!$AH$31+'TUSD CVA'!$AH$31)*(1 - CUSTOS!$M$38)</f>
        <v>18.435076432008685</v>
      </c>
      <c r="AE31" s="31">
        <f>('TUSD BE'!$AI$31+'TUSD BF'!$AI$31+'TUSD CVA'!$AI$31)*(1 - CUSTOS!$M$38)</f>
        <v>0.3988562492144046</v>
      </c>
      <c r="AF31" s="31">
        <f ca="1">('TUSD BE'!$AJ$31+'TUSD BF'!$AJ$31+'TUSD CVA'!$AJ$31)*(1 - CUSTOS!$M$38)</f>
        <v>0.31941375471373989</v>
      </c>
      <c r="AG31" s="31">
        <f ca="1">('TUSD BE'!$AK$31+'TUSD BF'!$AK$31+'TUSD CVA'!$AK$31)*(1 - CUSTOS!$M$38)</f>
        <v>0.34896893892318287</v>
      </c>
      <c r="AI31" s="31">
        <v>0</v>
      </c>
      <c r="AJ31" s="31">
        <v>0.56865088526457197</v>
      </c>
      <c r="AK31" s="31">
        <v>5.2437556822631901</v>
      </c>
      <c r="AL31" s="31">
        <v>0</v>
      </c>
      <c r="AM31" s="31">
        <v>0</v>
      </c>
      <c r="AN31" s="31">
        <v>51.415521580940997</v>
      </c>
      <c r="AO31" s="31">
        <v>8.7501418112907796</v>
      </c>
      <c r="AP31" s="31">
        <v>0</v>
      </c>
      <c r="AQ31" s="31">
        <v>0</v>
      </c>
      <c r="AR31" s="31">
        <v>0</v>
      </c>
      <c r="AS31" s="31">
        <v>0</v>
      </c>
      <c r="AT31" s="31">
        <v>0</v>
      </c>
      <c r="AU31" s="31">
        <v>167.057599390213</v>
      </c>
      <c r="AV31" s="31">
        <v>0</v>
      </c>
      <c r="AW31" s="31">
        <v>0</v>
      </c>
      <c r="AX31" s="31">
        <v>240.84632572689401</v>
      </c>
      <c r="AY31" s="31">
        <v>0</v>
      </c>
      <c r="AZ31" s="31">
        <v>0</v>
      </c>
      <c r="BA31" s="31">
        <v>21.130869160200699</v>
      </c>
      <c r="BB31" s="31">
        <v>0</v>
      </c>
      <c r="BC31" s="31">
        <v>0.22283168898974301</v>
      </c>
      <c r="BD31" s="31">
        <v>0.27403118516726699</v>
      </c>
    </row>
    <row r="32" spans="1:56" ht="11.25" customHeight="1" x14ac:dyDescent="0.25">
      <c r="A32" s="149"/>
      <c r="B32" s="149"/>
      <c r="C32" s="149"/>
      <c r="D32" s="149"/>
      <c r="E32" s="149"/>
      <c r="F32" s="149"/>
      <c r="G32" s="57" t="s">
        <v>76</v>
      </c>
      <c r="H32" s="57" t="s">
        <v>74</v>
      </c>
      <c r="I32" s="57">
        <f>'MERCADO TUSD'!$U$29</f>
        <v>0</v>
      </c>
      <c r="J32" s="15"/>
      <c r="L32" s="31">
        <f>('TUSD BE'!$L$32+'TUSD BF'!$L$32+'TUSD CVA'!$L$32)*(1 - CUSTOS!$M$38)</f>
        <v>0</v>
      </c>
      <c r="M32" s="31">
        <f>('TUSD BE'!$M$32+'TUSD BF'!$M$32+'TUSD CVA'!$M$32)*(1 - CUSTOS!$M$38)</f>
        <v>0.71850176595456405</v>
      </c>
      <c r="N32" s="31">
        <f ca="1">('TUSD BE'!$N$32+'TUSD BF'!$N$32+'TUSD CVA'!$N$32)*(1 - CUSTOS!$M$38)</f>
        <v>2.5807523954389948</v>
      </c>
      <c r="O32" s="31">
        <f>('TUSD BE'!$O$32+'TUSD BF'!$O$32+'TUSD CVA'!$O$32)*(1 - CUSTOS!$M$38)</f>
        <v>0</v>
      </c>
      <c r="P32" s="31">
        <f>('TUSD BE'!$P$32+'TUSD BF'!$P$32+'TUSD CVA'!$P$32)*(1 - CUSTOS!$M$38)</f>
        <v>0</v>
      </c>
      <c r="Q32" s="31">
        <f>('TUSD BE'!$Q$32+'TUSD BF'!$Q$32+'TUSD CVA'!$Q$32)*(1 - CUSTOS!$M$38)</f>
        <v>100.98133319426739</v>
      </c>
      <c r="R32" s="31">
        <f>('TUSD BE'!$R$32+'TUSD BF'!$R$32+'TUSD CVA'!$R$32)*(1 - CUSTOS!$M$38)</f>
        <v>16.106010068626837</v>
      </c>
      <c r="S32" s="31">
        <f>('TUSD BE'!$S$32+'TUSD BF'!$S$32+'TUSD CVA'!$S$32)*(1 - CUSTOS!$M$38)</f>
        <v>0</v>
      </c>
      <c r="T32" s="31">
        <f>('TUSD BE'!$U$32+'TUSD BF'!$U$32+'TUSD CVA'!$U$32)*(1 - CUSTOS!$M$38)</f>
        <v>0</v>
      </c>
      <c r="U32" s="31">
        <f>('TUSD BE'!$V$32+'TUSD BF'!$V$32+'TUSD CVA'!$V$32)*(1 - CUSTOS!$M$38)</f>
        <v>0</v>
      </c>
      <c r="V32" s="31">
        <f>('TUSD BE'!$W$32+'TUSD BF'!$W$32+'TUSD CVA'!$W$32)*(1 - CUSTOS!$M$38)</f>
        <v>0</v>
      </c>
      <c r="W32" s="31">
        <f>('TUSD BE'!$X$32+'TUSD BF'!$X$32+'TUSD CVA'!$X$32)*(1 - CUSTOS!$M$38)</f>
        <v>0</v>
      </c>
      <c r="X32" s="31">
        <f>('TUSD BE'!$Y$32+'TUSD BF'!$Y$32+'TUSD CVA'!$Y$32)*(1 - CUSTOS!$M$38)</f>
        <v>60.106763514765809</v>
      </c>
      <c r="Y32" s="31">
        <f>('TUSD BE'!$Z$32+'TUSD BF'!$Z$32+'TUSD CVA'!$Z$32)*(1 - CUSTOS!$M$38)</f>
        <v>0</v>
      </c>
      <c r="Z32" s="31">
        <f>('TUSD BE'!$AA$32+'TUSD BF'!$AA$32+'TUSD CVA'!$AA$32)*(1 - CUSTOS!$M$38)</f>
        <v>0</v>
      </c>
      <c r="AA32" s="31">
        <f>('TUSD BE'!$AC$32+'TUSD BF'!$AC$32+'TUSD CVA'!$AC$32)*(1 - CUSTOS!$M$38)</f>
        <v>95.783251894823607</v>
      </c>
      <c r="AB32" s="31">
        <f ca="1">('TUSD BE'!$AE$32+'TUSD BF'!$AE$32+'TUSD CVA'!$AE$32)*(1 - CUSTOS!$M$38)</f>
        <v>0</v>
      </c>
      <c r="AC32" s="31">
        <f ca="1">('TUSD BE'!$AF$32+'TUSD BF'!$AF$32+'TUSD CVA'!$AF$32)*(1 - CUSTOS!$M$38)</f>
        <v>0</v>
      </c>
      <c r="AD32" s="31">
        <f>('TUSD BE'!$AH$32+'TUSD BF'!$AH$32+'TUSD CVA'!$AH$32)*(1 - CUSTOS!$M$38)</f>
        <v>18.435076432008685</v>
      </c>
      <c r="AE32" s="31">
        <f>('TUSD BE'!$AI$32+'TUSD BF'!$AI$32+'TUSD CVA'!$AI$32)*(1 - CUSTOS!$M$38)</f>
        <v>0.3988562492144046</v>
      </c>
      <c r="AF32" s="31">
        <f ca="1">('TUSD BE'!$AJ$32+'TUSD BF'!$AJ$32+'TUSD CVA'!$AJ$32)*(1 - CUSTOS!$M$38)</f>
        <v>0.31941375471373989</v>
      </c>
      <c r="AG32" s="31">
        <f ca="1">('TUSD BE'!$AK$32+'TUSD BF'!$AK$32+'TUSD CVA'!$AK$32)*(1 - CUSTOS!$M$38)</f>
        <v>0.34896893892318287</v>
      </c>
      <c r="AI32" s="31">
        <v>0</v>
      </c>
      <c r="AJ32" s="31">
        <v>0.56865088526457197</v>
      </c>
      <c r="AK32" s="31">
        <v>2.2324797136368901</v>
      </c>
      <c r="AL32" s="31">
        <v>0</v>
      </c>
      <c r="AM32" s="31">
        <v>0</v>
      </c>
      <c r="AN32" s="31">
        <v>51.415521580940997</v>
      </c>
      <c r="AO32" s="31">
        <v>8.7501418112907796</v>
      </c>
      <c r="AP32" s="31">
        <v>0</v>
      </c>
      <c r="AQ32" s="31">
        <v>0</v>
      </c>
      <c r="AR32" s="31">
        <v>0</v>
      </c>
      <c r="AS32" s="31">
        <v>0</v>
      </c>
      <c r="AT32" s="31">
        <v>0</v>
      </c>
      <c r="AU32" s="31">
        <v>55.685821414633899</v>
      </c>
      <c r="AV32" s="31">
        <v>0</v>
      </c>
      <c r="AW32" s="31">
        <v>0</v>
      </c>
      <c r="AX32" s="31">
        <v>80.282075949274997</v>
      </c>
      <c r="AY32" s="31">
        <v>0</v>
      </c>
      <c r="AZ32" s="31">
        <v>0</v>
      </c>
      <c r="BA32" s="31">
        <v>21.130869160200699</v>
      </c>
      <c r="BB32" s="31">
        <v>0</v>
      </c>
      <c r="BC32" s="31">
        <v>0.22283168898974301</v>
      </c>
      <c r="BD32" s="31">
        <v>0.27403118516726699</v>
      </c>
    </row>
    <row r="33" spans="1:56" ht="11.25" customHeight="1" x14ac:dyDescent="0.25">
      <c r="A33" s="149"/>
      <c r="B33" s="56" t="s">
        <v>23</v>
      </c>
      <c r="C33" s="56" t="s">
        <v>42</v>
      </c>
      <c r="D33" s="56" t="s">
        <v>25</v>
      </c>
      <c r="E33" s="56" t="s">
        <v>25</v>
      </c>
      <c r="F33" s="56" t="s">
        <v>25</v>
      </c>
      <c r="G33" s="57" t="s">
        <v>78</v>
      </c>
      <c r="H33" s="57" t="s">
        <v>74</v>
      </c>
      <c r="I33" s="57">
        <f>'MERCADO TUSD'!$U$30</f>
        <v>11721.666999999998</v>
      </c>
      <c r="J33" s="15"/>
      <c r="L33" s="31">
        <f>('TUSD BE'!$L$33+'TUSD BF'!$L$33+'TUSD CVA'!$L$33)*(1 - CUSTOS!$M$38)</f>
        <v>0</v>
      </c>
      <c r="M33" s="31">
        <f>('TUSD BE'!$M$33+'TUSD BF'!$M$33+'TUSD CVA'!$M$33)*(1 - CUSTOS!$M$38)</f>
        <v>0.71850176595456405</v>
      </c>
      <c r="N33" s="31">
        <f ca="1">('TUSD BE'!$N$33+'TUSD BF'!$N$33+'TUSD CVA'!$N$33)*(1 - CUSTOS!$M$38)</f>
        <v>3.7893897822042986</v>
      </c>
      <c r="O33" s="31">
        <f>('TUSD BE'!$O$33+'TUSD BF'!$O$33+'TUSD CVA'!$O$33)*(1 - CUSTOS!$M$38)</f>
        <v>0</v>
      </c>
      <c r="P33" s="31">
        <f>('TUSD BE'!$P$33+'TUSD BF'!$P$33+'TUSD CVA'!$P$33)*(1 - CUSTOS!$M$38)</f>
        <v>0</v>
      </c>
      <c r="Q33" s="31">
        <f>('TUSD BE'!$Q$33+'TUSD BF'!$Q$33+'TUSD CVA'!$Q$33)*(1 - CUSTOS!$M$38)</f>
        <v>100.98133319426739</v>
      </c>
      <c r="R33" s="31">
        <f>('TUSD BE'!$R$33+'TUSD BF'!$R$33+'TUSD CVA'!$R$33)*(1 - CUSTOS!$M$38)</f>
        <v>16.106010068626837</v>
      </c>
      <c r="S33" s="31">
        <f>('TUSD BE'!$S$33+'TUSD BF'!$S$33+'TUSD CVA'!$S$33)*(1 - CUSTOS!$M$38)</f>
        <v>0</v>
      </c>
      <c r="T33" s="31">
        <f>('TUSD BE'!$U$33+'TUSD BF'!$U$33+'TUSD CVA'!$U$33)*(1 - CUSTOS!$M$38)</f>
        <v>0</v>
      </c>
      <c r="U33" s="31">
        <f>('TUSD BE'!$V$33+'TUSD BF'!$V$33+'TUSD CVA'!$V$33)*(1 - CUSTOS!$M$38)</f>
        <v>0</v>
      </c>
      <c r="V33" s="31">
        <f>('TUSD BE'!$W$33+'TUSD BF'!$W$33+'TUSD CVA'!$W$33)*(1 - CUSTOS!$M$38)</f>
        <v>0</v>
      </c>
      <c r="W33" s="31">
        <f>('TUSD BE'!$X$33+'TUSD BF'!$X$33+'TUSD CVA'!$X$33)*(1 - CUSTOS!$M$38)</f>
        <v>0</v>
      </c>
      <c r="X33" s="31">
        <f>('TUSD BE'!$Y$33+'TUSD BF'!$Y$33+'TUSD CVA'!$Y$33)*(1 - CUSTOS!$M$38)</f>
        <v>96.946430946741216</v>
      </c>
      <c r="Y33" s="31">
        <f>('TUSD BE'!$Z$33+'TUSD BF'!$Z$33+'TUSD CVA'!$Z$33)*(1 - CUSTOS!$M$38)</f>
        <v>0</v>
      </c>
      <c r="Z33" s="31">
        <f>('TUSD BE'!$AA$33+'TUSD BF'!$AA$33+'TUSD CVA'!$AA$33)*(1 - CUSTOS!$M$38)</f>
        <v>0</v>
      </c>
      <c r="AA33" s="31">
        <f>('TUSD BE'!$AC$33+'TUSD BF'!$AC$33+'TUSD CVA'!$AC$33)*(1 - CUSTOS!$M$38)</f>
        <v>154.48904799621138</v>
      </c>
      <c r="AB33" s="31">
        <f ca="1">('TUSD BE'!$AE$33+'TUSD BF'!$AE$33+'TUSD CVA'!$AE$33)*(1 - CUSTOS!$M$38)</f>
        <v>0</v>
      </c>
      <c r="AC33" s="31">
        <f ca="1">('TUSD BE'!$AF$33+'TUSD BF'!$AF$33+'TUSD CVA'!$AF$33)*(1 - CUSTOS!$M$38)</f>
        <v>0</v>
      </c>
      <c r="AD33" s="31">
        <f>('TUSD BE'!$AH$33+'TUSD BF'!$AH$33+'TUSD CVA'!$AH$33)*(1 - CUSTOS!$M$38)</f>
        <v>18.435076432008685</v>
      </c>
      <c r="AE33" s="31">
        <f>('TUSD BE'!$AI$33+'TUSD BF'!$AI$33+'TUSD CVA'!$AI$33)*(1 - CUSTOS!$M$38)</f>
        <v>0.3988562492144046</v>
      </c>
      <c r="AF33" s="31">
        <f ca="1">('TUSD BE'!$AJ$33+'TUSD BF'!$AJ$33+'TUSD CVA'!$AJ$33)*(1 - CUSTOS!$M$38)</f>
        <v>0.31941375471373989</v>
      </c>
      <c r="AG33" s="31">
        <f ca="1">('TUSD BE'!$AK$33+'TUSD BF'!$AK$33+'TUSD CVA'!$AK$33)*(1 - CUSTOS!$M$38)</f>
        <v>0.34896893892318287</v>
      </c>
      <c r="AI33" s="31">
        <v>0</v>
      </c>
      <c r="AJ33" s="31">
        <v>0.56865088526457197</v>
      </c>
      <c r="AK33" s="31">
        <v>3.07940146164175</v>
      </c>
      <c r="AL33" s="31">
        <v>0</v>
      </c>
      <c r="AM33" s="31">
        <v>0</v>
      </c>
      <c r="AN33" s="31">
        <v>51.415521580940997</v>
      </c>
      <c r="AO33" s="31">
        <v>8.7501418112907796</v>
      </c>
      <c r="AP33" s="31">
        <v>0</v>
      </c>
      <c r="AQ33" s="31">
        <v>0</v>
      </c>
      <c r="AR33" s="31">
        <v>0</v>
      </c>
      <c r="AS33" s="31">
        <v>0</v>
      </c>
      <c r="AT33" s="31">
        <v>0</v>
      </c>
      <c r="AU33" s="31">
        <v>87.009222660032606</v>
      </c>
      <c r="AV33" s="31">
        <v>0</v>
      </c>
      <c r="AW33" s="31">
        <v>0</v>
      </c>
      <c r="AX33" s="31">
        <v>125.4407375533</v>
      </c>
      <c r="AY33" s="31">
        <v>0</v>
      </c>
      <c r="AZ33" s="31">
        <v>0</v>
      </c>
      <c r="BA33" s="31">
        <v>21.130869160200699</v>
      </c>
      <c r="BB33" s="31">
        <v>0</v>
      </c>
      <c r="BC33" s="31">
        <v>0.22283168898974301</v>
      </c>
      <c r="BD33" s="31">
        <v>0.27403118516726699</v>
      </c>
    </row>
    <row r="34" spans="1:56" ht="11.25" customHeight="1" x14ac:dyDescent="0.25">
      <c r="A34" s="149"/>
      <c r="B34" s="149" t="s">
        <v>50</v>
      </c>
      <c r="C34" s="149" t="s">
        <v>42</v>
      </c>
      <c r="D34" s="149" t="s">
        <v>90</v>
      </c>
      <c r="E34" s="149" t="s">
        <v>25</v>
      </c>
      <c r="F34" s="149" t="s">
        <v>25</v>
      </c>
      <c r="G34" s="57" t="s">
        <v>75</v>
      </c>
      <c r="H34" s="57" t="s">
        <v>74</v>
      </c>
      <c r="I34" s="57">
        <f>'MERCADO TUSD'!$U$31</f>
        <v>0</v>
      </c>
      <c r="J34" s="15"/>
      <c r="L34" s="31">
        <f>('TUSD BE'!$L$34+'TUSD BF'!$L$34+'TUSD CVA'!$L$34)*(1 - CUSTOS!$M$39)</f>
        <v>0</v>
      </c>
      <c r="M34" s="31">
        <f>('TUSD BE'!$M$34+'TUSD BF'!$M$34+'TUSD CVA'!$M$34)*(1 - CUSTOS!$M$39)</f>
        <v>0.71850176595456405</v>
      </c>
      <c r="N34" s="31">
        <f ca="1">('TUSD BE'!$N$34+'TUSD BF'!$N$34+'TUSD CVA'!$N$34)*(1 - CUSTOS!$M$39)</f>
        <v>10.468702055932615</v>
      </c>
      <c r="O34" s="31">
        <f>('TUSD BE'!$O$34+'TUSD BF'!$O$34+'TUSD CVA'!$O$34)*(1 - CUSTOS!$M$39)</f>
        <v>0</v>
      </c>
      <c r="P34" s="31">
        <f>('TUSD BE'!$P$34+'TUSD BF'!$P$34+'TUSD CVA'!$P$34)*(1 - CUSTOS!$M$39)</f>
        <v>0</v>
      </c>
      <c r="Q34" s="31">
        <f>('TUSD BE'!$Q$34+'TUSD BF'!$Q$34+'TUSD CVA'!$Q$34)*(1 - CUSTOS!$M$39)</f>
        <v>100.98133319426739</v>
      </c>
      <c r="R34" s="31">
        <f>('TUSD BE'!$R$34+'TUSD BF'!$R$34+'TUSD CVA'!$R$34)*(1 - CUSTOS!$M$39)</f>
        <v>16.106010068626837</v>
      </c>
      <c r="S34" s="31">
        <f>('TUSD BE'!$S$34+'TUSD BF'!$S$34+'TUSD CVA'!$S$34)*(1 - CUSTOS!$M$39)</f>
        <v>0</v>
      </c>
      <c r="T34" s="31">
        <f>('TUSD BE'!$U$34+'TUSD BF'!$U$34+'TUSD CVA'!$U$34)*(1 - CUSTOS!$M$39)</f>
        <v>0</v>
      </c>
      <c r="U34" s="31">
        <f>('TUSD BE'!$V$34+'TUSD BF'!$V$34+'TUSD CVA'!$V$34)*(1 - CUSTOS!$M$39)</f>
        <v>0</v>
      </c>
      <c r="V34" s="31">
        <f>('TUSD BE'!$W$34+'TUSD BF'!$W$34+'TUSD CVA'!$W$34)*(1 - CUSTOS!$M$39)</f>
        <v>0</v>
      </c>
      <c r="W34" s="31">
        <f>('TUSD BE'!$X$34+'TUSD BF'!$X$34+'TUSD CVA'!$X$34)*(1 - CUSTOS!$M$39)</f>
        <v>0</v>
      </c>
      <c r="X34" s="31">
        <f>('TUSD BE'!$Y$34+'TUSD BF'!$Y$34+'TUSD CVA'!$Y$34)*(1 - CUSTOS!$M$39)</f>
        <v>300.53381757382897</v>
      </c>
      <c r="Y34" s="31">
        <f>('TUSD BE'!$Z$34+'TUSD BF'!$Z$34+'TUSD CVA'!$Z$34)*(1 - CUSTOS!$M$39)</f>
        <v>0</v>
      </c>
      <c r="Z34" s="31">
        <f>('TUSD BE'!$AA$34+'TUSD BF'!$AA$34+'TUSD CVA'!$AA$34)*(1 - CUSTOS!$M$39)</f>
        <v>0</v>
      </c>
      <c r="AA34" s="31">
        <f>('TUSD BE'!$AC$34+'TUSD BF'!$AC$34+'TUSD CVA'!$AC$34)*(1 - CUSTOS!$M$39)</f>
        <v>478.91606794151545</v>
      </c>
      <c r="AB34" s="31">
        <f ca="1">('TUSD BE'!$AE$34+'TUSD BF'!$AE$34+'TUSD CVA'!$AE$34)*(1 - CUSTOS!$M$39)</f>
        <v>0</v>
      </c>
      <c r="AC34" s="31">
        <f ca="1">('TUSD BE'!$AF$34+'TUSD BF'!$AF$34+'TUSD CVA'!$AF$34)*(1 - CUSTOS!$M$39)</f>
        <v>0</v>
      </c>
      <c r="AD34" s="31">
        <f>('TUSD BE'!$AH$34+'TUSD BF'!$AH$34+'TUSD CVA'!$AH$34)*(1 - CUSTOS!$M$39)</f>
        <v>18.435076432008685</v>
      </c>
      <c r="AE34" s="31">
        <f>('TUSD BE'!$AI$34+'TUSD BF'!$AI$34+'TUSD CVA'!$AI$34)*(1 - CUSTOS!$M$39)</f>
        <v>0.3988562492144046</v>
      </c>
      <c r="AF34" s="31">
        <f ca="1">('TUSD BE'!$AJ$34+'TUSD BF'!$AJ$34+'TUSD CVA'!$AJ$34)*(1 - CUSTOS!$M$39)</f>
        <v>0.31941375471373989</v>
      </c>
      <c r="AG34" s="31">
        <f ca="1">('TUSD BE'!$AK$34+'TUSD BF'!$AK$34+'TUSD CVA'!$AK$34)*(1 - CUSTOS!$M$39)</f>
        <v>0.34896893892318287</v>
      </c>
      <c r="AI34" s="31">
        <v>0</v>
      </c>
      <c r="AJ34" s="31">
        <v>0.56865088526457197</v>
      </c>
      <c r="AK34" s="31">
        <v>8.2550304290376104</v>
      </c>
      <c r="AL34" s="31">
        <v>0</v>
      </c>
      <c r="AM34" s="31">
        <v>0</v>
      </c>
      <c r="AN34" s="31">
        <v>51.415521580940997</v>
      </c>
      <c r="AO34" s="31">
        <v>8.7501418112907796</v>
      </c>
      <c r="AP34" s="31">
        <v>0</v>
      </c>
      <c r="AQ34" s="31">
        <v>0</v>
      </c>
      <c r="AR34" s="31">
        <v>0</v>
      </c>
      <c r="AS34" s="31">
        <v>0</v>
      </c>
      <c r="AT34" s="31">
        <v>0</v>
      </c>
      <c r="AU34" s="31">
        <v>278.42937736579302</v>
      </c>
      <c r="AV34" s="31">
        <v>0</v>
      </c>
      <c r="AW34" s="31">
        <v>0</v>
      </c>
      <c r="AX34" s="31">
        <v>401.410477625444</v>
      </c>
      <c r="AY34" s="31">
        <v>0</v>
      </c>
      <c r="AZ34" s="31">
        <v>0</v>
      </c>
      <c r="BA34" s="31">
        <v>21.130869160200699</v>
      </c>
      <c r="BB34" s="31">
        <v>0</v>
      </c>
      <c r="BC34" s="31">
        <v>0.22283168898974301</v>
      </c>
      <c r="BD34" s="31">
        <v>0.27403118516726699</v>
      </c>
    </row>
    <row r="35" spans="1:56" ht="11.25" customHeight="1" x14ac:dyDescent="0.25">
      <c r="A35" s="149"/>
      <c r="B35" s="149"/>
      <c r="C35" s="149"/>
      <c r="D35" s="149"/>
      <c r="E35" s="149"/>
      <c r="F35" s="149"/>
      <c r="G35" s="57" t="s">
        <v>87</v>
      </c>
      <c r="H35" s="57" t="s">
        <v>74</v>
      </c>
      <c r="I35" s="57">
        <f>'MERCADO TUSD'!$U$32</f>
        <v>0</v>
      </c>
      <c r="J35" s="15"/>
      <c r="L35" s="31">
        <f>('TUSD BE'!$L$35+'TUSD BF'!$L$35+'TUSD CVA'!$L$35)*(1 - CUSTOS!$M$39)</f>
        <v>0</v>
      </c>
      <c r="M35" s="31">
        <f>('TUSD BE'!$M$35+'TUSD BF'!$M$35+'TUSD CVA'!$M$35)*(1 - CUSTOS!$M$39)</f>
        <v>0.71850176595456405</v>
      </c>
      <c r="N35" s="31">
        <f ca="1">('TUSD BE'!$N$35+'TUSD BF'!$N$35+'TUSD CVA'!$N$35)*(1 - CUSTOS!$M$39)</f>
        <v>6.5247272256858073</v>
      </c>
      <c r="O35" s="31">
        <f>('TUSD BE'!$O$35+'TUSD BF'!$O$35+'TUSD CVA'!$O$35)*(1 - CUSTOS!$M$39)</f>
        <v>0</v>
      </c>
      <c r="P35" s="31">
        <f>('TUSD BE'!$P$35+'TUSD BF'!$P$35+'TUSD CVA'!$P$35)*(1 - CUSTOS!$M$39)</f>
        <v>0</v>
      </c>
      <c r="Q35" s="31">
        <f>('TUSD BE'!$Q$35+'TUSD BF'!$Q$35+'TUSD CVA'!$Q$35)*(1 - CUSTOS!$M$39)</f>
        <v>100.98133319426739</v>
      </c>
      <c r="R35" s="31">
        <f>('TUSD BE'!$R$35+'TUSD BF'!$R$35+'TUSD CVA'!$R$35)*(1 - CUSTOS!$M$39)</f>
        <v>16.106010068626837</v>
      </c>
      <c r="S35" s="31">
        <f>('TUSD BE'!$S$35+'TUSD BF'!$S$35+'TUSD CVA'!$S$35)*(1 - CUSTOS!$M$39)</f>
        <v>0</v>
      </c>
      <c r="T35" s="31">
        <f>('TUSD BE'!$U$35+'TUSD BF'!$U$35+'TUSD CVA'!$U$35)*(1 - CUSTOS!$M$39)</f>
        <v>0</v>
      </c>
      <c r="U35" s="31">
        <f>('TUSD BE'!$V$35+'TUSD BF'!$V$35+'TUSD CVA'!$V$35)*(1 - CUSTOS!$M$39)</f>
        <v>0</v>
      </c>
      <c r="V35" s="31">
        <f>('TUSD BE'!$W$35+'TUSD BF'!$W$35+'TUSD CVA'!$W$35)*(1 - CUSTOS!$M$39)</f>
        <v>0</v>
      </c>
      <c r="W35" s="31">
        <f>('TUSD BE'!$X$35+'TUSD BF'!$X$35+'TUSD CVA'!$X$35)*(1 - CUSTOS!$M$39)</f>
        <v>0</v>
      </c>
      <c r="X35" s="31">
        <f>('TUSD BE'!$Y$35+'TUSD BF'!$Y$35+'TUSD CVA'!$Y$35)*(1 - CUSTOS!$M$39)</f>
        <v>180.32029054429745</v>
      </c>
      <c r="Y35" s="31">
        <f>('TUSD BE'!$Z$35+'TUSD BF'!$Z$35+'TUSD CVA'!$Z$35)*(1 - CUSTOS!$M$39)</f>
        <v>0</v>
      </c>
      <c r="Z35" s="31">
        <f>('TUSD BE'!$AA$35+'TUSD BF'!$AA$35+'TUSD CVA'!$AA$35)*(1 - CUSTOS!$M$39)</f>
        <v>0</v>
      </c>
      <c r="AA35" s="31">
        <f>('TUSD BE'!$AC$35+'TUSD BF'!$AC$35+'TUSD CVA'!$AC$35)*(1 - CUSTOS!$M$39)</f>
        <v>287.34965991816955</v>
      </c>
      <c r="AB35" s="31">
        <f ca="1">('TUSD BE'!$AE$35+'TUSD BF'!$AE$35+'TUSD CVA'!$AE$35)*(1 - CUSTOS!$M$39)</f>
        <v>0</v>
      </c>
      <c r="AC35" s="31">
        <f ca="1">('TUSD BE'!$AF$35+'TUSD BF'!$AF$35+'TUSD CVA'!$AF$35)*(1 - CUSTOS!$M$39)</f>
        <v>0</v>
      </c>
      <c r="AD35" s="31">
        <f>('TUSD BE'!$AH$35+'TUSD BF'!$AH$35+'TUSD CVA'!$AH$35)*(1 - CUSTOS!$M$39)</f>
        <v>18.435076432008685</v>
      </c>
      <c r="AE35" s="31">
        <f>('TUSD BE'!$AI$35+'TUSD BF'!$AI$35+'TUSD CVA'!$AI$35)*(1 - CUSTOS!$M$39)</f>
        <v>0.3988562492144046</v>
      </c>
      <c r="AF35" s="31">
        <f ca="1">('TUSD BE'!$AJ$35+'TUSD BF'!$AJ$35+'TUSD CVA'!$AJ$35)*(1 - CUSTOS!$M$39)</f>
        <v>0.31941375471373989</v>
      </c>
      <c r="AG35" s="31">
        <f ca="1">('TUSD BE'!$AK$35+'TUSD BF'!$AK$35+'TUSD CVA'!$AK$35)*(1 - CUSTOS!$M$39)</f>
        <v>0.34896893892318287</v>
      </c>
      <c r="AI35" s="31">
        <v>0</v>
      </c>
      <c r="AJ35" s="31">
        <v>0.56865088526457197</v>
      </c>
      <c r="AK35" s="31">
        <v>5.2437556822631901</v>
      </c>
      <c r="AL35" s="31">
        <v>0</v>
      </c>
      <c r="AM35" s="31">
        <v>0</v>
      </c>
      <c r="AN35" s="31">
        <v>51.415521580940997</v>
      </c>
      <c r="AO35" s="31">
        <v>8.7501418112907796</v>
      </c>
      <c r="AP35" s="31">
        <v>0</v>
      </c>
      <c r="AQ35" s="31">
        <v>0</v>
      </c>
      <c r="AR35" s="31">
        <v>0</v>
      </c>
      <c r="AS35" s="31">
        <v>0</v>
      </c>
      <c r="AT35" s="31">
        <v>0</v>
      </c>
      <c r="AU35" s="31">
        <v>167.057599390213</v>
      </c>
      <c r="AV35" s="31">
        <v>0</v>
      </c>
      <c r="AW35" s="31">
        <v>0</v>
      </c>
      <c r="AX35" s="31">
        <v>240.84632572689401</v>
      </c>
      <c r="AY35" s="31">
        <v>0</v>
      </c>
      <c r="AZ35" s="31">
        <v>0</v>
      </c>
      <c r="BA35" s="31">
        <v>21.130869160200699</v>
      </c>
      <c r="BB35" s="31">
        <v>0</v>
      </c>
      <c r="BC35" s="31">
        <v>0.22283168898974301</v>
      </c>
      <c r="BD35" s="31">
        <v>0.27403118516726699</v>
      </c>
    </row>
    <row r="36" spans="1:56" ht="11.25" customHeight="1" x14ac:dyDescent="0.25">
      <c r="A36" s="149"/>
      <c r="B36" s="149"/>
      <c r="C36" s="149"/>
      <c r="D36" s="149"/>
      <c r="E36" s="149"/>
      <c r="F36" s="149"/>
      <c r="G36" s="57" t="s">
        <v>76</v>
      </c>
      <c r="H36" s="57" t="s">
        <v>74</v>
      </c>
      <c r="I36" s="57">
        <f>'MERCADO TUSD'!$U$33</f>
        <v>0</v>
      </c>
      <c r="J36" s="15"/>
      <c r="L36" s="31">
        <f>('TUSD BE'!$L$36+'TUSD BF'!$L$36+'TUSD CVA'!$L$36)*(1 - CUSTOS!$M$39)</f>
        <v>0</v>
      </c>
      <c r="M36" s="31">
        <f>('TUSD BE'!$M$36+'TUSD BF'!$M$36+'TUSD CVA'!$M$36)*(1 - CUSTOS!$M$39)</f>
        <v>0.71850176595456405</v>
      </c>
      <c r="N36" s="31">
        <f ca="1">('TUSD BE'!$N$36+'TUSD BF'!$N$36+'TUSD CVA'!$N$36)*(1 - CUSTOS!$M$39)</f>
        <v>2.5807523954389948</v>
      </c>
      <c r="O36" s="31">
        <f>('TUSD BE'!$O$36+'TUSD BF'!$O$36+'TUSD CVA'!$O$36)*(1 - CUSTOS!$M$39)</f>
        <v>0</v>
      </c>
      <c r="P36" s="31">
        <f>('TUSD BE'!$P$36+'TUSD BF'!$P$36+'TUSD CVA'!$P$36)*(1 - CUSTOS!$M$39)</f>
        <v>0</v>
      </c>
      <c r="Q36" s="31">
        <f>('TUSD BE'!$Q$36+'TUSD BF'!$Q$36+'TUSD CVA'!$Q$36)*(1 - CUSTOS!$M$39)</f>
        <v>100.98133319426739</v>
      </c>
      <c r="R36" s="31">
        <f>('TUSD BE'!$R$36+'TUSD BF'!$R$36+'TUSD CVA'!$R$36)*(1 - CUSTOS!$M$39)</f>
        <v>16.106010068626837</v>
      </c>
      <c r="S36" s="31">
        <f>('TUSD BE'!$S$36+'TUSD BF'!$S$36+'TUSD CVA'!$S$36)*(1 - CUSTOS!$M$39)</f>
        <v>0</v>
      </c>
      <c r="T36" s="31">
        <f>('TUSD BE'!$U$36+'TUSD BF'!$U$36+'TUSD CVA'!$U$36)*(1 - CUSTOS!$M$39)</f>
        <v>0</v>
      </c>
      <c r="U36" s="31">
        <f>('TUSD BE'!$V$36+'TUSD BF'!$V$36+'TUSD CVA'!$V$36)*(1 - CUSTOS!$M$39)</f>
        <v>0</v>
      </c>
      <c r="V36" s="31">
        <f>('TUSD BE'!$W$36+'TUSD BF'!$W$36+'TUSD CVA'!$W$36)*(1 - CUSTOS!$M$39)</f>
        <v>0</v>
      </c>
      <c r="W36" s="31">
        <f>('TUSD BE'!$X$36+'TUSD BF'!$X$36+'TUSD CVA'!$X$36)*(1 - CUSTOS!$M$39)</f>
        <v>0</v>
      </c>
      <c r="X36" s="31">
        <f>('TUSD BE'!$Y$36+'TUSD BF'!$Y$36+'TUSD CVA'!$Y$36)*(1 - CUSTOS!$M$39)</f>
        <v>60.106763514765809</v>
      </c>
      <c r="Y36" s="31">
        <f>('TUSD BE'!$Z$36+'TUSD BF'!$Z$36+'TUSD CVA'!$Z$36)*(1 - CUSTOS!$M$39)</f>
        <v>0</v>
      </c>
      <c r="Z36" s="31">
        <f>('TUSD BE'!$AA$36+'TUSD BF'!$AA$36+'TUSD CVA'!$AA$36)*(1 - CUSTOS!$M$39)</f>
        <v>0</v>
      </c>
      <c r="AA36" s="31">
        <f>('TUSD BE'!$AC$36+'TUSD BF'!$AC$36+'TUSD CVA'!$AC$36)*(1 - CUSTOS!$M$39)</f>
        <v>95.783251894823607</v>
      </c>
      <c r="AB36" s="31">
        <f ca="1">('TUSD BE'!$AE$36+'TUSD BF'!$AE$36+'TUSD CVA'!$AE$36)*(1 - CUSTOS!$M$39)</f>
        <v>0</v>
      </c>
      <c r="AC36" s="31">
        <f ca="1">('TUSD BE'!$AF$36+'TUSD BF'!$AF$36+'TUSD CVA'!$AF$36)*(1 - CUSTOS!$M$39)</f>
        <v>0</v>
      </c>
      <c r="AD36" s="31">
        <f>('TUSD BE'!$AH$36+'TUSD BF'!$AH$36+'TUSD CVA'!$AH$36)*(1 - CUSTOS!$M$39)</f>
        <v>18.435076432008685</v>
      </c>
      <c r="AE36" s="31">
        <f>('TUSD BE'!$AI$36+'TUSD BF'!$AI$36+'TUSD CVA'!$AI$36)*(1 - CUSTOS!$M$39)</f>
        <v>0.3988562492144046</v>
      </c>
      <c r="AF36" s="31">
        <f ca="1">('TUSD BE'!$AJ$36+'TUSD BF'!$AJ$36+'TUSD CVA'!$AJ$36)*(1 - CUSTOS!$M$39)</f>
        <v>0.31941375471373989</v>
      </c>
      <c r="AG36" s="31">
        <f ca="1">('TUSD BE'!$AK$36+'TUSD BF'!$AK$36+'TUSD CVA'!$AK$36)*(1 - CUSTOS!$M$39)</f>
        <v>0.34896893892318287</v>
      </c>
      <c r="AI36" s="31">
        <v>0</v>
      </c>
      <c r="AJ36" s="31">
        <v>0.56865088526457197</v>
      </c>
      <c r="AK36" s="31">
        <v>2.2324797136368901</v>
      </c>
      <c r="AL36" s="31">
        <v>0</v>
      </c>
      <c r="AM36" s="31">
        <v>0</v>
      </c>
      <c r="AN36" s="31">
        <v>51.415521580940997</v>
      </c>
      <c r="AO36" s="31">
        <v>8.7501418112907796</v>
      </c>
      <c r="AP36" s="31">
        <v>0</v>
      </c>
      <c r="AQ36" s="31">
        <v>0</v>
      </c>
      <c r="AR36" s="31">
        <v>0</v>
      </c>
      <c r="AS36" s="31">
        <v>0</v>
      </c>
      <c r="AT36" s="31">
        <v>0</v>
      </c>
      <c r="AU36" s="31">
        <v>55.685821414633899</v>
      </c>
      <c r="AV36" s="31">
        <v>0</v>
      </c>
      <c r="AW36" s="31">
        <v>0</v>
      </c>
      <c r="AX36" s="31">
        <v>80.282075949274997</v>
      </c>
      <c r="AY36" s="31">
        <v>0</v>
      </c>
      <c r="AZ36" s="31">
        <v>0</v>
      </c>
      <c r="BA36" s="31">
        <v>21.130869160200699</v>
      </c>
      <c r="BB36" s="31">
        <v>0</v>
      </c>
      <c r="BC36" s="31">
        <v>0.22283168898974301</v>
      </c>
      <c r="BD36" s="31">
        <v>0.27403118516726699</v>
      </c>
    </row>
    <row r="37" spans="1:56" ht="11.25" customHeight="1" x14ac:dyDescent="0.25">
      <c r="A37" s="149"/>
      <c r="B37" s="56" t="s">
        <v>23</v>
      </c>
      <c r="C37" s="56" t="s">
        <v>42</v>
      </c>
      <c r="D37" s="56" t="s">
        <v>90</v>
      </c>
      <c r="E37" s="56" t="s">
        <v>25</v>
      </c>
      <c r="F37" s="56" t="s">
        <v>25</v>
      </c>
      <c r="G37" s="57" t="s">
        <v>78</v>
      </c>
      <c r="H37" s="57" t="s">
        <v>74</v>
      </c>
      <c r="I37" s="57">
        <f>'MERCADO TUSD'!$U$34</f>
        <v>0</v>
      </c>
      <c r="J37" s="15"/>
      <c r="L37" s="31">
        <f>('TUSD BE'!$L$37+'TUSD BF'!$L$37+'TUSD CVA'!$L$37)*(1 - CUSTOS!$M$39)</f>
        <v>0</v>
      </c>
      <c r="M37" s="31">
        <f>('TUSD BE'!$M$37+'TUSD BF'!$M$37+'TUSD CVA'!$M$37)*(1 - CUSTOS!$M$39)</f>
        <v>0.71850176595456405</v>
      </c>
      <c r="N37" s="31">
        <f ca="1">('TUSD BE'!$N$37+'TUSD BF'!$N$37+'TUSD CVA'!$N$37)*(1 - CUSTOS!$M$39)</f>
        <v>3.7893897822042986</v>
      </c>
      <c r="O37" s="31">
        <f>('TUSD BE'!$O$37+'TUSD BF'!$O$37+'TUSD CVA'!$O$37)*(1 - CUSTOS!$M$39)</f>
        <v>0</v>
      </c>
      <c r="P37" s="31">
        <f>('TUSD BE'!$P$37+'TUSD BF'!$P$37+'TUSD CVA'!$P$37)*(1 - CUSTOS!$M$39)</f>
        <v>0</v>
      </c>
      <c r="Q37" s="31">
        <f>('TUSD BE'!$Q$37+'TUSD BF'!$Q$37+'TUSD CVA'!$Q$37)*(1 - CUSTOS!$M$39)</f>
        <v>100.98133319426739</v>
      </c>
      <c r="R37" s="31">
        <f>('TUSD BE'!$R$37+'TUSD BF'!$R$37+'TUSD CVA'!$R$37)*(1 - CUSTOS!$M$39)</f>
        <v>16.106010068626837</v>
      </c>
      <c r="S37" s="31">
        <f>('TUSD BE'!$S$37+'TUSD BF'!$S$37+'TUSD CVA'!$S$37)*(1 - CUSTOS!$M$39)</f>
        <v>0</v>
      </c>
      <c r="T37" s="31">
        <f>('TUSD BE'!$U$37+'TUSD BF'!$U$37+'TUSD CVA'!$U$37)*(1 - CUSTOS!$M$39)</f>
        <v>0</v>
      </c>
      <c r="U37" s="31">
        <f>('TUSD BE'!$V$37+'TUSD BF'!$V$37+'TUSD CVA'!$V$37)*(1 - CUSTOS!$M$39)</f>
        <v>0</v>
      </c>
      <c r="V37" s="31">
        <f>('TUSD BE'!$W$37+'TUSD BF'!$W$37+'TUSD CVA'!$W$37)*(1 - CUSTOS!$M$39)</f>
        <v>0</v>
      </c>
      <c r="W37" s="31">
        <f>('TUSD BE'!$X$37+'TUSD BF'!$X$37+'TUSD CVA'!$X$37)*(1 - CUSTOS!$M$39)</f>
        <v>0</v>
      </c>
      <c r="X37" s="31">
        <f>('TUSD BE'!$Y$37+'TUSD BF'!$Y$37+'TUSD CVA'!$Y$37)*(1 - CUSTOS!$M$39)</f>
        <v>96.946430946741216</v>
      </c>
      <c r="Y37" s="31">
        <f>('TUSD BE'!$Z$37+'TUSD BF'!$Z$37+'TUSD CVA'!$Z$37)*(1 - CUSTOS!$M$39)</f>
        <v>0</v>
      </c>
      <c r="Z37" s="31">
        <f>('TUSD BE'!$AA$37+'TUSD BF'!$AA$37+'TUSD CVA'!$AA$37)*(1 - CUSTOS!$M$39)</f>
        <v>0</v>
      </c>
      <c r="AA37" s="31">
        <f>('TUSD BE'!$AC$37+'TUSD BF'!$AC$37+'TUSD CVA'!$AC$37)*(1 - CUSTOS!$M$39)</f>
        <v>154.48904799621138</v>
      </c>
      <c r="AB37" s="31">
        <f ca="1">('TUSD BE'!$AE$37+'TUSD BF'!$AE$37+'TUSD CVA'!$AE$37)*(1 - CUSTOS!$M$39)</f>
        <v>0</v>
      </c>
      <c r="AC37" s="31">
        <f ca="1">('TUSD BE'!$AF$37+'TUSD BF'!$AF$37+'TUSD CVA'!$AF$37)*(1 - CUSTOS!$M$39)</f>
        <v>0</v>
      </c>
      <c r="AD37" s="31">
        <f>('TUSD BE'!$AH$37+'TUSD BF'!$AH$37+'TUSD CVA'!$AH$37)*(1 - CUSTOS!$M$39)</f>
        <v>18.435076432008685</v>
      </c>
      <c r="AE37" s="31">
        <f>('TUSD BE'!$AI$37+'TUSD BF'!$AI$37+'TUSD CVA'!$AI$37)*(1 - CUSTOS!$M$39)</f>
        <v>0.3988562492144046</v>
      </c>
      <c r="AF37" s="31">
        <f ca="1">('TUSD BE'!$AJ$37+'TUSD BF'!$AJ$37+'TUSD CVA'!$AJ$37)*(1 - CUSTOS!$M$39)</f>
        <v>0.31941375471373989</v>
      </c>
      <c r="AG37" s="31">
        <f ca="1">('TUSD BE'!$AK$37+'TUSD BF'!$AK$37+'TUSD CVA'!$AK$37)*(1 - CUSTOS!$M$39)</f>
        <v>0.34896893892318287</v>
      </c>
      <c r="AI37" s="31">
        <v>0</v>
      </c>
      <c r="AJ37" s="31">
        <v>0.56865088526457197</v>
      </c>
      <c r="AK37" s="31">
        <v>3.07940146164175</v>
      </c>
      <c r="AL37" s="31">
        <v>0</v>
      </c>
      <c r="AM37" s="31">
        <v>0</v>
      </c>
      <c r="AN37" s="31">
        <v>51.415521580940997</v>
      </c>
      <c r="AO37" s="31">
        <v>8.7501418112907796</v>
      </c>
      <c r="AP37" s="31">
        <v>0</v>
      </c>
      <c r="AQ37" s="31">
        <v>0</v>
      </c>
      <c r="AR37" s="31">
        <v>0</v>
      </c>
      <c r="AS37" s="31">
        <v>0</v>
      </c>
      <c r="AT37" s="31">
        <v>0</v>
      </c>
      <c r="AU37" s="31">
        <v>87.009222660032606</v>
      </c>
      <c r="AV37" s="31">
        <v>0</v>
      </c>
      <c r="AW37" s="31">
        <v>0</v>
      </c>
      <c r="AX37" s="31">
        <v>125.4407375533</v>
      </c>
      <c r="AY37" s="31">
        <v>0</v>
      </c>
      <c r="AZ37" s="31">
        <v>0</v>
      </c>
      <c r="BA37" s="31">
        <v>21.130869160200699</v>
      </c>
      <c r="BB37" s="31">
        <v>0</v>
      </c>
      <c r="BC37" s="31">
        <v>0.22283168898974301</v>
      </c>
      <c r="BD37" s="31">
        <v>0.27403118516726699</v>
      </c>
    </row>
    <row r="38" spans="1:56" ht="11.25" customHeight="1" x14ac:dyDescent="0.25">
      <c r="A38" s="149"/>
      <c r="B38" s="149" t="s">
        <v>50</v>
      </c>
      <c r="C38" s="149" t="s">
        <v>42</v>
      </c>
      <c r="D38" s="149" t="s">
        <v>91</v>
      </c>
      <c r="E38" s="149" t="s">
        <v>25</v>
      </c>
      <c r="F38" s="149" t="s">
        <v>25</v>
      </c>
      <c r="G38" s="57" t="s">
        <v>75</v>
      </c>
      <c r="H38" s="57" t="s">
        <v>74</v>
      </c>
      <c r="I38" s="57">
        <f>'MERCADO TUSD'!$U$35</f>
        <v>0</v>
      </c>
      <c r="J38" s="15"/>
      <c r="L38" s="31">
        <f>('TUSD BE'!$L$38+'TUSD BF'!$L$38+'TUSD CVA'!$L$38)*(1 - CUSTOS!$M$40)</f>
        <v>0</v>
      </c>
      <c r="M38" s="31">
        <f>('TUSD BE'!$M$38+'TUSD BF'!$M$38+'TUSD CVA'!$M$38)*(1 - CUSTOS!$M$40)</f>
        <v>0.70321449433850947</v>
      </c>
      <c r="N38" s="31">
        <f ca="1">('TUSD BE'!$N$38+'TUSD BF'!$N$38+'TUSD CVA'!$N$38)*(1 - CUSTOS!$M$40)</f>
        <v>10.245963714317028</v>
      </c>
      <c r="O38" s="31">
        <f>('TUSD BE'!$O$38+'TUSD BF'!$O$38+'TUSD CVA'!$O$38)*(1 - CUSTOS!$M$40)</f>
        <v>0</v>
      </c>
      <c r="P38" s="31">
        <f>('TUSD BE'!$P$38+'TUSD BF'!$P$38+'TUSD CVA'!$P$38)*(1 - CUSTOS!$M$40)</f>
        <v>0</v>
      </c>
      <c r="Q38" s="31">
        <f>('TUSD BE'!$Q$38+'TUSD BF'!$Q$38+'TUSD CVA'!$Q$38)*(1 - CUSTOS!$M$40)</f>
        <v>98.832794190134052</v>
      </c>
      <c r="R38" s="31">
        <f>('TUSD BE'!$R$38+'TUSD BF'!$R$38+'TUSD CVA'!$R$38)*(1 - CUSTOS!$M$40)</f>
        <v>15.763329003336906</v>
      </c>
      <c r="S38" s="31">
        <f>('TUSD BE'!$S$38+'TUSD BF'!$S$38+'TUSD CVA'!$S$38)*(1 - CUSTOS!$M$40)</f>
        <v>0</v>
      </c>
      <c r="T38" s="31">
        <f>('TUSD BE'!$U$38+'TUSD BF'!$U$38+'TUSD CVA'!$U$38)*(1 - CUSTOS!$M$40)</f>
        <v>0</v>
      </c>
      <c r="U38" s="31">
        <f>('TUSD BE'!$V$38+'TUSD BF'!$V$38+'TUSD CVA'!$V$38)*(1 - CUSTOS!$M$40)</f>
        <v>0</v>
      </c>
      <c r="V38" s="31">
        <f>('TUSD BE'!$W$38+'TUSD BF'!$W$38+'TUSD CVA'!$W$38)*(1 - CUSTOS!$M$40)</f>
        <v>0</v>
      </c>
      <c r="W38" s="31">
        <f>('TUSD BE'!$X$38+'TUSD BF'!$X$38+'TUSD CVA'!$X$38)*(1 - CUSTOS!$M$40)</f>
        <v>0</v>
      </c>
      <c r="X38" s="31">
        <f>('TUSD BE'!$Y$38+'TUSD BF'!$Y$38+'TUSD CVA'!$Y$38)*(1 - CUSTOS!$M$40)</f>
        <v>294.139481029705</v>
      </c>
      <c r="Y38" s="31">
        <f>('TUSD BE'!$Z$38+'TUSD BF'!$Z$38+'TUSD CVA'!$Z$38)*(1 - CUSTOS!$M$40)</f>
        <v>0</v>
      </c>
      <c r="Z38" s="31">
        <f>('TUSD BE'!$AA$38+'TUSD BF'!$AA$38+'TUSD CVA'!$AA$38)*(1 - CUSTOS!$M$40)</f>
        <v>0</v>
      </c>
      <c r="AA38" s="31">
        <f>('TUSD BE'!$AC$38+'TUSD BF'!$AC$38+'TUSD CVA'!$AC$38)*(1 - CUSTOS!$M$40)</f>
        <v>468.7263643682918</v>
      </c>
      <c r="AB38" s="31">
        <f ca="1">('TUSD BE'!$AE$38+'TUSD BF'!$AE$38+'TUSD CVA'!$AE$38)*(1 - CUSTOS!$M$40)</f>
        <v>0</v>
      </c>
      <c r="AC38" s="31">
        <f ca="1">('TUSD BE'!$AF$38+'TUSD BF'!$AF$38+'TUSD CVA'!$AF$38)*(1 - CUSTOS!$M$40)</f>
        <v>0</v>
      </c>
      <c r="AD38" s="31">
        <f>('TUSD BE'!$AH$38+'TUSD BF'!$AH$38+'TUSD CVA'!$AH$38)*(1 - CUSTOS!$M$40)</f>
        <v>18.042840763242545</v>
      </c>
      <c r="AE38" s="31">
        <f>('TUSD BE'!$AI$38+'TUSD BF'!$AI$38+'TUSD CVA'!$AI$38)*(1 - CUSTOS!$M$40)</f>
        <v>0.3903699460396301</v>
      </c>
      <c r="AF38" s="31">
        <f ca="1">('TUSD BE'!$AJ$38+'TUSD BF'!$AJ$38+'TUSD CVA'!$AJ$38)*(1 - CUSTOS!$M$40)</f>
        <v>0.31261771737940502</v>
      </c>
      <c r="AG38" s="31">
        <f ca="1">('TUSD BE'!$AK$38+'TUSD BF'!$AK$38+'TUSD CVA'!$AK$38)*(1 - CUSTOS!$M$40)</f>
        <v>0.3415440678822641</v>
      </c>
      <c r="AI38" s="31">
        <v>0</v>
      </c>
      <c r="AJ38" s="31">
        <v>0.54280311775254597</v>
      </c>
      <c r="AK38" s="31">
        <v>7.87980177317226</v>
      </c>
      <c r="AL38" s="31">
        <v>0</v>
      </c>
      <c r="AM38" s="31">
        <v>0</v>
      </c>
      <c r="AN38" s="31">
        <v>49.078452418170897</v>
      </c>
      <c r="AO38" s="31">
        <v>8.3524080925957396</v>
      </c>
      <c r="AP38" s="31">
        <v>0</v>
      </c>
      <c r="AQ38" s="31">
        <v>0</v>
      </c>
      <c r="AR38" s="31">
        <v>0</v>
      </c>
      <c r="AS38" s="31">
        <v>0</v>
      </c>
      <c r="AT38" s="31">
        <v>0</v>
      </c>
      <c r="AU38" s="31">
        <v>265.77349657643799</v>
      </c>
      <c r="AV38" s="31">
        <v>0</v>
      </c>
      <c r="AW38" s="31">
        <v>0</v>
      </c>
      <c r="AX38" s="31">
        <v>383.16454682428702</v>
      </c>
      <c r="AY38" s="31">
        <v>0</v>
      </c>
      <c r="AZ38" s="31">
        <v>0</v>
      </c>
      <c r="BA38" s="31">
        <v>20.170375107464299</v>
      </c>
      <c r="BB38" s="31">
        <v>0</v>
      </c>
      <c r="BC38" s="31">
        <v>0.21270297585384501</v>
      </c>
      <c r="BD38" s="31">
        <v>0.26157522220511797</v>
      </c>
    </row>
    <row r="39" spans="1:56" ht="11.25" customHeight="1" x14ac:dyDescent="0.25">
      <c r="A39" s="149"/>
      <c r="B39" s="149"/>
      <c r="C39" s="149"/>
      <c r="D39" s="149"/>
      <c r="E39" s="149"/>
      <c r="F39" s="149"/>
      <c r="G39" s="57" t="s">
        <v>87</v>
      </c>
      <c r="H39" s="57" t="s">
        <v>74</v>
      </c>
      <c r="I39" s="57">
        <f>'MERCADO TUSD'!$U$36</f>
        <v>0</v>
      </c>
      <c r="J39" s="15"/>
      <c r="L39" s="31">
        <f>('TUSD BE'!$L$39+'TUSD BF'!$L$39+'TUSD CVA'!$L$39)*(1 - CUSTOS!$M$40)</f>
        <v>0</v>
      </c>
      <c r="M39" s="31">
        <f>('TUSD BE'!$M$39+'TUSD BF'!$M$39+'TUSD CVA'!$M$39)*(1 - CUSTOS!$M$40)</f>
        <v>0.70321449433850947</v>
      </c>
      <c r="N39" s="31">
        <f ca="1">('TUSD BE'!$N$39+'TUSD BF'!$N$39+'TUSD CVA'!$N$39)*(1 - CUSTOS!$M$40)</f>
        <v>6.3859032421605777</v>
      </c>
      <c r="O39" s="31">
        <f>('TUSD BE'!$O$39+'TUSD BF'!$O$39+'TUSD CVA'!$O$39)*(1 - CUSTOS!$M$40)</f>
        <v>0</v>
      </c>
      <c r="P39" s="31">
        <f>('TUSD BE'!$P$39+'TUSD BF'!$P$39+'TUSD CVA'!$P$39)*(1 - CUSTOS!$M$40)</f>
        <v>0</v>
      </c>
      <c r="Q39" s="31">
        <f>('TUSD BE'!$Q$39+'TUSD BF'!$Q$39+'TUSD CVA'!$Q$39)*(1 - CUSTOS!$M$40)</f>
        <v>98.832794190134052</v>
      </c>
      <c r="R39" s="31">
        <f>('TUSD BE'!$R$39+'TUSD BF'!$R$39+'TUSD CVA'!$R$39)*(1 - CUSTOS!$M$40)</f>
        <v>15.763329003336906</v>
      </c>
      <c r="S39" s="31">
        <f>('TUSD BE'!$S$39+'TUSD BF'!$S$39+'TUSD CVA'!$S$39)*(1 - CUSTOS!$M$40)</f>
        <v>0</v>
      </c>
      <c r="T39" s="31">
        <f>('TUSD BE'!$U$39+'TUSD BF'!$U$39+'TUSD CVA'!$U$39)*(1 - CUSTOS!$M$40)</f>
        <v>0</v>
      </c>
      <c r="U39" s="31">
        <f>('TUSD BE'!$V$39+'TUSD BF'!$V$39+'TUSD CVA'!$V$39)*(1 - CUSTOS!$M$40)</f>
        <v>0</v>
      </c>
      <c r="V39" s="31">
        <f>('TUSD BE'!$W$39+'TUSD BF'!$W$39+'TUSD CVA'!$W$39)*(1 - CUSTOS!$M$40)</f>
        <v>0</v>
      </c>
      <c r="W39" s="31">
        <f>('TUSD BE'!$X$39+'TUSD BF'!$X$39+'TUSD CVA'!$X$39)*(1 - CUSTOS!$M$40)</f>
        <v>0</v>
      </c>
      <c r="X39" s="31">
        <f>('TUSD BE'!$Y$39+'TUSD BF'!$Y$39+'TUSD CVA'!$Y$39)*(1 - CUSTOS!$M$40)</f>
        <v>176.48368861782305</v>
      </c>
      <c r="Y39" s="31">
        <f>('TUSD BE'!$Z$39+'TUSD BF'!$Z$39+'TUSD CVA'!$Z$39)*(1 - CUSTOS!$M$40)</f>
        <v>0</v>
      </c>
      <c r="Z39" s="31">
        <f>('TUSD BE'!$AA$39+'TUSD BF'!$AA$39+'TUSD CVA'!$AA$39)*(1 - CUSTOS!$M$40)</f>
        <v>0</v>
      </c>
      <c r="AA39" s="31">
        <f>('TUSD BE'!$AC$39+'TUSD BF'!$AC$39+'TUSD CVA'!$AC$39)*(1 - CUSTOS!$M$40)</f>
        <v>281.23583736671918</v>
      </c>
      <c r="AB39" s="31">
        <f ca="1">('TUSD BE'!$AE$39+'TUSD BF'!$AE$39+'TUSD CVA'!$AE$39)*(1 - CUSTOS!$M$40)</f>
        <v>0</v>
      </c>
      <c r="AC39" s="31">
        <f ca="1">('TUSD BE'!$AF$39+'TUSD BF'!$AF$39+'TUSD CVA'!$AF$39)*(1 - CUSTOS!$M$40)</f>
        <v>0</v>
      </c>
      <c r="AD39" s="31">
        <f>('TUSD BE'!$AH$39+'TUSD BF'!$AH$39+'TUSD CVA'!$AH$39)*(1 - CUSTOS!$M$40)</f>
        <v>18.042840763242545</v>
      </c>
      <c r="AE39" s="31">
        <f>('TUSD BE'!$AI$39+'TUSD BF'!$AI$39+'TUSD CVA'!$AI$39)*(1 - CUSTOS!$M$40)</f>
        <v>0.3903699460396301</v>
      </c>
      <c r="AF39" s="31">
        <f ca="1">('TUSD BE'!$AJ$39+'TUSD BF'!$AJ$39+'TUSD CVA'!$AJ$39)*(1 - CUSTOS!$M$40)</f>
        <v>0.31261771737940502</v>
      </c>
      <c r="AG39" s="31">
        <f ca="1">('TUSD BE'!$AK$39+'TUSD BF'!$AK$39+'TUSD CVA'!$AK$39)*(1 - CUSTOS!$M$40)</f>
        <v>0.3415440678822641</v>
      </c>
      <c r="AI39" s="31">
        <v>0</v>
      </c>
      <c r="AJ39" s="31">
        <v>0.54280311775254597</v>
      </c>
      <c r="AK39" s="31">
        <v>5.0054031512512296</v>
      </c>
      <c r="AL39" s="31">
        <v>0</v>
      </c>
      <c r="AM39" s="31">
        <v>0</v>
      </c>
      <c r="AN39" s="31">
        <v>49.078452418170897</v>
      </c>
      <c r="AO39" s="31">
        <v>8.3524080925957396</v>
      </c>
      <c r="AP39" s="31">
        <v>0</v>
      </c>
      <c r="AQ39" s="31">
        <v>0</v>
      </c>
      <c r="AR39" s="31">
        <v>0</v>
      </c>
      <c r="AS39" s="31">
        <v>0</v>
      </c>
      <c r="AT39" s="31">
        <v>0</v>
      </c>
      <c r="AU39" s="31">
        <v>159.464072145204</v>
      </c>
      <c r="AV39" s="31">
        <v>0</v>
      </c>
      <c r="AW39" s="31">
        <v>0</v>
      </c>
      <c r="AX39" s="31">
        <v>229.89876546657999</v>
      </c>
      <c r="AY39" s="31">
        <v>0</v>
      </c>
      <c r="AZ39" s="31">
        <v>0</v>
      </c>
      <c r="BA39" s="31">
        <v>20.170375107464299</v>
      </c>
      <c r="BB39" s="31">
        <v>0</v>
      </c>
      <c r="BC39" s="31">
        <v>0.21270297585384501</v>
      </c>
      <c r="BD39" s="31">
        <v>0.26157522220511797</v>
      </c>
    </row>
    <row r="40" spans="1:56" ht="11.25" customHeight="1" x14ac:dyDescent="0.25">
      <c r="A40" s="149"/>
      <c r="B40" s="149"/>
      <c r="C40" s="149"/>
      <c r="D40" s="149"/>
      <c r="E40" s="149"/>
      <c r="F40" s="149"/>
      <c r="G40" s="57" t="s">
        <v>76</v>
      </c>
      <c r="H40" s="57" t="s">
        <v>74</v>
      </c>
      <c r="I40" s="57">
        <f>'MERCADO TUSD'!$U$37</f>
        <v>0</v>
      </c>
      <c r="J40" s="15"/>
      <c r="L40" s="31">
        <f>('TUSD BE'!$L$40+'TUSD BF'!$L$40+'TUSD CVA'!$L$40)*(1 - CUSTOS!$M$40)</f>
        <v>0</v>
      </c>
      <c r="M40" s="31">
        <f>('TUSD BE'!$M$40+'TUSD BF'!$M$40+'TUSD CVA'!$M$40)*(1 - CUSTOS!$M$40)</f>
        <v>0.70321449433850947</v>
      </c>
      <c r="N40" s="31">
        <f ca="1">('TUSD BE'!$N$40+'TUSD BF'!$N$40+'TUSD CVA'!$N$40)*(1 - CUSTOS!$M$40)</f>
        <v>2.5258427700041231</v>
      </c>
      <c r="O40" s="31">
        <f>('TUSD BE'!$O$40+'TUSD BF'!$O$40+'TUSD CVA'!$O$40)*(1 - CUSTOS!$M$40)</f>
        <v>0</v>
      </c>
      <c r="P40" s="31">
        <f>('TUSD BE'!$P$40+'TUSD BF'!$P$40+'TUSD CVA'!$P$40)*(1 - CUSTOS!$M$40)</f>
        <v>0</v>
      </c>
      <c r="Q40" s="31">
        <f>('TUSD BE'!$Q$40+'TUSD BF'!$Q$40+'TUSD CVA'!$Q$40)*(1 - CUSTOS!$M$40)</f>
        <v>98.832794190134052</v>
      </c>
      <c r="R40" s="31">
        <f>('TUSD BE'!$R$40+'TUSD BF'!$R$40+'TUSD CVA'!$R$40)*(1 - CUSTOS!$M$40)</f>
        <v>15.763329003336906</v>
      </c>
      <c r="S40" s="31">
        <f>('TUSD BE'!$S$40+'TUSD BF'!$S$40+'TUSD CVA'!$S$40)*(1 - CUSTOS!$M$40)</f>
        <v>0</v>
      </c>
      <c r="T40" s="31">
        <f>('TUSD BE'!$U$40+'TUSD BF'!$U$40+'TUSD CVA'!$U$40)*(1 - CUSTOS!$M$40)</f>
        <v>0</v>
      </c>
      <c r="U40" s="31">
        <f>('TUSD BE'!$V$40+'TUSD BF'!$V$40+'TUSD CVA'!$V$40)*(1 - CUSTOS!$M$40)</f>
        <v>0</v>
      </c>
      <c r="V40" s="31">
        <f>('TUSD BE'!$W$40+'TUSD BF'!$W$40+'TUSD CVA'!$W$40)*(1 - CUSTOS!$M$40)</f>
        <v>0</v>
      </c>
      <c r="W40" s="31">
        <f>('TUSD BE'!$X$40+'TUSD BF'!$X$40+'TUSD CVA'!$X$40)*(1 - CUSTOS!$M$40)</f>
        <v>0</v>
      </c>
      <c r="X40" s="31">
        <f>('TUSD BE'!$Y$40+'TUSD BF'!$Y$40+'TUSD CVA'!$Y$40)*(1 - CUSTOS!$M$40)</f>
        <v>58.827896205941009</v>
      </c>
      <c r="Y40" s="31">
        <f>('TUSD BE'!$Z$40+'TUSD BF'!$Z$40+'TUSD CVA'!$Z$40)*(1 - CUSTOS!$M$40)</f>
        <v>0</v>
      </c>
      <c r="Z40" s="31">
        <f>('TUSD BE'!$AA$40+'TUSD BF'!$AA$40+'TUSD CVA'!$AA$40)*(1 - CUSTOS!$M$40)</f>
        <v>0</v>
      </c>
      <c r="AA40" s="31">
        <f>('TUSD BE'!$AC$40+'TUSD BF'!$AC$40+'TUSD CVA'!$AC$40)*(1 - CUSTOS!$M$40)</f>
        <v>93.745310365146509</v>
      </c>
      <c r="AB40" s="31">
        <f ca="1">('TUSD BE'!$AE$40+'TUSD BF'!$AE$40+'TUSD CVA'!$AE$40)*(1 - CUSTOS!$M$40)</f>
        <v>0</v>
      </c>
      <c r="AC40" s="31">
        <f ca="1">('TUSD BE'!$AF$40+'TUSD BF'!$AF$40+'TUSD CVA'!$AF$40)*(1 - CUSTOS!$M$40)</f>
        <v>0</v>
      </c>
      <c r="AD40" s="31">
        <f>('TUSD BE'!$AH$40+'TUSD BF'!$AH$40+'TUSD CVA'!$AH$40)*(1 - CUSTOS!$M$40)</f>
        <v>18.042840763242545</v>
      </c>
      <c r="AE40" s="31">
        <f>('TUSD BE'!$AI$40+'TUSD BF'!$AI$40+'TUSD CVA'!$AI$40)*(1 - CUSTOS!$M$40)</f>
        <v>0.3903699460396301</v>
      </c>
      <c r="AF40" s="31">
        <f ca="1">('TUSD BE'!$AJ$40+'TUSD BF'!$AJ$40+'TUSD CVA'!$AJ$40)*(1 - CUSTOS!$M$40)</f>
        <v>0.31261771737940502</v>
      </c>
      <c r="AG40" s="31">
        <f ca="1">('TUSD BE'!$AK$40+'TUSD BF'!$AK$40+'TUSD CVA'!$AK$40)*(1 - CUSTOS!$M$40)</f>
        <v>0.3415440678822641</v>
      </c>
      <c r="AI40" s="31">
        <v>0</v>
      </c>
      <c r="AJ40" s="31">
        <v>0.54280311775254597</v>
      </c>
      <c r="AK40" s="31">
        <v>2.13100336301703</v>
      </c>
      <c r="AL40" s="31">
        <v>0</v>
      </c>
      <c r="AM40" s="31">
        <v>0</v>
      </c>
      <c r="AN40" s="31">
        <v>49.078452418170897</v>
      </c>
      <c r="AO40" s="31">
        <v>8.3524080925957396</v>
      </c>
      <c r="AP40" s="31">
        <v>0</v>
      </c>
      <c r="AQ40" s="31">
        <v>0</v>
      </c>
      <c r="AR40" s="31">
        <v>0</v>
      </c>
      <c r="AS40" s="31">
        <v>0</v>
      </c>
      <c r="AT40" s="31">
        <v>0</v>
      </c>
      <c r="AU40" s="31">
        <v>53.1546477139687</v>
      </c>
      <c r="AV40" s="31">
        <v>0</v>
      </c>
      <c r="AW40" s="31">
        <v>0</v>
      </c>
      <c r="AX40" s="31">
        <v>76.6328906788534</v>
      </c>
      <c r="AY40" s="31">
        <v>0</v>
      </c>
      <c r="AZ40" s="31">
        <v>0</v>
      </c>
      <c r="BA40" s="31">
        <v>20.170375107464299</v>
      </c>
      <c r="BB40" s="31">
        <v>0</v>
      </c>
      <c r="BC40" s="31">
        <v>0.21270297585384501</v>
      </c>
      <c r="BD40" s="31">
        <v>0.26157522220511797</v>
      </c>
    </row>
    <row r="41" spans="1:56" ht="11.25" customHeight="1" x14ac:dyDescent="0.25">
      <c r="A41" s="149"/>
      <c r="B41" s="56" t="s">
        <v>23</v>
      </c>
      <c r="C41" s="56" t="s">
        <v>42</v>
      </c>
      <c r="D41" s="56" t="s">
        <v>91</v>
      </c>
      <c r="E41" s="56" t="s">
        <v>25</v>
      </c>
      <c r="F41" s="56" t="s">
        <v>25</v>
      </c>
      <c r="G41" s="57" t="s">
        <v>78</v>
      </c>
      <c r="H41" s="57" t="s">
        <v>74</v>
      </c>
      <c r="I41" s="57">
        <f>'MERCADO TUSD'!$U$38</f>
        <v>0</v>
      </c>
      <c r="J41" s="15"/>
      <c r="L41" s="31">
        <f>('TUSD BE'!$L$41+'TUSD BF'!$L$41+'TUSD CVA'!$L$41)*(1 - CUSTOS!$M$40)</f>
        <v>0</v>
      </c>
      <c r="M41" s="31">
        <f>('TUSD BE'!$M$41+'TUSD BF'!$M$41+'TUSD CVA'!$M$41)*(1 - CUSTOS!$M$40)</f>
        <v>0.70321449433850947</v>
      </c>
      <c r="N41" s="31">
        <f ca="1">('TUSD BE'!$N$41+'TUSD BF'!$N$41+'TUSD CVA'!$N$41)*(1 - CUSTOS!$M$40)</f>
        <v>3.7087644676893139</v>
      </c>
      <c r="O41" s="31">
        <f>('TUSD BE'!$O$41+'TUSD BF'!$O$41+'TUSD CVA'!$O$41)*(1 - CUSTOS!$M$40)</f>
        <v>0</v>
      </c>
      <c r="P41" s="31">
        <f>('TUSD BE'!$P$41+'TUSD BF'!$P$41+'TUSD CVA'!$P$41)*(1 - CUSTOS!$M$40)</f>
        <v>0</v>
      </c>
      <c r="Q41" s="31">
        <f>('TUSD BE'!$Q$41+'TUSD BF'!$Q$41+'TUSD CVA'!$Q$41)*(1 - CUSTOS!$M$40)</f>
        <v>98.832794190134052</v>
      </c>
      <c r="R41" s="31">
        <f>('TUSD BE'!$R$41+'TUSD BF'!$R$41+'TUSD CVA'!$R$41)*(1 - CUSTOS!$M$40)</f>
        <v>15.763329003336906</v>
      </c>
      <c r="S41" s="31">
        <f>('TUSD BE'!$S$41+'TUSD BF'!$S$41+'TUSD CVA'!$S$41)*(1 - CUSTOS!$M$40)</f>
        <v>0</v>
      </c>
      <c r="T41" s="31">
        <f>('TUSD BE'!$U$41+'TUSD BF'!$U$41+'TUSD CVA'!$U$41)*(1 - CUSTOS!$M$40)</f>
        <v>0</v>
      </c>
      <c r="U41" s="31">
        <f>('TUSD BE'!$V$41+'TUSD BF'!$V$41+'TUSD CVA'!$V$41)*(1 - CUSTOS!$M$40)</f>
        <v>0</v>
      </c>
      <c r="V41" s="31">
        <f>('TUSD BE'!$W$41+'TUSD BF'!$W$41+'TUSD CVA'!$W$41)*(1 - CUSTOS!$M$40)</f>
        <v>0</v>
      </c>
      <c r="W41" s="31">
        <f>('TUSD BE'!$X$41+'TUSD BF'!$X$41+'TUSD CVA'!$X$41)*(1 - CUSTOS!$M$40)</f>
        <v>0</v>
      </c>
      <c r="X41" s="31">
        <f>('TUSD BE'!$Y$41+'TUSD BF'!$Y$41+'TUSD CVA'!$Y$41)*(1 - CUSTOS!$M$40)</f>
        <v>94.883740926597795</v>
      </c>
      <c r="Y41" s="31">
        <f>('TUSD BE'!$Z$41+'TUSD BF'!$Z$41+'TUSD CVA'!$Z$41)*(1 - CUSTOS!$M$40)</f>
        <v>0</v>
      </c>
      <c r="Z41" s="31">
        <f>('TUSD BE'!$AA$41+'TUSD BF'!$AA$41+'TUSD CVA'!$AA$41)*(1 - CUSTOS!$M$40)</f>
        <v>0</v>
      </c>
      <c r="AA41" s="31">
        <f>('TUSD BE'!$AC$41+'TUSD BF'!$AC$41+'TUSD CVA'!$AC$41)*(1 - CUSTOS!$M$40)</f>
        <v>151.20204697501541</v>
      </c>
      <c r="AB41" s="31">
        <f ca="1">('TUSD BE'!$AE$41+'TUSD BF'!$AE$41+'TUSD CVA'!$AE$41)*(1 - CUSTOS!$M$40)</f>
        <v>0</v>
      </c>
      <c r="AC41" s="31">
        <f ca="1">('TUSD BE'!$AF$41+'TUSD BF'!$AF$41+'TUSD CVA'!$AF$41)*(1 - CUSTOS!$M$40)</f>
        <v>0</v>
      </c>
      <c r="AD41" s="31">
        <f>('TUSD BE'!$AH$41+'TUSD BF'!$AH$41+'TUSD CVA'!$AH$41)*(1 - CUSTOS!$M$40)</f>
        <v>18.042840763242545</v>
      </c>
      <c r="AE41" s="31">
        <f>('TUSD BE'!$AI$41+'TUSD BF'!$AI$41+'TUSD CVA'!$AI$41)*(1 - CUSTOS!$M$40)</f>
        <v>0.3903699460396301</v>
      </c>
      <c r="AF41" s="31">
        <f ca="1">('TUSD BE'!$AJ$41+'TUSD BF'!$AJ$41+'TUSD CVA'!$AJ$41)*(1 - CUSTOS!$M$40)</f>
        <v>0.31261771737940502</v>
      </c>
      <c r="AG41" s="31">
        <f ca="1">('TUSD BE'!$AK$41+'TUSD BF'!$AK$41+'TUSD CVA'!$AK$41)*(1 - CUSTOS!$M$40)</f>
        <v>0.3415440678822641</v>
      </c>
      <c r="AI41" s="31">
        <v>0</v>
      </c>
      <c r="AJ41" s="31">
        <v>0.54280311775254597</v>
      </c>
      <c r="AK41" s="31">
        <v>2.93942866793076</v>
      </c>
      <c r="AL41" s="31">
        <v>0</v>
      </c>
      <c r="AM41" s="31">
        <v>0</v>
      </c>
      <c r="AN41" s="31">
        <v>49.078452418170897</v>
      </c>
      <c r="AO41" s="31">
        <v>8.3524080925957396</v>
      </c>
      <c r="AP41" s="31">
        <v>0</v>
      </c>
      <c r="AQ41" s="31">
        <v>0</v>
      </c>
      <c r="AR41" s="31">
        <v>0</v>
      </c>
      <c r="AS41" s="31">
        <v>0</v>
      </c>
      <c r="AT41" s="31">
        <v>0</v>
      </c>
      <c r="AU41" s="31">
        <v>83.054257993667505</v>
      </c>
      <c r="AV41" s="31">
        <v>0</v>
      </c>
      <c r="AW41" s="31">
        <v>0</v>
      </c>
      <c r="AX41" s="31">
        <v>119.738885846332</v>
      </c>
      <c r="AY41" s="31">
        <v>0</v>
      </c>
      <c r="AZ41" s="31">
        <v>0</v>
      </c>
      <c r="BA41" s="31">
        <v>20.170375107464299</v>
      </c>
      <c r="BB41" s="31">
        <v>0</v>
      </c>
      <c r="BC41" s="31">
        <v>0.21270297585384501</v>
      </c>
      <c r="BD41" s="31">
        <v>0.26157522220511797</v>
      </c>
    </row>
    <row r="42" spans="1:56" ht="11.25" customHeight="1" x14ac:dyDescent="0.25">
      <c r="A42" s="149"/>
      <c r="B42" s="149" t="s">
        <v>89</v>
      </c>
      <c r="C42" s="149" t="s">
        <v>42</v>
      </c>
      <c r="D42" s="56" t="s">
        <v>25</v>
      </c>
      <c r="E42" s="56" t="s">
        <v>25</v>
      </c>
      <c r="F42" s="56" t="s">
        <v>25</v>
      </c>
      <c r="G42" s="57" t="s">
        <v>78</v>
      </c>
      <c r="H42" s="57" t="s">
        <v>74</v>
      </c>
      <c r="I42" s="57">
        <f>'MERCADO TUSD'!$U$39</f>
        <v>0</v>
      </c>
      <c r="J42" s="15"/>
      <c r="L42" s="31">
        <f>('TUSD BE'!$L$42+'TUSD BF'!$L$42+'TUSD CVA'!$L$42)*(1 - CUSTOS!$M$38)</f>
        <v>0</v>
      </c>
      <c r="M42" s="31">
        <f>('TUSD BE'!$M$42+'TUSD BF'!$M$42+'TUSD CVA'!$M$42)*(1 - CUSTOS!$M$38)</f>
        <v>0.71850176595456405</v>
      </c>
      <c r="N42" s="31">
        <f ca="1">('TUSD BE'!$N$42+'TUSD BF'!$N$42+'TUSD CVA'!$N$42)*(1 - CUSTOS!$M$38)</f>
        <v>3.7893897822042986</v>
      </c>
      <c r="O42" s="31">
        <f>('TUSD BE'!$O$42+'TUSD BF'!$O$42+'TUSD CVA'!$O$42)*(1 - CUSTOS!$M$38)</f>
        <v>0</v>
      </c>
      <c r="P42" s="31">
        <f>('TUSD BE'!$P$42+'TUSD BF'!$P$42+'TUSD CVA'!$P$42)*(1 - CUSTOS!$M$38)</f>
        <v>0</v>
      </c>
      <c r="Q42" s="31">
        <f>('TUSD BE'!$Q$42+'TUSD BF'!$Q$42+'TUSD CVA'!$Q$42)*(1 - CUSTOS!$M$38)</f>
        <v>100.98133319426739</v>
      </c>
      <c r="R42" s="31">
        <f>('TUSD BE'!$R$42+'TUSD BF'!$R$42+'TUSD CVA'!$R$42)*(1 - CUSTOS!$M$38)</f>
        <v>16.106010068626837</v>
      </c>
      <c r="S42" s="31">
        <f>('TUSD BE'!$S$42+'TUSD BF'!$S$42+'TUSD CVA'!$S$42)*(1 - CUSTOS!$M$38)</f>
        <v>0</v>
      </c>
      <c r="T42" s="31">
        <f>('TUSD BE'!$U$42+'TUSD BF'!$U$42+'TUSD CVA'!$U$42)*(1 - CUSTOS!$M$38)</f>
        <v>0</v>
      </c>
      <c r="U42" s="31">
        <f>('TUSD BE'!$V$42+'TUSD BF'!$V$42+'TUSD CVA'!$V$42)*(1 - CUSTOS!$M$38)</f>
        <v>0</v>
      </c>
      <c r="V42" s="31">
        <f>('TUSD BE'!$W$42+'TUSD BF'!$W$42+'TUSD CVA'!$W$42)*(1 - CUSTOS!$M$38)</f>
        <v>0</v>
      </c>
      <c r="W42" s="31">
        <f>('TUSD BE'!$X$42+'TUSD BF'!$X$42+'TUSD CVA'!$X$42)*(1 - CUSTOS!$M$38)</f>
        <v>0</v>
      </c>
      <c r="X42" s="31">
        <f>('TUSD BE'!$Y$42+'TUSD BF'!$Y$42+'TUSD CVA'!$Y$42)*(1 - CUSTOS!$M$38)</f>
        <v>96.946430946741216</v>
      </c>
      <c r="Y42" s="31">
        <f>('TUSD BE'!$Z$42+'TUSD BF'!$Z$42+'TUSD CVA'!$Z$42)*(1 - CUSTOS!$M$38)</f>
        <v>0</v>
      </c>
      <c r="Z42" s="31">
        <f>('TUSD BE'!$AA$42+'TUSD BF'!$AA$42+'TUSD CVA'!$AA$42)*(1 - CUSTOS!$M$38)</f>
        <v>0</v>
      </c>
      <c r="AA42" s="31">
        <f>('TUSD BE'!$AC$42+'TUSD BF'!$AC$42+'TUSD CVA'!$AC$42)*(1 - CUSTOS!$M$38)</f>
        <v>154.48904799621138</v>
      </c>
      <c r="AB42" s="31">
        <f ca="1">('TUSD BE'!$AE$42+'TUSD BF'!$AE$42+'TUSD CVA'!$AE$42)*(1 - CUSTOS!$M$38)</f>
        <v>0</v>
      </c>
      <c r="AC42" s="31">
        <f ca="1">('TUSD BE'!$AF$42+'TUSD BF'!$AF$42+'TUSD CVA'!$AF$42)*(1 - CUSTOS!$M$38)</f>
        <v>0</v>
      </c>
      <c r="AD42" s="31">
        <f>('TUSD BE'!$AH$42+'TUSD BF'!$AH$42+'TUSD CVA'!$AH$42)*(1 - CUSTOS!$M$38)</f>
        <v>18.435076432008685</v>
      </c>
      <c r="AE42" s="31">
        <f>('TUSD BE'!$AI$42+'TUSD BF'!$AI$42+'TUSD CVA'!$AI$42)*(1 - CUSTOS!$M$38)</f>
        <v>0.3988562492144046</v>
      </c>
      <c r="AF42" s="31">
        <f ca="1">('TUSD BE'!$AJ$42+'TUSD BF'!$AJ$42+'TUSD CVA'!$AJ$42)*(1 - CUSTOS!$M$38)</f>
        <v>0.31941375471373989</v>
      </c>
      <c r="AG42" s="31">
        <f ca="1">('TUSD BE'!$AK$42+'TUSD BF'!$AK$42+'TUSD CVA'!$AK$42)*(1 - CUSTOS!$M$38)</f>
        <v>0.34896893892318287</v>
      </c>
      <c r="AI42" s="31">
        <v>0</v>
      </c>
      <c r="AJ42" s="31">
        <v>0.56865088526457197</v>
      </c>
      <c r="AK42" s="31">
        <v>3.07940146164175</v>
      </c>
      <c r="AL42" s="31">
        <v>0</v>
      </c>
      <c r="AM42" s="31">
        <v>0</v>
      </c>
      <c r="AN42" s="31">
        <v>51.415521580940997</v>
      </c>
      <c r="AO42" s="31">
        <v>8.7501418112907796</v>
      </c>
      <c r="AP42" s="31">
        <v>0</v>
      </c>
      <c r="AQ42" s="31">
        <v>0</v>
      </c>
      <c r="AR42" s="31">
        <v>0</v>
      </c>
      <c r="AS42" s="31">
        <v>0</v>
      </c>
      <c r="AT42" s="31">
        <v>0</v>
      </c>
      <c r="AU42" s="31">
        <v>87.009222660032606</v>
      </c>
      <c r="AV42" s="31">
        <v>0</v>
      </c>
      <c r="AW42" s="31">
        <v>0</v>
      </c>
      <c r="AX42" s="31">
        <v>125.4407375533</v>
      </c>
      <c r="AY42" s="31">
        <v>0</v>
      </c>
      <c r="AZ42" s="31">
        <v>0</v>
      </c>
      <c r="BA42" s="31">
        <v>21.130869160200699</v>
      </c>
      <c r="BB42" s="31">
        <v>0</v>
      </c>
      <c r="BC42" s="31">
        <v>0.22283168898974301</v>
      </c>
      <c r="BD42" s="31">
        <v>0.27403118516726699</v>
      </c>
    </row>
    <row r="43" spans="1:56" ht="11.25" customHeight="1" x14ac:dyDescent="0.25">
      <c r="A43" s="149"/>
      <c r="B43" s="149"/>
      <c r="C43" s="149"/>
      <c r="D43" s="56" t="s">
        <v>90</v>
      </c>
      <c r="E43" s="56" t="s">
        <v>25</v>
      </c>
      <c r="F43" s="56" t="s">
        <v>25</v>
      </c>
      <c r="G43" s="57" t="s">
        <v>78</v>
      </c>
      <c r="H43" s="57" t="s">
        <v>74</v>
      </c>
      <c r="I43" s="57">
        <f>'MERCADO TUSD'!$U$40</f>
        <v>0</v>
      </c>
      <c r="J43" s="15"/>
      <c r="L43" s="31">
        <f>('TUSD BE'!$L$43+'TUSD BF'!$L$43+'TUSD CVA'!$L$43)*(1 - CUSTOS!$M$39)</f>
        <v>0</v>
      </c>
      <c r="M43" s="31">
        <f>('TUSD BE'!$M$43+'TUSD BF'!$M$43+'TUSD CVA'!$M$43)*(1 - CUSTOS!$M$39)</f>
        <v>0.71850176595456405</v>
      </c>
      <c r="N43" s="31">
        <f ca="1">('TUSD BE'!$N$43+'TUSD BF'!$N$43+'TUSD CVA'!$N$43)*(1 - CUSTOS!$M$39)</f>
        <v>3.7893897822042986</v>
      </c>
      <c r="O43" s="31">
        <f>('TUSD BE'!$O$43+'TUSD BF'!$O$43+'TUSD CVA'!$O$43)*(1 - CUSTOS!$M$39)</f>
        <v>0</v>
      </c>
      <c r="P43" s="31">
        <f>('TUSD BE'!$P$43+'TUSD BF'!$P$43+'TUSD CVA'!$P$43)*(1 - CUSTOS!$M$39)</f>
        <v>0</v>
      </c>
      <c r="Q43" s="31">
        <f>('TUSD BE'!$Q$43+'TUSD BF'!$Q$43+'TUSD CVA'!$Q$43)*(1 - CUSTOS!$M$39)</f>
        <v>100.98133319426739</v>
      </c>
      <c r="R43" s="31">
        <f>('TUSD BE'!$R$43+'TUSD BF'!$R$43+'TUSD CVA'!$R$43)*(1 - CUSTOS!$M$39)</f>
        <v>16.106010068626837</v>
      </c>
      <c r="S43" s="31">
        <f>('TUSD BE'!$S$43+'TUSD BF'!$S$43+'TUSD CVA'!$S$43)*(1 - CUSTOS!$M$39)</f>
        <v>0</v>
      </c>
      <c r="T43" s="31">
        <f>('TUSD BE'!$U$43+'TUSD BF'!$U$43+'TUSD CVA'!$U$43)*(1 - CUSTOS!$M$39)</f>
        <v>0</v>
      </c>
      <c r="U43" s="31">
        <f>('TUSD BE'!$V$43+'TUSD BF'!$V$43+'TUSD CVA'!$V$43)*(1 - CUSTOS!$M$39)</f>
        <v>0</v>
      </c>
      <c r="V43" s="31">
        <f>('TUSD BE'!$W$43+'TUSD BF'!$W$43+'TUSD CVA'!$W$43)*(1 - CUSTOS!$M$39)</f>
        <v>0</v>
      </c>
      <c r="W43" s="31">
        <f>('TUSD BE'!$X$43+'TUSD BF'!$X$43+'TUSD CVA'!$X$43)*(1 - CUSTOS!$M$39)</f>
        <v>0</v>
      </c>
      <c r="X43" s="31">
        <f>('TUSD BE'!$Y$43+'TUSD BF'!$Y$43+'TUSD CVA'!$Y$43)*(1 - CUSTOS!$M$39)</f>
        <v>96.946430946741216</v>
      </c>
      <c r="Y43" s="31">
        <f>('TUSD BE'!$Z$43+'TUSD BF'!$Z$43+'TUSD CVA'!$Z$43)*(1 - CUSTOS!$M$39)</f>
        <v>0</v>
      </c>
      <c r="Z43" s="31">
        <f>('TUSD BE'!$AA$43+'TUSD BF'!$AA$43+'TUSD CVA'!$AA$43)*(1 - CUSTOS!$M$39)</f>
        <v>0</v>
      </c>
      <c r="AA43" s="31">
        <f>('TUSD BE'!$AC$43+'TUSD BF'!$AC$43+'TUSD CVA'!$AC$43)*(1 - CUSTOS!$M$39)</f>
        <v>154.48904799621138</v>
      </c>
      <c r="AB43" s="31">
        <f ca="1">('TUSD BE'!$AE$43+'TUSD BF'!$AE$43+'TUSD CVA'!$AE$43)*(1 - CUSTOS!$M$39)</f>
        <v>0</v>
      </c>
      <c r="AC43" s="31">
        <f ca="1">('TUSD BE'!$AF$43+'TUSD BF'!$AF$43+'TUSD CVA'!$AF$43)*(1 - CUSTOS!$M$39)</f>
        <v>0</v>
      </c>
      <c r="AD43" s="31">
        <f>('TUSD BE'!$AH$43+'TUSD BF'!$AH$43+'TUSD CVA'!$AH$43)*(1 - CUSTOS!$M$39)</f>
        <v>18.435076432008685</v>
      </c>
      <c r="AE43" s="31">
        <f>('TUSD BE'!$AI$43+'TUSD BF'!$AI$43+'TUSD CVA'!$AI$43)*(1 - CUSTOS!$M$39)</f>
        <v>0.3988562492144046</v>
      </c>
      <c r="AF43" s="31">
        <f ca="1">('TUSD BE'!$AJ$43+'TUSD BF'!$AJ$43+'TUSD CVA'!$AJ$43)*(1 - CUSTOS!$M$39)</f>
        <v>0.31941375471373989</v>
      </c>
      <c r="AG43" s="31">
        <f ca="1">('TUSD BE'!$AK$43+'TUSD BF'!$AK$43+'TUSD CVA'!$AK$43)*(1 - CUSTOS!$M$39)</f>
        <v>0.34896893892318287</v>
      </c>
      <c r="AI43" s="31">
        <v>0</v>
      </c>
      <c r="AJ43" s="31">
        <v>0.56865088526457197</v>
      </c>
      <c r="AK43" s="31">
        <v>3.07940146164175</v>
      </c>
      <c r="AL43" s="31">
        <v>0</v>
      </c>
      <c r="AM43" s="31">
        <v>0</v>
      </c>
      <c r="AN43" s="31">
        <v>51.415521580940997</v>
      </c>
      <c r="AO43" s="31">
        <v>8.7501418112907796</v>
      </c>
      <c r="AP43" s="31">
        <v>0</v>
      </c>
      <c r="AQ43" s="31">
        <v>0</v>
      </c>
      <c r="AR43" s="31">
        <v>0</v>
      </c>
      <c r="AS43" s="31">
        <v>0</v>
      </c>
      <c r="AT43" s="31">
        <v>0</v>
      </c>
      <c r="AU43" s="31">
        <v>87.009222660032606</v>
      </c>
      <c r="AV43" s="31">
        <v>0</v>
      </c>
      <c r="AW43" s="31">
        <v>0</v>
      </c>
      <c r="AX43" s="31">
        <v>125.4407375533</v>
      </c>
      <c r="AY43" s="31">
        <v>0</v>
      </c>
      <c r="AZ43" s="31">
        <v>0</v>
      </c>
      <c r="BA43" s="31">
        <v>21.130869160200699</v>
      </c>
      <c r="BB43" s="31">
        <v>0</v>
      </c>
      <c r="BC43" s="31">
        <v>0.22283168898974301</v>
      </c>
      <c r="BD43" s="31">
        <v>0.27403118516726699</v>
      </c>
    </row>
    <row r="44" spans="1:56" ht="11.25" customHeight="1" x14ac:dyDescent="0.25">
      <c r="A44" s="149"/>
      <c r="B44" s="149"/>
      <c r="C44" s="149"/>
      <c r="D44" s="56" t="s">
        <v>91</v>
      </c>
      <c r="E44" s="56" t="s">
        <v>25</v>
      </c>
      <c r="F44" s="56" t="s">
        <v>25</v>
      </c>
      <c r="G44" s="57" t="s">
        <v>78</v>
      </c>
      <c r="H44" s="57" t="s">
        <v>74</v>
      </c>
      <c r="I44" s="57">
        <f>'MERCADO TUSD'!$U$41</f>
        <v>0</v>
      </c>
      <c r="J44" s="15"/>
      <c r="L44" s="31">
        <f>('TUSD BE'!$L$44+'TUSD BF'!$L$44+'TUSD CVA'!$L$44)*(1 - CUSTOS!$M$40)</f>
        <v>0</v>
      </c>
      <c r="M44" s="31">
        <f>('TUSD BE'!$M$44+'TUSD BF'!$M$44+'TUSD CVA'!$M$44)*(1 - CUSTOS!$M$40)</f>
        <v>0.70321449433850947</v>
      </c>
      <c r="N44" s="31">
        <f ca="1">('TUSD BE'!$N$44+'TUSD BF'!$N$44+'TUSD CVA'!$N$44)*(1 - CUSTOS!$M$40)</f>
        <v>3.7087644676893139</v>
      </c>
      <c r="O44" s="31">
        <f>('TUSD BE'!$O$44+'TUSD BF'!$O$44+'TUSD CVA'!$O$44)*(1 - CUSTOS!$M$40)</f>
        <v>0</v>
      </c>
      <c r="P44" s="31">
        <f>('TUSD BE'!$P$44+'TUSD BF'!$P$44+'TUSD CVA'!$P$44)*(1 - CUSTOS!$M$40)</f>
        <v>0</v>
      </c>
      <c r="Q44" s="31">
        <f>('TUSD BE'!$Q$44+'TUSD BF'!$Q$44+'TUSD CVA'!$Q$44)*(1 - CUSTOS!$M$40)</f>
        <v>98.832794190134052</v>
      </c>
      <c r="R44" s="31">
        <f>('TUSD BE'!$R$44+'TUSD BF'!$R$44+'TUSD CVA'!$R$44)*(1 - CUSTOS!$M$40)</f>
        <v>15.763329003336906</v>
      </c>
      <c r="S44" s="31">
        <f>('TUSD BE'!$S$44+'TUSD BF'!$S$44+'TUSD CVA'!$S$44)*(1 - CUSTOS!$M$40)</f>
        <v>0</v>
      </c>
      <c r="T44" s="31">
        <f>('TUSD BE'!$U$44+'TUSD BF'!$U$44+'TUSD CVA'!$U$44)*(1 - CUSTOS!$M$40)</f>
        <v>0</v>
      </c>
      <c r="U44" s="31">
        <f>('TUSD BE'!$V$44+'TUSD BF'!$V$44+'TUSD CVA'!$V$44)*(1 - CUSTOS!$M$40)</f>
        <v>0</v>
      </c>
      <c r="V44" s="31">
        <f>('TUSD BE'!$W$44+'TUSD BF'!$W$44+'TUSD CVA'!$W$44)*(1 - CUSTOS!$M$40)</f>
        <v>0</v>
      </c>
      <c r="W44" s="31">
        <f>('TUSD BE'!$X$44+'TUSD BF'!$X$44+'TUSD CVA'!$X$44)*(1 - CUSTOS!$M$40)</f>
        <v>0</v>
      </c>
      <c r="X44" s="31">
        <f>('TUSD BE'!$Y$44+'TUSD BF'!$Y$44+'TUSD CVA'!$Y$44)*(1 - CUSTOS!$M$40)</f>
        <v>94.883740926597795</v>
      </c>
      <c r="Y44" s="31">
        <f>('TUSD BE'!$Z$44+'TUSD BF'!$Z$44+'TUSD CVA'!$Z$44)*(1 - CUSTOS!$M$40)</f>
        <v>0</v>
      </c>
      <c r="Z44" s="31">
        <f>('TUSD BE'!$AA$44+'TUSD BF'!$AA$44+'TUSD CVA'!$AA$44)*(1 - CUSTOS!$M$40)</f>
        <v>0</v>
      </c>
      <c r="AA44" s="31">
        <f>('TUSD BE'!$AC$44+'TUSD BF'!$AC$44+'TUSD CVA'!$AC$44)*(1 - CUSTOS!$M$40)</f>
        <v>151.20204697501541</v>
      </c>
      <c r="AB44" s="31">
        <f ca="1">('TUSD BE'!$AE$44+'TUSD BF'!$AE$44+'TUSD CVA'!$AE$44)*(1 - CUSTOS!$M$40)</f>
        <v>0</v>
      </c>
      <c r="AC44" s="31">
        <f ca="1">('TUSD BE'!$AF$44+'TUSD BF'!$AF$44+'TUSD CVA'!$AF$44)*(1 - CUSTOS!$M$40)</f>
        <v>0</v>
      </c>
      <c r="AD44" s="31">
        <f>('TUSD BE'!$AH$44+'TUSD BF'!$AH$44+'TUSD CVA'!$AH$44)*(1 - CUSTOS!$M$40)</f>
        <v>18.042840763242545</v>
      </c>
      <c r="AE44" s="31">
        <f>('TUSD BE'!$AI$44+'TUSD BF'!$AI$44+'TUSD CVA'!$AI$44)*(1 - CUSTOS!$M$40)</f>
        <v>0.3903699460396301</v>
      </c>
      <c r="AF44" s="31">
        <f ca="1">('TUSD BE'!$AJ$44+'TUSD BF'!$AJ$44+'TUSD CVA'!$AJ$44)*(1 - CUSTOS!$M$40)</f>
        <v>0.31261771737940502</v>
      </c>
      <c r="AG44" s="31">
        <f ca="1">('TUSD BE'!$AK$44+'TUSD BF'!$AK$44+'TUSD CVA'!$AK$44)*(1 - CUSTOS!$M$40)</f>
        <v>0.3415440678822641</v>
      </c>
      <c r="AI44" s="31">
        <v>0</v>
      </c>
      <c r="AJ44" s="31">
        <v>0.54280311775254597</v>
      </c>
      <c r="AK44" s="31">
        <v>2.93942866793076</v>
      </c>
      <c r="AL44" s="31">
        <v>0</v>
      </c>
      <c r="AM44" s="31">
        <v>0</v>
      </c>
      <c r="AN44" s="31">
        <v>49.078452418170897</v>
      </c>
      <c r="AO44" s="31">
        <v>8.3524080925957396</v>
      </c>
      <c r="AP44" s="31">
        <v>0</v>
      </c>
      <c r="AQ44" s="31">
        <v>0</v>
      </c>
      <c r="AR44" s="31">
        <v>0</v>
      </c>
      <c r="AS44" s="31">
        <v>0</v>
      </c>
      <c r="AT44" s="31">
        <v>0</v>
      </c>
      <c r="AU44" s="31">
        <v>83.054257993667505</v>
      </c>
      <c r="AV44" s="31">
        <v>0</v>
      </c>
      <c r="AW44" s="31">
        <v>0</v>
      </c>
      <c r="AX44" s="31">
        <v>119.738885846332</v>
      </c>
      <c r="AY44" s="31">
        <v>0</v>
      </c>
      <c r="AZ44" s="31">
        <v>0</v>
      </c>
      <c r="BA44" s="31">
        <v>20.170375107464299</v>
      </c>
      <c r="BB44" s="31">
        <v>0</v>
      </c>
      <c r="BC44" s="31">
        <v>0.21270297585384501</v>
      </c>
      <c r="BD44" s="31">
        <v>0.26157522220511797</v>
      </c>
    </row>
    <row r="45" spans="1:56" ht="11.25" customHeight="1" x14ac:dyDescent="0.25">
      <c r="A45" s="149" t="s">
        <v>33</v>
      </c>
      <c r="B45" s="149" t="s">
        <v>50</v>
      </c>
      <c r="C45" s="149" t="s">
        <v>25</v>
      </c>
      <c r="D45" s="149" t="s">
        <v>25</v>
      </c>
      <c r="E45" s="149" t="s">
        <v>25</v>
      </c>
      <c r="F45" s="149" t="s">
        <v>25</v>
      </c>
      <c r="G45" s="57" t="s">
        <v>75</v>
      </c>
      <c r="H45" s="57" t="s">
        <v>74</v>
      </c>
      <c r="I45" s="57">
        <f>'MERCADO TUSD'!$U$42</f>
        <v>1.1399999999999999</v>
      </c>
      <c r="J45" s="15"/>
      <c r="L45" s="31">
        <f>('TUSD BE'!$L$45+'TUSD BF'!$L$45+'TUSD CVA'!$L$45)*1</f>
        <v>0</v>
      </c>
      <c r="M45" s="31">
        <f>('TUSD BE'!$M$45+'TUSD BF'!$M$45+'TUSD CVA'!$M$45)*1</f>
        <v>0.7643635808027277</v>
      </c>
      <c r="N45" s="31">
        <f ca="1">('TUSD BE'!$N$45+'TUSD BF'!$N$45+'TUSD CVA'!$N$45)*1</f>
        <v>12.490376596613222</v>
      </c>
      <c r="O45" s="31">
        <f>('TUSD BE'!$O$45+'TUSD BF'!$O$45+'TUSD CVA'!$O$45)*1</f>
        <v>0</v>
      </c>
      <c r="P45" s="31">
        <f>('TUSD BE'!$P$45+'TUSD BF'!$P$45+'TUSD CVA'!$P$45)*1</f>
        <v>0</v>
      </c>
      <c r="Q45" s="31">
        <f>('TUSD BE'!$Q$45+'TUSD BF'!$Q$45+'TUSD CVA'!$Q$45)*1</f>
        <v>107.42695020666744</v>
      </c>
      <c r="R45" s="31">
        <f>('TUSD BE'!$R$45+'TUSD BF'!$R$45+'TUSD CVA'!$R$45)*1</f>
        <v>17.134053264496636</v>
      </c>
      <c r="S45" s="31">
        <f>('TUSD BE'!$S$45+'TUSD BF'!$S$45+'TUSD CVA'!$S$45)*1</f>
        <v>0</v>
      </c>
      <c r="T45" s="31">
        <f>('TUSD BE'!$U$45+'TUSD BF'!$U$45+'TUSD CVA'!$U$45)*1</f>
        <v>0</v>
      </c>
      <c r="U45" s="31">
        <f>('TUSD BE'!$V$45+'TUSD BF'!$V$45+'TUSD CVA'!$V$45)*1</f>
        <v>0</v>
      </c>
      <c r="V45" s="31">
        <f>('TUSD BE'!$W$45+'TUSD BF'!$W$45+'TUSD CVA'!$W$45)*1</f>
        <v>0</v>
      </c>
      <c r="W45" s="31">
        <f>('TUSD BE'!$X$45+'TUSD BF'!$X$45+'TUSD CVA'!$X$45)*1</f>
        <v>0</v>
      </c>
      <c r="X45" s="31">
        <f>('TUSD BE'!$Y$45+'TUSD BF'!$Y$45+'TUSD CVA'!$Y$45)*1</f>
        <v>360.9706962905409</v>
      </c>
      <c r="Y45" s="31">
        <f>('TUSD BE'!$Z$45+'TUSD BF'!$Z$45+'TUSD CVA'!$Z$45)*1</f>
        <v>0</v>
      </c>
      <c r="Z45" s="31">
        <f>('TUSD BE'!$AA$45+'TUSD BF'!$AA$45+'TUSD CVA'!$AA$45)*1</f>
        <v>0</v>
      </c>
      <c r="AA45" s="31">
        <f>('TUSD BE'!$AC$45+'TUSD BF'!$AC$45+'TUSD CVA'!$AC$45)*1</f>
        <v>575.22528058834155</v>
      </c>
      <c r="AB45" s="31">
        <f ca="1">('TUSD BE'!$AE$45+'TUSD BF'!$AE$45+'TUSD CVA'!$AE$45)*1</f>
        <v>0</v>
      </c>
      <c r="AC45" s="31">
        <f ca="1">('TUSD BE'!$AF$45+'TUSD BF'!$AF$45+'TUSD CVA'!$AF$45)*1</f>
        <v>0</v>
      </c>
      <c r="AD45" s="31">
        <f>('TUSD BE'!$AH$45+'TUSD BF'!$AH$45+'TUSD CVA'!$AH$45)*1</f>
        <v>19.611783438307114</v>
      </c>
      <c r="AE45" s="31">
        <f>('TUSD BE'!$AI$45+'TUSD BF'!$AI$45+'TUSD CVA'!$AI$45)*1</f>
        <v>0.42431515873872833</v>
      </c>
      <c r="AF45" s="31">
        <f ca="1">('TUSD BE'!$AJ$45+'TUSD BF'!$AJ$45+'TUSD CVA'!$AJ$45)*1</f>
        <v>0.33980186671674456</v>
      </c>
      <c r="AG45" s="31">
        <f ca="1">('TUSD BE'!$AK$45+'TUSD BF'!$AK$45+'TUSD CVA'!$AK$45)*1</f>
        <v>0.37124355204593923</v>
      </c>
      <c r="AI45" s="31">
        <v>0</v>
      </c>
      <c r="AJ45" s="31">
        <v>0.64619418780064997</v>
      </c>
      <c r="AK45" s="31">
        <v>10.717397368489401</v>
      </c>
      <c r="AL45" s="31">
        <v>0</v>
      </c>
      <c r="AM45" s="31">
        <v>0</v>
      </c>
      <c r="AN45" s="31">
        <v>58.426729069251103</v>
      </c>
      <c r="AO45" s="31">
        <v>9.9433429673758802</v>
      </c>
      <c r="AP45" s="31">
        <v>0</v>
      </c>
      <c r="AQ45" s="31">
        <v>0</v>
      </c>
      <c r="AR45" s="31">
        <v>0</v>
      </c>
      <c r="AS45" s="31">
        <v>0</v>
      </c>
      <c r="AT45" s="31">
        <v>0</v>
      </c>
      <c r="AU45" s="31">
        <v>365.83400127574203</v>
      </c>
      <c r="AV45" s="31">
        <v>0</v>
      </c>
      <c r="AW45" s="31">
        <v>0</v>
      </c>
      <c r="AX45" s="31">
        <v>527.421471979123</v>
      </c>
      <c r="AY45" s="31">
        <v>0</v>
      </c>
      <c r="AZ45" s="31">
        <v>0</v>
      </c>
      <c r="BA45" s="31">
        <v>24.012351318409898</v>
      </c>
      <c r="BB45" s="31">
        <v>0</v>
      </c>
      <c r="BC45" s="31">
        <v>0.25321782839743501</v>
      </c>
      <c r="BD45" s="31">
        <v>0.31139907405371198</v>
      </c>
    </row>
    <row r="46" spans="1:56" ht="11.25" customHeight="1" x14ac:dyDescent="0.25">
      <c r="A46" s="149"/>
      <c r="B46" s="149"/>
      <c r="C46" s="149"/>
      <c r="D46" s="149"/>
      <c r="E46" s="149"/>
      <c r="F46" s="149"/>
      <c r="G46" s="57" t="s">
        <v>87</v>
      </c>
      <c r="H46" s="57" t="s">
        <v>74</v>
      </c>
      <c r="I46" s="57">
        <f>'MERCADO TUSD'!$U$43</f>
        <v>1.5340000000000003</v>
      </c>
      <c r="J46" s="15"/>
      <c r="L46" s="31">
        <f>('TUSD BE'!$L$46+'TUSD BF'!$L$46+'TUSD CVA'!$L$46)*1</f>
        <v>0</v>
      </c>
      <c r="M46" s="31">
        <f>('TUSD BE'!$M$46+'TUSD BF'!$M$46+'TUSD CVA'!$M$46)*1</f>
        <v>0.7643635808027277</v>
      </c>
      <c r="N46" s="31">
        <f ca="1">('TUSD BE'!$N$46+'TUSD BF'!$N$46+'TUSD CVA'!$N$46)*1</f>
        <v>7.7532743474297989</v>
      </c>
      <c r="O46" s="31">
        <f>('TUSD BE'!$O$46+'TUSD BF'!$O$46+'TUSD CVA'!$O$46)*1</f>
        <v>0</v>
      </c>
      <c r="P46" s="31">
        <f>('TUSD BE'!$P$46+'TUSD BF'!$P$46+'TUSD CVA'!$P$46)*1</f>
        <v>0</v>
      </c>
      <c r="Q46" s="31">
        <f>('TUSD BE'!$Q$46+'TUSD BF'!$Q$46+'TUSD CVA'!$Q$46)*1</f>
        <v>107.42695020666744</v>
      </c>
      <c r="R46" s="31">
        <f>('TUSD BE'!$R$46+'TUSD BF'!$R$46+'TUSD CVA'!$R$46)*1</f>
        <v>17.134053264496636</v>
      </c>
      <c r="S46" s="31">
        <f>('TUSD BE'!$S$46+'TUSD BF'!$S$46+'TUSD CVA'!$S$46)*1</f>
        <v>0</v>
      </c>
      <c r="T46" s="31">
        <f>('TUSD BE'!$U$46+'TUSD BF'!$U$46+'TUSD CVA'!$U$46)*1</f>
        <v>0</v>
      </c>
      <c r="U46" s="31">
        <f>('TUSD BE'!$V$46+'TUSD BF'!$V$46+'TUSD CVA'!$V$46)*1</f>
        <v>0</v>
      </c>
      <c r="V46" s="31">
        <f>('TUSD BE'!$W$46+'TUSD BF'!$W$46+'TUSD CVA'!$W$46)*1</f>
        <v>0</v>
      </c>
      <c r="W46" s="31">
        <f>('TUSD BE'!$X$46+'TUSD BF'!$X$46+'TUSD CVA'!$X$46)*1</f>
        <v>0</v>
      </c>
      <c r="X46" s="31">
        <f>('TUSD BE'!$Y$46+'TUSD BF'!$Y$46+'TUSD CVA'!$Y$46)*1</f>
        <v>216.58244066814828</v>
      </c>
      <c r="Y46" s="31">
        <f>('TUSD BE'!$Z$46+'TUSD BF'!$Z$46+'TUSD CVA'!$Z$46)*1</f>
        <v>0</v>
      </c>
      <c r="Z46" s="31">
        <f>('TUSD BE'!$AA$46+'TUSD BF'!$AA$46+'TUSD CVA'!$AA$46)*1</f>
        <v>0</v>
      </c>
      <c r="AA46" s="31">
        <f>('TUSD BE'!$AC$46+'TUSD BF'!$AC$46+'TUSD CVA'!$AC$46)*1</f>
        <v>345.13512760138735</v>
      </c>
      <c r="AB46" s="31">
        <f ca="1">('TUSD BE'!$AE$46+'TUSD BF'!$AE$46+'TUSD CVA'!$AE$46)*1</f>
        <v>0</v>
      </c>
      <c r="AC46" s="31">
        <f ca="1">('TUSD BE'!$AF$46+'TUSD BF'!$AF$46+'TUSD CVA'!$AF$46)*1</f>
        <v>0</v>
      </c>
      <c r="AD46" s="31">
        <f>('TUSD BE'!$AH$46+'TUSD BF'!$AH$46+'TUSD CVA'!$AH$46)*1</f>
        <v>19.611783438307114</v>
      </c>
      <c r="AE46" s="31">
        <f>('TUSD BE'!$AI$46+'TUSD BF'!$AI$46+'TUSD CVA'!$AI$46)*1</f>
        <v>0.42431515873872833</v>
      </c>
      <c r="AF46" s="31">
        <f ca="1">('TUSD BE'!$AJ$46+'TUSD BF'!$AJ$46+'TUSD CVA'!$AJ$46)*1</f>
        <v>0.33980186671674456</v>
      </c>
      <c r="AG46" s="31">
        <f ca="1">('TUSD BE'!$AK$46+'TUSD BF'!$AK$46+'TUSD CVA'!$AK$46)*1</f>
        <v>0.37124355204593923</v>
      </c>
      <c r="AI46" s="31">
        <v>0</v>
      </c>
      <c r="AJ46" s="31">
        <v>0.64619418780064997</v>
      </c>
      <c r="AK46" s="31">
        <v>6.76082158071892</v>
      </c>
      <c r="AL46" s="31">
        <v>0</v>
      </c>
      <c r="AM46" s="31">
        <v>0</v>
      </c>
      <c r="AN46" s="31">
        <v>58.426729069251103</v>
      </c>
      <c r="AO46" s="31">
        <v>9.9433429673758802</v>
      </c>
      <c r="AP46" s="31">
        <v>0</v>
      </c>
      <c r="AQ46" s="31">
        <v>0</v>
      </c>
      <c r="AR46" s="31">
        <v>0</v>
      </c>
      <c r="AS46" s="31">
        <v>0</v>
      </c>
      <c r="AT46" s="31">
        <v>0</v>
      </c>
      <c r="AU46" s="31">
        <v>219.50033933530401</v>
      </c>
      <c r="AV46" s="31">
        <v>0</v>
      </c>
      <c r="AW46" s="31">
        <v>0</v>
      </c>
      <c r="AX46" s="31">
        <v>316.45292767796002</v>
      </c>
      <c r="AY46" s="31">
        <v>0</v>
      </c>
      <c r="AZ46" s="31">
        <v>0</v>
      </c>
      <c r="BA46" s="31">
        <v>24.012351318409898</v>
      </c>
      <c r="BB46" s="31">
        <v>0</v>
      </c>
      <c r="BC46" s="31">
        <v>0.25321782839743501</v>
      </c>
      <c r="BD46" s="31">
        <v>0.31139907405371198</v>
      </c>
    </row>
    <row r="47" spans="1:56" ht="11.25" customHeight="1" x14ac:dyDescent="0.25">
      <c r="A47" s="149"/>
      <c r="B47" s="149"/>
      <c r="C47" s="149"/>
      <c r="D47" s="149"/>
      <c r="E47" s="149"/>
      <c r="F47" s="149"/>
      <c r="G47" s="57" t="s">
        <v>76</v>
      </c>
      <c r="H47" s="57" t="s">
        <v>74</v>
      </c>
      <c r="I47" s="57">
        <f>'MERCADO TUSD'!$U$44</f>
        <v>27.193000000000005</v>
      </c>
      <c r="J47" s="15"/>
      <c r="L47" s="31">
        <f>('TUSD BE'!$L$47+'TUSD BF'!$L$47+'TUSD CVA'!$L$47)*1</f>
        <v>0</v>
      </c>
      <c r="M47" s="31">
        <f>('TUSD BE'!$M$47+'TUSD BF'!$M$47+'TUSD CVA'!$M$47)*1</f>
        <v>0.7643635808027277</v>
      </c>
      <c r="N47" s="31">
        <f ca="1">('TUSD BE'!$N$47+'TUSD BF'!$N$47+'TUSD CVA'!$N$47)*1</f>
        <v>3.0161734440763817</v>
      </c>
      <c r="O47" s="31">
        <f>('TUSD BE'!$O$47+'TUSD BF'!$O$47+'TUSD CVA'!$O$47)*1</f>
        <v>0</v>
      </c>
      <c r="P47" s="31">
        <f>('TUSD BE'!$P$47+'TUSD BF'!$P$47+'TUSD CVA'!$P$47)*1</f>
        <v>0</v>
      </c>
      <c r="Q47" s="31">
        <f>('TUSD BE'!$Q$47+'TUSD BF'!$Q$47+'TUSD CVA'!$Q$47)*1</f>
        <v>107.42695020666744</v>
      </c>
      <c r="R47" s="31">
        <f>('TUSD BE'!$R$47+'TUSD BF'!$R$47+'TUSD CVA'!$R$47)*1</f>
        <v>17.134053264496636</v>
      </c>
      <c r="S47" s="31">
        <f>('TUSD BE'!$S$47+'TUSD BF'!$S$47+'TUSD CVA'!$S$47)*1</f>
        <v>0</v>
      </c>
      <c r="T47" s="31">
        <f>('TUSD BE'!$U$47+'TUSD BF'!$U$47+'TUSD CVA'!$U$47)*1</f>
        <v>0</v>
      </c>
      <c r="U47" s="31">
        <f>('TUSD BE'!$V$47+'TUSD BF'!$V$47+'TUSD CVA'!$V$47)*1</f>
        <v>0</v>
      </c>
      <c r="V47" s="31">
        <f>('TUSD BE'!$W$47+'TUSD BF'!$W$47+'TUSD CVA'!$W$47)*1</f>
        <v>0</v>
      </c>
      <c r="W47" s="31">
        <f>('TUSD BE'!$X$47+'TUSD BF'!$X$47+'TUSD CVA'!$X$47)*1</f>
        <v>0</v>
      </c>
      <c r="X47" s="31">
        <f>('TUSD BE'!$Y$47+'TUSD BF'!$Y$47+'TUSD CVA'!$Y$47)*1</f>
        <v>72.19418504575566</v>
      </c>
      <c r="Y47" s="31">
        <f>('TUSD BE'!$Z$47+'TUSD BF'!$Z$47+'TUSD CVA'!$Z$47)*1</f>
        <v>0</v>
      </c>
      <c r="Z47" s="31">
        <f>('TUSD BE'!$AA$47+'TUSD BF'!$AA$47+'TUSD CVA'!$AA$47)*1</f>
        <v>0</v>
      </c>
      <c r="AA47" s="31">
        <f>('TUSD BE'!$AC$47+'TUSD BF'!$AC$47+'TUSD CVA'!$AC$47)*1</f>
        <v>115.04507649347708</v>
      </c>
      <c r="AB47" s="31">
        <f ca="1">('TUSD BE'!$AE$47+'TUSD BF'!$AE$47+'TUSD CVA'!$AE$47)*1</f>
        <v>0</v>
      </c>
      <c r="AC47" s="31">
        <f ca="1">('TUSD BE'!$AF$47+'TUSD BF'!$AF$47+'TUSD CVA'!$AF$47)*1</f>
        <v>0</v>
      </c>
      <c r="AD47" s="31">
        <f>('TUSD BE'!$AH$47+'TUSD BF'!$AH$47+'TUSD CVA'!$AH$47)*1</f>
        <v>19.611783438307114</v>
      </c>
      <c r="AE47" s="31">
        <f>('TUSD BE'!$AI$47+'TUSD BF'!$AI$47+'TUSD CVA'!$AI$47)*1</f>
        <v>0.42431515873872833</v>
      </c>
      <c r="AF47" s="31">
        <f ca="1">('TUSD BE'!$AJ$47+'TUSD BF'!$AJ$47+'TUSD CVA'!$AJ$47)*1</f>
        <v>0.33980186671674456</v>
      </c>
      <c r="AG47" s="31">
        <f ca="1">('TUSD BE'!$AK$47+'TUSD BF'!$AK$47+'TUSD CVA'!$AK$47)*1</f>
        <v>0.37124355204593923</v>
      </c>
      <c r="AI47" s="31">
        <v>0</v>
      </c>
      <c r="AJ47" s="31">
        <v>0.64619418780064997</v>
      </c>
      <c r="AK47" s="31">
        <v>2.8042457929484401</v>
      </c>
      <c r="AL47" s="31">
        <v>0</v>
      </c>
      <c r="AM47" s="31">
        <v>0</v>
      </c>
      <c r="AN47" s="31">
        <v>58.426729069251103</v>
      </c>
      <c r="AO47" s="31">
        <v>9.9433429673758802</v>
      </c>
      <c r="AP47" s="31">
        <v>0</v>
      </c>
      <c r="AQ47" s="31">
        <v>0</v>
      </c>
      <c r="AR47" s="31">
        <v>0</v>
      </c>
      <c r="AS47" s="31">
        <v>0</v>
      </c>
      <c r="AT47" s="31">
        <v>0</v>
      </c>
      <c r="AU47" s="31">
        <v>73.166830970219294</v>
      </c>
      <c r="AV47" s="31">
        <v>0</v>
      </c>
      <c r="AW47" s="31">
        <v>0</v>
      </c>
      <c r="AX47" s="31">
        <v>105.484272150582</v>
      </c>
      <c r="AY47" s="31">
        <v>0</v>
      </c>
      <c r="AZ47" s="31">
        <v>0</v>
      </c>
      <c r="BA47" s="31">
        <v>24.012351318409898</v>
      </c>
      <c r="BB47" s="31">
        <v>0</v>
      </c>
      <c r="BC47" s="31">
        <v>0.25321782839743501</v>
      </c>
      <c r="BD47" s="31">
        <v>0.31139907405371198</v>
      </c>
    </row>
    <row r="48" spans="1:56" ht="11.25" customHeight="1" x14ac:dyDescent="0.25">
      <c r="A48" s="149"/>
      <c r="B48" s="56" t="s">
        <v>23</v>
      </c>
      <c r="C48" s="56" t="s">
        <v>25</v>
      </c>
      <c r="D48" s="56" t="s">
        <v>25</v>
      </c>
      <c r="E48" s="56" t="s">
        <v>25</v>
      </c>
      <c r="F48" s="56" t="s">
        <v>25</v>
      </c>
      <c r="G48" s="57" t="s">
        <v>78</v>
      </c>
      <c r="H48" s="57" t="s">
        <v>74</v>
      </c>
      <c r="I48" s="57">
        <f>'MERCADO TUSD'!$U$45</f>
        <v>29180.755000000001</v>
      </c>
      <c r="J48" s="15"/>
      <c r="L48" s="31">
        <f>('TUSD BE'!$L$48+'TUSD BF'!$L$48+'TUSD CVA'!$L$48)*1</f>
        <v>0</v>
      </c>
      <c r="M48" s="31">
        <f>('TUSD BE'!$M$48+'TUSD BF'!$M$48+'TUSD CVA'!$M$48)*1</f>
        <v>0.7643635808027277</v>
      </c>
      <c r="N48" s="31">
        <f ca="1">('TUSD BE'!$N$48+'TUSD BF'!$N$48+'TUSD CVA'!$N$48)*1</f>
        <v>4.0312657257492539</v>
      </c>
      <c r="O48" s="31">
        <f>('TUSD BE'!$O$48+'TUSD BF'!$O$48+'TUSD CVA'!$O$48)*1</f>
        <v>0</v>
      </c>
      <c r="P48" s="31">
        <f>('TUSD BE'!$P$48+'TUSD BF'!$P$48+'TUSD CVA'!$P$48)*1</f>
        <v>0</v>
      </c>
      <c r="Q48" s="31">
        <f>('TUSD BE'!$Q$48+'TUSD BF'!$Q$48+'TUSD CVA'!$Q$48)*1</f>
        <v>107.42695020666744</v>
      </c>
      <c r="R48" s="31">
        <f>('TUSD BE'!$R$48+'TUSD BF'!$R$48+'TUSD CVA'!$R$48)*1</f>
        <v>17.134053264496636</v>
      </c>
      <c r="S48" s="31">
        <f>('TUSD BE'!$S$48+'TUSD BF'!$S$48+'TUSD CVA'!$S$48)*1</f>
        <v>0</v>
      </c>
      <c r="T48" s="31">
        <f>('TUSD BE'!$U$48+'TUSD BF'!$U$48+'TUSD CVA'!$U$48)*1</f>
        <v>0</v>
      </c>
      <c r="U48" s="31">
        <f>('TUSD BE'!$V$48+'TUSD BF'!$V$48+'TUSD CVA'!$V$48)*1</f>
        <v>0</v>
      </c>
      <c r="V48" s="31">
        <f>('TUSD BE'!$W$48+'TUSD BF'!$W$48+'TUSD CVA'!$W$48)*1</f>
        <v>0</v>
      </c>
      <c r="W48" s="31">
        <f>('TUSD BE'!$X$48+'TUSD BF'!$X$48+'TUSD CVA'!$X$48)*1</f>
        <v>0</v>
      </c>
      <c r="X48" s="31">
        <f>('TUSD BE'!$Y$48+'TUSD BF'!$Y$48+'TUSD CVA'!$Y$48)*1</f>
        <v>103.13450100717151</v>
      </c>
      <c r="Y48" s="31">
        <f>('TUSD BE'!$Z$48+'TUSD BF'!$Z$48+'TUSD CVA'!$Z$48)*1</f>
        <v>0</v>
      </c>
      <c r="Z48" s="31">
        <f>('TUSD BE'!$AA$48+'TUSD BF'!$AA$48+'TUSD CVA'!$AA$48)*1</f>
        <v>0</v>
      </c>
      <c r="AA48" s="31">
        <f>('TUSD BE'!$AC$48+'TUSD BF'!$AC$48+'TUSD CVA'!$AC$48)*1</f>
        <v>164.35005105979934</v>
      </c>
      <c r="AB48" s="31">
        <f ca="1">('TUSD BE'!$AE$48+'TUSD BF'!$AE$48+'TUSD CVA'!$AE$48)*1</f>
        <v>0</v>
      </c>
      <c r="AC48" s="31">
        <f ca="1">('TUSD BE'!$AF$48+'TUSD BF'!$AF$48+'TUSD CVA'!$AF$48)*1</f>
        <v>0</v>
      </c>
      <c r="AD48" s="31">
        <f>('TUSD BE'!$AH$48+'TUSD BF'!$AH$48+'TUSD CVA'!$AH$48)*1</f>
        <v>19.611783438307114</v>
      </c>
      <c r="AE48" s="31">
        <f>('TUSD BE'!$AI$48+'TUSD BF'!$AI$48+'TUSD CVA'!$AI$48)*1</f>
        <v>0.42431515873872833</v>
      </c>
      <c r="AF48" s="31">
        <f ca="1">('TUSD BE'!$AJ$48+'TUSD BF'!$AJ$48+'TUSD CVA'!$AJ$48)*1</f>
        <v>0.33980186671674456</v>
      </c>
      <c r="AG48" s="31">
        <f ca="1">('TUSD BE'!$AK$48+'TUSD BF'!$AK$48+'TUSD CVA'!$AK$48)*1</f>
        <v>0.37124355204593923</v>
      </c>
      <c r="AI48" s="31">
        <v>0</v>
      </c>
      <c r="AJ48" s="31">
        <v>0.64619418780064997</v>
      </c>
      <c r="AK48" s="31">
        <v>3.4993198427747099</v>
      </c>
      <c r="AL48" s="31">
        <v>0</v>
      </c>
      <c r="AM48" s="31">
        <v>0</v>
      </c>
      <c r="AN48" s="31">
        <v>58.426729069251103</v>
      </c>
      <c r="AO48" s="31">
        <v>9.9433429673758802</v>
      </c>
      <c r="AP48" s="31">
        <v>0</v>
      </c>
      <c r="AQ48" s="31">
        <v>0</v>
      </c>
      <c r="AR48" s="31">
        <v>0</v>
      </c>
      <c r="AS48" s="31">
        <v>0</v>
      </c>
      <c r="AT48" s="31">
        <v>0</v>
      </c>
      <c r="AU48" s="31">
        <v>98.874116659128006</v>
      </c>
      <c r="AV48" s="31">
        <v>0</v>
      </c>
      <c r="AW48" s="31">
        <v>0</v>
      </c>
      <c r="AX48" s="31">
        <v>142.54629267420501</v>
      </c>
      <c r="AY48" s="31">
        <v>0</v>
      </c>
      <c r="AZ48" s="31">
        <v>0</v>
      </c>
      <c r="BA48" s="31">
        <v>24.012351318409898</v>
      </c>
      <c r="BB48" s="31">
        <v>0</v>
      </c>
      <c r="BC48" s="31">
        <v>0.25321782839743501</v>
      </c>
      <c r="BD48" s="31">
        <v>0.31139907405371198</v>
      </c>
    </row>
    <row r="49" spans="1:56" ht="11.25" customHeight="1" x14ac:dyDescent="0.25">
      <c r="A49" s="149"/>
      <c r="B49" s="56" t="s">
        <v>89</v>
      </c>
      <c r="C49" s="56" t="s">
        <v>25</v>
      </c>
      <c r="D49" s="56" t="s">
        <v>25</v>
      </c>
      <c r="E49" s="56" t="s">
        <v>25</v>
      </c>
      <c r="F49" s="56" t="s">
        <v>25</v>
      </c>
      <c r="G49" s="57" t="s">
        <v>78</v>
      </c>
      <c r="H49" s="57" t="s">
        <v>74</v>
      </c>
      <c r="I49" s="57">
        <f>'MERCADO TUSD'!$U$46</f>
        <v>0</v>
      </c>
      <c r="J49" s="15"/>
      <c r="L49" s="31">
        <f>('TUSD BE'!$L$49+'TUSD BF'!$L$49+'TUSD CVA'!$L$49)*1</f>
        <v>0</v>
      </c>
      <c r="M49" s="31">
        <f>('TUSD BE'!$M$49+'TUSD BF'!$M$49+'TUSD CVA'!$M$49)*1</f>
        <v>0.7643635808027277</v>
      </c>
      <c r="N49" s="31">
        <f ca="1">('TUSD BE'!$N$49+'TUSD BF'!$N$49+'TUSD CVA'!$N$49)*1</f>
        <v>4.0312657257492539</v>
      </c>
      <c r="O49" s="31">
        <f>('TUSD BE'!$O$49+'TUSD BF'!$O$49+'TUSD CVA'!$O$49)*1</f>
        <v>0</v>
      </c>
      <c r="P49" s="31">
        <f>('TUSD BE'!$P$49+'TUSD BF'!$P$49+'TUSD CVA'!$P$49)*1</f>
        <v>0</v>
      </c>
      <c r="Q49" s="31">
        <f>('TUSD BE'!$Q$49+'TUSD BF'!$Q$49+'TUSD CVA'!$Q$49)*1</f>
        <v>107.42695020666744</v>
      </c>
      <c r="R49" s="31">
        <f>('TUSD BE'!$R$49+'TUSD BF'!$R$49+'TUSD CVA'!$R$49)*1</f>
        <v>17.134053264496636</v>
      </c>
      <c r="S49" s="31">
        <f>('TUSD BE'!$S$49+'TUSD BF'!$S$49+'TUSD CVA'!$S$49)*1</f>
        <v>0</v>
      </c>
      <c r="T49" s="31">
        <f>('TUSD BE'!$U$49+'TUSD BF'!$U$49+'TUSD CVA'!$U$49)*1</f>
        <v>0</v>
      </c>
      <c r="U49" s="31">
        <f>('TUSD BE'!$V$49+'TUSD BF'!$V$49+'TUSD CVA'!$V$49)*1</f>
        <v>0</v>
      </c>
      <c r="V49" s="31">
        <f>('TUSD BE'!$W$49+'TUSD BF'!$W$49+'TUSD CVA'!$W$49)*1</f>
        <v>0</v>
      </c>
      <c r="W49" s="31">
        <f>('TUSD BE'!$X$49+'TUSD BF'!$X$49+'TUSD CVA'!$X$49)*1</f>
        <v>0</v>
      </c>
      <c r="X49" s="31">
        <f>('TUSD BE'!$Y$49+'TUSD BF'!$Y$49+'TUSD CVA'!$Y$49)*1</f>
        <v>103.13450100717151</v>
      </c>
      <c r="Y49" s="31">
        <f>('TUSD BE'!$Z$49+'TUSD BF'!$Z$49+'TUSD CVA'!$Z$49)*1</f>
        <v>0</v>
      </c>
      <c r="Z49" s="31">
        <f>('TUSD BE'!$AA$49+'TUSD BF'!$AA$49+'TUSD CVA'!$AA$49)*1</f>
        <v>0</v>
      </c>
      <c r="AA49" s="31">
        <f>('TUSD BE'!$AC$49+'TUSD BF'!$AC$49+'TUSD CVA'!$AC$49)*1</f>
        <v>164.35005105979934</v>
      </c>
      <c r="AB49" s="31">
        <f ca="1">('TUSD BE'!$AE$49+'TUSD BF'!$AE$49+'TUSD CVA'!$AE$49)*1</f>
        <v>0</v>
      </c>
      <c r="AC49" s="31">
        <f ca="1">('TUSD BE'!$AF$49+'TUSD BF'!$AF$49+'TUSD CVA'!$AF$49)*1</f>
        <v>0</v>
      </c>
      <c r="AD49" s="31">
        <f>('TUSD BE'!$AH$49+'TUSD BF'!$AH$49+'TUSD CVA'!$AH$49)*1</f>
        <v>19.611783438307114</v>
      </c>
      <c r="AE49" s="31">
        <f>('TUSD BE'!$AI$49+'TUSD BF'!$AI$49+'TUSD CVA'!$AI$49)*1</f>
        <v>0.42431515873872833</v>
      </c>
      <c r="AF49" s="31">
        <f ca="1">('TUSD BE'!$AJ$49+'TUSD BF'!$AJ$49+'TUSD CVA'!$AJ$49)*1</f>
        <v>0.33980186671674456</v>
      </c>
      <c r="AG49" s="31">
        <f ca="1">('TUSD BE'!$AK$49+'TUSD BF'!$AK$49+'TUSD CVA'!$AK$49)*1</f>
        <v>0.37124355204593923</v>
      </c>
      <c r="AI49" s="31">
        <v>0</v>
      </c>
      <c r="AJ49" s="31">
        <v>0.64619418780064997</v>
      </c>
      <c r="AK49" s="31">
        <v>3.4993198427747099</v>
      </c>
      <c r="AL49" s="31">
        <v>0</v>
      </c>
      <c r="AM49" s="31">
        <v>0</v>
      </c>
      <c r="AN49" s="31">
        <v>58.426729069251103</v>
      </c>
      <c r="AO49" s="31">
        <v>9.9433429673758802</v>
      </c>
      <c r="AP49" s="31">
        <v>0</v>
      </c>
      <c r="AQ49" s="31">
        <v>0</v>
      </c>
      <c r="AR49" s="31">
        <v>0</v>
      </c>
      <c r="AS49" s="31">
        <v>0</v>
      </c>
      <c r="AT49" s="31">
        <v>0</v>
      </c>
      <c r="AU49" s="31">
        <v>98.874116659128006</v>
      </c>
      <c r="AV49" s="31">
        <v>0</v>
      </c>
      <c r="AW49" s="31">
        <v>0</v>
      </c>
      <c r="AX49" s="31">
        <v>142.54629267420501</v>
      </c>
      <c r="AY49" s="31">
        <v>0</v>
      </c>
      <c r="AZ49" s="31">
        <v>0</v>
      </c>
      <c r="BA49" s="31">
        <v>24.012351318409898</v>
      </c>
      <c r="BB49" s="31">
        <v>0</v>
      </c>
      <c r="BC49" s="31">
        <v>0.25321782839743501</v>
      </c>
      <c r="BD49" s="31">
        <v>0.31139907405371198</v>
      </c>
    </row>
    <row r="50" spans="1:56" ht="11.25" customHeight="1" x14ac:dyDescent="0.25">
      <c r="A50" s="149" t="s">
        <v>44</v>
      </c>
      <c r="B50" s="149" t="s">
        <v>23</v>
      </c>
      <c r="C50" s="149" t="s">
        <v>45</v>
      </c>
      <c r="D50" s="56" t="s">
        <v>46</v>
      </c>
      <c r="E50" s="56" t="s">
        <v>25</v>
      </c>
      <c r="F50" s="56" t="s">
        <v>25</v>
      </c>
      <c r="G50" s="57" t="s">
        <v>78</v>
      </c>
      <c r="H50" s="57" t="s">
        <v>74</v>
      </c>
      <c r="I50" s="57">
        <f>'MERCADO TUSD'!$U$47</f>
        <v>11805.242</v>
      </c>
      <c r="J50" s="15"/>
      <c r="L50" s="31">
        <f>('TUSD BE'!$L$50+'TUSD BF'!$L$50+'TUSD CVA'!$L$50)*1</f>
        <v>0</v>
      </c>
      <c r="M50" s="31">
        <f>('TUSD BE'!$M$50+'TUSD BF'!$M$50+'TUSD CVA'!$M$50)*1</f>
        <v>0.42039996944150027</v>
      </c>
      <c r="N50" s="31">
        <f ca="1">('TUSD BE'!$N$50+'TUSD BF'!$N$50+'TUSD CVA'!$N$50)*1</f>
        <v>2.2171961491620893</v>
      </c>
      <c r="O50" s="31">
        <f>('TUSD BE'!$O$50+'TUSD BF'!$O$50+'TUSD CVA'!$O$50)*1</f>
        <v>0</v>
      </c>
      <c r="P50" s="31">
        <f>('TUSD BE'!$P$50+'TUSD BF'!$P$50+'TUSD CVA'!$P$50)*1</f>
        <v>0</v>
      </c>
      <c r="Q50" s="31">
        <f>('TUSD BE'!$Q$50+'TUSD BF'!$Q$50+'TUSD CVA'!$Q$50)*1</f>
        <v>59.0848226136671</v>
      </c>
      <c r="R50" s="31">
        <f>('TUSD BE'!$R$50+'TUSD BF'!$R$50+'TUSD CVA'!$R$50)*1</f>
        <v>9.4237292954731515</v>
      </c>
      <c r="S50" s="31">
        <f>('TUSD BE'!$S$50+'TUSD BF'!$S$50+'TUSD CVA'!$S$50)*1</f>
        <v>0</v>
      </c>
      <c r="T50" s="31">
        <f>('TUSD BE'!$U$50+'TUSD BF'!$U$50+'TUSD CVA'!$U$50)*1</f>
        <v>0</v>
      </c>
      <c r="U50" s="31">
        <f>('TUSD BE'!$V$50+'TUSD BF'!$V$50+'TUSD CVA'!$V$50)*1</f>
        <v>0</v>
      </c>
      <c r="V50" s="31">
        <f>('TUSD BE'!$W$50+'TUSD BF'!$W$50+'TUSD CVA'!$W$50)*1</f>
        <v>0</v>
      </c>
      <c r="W50" s="31">
        <f>('TUSD BE'!$X$50+'TUSD BF'!$X$50+'TUSD CVA'!$X$50)*1</f>
        <v>0</v>
      </c>
      <c r="X50" s="31">
        <f>('TUSD BE'!$Y$50+'TUSD BF'!$Y$50+'TUSD CVA'!$Y$50)*1</f>
        <v>56.723975553944335</v>
      </c>
      <c r="Y50" s="31">
        <f>('TUSD BE'!$Z$50+'TUSD BF'!$Z$50+'TUSD CVA'!$Z$50)*1</f>
        <v>0</v>
      </c>
      <c r="Z50" s="31">
        <f>('TUSD BE'!$AA$50+'TUSD BF'!$AA$50+'TUSD CVA'!$AA$50)*1</f>
        <v>0</v>
      </c>
      <c r="AA50" s="31">
        <f>('TUSD BE'!$AC$50+'TUSD BF'!$AC$50+'TUSD CVA'!$AC$50)*1</f>
        <v>90.392528082889655</v>
      </c>
      <c r="AB50" s="31">
        <f ca="1">('TUSD BE'!$AE$50+'TUSD BF'!$AE$50+'TUSD CVA'!$AE$50)*1</f>
        <v>0</v>
      </c>
      <c r="AC50" s="31">
        <f ca="1">('TUSD BE'!$AF$50+'TUSD BF'!$AF$50+'TUSD CVA'!$AF$50)*1</f>
        <v>0</v>
      </c>
      <c r="AD50" s="31">
        <f>('TUSD BE'!$AH$50+'TUSD BF'!$AH$50+'TUSD CVA'!$AH$50)*1</f>
        <v>10.786480891068914</v>
      </c>
      <c r="AE50" s="31">
        <f>('TUSD BE'!$AI$50+'TUSD BF'!$AI$50+'TUSD CVA'!$AI$50)*1</f>
        <v>0.23337333730630055</v>
      </c>
      <c r="AF50" s="31">
        <f ca="1">('TUSD BE'!$AJ$50+'TUSD BF'!$AJ$50+'TUSD CVA'!$AJ$50)*1</f>
        <v>0.18689102669420954</v>
      </c>
      <c r="AG50" s="31">
        <f ca="1">('TUSD BE'!$AK$50+'TUSD BF'!$AK$50+'TUSD CVA'!$AK$50)*1</f>
        <v>0.20418395362526662</v>
      </c>
      <c r="AI50" s="31">
        <v>0</v>
      </c>
      <c r="AJ50" s="31">
        <v>0.35540680329035801</v>
      </c>
      <c r="AK50" s="31">
        <v>1.9246259135260899</v>
      </c>
      <c r="AL50" s="31">
        <v>0</v>
      </c>
      <c r="AM50" s="31">
        <v>0</v>
      </c>
      <c r="AN50" s="31">
        <v>32.134700988088099</v>
      </c>
      <c r="AO50" s="31">
        <v>5.4688386320567401</v>
      </c>
      <c r="AP50" s="31">
        <v>0</v>
      </c>
      <c r="AQ50" s="31">
        <v>0</v>
      </c>
      <c r="AR50" s="31">
        <v>0</v>
      </c>
      <c r="AS50" s="31">
        <v>0</v>
      </c>
      <c r="AT50" s="31">
        <v>0</v>
      </c>
      <c r="AU50" s="31">
        <v>54.3807641625204</v>
      </c>
      <c r="AV50" s="31">
        <v>0</v>
      </c>
      <c r="AW50" s="31">
        <v>0</v>
      </c>
      <c r="AX50" s="31">
        <v>78.400460970812802</v>
      </c>
      <c r="AY50" s="31">
        <v>0</v>
      </c>
      <c r="AZ50" s="31">
        <v>0</v>
      </c>
      <c r="BA50" s="31">
        <v>13.2067932251255</v>
      </c>
      <c r="BB50" s="31">
        <v>0</v>
      </c>
      <c r="BC50" s="31">
        <v>0.13926980561858901</v>
      </c>
      <c r="BD50" s="31">
        <v>0.17126949072954201</v>
      </c>
    </row>
    <row r="51" spans="1:56" ht="11.25" customHeight="1" x14ac:dyDescent="0.25">
      <c r="A51" s="149"/>
      <c r="B51" s="149"/>
      <c r="C51" s="149"/>
      <c r="D51" s="57" t="s">
        <v>92</v>
      </c>
      <c r="E51" s="57" t="s">
        <v>25</v>
      </c>
      <c r="F51" s="57" t="s">
        <v>25</v>
      </c>
      <c r="G51" s="57" t="s">
        <v>78</v>
      </c>
      <c r="H51" s="57" t="s">
        <v>74</v>
      </c>
      <c r="I51" s="57">
        <f>'MERCADO TUSD'!$U$48</f>
        <v>0</v>
      </c>
      <c r="J51" s="15"/>
      <c r="L51" s="31">
        <f>('TUSD BE'!$L$51+'TUSD BF'!$L$51+'TUSD CVA'!$L$51)*1</f>
        <v>0</v>
      </c>
      <c r="M51" s="31">
        <f>('TUSD BE'!$M$51+'TUSD BF'!$M$51+'TUSD CVA'!$M$51)*1</f>
        <v>0.45861814848163662</v>
      </c>
      <c r="N51" s="31">
        <f ca="1">('TUSD BE'!$N$51+'TUSD BF'!$N$51+'TUSD CVA'!$N$51)*1</f>
        <v>2.4187594354495521</v>
      </c>
      <c r="O51" s="31">
        <f>('TUSD BE'!$O$51+'TUSD BF'!$O$51+'TUSD CVA'!$O$51)*1</f>
        <v>0</v>
      </c>
      <c r="P51" s="31">
        <f>('TUSD BE'!$P$51+'TUSD BF'!$P$51+'TUSD CVA'!$P$51)*1</f>
        <v>0</v>
      </c>
      <c r="Q51" s="31">
        <f>('TUSD BE'!$Q$51+'TUSD BF'!$Q$51+'TUSD CVA'!$Q$51)*1</f>
        <v>64.456170124000465</v>
      </c>
      <c r="R51" s="31">
        <f>('TUSD BE'!$R$51+'TUSD BF'!$R$51+'TUSD CVA'!$R$51)*1</f>
        <v>10.280431958697982</v>
      </c>
      <c r="S51" s="31">
        <f>('TUSD BE'!$S$51+'TUSD BF'!$S$51+'TUSD CVA'!$S$51)*1</f>
        <v>0</v>
      </c>
      <c r="T51" s="31">
        <f>('TUSD BE'!$U$51+'TUSD BF'!$U$51+'TUSD CVA'!$U$51)*1</f>
        <v>0</v>
      </c>
      <c r="U51" s="31">
        <f>('TUSD BE'!$V$51+'TUSD BF'!$V$51+'TUSD CVA'!$V$51)*1</f>
        <v>0</v>
      </c>
      <c r="V51" s="31">
        <f>('TUSD BE'!$W$51+'TUSD BF'!$W$51+'TUSD CVA'!$W$51)*1</f>
        <v>0</v>
      </c>
      <c r="W51" s="31">
        <f>('TUSD BE'!$X$51+'TUSD BF'!$X$51+'TUSD CVA'!$X$51)*1</f>
        <v>0</v>
      </c>
      <c r="X51" s="31">
        <f>('TUSD BE'!$Y$51+'TUSD BF'!$Y$51+'TUSD CVA'!$Y$51)*1</f>
        <v>61.880700604302909</v>
      </c>
      <c r="Y51" s="31">
        <f>('TUSD BE'!$Z$51+'TUSD BF'!$Z$51+'TUSD CVA'!$Z$51)*1</f>
        <v>0</v>
      </c>
      <c r="Z51" s="31">
        <f>('TUSD BE'!$AA$51+'TUSD BF'!$AA$51+'TUSD CVA'!$AA$51)*1</f>
        <v>0</v>
      </c>
      <c r="AA51" s="31">
        <f>('TUSD BE'!$AC$51+'TUSD BF'!$AC$51+'TUSD CVA'!$AC$51)*1</f>
        <v>98.610030635879596</v>
      </c>
      <c r="AB51" s="31">
        <f ca="1">('TUSD BE'!$AE$51+'TUSD BF'!$AE$51+'TUSD CVA'!$AE$51)*1</f>
        <v>0</v>
      </c>
      <c r="AC51" s="31">
        <f ca="1">('TUSD BE'!$AF$51+'TUSD BF'!$AF$51+'TUSD CVA'!$AF$51)*1</f>
        <v>0</v>
      </c>
      <c r="AD51" s="31">
        <f>('TUSD BE'!$AH$51+'TUSD BF'!$AH$51+'TUSD CVA'!$AH$51)*1</f>
        <v>11.767070062984267</v>
      </c>
      <c r="AE51" s="31">
        <f>('TUSD BE'!$AI$51+'TUSD BF'!$AI$51+'TUSD CVA'!$AI$51)*1</f>
        <v>0.25458909524323703</v>
      </c>
      <c r="AF51" s="31">
        <f ca="1">('TUSD BE'!$AJ$51+'TUSD BF'!$AJ$51+'TUSD CVA'!$AJ$51)*1</f>
        <v>0.20388112003004671</v>
      </c>
      <c r="AG51" s="31">
        <f ca="1">('TUSD BE'!$AK$51+'TUSD BF'!$AK$51+'TUSD CVA'!$AK$51)*1</f>
        <v>0.22274613122756354</v>
      </c>
      <c r="AI51" s="31">
        <v>0</v>
      </c>
      <c r="AJ51" s="31">
        <v>0.38771651268038998</v>
      </c>
      <c r="AK51" s="31">
        <v>2.09959190566483</v>
      </c>
      <c r="AL51" s="31">
        <v>0</v>
      </c>
      <c r="AM51" s="31">
        <v>0</v>
      </c>
      <c r="AN51" s="31">
        <v>35.0560374415507</v>
      </c>
      <c r="AO51" s="31">
        <v>5.9660057804255304</v>
      </c>
      <c r="AP51" s="31">
        <v>0</v>
      </c>
      <c r="AQ51" s="31">
        <v>0</v>
      </c>
      <c r="AR51" s="31">
        <v>0</v>
      </c>
      <c r="AS51" s="31">
        <v>0</v>
      </c>
      <c r="AT51" s="31">
        <v>0</v>
      </c>
      <c r="AU51" s="31">
        <v>59.324469995476797</v>
      </c>
      <c r="AV51" s="31">
        <v>0</v>
      </c>
      <c r="AW51" s="31">
        <v>0</v>
      </c>
      <c r="AX51" s="31">
        <v>85.527775604523001</v>
      </c>
      <c r="AY51" s="31">
        <v>0</v>
      </c>
      <c r="AZ51" s="31">
        <v>0</v>
      </c>
      <c r="BA51" s="31">
        <v>14.4074107910459</v>
      </c>
      <c r="BB51" s="31">
        <v>0</v>
      </c>
      <c r="BC51" s="31">
        <v>0.15193069703846099</v>
      </c>
      <c r="BD51" s="31">
        <v>0.186839444432227</v>
      </c>
    </row>
    <row r="53" spans="1:56" ht="11.25" customHeight="1" x14ac:dyDescent="0.25">
      <c r="L53" s="146" t="s">
        <v>755</v>
      </c>
      <c r="M53" s="146"/>
      <c r="N53" s="146"/>
      <c r="O53" s="146"/>
      <c r="P53" s="146"/>
      <c r="Q53" s="146"/>
      <c r="R53" s="146"/>
      <c r="S53" s="146"/>
      <c r="T53" s="146"/>
      <c r="U53" s="146"/>
      <c r="V53" s="146"/>
      <c r="W53" s="146"/>
      <c r="X53" s="146"/>
      <c r="Y53" s="146"/>
      <c r="Z53" s="146"/>
      <c r="AA53" s="146"/>
      <c r="AB53" s="146"/>
      <c r="AC53" s="146"/>
      <c r="AD53" s="146"/>
      <c r="AE53" s="146"/>
      <c r="AF53" s="146"/>
      <c r="AG53" s="146"/>
      <c r="AI53" s="146" t="s">
        <v>756</v>
      </c>
      <c r="AJ53" s="146"/>
      <c r="AK53" s="146"/>
      <c r="AL53" s="146"/>
      <c r="AM53" s="146"/>
      <c r="AN53" s="146"/>
      <c r="AO53" s="146"/>
      <c r="AP53" s="146"/>
      <c r="AQ53" s="146"/>
      <c r="AR53" s="146"/>
      <c r="AS53" s="146"/>
      <c r="AT53" s="146"/>
      <c r="AU53" s="146"/>
      <c r="AV53" s="146"/>
      <c r="AW53" s="146"/>
      <c r="AX53" s="146"/>
      <c r="AY53" s="146"/>
      <c r="AZ53" s="146"/>
      <c r="BA53" s="146"/>
      <c r="BB53" s="146"/>
      <c r="BC53" s="146"/>
      <c r="BD53" s="146"/>
    </row>
    <row r="54" spans="1:56" ht="11.25" customHeight="1" x14ac:dyDescent="0.25">
      <c r="L54" s="146" t="s">
        <v>460</v>
      </c>
      <c r="M54" s="146"/>
      <c r="N54" s="146"/>
      <c r="O54" s="146"/>
      <c r="P54" s="146"/>
      <c r="Q54" s="146"/>
      <c r="R54" s="146"/>
      <c r="S54" s="146"/>
      <c r="T54" s="146"/>
      <c r="U54" s="146"/>
      <c r="V54" s="146"/>
      <c r="W54" s="146"/>
      <c r="X54" s="146"/>
      <c r="Y54" s="146"/>
      <c r="Z54" s="146"/>
      <c r="AA54" s="146"/>
      <c r="AB54" s="146"/>
      <c r="AC54" s="146"/>
      <c r="AD54" s="146"/>
      <c r="AE54" s="146"/>
      <c r="AF54" s="146"/>
      <c r="AG54" s="146"/>
      <c r="AI54" s="146" t="s">
        <v>460</v>
      </c>
      <c r="AJ54" s="146"/>
      <c r="AK54" s="146"/>
      <c r="AL54" s="146"/>
      <c r="AM54" s="146"/>
      <c r="AN54" s="146"/>
      <c r="AO54" s="146"/>
      <c r="AP54" s="146"/>
      <c r="AQ54" s="146"/>
      <c r="AR54" s="146"/>
      <c r="AS54" s="146"/>
      <c r="AT54" s="146"/>
      <c r="AU54" s="146"/>
      <c r="AV54" s="146"/>
      <c r="AW54" s="146"/>
      <c r="AX54" s="146"/>
      <c r="AY54" s="146"/>
      <c r="AZ54" s="146"/>
      <c r="BA54" s="146"/>
      <c r="BB54" s="146"/>
      <c r="BC54" s="146"/>
      <c r="BD54" s="146"/>
    </row>
    <row r="55" spans="1:56" ht="11.25" customHeight="1" x14ac:dyDescent="0.25">
      <c r="L55" s="146" t="s">
        <v>461</v>
      </c>
      <c r="M55" s="146"/>
      <c r="N55" s="146"/>
      <c r="O55" s="146"/>
      <c r="P55" s="146"/>
      <c r="Q55" s="146"/>
      <c r="R55" s="146"/>
      <c r="S55" s="146"/>
      <c r="T55" s="146" t="s">
        <v>470</v>
      </c>
      <c r="U55" s="146"/>
      <c r="V55" s="146"/>
      <c r="W55" s="146"/>
      <c r="X55" s="146"/>
      <c r="Y55" s="146"/>
      <c r="Z55" s="146"/>
      <c r="AA55" s="32" t="s">
        <v>478</v>
      </c>
      <c r="AB55" s="146" t="s">
        <v>480</v>
      </c>
      <c r="AC55" s="146"/>
      <c r="AD55" s="146" t="s">
        <v>483</v>
      </c>
      <c r="AE55" s="146"/>
      <c r="AF55" s="146"/>
      <c r="AG55" s="146"/>
      <c r="AI55" s="146" t="s">
        <v>461</v>
      </c>
      <c r="AJ55" s="146"/>
      <c r="AK55" s="146"/>
      <c r="AL55" s="146"/>
      <c r="AM55" s="146"/>
      <c r="AN55" s="146"/>
      <c r="AO55" s="146"/>
      <c r="AP55" s="146"/>
      <c r="AQ55" s="146" t="s">
        <v>470</v>
      </c>
      <c r="AR55" s="146"/>
      <c r="AS55" s="146"/>
      <c r="AT55" s="146"/>
      <c r="AU55" s="146"/>
      <c r="AV55" s="146"/>
      <c r="AW55" s="146"/>
      <c r="AX55" s="32" t="s">
        <v>478</v>
      </c>
      <c r="AY55" s="146" t="s">
        <v>480</v>
      </c>
      <c r="AZ55" s="146"/>
      <c r="BA55" s="146" t="s">
        <v>483</v>
      </c>
      <c r="BB55" s="146"/>
      <c r="BC55" s="146"/>
      <c r="BD55" s="146"/>
    </row>
    <row r="56" spans="1:56" ht="11.25" customHeight="1" x14ac:dyDescent="0.25">
      <c r="L56" s="32" t="s">
        <v>546</v>
      </c>
      <c r="M56" s="32" t="s">
        <v>462</v>
      </c>
      <c r="N56" s="32" t="s">
        <v>463</v>
      </c>
      <c r="O56" s="32" t="s">
        <v>464</v>
      </c>
      <c r="P56" s="32" t="s">
        <v>465</v>
      </c>
      <c r="Q56" s="32" t="s">
        <v>466</v>
      </c>
      <c r="R56" s="32" t="s">
        <v>467</v>
      </c>
      <c r="S56" s="32" t="s">
        <v>468</v>
      </c>
      <c r="T56" s="32" t="s">
        <v>471</v>
      </c>
      <c r="U56" s="32" t="s">
        <v>472</v>
      </c>
      <c r="V56" s="32" t="s">
        <v>473</v>
      </c>
      <c r="W56" s="32" t="s">
        <v>474</v>
      </c>
      <c r="X56" s="32" t="s">
        <v>475</v>
      </c>
      <c r="Y56" s="32" t="s">
        <v>476</v>
      </c>
      <c r="Z56" s="32" t="s">
        <v>477</v>
      </c>
      <c r="AA56" s="32" t="s">
        <v>479</v>
      </c>
      <c r="AB56" s="32" t="s">
        <v>481</v>
      </c>
      <c r="AC56" s="32" t="s">
        <v>482</v>
      </c>
      <c r="AD56" s="32" t="s">
        <v>484</v>
      </c>
      <c r="AE56" s="32" t="s">
        <v>485</v>
      </c>
      <c r="AF56" s="32" t="s">
        <v>486</v>
      </c>
      <c r="AG56" s="32" t="s">
        <v>487</v>
      </c>
      <c r="AI56" s="32" t="s">
        <v>546</v>
      </c>
      <c r="AJ56" s="32" t="s">
        <v>462</v>
      </c>
      <c r="AK56" s="32" t="s">
        <v>463</v>
      </c>
      <c r="AL56" s="32" t="s">
        <v>464</v>
      </c>
      <c r="AM56" s="32" t="s">
        <v>465</v>
      </c>
      <c r="AN56" s="32" t="s">
        <v>466</v>
      </c>
      <c r="AO56" s="32" t="s">
        <v>467</v>
      </c>
      <c r="AP56" s="32" t="s">
        <v>468</v>
      </c>
      <c r="AQ56" s="32" t="s">
        <v>471</v>
      </c>
      <c r="AR56" s="32" t="s">
        <v>472</v>
      </c>
      <c r="AS56" s="32" t="s">
        <v>473</v>
      </c>
      <c r="AT56" s="32" t="s">
        <v>474</v>
      </c>
      <c r="AU56" s="32" t="s">
        <v>475</v>
      </c>
      <c r="AV56" s="32" t="s">
        <v>476</v>
      </c>
      <c r="AW56" s="32" t="s">
        <v>477</v>
      </c>
      <c r="AX56" s="32" t="s">
        <v>479</v>
      </c>
      <c r="AY56" s="32" t="s">
        <v>481</v>
      </c>
      <c r="AZ56" s="32" t="s">
        <v>482</v>
      </c>
      <c r="BA56" s="32" t="s">
        <v>484</v>
      </c>
      <c r="BB56" s="32" t="s">
        <v>485</v>
      </c>
      <c r="BC56" s="32" t="s">
        <v>486</v>
      </c>
      <c r="BD56" s="32" t="s">
        <v>487</v>
      </c>
    </row>
    <row r="57" spans="1:56" ht="11.25" customHeight="1" x14ac:dyDescent="0.25">
      <c r="A57" s="9" t="s">
        <v>35</v>
      </c>
      <c r="B57" s="9" t="s">
        <v>757</v>
      </c>
      <c r="C57" s="9" t="s">
        <v>758</v>
      </c>
      <c r="D57" s="9" t="s">
        <v>759</v>
      </c>
      <c r="E57" s="9" t="s">
        <v>760</v>
      </c>
      <c r="F57" s="9" t="s">
        <v>761</v>
      </c>
      <c r="G57" s="9" t="s">
        <v>762</v>
      </c>
      <c r="L57" s="31">
        <f>$I$5*$L$5</f>
        <v>0</v>
      </c>
      <c r="M57" s="31">
        <f>$I$5*$M$5</f>
        <v>0</v>
      </c>
      <c r="N57" s="31">
        <f ca="1">$I$5*$N$5</f>
        <v>0</v>
      </c>
      <c r="O57" s="31">
        <f>$I$5*$O$5</f>
        <v>0</v>
      </c>
      <c r="P57" s="31">
        <f>$I$5*$P$5</f>
        <v>0</v>
      </c>
      <c r="Q57" s="31">
        <f>$I$5*$Q$5</f>
        <v>0</v>
      </c>
      <c r="R57" s="31">
        <f>$I$5*$R$5</f>
        <v>0</v>
      </c>
      <c r="S57" s="31">
        <f>$I$5*$S$5</f>
        <v>0</v>
      </c>
      <c r="T57" s="31">
        <f>$I$5*$T$5</f>
        <v>0</v>
      </c>
      <c r="U57" s="31">
        <f>$I$5*$U$5</f>
        <v>0</v>
      </c>
      <c r="V57" s="31">
        <f>$I$5*$V$5</f>
        <v>0</v>
      </c>
      <c r="W57" s="31">
        <f>$I$5*$W$5</f>
        <v>0</v>
      </c>
      <c r="X57" s="31">
        <f>$I$5*$X$5</f>
        <v>97265.73156423193</v>
      </c>
      <c r="Y57" s="31">
        <f>$I$5*$Y$5</f>
        <v>0</v>
      </c>
      <c r="Z57" s="31">
        <f>$I$5*$Z$5</f>
        <v>0</v>
      </c>
      <c r="AA57" s="31">
        <f>$I$5*$AA$5</f>
        <v>70255.279273452514</v>
      </c>
      <c r="AB57" s="31">
        <f ca="1">$I$5*$AB$5</f>
        <v>0</v>
      </c>
      <c r="AC57" s="31">
        <f ca="1">$I$5*$AC$5</f>
        <v>0</v>
      </c>
      <c r="AD57" s="31">
        <f>$I$5*$AD$5</f>
        <v>0</v>
      </c>
      <c r="AE57" s="31">
        <f>$I$5*$AE$5</f>
        <v>0</v>
      </c>
      <c r="AF57" s="31">
        <f ca="1">$I$5*$AF$5</f>
        <v>0</v>
      </c>
      <c r="AG57" s="31">
        <f ca="1">$I$5*$AG$5</f>
        <v>0</v>
      </c>
      <c r="AI57" s="31">
        <f>$I$5*$AI$5</f>
        <v>0</v>
      </c>
      <c r="AJ57" s="31">
        <f>$I$5*$AJ$5</f>
        <v>0</v>
      </c>
      <c r="AK57" s="31">
        <f>$I$5*$AK$5</f>
        <v>0</v>
      </c>
      <c r="AL57" s="31">
        <f>$I$5*$AL$5</f>
        <v>0</v>
      </c>
      <c r="AM57" s="31">
        <f>$I$5*$AM$5</f>
        <v>0</v>
      </c>
      <c r="AN57" s="31">
        <f>$I$5*$AN$5</f>
        <v>0</v>
      </c>
      <c r="AO57" s="31">
        <f>$I$5*$AO$5</f>
        <v>0</v>
      </c>
      <c r="AP57" s="31">
        <f>$I$5*$AP$5</f>
        <v>0</v>
      </c>
      <c r="AQ57" s="31">
        <f>$I$5*$AQ$5</f>
        <v>0</v>
      </c>
      <c r="AR57" s="31">
        <f>$I$5*$AR$5</f>
        <v>0</v>
      </c>
      <c r="AS57" s="31">
        <f>$I$5*$AS$5</f>
        <v>0</v>
      </c>
      <c r="AT57" s="31">
        <f>$I$5*$AT$5</f>
        <v>0</v>
      </c>
      <c r="AU57" s="31">
        <f>$I$5*$AU$5</f>
        <v>84424.570642379869</v>
      </c>
      <c r="AV57" s="31">
        <f>$I$5*$AV$5</f>
        <v>0</v>
      </c>
      <c r="AW57" s="31">
        <f>$I$5*$AW$5</f>
        <v>0</v>
      </c>
      <c r="AX57" s="31">
        <f>$I$5*$AX$5</f>
        <v>91966.032940883437</v>
      </c>
      <c r="AY57" s="31">
        <f>$I$5*$AY$5</f>
        <v>0</v>
      </c>
      <c r="AZ57" s="31">
        <f>$I$5*$AZ$5</f>
        <v>0</v>
      </c>
      <c r="BA57" s="31">
        <f>$I$5*$BA$5</f>
        <v>0</v>
      </c>
      <c r="BB57" s="31">
        <f>$I$5*$BB$5</f>
        <v>0</v>
      </c>
      <c r="BC57" s="31">
        <f>$I$5*$BC$5</f>
        <v>0</v>
      </c>
      <c r="BD57" s="31">
        <f>$I$5*$BD$5</f>
        <v>0</v>
      </c>
    </row>
    <row r="58" spans="1:56" ht="11.25" customHeight="1" x14ac:dyDescent="0.25">
      <c r="A58" s="9" t="s">
        <v>35</v>
      </c>
      <c r="B58" s="9" t="s">
        <v>757</v>
      </c>
      <c r="C58" s="9" t="s">
        <v>758</v>
      </c>
      <c r="D58" s="9" t="s">
        <v>759</v>
      </c>
      <c r="E58" s="9" t="s">
        <v>760</v>
      </c>
      <c r="F58" s="9" t="s">
        <v>761</v>
      </c>
      <c r="G58" s="9" t="s">
        <v>763</v>
      </c>
      <c r="L58" s="31">
        <f>$I$6*$L$6</f>
        <v>0</v>
      </c>
      <c r="M58" s="31">
        <f>$I$6*$M$6</f>
        <v>0</v>
      </c>
      <c r="N58" s="31">
        <f ca="1">$I$6*$N$6</f>
        <v>0</v>
      </c>
      <c r="O58" s="31">
        <f>$I$6*$O$6</f>
        <v>0</v>
      </c>
      <c r="P58" s="31">
        <f>$I$6*$P$6</f>
        <v>0</v>
      </c>
      <c r="Q58" s="31">
        <f>$I$6*$Q$6</f>
        <v>0</v>
      </c>
      <c r="R58" s="31">
        <f>$I$6*$R$6</f>
        <v>0</v>
      </c>
      <c r="S58" s="31">
        <f>$I$6*$S$6</f>
        <v>0</v>
      </c>
      <c r="T58" s="31">
        <f>$I$6*$T$6</f>
        <v>0</v>
      </c>
      <c r="U58" s="31">
        <f>$I$6*$U$6</f>
        <v>0</v>
      </c>
      <c r="V58" s="31">
        <f>$I$6*$V$6</f>
        <v>0</v>
      </c>
      <c r="W58" s="31">
        <f>$I$6*$W$6</f>
        <v>0</v>
      </c>
      <c r="X58" s="31">
        <f>$I$6*$X$6</f>
        <v>403444.68896351068</v>
      </c>
      <c r="Y58" s="31">
        <f>$I$6*$Y$6</f>
        <v>0</v>
      </c>
      <c r="Z58" s="31">
        <f>$I$6*$Z$6</f>
        <v>0</v>
      </c>
      <c r="AA58" s="31">
        <f>$I$6*$AA$6</f>
        <v>289600.55350806995</v>
      </c>
      <c r="AB58" s="31">
        <f ca="1">$I$6*$AB$6</f>
        <v>0</v>
      </c>
      <c r="AC58" s="31">
        <f ca="1">$I$6*$AC$6</f>
        <v>0</v>
      </c>
      <c r="AD58" s="31">
        <f>$I$6*$AD$6</f>
        <v>0</v>
      </c>
      <c r="AE58" s="31">
        <f>$I$6*$AE$6</f>
        <v>0</v>
      </c>
      <c r="AF58" s="31">
        <f ca="1">$I$6*$AF$6</f>
        <v>0</v>
      </c>
      <c r="AG58" s="31">
        <f ca="1">$I$6*$AG$6</f>
        <v>0</v>
      </c>
      <c r="AI58" s="31">
        <f>$I$6*$AI$6</f>
        <v>0</v>
      </c>
      <c r="AJ58" s="31">
        <f>$I$6*$AJ$6</f>
        <v>0</v>
      </c>
      <c r="AK58" s="31">
        <f>$I$6*$AK$6</f>
        <v>0</v>
      </c>
      <c r="AL58" s="31">
        <f>$I$6*$AL$6</f>
        <v>0</v>
      </c>
      <c r="AM58" s="31">
        <f>$I$6*$AM$6</f>
        <v>0</v>
      </c>
      <c r="AN58" s="31">
        <f>$I$6*$AN$6</f>
        <v>0</v>
      </c>
      <c r="AO58" s="31">
        <f>$I$6*$AO$6</f>
        <v>0</v>
      </c>
      <c r="AP58" s="31">
        <f>$I$6*$AP$6</f>
        <v>0</v>
      </c>
      <c r="AQ58" s="31">
        <f>$I$6*$AQ$6</f>
        <v>0</v>
      </c>
      <c r="AR58" s="31">
        <f>$I$6*$AR$6</f>
        <v>0</v>
      </c>
      <c r="AS58" s="31">
        <f>$I$6*$AS$6</f>
        <v>0</v>
      </c>
      <c r="AT58" s="31">
        <f>$I$6*$AT$6</f>
        <v>0</v>
      </c>
      <c r="AU58" s="31">
        <f>$I$6*$AU$6</f>
        <v>365322.13830603031</v>
      </c>
      <c r="AV58" s="31">
        <f>$I$6*$AV$6</f>
        <v>0</v>
      </c>
      <c r="AW58" s="31">
        <f>$I$6*$AW$6</f>
        <v>0</v>
      </c>
      <c r="AX58" s="31">
        <f>$I$6*$AX$6</f>
        <v>364882.24238164787</v>
      </c>
      <c r="AY58" s="31">
        <f>$I$6*$AY$6</f>
        <v>0</v>
      </c>
      <c r="AZ58" s="31">
        <f>$I$6*$AZ$6</f>
        <v>0</v>
      </c>
      <c r="BA58" s="31">
        <f>$I$6*$BA$6</f>
        <v>0</v>
      </c>
      <c r="BB58" s="31">
        <f>$I$6*$BB$6</f>
        <v>0</v>
      </c>
      <c r="BC58" s="31">
        <f>$I$6*$BC$6</f>
        <v>0</v>
      </c>
      <c r="BD58" s="31">
        <f>$I$6*$BD$6</f>
        <v>0</v>
      </c>
    </row>
    <row r="59" spans="1:56" ht="11.25" customHeight="1" x14ac:dyDescent="0.25">
      <c r="A59" s="9" t="s">
        <v>35</v>
      </c>
      <c r="B59" s="9" t="s">
        <v>757</v>
      </c>
      <c r="C59" s="9" t="s">
        <v>758</v>
      </c>
      <c r="D59" s="9" t="s">
        <v>759</v>
      </c>
      <c r="E59" s="9" t="s">
        <v>760</v>
      </c>
      <c r="F59" s="9" t="s">
        <v>761</v>
      </c>
      <c r="G59" s="9" t="s">
        <v>764</v>
      </c>
      <c r="L59" s="31">
        <f>$I$7*$L$7</f>
        <v>0</v>
      </c>
      <c r="M59" s="31">
        <f>$I$7*$M$7</f>
        <v>3473.0296266796158</v>
      </c>
      <c r="N59" s="31">
        <f ca="1">$I$7*$N$7</f>
        <v>3842.1526554450952</v>
      </c>
      <c r="O59" s="31">
        <f>$I$7*$O$7</f>
        <v>0</v>
      </c>
      <c r="P59" s="31">
        <f>$I$7*$P$7</f>
        <v>0</v>
      </c>
      <c r="Q59" s="31">
        <f>$I$7*$Q$7</f>
        <v>1089206.1710058774</v>
      </c>
      <c r="R59" s="31">
        <f>$I$7*$R$7</f>
        <v>206812.92324170805</v>
      </c>
      <c r="S59" s="31">
        <f>$I$7*$S$7</f>
        <v>0</v>
      </c>
      <c r="T59" s="31">
        <f>$I$7*$T$7</f>
        <v>0</v>
      </c>
      <c r="U59" s="31">
        <f>$I$7*$U$7</f>
        <v>0</v>
      </c>
      <c r="V59" s="31">
        <f>$I$7*$V$7</f>
        <v>0</v>
      </c>
      <c r="W59" s="31">
        <f>$I$7*$W$7</f>
        <v>0</v>
      </c>
      <c r="X59" s="31">
        <f>$I$7*$X$7</f>
        <v>0</v>
      </c>
      <c r="Y59" s="31">
        <f>$I$7*$Y$7</f>
        <v>0</v>
      </c>
      <c r="Z59" s="31">
        <f>$I$7*$Z$7</f>
        <v>0</v>
      </c>
      <c r="AA59" s="31">
        <f>$I$7*$AA$7</f>
        <v>0</v>
      </c>
      <c r="AB59" s="31">
        <f ca="1">$I$7*$AB$7</f>
        <v>0</v>
      </c>
      <c r="AC59" s="31">
        <f ca="1">$I$7*$AC$7</f>
        <v>0</v>
      </c>
      <c r="AD59" s="31">
        <f>$I$7*$AD$7</f>
        <v>110894.3864419273</v>
      </c>
      <c r="AE59" s="31">
        <f>$I$7*$AE$7</f>
        <v>2399.28048024591</v>
      </c>
      <c r="AF59" s="31">
        <f ca="1">$I$7*$AF$7</f>
        <v>2696.7699790604265</v>
      </c>
      <c r="AG59" s="31">
        <f ca="1">$I$7*$AG$7</f>
        <v>2946.3006655928757</v>
      </c>
      <c r="AI59" s="31">
        <f>$I$7*$AI$7</f>
        <v>0</v>
      </c>
      <c r="AJ59" s="31">
        <f>$I$7*$AJ$7</f>
        <v>4359.4396048625194</v>
      </c>
      <c r="AK59" s="31">
        <f>$I$7*$AK$7</f>
        <v>4877.6920792474257</v>
      </c>
      <c r="AL59" s="31">
        <f>$I$7*$AL$7</f>
        <v>0</v>
      </c>
      <c r="AM59" s="31">
        <f>$I$7*$AM$7</f>
        <v>0</v>
      </c>
      <c r="AN59" s="31">
        <f>$I$7*$AN$7</f>
        <v>613547.77702202648</v>
      </c>
      <c r="AO59" s="31">
        <f>$I$7*$AO$7</f>
        <v>120018.99341231554</v>
      </c>
      <c r="AP59" s="31">
        <f>$I$7*$AP$7</f>
        <v>0</v>
      </c>
      <c r="AQ59" s="31">
        <f>$I$7*$AQ$7</f>
        <v>0</v>
      </c>
      <c r="AR59" s="31">
        <f>$I$7*$AR$7</f>
        <v>0</v>
      </c>
      <c r="AS59" s="31">
        <f>$I$7*$AS$7</f>
        <v>0</v>
      </c>
      <c r="AT59" s="31">
        <f>$I$7*$AT$7</f>
        <v>0</v>
      </c>
      <c r="AU59" s="31">
        <f>$I$7*$AU$7</f>
        <v>0</v>
      </c>
      <c r="AV59" s="31">
        <f>$I$7*$AV$7</f>
        <v>0</v>
      </c>
      <c r="AW59" s="31">
        <f>$I$7*$AW$7</f>
        <v>0</v>
      </c>
      <c r="AX59" s="31">
        <f>$I$7*$AX$7</f>
        <v>0</v>
      </c>
      <c r="AY59" s="31">
        <f>$I$7*$AY$7</f>
        <v>0</v>
      </c>
      <c r="AZ59" s="31">
        <f>$I$7*$AZ$7</f>
        <v>0</v>
      </c>
      <c r="BA59" s="31">
        <f>$I$7*$BA$7</f>
        <v>135777.09376803006</v>
      </c>
      <c r="BB59" s="31">
        <f>$I$7*$BB$7</f>
        <v>0</v>
      </c>
      <c r="BC59" s="31">
        <f>$I$7*$BC$7</f>
        <v>2182.5272586191813</v>
      </c>
      <c r="BD59" s="31">
        <f>$I$7*$BD$7</f>
        <v>2684.001247985907</v>
      </c>
    </row>
    <row r="60" spans="1:56" ht="11.25" customHeight="1" x14ac:dyDescent="0.25">
      <c r="A60" s="9" t="s">
        <v>35</v>
      </c>
      <c r="B60" s="9" t="s">
        <v>757</v>
      </c>
      <c r="C60" s="9" t="s">
        <v>758</v>
      </c>
      <c r="D60" s="9" t="s">
        <v>759</v>
      </c>
      <c r="E60" s="9" t="s">
        <v>765</v>
      </c>
      <c r="F60" s="9" t="s">
        <v>766</v>
      </c>
      <c r="G60" s="9" t="s">
        <v>767</v>
      </c>
      <c r="L60" s="31">
        <f>$I$8*$L$8</f>
        <v>0</v>
      </c>
      <c r="M60" s="31">
        <f>$I$8*$M$8</f>
        <v>0</v>
      </c>
      <c r="N60" s="31">
        <f ca="1">$I$8*$N$8</f>
        <v>0</v>
      </c>
      <c r="O60" s="31">
        <f>$I$8*$O$8</f>
        <v>0</v>
      </c>
      <c r="P60" s="31">
        <f>$I$8*$P$8</f>
        <v>0</v>
      </c>
      <c r="Q60" s="31">
        <f>$I$8*$Q$8</f>
        <v>0</v>
      </c>
      <c r="R60" s="31">
        <f>$I$8*$R$8</f>
        <v>0</v>
      </c>
      <c r="S60" s="31">
        <f>$I$8*$S$8</f>
        <v>0</v>
      </c>
      <c r="T60" s="31">
        <f>$I$8*$T$8</f>
        <v>0</v>
      </c>
      <c r="U60" s="31">
        <f>$I$8*$U$8</f>
        <v>0</v>
      </c>
      <c r="V60" s="31">
        <f>$I$8*$V$8</f>
        <v>0</v>
      </c>
      <c r="W60" s="31">
        <f>$I$8*$W$8</f>
        <v>0</v>
      </c>
      <c r="X60" s="31">
        <f>$I$8*$X$8</f>
        <v>0</v>
      </c>
      <c r="Y60" s="31">
        <f>$I$8*$Y$8</f>
        <v>0</v>
      </c>
      <c r="Z60" s="31">
        <f>$I$8*$Z$8</f>
        <v>0</v>
      </c>
      <c r="AA60" s="31">
        <f>$I$8*$AA$8</f>
        <v>0</v>
      </c>
      <c r="AB60" s="31">
        <f ca="1">$I$8*$AB$8</f>
        <v>0</v>
      </c>
      <c r="AC60" s="31">
        <f ca="1">$I$8*$AC$8</f>
        <v>0</v>
      </c>
      <c r="AD60" s="31">
        <f>$I$8*$AD$8</f>
        <v>0</v>
      </c>
      <c r="AE60" s="31">
        <f>$I$8*$AE$8</f>
        <v>0</v>
      </c>
      <c r="AF60" s="31">
        <f ca="1">$I$8*$AF$8</f>
        <v>0</v>
      </c>
      <c r="AG60" s="31">
        <f ca="1">$I$8*$AG$8</f>
        <v>0</v>
      </c>
      <c r="AI60" s="31">
        <f>$I$8*$AI$8</f>
        <v>0</v>
      </c>
      <c r="AJ60" s="31">
        <f>$I$8*$AJ$8</f>
        <v>0</v>
      </c>
      <c r="AK60" s="31">
        <f>$I$8*$AK$8</f>
        <v>0</v>
      </c>
      <c r="AL60" s="31">
        <f>$I$8*$AL$8</f>
        <v>0</v>
      </c>
      <c r="AM60" s="31">
        <f>$I$8*$AM$8</f>
        <v>0</v>
      </c>
      <c r="AN60" s="31">
        <f>$I$8*$AN$8</f>
        <v>0</v>
      </c>
      <c r="AO60" s="31">
        <f>$I$8*$AO$8</f>
        <v>0</v>
      </c>
      <c r="AP60" s="31">
        <f>$I$8*$AP$8</f>
        <v>0</v>
      </c>
      <c r="AQ60" s="31">
        <f>$I$8*$AQ$8</f>
        <v>0</v>
      </c>
      <c r="AR60" s="31">
        <f>$I$8*$AR$8</f>
        <v>0</v>
      </c>
      <c r="AS60" s="31">
        <f>$I$8*$AS$8</f>
        <v>0</v>
      </c>
      <c r="AT60" s="31">
        <f>$I$8*$AT$8</f>
        <v>0</v>
      </c>
      <c r="AU60" s="31">
        <f>$I$8*$AU$8</f>
        <v>0</v>
      </c>
      <c r="AV60" s="31">
        <f>$I$8*$AV$8</f>
        <v>0</v>
      </c>
      <c r="AW60" s="31">
        <f>$I$8*$AW$8</f>
        <v>0</v>
      </c>
      <c r="AX60" s="31">
        <f>$I$8*$AX$8</f>
        <v>0</v>
      </c>
      <c r="AY60" s="31">
        <f>$I$8*$AY$8</f>
        <v>0</v>
      </c>
      <c r="AZ60" s="31">
        <f>$I$8*$AZ$8</f>
        <v>0</v>
      </c>
      <c r="BA60" s="31">
        <f>$I$8*$BA$8</f>
        <v>0</v>
      </c>
      <c r="BB60" s="31">
        <f>$I$8*$BB$8</f>
        <v>0</v>
      </c>
      <c r="BC60" s="31">
        <f>$I$8*$BC$8</f>
        <v>0</v>
      </c>
      <c r="BD60" s="31">
        <f>$I$8*$BD$8</f>
        <v>0</v>
      </c>
    </row>
    <row r="61" spans="1:56" ht="11.25" customHeight="1" x14ac:dyDescent="0.25">
      <c r="A61" s="9" t="s">
        <v>35</v>
      </c>
      <c r="B61" s="9" t="s">
        <v>768</v>
      </c>
      <c r="C61" s="9" t="s">
        <v>769</v>
      </c>
      <c r="D61" s="9" t="s">
        <v>770</v>
      </c>
      <c r="E61" s="9" t="s">
        <v>771</v>
      </c>
      <c r="F61" s="9" t="s">
        <v>772</v>
      </c>
      <c r="G61" s="9" t="s">
        <v>773</v>
      </c>
      <c r="L61" s="31">
        <f>$I$9*$L$9</f>
        <v>0</v>
      </c>
      <c r="M61" s="31">
        <f>$I$9*$M$9</f>
        <v>0</v>
      </c>
      <c r="N61" s="31">
        <f ca="1">$I$9*$N$9</f>
        <v>0</v>
      </c>
      <c r="O61" s="31">
        <f>$I$9*$O$9</f>
        <v>0</v>
      </c>
      <c r="P61" s="31">
        <f>$I$9*$P$9</f>
        <v>0</v>
      </c>
      <c r="Q61" s="31">
        <f>$I$9*$Q$9</f>
        <v>0</v>
      </c>
      <c r="R61" s="31">
        <f>$I$9*$R$9</f>
        <v>0</v>
      </c>
      <c r="S61" s="31">
        <f>$I$9*$S$9</f>
        <v>0</v>
      </c>
      <c r="T61" s="31">
        <f>$I$9*$T$9</f>
        <v>0</v>
      </c>
      <c r="U61" s="31">
        <f>$I$9*$U$9</f>
        <v>0</v>
      </c>
      <c r="V61" s="31">
        <f>$I$9*$V$9</f>
        <v>0</v>
      </c>
      <c r="W61" s="31">
        <f>$I$9*$W$9</f>
        <v>0</v>
      </c>
      <c r="X61" s="31">
        <f>$I$9*$X$9</f>
        <v>0</v>
      </c>
      <c r="Y61" s="31">
        <f>$I$9*$Y$9</f>
        <v>0</v>
      </c>
      <c r="Z61" s="31">
        <f>$I$9*$Z$9</f>
        <v>0</v>
      </c>
      <c r="AA61" s="31">
        <f>$I$9*$AA$9</f>
        <v>0</v>
      </c>
      <c r="AB61" s="31">
        <f ca="1">$I$9*$AB$9</f>
        <v>0</v>
      </c>
      <c r="AC61" s="31">
        <f ca="1">$I$9*$AC$9</f>
        <v>0</v>
      </c>
      <c r="AD61" s="31">
        <f>$I$9*$AD$9</f>
        <v>0</v>
      </c>
      <c r="AE61" s="31">
        <f>$I$9*$AE$9</f>
        <v>0</v>
      </c>
      <c r="AF61" s="31">
        <f ca="1">$I$9*$AF$9</f>
        <v>0</v>
      </c>
      <c r="AG61" s="31">
        <f ca="1">$I$9*$AG$9</f>
        <v>0</v>
      </c>
      <c r="AI61" s="31">
        <f>$I$9*$AI$9</f>
        <v>0</v>
      </c>
      <c r="AJ61" s="31">
        <f>$I$9*$AJ$9</f>
        <v>0</v>
      </c>
      <c r="AK61" s="31">
        <f>$I$9*$AK$9</f>
        <v>0</v>
      </c>
      <c r="AL61" s="31">
        <f>$I$9*$AL$9</f>
        <v>0</v>
      </c>
      <c r="AM61" s="31">
        <f>$I$9*$AM$9</f>
        <v>0</v>
      </c>
      <c r="AN61" s="31">
        <f>$I$9*$AN$9</f>
        <v>0</v>
      </c>
      <c r="AO61" s="31">
        <f>$I$9*$AO$9</f>
        <v>0</v>
      </c>
      <c r="AP61" s="31">
        <f>$I$9*$AP$9</f>
        <v>0</v>
      </c>
      <c r="AQ61" s="31">
        <f>$I$9*$AQ$9</f>
        <v>0</v>
      </c>
      <c r="AR61" s="31">
        <f>$I$9*$AR$9</f>
        <v>0</v>
      </c>
      <c r="AS61" s="31">
        <f>$I$9*$AS$9</f>
        <v>0</v>
      </c>
      <c r="AT61" s="31">
        <f>$I$9*$AT$9</f>
        <v>0</v>
      </c>
      <c r="AU61" s="31">
        <f>$I$9*$AU$9</f>
        <v>0</v>
      </c>
      <c r="AV61" s="31">
        <f>$I$9*$AV$9</f>
        <v>0</v>
      </c>
      <c r="AW61" s="31">
        <f>$I$9*$AW$9</f>
        <v>0</v>
      </c>
      <c r="AX61" s="31">
        <f>$I$9*$AX$9</f>
        <v>0</v>
      </c>
      <c r="AY61" s="31">
        <f>$I$9*$AY$9</f>
        <v>0</v>
      </c>
      <c r="AZ61" s="31">
        <f>$I$9*$AZ$9</f>
        <v>0</v>
      </c>
      <c r="BA61" s="31">
        <f>$I$9*$BA$9</f>
        <v>0</v>
      </c>
      <c r="BB61" s="31">
        <f>$I$9*$BB$9</f>
        <v>0</v>
      </c>
      <c r="BC61" s="31">
        <f>$I$9*$BC$9</f>
        <v>0</v>
      </c>
      <c r="BD61" s="31">
        <f>$I$9*$BD$9</f>
        <v>0</v>
      </c>
    </row>
    <row r="62" spans="1:56" ht="11.25" customHeight="1" x14ac:dyDescent="0.25">
      <c r="A62" s="9" t="s">
        <v>35</v>
      </c>
      <c r="B62" s="9" t="s">
        <v>774</v>
      </c>
      <c r="C62" s="9" t="s">
        <v>775</v>
      </c>
      <c r="D62" s="9" t="s">
        <v>776</v>
      </c>
      <c r="E62" s="9" t="s">
        <v>777</v>
      </c>
      <c r="F62" s="9" t="s">
        <v>778</v>
      </c>
      <c r="G62" s="9" t="s">
        <v>779</v>
      </c>
      <c r="L62" s="31">
        <f>$I$10*$L$10</f>
        <v>0</v>
      </c>
      <c r="M62" s="31">
        <f>$I$10*$M$10</f>
        <v>0</v>
      </c>
      <c r="N62" s="31">
        <f ca="1">$I$10*$N$10</f>
        <v>0</v>
      </c>
      <c r="O62" s="31">
        <f>$I$10*$O$10</f>
        <v>0</v>
      </c>
      <c r="P62" s="31">
        <f>$I$10*$P$10</f>
        <v>0</v>
      </c>
      <c r="Q62" s="31">
        <f>$I$10*$Q$10</f>
        <v>0</v>
      </c>
      <c r="R62" s="31">
        <f>$I$10*$R$10</f>
        <v>0</v>
      </c>
      <c r="S62" s="31">
        <f>$I$10*$S$10</f>
        <v>0</v>
      </c>
      <c r="T62" s="31">
        <f>$I$10*$T$10</f>
        <v>0</v>
      </c>
      <c r="U62" s="31">
        <f>$I$10*$U$10</f>
        <v>0</v>
      </c>
      <c r="V62" s="31">
        <f>$I$10*$V$10</f>
        <v>0</v>
      </c>
      <c r="W62" s="31">
        <f>$I$10*$W$10</f>
        <v>0</v>
      </c>
      <c r="X62" s="31">
        <f>$I$10*$X$10</f>
        <v>5396047.4110303978</v>
      </c>
      <c r="Y62" s="31">
        <f>$I$10*$Y$10</f>
        <v>0</v>
      </c>
      <c r="Z62" s="31">
        <f>$I$10*$Z$10</f>
        <v>0</v>
      </c>
      <c r="AA62" s="31">
        <f>$I$10*$AA$10</f>
        <v>3873389.2395632155</v>
      </c>
      <c r="AB62" s="31">
        <f ca="1">$I$10*$AB$10</f>
        <v>0</v>
      </c>
      <c r="AC62" s="31">
        <f ca="1">$I$10*$AC$10</f>
        <v>0</v>
      </c>
      <c r="AD62" s="31">
        <f>$I$10*$AD$10</f>
        <v>0</v>
      </c>
      <c r="AE62" s="31">
        <f>$I$10*$AE$10</f>
        <v>0</v>
      </c>
      <c r="AF62" s="31">
        <f ca="1">$I$10*$AF$10</f>
        <v>0</v>
      </c>
      <c r="AG62" s="31">
        <f ca="1">$I$10*$AG$10</f>
        <v>0</v>
      </c>
      <c r="AI62" s="31">
        <f>$I$10*$AI$10</f>
        <v>0</v>
      </c>
      <c r="AJ62" s="31">
        <f>$I$10*$AJ$10</f>
        <v>0</v>
      </c>
      <c r="AK62" s="31">
        <f>$I$10*$AK$10</f>
        <v>0</v>
      </c>
      <c r="AL62" s="31">
        <f>$I$10*$AL$10</f>
        <v>0</v>
      </c>
      <c r="AM62" s="31">
        <f>$I$10*$AM$10</f>
        <v>0</v>
      </c>
      <c r="AN62" s="31">
        <f>$I$10*$AN$10</f>
        <v>0</v>
      </c>
      <c r="AO62" s="31">
        <f>$I$10*$AO$10</f>
        <v>0</v>
      </c>
      <c r="AP62" s="31">
        <f>$I$10*$AP$10</f>
        <v>0</v>
      </c>
      <c r="AQ62" s="31">
        <f>$I$10*$AQ$10</f>
        <v>0</v>
      </c>
      <c r="AR62" s="31">
        <f>$I$10*$AR$10</f>
        <v>0</v>
      </c>
      <c r="AS62" s="31">
        <f>$I$10*$AS$10</f>
        <v>0</v>
      </c>
      <c r="AT62" s="31">
        <f>$I$10*$AT$10</f>
        <v>0</v>
      </c>
      <c r="AU62" s="31">
        <f>$I$10*$AU$10</f>
        <v>4886160.6870146105</v>
      </c>
      <c r="AV62" s="31">
        <f>$I$10*$AV$10</f>
        <v>0</v>
      </c>
      <c r="AW62" s="31">
        <f>$I$10*$AW$10</f>
        <v>0</v>
      </c>
      <c r="AX62" s="31">
        <f>$I$10*$AX$10</f>
        <v>4880277.1066160565</v>
      </c>
      <c r="AY62" s="31">
        <f>$I$10*$AY$10</f>
        <v>0</v>
      </c>
      <c r="AZ62" s="31">
        <f>$I$10*$AZ$10</f>
        <v>0</v>
      </c>
      <c r="BA62" s="31">
        <f>$I$10*$BA$10</f>
        <v>0</v>
      </c>
      <c r="BB62" s="31">
        <f>$I$10*$BB$10</f>
        <v>0</v>
      </c>
      <c r="BC62" s="31">
        <f>$I$10*$BC$10</f>
        <v>0</v>
      </c>
      <c r="BD62" s="31">
        <f>$I$10*$BD$10</f>
        <v>0</v>
      </c>
    </row>
    <row r="63" spans="1:56" ht="11.25" customHeight="1" x14ac:dyDescent="0.25">
      <c r="A63" s="9" t="s">
        <v>35</v>
      </c>
      <c r="B63" s="9" t="s">
        <v>774</v>
      </c>
      <c r="C63" s="9" t="s">
        <v>775</v>
      </c>
      <c r="D63" s="9" t="s">
        <v>776</v>
      </c>
      <c r="E63" s="9" t="s">
        <v>777</v>
      </c>
      <c r="F63" s="9" t="s">
        <v>778</v>
      </c>
      <c r="G63" s="9" t="s">
        <v>780</v>
      </c>
      <c r="L63" s="31">
        <f>$I$11*$L$11</f>
        <v>0</v>
      </c>
      <c r="M63" s="31">
        <f>$I$11*$M$11</f>
        <v>1823.8932475352208</v>
      </c>
      <c r="N63" s="31">
        <f ca="1">$I$11*$N$11</f>
        <v>108497.70946965732</v>
      </c>
      <c r="O63" s="31">
        <f>$I$11*$O$11</f>
        <v>0</v>
      </c>
      <c r="P63" s="31">
        <f>$I$11*$P$11</f>
        <v>0</v>
      </c>
      <c r="Q63" s="31">
        <f>$I$11*$Q$11</f>
        <v>572006.57466622139</v>
      </c>
      <c r="R63" s="31">
        <f>$I$11*$R$11</f>
        <v>108609.69664810984</v>
      </c>
      <c r="S63" s="31">
        <f>$I$11*$S$11</f>
        <v>0</v>
      </c>
      <c r="T63" s="31">
        <f>$I$11*$T$11</f>
        <v>0</v>
      </c>
      <c r="U63" s="31">
        <f>$I$11*$U$11</f>
        <v>0</v>
      </c>
      <c r="V63" s="31">
        <f>$I$11*$V$11</f>
        <v>0</v>
      </c>
      <c r="W63" s="31">
        <f>$I$11*$W$11</f>
        <v>0</v>
      </c>
      <c r="X63" s="31">
        <f>$I$11*$X$11</f>
        <v>4999341.1238562986</v>
      </c>
      <c r="Y63" s="31">
        <f>$I$11*$Y$11</f>
        <v>0</v>
      </c>
      <c r="Z63" s="31">
        <f>$I$11*$Z$11</f>
        <v>0</v>
      </c>
      <c r="AA63" s="31">
        <f>$I$11*$AA$11</f>
        <v>3611030.4742349517</v>
      </c>
      <c r="AB63" s="31">
        <f ca="1">$I$11*$AB$11</f>
        <v>0</v>
      </c>
      <c r="AC63" s="31">
        <f ca="1">$I$11*$AC$11</f>
        <v>0</v>
      </c>
      <c r="AD63" s="31">
        <f>$I$11*$AD$11</f>
        <v>58237.200473974197</v>
      </c>
      <c r="AE63" s="31">
        <f>$I$11*$AE$11</f>
        <v>1260.0040705806687</v>
      </c>
      <c r="AF63" s="31">
        <f ca="1">$I$11*$AF$11</f>
        <v>1416.2333995596948</v>
      </c>
      <c r="AG63" s="31">
        <f ca="1">$I$11*$AG$11</f>
        <v>1547.2767199860962</v>
      </c>
      <c r="AI63" s="31">
        <f>$I$11*$AI$11</f>
        <v>0</v>
      </c>
      <c r="AJ63" s="31">
        <f>$I$11*$AJ$11</f>
        <v>2289.3995482405503</v>
      </c>
      <c r="AK63" s="31">
        <f>$I$11*$AK$11</f>
        <v>100800.8845066611</v>
      </c>
      <c r="AL63" s="31">
        <f>$I$11*$AL$11</f>
        <v>0</v>
      </c>
      <c r="AM63" s="31">
        <f>$I$11*$AM$11</f>
        <v>0</v>
      </c>
      <c r="AN63" s="31">
        <f>$I$11*$AN$11</f>
        <v>322210.22215136728</v>
      </c>
      <c r="AO63" s="31">
        <f>$I$11*$AO$11</f>
        <v>63029.071211804541</v>
      </c>
      <c r="AP63" s="31">
        <f>$I$11*$AP$11</f>
        <v>0</v>
      </c>
      <c r="AQ63" s="31">
        <f>$I$11*$AQ$11</f>
        <v>0</v>
      </c>
      <c r="AR63" s="31">
        <f>$I$11*$AR$11</f>
        <v>0</v>
      </c>
      <c r="AS63" s="31">
        <f>$I$11*$AS$11</f>
        <v>0</v>
      </c>
      <c r="AT63" s="31">
        <f>$I$11*$AT$11</f>
        <v>0</v>
      </c>
      <c r="AU63" s="31">
        <f>$I$11*$AU$11</f>
        <v>4339326.612013163</v>
      </c>
      <c r="AV63" s="31">
        <f>$I$11*$AV$11</f>
        <v>0</v>
      </c>
      <c r="AW63" s="31">
        <f>$I$11*$AW$11</f>
        <v>0</v>
      </c>
      <c r="AX63" s="31">
        <f>$I$11*$AX$11</f>
        <v>4726935.1261947146</v>
      </c>
      <c r="AY63" s="31">
        <f>$I$11*$AY$11</f>
        <v>0</v>
      </c>
      <c r="AZ63" s="31">
        <f>$I$11*$AZ$11</f>
        <v>0</v>
      </c>
      <c r="BA63" s="31">
        <f>$I$11*$BA$11</f>
        <v>71304.58162265236</v>
      </c>
      <c r="BB63" s="31">
        <f>$I$11*$BB$11</f>
        <v>0</v>
      </c>
      <c r="BC63" s="31">
        <f>$I$11*$BC$11</f>
        <v>1146.1741353939499</v>
      </c>
      <c r="BD63" s="31">
        <f>$I$11*$BD$11</f>
        <v>1409.5277837459091</v>
      </c>
    </row>
    <row r="64" spans="1:56" ht="11.25" customHeight="1" x14ac:dyDescent="0.25">
      <c r="A64" s="9" t="s">
        <v>35</v>
      </c>
      <c r="B64" s="9" t="s">
        <v>774</v>
      </c>
      <c r="C64" s="9" t="s">
        <v>775</v>
      </c>
      <c r="D64" s="9" t="s">
        <v>776</v>
      </c>
      <c r="E64" s="9" t="s">
        <v>777</v>
      </c>
      <c r="F64" s="9" t="s">
        <v>778</v>
      </c>
      <c r="G64" s="9" t="s">
        <v>781</v>
      </c>
      <c r="L64" s="31">
        <f>$I$12*$L$12</f>
        <v>0</v>
      </c>
      <c r="M64" s="31">
        <f>$I$12*$M$12</f>
        <v>31186.508862909333</v>
      </c>
      <c r="N64" s="31">
        <f ca="1">$I$12*$N$12</f>
        <v>34501.095792910346</v>
      </c>
      <c r="O64" s="31">
        <f>$I$12*$O$12</f>
        <v>0</v>
      </c>
      <c r="P64" s="31">
        <f>$I$12*$P$12</f>
        <v>0</v>
      </c>
      <c r="Q64" s="31">
        <f>$I$12*$Q$12</f>
        <v>9780664.5945850741</v>
      </c>
      <c r="R64" s="31">
        <f>$I$12*$R$12</f>
        <v>1857102.8056008869</v>
      </c>
      <c r="S64" s="31">
        <f>$I$12*$S$12</f>
        <v>0</v>
      </c>
      <c r="T64" s="31">
        <f>$I$12*$T$12</f>
        <v>0</v>
      </c>
      <c r="U64" s="31">
        <f>$I$12*$U$12</f>
        <v>0</v>
      </c>
      <c r="V64" s="31">
        <f>$I$12*$V$12</f>
        <v>0</v>
      </c>
      <c r="W64" s="31">
        <f>$I$12*$W$12</f>
        <v>0</v>
      </c>
      <c r="X64" s="31">
        <f>$I$12*$X$12</f>
        <v>0</v>
      </c>
      <c r="Y64" s="31">
        <f>$I$12*$Y$12</f>
        <v>0</v>
      </c>
      <c r="Z64" s="31">
        <f>$I$12*$Z$12</f>
        <v>0</v>
      </c>
      <c r="AA64" s="31">
        <f>$I$12*$AA$12</f>
        <v>0</v>
      </c>
      <c r="AB64" s="31">
        <f ca="1">$I$12*$AB$12</f>
        <v>0</v>
      </c>
      <c r="AC64" s="31">
        <f ca="1">$I$12*$AC$12</f>
        <v>0</v>
      </c>
      <c r="AD64" s="31">
        <f>$I$12*$AD$12</f>
        <v>995790.17093627981</v>
      </c>
      <c r="AE64" s="31">
        <f>$I$12*$AE$12</f>
        <v>21544.642575747595</v>
      </c>
      <c r="AF64" s="31">
        <f ca="1">$I$12*$AF$12</f>
        <v>24215.987162079637</v>
      </c>
      <c r="AG64" s="31">
        <f ca="1">$I$12*$AG$12</f>
        <v>26456.67952684706</v>
      </c>
      <c r="AI64" s="31">
        <f>$I$12*$AI$12</f>
        <v>0</v>
      </c>
      <c r="AJ64" s="31">
        <f>$I$12*$AJ$12</f>
        <v>39146.139390795564</v>
      </c>
      <c r="AK64" s="31">
        <f>$I$12*$AK$12</f>
        <v>43799.853042262941</v>
      </c>
      <c r="AL64" s="31">
        <f>$I$12*$AL$12</f>
        <v>0</v>
      </c>
      <c r="AM64" s="31">
        <f>$I$12*$AM$12</f>
        <v>0</v>
      </c>
      <c r="AN64" s="31">
        <f>$I$12*$AN$12</f>
        <v>5509429.8761307057</v>
      </c>
      <c r="AO64" s="31">
        <f>$I$12*$AO$12</f>
        <v>1077725.7334683607</v>
      </c>
      <c r="AP64" s="31">
        <f>$I$12*$AP$12</f>
        <v>0</v>
      </c>
      <c r="AQ64" s="31">
        <f>$I$12*$AQ$12</f>
        <v>0</v>
      </c>
      <c r="AR64" s="31">
        <f>$I$12*$AR$12</f>
        <v>0</v>
      </c>
      <c r="AS64" s="31">
        <f>$I$12*$AS$12</f>
        <v>0</v>
      </c>
      <c r="AT64" s="31">
        <f>$I$12*$AT$12</f>
        <v>0</v>
      </c>
      <c r="AU64" s="31">
        <f>$I$12*$AU$12</f>
        <v>0</v>
      </c>
      <c r="AV64" s="31">
        <f>$I$12*$AV$12</f>
        <v>0</v>
      </c>
      <c r="AW64" s="31">
        <f>$I$12*$AW$12</f>
        <v>0</v>
      </c>
      <c r="AX64" s="31">
        <f>$I$12*$AX$12</f>
        <v>0</v>
      </c>
      <c r="AY64" s="31">
        <f>$I$12*$AY$12</f>
        <v>0</v>
      </c>
      <c r="AZ64" s="31">
        <f>$I$12*$AZ$12</f>
        <v>0</v>
      </c>
      <c r="BA64" s="31">
        <f>$I$12*$BA$12</f>
        <v>1219227.5889754058</v>
      </c>
      <c r="BB64" s="31">
        <f>$I$12*$BB$12</f>
        <v>0</v>
      </c>
      <c r="BC64" s="31">
        <f>$I$12*$BC$12</f>
        <v>19598.279603373878</v>
      </c>
      <c r="BD64" s="31">
        <f>$I$12*$BD$12</f>
        <v>24101.328726181317</v>
      </c>
    </row>
    <row r="65" spans="1:56" ht="11.25" customHeight="1" x14ac:dyDescent="0.25">
      <c r="A65" s="9" t="s">
        <v>35</v>
      </c>
      <c r="B65" s="9" t="s">
        <v>774</v>
      </c>
      <c r="C65" s="9" t="s">
        <v>775</v>
      </c>
      <c r="D65" s="9" t="s">
        <v>776</v>
      </c>
      <c r="E65" s="9" t="s">
        <v>782</v>
      </c>
      <c r="F65" s="9" t="s">
        <v>783</v>
      </c>
      <c r="G65" s="9" t="s">
        <v>784</v>
      </c>
      <c r="L65" s="31">
        <f>$I$13*$L$13</f>
        <v>0</v>
      </c>
      <c r="M65" s="31">
        <f>$I$13*$M$13</f>
        <v>0</v>
      </c>
      <c r="N65" s="31">
        <f ca="1">$I$13*$N$13</f>
        <v>0</v>
      </c>
      <c r="O65" s="31">
        <f>$I$13*$O$13</f>
        <v>0</v>
      </c>
      <c r="P65" s="31">
        <f>$I$13*$P$13</f>
        <v>0</v>
      </c>
      <c r="Q65" s="31">
        <f>$I$13*$Q$13</f>
        <v>0</v>
      </c>
      <c r="R65" s="31">
        <f>$I$13*$R$13</f>
        <v>0</v>
      </c>
      <c r="S65" s="31">
        <f>$I$13*$S$13</f>
        <v>0</v>
      </c>
      <c r="T65" s="31">
        <f>$I$13*$T$13</f>
        <v>0</v>
      </c>
      <c r="U65" s="31">
        <f>$I$13*$U$13</f>
        <v>0</v>
      </c>
      <c r="V65" s="31">
        <f>$I$13*$V$13</f>
        <v>0</v>
      </c>
      <c r="W65" s="31">
        <f>$I$13*$W$13</f>
        <v>0</v>
      </c>
      <c r="X65" s="31">
        <f>$I$13*$X$13</f>
        <v>0</v>
      </c>
      <c r="Y65" s="31">
        <f>$I$13*$Y$13</f>
        <v>0</v>
      </c>
      <c r="Z65" s="31">
        <f>$I$13*$Z$13</f>
        <v>0</v>
      </c>
      <c r="AA65" s="31">
        <f>$I$13*$AA$13</f>
        <v>0</v>
      </c>
      <c r="AB65" s="31">
        <f ca="1">$I$13*$AB$13</f>
        <v>0</v>
      </c>
      <c r="AC65" s="31">
        <f ca="1">$I$13*$AC$13</f>
        <v>0</v>
      </c>
      <c r="AD65" s="31">
        <f>$I$13*$AD$13</f>
        <v>0</v>
      </c>
      <c r="AE65" s="31">
        <f>$I$13*$AE$13</f>
        <v>0</v>
      </c>
      <c r="AF65" s="31">
        <f ca="1">$I$13*$AF$13</f>
        <v>0</v>
      </c>
      <c r="AG65" s="31">
        <f ca="1">$I$13*$AG$13</f>
        <v>0</v>
      </c>
      <c r="AI65" s="31">
        <f>$I$13*$AI$13</f>
        <v>0</v>
      </c>
      <c r="AJ65" s="31">
        <f>$I$13*$AJ$13</f>
        <v>0</v>
      </c>
      <c r="AK65" s="31">
        <f>$I$13*$AK$13</f>
        <v>0</v>
      </c>
      <c r="AL65" s="31">
        <f>$I$13*$AL$13</f>
        <v>0</v>
      </c>
      <c r="AM65" s="31">
        <f>$I$13*$AM$13</f>
        <v>0</v>
      </c>
      <c r="AN65" s="31">
        <f>$I$13*$AN$13</f>
        <v>0</v>
      </c>
      <c r="AO65" s="31">
        <f>$I$13*$AO$13</f>
        <v>0</v>
      </c>
      <c r="AP65" s="31">
        <f>$I$13*$AP$13</f>
        <v>0</v>
      </c>
      <c r="AQ65" s="31">
        <f>$I$13*$AQ$13</f>
        <v>0</v>
      </c>
      <c r="AR65" s="31">
        <f>$I$13*$AR$13</f>
        <v>0</v>
      </c>
      <c r="AS65" s="31">
        <f>$I$13*$AS$13</f>
        <v>0</v>
      </c>
      <c r="AT65" s="31">
        <f>$I$13*$AT$13</f>
        <v>0</v>
      </c>
      <c r="AU65" s="31">
        <f>$I$13*$AU$13</f>
        <v>0</v>
      </c>
      <c r="AV65" s="31">
        <f>$I$13*$AV$13</f>
        <v>0</v>
      </c>
      <c r="AW65" s="31">
        <f>$I$13*$AW$13</f>
        <v>0</v>
      </c>
      <c r="AX65" s="31">
        <f>$I$13*$AX$13</f>
        <v>0</v>
      </c>
      <c r="AY65" s="31">
        <f>$I$13*$AY$13</f>
        <v>0</v>
      </c>
      <c r="AZ65" s="31">
        <f>$I$13*$AZ$13</f>
        <v>0</v>
      </c>
      <c r="BA65" s="31">
        <f>$I$13*$BA$13</f>
        <v>0</v>
      </c>
      <c r="BB65" s="31">
        <f>$I$13*$BB$13</f>
        <v>0</v>
      </c>
      <c r="BC65" s="31">
        <f>$I$13*$BC$13</f>
        <v>0</v>
      </c>
      <c r="BD65" s="31">
        <f>$I$13*$BD$13</f>
        <v>0</v>
      </c>
    </row>
    <row r="66" spans="1:56" ht="11.25" customHeight="1" x14ac:dyDescent="0.25">
      <c r="A66" s="9" t="s">
        <v>35</v>
      </c>
      <c r="B66" s="9" t="s">
        <v>774</v>
      </c>
      <c r="C66" s="9" t="s">
        <v>775</v>
      </c>
      <c r="D66" s="9" t="s">
        <v>776</v>
      </c>
      <c r="E66" s="9" t="s">
        <v>782</v>
      </c>
      <c r="F66" s="9" t="s">
        <v>783</v>
      </c>
      <c r="G66" s="9" t="s">
        <v>785</v>
      </c>
      <c r="L66" s="31">
        <f>$I$14*$L$14</f>
        <v>0</v>
      </c>
      <c r="M66" s="31">
        <f>$I$14*$M$14</f>
        <v>0</v>
      </c>
      <c r="N66" s="31">
        <f ca="1">$I$14*$N$14</f>
        <v>0</v>
      </c>
      <c r="O66" s="31">
        <f>$I$14*$O$14</f>
        <v>0</v>
      </c>
      <c r="P66" s="31">
        <f>$I$14*$P$14</f>
        <v>0</v>
      </c>
      <c r="Q66" s="31">
        <f>$I$14*$Q$14</f>
        <v>0</v>
      </c>
      <c r="R66" s="31">
        <f>$I$14*$R$14</f>
        <v>0</v>
      </c>
      <c r="S66" s="31">
        <f>$I$14*$S$14</f>
        <v>0</v>
      </c>
      <c r="T66" s="31">
        <f>$I$14*$T$14</f>
        <v>0</v>
      </c>
      <c r="U66" s="31">
        <f>$I$14*$U$14</f>
        <v>0</v>
      </c>
      <c r="V66" s="31">
        <f>$I$14*$V$14</f>
        <v>0</v>
      </c>
      <c r="W66" s="31">
        <f>$I$14*$W$14</f>
        <v>0</v>
      </c>
      <c r="X66" s="31">
        <f>$I$14*$X$14</f>
        <v>0</v>
      </c>
      <c r="Y66" s="31">
        <f>$I$14*$Y$14</f>
        <v>0</v>
      </c>
      <c r="Z66" s="31">
        <f>$I$14*$Z$14</f>
        <v>0</v>
      </c>
      <c r="AA66" s="31">
        <f>$I$14*$AA$14</f>
        <v>0</v>
      </c>
      <c r="AB66" s="31">
        <f ca="1">$I$14*$AB$14</f>
        <v>0</v>
      </c>
      <c r="AC66" s="31">
        <f ca="1">$I$14*$AC$14</f>
        <v>0</v>
      </c>
      <c r="AD66" s="31">
        <f>$I$14*$AD$14</f>
        <v>0</v>
      </c>
      <c r="AE66" s="31">
        <f>$I$14*$AE$14</f>
        <v>0</v>
      </c>
      <c r="AF66" s="31">
        <f ca="1">$I$14*$AF$14</f>
        <v>0</v>
      </c>
      <c r="AG66" s="31">
        <f ca="1">$I$14*$AG$14</f>
        <v>0</v>
      </c>
      <c r="AI66" s="31">
        <f>$I$14*$AI$14</f>
        <v>0</v>
      </c>
      <c r="AJ66" s="31">
        <f>$I$14*$AJ$14</f>
        <v>0</v>
      </c>
      <c r="AK66" s="31">
        <f>$I$14*$AK$14</f>
        <v>0</v>
      </c>
      <c r="AL66" s="31">
        <f>$I$14*$AL$14</f>
        <v>0</v>
      </c>
      <c r="AM66" s="31">
        <f>$I$14*$AM$14</f>
        <v>0</v>
      </c>
      <c r="AN66" s="31">
        <f>$I$14*$AN$14</f>
        <v>0</v>
      </c>
      <c r="AO66" s="31">
        <f>$I$14*$AO$14</f>
        <v>0</v>
      </c>
      <c r="AP66" s="31">
        <f>$I$14*$AP$14</f>
        <v>0</v>
      </c>
      <c r="AQ66" s="31">
        <f>$I$14*$AQ$14</f>
        <v>0</v>
      </c>
      <c r="AR66" s="31">
        <f>$I$14*$AR$14</f>
        <v>0</v>
      </c>
      <c r="AS66" s="31">
        <f>$I$14*$AS$14</f>
        <v>0</v>
      </c>
      <c r="AT66" s="31">
        <f>$I$14*$AT$14</f>
        <v>0</v>
      </c>
      <c r="AU66" s="31">
        <f>$I$14*$AU$14</f>
        <v>0</v>
      </c>
      <c r="AV66" s="31">
        <f>$I$14*$AV$14</f>
        <v>0</v>
      </c>
      <c r="AW66" s="31">
        <f>$I$14*$AW$14</f>
        <v>0</v>
      </c>
      <c r="AX66" s="31">
        <f>$I$14*$AX$14</f>
        <v>0</v>
      </c>
      <c r="AY66" s="31">
        <f>$I$14*$AY$14</f>
        <v>0</v>
      </c>
      <c r="AZ66" s="31">
        <f>$I$14*$AZ$14</f>
        <v>0</v>
      </c>
      <c r="BA66" s="31">
        <f>$I$14*$BA$14</f>
        <v>0</v>
      </c>
      <c r="BB66" s="31">
        <f>$I$14*$BB$14</f>
        <v>0</v>
      </c>
      <c r="BC66" s="31">
        <f>$I$14*$BC$14</f>
        <v>0</v>
      </c>
      <c r="BD66" s="31">
        <f>$I$14*$BD$14</f>
        <v>0</v>
      </c>
    </row>
    <row r="67" spans="1:56" ht="11.25" customHeight="1" x14ac:dyDescent="0.25">
      <c r="A67" s="9" t="s">
        <v>84</v>
      </c>
      <c r="B67" s="9" t="s">
        <v>786</v>
      </c>
      <c r="C67" s="9" t="s">
        <v>787</v>
      </c>
      <c r="D67" s="9" t="s">
        <v>788</v>
      </c>
      <c r="E67" s="9" t="s">
        <v>789</v>
      </c>
      <c r="F67" s="9" t="s">
        <v>790</v>
      </c>
      <c r="G67" s="9" t="s">
        <v>791</v>
      </c>
      <c r="L67" s="31">
        <f>$I$15*$L$15</f>
        <v>0</v>
      </c>
      <c r="M67" s="31">
        <f>$I$15*$M$15</f>
        <v>3.522204324238281E-10</v>
      </c>
      <c r="N67" s="31">
        <f ca="1">$I$15*$N$15</f>
        <v>1.2004803649349706E-9</v>
      </c>
      <c r="O67" s="31">
        <f>$I$15*$O$15</f>
        <v>0</v>
      </c>
      <c r="P67" s="31">
        <f>$I$15*$P$15</f>
        <v>0</v>
      </c>
      <c r="Q67" s="31">
        <f>$I$15*$Q$15</f>
        <v>0</v>
      </c>
      <c r="R67" s="31">
        <f>$I$15*$R$15</f>
        <v>0</v>
      </c>
      <c r="S67" s="31">
        <f>$I$15*$S$15</f>
        <v>0</v>
      </c>
      <c r="T67" s="31">
        <f>$I$15*$T$15</f>
        <v>0</v>
      </c>
      <c r="U67" s="31">
        <f>$I$15*$U$15</f>
        <v>0</v>
      </c>
      <c r="V67" s="31">
        <f>$I$15*$V$15</f>
        <v>0</v>
      </c>
      <c r="W67" s="31">
        <f>$I$15*$W$15</f>
        <v>0</v>
      </c>
      <c r="X67" s="31">
        <f>$I$15*$X$15</f>
        <v>0</v>
      </c>
      <c r="Y67" s="31">
        <f>$I$15*$Y$15</f>
        <v>0</v>
      </c>
      <c r="Z67" s="31">
        <f>$I$15*$Z$15</f>
        <v>0</v>
      </c>
      <c r="AA67" s="31">
        <f>$I$15*$AA$15</f>
        <v>9.0508323804178519E-8</v>
      </c>
      <c r="AB67" s="31">
        <f ca="1">$I$15*$AB$15</f>
        <v>0</v>
      </c>
      <c r="AC67" s="31">
        <f ca="1">$I$15*$AC$15</f>
        <v>0</v>
      </c>
      <c r="AD67" s="31">
        <f>$I$15*$AD$15</f>
        <v>0</v>
      </c>
      <c r="AE67" s="31">
        <f>$I$15*$AE$15</f>
        <v>0</v>
      </c>
      <c r="AF67" s="31">
        <f ca="1">$I$15*$AF$15</f>
        <v>0</v>
      </c>
      <c r="AG67" s="31">
        <f ca="1">$I$15*$AG$15</f>
        <v>0</v>
      </c>
      <c r="AI67" s="31">
        <f>$I$15*$AI$15</f>
        <v>0</v>
      </c>
      <c r="AJ67" s="31">
        <f>$I$15*$AJ$15</f>
        <v>2.2009016826146699E-10</v>
      </c>
      <c r="AK67" s="31">
        <f>$I$15*$AK$15</f>
        <v>7.9142679038558207E-10</v>
      </c>
      <c r="AL67" s="31">
        <f>$I$15*$AL$15</f>
        <v>0</v>
      </c>
      <c r="AM67" s="31">
        <f>$I$15*$AM$15</f>
        <v>0</v>
      </c>
      <c r="AN67" s="31">
        <f>$I$15*$AN$15</f>
        <v>0</v>
      </c>
      <c r="AO67" s="31">
        <f>$I$15*$AO$15</f>
        <v>0</v>
      </c>
      <c r="AP67" s="31">
        <f>$I$15*$AP$15</f>
        <v>0</v>
      </c>
      <c r="AQ67" s="31">
        <f>$I$15*$AQ$15</f>
        <v>0</v>
      </c>
      <c r="AR67" s="31">
        <f>$I$15*$AR$15</f>
        <v>0</v>
      </c>
      <c r="AS67" s="31">
        <f>$I$15*$AS$15</f>
        <v>0</v>
      </c>
      <c r="AT67" s="31">
        <f>$I$15*$AT$15</f>
        <v>0</v>
      </c>
      <c r="AU67" s="31">
        <f>$I$15*$AU$15</f>
        <v>0</v>
      </c>
      <c r="AV67" s="31">
        <f>$I$15*$AV$15</f>
        <v>0</v>
      </c>
      <c r="AW67" s="31">
        <f>$I$15*$AW$15</f>
        <v>0</v>
      </c>
      <c r="AX67" s="31">
        <f>$I$15*$AX$15</f>
        <v>6.3101968121493504E-8</v>
      </c>
      <c r="AY67" s="31">
        <f>$I$15*$AY$15</f>
        <v>0</v>
      </c>
      <c r="AZ67" s="31">
        <f>$I$15*$AZ$15</f>
        <v>0</v>
      </c>
      <c r="BA67" s="31">
        <f>$I$15*$BA$15</f>
        <v>0</v>
      </c>
      <c r="BB67" s="31">
        <f>$I$15*$BB$15</f>
        <v>0</v>
      </c>
      <c r="BC67" s="31">
        <f>$I$15*$BC$15</f>
        <v>0</v>
      </c>
      <c r="BD67" s="31">
        <f>$I$15*$BD$15</f>
        <v>0</v>
      </c>
    </row>
    <row r="68" spans="1:56" ht="11.25" customHeight="1" x14ac:dyDescent="0.25">
      <c r="A68" s="9" t="s">
        <v>84</v>
      </c>
      <c r="B68" s="9" t="s">
        <v>786</v>
      </c>
      <c r="C68" s="9" t="s">
        <v>787</v>
      </c>
      <c r="D68" s="9" t="s">
        <v>788</v>
      </c>
      <c r="E68" s="9" t="s">
        <v>792</v>
      </c>
      <c r="F68" s="9" t="s">
        <v>793</v>
      </c>
      <c r="G68" s="9" t="s">
        <v>794</v>
      </c>
      <c r="L68" s="31">
        <f>$I$16*$L$16</f>
        <v>0</v>
      </c>
      <c r="M68" s="31">
        <f>$I$16*$M$16</f>
        <v>3.522204324238281E-10</v>
      </c>
      <c r="N68" s="31">
        <f ca="1">$I$16*$N$16</f>
        <v>1.2004803649349706E-9</v>
      </c>
      <c r="O68" s="31">
        <f>$I$16*$O$16</f>
        <v>0</v>
      </c>
      <c r="P68" s="31">
        <f>$I$16*$P$16</f>
        <v>0</v>
      </c>
      <c r="Q68" s="31">
        <f>$I$16*$Q$16</f>
        <v>0</v>
      </c>
      <c r="R68" s="31">
        <f>$I$16*$R$16</f>
        <v>0</v>
      </c>
      <c r="S68" s="31">
        <f>$I$16*$S$16</f>
        <v>0</v>
      </c>
      <c r="T68" s="31">
        <f>$I$16*$T$16</f>
        <v>0</v>
      </c>
      <c r="U68" s="31">
        <f>$I$16*$U$16</f>
        <v>0</v>
      </c>
      <c r="V68" s="31">
        <f>$I$16*$V$16</f>
        <v>0</v>
      </c>
      <c r="W68" s="31">
        <f>$I$16*$W$16</f>
        <v>0</v>
      </c>
      <c r="X68" s="31">
        <f>$I$16*$X$16</f>
        <v>0</v>
      </c>
      <c r="Y68" s="31">
        <f>$I$16*$Y$16</f>
        <v>0</v>
      </c>
      <c r="Z68" s="31">
        <f>$I$16*$Z$16</f>
        <v>0</v>
      </c>
      <c r="AA68" s="31">
        <f>$I$16*$AA$16</f>
        <v>1.441975611453958E-7</v>
      </c>
      <c r="AB68" s="31">
        <f ca="1">$I$16*$AB$16</f>
        <v>0</v>
      </c>
      <c r="AC68" s="31">
        <f ca="1">$I$16*$AC$16</f>
        <v>0</v>
      </c>
      <c r="AD68" s="31">
        <f>$I$16*$AD$16</f>
        <v>0</v>
      </c>
      <c r="AE68" s="31">
        <f>$I$16*$AE$16</f>
        <v>0</v>
      </c>
      <c r="AF68" s="31">
        <f ca="1">$I$16*$AF$16</f>
        <v>0</v>
      </c>
      <c r="AG68" s="31">
        <f ca="1">$I$16*$AG$16</f>
        <v>0</v>
      </c>
      <c r="AI68" s="31">
        <f>$I$16*$AI$16</f>
        <v>0</v>
      </c>
      <c r="AJ68" s="31">
        <f>$I$16*$AJ$16</f>
        <v>2.2009016826146699E-10</v>
      </c>
      <c r="AK68" s="31">
        <f>$I$16*$AK$16</f>
        <v>7.9142679038558207E-10</v>
      </c>
      <c r="AL68" s="31">
        <f>$I$16*$AL$16</f>
        <v>0</v>
      </c>
      <c r="AM68" s="31">
        <f>$I$16*$AM$16</f>
        <v>0</v>
      </c>
      <c r="AN68" s="31">
        <f>$I$16*$AN$16</f>
        <v>0</v>
      </c>
      <c r="AO68" s="31">
        <f>$I$16*$AO$16</f>
        <v>0</v>
      </c>
      <c r="AP68" s="31">
        <f>$I$16*$AP$16</f>
        <v>0</v>
      </c>
      <c r="AQ68" s="31">
        <f>$I$16*$AQ$16</f>
        <v>0</v>
      </c>
      <c r="AR68" s="31">
        <f>$I$16*$AR$16</f>
        <v>0</v>
      </c>
      <c r="AS68" s="31">
        <f>$I$16*$AS$16</f>
        <v>0</v>
      </c>
      <c r="AT68" s="31">
        <f>$I$16*$AT$16</f>
        <v>0</v>
      </c>
      <c r="AU68" s="31">
        <f>$I$16*$AU$16</f>
        <v>0</v>
      </c>
      <c r="AV68" s="31">
        <f>$I$16*$AV$16</f>
        <v>0</v>
      </c>
      <c r="AW68" s="31">
        <f>$I$16*$AW$16</f>
        <v>0</v>
      </c>
      <c r="AX68" s="31">
        <f>$I$16*$AX$16</f>
        <v>1.0628220901149801E-7</v>
      </c>
      <c r="AY68" s="31">
        <f>$I$16*$AY$16</f>
        <v>0</v>
      </c>
      <c r="AZ68" s="31">
        <f>$I$16*$AZ$16</f>
        <v>0</v>
      </c>
      <c r="BA68" s="31">
        <f>$I$16*$BA$16</f>
        <v>0</v>
      </c>
      <c r="BB68" s="31">
        <f>$I$16*$BB$16</f>
        <v>0</v>
      </c>
      <c r="BC68" s="31">
        <f>$I$16*$BC$16</f>
        <v>0</v>
      </c>
      <c r="BD68" s="31">
        <f>$I$16*$BD$16</f>
        <v>0</v>
      </c>
    </row>
    <row r="69" spans="1:56" ht="11.25" customHeight="1" x14ac:dyDescent="0.25">
      <c r="A69" s="9" t="s">
        <v>22</v>
      </c>
      <c r="B69" s="9" t="s">
        <v>795</v>
      </c>
      <c r="C69" s="9" t="s">
        <v>796</v>
      </c>
      <c r="D69" s="9" t="s">
        <v>797</v>
      </c>
      <c r="E69" s="9" t="s">
        <v>798</v>
      </c>
      <c r="F69" s="9" t="s">
        <v>799</v>
      </c>
      <c r="G69" s="9" t="s">
        <v>800</v>
      </c>
      <c r="L69" s="31">
        <f>$I$17*$L$17</f>
        <v>0</v>
      </c>
      <c r="M69" s="31">
        <f>$I$17*$M$17</f>
        <v>0</v>
      </c>
      <c r="N69" s="31">
        <f ca="1">$I$17*$N$17</f>
        <v>0</v>
      </c>
      <c r="O69" s="31">
        <f>$I$17*$O$17</f>
        <v>0</v>
      </c>
      <c r="P69" s="31">
        <f>$I$17*$P$17</f>
        <v>0</v>
      </c>
      <c r="Q69" s="31">
        <f>$I$17*$Q$17</f>
        <v>0</v>
      </c>
      <c r="R69" s="31">
        <f>$I$17*$R$17</f>
        <v>0</v>
      </c>
      <c r="S69" s="31">
        <f>$I$17*$S$17</f>
        <v>0</v>
      </c>
      <c r="T69" s="31">
        <f>$I$17*$T$17</f>
        <v>0</v>
      </c>
      <c r="U69" s="31">
        <f>$I$17*$U$17</f>
        <v>0</v>
      </c>
      <c r="V69" s="31">
        <f>$I$17*$V$17</f>
        <v>0</v>
      </c>
      <c r="W69" s="31">
        <f>$I$17*$W$17</f>
        <v>0</v>
      </c>
      <c r="X69" s="31">
        <f>$I$17*$X$17</f>
        <v>0</v>
      </c>
      <c r="Y69" s="31">
        <f>$I$17*$Y$17</f>
        <v>0</v>
      </c>
      <c r="Z69" s="31">
        <f>$I$17*$Z$17</f>
        <v>0</v>
      </c>
      <c r="AA69" s="31">
        <f>$I$17*$AA$17</f>
        <v>0</v>
      </c>
      <c r="AB69" s="31">
        <f ca="1">$I$17*$AB$17</f>
        <v>0</v>
      </c>
      <c r="AC69" s="31">
        <f ca="1">$I$17*$AC$17</f>
        <v>0</v>
      </c>
      <c r="AD69" s="31">
        <f>$I$17*$AD$17</f>
        <v>0</v>
      </c>
      <c r="AE69" s="31">
        <f>$I$17*$AE$17</f>
        <v>0</v>
      </c>
      <c r="AF69" s="31">
        <f ca="1">$I$17*$AF$17</f>
        <v>0</v>
      </c>
      <c r="AG69" s="31">
        <f ca="1">$I$17*$AG$17</f>
        <v>0</v>
      </c>
      <c r="AI69" s="31">
        <f>$I$17*$AI$17</f>
        <v>0</v>
      </c>
      <c r="AJ69" s="31">
        <f>$I$17*$AJ$17</f>
        <v>0</v>
      </c>
      <c r="AK69" s="31">
        <f>$I$17*$AK$17</f>
        <v>0</v>
      </c>
      <c r="AL69" s="31">
        <f>$I$17*$AL$17</f>
        <v>0</v>
      </c>
      <c r="AM69" s="31">
        <f>$I$17*$AM$17</f>
        <v>0</v>
      </c>
      <c r="AN69" s="31">
        <f>$I$17*$AN$17</f>
        <v>0</v>
      </c>
      <c r="AO69" s="31">
        <f>$I$17*$AO$17</f>
        <v>0</v>
      </c>
      <c r="AP69" s="31">
        <f>$I$17*$AP$17</f>
        <v>0</v>
      </c>
      <c r="AQ69" s="31">
        <f>$I$17*$AQ$17</f>
        <v>0</v>
      </c>
      <c r="AR69" s="31">
        <f>$I$17*$AR$17</f>
        <v>0</v>
      </c>
      <c r="AS69" s="31">
        <f>$I$17*$AS$17</f>
        <v>0</v>
      </c>
      <c r="AT69" s="31">
        <f>$I$17*$AT$17</f>
        <v>0</v>
      </c>
      <c r="AU69" s="31">
        <f>$I$17*$AU$17</f>
        <v>0</v>
      </c>
      <c r="AV69" s="31">
        <f>$I$17*$AV$17</f>
        <v>0</v>
      </c>
      <c r="AW69" s="31">
        <f>$I$17*$AW$17</f>
        <v>0</v>
      </c>
      <c r="AX69" s="31">
        <f>$I$17*$AX$17</f>
        <v>0</v>
      </c>
      <c r="AY69" s="31">
        <f>$I$17*$AY$17</f>
        <v>0</v>
      </c>
      <c r="AZ69" s="31">
        <f>$I$17*$AZ$17</f>
        <v>0</v>
      </c>
      <c r="BA69" s="31">
        <f>$I$17*$BA$17</f>
        <v>0</v>
      </c>
      <c r="BB69" s="31">
        <f>$I$17*$BB$17</f>
        <v>0</v>
      </c>
      <c r="BC69" s="31">
        <f>$I$17*$BC$17</f>
        <v>0</v>
      </c>
      <c r="BD69" s="31">
        <f>$I$17*$BD$17</f>
        <v>0</v>
      </c>
    </row>
    <row r="70" spans="1:56" ht="11.25" customHeight="1" x14ac:dyDescent="0.25">
      <c r="A70" s="9" t="s">
        <v>22</v>
      </c>
      <c r="B70" s="9" t="s">
        <v>795</v>
      </c>
      <c r="C70" s="9" t="s">
        <v>796</v>
      </c>
      <c r="D70" s="9" t="s">
        <v>797</v>
      </c>
      <c r="E70" s="9" t="s">
        <v>798</v>
      </c>
      <c r="F70" s="9" t="s">
        <v>799</v>
      </c>
      <c r="G70" s="9" t="s">
        <v>801</v>
      </c>
      <c r="L70" s="31">
        <f>$I$18*$L$18</f>
        <v>0</v>
      </c>
      <c r="M70" s="31">
        <f>$I$18*$M$18</f>
        <v>0</v>
      </c>
      <c r="N70" s="31">
        <f ca="1">$I$18*$N$18</f>
        <v>0</v>
      </c>
      <c r="O70" s="31">
        <f>$I$18*$O$18</f>
        <v>0</v>
      </c>
      <c r="P70" s="31">
        <f>$I$18*$P$18</f>
        <v>0</v>
      </c>
      <c r="Q70" s="31">
        <f>$I$18*$Q$18</f>
        <v>0</v>
      </c>
      <c r="R70" s="31">
        <f>$I$18*$R$18</f>
        <v>0</v>
      </c>
      <c r="S70" s="31">
        <f>$I$18*$S$18</f>
        <v>0</v>
      </c>
      <c r="T70" s="31">
        <f>$I$18*$T$18</f>
        <v>0</v>
      </c>
      <c r="U70" s="31">
        <f>$I$18*$U$18</f>
        <v>0</v>
      </c>
      <c r="V70" s="31">
        <f>$I$18*$V$18</f>
        <v>0</v>
      </c>
      <c r="W70" s="31">
        <f>$I$18*$W$18</f>
        <v>0</v>
      </c>
      <c r="X70" s="31">
        <f>$I$18*$X$18</f>
        <v>0</v>
      </c>
      <c r="Y70" s="31">
        <f>$I$18*$Y$18</f>
        <v>0</v>
      </c>
      <c r="Z70" s="31">
        <f>$I$18*$Z$18</f>
        <v>0</v>
      </c>
      <c r="AA70" s="31">
        <f>$I$18*$AA$18</f>
        <v>0</v>
      </c>
      <c r="AB70" s="31">
        <f ca="1">$I$18*$AB$18</f>
        <v>0</v>
      </c>
      <c r="AC70" s="31">
        <f ca="1">$I$18*$AC$18</f>
        <v>0</v>
      </c>
      <c r="AD70" s="31">
        <f>$I$18*$AD$18</f>
        <v>0</v>
      </c>
      <c r="AE70" s="31">
        <f>$I$18*$AE$18</f>
        <v>0</v>
      </c>
      <c r="AF70" s="31">
        <f ca="1">$I$18*$AF$18</f>
        <v>0</v>
      </c>
      <c r="AG70" s="31">
        <f ca="1">$I$18*$AG$18</f>
        <v>0</v>
      </c>
      <c r="AI70" s="31">
        <f>$I$18*$AI$18</f>
        <v>0</v>
      </c>
      <c r="AJ70" s="31">
        <f>$I$18*$AJ$18</f>
        <v>0</v>
      </c>
      <c r="AK70" s="31">
        <f>$I$18*$AK$18</f>
        <v>0</v>
      </c>
      <c r="AL70" s="31">
        <f>$I$18*$AL$18</f>
        <v>0</v>
      </c>
      <c r="AM70" s="31">
        <f>$I$18*$AM$18</f>
        <v>0</v>
      </c>
      <c r="AN70" s="31">
        <f>$I$18*$AN$18</f>
        <v>0</v>
      </c>
      <c r="AO70" s="31">
        <f>$I$18*$AO$18</f>
        <v>0</v>
      </c>
      <c r="AP70" s="31">
        <f>$I$18*$AP$18</f>
        <v>0</v>
      </c>
      <c r="AQ70" s="31">
        <f>$I$18*$AQ$18</f>
        <v>0</v>
      </c>
      <c r="AR70" s="31">
        <f>$I$18*$AR$18</f>
        <v>0</v>
      </c>
      <c r="AS70" s="31">
        <f>$I$18*$AS$18</f>
        <v>0</v>
      </c>
      <c r="AT70" s="31">
        <f>$I$18*$AT$18</f>
        <v>0</v>
      </c>
      <c r="AU70" s="31">
        <f>$I$18*$AU$18</f>
        <v>0</v>
      </c>
      <c r="AV70" s="31">
        <f>$I$18*$AV$18</f>
        <v>0</v>
      </c>
      <c r="AW70" s="31">
        <f>$I$18*$AW$18</f>
        <v>0</v>
      </c>
      <c r="AX70" s="31">
        <f>$I$18*$AX$18</f>
        <v>0</v>
      </c>
      <c r="AY70" s="31">
        <f>$I$18*$AY$18</f>
        <v>0</v>
      </c>
      <c r="AZ70" s="31">
        <f>$I$18*$AZ$18</f>
        <v>0</v>
      </c>
      <c r="BA70" s="31">
        <f>$I$18*$BA$18</f>
        <v>0</v>
      </c>
      <c r="BB70" s="31">
        <f>$I$18*$BB$18</f>
        <v>0</v>
      </c>
      <c r="BC70" s="31">
        <f>$I$18*$BC$18</f>
        <v>0</v>
      </c>
      <c r="BD70" s="31">
        <f>$I$18*$BD$18</f>
        <v>0</v>
      </c>
    </row>
    <row r="71" spans="1:56" ht="11.25" customHeight="1" x14ac:dyDescent="0.25">
      <c r="A71" s="9" t="s">
        <v>22</v>
      </c>
      <c r="B71" s="9" t="s">
        <v>795</v>
      </c>
      <c r="C71" s="9" t="s">
        <v>796</v>
      </c>
      <c r="D71" s="9" t="s">
        <v>797</v>
      </c>
      <c r="E71" s="9" t="s">
        <v>798</v>
      </c>
      <c r="F71" s="9" t="s">
        <v>799</v>
      </c>
      <c r="G71" s="9" t="s">
        <v>802</v>
      </c>
      <c r="L71" s="31">
        <f>$I$19*$L$19</f>
        <v>0</v>
      </c>
      <c r="M71" s="31">
        <f>$I$19*$M$19</f>
        <v>0</v>
      </c>
      <c r="N71" s="31">
        <f ca="1">$I$19*$N$19</f>
        <v>0</v>
      </c>
      <c r="O71" s="31">
        <f>$I$19*$O$19</f>
        <v>0</v>
      </c>
      <c r="P71" s="31">
        <f>$I$19*$P$19</f>
        <v>0</v>
      </c>
      <c r="Q71" s="31">
        <f>$I$19*$Q$19</f>
        <v>0</v>
      </c>
      <c r="R71" s="31">
        <f>$I$19*$R$19</f>
        <v>0</v>
      </c>
      <c r="S71" s="31">
        <f>$I$19*$S$19</f>
        <v>0</v>
      </c>
      <c r="T71" s="31">
        <f>$I$19*$T$19</f>
        <v>0</v>
      </c>
      <c r="U71" s="31">
        <f>$I$19*$U$19</f>
        <v>0</v>
      </c>
      <c r="V71" s="31">
        <f>$I$19*$V$19</f>
        <v>0</v>
      </c>
      <c r="W71" s="31">
        <f>$I$19*$W$19</f>
        <v>0</v>
      </c>
      <c r="X71" s="31">
        <f>$I$19*$X$19</f>
        <v>0</v>
      </c>
      <c r="Y71" s="31">
        <f>$I$19*$Y$19</f>
        <v>0</v>
      </c>
      <c r="Z71" s="31">
        <f>$I$19*$Z$19</f>
        <v>0</v>
      </c>
      <c r="AA71" s="31">
        <f>$I$19*$AA$19</f>
        <v>0</v>
      </c>
      <c r="AB71" s="31">
        <f ca="1">$I$19*$AB$19</f>
        <v>0</v>
      </c>
      <c r="AC71" s="31">
        <f ca="1">$I$19*$AC$19</f>
        <v>0</v>
      </c>
      <c r="AD71" s="31">
        <f>$I$19*$AD$19</f>
        <v>0</v>
      </c>
      <c r="AE71" s="31">
        <f>$I$19*$AE$19</f>
        <v>0</v>
      </c>
      <c r="AF71" s="31">
        <f ca="1">$I$19*$AF$19</f>
        <v>0</v>
      </c>
      <c r="AG71" s="31">
        <f ca="1">$I$19*$AG$19</f>
        <v>0</v>
      </c>
      <c r="AI71" s="31">
        <f>$I$19*$AI$19</f>
        <v>0</v>
      </c>
      <c r="AJ71" s="31">
        <f>$I$19*$AJ$19</f>
        <v>0</v>
      </c>
      <c r="AK71" s="31">
        <f>$I$19*$AK$19</f>
        <v>0</v>
      </c>
      <c r="AL71" s="31">
        <f>$I$19*$AL$19</f>
        <v>0</v>
      </c>
      <c r="AM71" s="31">
        <f>$I$19*$AM$19</f>
        <v>0</v>
      </c>
      <c r="AN71" s="31">
        <f>$I$19*$AN$19</f>
        <v>0</v>
      </c>
      <c r="AO71" s="31">
        <f>$I$19*$AO$19</f>
        <v>0</v>
      </c>
      <c r="AP71" s="31">
        <f>$I$19*$AP$19</f>
        <v>0</v>
      </c>
      <c r="AQ71" s="31">
        <f>$I$19*$AQ$19</f>
        <v>0</v>
      </c>
      <c r="AR71" s="31">
        <f>$I$19*$AR$19</f>
        <v>0</v>
      </c>
      <c r="AS71" s="31">
        <f>$I$19*$AS$19</f>
        <v>0</v>
      </c>
      <c r="AT71" s="31">
        <f>$I$19*$AT$19</f>
        <v>0</v>
      </c>
      <c r="AU71" s="31">
        <f>$I$19*$AU$19</f>
        <v>0</v>
      </c>
      <c r="AV71" s="31">
        <f>$I$19*$AV$19</f>
        <v>0</v>
      </c>
      <c r="AW71" s="31">
        <f>$I$19*$AW$19</f>
        <v>0</v>
      </c>
      <c r="AX71" s="31">
        <f>$I$19*$AX$19</f>
        <v>0</v>
      </c>
      <c r="AY71" s="31">
        <f>$I$19*$AY$19</f>
        <v>0</v>
      </c>
      <c r="AZ71" s="31">
        <f>$I$19*$AZ$19</f>
        <v>0</v>
      </c>
      <c r="BA71" s="31">
        <f>$I$19*$BA$19</f>
        <v>0</v>
      </c>
      <c r="BB71" s="31">
        <f>$I$19*$BB$19</f>
        <v>0</v>
      </c>
      <c r="BC71" s="31">
        <f>$I$19*$BC$19</f>
        <v>0</v>
      </c>
      <c r="BD71" s="31">
        <f>$I$19*$BD$19</f>
        <v>0</v>
      </c>
    </row>
    <row r="72" spans="1:56" ht="11.25" customHeight="1" x14ac:dyDescent="0.25">
      <c r="A72" s="9" t="s">
        <v>22</v>
      </c>
      <c r="B72" s="9" t="s">
        <v>803</v>
      </c>
      <c r="C72" s="9" t="s">
        <v>804</v>
      </c>
      <c r="D72" s="9" t="s">
        <v>805</v>
      </c>
      <c r="E72" s="9" t="s">
        <v>806</v>
      </c>
      <c r="F72" s="9" t="s">
        <v>807</v>
      </c>
      <c r="G72" s="9" t="s">
        <v>808</v>
      </c>
      <c r="L72" s="31">
        <f>$I$20*$L$20</f>
        <v>0</v>
      </c>
      <c r="M72" s="31">
        <f>$I$20*$M$20</f>
        <v>51918.486633364133</v>
      </c>
      <c r="N72" s="31">
        <f ca="1">$I$20*$N$20</f>
        <v>273818.92721530446</v>
      </c>
      <c r="O72" s="31">
        <f>$I$20*$O$20</f>
        <v>0</v>
      </c>
      <c r="P72" s="31">
        <f>$I$20*$P$20</f>
        <v>0</v>
      </c>
      <c r="Q72" s="31">
        <f>$I$20*$Q$20</f>
        <v>7296847.7547171414</v>
      </c>
      <c r="R72" s="31">
        <f>$I$20*$R$20</f>
        <v>1163810.1784675494</v>
      </c>
      <c r="S72" s="31">
        <f>$I$20*$S$20</f>
        <v>0</v>
      </c>
      <c r="T72" s="31">
        <f>$I$20*$T$20</f>
        <v>0</v>
      </c>
      <c r="U72" s="31">
        <f>$I$20*$U$20</f>
        <v>0</v>
      </c>
      <c r="V72" s="31">
        <f>$I$20*$V$20</f>
        <v>0</v>
      </c>
      <c r="W72" s="31">
        <f>$I$20*$W$20</f>
        <v>0</v>
      </c>
      <c r="X72" s="31">
        <f>$I$20*$X$20</f>
        <v>7005288.2508559274</v>
      </c>
      <c r="Y72" s="31">
        <f>$I$20*$Y$20</f>
        <v>0</v>
      </c>
      <c r="Z72" s="31">
        <f>$I$20*$Z$20</f>
        <v>0</v>
      </c>
      <c r="AA72" s="31">
        <f>$I$20*$AA$20</f>
        <v>11163281.641676111</v>
      </c>
      <c r="AB72" s="31">
        <f ca="1">$I$20*$AB$20</f>
        <v>0</v>
      </c>
      <c r="AC72" s="31">
        <f ca="1">$I$20*$AC$20</f>
        <v>0</v>
      </c>
      <c r="AD72" s="31">
        <f>$I$20*$AD$20</f>
        <v>1332107.0520247193</v>
      </c>
      <c r="AE72" s="31">
        <f>$I$20*$AE$20</f>
        <v>28821.102222289228</v>
      </c>
      <c r="AF72" s="31">
        <f ca="1">$I$20*$AF$20</f>
        <v>23080.637432513486</v>
      </c>
      <c r="AG72" s="31">
        <f ca="1">$I$20*$AG$20</f>
        <v>25216.276492893492</v>
      </c>
      <c r="AI72" s="31">
        <f>$I$20*$AI$20</f>
        <v>0</v>
      </c>
      <c r="AJ72" s="31">
        <f>$I$20*$AJ$20</f>
        <v>43891.971235275676</v>
      </c>
      <c r="AK72" s="31">
        <f>$I$20*$AK$20</f>
        <v>237687.13612985931</v>
      </c>
      <c r="AL72" s="31">
        <f>$I$20*$AL$20</f>
        <v>0</v>
      </c>
      <c r="AM72" s="31">
        <f>$I$20*$AM$20</f>
        <v>0</v>
      </c>
      <c r="AN72" s="31">
        <f>$I$20*$AN$20</f>
        <v>3968566.0442212895</v>
      </c>
      <c r="AO72" s="31">
        <f>$I$20*$AO$20</f>
        <v>675389.73848087562</v>
      </c>
      <c r="AP72" s="31">
        <f>$I$20*$AP$20</f>
        <v>0</v>
      </c>
      <c r="AQ72" s="31">
        <f>$I$20*$AQ$20</f>
        <v>0</v>
      </c>
      <c r="AR72" s="31">
        <f>$I$20*$AR$20</f>
        <v>0</v>
      </c>
      <c r="AS72" s="31">
        <f>$I$20*$AS$20</f>
        <v>0</v>
      </c>
      <c r="AT72" s="31">
        <f>$I$20*$AT$20</f>
        <v>0</v>
      </c>
      <c r="AU72" s="31">
        <f>$I$20*$AU$20</f>
        <v>6715906.7138724467</v>
      </c>
      <c r="AV72" s="31">
        <f>$I$20*$AV$20</f>
        <v>0</v>
      </c>
      <c r="AW72" s="31">
        <f>$I$20*$AW$20</f>
        <v>0</v>
      </c>
      <c r="AX72" s="31">
        <f>$I$20*$AX$20</f>
        <v>9682287.299807094</v>
      </c>
      <c r="AY72" s="31">
        <f>$I$20*$AY$20</f>
        <v>0</v>
      </c>
      <c r="AZ72" s="31">
        <f>$I$20*$AZ$20</f>
        <v>0</v>
      </c>
      <c r="BA72" s="31">
        <f>$I$20*$BA$20</f>
        <v>1631010.3886049236</v>
      </c>
      <c r="BB72" s="31">
        <f>$I$20*$BB$20</f>
        <v>0</v>
      </c>
      <c r="BC72" s="31">
        <f>$I$20*$BC$20</f>
        <v>17199.519664679981</v>
      </c>
      <c r="BD72" s="31">
        <f>$I$20*$BD$20</f>
        <v>21151.411540200264</v>
      </c>
    </row>
    <row r="73" spans="1:56" ht="11.25" customHeight="1" x14ac:dyDescent="0.25">
      <c r="A73" s="9" t="s">
        <v>22</v>
      </c>
      <c r="B73" s="9" t="s">
        <v>803</v>
      </c>
      <c r="C73" s="9" t="s">
        <v>804</v>
      </c>
      <c r="D73" s="9" t="s">
        <v>809</v>
      </c>
      <c r="E73" s="9" t="s">
        <v>810</v>
      </c>
      <c r="F73" s="9" t="s">
        <v>811</v>
      </c>
      <c r="G73" s="9" t="s">
        <v>812</v>
      </c>
      <c r="L73" s="31">
        <f>$I$21*$L$21</f>
        <v>0</v>
      </c>
      <c r="M73" s="31">
        <f>$I$21*$M$21</f>
        <v>137.91752230217074</v>
      </c>
      <c r="N73" s="31">
        <f ca="1">$I$21*$N$21</f>
        <v>724.95087306100004</v>
      </c>
      <c r="O73" s="31">
        <f>$I$21*$O$21</f>
        <v>0</v>
      </c>
      <c r="P73" s="31">
        <f>$I$21*$P$21</f>
        <v>0</v>
      </c>
      <c r="Q73" s="31">
        <f>$I$21*$Q$21</f>
        <v>0</v>
      </c>
      <c r="R73" s="31">
        <f>$I$21*$R$21</f>
        <v>0</v>
      </c>
      <c r="S73" s="31">
        <f>$I$21*$S$21</f>
        <v>0</v>
      </c>
      <c r="T73" s="31">
        <f>$I$21*$T$21</f>
        <v>0</v>
      </c>
      <c r="U73" s="31">
        <f>$I$21*$U$21</f>
        <v>0</v>
      </c>
      <c r="V73" s="31">
        <f>$I$21*$V$21</f>
        <v>0</v>
      </c>
      <c r="W73" s="31">
        <f>$I$21*$W$21</f>
        <v>0</v>
      </c>
      <c r="X73" s="31">
        <f>$I$21*$X$21</f>
        <v>18609.016965253439</v>
      </c>
      <c r="Y73" s="31">
        <f>$I$21*$Y$21</f>
        <v>0</v>
      </c>
      <c r="Z73" s="31">
        <f>$I$21*$Z$21</f>
        <v>0</v>
      </c>
      <c r="AA73" s="31">
        <f>$I$21*$AA$21</f>
        <v>29654.411070446811</v>
      </c>
      <c r="AB73" s="31">
        <f ca="1">$I$21*$AB$21</f>
        <v>0</v>
      </c>
      <c r="AC73" s="31">
        <f ca="1">$I$21*$AC$21</f>
        <v>0</v>
      </c>
      <c r="AD73" s="31">
        <f>$I$21*$AD$21</f>
        <v>3538.6413582100531</v>
      </c>
      <c r="AE73" s="31">
        <f>$I$21*$AE$21</f>
        <v>76.561072293685143</v>
      </c>
      <c r="AF73" s="31">
        <f ca="1">$I$21*$AF$21</f>
        <v>61.311962930009109</v>
      </c>
      <c r="AG73" s="31">
        <f ca="1">$I$21*$AG$21</f>
        <v>66.985126129455423</v>
      </c>
      <c r="AI73" s="31">
        <f>$I$21*$AI$21</f>
        <v>0</v>
      </c>
      <c r="AJ73" s="31">
        <f>$I$21*$AJ$21</f>
        <v>116.59569286900674</v>
      </c>
      <c r="AK73" s="31">
        <f>$I$21*$AK$21</f>
        <v>628.89257650972911</v>
      </c>
      <c r="AL73" s="31">
        <f>$I$21*$AL$21</f>
        <v>0</v>
      </c>
      <c r="AM73" s="31">
        <f>$I$21*$AM$21</f>
        <v>0</v>
      </c>
      <c r="AN73" s="31">
        <f>$I$21*$AN$21</f>
        <v>0</v>
      </c>
      <c r="AO73" s="31">
        <f>$I$21*$AO$21</f>
        <v>0</v>
      </c>
      <c r="AP73" s="31">
        <f>$I$21*$AP$21</f>
        <v>0</v>
      </c>
      <c r="AQ73" s="31">
        <f>$I$21*$AQ$21</f>
        <v>0</v>
      </c>
      <c r="AR73" s="31">
        <f>$I$21*$AR$21</f>
        <v>0</v>
      </c>
      <c r="AS73" s="31">
        <f>$I$21*$AS$21</f>
        <v>0</v>
      </c>
      <c r="AT73" s="31">
        <f>$I$21*$AT$21</f>
        <v>0</v>
      </c>
      <c r="AU73" s="31">
        <f>$I$21*$AU$21</f>
        <v>17840.296858625599</v>
      </c>
      <c r="AV73" s="31">
        <f>$I$21*$AV$21</f>
        <v>0</v>
      </c>
      <c r="AW73" s="31">
        <f>$I$21*$AW$21</f>
        <v>0</v>
      </c>
      <c r="AX73" s="31">
        <f>$I$21*$AX$21</f>
        <v>25720.261918209235</v>
      </c>
      <c r="AY73" s="31">
        <f>$I$21*$AY$21</f>
        <v>0</v>
      </c>
      <c r="AZ73" s="31">
        <f>$I$21*$AZ$21</f>
        <v>0</v>
      </c>
      <c r="BA73" s="31">
        <f>$I$21*$BA$21</f>
        <v>4332.655403344068</v>
      </c>
      <c r="BB73" s="31">
        <f>$I$21*$BB$21</f>
        <v>0</v>
      </c>
      <c r="BC73" s="31">
        <f>$I$21*$BC$21</f>
        <v>45.689219597085597</v>
      </c>
      <c r="BD73" s="31">
        <f>$I$21*$BD$21</f>
        <v>56.1871206573907</v>
      </c>
    </row>
    <row r="74" spans="1:56" ht="11.25" customHeight="1" x14ac:dyDescent="0.25">
      <c r="A74" s="9" t="s">
        <v>22</v>
      </c>
      <c r="B74" s="9" t="s">
        <v>803</v>
      </c>
      <c r="C74" s="9" t="s">
        <v>804</v>
      </c>
      <c r="D74" s="9" t="s">
        <v>813</v>
      </c>
      <c r="E74" s="9" t="s">
        <v>814</v>
      </c>
      <c r="F74" s="9" t="s">
        <v>815</v>
      </c>
      <c r="G74" s="9" t="s">
        <v>816</v>
      </c>
      <c r="L74" s="31">
        <f>$I$22*$L$22</f>
        <v>0</v>
      </c>
      <c r="M74" s="31">
        <f>$I$22*$M$22</f>
        <v>494.49676347365198</v>
      </c>
      <c r="N74" s="31">
        <f ca="1">$I$22*$N$22</f>
        <v>2599.2771217324898</v>
      </c>
      <c r="O74" s="31">
        <f>$I$22*$O$22</f>
        <v>0</v>
      </c>
      <c r="P74" s="31">
        <f>$I$22*$P$22</f>
        <v>0</v>
      </c>
      <c r="Q74" s="31">
        <f>$I$22*$Q$22</f>
        <v>0</v>
      </c>
      <c r="R74" s="31">
        <f>$I$22*$R$22</f>
        <v>0</v>
      </c>
      <c r="S74" s="31">
        <f>$I$22*$S$22</f>
        <v>0</v>
      </c>
      <c r="T74" s="31">
        <f>$I$22*$T$22</f>
        <v>0</v>
      </c>
      <c r="U74" s="31">
        <f>$I$22*$U$22</f>
        <v>0</v>
      </c>
      <c r="V74" s="31">
        <f>$I$22*$V$22</f>
        <v>0</v>
      </c>
      <c r="W74" s="31">
        <f>$I$22*$W$22</f>
        <v>0</v>
      </c>
      <c r="X74" s="31">
        <f>$I$22*$X$22</f>
        <v>66721.75157397872</v>
      </c>
      <c r="Y74" s="31">
        <f>$I$22*$Y$22</f>
        <v>0</v>
      </c>
      <c r="Z74" s="31">
        <f>$I$22*$Z$22</f>
        <v>0</v>
      </c>
      <c r="AA74" s="31">
        <f>$I$22*$AA$22</f>
        <v>106324.49055258573</v>
      </c>
      <c r="AB74" s="31">
        <f ca="1">$I$22*$AB$22</f>
        <v>0</v>
      </c>
      <c r="AC74" s="31">
        <f ca="1">$I$22*$AC$22</f>
        <v>0</v>
      </c>
      <c r="AD74" s="31">
        <f>$I$22*$AD$22</f>
        <v>12687.631488151654</v>
      </c>
      <c r="AE74" s="31">
        <f>$I$22*$AE$22</f>
        <v>274.50610934230588</v>
      </c>
      <c r="AF74" s="31">
        <f ca="1">$I$22*$AF$22</f>
        <v>219.83114781223736</v>
      </c>
      <c r="AG74" s="31">
        <f ca="1">$I$22*$AG$22</f>
        <v>240.17200656575829</v>
      </c>
      <c r="AI74" s="31">
        <f>$I$22*$AI$22</f>
        <v>0</v>
      </c>
      <c r="AJ74" s="31">
        <f>$I$22*$AJ$22</f>
        <v>418.04835090040223</v>
      </c>
      <c r="AK74" s="31">
        <f>$I$22*$AK$22</f>
        <v>2254.8646355124724</v>
      </c>
      <c r="AL74" s="31">
        <f>$I$22*$AL$22</f>
        <v>0</v>
      </c>
      <c r="AM74" s="31">
        <f>$I$22*$AM$22</f>
        <v>0</v>
      </c>
      <c r="AN74" s="31">
        <f>$I$22*$AN$22</f>
        <v>0</v>
      </c>
      <c r="AO74" s="31">
        <f>$I$22*$AO$22</f>
        <v>0</v>
      </c>
      <c r="AP74" s="31">
        <f>$I$22*$AP$22</f>
        <v>0</v>
      </c>
      <c r="AQ74" s="31">
        <f>$I$22*$AQ$22</f>
        <v>0</v>
      </c>
      <c r="AR74" s="31">
        <f>$I$22*$AR$22</f>
        <v>0</v>
      </c>
      <c r="AS74" s="31">
        <f>$I$22*$AS$22</f>
        <v>0</v>
      </c>
      <c r="AT74" s="31">
        <f>$I$22*$AT$22</f>
        <v>0</v>
      </c>
      <c r="AU74" s="31">
        <f>$I$22*$AU$22</f>
        <v>63965.541932162938</v>
      </c>
      <c r="AV74" s="31">
        <f>$I$22*$AV$22</f>
        <v>0</v>
      </c>
      <c r="AW74" s="31">
        <f>$I$22*$AW$22</f>
        <v>0</v>
      </c>
      <c r="AX74" s="31">
        <f>$I$22*$AX$22</f>
        <v>92218.784545616043</v>
      </c>
      <c r="AY74" s="31">
        <f>$I$22*$AY$22</f>
        <v>0</v>
      </c>
      <c r="AZ74" s="31">
        <f>$I$22*$AZ$22</f>
        <v>0</v>
      </c>
      <c r="BA74" s="31">
        <f>$I$22*$BA$22</f>
        <v>15534.531352051003</v>
      </c>
      <c r="BB74" s="31">
        <f>$I$22*$BB$22</f>
        <v>0</v>
      </c>
      <c r="BC74" s="31">
        <f>$I$22*$BC$22</f>
        <v>163.81653932917385</v>
      </c>
      <c r="BD74" s="31">
        <f>$I$22*$BD$22</f>
        <v>201.45626784904897</v>
      </c>
    </row>
    <row r="75" spans="1:56" ht="11.25" customHeight="1" x14ac:dyDescent="0.25">
      <c r="A75" s="9" t="s">
        <v>22</v>
      </c>
      <c r="B75" s="9" t="s">
        <v>803</v>
      </c>
      <c r="C75" s="9" t="s">
        <v>804</v>
      </c>
      <c r="D75" s="9" t="s">
        <v>817</v>
      </c>
      <c r="E75" s="9" t="s">
        <v>818</v>
      </c>
      <c r="F75" s="9" t="s">
        <v>819</v>
      </c>
      <c r="G75" s="9" t="s">
        <v>820</v>
      </c>
      <c r="L75" s="31">
        <f>$I$23*$L$23</f>
        <v>0</v>
      </c>
      <c r="M75" s="31">
        <f>$I$23*$M$23</f>
        <v>764.87188258396168</v>
      </c>
      <c r="N75" s="31">
        <f ca="1">$I$23*$N$23</f>
        <v>4020.4792676320167</v>
      </c>
      <c r="O75" s="31">
        <f>$I$23*$O$23</f>
        <v>0</v>
      </c>
      <c r="P75" s="31">
        <f>$I$23*$P$23</f>
        <v>0</v>
      </c>
      <c r="Q75" s="31">
        <f>$I$23*$Q$23</f>
        <v>0</v>
      </c>
      <c r="R75" s="31">
        <f>$I$23*$R$23</f>
        <v>0</v>
      </c>
      <c r="S75" s="31">
        <f>$I$23*$S$23</f>
        <v>0</v>
      </c>
      <c r="T75" s="31">
        <f>$I$23*$T$23</f>
        <v>0</v>
      </c>
      <c r="U75" s="31">
        <f>$I$23*$U$23</f>
        <v>0</v>
      </c>
      <c r="V75" s="31">
        <f>$I$23*$V$23</f>
        <v>0</v>
      </c>
      <c r="W75" s="31">
        <f>$I$23*$W$23</f>
        <v>0</v>
      </c>
      <c r="X75" s="31">
        <f>$I$23*$X$23</f>
        <v>103203.0854503413</v>
      </c>
      <c r="Y75" s="31">
        <f>$I$23*$Y$23</f>
        <v>0</v>
      </c>
      <c r="Z75" s="31">
        <f>$I$23*$Z$23</f>
        <v>0</v>
      </c>
      <c r="AA75" s="31">
        <f>$I$23*$AA$23</f>
        <v>164459.34384375412</v>
      </c>
      <c r="AB75" s="31">
        <f ca="1">$I$23*$AB$23</f>
        <v>0</v>
      </c>
      <c r="AC75" s="31">
        <f ca="1">$I$23*$AC$23</f>
        <v>0</v>
      </c>
      <c r="AD75" s="31">
        <f>$I$23*$AD$23</f>
        <v>19624.825274293591</v>
      </c>
      <c r="AE75" s="31">
        <f>$I$23*$AE$23</f>
        <v>424.5973283192896</v>
      </c>
      <c r="AF75" s="31">
        <f ca="1">$I$23*$AF$23</f>
        <v>340.02783495811121</v>
      </c>
      <c r="AG75" s="31">
        <f ca="1">$I$23*$AG$23</f>
        <v>371.49042900804983</v>
      </c>
      <c r="AI75" s="31">
        <f>$I$23*$AI$23</f>
        <v>0</v>
      </c>
      <c r="AJ75" s="31">
        <f>$I$23*$AJ$23</f>
        <v>646.62390693553755</v>
      </c>
      <c r="AK75" s="31">
        <f>$I$23*$AK$23</f>
        <v>3487.7529766245243</v>
      </c>
      <c r="AL75" s="31">
        <f>$I$23*$AL$23</f>
        <v>0</v>
      </c>
      <c r="AM75" s="31">
        <f>$I$23*$AM$23</f>
        <v>0</v>
      </c>
      <c r="AN75" s="31">
        <f>$I$23*$AN$23</f>
        <v>0</v>
      </c>
      <c r="AO75" s="31">
        <f>$I$23*$AO$23</f>
        <v>0</v>
      </c>
      <c r="AP75" s="31">
        <f>$I$23*$AP$23</f>
        <v>0</v>
      </c>
      <c r="AQ75" s="31">
        <f>$I$23*$AQ$23</f>
        <v>0</v>
      </c>
      <c r="AR75" s="31">
        <f>$I$23*$AR$23</f>
        <v>0</v>
      </c>
      <c r="AS75" s="31">
        <f>$I$23*$AS$23</f>
        <v>0</v>
      </c>
      <c r="AT75" s="31">
        <f>$I$23*$AT$23</f>
        <v>0</v>
      </c>
      <c r="AU75" s="31">
        <f>$I$23*$AU$23</f>
        <v>98939.867946706334</v>
      </c>
      <c r="AV75" s="31">
        <f>$I$23*$AV$23</f>
        <v>0</v>
      </c>
      <c r="AW75" s="31">
        <f>$I$23*$AW$23</f>
        <v>0</v>
      </c>
      <c r="AX75" s="31">
        <f>$I$23*$AX$23</f>
        <v>142641.08595883392</v>
      </c>
      <c r="AY75" s="31">
        <f>$I$23*$AY$23</f>
        <v>0</v>
      </c>
      <c r="AZ75" s="31">
        <f>$I$23*$AZ$23</f>
        <v>0</v>
      </c>
      <c r="BA75" s="31">
        <f>$I$23*$BA$23</f>
        <v>24028.319532036636</v>
      </c>
      <c r="BB75" s="31">
        <f>$I$23*$BB$23</f>
        <v>0</v>
      </c>
      <c r="BC75" s="31">
        <f>$I$23*$BC$23</f>
        <v>253.38621825331987</v>
      </c>
      <c r="BD75" s="31">
        <f>$I$23*$BD$23</f>
        <v>311.60615443795797</v>
      </c>
    </row>
    <row r="76" spans="1:56" ht="11.25" customHeight="1" x14ac:dyDescent="0.25">
      <c r="A76" s="9" t="s">
        <v>22</v>
      </c>
      <c r="B76" s="9" t="s">
        <v>803</v>
      </c>
      <c r="C76" s="9" t="s">
        <v>804</v>
      </c>
      <c r="D76" s="9" t="s">
        <v>821</v>
      </c>
      <c r="E76" s="9" t="s">
        <v>822</v>
      </c>
      <c r="F76" s="9" t="s">
        <v>823</v>
      </c>
      <c r="G76" s="9" t="s">
        <v>824</v>
      </c>
      <c r="L76" s="31">
        <f>$I$24*$L$24</f>
        <v>0</v>
      </c>
      <c r="M76" s="31">
        <f>$I$24*$M$24</f>
        <v>346.91787660103006</v>
      </c>
      <c r="N76" s="31">
        <f ca="1">$I$24*$N$24</f>
        <v>1823.5421672625755</v>
      </c>
      <c r="O76" s="31">
        <f>$I$24*$O$24</f>
        <v>0</v>
      </c>
      <c r="P76" s="31">
        <f>$I$24*$P$24</f>
        <v>0</v>
      </c>
      <c r="Q76" s="31">
        <f>$I$24*$Q$24</f>
        <v>0</v>
      </c>
      <c r="R76" s="31">
        <f>$I$24*$R$24</f>
        <v>0</v>
      </c>
      <c r="S76" s="31">
        <f>$I$24*$S$24</f>
        <v>0</v>
      </c>
      <c r="T76" s="31">
        <f>$I$24*$T$24</f>
        <v>0</v>
      </c>
      <c r="U76" s="31">
        <f>$I$24*$U$24</f>
        <v>0</v>
      </c>
      <c r="V76" s="31">
        <f>$I$24*$V$24</f>
        <v>0</v>
      </c>
      <c r="W76" s="31">
        <f>$I$24*$W$24</f>
        <v>0</v>
      </c>
      <c r="X76" s="31">
        <f>$I$24*$X$24</f>
        <v>46809.140299619903</v>
      </c>
      <c r="Y76" s="31">
        <f>$I$24*$Y$24</f>
        <v>0</v>
      </c>
      <c r="Z76" s="31">
        <f>$I$24*$Z$24</f>
        <v>0</v>
      </c>
      <c r="AA76" s="31">
        <f>$I$24*$AA$24</f>
        <v>74592.735924255845</v>
      </c>
      <c r="AB76" s="31">
        <f ca="1">$I$24*$AB$24</f>
        <v>0</v>
      </c>
      <c r="AC76" s="31">
        <f ca="1">$I$24*$AC$24</f>
        <v>0</v>
      </c>
      <c r="AD76" s="31">
        <f>$I$24*$AD$24</f>
        <v>8901.1020902272594</v>
      </c>
      <c r="AE76" s="31">
        <f>$I$24*$AE$24</f>
        <v>192.58179952095296</v>
      </c>
      <c r="AF76" s="31">
        <f ca="1">$I$24*$AF$24</f>
        <v>154.22417423739529</v>
      </c>
      <c r="AG76" s="31">
        <f ca="1">$I$24*$AG$24</f>
        <v>168.49445474933023</v>
      </c>
      <c r="AI76" s="31">
        <f>$I$24*$AI$24</f>
        <v>0</v>
      </c>
      <c r="AJ76" s="31">
        <f>$I$24*$AJ$24</f>
        <v>293.28492504614206</v>
      </c>
      <c r="AK76" s="31">
        <f>$I$24*$AK$24</f>
        <v>1581.9170299107977</v>
      </c>
      <c r="AL76" s="31">
        <f>$I$24*$AL$24</f>
        <v>0</v>
      </c>
      <c r="AM76" s="31">
        <f>$I$24*$AM$24</f>
        <v>0</v>
      </c>
      <c r="AN76" s="31">
        <f>$I$24*$AN$24</f>
        <v>0</v>
      </c>
      <c r="AO76" s="31">
        <f>$I$24*$AO$24</f>
        <v>0</v>
      </c>
      <c r="AP76" s="31">
        <f>$I$24*$AP$24</f>
        <v>0</v>
      </c>
      <c r="AQ76" s="31">
        <f>$I$24*$AQ$24</f>
        <v>0</v>
      </c>
      <c r="AR76" s="31">
        <f>$I$24*$AR$24</f>
        <v>0</v>
      </c>
      <c r="AS76" s="31">
        <f>$I$24*$AS$24</f>
        <v>0</v>
      </c>
      <c r="AT76" s="31">
        <f>$I$24*$AT$24</f>
        <v>0</v>
      </c>
      <c r="AU76" s="31">
        <f>$I$24*$AU$24</f>
        <v>44875.50095749514</v>
      </c>
      <c r="AV76" s="31">
        <f>$I$24*$AV$24</f>
        <v>0</v>
      </c>
      <c r="AW76" s="31">
        <f>$I$24*$AW$24</f>
        <v>0</v>
      </c>
      <c r="AX76" s="31">
        <f>$I$24*$AX$24</f>
        <v>64696.773124578067</v>
      </c>
      <c r="AY76" s="31">
        <f>$I$24*$AY$24</f>
        <v>0</v>
      </c>
      <c r="AZ76" s="31">
        <f>$I$24*$AZ$24</f>
        <v>0</v>
      </c>
      <c r="BA76" s="31">
        <f>$I$24*$BA$24</f>
        <v>10898.36583113011</v>
      </c>
      <c r="BB76" s="31">
        <f>$I$24*$BB$24</f>
        <v>0</v>
      </c>
      <c r="BC76" s="31">
        <f>$I$24*$BC$24</f>
        <v>114.92670968560185</v>
      </c>
      <c r="BD76" s="31">
        <f>$I$24*$BD$24</f>
        <v>141.33314074538799</v>
      </c>
    </row>
    <row r="77" spans="1:56" ht="11.25" customHeight="1" x14ac:dyDescent="0.25">
      <c r="A77" s="9" t="s">
        <v>22</v>
      </c>
      <c r="B77" s="9" t="s">
        <v>825</v>
      </c>
      <c r="C77" s="9" t="s">
        <v>826</v>
      </c>
      <c r="D77" s="9" t="s">
        <v>827</v>
      </c>
      <c r="E77" s="9" t="s">
        <v>828</v>
      </c>
      <c r="F77" s="9" t="s">
        <v>829</v>
      </c>
      <c r="G77" s="9" t="s">
        <v>830</v>
      </c>
      <c r="L77" s="31">
        <f>$I$25*$L$25</f>
        <v>0</v>
      </c>
      <c r="M77" s="31">
        <f>$I$25*$M$25</f>
        <v>0</v>
      </c>
      <c r="N77" s="31">
        <f ca="1">$I$25*$N$25</f>
        <v>0</v>
      </c>
      <c r="O77" s="31">
        <f>$I$25*$O$25</f>
        <v>0</v>
      </c>
      <c r="P77" s="31">
        <f>$I$25*$P$25</f>
        <v>0</v>
      </c>
      <c r="Q77" s="31">
        <f>$I$25*$Q$25</f>
        <v>0</v>
      </c>
      <c r="R77" s="31">
        <f>$I$25*$R$25</f>
        <v>0</v>
      </c>
      <c r="S77" s="31">
        <f>$I$25*$S$25</f>
        <v>0</v>
      </c>
      <c r="T77" s="31">
        <f>$I$25*$T$25</f>
        <v>0</v>
      </c>
      <c r="U77" s="31">
        <f>$I$25*$U$25</f>
        <v>0</v>
      </c>
      <c r="V77" s="31">
        <f>$I$25*$V$25</f>
        <v>0</v>
      </c>
      <c r="W77" s="31">
        <f>$I$25*$W$25</f>
        <v>0</v>
      </c>
      <c r="X77" s="31">
        <f>$I$25*$X$25</f>
        <v>0</v>
      </c>
      <c r="Y77" s="31">
        <f>$I$25*$Y$25</f>
        <v>0</v>
      </c>
      <c r="Z77" s="31">
        <f>$I$25*$Z$25</f>
        <v>0</v>
      </c>
      <c r="AA77" s="31">
        <f>$I$25*$AA$25</f>
        <v>0</v>
      </c>
      <c r="AB77" s="31">
        <f ca="1">$I$25*$AB$25</f>
        <v>0</v>
      </c>
      <c r="AC77" s="31">
        <f ca="1">$I$25*$AC$25</f>
        <v>0</v>
      </c>
      <c r="AD77" s="31">
        <f>$I$25*$AD$25</f>
        <v>0</v>
      </c>
      <c r="AE77" s="31">
        <f>$I$25*$AE$25</f>
        <v>0</v>
      </c>
      <c r="AF77" s="31">
        <f ca="1">$I$25*$AF$25</f>
        <v>0</v>
      </c>
      <c r="AG77" s="31">
        <f ca="1">$I$25*$AG$25</f>
        <v>0</v>
      </c>
      <c r="AI77" s="31">
        <f>$I$25*$AI$25</f>
        <v>0</v>
      </c>
      <c r="AJ77" s="31">
        <f>$I$25*$AJ$25</f>
        <v>0</v>
      </c>
      <c r="AK77" s="31">
        <f>$I$25*$AK$25</f>
        <v>0</v>
      </c>
      <c r="AL77" s="31">
        <f>$I$25*$AL$25</f>
        <v>0</v>
      </c>
      <c r="AM77" s="31">
        <f>$I$25*$AM$25</f>
        <v>0</v>
      </c>
      <c r="AN77" s="31">
        <f>$I$25*$AN$25</f>
        <v>0</v>
      </c>
      <c r="AO77" s="31">
        <f>$I$25*$AO$25</f>
        <v>0</v>
      </c>
      <c r="AP77" s="31">
        <f>$I$25*$AP$25</f>
        <v>0</v>
      </c>
      <c r="AQ77" s="31">
        <f>$I$25*$AQ$25</f>
        <v>0</v>
      </c>
      <c r="AR77" s="31">
        <f>$I$25*$AR$25</f>
        <v>0</v>
      </c>
      <c r="AS77" s="31">
        <f>$I$25*$AS$25</f>
        <v>0</v>
      </c>
      <c r="AT77" s="31">
        <f>$I$25*$AT$25</f>
        <v>0</v>
      </c>
      <c r="AU77" s="31">
        <f>$I$25*$AU$25</f>
        <v>0</v>
      </c>
      <c r="AV77" s="31">
        <f>$I$25*$AV$25</f>
        <v>0</v>
      </c>
      <c r="AW77" s="31">
        <f>$I$25*$AW$25</f>
        <v>0</v>
      </c>
      <c r="AX77" s="31">
        <f>$I$25*$AX$25</f>
        <v>0</v>
      </c>
      <c r="AY77" s="31">
        <f>$I$25*$AY$25</f>
        <v>0</v>
      </c>
      <c r="AZ77" s="31">
        <f>$I$25*$AZ$25</f>
        <v>0</v>
      </c>
      <c r="BA77" s="31">
        <f>$I$25*$BA$25</f>
        <v>0</v>
      </c>
      <c r="BB77" s="31">
        <f>$I$25*$BB$25</f>
        <v>0</v>
      </c>
      <c r="BC77" s="31">
        <f>$I$25*$BC$25</f>
        <v>0</v>
      </c>
      <c r="BD77" s="31">
        <f>$I$25*$BD$25</f>
        <v>0</v>
      </c>
    </row>
    <row r="78" spans="1:56" ht="11.25" customHeight="1" x14ac:dyDescent="0.25">
      <c r="A78" s="9" t="s">
        <v>22</v>
      </c>
      <c r="B78" s="9" t="s">
        <v>825</v>
      </c>
      <c r="C78" s="9" t="s">
        <v>826</v>
      </c>
      <c r="D78" s="9" t="s">
        <v>831</v>
      </c>
      <c r="E78" s="9" t="s">
        <v>832</v>
      </c>
      <c r="F78" s="9" t="s">
        <v>833</v>
      </c>
      <c r="G78" s="9" t="s">
        <v>834</v>
      </c>
      <c r="L78" s="31">
        <f>$I$26*$L$26</f>
        <v>0</v>
      </c>
      <c r="M78" s="31">
        <f>$I$26*$M$26</f>
        <v>0</v>
      </c>
      <c r="N78" s="31">
        <f ca="1">$I$26*$N$26</f>
        <v>0</v>
      </c>
      <c r="O78" s="31">
        <f>$I$26*$O$26</f>
        <v>0</v>
      </c>
      <c r="P78" s="31">
        <f>$I$26*$P$26</f>
        <v>0</v>
      </c>
      <c r="Q78" s="31">
        <f>$I$26*$Q$26</f>
        <v>0</v>
      </c>
      <c r="R78" s="31">
        <f>$I$26*$R$26</f>
        <v>0</v>
      </c>
      <c r="S78" s="31">
        <f>$I$26*$S$26</f>
        <v>0</v>
      </c>
      <c r="T78" s="31">
        <f>$I$26*$T$26</f>
        <v>0</v>
      </c>
      <c r="U78" s="31">
        <f>$I$26*$U$26</f>
        <v>0</v>
      </c>
      <c r="V78" s="31">
        <f>$I$26*$V$26</f>
        <v>0</v>
      </c>
      <c r="W78" s="31">
        <f>$I$26*$W$26</f>
        <v>0</v>
      </c>
      <c r="X78" s="31">
        <f>$I$26*$X$26</f>
        <v>0</v>
      </c>
      <c r="Y78" s="31">
        <f>$I$26*$Y$26</f>
        <v>0</v>
      </c>
      <c r="Z78" s="31">
        <f>$I$26*$Z$26</f>
        <v>0</v>
      </c>
      <c r="AA78" s="31">
        <f>$I$26*$AA$26</f>
        <v>0</v>
      </c>
      <c r="AB78" s="31">
        <f ca="1">$I$26*$AB$26</f>
        <v>0</v>
      </c>
      <c r="AC78" s="31">
        <f ca="1">$I$26*$AC$26</f>
        <v>0</v>
      </c>
      <c r="AD78" s="31">
        <f>$I$26*$AD$26</f>
        <v>0</v>
      </c>
      <c r="AE78" s="31">
        <f>$I$26*$AE$26</f>
        <v>0</v>
      </c>
      <c r="AF78" s="31">
        <f ca="1">$I$26*$AF$26</f>
        <v>0</v>
      </c>
      <c r="AG78" s="31">
        <f ca="1">$I$26*$AG$26</f>
        <v>0</v>
      </c>
      <c r="AI78" s="31">
        <f>$I$26*$AI$26</f>
        <v>0</v>
      </c>
      <c r="AJ78" s="31">
        <f>$I$26*$AJ$26</f>
        <v>0</v>
      </c>
      <c r="AK78" s="31">
        <f>$I$26*$AK$26</f>
        <v>0</v>
      </c>
      <c r="AL78" s="31">
        <f>$I$26*$AL$26</f>
        <v>0</v>
      </c>
      <c r="AM78" s="31">
        <f>$I$26*$AM$26</f>
        <v>0</v>
      </c>
      <c r="AN78" s="31">
        <f>$I$26*$AN$26</f>
        <v>0</v>
      </c>
      <c r="AO78" s="31">
        <f>$I$26*$AO$26</f>
        <v>0</v>
      </c>
      <c r="AP78" s="31">
        <f>$I$26*$AP$26</f>
        <v>0</v>
      </c>
      <c r="AQ78" s="31">
        <f>$I$26*$AQ$26</f>
        <v>0</v>
      </c>
      <c r="AR78" s="31">
        <f>$I$26*$AR$26</f>
        <v>0</v>
      </c>
      <c r="AS78" s="31">
        <f>$I$26*$AS$26</f>
        <v>0</v>
      </c>
      <c r="AT78" s="31">
        <f>$I$26*$AT$26</f>
        <v>0</v>
      </c>
      <c r="AU78" s="31">
        <f>$I$26*$AU$26</f>
        <v>0</v>
      </c>
      <c r="AV78" s="31">
        <f>$I$26*$AV$26</f>
        <v>0</v>
      </c>
      <c r="AW78" s="31">
        <f>$I$26*$AW$26</f>
        <v>0</v>
      </c>
      <c r="AX78" s="31">
        <f>$I$26*$AX$26</f>
        <v>0</v>
      </c>
      <c r="AY78" s="31">
        <f>$I$26*$AY$26</f>
        <v>0</v>
      </c>
      <c r="AZ78" s="31">
        <f>$I$26*$AZ$26</f>
        <v>0</v>
      </c>
      <c r="BA78" s="31">
        <f>$I$26*$BA$26</f>
        <v>0</v>
      </c>
      <c r="BB78" s="31">
        <f>$I$26*$BB$26</f>
        <v>0</v>
      </c>
      <c r="BC78" s="31">
        <f>$I$26*$BC$26</f>
        <v>0</v>
      </c>
      <c r="BD78" s="31">
        <f>$I$26*$BD$26</f>
        <v>0</v>
      </c>
    </row>
    <row r="79" spans="1:56" ht="11.25" customHeight="1" x14ac:dyDescent="0.25">
      <c r="A79" s="9" t="s">
        <v>22</v>
      </c>
      <c r="B79" s="9" t="s">
        <v>825</v>
      </c>
      <c r="C79" s="9" t="s">
        <v>826</v>
      </c>
      <c r="D79" s="9" t="s">
        <v>835</v>
      </c>
      <c r="E79" s="9" t="s">
        <v>836</v>
      </c>
      <c r="F79" s="9" t="s">
        <v>837</v>
      </c>
      <c r="G79" s="9" t="s">
        <v>838</v>
      </c>
      <c r="L79" s="31">
        <f>$I$27*$L$27</f>
        <v>0</v>
      </c>
      <c r="M79" s="31">
        <f>$I$27*$M$27</f>
        <v>0</v>
      </c>
      <c r="N79" s="31">
        <f ca="1">$I$27*$N$27</f>
        <v>0</v>
      </c>
      <c r="O79" s="31">
        <f>$I$27*$O$27</f>
        <v>0</v>
      </c>
      <c r="P79" s="31">
        <f>$I$27*$P$27</f>
        <v>0</v>
      </c>
      <c r="Q79" s="31">
        <f>$I$27*$Q$27</f>
        <v>0</v>
      </c>
      <c r="R79" s="31">
        <f>$I$27*$R$27</f>
        <v>0</v>
      </c>
      <c r="S79" s="31">
        <f>$I$27*$S$27</f>
        <v>0</v>
      </c>
      <c r="T79" s="31">
        <f>$I$27*$T$27</f>
        <v>0</v>
      </c>
      <c r="U79" s="31">
        <f>$I$27*$U$27</f>
        <v>0</v>
      </c>
      <c r="V79" s="31">
        <f>$I$27*$V$27</f>
        <v>0</v>
      </c>
      <c r="W79" s="31">
        <f>$I$27*$W$27</f>
        <v>0</v>
      </c>
      <c r="X79" s="31">
        <f>$I$27*$X$27</f>
        <v>0</v>
      </c>
      <c r="Y79" s="31">
        <f>$I$27*$Y$27</f>
        <v>0</v>
      </c>
      <c r="Z79" s="31">
        <f>$I$27*$Z$27</f>
        <v>0</v>
      </c>
      <c r="AA79" s="31">
        <f>$I$27*$AA$27</f>
        <v>0</v>
      </c>
      <c r="AB79" s="31">
        <f ca="1">$I$27*$AB$27</f>
        <v>0</v>
      </c>
      <c r="AC79" s="31">
        <f ca="1">$I$27*$AC$27</f>
        <v>0</v>
      </c>
      <c r="AD79" s="31">
        <f>$I$27*$AD$27</f>
        <v>0</v>
      </c>
      <c r="AE79" s="31">
        <f>$I$27*$AE$27</f>
        <v>0</v>
      </c>
      <c r="AF79" s="31">
        <f ca="1">$I$27*$AF$27</f>
        <v>0</v>
      </c>
      <c r="AG79" s="31">
        <f ca="1">$I$27*$AG$27</f>
        <v>0</v>
      </c>
      <c r="AI79" s="31">
        <f>$I$27*$AI$27</f>
        <v>0</v>
      </c>
      <c r="AJ79" s="31">
        <f>$I$27*$AJ$27</f>
        <v>0</v>
      </c>
      <c r="AK79" s="31">
        <f>$I$27*$AK$27</f>
        <v>0</v>
      </c>
      <c r="AL79" s="31">
        <f>$I$27*$AL$27</f>
        <v>0</v>
      </c>
      <c r="AM79" s="31">
        <f>$I$27*$AM$27</f>
        <v>0</v>
      </c>
      <c r="AN79" s="31">
        <f>$I$27*$AN$27</f>
        <v>0</v>
      </c>
      <c r="AO79" s="31">
        <f>$I$27*$AO$27</f>
        <v>0</v>
      </c>
      <c r="AP79" s="31">
        <f>$I$27*$AP$27</f>
        <v>0</v>
      </c>
      <c r="AQ79" s="31">
        <f>$I$27*$AQ$27</f>
        <v>0</v>
      </c>
      <c r="AR79" s="31">
        <f>$I$27*$AR$27</f>
        <v>0</v>
      </c>
      <c r="AS79" s="31">
        <f>$I$27*$AS$27</f>
        <v>0</v>
      </c>
      <c r="AT79" s="31">
        <f>$I$27*$AT$27</f>
        <v>0</v>
      </c>
      <c r="AU79" s="31">
        <f>$I$27*$AU$27</f>
        <v>0</v>
      </c>
      <c r="AV79" s="31">
        <f>$I$27*$AV$27</f>
        <v>0</v>
      </c>
      <c r="AW79" s="31">
        <f>$I$27*$AW$27</f>
        <v>0</v>
      </c>
      <c r="AX79" s="31">
        <f>$I$27*$AX$27</f>
        <v>0</v>
      </c>
      <c r="AY79" s="31">
        <f>$I$27*$AY$27</f>
        <v>0</v>
      </c>
      <c r="AZ79" s="31">
        <f>$I$27*$AZ$27</f>
        <v>0</v>
      </c>
      <c r="BA79" s="31">
        <f>$I$27*$BA$27</f>
        <v>0</v>
      </c>
      <c r="BB79" s="31">
        <f>$I$27*$BB$27</f>
        <v>0</v>
      </c>
      <c r="BC79" s="31">
        <f>$I$27*$BC$27</f>
        <v>0</v>
      </c>
      <c r="BD79" s="31">
        <f>$I$27*$BD$27</f>
        <v>0</v>
      </c>
    </row>
    <row r="80" spans="1:56" ht="11.25" customHeight="1" x14ac:dyDescent="0.25">
      <c r="A80" s="9" t="s">
        <v>22</v>
      </c>
      <c r="B80" s="9" t="s">
        <v>825</v>
      </c>
      <c r="C80" s="9" t="s">
        <v>826</v>
      </c>
      <c r="D80" s="9" t="s">
        <v>839</v>
      </c>
      <c r="E80" s="9" t="s">
        <v>840</v>
      </c>
      <c r="F80" s="9" t="s">
        <v>841</v>
      </c>
      <c r="G80" s="9" t="s">
        <v>842</v>
      </c>
      <c r="L80" s="31">
        <f>$I$28*$L$28</f>
        <v>0</v>
      </c>
      <c r="M80" s="31">
        <f>$I$28*$M$28</f>
        <v>0</v>
      </c>
      <c r="N80" s="31">
        <f ca="1">$I$28*$N$28</f>
        <v>0</v>
      </c>
      <c r="O80" s="31">
        <f>$I$28*$O$28</f>
        <v>0</v>
      </c>
      <c r="P80" s="31">
        <f>$I$28*$P$28</f>
        <v>0</v>
      </c>
      <c r="Q80" s="31">
        <f>$I$28*$Q$28</f>
        <v>0</v>
      </c>
      <c r="R80" s="31">
        <f>$I$28*$R$28</f>
        <v>0</v>
      </c>
      <c r="S80" s="31">
        <f>$I$28*$S$28</f>
        <v>0</v>
      </c>
      <c r="T80" s="31">
        <f>$I$28*$T$28</f>
        <v>0</v>
      </c>
      <c r="U80" s="31">
        <f>$I$28*$U$28</f>
        <v>0</v>
      </c>
      <c r="V80" s="31">
        <f>$I$28*$V$28</f>
        <v>0</v>
      </c>
      <c r="W80" s="31">
        <f>$I$28*$W$28</f>
        <v>0</v>
      </c>
      <c r="X80" s="31">
        <f>$I$28*$X$28</f>
        <v>0</v>
      </c>
      <c r="Y80" s="31">
        <f>$I$28*$Y$28</f>
        <v>0</v>
      </c>
      <c r="Z80" s="31">
        <f>$I$28*$Z$28</f>
        <v>0</v>
      </c>
      <c r="AA80" s="31">
        <f>$I$28*$AA$28</f>
        <v>0</v>
      </c>
      <c r="AB80" s="31">
        <f ca="1">$I$28*$AB$28</f>
        <v>0</v>
      </c>
      <c r="AC80" s="31">
        <f ca="1">$I$28*$AC$28</f>
        <v>0</v>
      </c>
      <c r="AD80" s="31">
        <f>$I$28*$AD$28</f>
        <v>0</v>
      </c>
      <c r="AE80" s="31">
        <f>$I$28*$AE$28</f>
        <v>0</v>
      </c>
      <c r="AF80" s="31">
        <f ca="1">$I$28*$AF$28</f>
        <v>0</v>
      </c>
      <c r="AG80" s="31">
        <f ca="1">$I$28*$AG$28</f>
        <v>0</v>
      </c>
      <c r="AI80" s="31">
        <f>$I$28*$AI$28</f>
        <v>0</v>
      </c>
      <c r="AJ80" s="31">
        <f>$I$28*$AJ$28</f>
        <v>0</v>
      </c>
      <c r="AK80" s="31">
        <f>$I$28*$AK$28</f>
        <v>0</v>
      </c>
      <c r="AL80" s="31">
        <f>$I$28*$AL$28</f>
        <v>0</v>
      </c>
      <c r="AM80" s="31">
        <f>$I$28*$AM$28</f>
        <v>0</v>
      </c>
      <c r="AN80" s="31">
        <f>$I$28*$AN$28</f>
        <v>0</v>
      </c>
      <c r="AO80" s="31">
        <f>$I$28*$AO$28</f>
        <v>0</v>
      </c>
      <c r="AP80" s="31">
        <f>$I$28*$AP$28</f>
        <v>0</v>
      </c>
      <c r="AQ80" s="31">
        <f>$I$28*$AQ$28</f>
        <v>0</v>
      </c>
      <c r="AR80" s="31">
        <f>$I$28*$AR$28</f>
        <v>0</v>
      </c>
      <c r="AS80" s="31">
        <f>$I$28*$AS$28</f>
        <v>0</v>
      </c>
      <c r="AT80" s="31">
        <f>$I$28*$AT$28</f>
        <v>0</v>
      </c>
      <c r="AU80" s="31">
        <f>$I$28*$AU$28</f>
        <v>0</v>
      </c>
      <c r="AV80" s="31">
        <f>$I$28*$AV$28</f>
        <v>0</v>
      </c>
      <c r="AW80" s="31">
        <f>$I$28*$AW$28</f>
        <v>0</v>
      </c>
      <c r="AX80" s="31">
        <f>$I$28*$AX$28</f>
        <v>0</v>
      </c>
      <c r="AY80" s="31">
        <f>$I$28*$AY$28</f>
        <v>0</v>
      </c>
      <c r="AZ80" s="31">
        <f>$I$28*$AZ$28</f>
        <v>0</v>
      </c>
      <c r="BA80" s="31">
        <f>$I$28*$BA$28</f>
        <v>0</v>
      </c>
      <c r="BB80" s="31">
        <f>$I$28*$BB$28</f>
        <v>0</v>
      </c>
      <c r="BC80" s="31">
        <f>$I$28*$BC$28</f>
        <v>0</v>
      </c>
      <c r="BD80" s="31">
        <f>$I$28*$BD$28</f>
        <v>0</v>
      </c>
    </row>
    <row r="81" spans="1:56" ht="11.25" customHeight="1" x14ac:dyDescent="0.25">
      <c r="A81" s="9" t="s">
        <v>22</v>
      </c>
      <c r="B81" s="9" t="s">
        <v>825</v>
      </c>
      <c r="C81" s="9" t="s">
        <v>826</v>
      </c>
      <c r="D81" s="9" t="s">
        <v>843</v>
      </c>
      <c r="E81" s="9" t="s">
        <v>844</v>
      </c>
      <c r="F81" s="9" t="s">
        <v>845</v>
      </c>
      <c r="G81" s="9" t="s">
        <v>846</v>
      </c>
      <c r="L81" s="31">
        <f>$I$29*$L$29</f>
        <v>0</v>
      </c>
      <c r="M81" s="31">
        <f>$I$29*$M$29</f>
        <v>0</v>
      </c>
      <c r="N81" s="31">
        <f ca="1">$I$29*$N$29</f>
        <v>0</v>
      </c>
      <c r="O81" s="31">
        <f>$I$29*$O$29</f>
        <v>0</v>
      </c>
      <c r="P81" s="31">
        <f>$I$29*$P$29</f>
        <v>0</v>
      </c>
      <c r="Q81" s="31">
        <f>$I$29*$Q$29</f>
        <v>0</v>
      </c>
      <c r="R81" s="31">
        <f>$I$29*$R$29</f>
        <v>0</v>
      </c>
      <c r="S81" s="31">
        <f>$I$29*$S$29</f>
        <v>0</v>
      </c>
      <c r="T81" s="31">
        <f>$I$29*$T$29</f>
        <v>0</v>
      </c>
      <c r="U81" s="31">
        <f>$I$29*$U$29</f>
        <v>0</v>
      </c>
      <c r="V81" s="31">
        <f>$I$29*$V$29</f>
        <v>0</v>
      </c>
      <c r="W81" s="31">
        <f>$I$29*$W$29</f>
        <v>0</v>
      </c>
      <c r="X81" s="31">
        <f>$I$29*$X$29</f>
        <v>0</v>
      </c>
      <c r="Y81" s="31">
        <f>$I$29*$Y$29</f>
        <v>0</v>
      </c>
      <c r="Z81" s="31">
        <f>$I$29*$Z$29</f>
        <v>0</v>
      </c>
      <c r="AA81" s="31">
        <f>$I$29*$AA$29</f>
        <v>0</v>
      </c>
      <c r="AB81" s="31">
        <f ca="1">$I$29*$AB$29</f>
        <v>0</v>
      </c>
      <c r="AC81" s="31">
        <f ca="1">$I$29*$AC$29</f>
        <v>0</v>
      </c>
      <c r="AD81" s="31">
        <f>$I$29*$AD$29</f>
        <v>0</v>
      </c>
      <c r="AE81" s="31">
        <f>$I$29*$AE$29</f>
        <v>0</v>
      </c>
      <c r="AF81" s="31">
        <f ca="1">$I$29*$AF$29</f>
        <v>0</v>
      </c>
      <c r="AG81" s="31">
        <f ca="1">$I$29*$AG$29</f>
        <v>0</v>
      </c>
      <c r="AI81" s="31">
        <f>$I$29*$AI$29</f>
        <v>0</v>
      </c>
      <c r="AJ81" s="31">
        <f>$I$29*$AJ$29</f>
        <v>0</v>
      </c>
      <c r="AK81" s="31">
        <f>$I$29*$AK$29</f>
        <v>0</v>
      </c>
      <c r="AL81" s="31">
        <f>$I$29*$AL$29</f>
        <v>0</v>
      </c>
      <c r="AM81" s="31">
        <f>$I$29*$AM$29</f>
        <v>0</v>
      </c>
      <c r="AN81" s="31">
        <f>$I$29*$AN$29</f>
        <v>0</v>
      </c>
      <c r="AO81" s="31">
        <f>$I$29*$AO$29</f>
        <v>0</v>
      </c>
      <c r="AP81" s="31">
        <f>$I$29*$AP$29</f>
        <v>0</v>
      </c>
      <c r="AQ81" s="31">
        <f>$I$29*$AQ$29</f>
        <v>0</v>
      </c>
      <c r="AR81" s="31">
        <f>$I$29*$AR$29</f>
        <v>0</v>
      </c>
      <c r="AS81" s="31">
        <f>$I$29*$AS$29</f>
        <v>0</v>
      </c>
      <c r="AT81" s="31">
        <f>$I$29*$AT$29</f>
        <v>0</v>
      </c>
      <c r="AU81" s="31">
        <f>$I$29*$AU$29</f>
        <v>0</v>
      </c>
      <c r="AV81" s="31">
        <f>$I$29*$AV$29</f>
        <v>0</v>
      </c>
      <c r="AW81" s="31">
        <f>$I$29*$AW$29</f>
        <v>0</v>
      </c>
      <c r="AX81" s="31">
        <f>$I$29*$AX$29</f>
        <v>0</v>
      </c>
      <c r="AY81" s="31">
        <f>$I$29*$AY$29</f>
        <v>0</v>
      </c>
      <c r="AZ81" s="31">
        <f>$I$29*$AZ$29</f>
        <v>0</v>
      </c>
      <c r="BA81" s="31">
        <f>$I$29*$BA$29</f>
        <v>0</v>
      </c>
      <c r="BB81" s="31">
        <f>$I$29*$BB$29</f>
        <v>0</v>
      </c>
      <c r="BC81" s="31">
        <f>$I$29*$BC$29</f>
        <v>0</v>
      </c>
      <c r="BD81" s="31">
        <f>$I$29*$BD$29</f>
        <v>0</v>
      </c>
    </row>
    <row r="82" spans="1:56" ht="11.25" customHeight="1" x14ac:dyDescent="0.25">
      <c r="A82" s="9" t="s">
        <v>41</v>
      </c>
      <c r="B82" s="9" t="s">
        <v>847</v>
      </c>
      <c r="C82" s="9" t="s">
        <v>848</v>
      </c>
      <c r="D82" s="9" t="s">
        <v>849</v>
      </c>
      <c r="E82" s="9" t="s">
        <v>850</v>
      </c>
      <c r="F82" s="9" t="s">
        <v>851</v>
      </c>
      <c r="G82" s="9" t="s">
        <v>852</v>
      </c>
      <c r="L82" s="31">
        <f>$I$30*$L$30</f>
        <v>0</v>
      </c>
      <c r="M82" s="31">
        <f>$I$30*$M$30</f>
        <v>0</v>
      </c>
      <c r="N82" s="31">
        <f ca="1">$I$30*$N$30</f>
        <v>0</v>
      </c>
      <c r="O82" s="31">
        <f>$I$30*$O$30</f>
        <v>0</v>
      </c>
      <c r="P82" s="31">
        <f>$I$30*$P$30</f>
        <v>0</v>
      </c>
      <c r="Q82" s="31">
        <f>$I$30*$Q$30</f>
        <v>0</v>
      </c>
      <c r="R82" s="31">
        <f>$I$30*$R$30</f>
        <v>0</v>
      </c>
      <c r="S82" s="31">
        <f>$I$30*$S$30</f>
        <v>0</v>
      </c>
      <c r="T82" s="31">
        <f>$I$30*$T$30</f>
        <v>0</v>
      </c>
      <c r="U82" s="31">
        <f>$I$30*$U$30</f>
        <v>0</v>
      </c>
      <c r="V82" s="31">
        <f>$I$30*$V$30</f>
        <v>0</v>
      </c>
      <c r="W82" s="31">
        <f>$I$30*$W$30</f>
        <v>0</v>
      </c>
      <c r="X82" s="31">
        <f>$I$30*$X$30</f>
        <v>0</v>
      </c>
      <c r="Y82" s="31">
        <f>$I$30*$Y$30</f>
        <v>0</v>
      </c>
      <c r="Z82" s="31">
        <f>$I$30*$Z$30</f>
        <v>0</v>
      </c>
      <c r="AA82" s="31">
        <f>$I$30*$AA$30</f>
        <v>0</v>
      </c>
      <c r="AB82" s="31">
        <f ca="1">$I$30*$AB$30</f>
        <v>0</v>
      </c>
      <c r="AC82" s="31">
        <f ca="1">$I$30*$AC$30</f>
        <v>0</v>
      </c>
      <c r="AD82" s="31">
        <f>$I$30*$AD$30</f>
        <v>0</v>
      </c>
      <c r="AE82" s="31">
        <f>$I$30*$AE$30</f>
        <v>0</v>
      </c>
      <c r="AF82" s="31">
        <f ca="1">$I$30*$AF$30</f>
        <v>0</v>
      </c>
      <c r="AG82" s="31">
        <f ca="1">$I$30*$AG$30</f>
        <v>0</v>
      </c>
      <c r="AI82" s="31">
        <f>$I$30*$AI$30</f>
        <v>0</v>
      </c>
      <c r="AJ82" s="31">
        <f>$I$30*$AJ$30</f>
        <v>0</v>
      </c>
      <c r="AK82" s="31">
        <f>$I$30*$AK$30</f>
        <v>0</v>
      </c>
      <c r="AL82" s="31">
        <f>$I$30*$AL$30</f>
        <v>0</v>
      </c>
      <c r="AM82" s="31">
        <f>$I$30*$AM$30</f>
        <v>0</v>
      </c>
      <c r="AN82" s="31">
        <f>$I$30*$AN$30</f>
        <v>0</v>
      </c>
      <c r="AO82" s="31">
        <f>$I$30*$AO$30</f>
        <v>0</v>
      </c>
      <c r="AP82" s="31">
        <f>$I$30*$AP$30</f>
        <v>0</v>
      </c>
      <c r="AQ82" s="31">
        <f>$I$30*$AQ$30</f>
        <v>0</v>
      </c>
      <c r="AR82" s="31">
        <f>$I$30*$AR$30</f>
        <v>0</v>
      </c>
      <c r="AS82" s="31">
        <f>$I$30*$AS$30</f>
        <v>0</v>
      </c>
      <c r="AT82" s="31">
        <f>$I$30*$AT$30</f>
        <v>0</v>
      </c>
      <c r="AU82" s="31">
        <f>$I$30*$AU$30</f>
        <v>0</v>
      </c>
      <c r="AV82" s="31">
        <f>$I$30*$AV$30</f>
        <v>0</v>
      </c>
      <c r="AW82" s="31">
        <f>$I$30*$AW$30</f>
        <v>0</v>
      </c>
      <c r="AX82" s="31">
        <f>$I$30*$AX$30</f>
        <v>0</v>
      </c>
      <c r="AY82" s="31">
        <f>$I$30*$AY$30</f>
        <v>0</v>
      </c>
      <c r="AZ82" s="31">
        <f>$I$30*$AZ$30</f>
        <v>0</v>
      </c>
      <c r="BA82" s="31">
        <f>$I$30*$BA$30</f>
        <v>0</v>
      </c>
      <c r="BB82" s="31">
        <f>$I$30*$BB$30</f>
        <v>0</v>
      </c>
      <c r="BC82" s="31">
        <f>$I$30*$BC$30</f>
        <v>0</v>
      </c>
      <c r="BD82" s="31">
        <f>$I$30*$BD$30</f>
        <v>0</v>
      </c>
    </row>
    <row r="83" spans="1:56" ht="11.25" customHeight="1" x14ac:dyDescent="0.25">
      <c r="A83" s="9" t="s">
        <v>41</v>
      </c>
      <c r="B83" s="9" t="s">
        <v>847</v>
      </c>
      <c r="C83" s="9" t="s">
        <v>848</v>
      </c>
      <c r="D83" s="9" t="s">
        <v>849</v>
      </c>
      <c r="E83" s="9" t="s">
        <v>850</v>
      </c>
      <c r="F83" s="9" t="s">
        <v>851</v>
      </c>
      <c r="G83" s="9" t="s">
        <v>853</v>
      </c>
      <c r="L83" s="31">
        <f>$I$31*$L$31</f>
        <v>0</v>
      </c>
      <c r="M83" s="31">
        <f>$I$31*$M$31</f>
        <v>0</v>
      </c>
      <c r="N83" s="31">
        <f ca="1">$I$31*$N$31</f>
        <v>0</v>
      </c>
      <c r="O83" s="31">
        <f>$I$31*$O$31</f>
        <v>0</v>
      </c>
      <c r="P83" s="31">
        <f>$I$31*$P$31</f>
        <v>0</v>
      </c>
      <c r="Q83" s="31">
        <f>$I$31*$Q$31</f>
        <v>0</v>
      </c>
      <c r="R83" s="31">
        <f>$I$31*$R$31</f>
        <v>0</v>
      </c>
      <c r="S83" s="31">
        <f>$I$31*$S$31</f>
        <v>0</v>
      </c>
      <c r="T83" s="31">
        <f>$I$31*$T$31</f>
        <v>0</v>
      </c>
      <c r="U83" s="31">
        <f>$I$31*$U$31</f>
        <v>0</v>
      </c>
      <c r="V83" s="31">
        <f>$I$31*$V$31</f>
        <v>0</v>
      </c>
      <c r="W83" s="31">
        <f>$I$31*$W$31</f>
        <v>0</v>
      </c>
      <c r="X83" s="31">
        <f>$I$31*$X$31</f>
        <v>0</v>
      </c>
      <c r="Y83" s="31">
        <f>$I$31*$Y$31</f>
        <v>0</v>
      </c>
      <c r="Z83" s="31">
        <f>$I$31*$Z$31</f>
        <v>0</v>
      </c>
      <c r="AA83" s="31">
        <f>$I$31*$AA$31</f>
        <v>0</v>
      </c>
      <c r="AB83" s="31">
        <f ca="1">$I$31*$AB$31</f>
        <v>0</v>
      </c>
      <c r="AC83" s="31">
        <f ca="1">$I$31*$AC$31</f>
        <v>0</v>
      </c>
      <c r="AD83" s="31">
        <f>$I$31*$AD$31</f>
        <v>0</v>
      </c>
      <c r="AE83" s="31">
        <f>$I$31*$AE$31</f>
        <v>0</v>
      </c>
      <c r="AF83" s="31">
        <f ca="1">$I$31*$AF$31</f>
        <v>0</v>
      </c>
      <c r="AG83" s="31">
        <f ca="1">$I$31*$AG$31</f>
        <v>0</v>
      </c>
      <c r="AI83" s="31">
        <f>$I$31*$AI$31</f>
        <v>0</v>
      </c>
      <c r="AJ83" s="31">
        <f>$I$31*$AJ$31</f>
        <v>0</v>
      </c>
      <c r="AK83" s="31">
        <f>$I$31*$AK$31</f>
        <v>0</v>
      </c>
      <c r="AL83" s="31">
        <f>$I$31*$AL$31</f>
        <v>0</v>
      </c>
      <c r="AM83" s="31">
        <f>$I$31*$AM$31</f>
        <v>0</v>
      </c>
      <c r="AN83" s="31">
        <f>$I$31*$AN$31</f>
        <v>0</v>
      </c>
      <c r="AO83" s="31">
        <f>$I$31*$AO$31</f>
        <v>0</v>
      </c>
      <c r="AP83" s="31">
        <f>$I$31*$AP$31</f>
        <v>0</v>
      </c>
      <c r="AQ83" s="31">
        <f>$I$31*$AQ$31</f>
        <v>0</v>
      </c>
      <c r="AR83" s="31">
        <f>$I$31*$AR$31</f>
        <v>0</v>
      </c>
      <c r="AS83" s="31">
        <f>$I$31*$AS$31</f>
        <v>0</v>
      </c>
      <c r="AT83" s="31">
        <f>$I$31*$AT$31</f>
        <v>0</v>
      </c>
      <c r="AU83" s="31">
        <f>$I$31*$AU$31</f>
        <v>0</v>
      </c>
      <c r="AV83" s="31">
        <f>$I$31*$AV$31</f>
        <v>0</v>
      </c>
      <c r="AW83" s="31">
        <f>$I$31*$AW$31</f>
        <v>0</v>
      </c>
      <c r="AX83" s="31">
        <f>$I$31*$AX$31</f>
        <v>0</v>
      </c>
      <c r="AY83" s="31">
        <f>$I$31*$AY$31</f>
        <v>0</v>
      </c>
      <c r="AZ83" s="31">
        <f>$I$31*$AZ$31</f>
        <v>0</v>
      </c>
      <c r="BA83" s="31">
        <f>$I$31*$BA$31</f>
        <v>0</v>
      </c>
      <c r="BB83" s="31">
        <f>$I$31*$BB$31</f>
        <v>0</v>
      </c>
      <c r="BC83" s="31">
        <f>$I$31*$BC$31</f>
        <v>0</v>
      </c>
      <c r="BD83" s="31">
        <f>$I$31*$BD$31</f>
        <v>0</v>
      </c>
    </row>
    <row r="84" spans="1:56" ht="11.25" customHeight="1" x14ac:dyDescent="0.25">
      <c r="A84" s="9" t="s">
        <v>41</v>
      </c>
      <c r="B84" s="9" t="s">
        <v>847</v>
      </c>
      <c r="C84" s="9" t="s">
        <v>848</v>
      </c>
      <c r="D84" s="9" t="s">
        <v>849</v>
      </c>
      <c r="E84" s="9" t="s">
        <v>850</v>
      </c>
      <c r="F84" s="9" t="s">
        <v>851</v>
      </c>
      <c r="G84" s="9" t="s">
        <v>854</v>
      </c>
      <c r="L84" s="31">
        <f>$I$32*$L$32</f>
        <v>0</v>
      </c>
      <c r="M84" s="31">
        <f>$I$32*$M$32</f>
        <v>0</v>
      </c>
      <c r="N84" s="31">
        <f ca="1">$I$32*$N$32</f>
        <v>0</v>
      </c>
      <c r="O84" s="31">
        <f>$I$32*$O$32</f>
        <v>0</v>
      </c>
      <c r="P84" s="31">
        <f>$I$32*$P$32</f>
        <v>0</v>
      </c>
      <c r="Q84" s="31">
        <f>$I$32*$Q$32</f>
        <v>0</v>
      </c>
      <c r="R84" s="31">
        <f>$I$32*$R$32</f>
        <v>0</v>
      </c>
      <c r="S84" s="31">
        <f>$I$32*$S$32</f>
        <v>0</v>
      </c>
      <c r="T84" s="31">
        <f>$I$32*$T$32</f>
        <v>0</v>
      </c>
      <c r="U84" s="31">
        <f>$I$32*$U$32</f>
        <v>0</v>
      </c>
      <c r="V84" s="31">
        <f>$I$32*$V$32</f>
        <v>0</v>
      </c>
      <c r="W84" s="31">
        <f>$I$32*$W$32</f>
        <v>0</v>
      </c>
      <c r="X84" s="31">
        <f>$I$32*$X$32</f>
        <v>0</v>
      </c>
      <c r="Y84" s="31">
        <f>$I$32*$Y$32</f>
        <v>0</v>
      </c>
      <c r="Z84" s="31">
        <f>$I$32*$Z$32</f>
        <v>0</v>
      </c>
      <c r="AA84" s="31">
        <f>$I$32*$AA$32</f>
        <v>0</v>
      </c>
      <c r="AB84" s="31">
        <f ca="1">$I$32*$AB$32</f>
        <v>0</v>
      </c>
      <c r="AC84" s="31">
        <f ca="1">$I$32*$AC$32</f>
        <v>0</v>
      </c>
      <c r="AD84" s="31">
        <f>$I$32*$AD$32</f>
        <v>0</v>
      </c>
      <c r="AE84" s="31">
        <f>$I$32*$AE$32</f>
        <v>0</v>
      </c>
      <c r="AF84" s="31">
        <f ca="1">$I$32*$AF$32</f>
        <v>0</v>
      </c>
      <c r="AG84" s="31">
        <f ca="1">$I$32*$AG$32</f>
        <v>0</v>
      </c>
      <c r="AI84" s="31">
        <f>$I$32*$AI$32</f>
        <v>0</v>
      </c>
      <c r="AJ84" s="31">
        <f>$I$32*$AJ$32</f>
        <v>0</v>
      </c>
      <c r="AK84" s="31">
        <f>$I$32*$AK$32</f>
        <v>0</v>
      </c>
      <c r="AL84" s="31">
        <f>$I$32*$AL$32</f>
        <v>0</v>
      </c>
      <c r="AM84" s="31">
        <f>$I$32*$AM$32</f>
        <v>0</v>
      </c>
      <c r="AN84" s="31">
        <f>$I$32*$AN$32</f>
        <v>0</v>
      </c>
      <c r="AO84" s="31">
        <f>$I$32*$AO$32</f>
        <v>0</v>
      </c>
      <c r="AP84" s="31">
        <f>$I$32*$AP$32</f>
        <v>0</v>
      </c>
      <c r="AQ84" s="31">
        <f>$I$32*$AQ$32</f>
        <v>0</v>
      </c>
      <c r="AR84" s="31">
        <f>$I$32*$AR$32</f>
        <v>0</v>
      </c>
      <c r="AS84" s="31">
        <f>$I$32*$AS$32</f>
        <v>0</v>
      </c>
      <c r="AT84" s="31">
        <f>$I$32*$AT$32</f>
        <v>0</v>
      </c>
      <c r="AU84" s="31">
        <f>$I$32*$AU$32</f>
        <v>0</v>
      </c>
      <c r="AV84" s="31">
        <f>$I$32*$AV$32</f>
        <v>0</v>
      </c>
      <c r="AW84" s="31">
        <f>$I$32*$AW$32</f>
        <v>0</v>
      </c>
      <c r="AX84" s="31">
        <f>$I$32*$AX$32</f>
        <v>0</v>
      </c>
      <c r="AY84" s="31">
        <f>$I$32*$AY$32</f>
        <v>0</v>
      </c>
      <c r="AZ84" s="31">
        <f>$I$32*$AZ$32</f>
        <v>0</v>
      </c>
      <c r="BA84" s="31">
        <f>$I$32*$BA$32</f>
        <v>0</v>
      </c>
      <c r="BB84" s="31">
        <f>$I$32*$BB$32</f>
        <v>0</v>
      </c>
      <c r="BC84" s="31">
        <f>$I$32*$BC$32</f>
        <v>0</v>
      </c>
      <c r="BD84" s="31">
        <f>$I$32*$BD$32</f>
        <v>0</v>
      </c>
    </row>
    <row r="85" spans="1:56" ht="11.25" customHeight="1" x14ac:dyDescent="0.25">
      <c r="A85" s="9" t="s">
        <v>41</v>
      </c>
      <c r="B85" s="9" t="s">
        <v>855</v>
      </c>
      <c r="C85" s="9" t="s">
        <v>856</v>
      </c>
      <c r="D85" s="9" t="s">
        <v>857</v>
      </c>
      <c r="E85" s="9" t="s">
        <v>858</v>
      </c>
      <c r="F85" s="9" t="s">
        <v>859</v>
      </c>
      <c r="G85" s="9" t="s">
        <v>860</v>
      </c>
      <c r="L85" s="31">
        <f>$I$33*$L$33</f>
        <v>0</v>
      </c>
      <c r="M85" s="31">
        <f>$I$33*$M$33</f>
        <v>8422.0384394313351</v>
      </c>
      <c r="N85" s="31">
        <f ca="1">$I$33*$N$33</f>
        <v>44417.965160201304</v>
      </c>
      <c r="O85" s="31">
        <f>$I$33*$O$33</f>
        <v>0</v>
      </c>
      <c r="P85" s="31">
        <f>$I$33*$P$33</f>
        <v>0</v>
      </c>
      <c r="Q85" s="31">
        <f>$I$33*$Q$33</f>
        <v>1183669.5609192485</v>
      </c>
      <c r="R85" s="31">
        <f>$I$33*$R$33</f>
        <v>188789.28672309089</v>
      </c>
      <c r="S85" s="31">
        <f>$I$33*$S$33</f>
        <v>0</v>
      </c>
      <c r="T85" s="31">
        <f>$I$33*$T$33</f>
        <v>0</v>
      </c>
      <c r="U85" s="31">
        <f>$I$33*$U$33</f>
        <v>0</v>
      </c>
      <c r="V85" s="31">
        <f>$I$33*$V$33</f>
        <v>0</v>
      </c>
      <c r="W85" s="31">
        <f>$I$33*$W$33</f>
        <v>0</v>
      </c>
      <c r="X85" s="31">
        <f>$I$33*$X$33</f>
        <v>1136373.7803961951</v>
      </c>
      <c r="Y85" s="31">
        <f>$I$33*$Y$33</f>
        <v>0</v>
      </c>
      <c r="Z85" s="31">
        <f>$I$33*$Z$33</f>
        <v>0</v>
      </c>
      <c r="AA85" s="31">
        <f>$I$33*$AA$33</f>
        <v>1810869.1757586068</v>
      </c>
      <c r="AB85" s="31">
        <f ca="1">$I$33*$AB$33</f>
        <v>0</v>
      </c>
      <c r="AC85" s="31">
        <f ca="1">$I$33*$AC$33</f>
        <v>0</v>
      </c>
      <c r="AD85" s="31">
        <f>$I$33*$AD$33</f>
        <v>216089.82705555391</v>
      </c>
      <c r="AE85" s="31">
        <f>$I$33*$AE$33</f>
        <v>4675.2601341602613</v>
      </c>
      <c r="AF85" s="31">
        <f ca="1">$I$33*$AF$33</f>
        <v>3744.0616679741388</v>
      </c>
      <c r="AG85" s="31">
        <f ca="1">$I$33*$AG$33</f>
        <v>4090.4976954008876</v>
      </c>
      <c r="AI85" s="31">
        <f>$I$33*$AI$33</f>
        <v>0</v>
      </c>
      <c r="AJ85" s="31">
        <f>$I$33*$AJ$33</f>
        <v>6665.5363163265183</v>
      </c>
      <c r="AK85" s="31">
        <f>$I$33*$AK$33</f>
        <v>36095.718492677857</v>
      </c>
      <c r="AL85" s="31">
        <f>$I$33*$AL$33</f>
        <v>0</v>
      </c>
      <c r="AM85" s="31">
        <f>$I$33*$AM$33</f>
        <v>0</v>
      </c>
      <c r="AN85" s="31">
        <f>$I$33*$AN$33</f>
        <v>602675.62260310375</v>
      </c>
      <c r="AO85" s="31">
        <f>$I$33*$AO$33</f>
        <v>102566.24851472734</v>
      </c>
      <c r="AP85" s="31">
        <f>$I$33*$AP$33</f>
        <v>0</v>
      </c>
      <c r="AQ85" s="31">
        <f>$I$33*$AQ$33</f>
        <v>0</v>
      </c>
      <c r="AR85" s="31">
        <f>$I$33*$AR$33</f>
        <v>0</v>
      </c>
      <c r="AS85" s="31">
        <f>$I$33*$AS$33</f>
        <v>0</v>
      </c>
      <c r="AT85" s="31">
        <f>$I$33*$AT$33</f>
        <v>0</v>
      </c>
      <c r="AU85" s="31">
        <f>$I$33*$AU$33</f>
        <v>1019893.1339497562</v>
      </c>
      <c r="AV85" s="31">
        <f>$I$33*$AV$33</f>
        <v>0</v>
      </c>
      <c r="AW85" s="31">
        <f>$I$33*$AW$33</f>
        <v>0</v>
      </c>
      <c r="AX85" s="31">
        <f>$I$33*$AX$33</f>
        <v>1470374.5538341771</v>
      </c>
      <c r="AY85" s="31">
        <f>$I$33*$AY$33</f>
        <v>0</v>
      </c>
      <c r="AZ85" s="31">
        <f>$I$33*$AZ$33</f>
        <v>0</v>
      </c>
      <c r="BA85" s="31">
        <f>$I$33*$BA$33</f>
        <v>247689.01171644221</v>
      </c>
      <c r="BB85" s="31">
        <f>$I$33*$BB$33</f>
        <v>0</v>
      </c>
      <c r="BC85" s="31">
        <f>$I$33*$BC$33</f>
        <v>2611.9588553853337</v>
      </c>
      <c r="BD85" s="31">
        <f>$I$33*$BD$33</f>
        <v>3212.1023001460421</v>
      </c>
    </row>
    <row r="86" spans="1:56" ht="11.25" customHeight="1" x14ac:dyDescent="0.25">
      <c r="A86" s="9" t="s">
        <v>41</v>
      </c>
      <c r="B86" s="9" t="s">
        <v>847</v>
      </c>
      <c r="C86" s="9" t="s">
        <v>848</v>
      </c>
      <c r="D86" s="9" t="s">
        <v>861</v>
      </c>
      <c r="E86" s="9" t="s">
        <v>862</v>
      </c>
      <c r="F86" s="9" t="s">
        <v>863</v>
      </c>
      <c r="G86" s="9" t="s">
        <v>864</v>
      </c>
      <c r="L86" s="31">
        <f>$I$34*$L$34</f>
        <v>0</v>
      </c>
      <c r="M86" s="31">
        <f>$I$34*$M$34</f>
        <v>0</v>
      </c>
      <c r="N86" s="31">
        <f ca="1">$I$34*$N$34</f>
        <v>0</v>
      </c>
      <c r="O86" s="31">
        <f>$I$34*$O$34</f>
        <v>0</v>
      </c>
      <c r="P86" s="31">
        <f>$I$34*$P$34</f>
        <v>0</v>
      </c>
      <c r="Q86" s="31">
        <f>$I$34*$Q$34</f>
        <v>0</v>
      </c>
      <c r="R86" s="31">
        <f>$I$34*$R$34</f>
        <v>0</v>
      </c>
      <c r="S86" s="31">
        <f>$I$34*$S$34</f>
        <v>0</v>
      </c>
      <c r="T86" s="31">
        <f>$I$34*$T$34</f>
        <v>0</v>
      </c>
      <c r="U86" s="31">
        <f>$I$34*$U$34</f>
        <v>0</v>
      </c>
      <c r="V86" s="31">
        <f>$I$34*$V$34</f>
        <v>0</v>
      </c>
      <c r="W86" s="31">
        <f>$I$34*$W$34</f>
        <v>0</v>
      </c>
      <c r="X86" s="31">
        <f>$I$34*$X$34</f>
        <v>0</v>
      </c>
      <c r="Y86" s="31">
        <f>$I$34*$Y$34</f>
        <v>0</v>
      </c>
      <c r="Z86" s="31">
        <f>$I$34*$Z$34</f>
        <v>0</v>
      </c>
      <c r="AA86" s="31">
        <f>$I$34*$AA$34</f>
        <v>0</v>
      </c>
      <c r="AB86" s="31">
        <f ca="1">$I$34*$AB$34</f>
        <v>0</v>
      </c>
      <c r="AC86" s="31">
        <f ca="1">$I$34*$AC$34</f>
        <v>0</v>
      </c>
      <c r="AD86" s="31">
        <f>$I$34*$AD$34</f>
        <v>0</v>
      </c>
      <c r="AE86" s="31">
        <f>$I$34*$AE$34</f>
        <v>0</v>
      </c>
      <c r="AF86" s="31">
        <f ca="1">$I$34*$AF$34</f>
        <v>0</v>
      </c>
      <c r="AG86" s="31">
        <f ca="1">$I$34*$AG$34</f>
        <v>0</v>
      </c>
      <c r="AI86" s="31">
        <f>$I$34*$AI$34</f>
        <v>0</v>
      </c>
      <c r="AJ86" s="31">
        <f>$I$34*$AJ$34</f>
        <v>0</v>
      </c>
      <c r="AK86" s="31">
        <f>$I$34*$AK$34</f>
        <v>0</v>
      </c>
      <c r="AL86" s="31">
        <f>$I$34*$AL$34</f>
        <v>0</v>
      </c>
      <c r="AM86" s="31">
        <f>$I$34*$AM$34</f>
        <v>0</v>
      </c>
      <c r="AN86" s="31">
        <f>$I$34*$AN$34</f>
        <v>0</v>
      </c>
      <c r="AO86" s="31">
        <f>$I$34*$AO$34</f>
        <v>0</v>
      </c>
      <c r="AP86" s="31">
        <f>$I$34*$AP$34</f>
        <v>0</v>
      </c>
      <c r="AQ86" s="31">
        <f>$I$34*$AQ$34</f>
        <v>0</v>
      </c>
      <c r="AR86" s="31">
        <f>$I$34*$AR$34</f>
        <v>0</v>
      </c>
      <c r="AS86" s="31">
        <f>$I$34*$AS$34</f>
        <v>0</v>
      </c>
      <c r="AT86" s="31">
        <f>$I$34*$AT$34</f>
        <v>0</v>
      </c>
      <c r="AU86" s="31">
        <f>$I$34*$AU$34</f>
        <v>0</v>
      </c>
      <c r="AV86" s="31">
        <f>$I$34*$AV$34</f>
        <v>0</v>
      </c>
      <c r="AW86" s="31">
        <f>$I$34*$AW$34</f>
        <v>0</v>
      </c>
      <c r="AX86" s="31">
        <f>$I$34*$AX$34</f>
        <v>0</v>
      </c>
      <c r="AY86" s="31">
        <f>$I$34*$AY$34</f>
        <v>0</v>
      </c>
      <c r="AZ86" s="31">
        <f>$I$34*$AZ$34</f>
        <v>0</v>
      </c>
      <c r="BA86" s="31">
        <f>$I$34*$BA$34</f>
        <v>0</v>
      </c>
      <c r="BB86" s="31">
        <f>$I$34*$BB$34</f>
        <v>0</v>
      </c>
      <c r="BC86" s="31">
        <f>$I$34*$BC$34</f>
        <v>0</v>
      </c>
      <c r="BD86" s="31">
        <f>$I$34*$BD$34</f>
        <v>0</v>
      </c>
    </row>
    <row r="87" spans="1:56" ht="11.25" customHeight="1" x14ac:dyDescent="0.25">
      <c r="A87" s="9" t="s">
        <v>41</v>
      </c>
      <c r="B87" s="9" t="s">
        <v>847</v>
      </c>
      <c r="C87" s="9" t="s">
        <v>848</v>
      </c>
      <c r="D87" s="9" t="s">
        <v>861</v>
      </c>
      <c r="E87" s="9" t="s">
        <v>862</v>
      </c>
      <c r="F87" s="9" t="s">
        <v>863</v>
      </c>
      <c r="G87" s="9" t="s">
        <v>865</v>
      </c>
      <c r="L87" s="31">
        <f>$I$35*$L$35</f>
        <v>0</v>
      </c>
      <c r="M87" s="31">
        <f>$I$35*$M$35</f>
        <v>0</v>
      </c>
      <c r="N87" s="31">
        <f ca="1">$I$35*$N$35</f>
        <v>0</v>
      </c>
      <c r="O87" s="31">
        <f>$I$35*$O$35</f>
        <v>0</v>
      </c>
      <c r="P87" s="31">
        <f>$I$35*$P$35</f>
        <v>0</v>
      </c>
      <c r="Q87" s="31">
        <f>$I$35*$Q$35</f>
        <v>0</v>
      </c>
      <c r="R87" s="31">
        <f>$I$35*$R$35</f>
        <v>0</v>
      </c>
      <c r="S87" s="31">
        <f>$I$35*$S$35</f>
        <v>0</v>
      </c>
      <c r="T87" s="31">
        <f>$I$35*$T$35</f>
        <v>0</v>
      </c>
      <c r="U87" s="31">
        <f>$I$35*$U$35</f>
        <v>0</v>
      </c>
      <c r="V87" s="31">
        <f>$I$35*$V$35</f>
        <v>0</v>
      </c>
      <c r="W87" s="31">
        <f>$I$35*$W$35</f>
        <v>0</v>
      </c>
      <c r="X87" s="31">
        <f>$I$35*$X$35</f>
        <v>0</v>
      </c>
      <c r="Y87" s="31">
        <f>$I$35*$Y$35</f>
        <v>0</v>
      </c>
      <c r="Z87" s="31">
        <f>$I$35*$Z$35</f>
        <v>0</v>
      </c>
      <c r="AA87" s="31">
        <f>$I$35*$AA$35</f>
        <v>0</v>
      </c>
      <c r="AB87" s="31">
        <f ca="1">$I$35*$AB$35</f>
        <v>0</v>
      </c>
      <c r="AC87" s="31">
        <f ca="1">$I$35*$AC$35</f>
        <v>0</v>
      </c>
      <c r="AD87" s="31">
        <f>$I$35*$AD$35</f>
        <v>0</v>
      </c>
      <c r="AE87" s="31">
        <f>$I$35*$AE$35</f>
        <v>0</v>
      </c>
      <c r="AF87" s="31">
        <f ca="1">$I$35*$AF$35</f>
        <v>0</v>
      </c>
      <c r="AG87" s="31">
        <f ca="1">$I$35*$AG$35</f>
        <v>0</v>
      </c>
      <c r="AI87" s="31">
        <f>$I$35*$AI$35</f>
        <v>0</v>
      </c>
      <c r="AJ87" s="31">
        <f>$I$35*$AJ$35</f>
        <v>0</v>
      </c>
      <c r="AK87" s="31">
        <f>$I$35*$AK$35</f>
        <v>0</v>
      </c>
      <c r="AL87" s="31">
        <f>$I$35*$AL$35</f>
        <v>0</v>
      </c>
      <c r="AM87" s="31">
        <f>$I$35*$AM$35</f>
        <v>0</v>
      </c>
      <c r="AN87" s="31">
        <f>$I$35*$AN$35</f>
        <v>0</v>
      </c>
      <c r="AO87" s="31">
        <f>$I$35*$AO$35</f>
        <v>0</v>
      </c>
      <c r="AP87" s="31">
        <f>$I$35*$AP$35</f>
        <v>0</v>
      </c>
      <c r="AQ87" s="31">
        <f>$I$35*$AQ$35</f>
        <v>0</v>
      </c>
      <c r="AR87" s="31">
        <f>$I$35*$AR$35</f>
        <v>0</v>
      </c>
      <c r="AS87" s="31">
        <f>$I$35*$AS$35</f>
        <v>0</v>
      </c>
      <c r="AT87" s="31">
        <f>$I$35*$AT$35</f>
        <v>0</v>
      </c>
      <c r="AU87" s="31">
        <f>$I$35*$AU$35</f>
        <v>0</v>
      </c>
      <c r="AV87" s="31">
        <f>$I$35*$AV$35</f>
        <v>0</v>
      </c>
      <c r="AW87" s="31">
        <f>$I$35*$AW$35</f>
        <v>0</v>
      </c>
      <c r="AX87" s="31">
        <f>$I$35*$AX$35</f>
        <v>0</v>
      </c>
      <c r="AY87" s="31">
        <f>$I$35*$AY$35</f>
        <v>0</v>
      </c>
      <c r="AZ87" s="31">
        <f>$I$35*$AZ$35</f>
        <v>0</v>
      </c>
      <c r="BA87" s="31">
        <f>$I$35*$BA$35</f>
        <v>0</v>
      </c>
      <c r="BB87" s="31">
        <f>$I$35*$BB$35</f>
        <v>0</v>
      </c>
      <c r="BC87" s="31">
        <f>$I$35*$BC$35</f>
        <v>0</v>
      </c>
      <c r="BD87" s="31">
        <f>$I$35*$BD$35</f>
        <v>0</v>
      </c>
    </row>
    <row r="88" spans="1:56" ht="11.25" customHeight="1" x14ac:dyDescent="0.25">
      <c r="A88" s="9" t="s">
        <v>41</v>
      </c>
      <c r="B88" s="9" t="s">
        <v>847</v>
      </c>
      <c r="C88" s="9" t="s">
        <v>848</v>
      </c>
      <c r="D88" s="9" t="s">
        <v>861</v>
      </c>
      <c r="E88" s="9" t="s">
        <v>862</v>
      </c>
      <c r="F88" s="9" t="s">
        <v>863</v>
      </c>
      <c r="G88" s="9" t="s">
        <v>866</v>
      </c>
      <c r="L88" s="31">
        <f>$I$36*$L$36</f>
        <v>0</v>
      </c>
      <c r="M88" s="31">
        <f>$I$36*$M$36</f>
        <v>0</v>
      </c>
      <c r="N88" s="31">
        <f ca="1">$I$36*$N$36</f>
        <v>0</v>
      </c>
      <c r="O88" s="31">
        <f>$I$36*$O$36</f>
        <v>0</v>
      </c>
      <c r="P88" s="31">
        <f>$I$36*$P$36</f>
        <v>0</v>
      </c>
      <c r="Q88" s="31">
        <f>$I$36*$Q$36</f>
        <v>0</v>
      </c>
      <c r="R88" s="31">
        <f>$I$36*$R$36</f>
        <v>0</v>
      </c>
      <c r="S88" s="31">
        <f>$I$36*$S$36</f>
        <v>0</v>
      </c>
      <c r="T88" s="31">
        <f>$I$36*$T$36</f>
        <v>0</v>
      </c>
      <c r="U88" s="31">
        <f>$I$36*$U$36</f>
        <v>0</v>
      </c>
      <c r="V88" s="31">
        <f>$I$36*$V$36</f>
        <v>0</v>
      </c>
      <c r="W88" s="31">
        <f>$I$36*$W$36</f>
        <v>0</v>
      </c>
      <c r="X88" s="31">
        <f>$I$36*$X$36</f>
        <v>0</v>
      </c>
      <c r="Y88" s="31">
        <f>$I$36*$Y$36</f>
        <v>0</v>
      </c>
      <c r="Z88" s="31">
        <f>$I$36*$Z$36</f>
        <v>0</v>
      </c>
      <c r="AA88" s="31">
        <f>$I$36*$AA$36</f>
        <v>0</v>
      </c>
      <c r="AB88" s="31">
        <f ca="1">$I$36*$AB$36</f>
        <v>0</v>
      </c>
      <c r="AC88" s="31">
        <f ca="1">$I$36*$AC$36</f>
        <v>0</v>
      </c>
      <c r="AD88" s="31">
        <f>$I$36*$AD$36</f>
        <v>0</v>
      </c>
      <c r="AE88" s="31">
        <f>$I$36*$AE$36</f>
        <v>0</v>
      </c>
      <c r="AF88" s="31">
        <f ca="1">$I$36*$AF$36</f>
        <v>0</v>
      </c>
      <c r="AG88" s="31">
        <f ca="1">$I$36*$AG$36</f>
        <v>0</v>
      </c>
      <c r="AI88" s="31">
        <f>$I$36*$AI$36</f>
        <v>0</v>
      </c>
      <c r="AJ88" s="31">
        <f>$I$36*$AJ$36</f>
        <v>0</v>
      </c>
      <c r="AK88" s="31">
        <f>$I$36*$AK$36</f>
        <v>0</v>
      </c>
      <c r="AL88" s="31">
        <f>$I$36*$AL$36</f>
        <v>0</v>
      </c>
      <c r="AM88" s="31">
        <f>$I$36*$AM$36</f>
        <v>0</v>
      </c>
      <c r="AN88" s="31">
        <f>$I$36*$AN$36</f>
        <v>0</v>
      </c>
      <c r="AO88" s="31">
        <f>$I$36*$AO$36</f>
        <v>0</v>
      </c>
      <c r="AP88" s="31">
        <f>$I$36*$AP$36</f>
        <v>0</v>
      </c>
      <c r="AQ88" s="31">
        <f>$I$36*$AQ$36</f>
        <v>0</v>
      </c>
      <c r="AR88" s="31">
        <f>$I$36*$AR$36</f>
        <v>0</v>
      </c>
      <c r="AS88" s="31">
        <f>$I$36*$AS$36</f>
        <v>0</v>
      </c>
      <c r="AT88" s="31">
        <f>$I$36*$AT$36</f>
        <v>0</v>
      </c>
      <c r="AU88" s="31">
        <f>$I$36*$AU$36</f>
        <v>0</v>
      </c>
      <c r="AV88" s="31">
        <f>$I$36*$AV$36</f>
        <v>0</v>
      </c>
      <c r="AW88" s="31">
        <f>$I$36*$AW$36</f>
        <v>0</v>
      </c>
      <c r="AX88" s="31">
        <f>$I$36*$AX$36</f>
        <v>0</v>
      </c>
      <c r="AY88" s="31">
        <f>$I$36*$AY$36</f>
        <v>0</v>
      </c>
      <c r="AZ88" s="31">
        <f>$I$36*$AZ$36</f>
        <v>0</v>
      </c>
      <c r="BA88" s="31">
        <f>$I$36*$BA$36</f>
        <v>0</v>
      </c>
      <c r="BB88" s="31">
        <f>$I$36*$BB$36</f>
        <v>0</v>
      </c>
      <c r="BC88" s="31">
        <f>$I$36*$BC$36</f>
        <v>0</v>
      </c>
      <c r="BD88" s="31">
        <f>$I$36*$BD$36</f>
        <v>0</v>
      </c>
    </row>
    <row r="89" spans="1:56" ht="11.25" customHeight="1" x14ac:dyDescent="0.25">
      <c r="A89" s="9" t="s">
        <v>41</v>
      </c>
      <c r="B89" s="9" t="s">
        <v>855</v>
      </c>
      <c r="C89" s="9" t="s">
        <v>856</v>
      </c>
      <c r="D89" s="9" t="s">
        <v>867</v>
      </c>
      <c r="E89" s="9" t="s">
        <v>868</v>
      </c>
      <c r="F89" s="9" t="s">
        <v>869</v>
      </c>
      <c r="G89" s="9" t="s">
        <v>870</v>
      </c>
      <c r="L89" s="31">
        <f>$I$37*$L$37</f>
        <v>0</v>
      </c>
      <c r="M89" s="31">
        <f>$I$37*$M$37</f>
        <v>0</v>
      </c>
      <c r="N89" s="31">
        <f ca="1">$I$37*$N$37</f>
        <v>0</v>
      </c>
      <c r="O89" s="31">
        <f>$I$37*$O$37</f>
        <v>0</v>
      </c>
      <c r="P89" s="31">
        <f>$I$37*$P$37</f>
        <v>0</v>
      </c>
      <c r="Q89" s="31">
        <f>$I$37*$Q$37</f>
        <v>0</v>
      </c>
      <c r="R89" s="31">
        <f>$I$37*$R$37</f>
        <v>0</v>
      </c>
      <c r="S89" s="31">
        <f>$I$37*$S$37</f>
        <v>0</v>
      </c>
      <c r="T89" s="31">
        <f>$I$37*$T$37</f>
        <v>0</v>
      </c>
      <c r="U89" s="31">
        <f>$I$37*$U$37</f>
        <v>0</v>
      </c>
      <c r="V89" s="31">
        <f>$I$37*$V$37</f>
        <v>0</v>
      </c>
      <c r="W89" s="31">
        <f>$I$37*$W$37</f>
        <v>0</v>
      </c>
      <c r="X89" s="31">
        <f>$I$37*$X$37</f>
        <v>0</v>
      </c>
      <c r="Y89" s="31">
        <f>$I$37*$Y$37</f>
        <v>0</v>
      </c>
      <c r="Z89" s="31">
        <f>$I$37*$Z$37</f>
        <v>0</v>
      </c>
      <c r="AA89" s="31">
        <f>$I$37*$AA$37</f>
        <v>0</v>
      </c>
      <c r="AB89" s="31">
        <f ca="1">$I$37*$AB$37</f>
        <v>0</v>
      </c>
      <c r="AC89" s="31">
        <f ca="1">$I$37*$AC$37</f>
        <v>0</v>
      </c>
      <c r="AD89" s="31">
        <f>$I$37*$AD$37</f>
        <v>0</v>
      </c>
      <c r="AE89" s="31">
        <f>$I$37*$AE$37</f>
        <v>0</v>
      </c>
      <c r="AF89" s="31">
        <f ca="1">$I$37*$AF$37</f>
        <v>0</v>
      </c>
      <c r="AG89" s="31">
        <f ca="1">$I$37*$AG$37</f>
        <v>0</v>
      </c>
      <c r="AI89" s="31">
        <f>$I$37*$AI$37</f>
        <v>0</v>
      </c>
      <c r="AJ89" s="31">
        <f>$I$37*$AJ$37</f>
        <v>0</v>
      </c>
      <c r="AK89" s="31">
        <f>$I$37*$AK$37</f>
        <v>0</v>
      </c>
      <c r="AL89" s="31">
        <f>$I$37*$AL$37</f>
        <v>0</v>
      </c>
      <c r="AM89" s="31">
        <f>$I$37*$AM$37</f>
        <v>0</v>
      </c>
      <c r="AN89" s="31">
        <f>$I$37*$AN$37</f>
        <v>0</v>
      </c>
      <c r="AO89" s="31">
        <f>$I$37*$AO$37</f>
        <v>0</v>
      </c>
      <c r="AP89" s="31">
        <f>$I$37*$AP$37</f>
        <v>0</v>
      </c>
      <c r="AQ89" s="31">
        <f>$I$37*$AQ$37</f>
        <v>0</v>
      </c>
      <c r="AR89" s="31">
        <f>$I$37*$AR$37</f>
        <v>0</v>
      </c>
      <c r="AS89" s="31">
        <f>$I$37*$AS$37</f>
        <v>0</v>
      </c>
      <c r="AT89" s="31">
        <f>$I$37*$AT$37</f>
        <v>0</v>
      </c>
      <c r="AU89" s="31">
        <f>$I$37*$AU$37</f>
        <v>0</v>
      </c>
      <c r="AV89" s="31">
        <f>$I$37*$AV$37</f>
        <v>0</v>
      </c>
      <c r="AW89" s="31">
        <f>$I$37*$AW$37</f>
        <v>0</v>
      </c>
      <c r="AX89" s="31">
        <f>$I$37*$AX$37</f>
        <v>0</v>
      </c>
      <c r="AY89" s="31">
        <f>$I$37*$AY$37</f>
        <v>0</v>
      </c>
      <c r="AZ89" s="31">
        <f>$I$37*$AZ$37</f>
        <v>0</v>
      </c>
      <c r="BA89" s="31">
        <f>$I$37*$BA$37</f>
        <v>0</v>
      </c>
      <c r="BB89" s="31">
        <f>$I$37*$BB$37</f>
        <v>0</v>
      </c>
      <c r="BC89" s="31">
        <f>$I$37*$BC$37</f>
        <v>0</v>
      </c>
      <c r="BD89" s="31">
        <f>$I$37*$BD$37</f>
        <v>0</v>
      </c>
    </row>
    <row r="90" spans="1:56" ht="11.25" customHeight="1" x14ac:dyDescent="0.25">
      <c r="A90" s="9" t="s">
        <v>41</v>
      </c>
      <c r="B90" s="9" t="s">
        <v>847</v>
      </c>
      <c r="C90" s="9" t="s">
        <v>848</v>
      </c>
      <c r="D90" s="9" t="s">
        <v>871</v>
      </c>
      <c r="E90" s="9" t="s">
        <v>872</v>
      </c>
      <c r="F90" s="9" t="s">
        <v>873</v>
      </c>
      <c r="G90" s="9" t="s">
        <v>874</v>
      </c>
      <c r="L90" s="31">
        <f>$I$38*$L$38</f>
        <v>0</v>
      </c>
      <c r="M90" s="31">
        <f>$I$38*$M$38</f>
        <v>0</v>
      </c>
      <c r="N90" s="31">
        <f ca="1">$I$38*$N$38</f>
        <v>0</v>
      </c>
      <c r="O90" s="31">
        <f>$I$38*$O$38</f>
        <v>0</v>
      </c>
      <c r="P90" s="31">
        <f>$I$38*$P$38</f>
        <v>0</v>
      </c>
      <c r="Q90" s="31">
        <f>$I$38*$Q$38</f>
        <v>0</v>
      </c>
      <c r="R90" s="31">
        <f>$I$38*$R$38</f>
        <v>0</v>
      </c>
      <c r="S90" s="31">
        <f>$I$38*$S$38</f>
        <v>0</v>
      </c>
      <c r="T90" s="31">
        <f>$I$38*$T$38</f>
        <v>0</v>
      </c>
      <c r="U90" s="31">
        <f>$I$38*$U$38</f>
        <v>0</v>
      </c>
      <c r="V90" s="31">
        <f>$I$38*$V$38</f>
        <v>0</v>
      </c>
      <c r="W90" s="31">
        <f>$I$38*$W$38</f>
        <v>0</v>
      </c>
      <c r="X90" s="31">
        <f>$I$38*$X$38</f>
        <v>0</v>
      </c>
      <c r="Y90" s="31">
        <f>$I$38*$Y$38</f>
        <v>0</v>
      </c>
      <c r="Z90" s="31">
        <f>$I$38*$Z$38</f>
        <v>0</v>
      </c>
      <c r="AA90" s="31">
        <f>$I$38*$AA$38</f>
        <v>0</v>
      </c>
      <c r="AB90" s="31">
        <f ca="1">$I$38*$AB$38</f>
        <v>0</v>
      </c>
      <c r="AC90" s="31">
        <f ca="1">$I$38*$AC$38</f>
        <v>0</v>
      </c>
      <c r="AD90" s="31">
        <f>$I$38*$AD$38</f>
        <v>0</v>
      </c>
      <c r="AE90" s="31">
        <f>$I$38*$AE$38</f>
        <v>0</v>
      </c>
      <c r="AF90" s="31">
        <f ca="1">$I$38*$AF$38</f>
        <v>0</v>
      </c>
      <c r="AG90" s="31">
        <f ca="1">$I$38*$AG$38</f>
        <v>0</v>
      </c>
      <c r="AI90" s="31">
        <f>$I$38*$AI$38</f>
        <v>0</v>
      </c>
      <c r="AJ90" s="31">
        <f>$I$38*$AJ$38</f>
        <v>0</v>
      </c>
      <c r="AK90" s="31">
        <f>$I$38*$AK$38</f>
        <v>0</v>
      </c>
      <c r="AL90" s="31">
        <f>$I$38*$AL$38</f>
        <v>0</v>
      </c>
      <c r="AM90" s="31">
        <f>$I$38*$AM$38</f>
        <v>0</v>
      </c>
      <c r="AN90" s="31">
        <f>$I$38*$AN$38</f>
        <v>0</v>
      </c>
      <c r="AO90" s="31">
        <f>$I$38*$AO$38</f>
        <v>0</v>
      </c>
      <c r="AP90" s="31">
        <f>$I$38*$AP$38</f>
        <v>0</v>
      </c>
      <c r="AQ90" s="31">
        <f>$I$38*$AQ$38</f>
        <v>0</v>
      </c>
      <c r="AR90" s="31">
        <f>$I$38*$AR$38</f>
        <v>0</v>
      </c>
      <c r="AS90" s="31">
        <f>$I$38*$AS$38</f>
        <v>0</v>
      </c>
      <c r="AT90" s="31">
        <f>$I$38*$AT$38</f>
        <v>0</v>
      </c>
      <c r="AU90" s="31">
        <f>$I$38*$AU$38</f>
        <v>0</v>
      </c>
      <c r="AV90" s="31">
        <f>$I$38*$AV$38</f>
        <v>0</v>
      </c>
      <c r="AW90" s="31">
        <f>$I$38*$AW$38</f>
        <v>0</v>
      </c>
      <c r="AX90" s="31">
        <f>$I$38*$AX$38</f>
        <v>0</v>
      </c>
      <c r="AY90" s="31">
        <f>$I$38*$AY$38</f>
        <v>0</v>
      </c>
      <c r="AZ90" s="31">
        <f>$I$38*$AZ$38</f>
        <v>0</v>
      </c>
      <c r="BA90" s="31">
        <f>$I$38*$BA$38</f>
        <v>0</v>
      </c>
      <c r="BB90" s="31">
        <f>$I$38*$BB$38</f>
        <v>0</v>
      </c>
      <c r="BC90" s="31">
        <f>$I$38*$BC$38</f>
        <v>0</v>
      </c>
      <c r="BD90" s="31">
        <f>$I$38*$BD$38</f>
        <v>0</v>
      </c>
    </row>
    <row r="91" spans="1:56" ht="11.25" customHeight="1" x14ac:dyDescent="0.25">
      <c r="A91" s="9" t="s">
        <v>41</v>
      </c>
      <c r="B91" s="9" t="s">
        <v>847</v>
      </c>
      <c r="C91" s="9" t="s">
        <v>848</v>
      </c>
      <c r="D91" s="9" t="s">
        <v>871</v>
      </c>
      <c r="E91" s="9" t="s">
        <v>872</v>
      </c>
      <c r="F91" s="9" t="s">
        <v>873</v>
      </c>
      <c r="G91" s="9" t="s">
        <v>875</v>
      </c>
      <c r="L91" s="31">
        <f>$I$39*$L$39</f>
        <v>0</v>
      </c>
      <c r="M91" s="31">
        <f>$I$39*$M$39</f>
        <v>0</v>
      </c>
      <c r="N91" s="31">
        <f ca="1">$I$39*$N$39</f>
        <v>0</v>
      </c>
      <c r="O91" s="31">
        <f>$I$39*$O$39</f>
        <v>0</v>
      </c>
      <c r="P91" s="31">
        <f>$I$39*$P$39</f>
        <v>0</v>
      </c>
      <c r="Q91" s="31">
        <f>$I$39*$Q$39</f>
        <v>0</v>
      </c>
      <c r="R91" s="31">
        <f>$I$39*$R$39</f>
        <v>0</v>
      </c>
      <c r="S91" s="31">
        <f>$I$39*$S$39</f>
        <v>0</v>
      </c>
      <c r="T91" s="31">
        <f>$I$39*$T$39</f>
        <v>0</v>
      </c>
      <c r="U91" s="31">
        <f>$I$39*$U$39</f>
        <v>0</v>
      </c>
      <c r="V91" s="31">
        <f>$I$39*$V$39</f>
        <v>0</v>
      </c>
      <c r="W91" s="31">
        <f>$I$39*$W$39</f>
        <v>0</v>
      </c>
      <c r="X91" s="31">
        <f>$I$39*$X$39</f>
        <v>0</v>
      </c>
      <c r="Y91" s="31">
        <f>$I$39*$Y$39</f>
        <v>0</v>
      </c>
      <c r="Z91" s="31">
        <f>$I$39*$Z$39</f>
        <v>0</v>
      </c>
      <c r="AA91" s="31">
        <f>$I$39*$AA$39</f>
        <v>0</v>
      </c>
      <c r="AB91" s="31">
        <f ca="1">$I$39*$AB$39</f>
        <v>0</v>
      </c>
      <c r="AC91" s="31">
        <f ca="1">$I$39*$AC$39</f>
        <v>0</v>
      </c>
      <c r="AD91" s="31">
        <f>$I$39*$AD$39</f>
        <v>0</v>
      </c>
      <c r="AE91" s="31">
        <f>$I$39*$AE$39</f>
        <v>0</v>
      </c>
      <c r="AF91" s="31">
        <f ca="1">$I$39*$AF$39</f>
        <v>0</v>
      </c>
      <c r="AG91" s="31">
        <f ca="1">$I$39*$AG$39</f>
        <v>0</v>
      </c>
      <c r="AI91" s="31">
        <f>$I$39*$AI$39</f>
        <v>0</v>
      </c>
      <c r="AJ91" s="31">
        <f>$I$39*$AJ$39</f>
        <v>0</v>
      </c>
      <c r="AK91" s="31">
        <f>$I$39*$AK$39</f>
        <v>0</v>
      </c>
      <c r="AL91" s="31">
        <f>$I$39*$AL$39</f>
        <v>0</v>
      </c>
      <c r="AM91" s="31">
        <f>$I$39*$AM$39</f>
        <v>0</v>
      </c>
      <c r="AN91" s="31">
        <f>$I$39*$AN$39</f>
        <v>0</v>
      </c>
      <c r="AO91" s="31">
        <f>$I$39*$AO$39</f>
        <v>0</v>
      </c>
      <c r="AP91" s="31">
        <f>$I$39*$AP$39</f>
        <v>0</v>
      </c>
      <c r="AQ91" s="31">
        <f>$I$39*$AQ$39</f>
        <v>0</v>
      </c>
      <c r="AR91" s="31">
        <f>$I$39*$AR$39</f>
        <v>0</v>
      </c>
      <c r="AS91" s="31">
        <f>$I$39*$AS$39</f>
        <v>0</v>
      </c>
      <c r="AT91" s="31">
        <f>$I$39*$AT$39</f>
        <v>0</v>
      </c>
      <c r="AU91" s="31">
        <f>$I$39*$AU$39</f>
        <v>0</v>
      </c>
      <c r="AV91" s="31">
        <f>$I$39*$AV$39</f>
        <v>0</v>
      </c>
      <c r="AW91" s="31">
        <f>$I$39*$AW$39</f>
        <v>0</v>
      </c>
      <c r="AX91" s="31">
        <f>$I$39*$AX$39</f>
        <v>0</v>
      </c>
      <c r="AY91" s="31">
        <f>$I$39*$AY$39</f>
        <v>0</v>
      </c>
      <c r="AZ91" s="31">
        <f>$I$39*$AZ$39</f>
        <v>0</v>
      </c>
      <c r="BA91" s="31">
        <f>$I$39*$BA$39</f>
        <v>0</v>
      </c>
      <c r="BB91" s="31">
        <f>$I$39*$BB$39</f>
        <v>0</v>
      </c>
      <c r="BC91" s="31">
        <f>$I$39*$BC$39</f>
        <v>0</v>
      </c>
      <c r="BD91" s="31">
        <f>$I$39*$BD$39</f>
        <v>0</v>
      </c>
    </row>
    <row r="92" spans="1:56" ht="11.25" customHeight="1" x14ac:dyDescent="0.25">
      <c r="A92" s="9" t="s">
        <v>41</v>
      </c>
      <c r="B92" s="9" t="s">
        <v>847</v>
      </c>
      <c r="C92" s="9" t="s">
        <v>848</v>
      </c>
      <c r="D92" s="9" t="s">
        <v>871</v>
      </c>
      <c r="E92" s="9" t="s">
        <v>872</v>
      </c>
      <c r="F92" s="9" t="s">
        <v>873</v>
      </c>
      <c r="G92" s="9" t="s">
        <v>876</v>
      </c>
      <c r="L92" s="31">
        <f>$I$40*$L$40</f>
        <v>0</v>
      </c>
      <c r="M92" s="31">
        <f>$I$40*$M$40</f>
        <v>0</v>
      </c>
      <c r="N92" s="31">
        <f ca="1">$I$40*$N$40</f>
        <v>0</v>
      </c>
      <c r="O92" s="31">
        <f>$I$40*$O$40</f>
        <v>0</v>
      </c>
      <c r="P92" s="31">
        <f>$I$40*$P$40</f>
        <v>0</v>
      </c>
      <c r="Q92" s="31">
        <f>$I$40*$Q$40</f>
        <v>0</v>
      </c>
      <c r="R92" s="31">
        <f>$I$40*$R$40</f>
        <v>0</v>
      </c>
      <c r="S92" s="31">
        <f>$I$40*$S$40</f>
        <v>0</v>
      </c>
      <c r="T92" s="31">
        <f>$I$40*$T$40</f>
        <v>0</v>
      </c>
      <c r="U92" s="31">
        <f>$I$40*$U$40</f>
        <v>0</v>
      </c>
      <c r="V92" s="31">
        <f>$I$40*$V$40</f>
        <v>0</v>
      </c>
      <c r="W92" s="31">
        <f>$I$40*$W$40</f>
        <v>0</v>
      </c>
      <c r="X92" s="31">
        <f>$I$40*$X$40</f>
        <v>0</v>
      </c>
      <c r="Y92" s="31">
        <f>$I$40*$Y$40</f>
        <v>0</v>
      </c>
      <c r="Z92" s="31">
        <f>$I$40*$Z$40</f>
        <v>0</v>
      </c>
      <c r="AA92" s="31">
        <f>$I$40*$AA$40</f>
        <v>0</v>
      </c>
      <c r="AB92" s="31">
        <f ca="1">$I$40*$AB$40</f>
        <v>0</v>
      </c>
      <c r="AC92" s="31">
        <f ca="1">$I$40*$AC$40</f>
        <v>0</v>
      </c>
      <c r="AD92" s="31">
        <f>$I$40*$AD$40</f>
        <v>0</v>
      </c>
      <c r="AE92" s="31">
        <f>$I$40*$AE$40</f>
        <v>0</v>
      </c>
      <c r="AF92" s="31">
        <f ca="1">$I$40*$AF$40</f>
        <v>0</v>
      </c>
      <c r="AG92" s="31">
        <f ca="1">$I$40*$AG$40</f>
        <v>0</v>
      </c>
      <c r="AI92" s="31">
        <f>$I$40*$AI$40</f>
        <v>0</v>
      </c>
      <c r="AJ92" s="31">
        <f>$I$40*$AJ$40</f>
        <v>0</v>
      </c>
      <c r="AK92" s="31">
        <f>$I$40*$AK$40</f>
        <v>0</v>
      </c>
      <c r="AL92" s="31">
        <f>$I$40*$AL$40</f>
        <v>0</v>
      </c>
      <c r="AM92" s="31">
        <f>$I$40*$AM$40</f>
        <v>0</v>
      </c>
      <c r="AN92" s="31">
        <f>$I$40*$AN$40</f>
        <v>0</v>
      </c>
      <c r="AO92" s="31">
        <f>$I$40*$AO$40</f>
        <v>0</v>
      </c>
      <c r="AP92" s="31">
        <f>$I$40*$AP$40</f>
        <v>0</v>
      </c>
      <c r="AQ92" s="31">
        <f>$I$40*$AQ$40</f>
        <v>0</v>
      </c>
      <c r="AR92" s="31">
        <f>$I$40*$AR$40</f>
        <v>0</v>
      </c>
      <c r="AS92" s="31">
        <f>$I$40*$AS$40</f>
        <v>0</v>
      </c>
      <c r="AT92" s="31">
        <f>$I$40*$AT$40</f>
        <v>0</v>
      </c>
      <c r="AU92" s="31">
        <f>$I$40*$AU$40</f>
        <v>0</v>
      </c>
      <c r="AV92" s="31">
        <f>$I$40*$AV$40</f>
        <v>0</v>
      </c>
      <c r="AW92" s="31">
        <f>$I$40*$AW$40</f>
        <v>0</v>
      </c>
      <c r="AX92" s="31">
        <f>$I$40*$AX$40</f>
        <v>0</v>
      </c>
      <c r="AY92" s="31">
        <f>$I$40*$AY$40</f>
        <v>0</v>
      </c>
      <c r="AZ92" s="31">
        <f>$I$40*$AZ$40</f>
        <v>0</v>
      </c>
      <c r="BA92" s="31">
        <f>$I$40*$BA$40</f>
        <v>0</v>
      </c>
      <c r="BB92" s="31">
        <f>$I$40*$BB$40</f>
        <v>0</v>
      </c>
      <c r="BC92" s="31">
        <f>$I$40*$BC$40</f>
        <v>0</v>
      </c>
      <c r="BD92" s="31">
        <f>$I$40*$BD$40</f>
        <v>0</v>
      </c>
    </row>
    <row r="93" spans="1:56" ht="11.25" customHeight="1" x14ac:dyDescent="0.25">
      <c r="A93" s="9" t="s">
        <v>41</v>
      </c>
      <c r="B93" s="9" t="s">
        <v>855</v>
      </c>
      <c r="C93" s="9" t="s">
        <v>856</v>
      </c>
      <c r="D93" s="9" t="s">
        <v>877</v>
      </c>
      <c r="E93" s="9" t="s">
        <v>878</v>
      </c>
      <c r="F93" s="9" t="s">
        <v>879</v>
      </c>
      <c r="G93" s="9" t="s">
        <v>880</v>
      </c>
      <c r="L93" s="31">
        <f>$I$41*$L$41</f>
        <v>0</v>
      </c>
      <c r="M93" s="31">
        <f>$I$41*$M$41</f>
        <v>0</v>
      </c>
      <c r="N93" s="31">
        <f ca="1">$I$41*$N$41</f>
        <v>0</v>
      </c>
      <c r="O93" s="31">
        <f>$I$41*$O$41</f>
        <v>0</v>
      </c>
      <c r="P93" s="31">
        <f>$I$41*$P$41</f>
        <v>0</v>
      </c>
      <c r="Q93" s="31">
        <f>$I$41*$Q$41</f>
        <v>0</v>
      </c>
      <c r="R93" s="31">
        <f>$I$41*$R$41</f>
        <v>0</v>
      </c>
      <c r="S93" s="31">
        <f>$I$41*$S$41</f>
        <v>0</v>
      </c>
      <c r="T93" s="31">
        <f>$I$41*$T$41</f>
        <v>0</v>
      </c>
      <c r="U93" s="31">
        <f>$I$41*$U$41</f>
        <v>0</v>
      </c>
      <c r="V93" s="31">
        <f>$I$41*$V$41</f>
        <v>0</v>
      </c>
      <c r="W93" s="31">
        <f>$I$41*$W$41</f>
        <v>0</v>
      </c>
      <c r="X93" s="31">
        <f>$I$41*$X$41</f>
        <v>0</v>
      </c>
      <c r="Y93" s="31">
        <f>$I$41*$Y$41</f>
        <v>0</v>
      </c>
      <c r="Z93" s="31">
        <f>$I$41*$Z$41</f>
        <v>0</v>
      </c>
      <c r="AA93" s="31">
        <f>$I$41*$AA$41</f>
        <v>0</v>
      </c>
      <c r="AB93" s="31">
        <f ca="1">$I$41*$AB$41</f>
        <v>0</v>
      </c>
      <c r="AC93" s="31">
        <f ca="1">$I$41*$AC$41</f>
        <v>0</v>
      </c>
      <c r="AD93" s="31">
        <f>$I$41*$AD$41</f>
        <v>0</v>
      </c>
      <c r="AE93" s="31">
        <f>$I$41*$AE$41</f>
        <v>0</v>
      </c>
      <c r="AF93" s="31">
        <f ca="1">$I$41*$AF$41</f>
        <v>0</v>
      </c>
      <c r="AG93" s="31">
        <f ca="1">$I$41*$AG$41</f>
        <v>0</v>
      </c>
      <c r="AI93" s="31">
        <f>$I$41*$AI$41</f>
        <v>0</v>
      </c>
      <c r="AJ93" s="31">
        <f>$I$41*$AJ$41</f>
        <v>0</v>
      </c>
      <c r="AK93" s="31">
        <f>$I$41*$AK$41</f>
        <v>0</v>
      </c>
      <c r="AL93" s="31">
        <f>$I$41*$AL$41</f>
        <v>0</v>
      </c>
      <c r="AM93" s="31">
        <f>$I$41*$AM$41</f>
        <v>0</v>
      </c>
      <c r="AN93" s="31">
        <f>$I$41*$AN$41</f>
        <v>0</v>
      </c>
      <c r="AO93" s="31">
        <f>$I$41*$AO$41</f>
        <v>0</v>
      </c>
      <c r="AP93" s="31">
        <f>$I$41*$AP$41</f>
        <v>0</v>
      </c>
      <c r="AQ93" s="31">
        <f>$I$41*$AQ$41</f>
        <v>0</v>
      </c>
      <c r="AR93" s="31">
        <f>$I$41*$AR$41</f>
        <v>0</v>
      </c>
      <c r="AS93" s="31">
        <f>$I$41*$AS$41</f>
        <v>0</v>
      </c>
      <c r="AT93" s="31">
        <f>$I$41*$AT$41</f>
        <v>0</v>
      </c>
      <c r="AU93" s="31">
        <f>$I$41*$AU$41</f>
        <v>0</v>
      </c>
      <c r="AV93" s="31">
        <f>$I$41*$AV$41</f>
        <v>0</v>
      </c>
      <c r="AW93" s="31">
        <f>$I$41*$AW$41</f>
        <v>0</v>
      </c>
      <c r="AX93" s="31">
        <f>$I$41*$AX$41</f>
        <v>0</v>
      </c>
      <c r="AY93" s="31">
        <f>$I$41*$AY$41</f>
        <v>0</v>
      </c>
      <c r="AZ93" s="31">
        <f>$I$41*$AZ$41</f>
        <v>0</v>
      </c>
      <c r="BA93" s="31">
        <f>$I$41*$BA$41</f>
        <v>0</v>
      </c>
      <c r="BB93" s="31">
        <f>$I$41*$BB$41</f>
        <v>0</v>
      </c>
      <c r="BC93" s="31">
        <f>$I$41*$BC$41</f>
        <v>0</v>
      </c>
      <c r="BD93" s="31">
        <f>$I$41*$BD$41</f>
        <v>0</v>
      </c>
    </row>
    <row r="94" spans="1:56" ht="11.25" customHeight="1" x14ac:dyDescent="0.25">
      <c r="A94" s="9" t="s">
        <v>41</v>
      </c>
      <c r="B94" s="9" t="s">
        <v>881</v>
      </c>
      <c r="C94" s="9" t="s">
        <v>882</v>
      </c>
      <c r="D94" s="9" t="s">
        <v>883</v>
      </c>
      <c r="E94" s="9" t="s">
        <v>884</v>
      </c>
      <c r="F94" s="9" t="s">
        <v>885</v>
      </c>
      <c r="G94" s="9" t="s">
        <v>886</v>
      </c>
      <c r="L94" s="31">
        <f>$I$42*$L$42</f>
        <v>0</v>
      </c>
      <c r="M94" s="31">
        <f>$I$42*$M$42</f>
        <v>0</v>
      </c>
      <c r="N94" s="31">
        <f ca="1">$I$42*$N$42</f>
        <v>0</v>
      </c>
      <c r="O94" s="31">
        <f>$I$42*$O$42</f>
        <v>0</v>
      </c>
      <c r="P94" s="31">
        <f>$I$42*$P$42</f>
        <v>0</v>
      </c>
      <c r="Q94" s="31">
        <f>$I$42*$Q$42</f>
        <v>0</v>
      </c>
      <c r="R94" s="31">
        <f>$I$42*$R$42</f>
        <v>0</v>
      </c>
      <c r="S94" s="31">
        <f>$I$42*$S$42</f>
        <v>0</v>
      </c>
      <c r="T94" s="31">
        <f>$I$42*$T$42</f>
        <v>0</v>
      </c>
      <c r="U94" s="31">
        <f>$I$42*$U$42</f>
        <v>0</v>
      </c>
      <c r="V94" s="31">
        <f>$I$42*$V$42</f>
        <v>0</v>
      </c>
      <c r="W94" s="31">
        <f>$I$42*$W$42</f>
        <v>0</v>
      </c>
      <c r="X94" s="31">
        <f>$I$42*$X$42</f>
        <v>0</v>
      </c>
      <c r="Y94" s="31">
        <f>$I$42*$Y$42</f>
        <v>0</v>
      </c>
      <c r="Z94" s="31">
        <f>$I$42*$Z$42</f>
        <v>0</v>
      </c>
      <c r="AA94" s="31">
        <f>$I$42*$AA$42</f>
        <v>0</v>
      </c>
      <c r="AB94" s="31">
        <f ca="1">$I$42*$AB$42</f>
        <v>0</v>
      </c>
      <c r="AC94" s="31">
        <f ca="1">$I$42*$AC$42</f>
        <v>0</v>
      </c>
      <c r="AD94" s="31">
        <f>$I$42*$AD$42</f>
        <v>0</v>
      </c>
      <c r="AE94" s="31">
        <f>$I$42*$AE$42</f>
        <v>0</v>
      </c>
      <c r="AF94" s="31">
        <f ca="1">$I$42*$AF$42</f>
        <v>0</v>
      </c>
      <c r="AG94" s="31">
        <f ca="1">$I$42*$AG$42</f>
        <v>0</v>
      </c>
      <c r="AI94" s="31">
        <f>$I$42*$AI$42</f>
        <v>0</v>
      </c>
      <c r="AJ94" s="31">
        <f>$I$42*$AJ$42</f>
        <v>0</v>
      </c>
      <c r="AK94" s="31">
        <f>$I$42*$AK$42</f>
        <v>0</v>
      </c>
      <c r="AL94" s="31">
        <f>$I$42*$AL$42</f>
        <v>0</v>
      </c>
      <c r="AM94" s="31">
        <f>$I$42*$AM$42</f>
        <v>0</v>
      </c>
      <c r="AN94" s="31">
        <f>$I$42*$AN$42</f>
        <v>0</v>
      </c>
      <c r="AO94" s="31">
        <f>$I$42*$AO$42</f>
        <v>0</v>
      </c>
      <c r="AP94" s="31">
        <f>$I$42*$AP$42</f>
        <v>0</v>
      </c>
      <c r="AQ94" s="31">
        <f>$I$42*$AQ$42</f>
        <v>0</v>
      </c>
      <c r="AR94" s="31">
        <f>$I$42*$AR$42</f>
        <v>0</v>
      </c>
      <c r="AS94" s="31">
        <f>$I$42*$AS$42</f>
        <v>0</v>
      </c>
      <c r="AT94" s="31">
        <f>$I$42*$AT$42</f>
        <v>0</v>
      </c>
      <c r="AU94" s="31">
        <f>$I$42*$AU$42</f>
        <v>0</v>
      </c>
      <c r="AV94" s="31">
        <f>$I$42*$AV$42</f>
        <v>0</v>
      </c>
      <c r="AW94" s="31">
        <f>$I$42*$AW$42</f>
        <v>0</v>
      </c>
      <c r="AX94" s="31">
        <f>$I$42*$AX$42</f>
        <v>0</v>
      </c>
      <c r="AY94" s="31">
        <f>$I$42*$AY$42</f>
        <v>0</v>
      </c>
      <c r="AZ94" s="31">
        <f>$I$42*$AZ$42</f>
        <v>0</v>
      </c>
      <c r="BA94" s="31">
        <f>$I$42*$BA$42</f>
        <v>0</v>
      </c>
      <c r="BB94" s="31">
        <f>$I$42*$BB$42</f>
        <v>0</v>
      </c>
      <c r="BC94" s="31">
        <f>$I$42*$BC$42</f>
        <v>0</v>
      </c>
      <c r="BD94" s="31">
        <f>$I$42*$BD$42</f>
        <v>0</v>
      </c>
    </row>
    <row r="95" spans="1:56" ht="11.25" customHeight="1" x14ac:dyDescent="0.25">
      <c r="A95" s="9" t="s">
        <v>41</v>
      </c>
      <c r="B95" s="9" t="s">
        <v>881</v>
      </c>
      <c r="C95" s="9" t="s">
        <v>882</v>
      </c>
      <c r="D95" s="9" t="s">
        <v>887</v>
      </c>
      <c r="E95" s="9" t="s">
        <v>888</v>
      </c>
      <c r="F95" s="9" t="s">
        <v>889</v>
      </c>
      <c r="G95" s="9" t="s">
        <v>890</v>
      </c>
      <c r="L95" s="31">
        <f>$I$43*$L$43</f>
        <v>0</v>
      </c>
      <c r="M95" s="31">
        <f>$I$43*$M$43</f>
        <v>0</v>
      </c>
      <c r="N95" s="31">
        <f ca="1">$I$43*$N$43</f>
        <v>0</v>
      </c>
      <c r="O95" s="31">
        <f>$I$43*$O$43</f>
        <v>0</v>
      </c>
      <c r="P95" s="31">
        <f>$I$43*$P$43</f>
        <v>0</v>
      </c>
      <c r="Q95" s="31">
        <f>$I$43*$Q$43</f>
        <v>0</v>
      </c>
      <c r="R95" s="31">
        <f>$I$43*$R$43</f>
        <v>0</v>
      </c>
      <c r="S95" s="31">
        <f>$I$43*$S$43</f>
        <v>0</v>
      </c>
      <c r="T95" s="31">
        <f>$I$43*$T$43</f>
        <v>0</v>
      </c>
      <c r="U95" s="31">
        <f>$I$43*$U$43</f>
        <v>0</v>
      </c>
      <c r="V95" s="31">
        <f>$I$43*$V$43</f>
        <v>0</v>
      </c>
      <c r="W95" s="31">
        <f>$I$43*$W$43</f>
        <v>0</v>
      </c>
      <c r="X95" s="31">
        <f>$I$43*$X$43</f>
        <v>0</v>
      </c>
      <c r="Y95" s="31">
        <f>$I$43*$Y$43</f>
        <v>0</v>
      </c>
      <c r="Z95" s="31">
        <f>$I$43*$Z$43</f>
        <v>0</v>
      </c>
      <c r="AA95" s="31">
        <f>$I$43*$AA$43</f>
        <v>0</v>
      </c>
      <c r="AB95" s="31">
        <f ca="1">$I$43*$AB$43</f>
        <v>0</v>
      </c>
      <c r="AC95" s="31">
        <f ca="1">$I$43*$AC$43</f>
        <v>0</v>
      </c>
      <c r="AD95" s="31">
        <f>$I$43*$AD$43</f>
        <v>0</v>
      </c>
      <c r="AE95" s="31">
        <f>$I$43*$AE$43</f>
        <v>0</v>
      </c>
      <c r="AF95" s="31">
        <f ca="1">$I$43*$AF$43</f>
        <v>0</v>
      </c>
      <c r="AG95" s="31">
        <f ca="1">$I$43*$AG$43</f>
        <v>0</v>
      </c>
      <c r="AI95" s="31">
        <f>$I$43*$AI$43</f>
        <v>0</v>
      </c>
      <c r="AJ95" s="31">
        <f>$I$43*$AJ$43</f>
        <v>0</v>
      </c>
      <c r="AK95" s="31">
        <f>$I$43*$AK$43</f>
        <v>0</v>
      </c>
      <c r="AL95" s="31">
        <f>$I$43*$AL$43</f>
        <v>0</v>
      </c>
      <c r="AM95" s="31">
        <f>$I$43*$AM$43</f>
        <v>0</v>
      </c>
      <c r="AN95" s="31">
        <f>$I$43*$AN$43</f>
        <v>0</v>
      </c>
      <c r="AO95" s="31">
        <f>$I$43*$AO$43</f>
        <v>0</v>
      </c>
      <c r="AP95" s="31">
        <f>$I$43*$AP$43</f>
        <v>0</v>
      </c>
      <c r="AQ95" s="31">
        <f>$I$43*$AQ$43</f>
        <v>0</v>
      </c>
      <c r="AR95" s="31">
        <f>$I$43*$AR$43</f>
        <v>0</v>
      </c>
      <c r="AS95" s="31">
        <f>$I$43*$AS$43</f>
        <v>0</v>
      </c>
      <c r="AT95" s="31">
        <f>$I$43*$AT$43</f>
        <v>0</v>
      </c>
      <c r="AU95" s="31">
        <f>$I$43*$AU$43</f>
        <v>0</v>
      </c>
      <c r="AV95" s="31">
        <f>$I$43*$AV$43</f>
        <v>0</v>
      </c>
      <c r="AW95" s="31">
        <f>$I$43*$AW$43</f>
        <v>0</v>
      </c>
      <c r="AX95" s="31">
        <f>$I$43*$AX$43</f>
        <v>0</v>
      </c>
      <c r="AY95" s="31">
        <f>$I$43*$AY$43</f>
        <v>0</v>
      </c>
      <c r="AZ95" s="31">
        <f>$I$43*$AZ$43</f>
        <v>0</v>
      </c>
      <c r="BA95" s="31">
        <f>$I$43*$BA$43</f>
        <v>0</v>
      </c>
      <c r="BB95" s="31">
        <f>$I$43*$BB$43</f>
        <v>0</v>
      </c>
      <c r="BC95" s="31">
        <f>$I$43*$BC$43</f>
        <v>0</v>
      </c>
      <c r="BD95" s="31">
        <f>$I$43*$BD$43</f>
        <v>0</v>
      </c>
    </row>
    <row r="96" spans="1:56" ht="11.25" customHeight="1" x14ac:dyDescent="0.25">
      <c r="A96" s="9" t="s">
        <v>41</v>
      </c>
      <c r="B96" s="9" t="s">
        <v>881</v>
      </c>
      <c r="C96" s="9" t="s">
        <v>882</v>
      </c>
      <c r="D96" s="9" t="s">
        <v>891</v>
      </c>
      <c r="E96" s="9" t="s">
        <v>892</v>
      </c>
      <c r="F96" s="9" t="s">
        <v>893</v>
      </c>
      <c r="G96" s="9" t="s">
        <v>894</v>
      </c>
      <c r="L96" s="31">
        <f>$I$44*$L$44</f>
        <v>0</v>
      </c>
      <c r="M96" s="31">
        <f>$I$44*$M$44</f>
        <v>0</v>
      </c>
      <c r="N96" s="31">
        <f ca="1">$I$44*$N$44</f>
        <v>0</v>
      </c>
      <c r="O96" s="31">
        <f>$I$44*$O$44</f>
        <v>0</v>
      </c>
      <c r="P96" s="31">
        <f>$I$44*$P$44</f>
        <v>0</v>
      </c>
      <c r="Q96" s="31">
        <f>$I$44*$Q$44</f>
        <v>0</v>
      </c>
      <c r="R96" s="31">
        <f>$I$44*$R$44</f>
        <v>0</v>
      </c>
      <c r="S96" s="31">
        <f>$I$44*$S$44</f>
        <v>0</v>
      </c>
      <c r="T96" s="31">
        <f>$I$44*$T$44</f>
        <v>0</v>
      </c>
      <c r="U96" s="31">
        <f>$I$44*$U$44</f>
        <v>0</v>
      </c>
      <c r="V96" s="31">
        <f>$I$44*$V$44</f>
        <v>0</v>
      </c>
      <c r="W96" s="31">
        <f>$I$44*$W$44</f>
        <v>0</v>
      </c>
      <c r="X96" s="31">
        <f>$I$44*$X$44</f>
        <v>0</v>
      </c>
      <c r="Y96" s="31">
        <f>$I$44*$Y$44</f>
        <v>0</v>
      </c>
      <c r="Z96" s="31">
        <f>$I$44*$Z$44</f>
        <v>0</v>
      </c>
      <c r="AA96" s="31">
        <f>$I$44*$AA$44</f>
        <v>0</v>
      </c>
      <c r="AB96" s="31">
        <f ca="1">$I$44*$AB$44</f>
        <v>0</v>
      </c>
      <c r="AC96" s="31">
        <f ca="1">$I$44*$AC$44</f>
        <v>0</v>
      </c>
      <c r="AD96" s="31">
        <f>$I$44*$AD$44</f>
        <v>0</v>
      </c>
      <c r="AE96" s="31">
        <f>$I$44*$AE$44</f>
        <v>0</v>
      </c>
      <c r="AF96" s="31">
        <f ca="1">$I$44*$AF$44</f>
        <v>0</v>
      </c>
      <c r="AG96" s="31">
        <f ca="1">$I$44*$AG$44</f>
        <v>0</v>
      </c>
      <c r="AI96" s="31">
        <f>$I$44*$AI$44</f>
        <v>0</v>
      </c>
      <c r="AJ96" s="31">
        <f>$I$44*$AJ$44</f>
        <v>0</v>
      </c>
      <c r="AK96" s="31">
        <f>$I$44*$AK$44</f>
        <v>0</v>
      </c>
      <c r="AL96" s="31">
        <f>$I$44*$AL$44</f>
        <v>0</v>
      </c>
      <c r="AM96" s="31">
        <f>$I$44*$AM$44</f>
        <v>0</v>
      </c>
      <c r="AN96" s="31">
        <f>$I$44*$AN$44</f>
        <v>0</v>
      </c>
      <c r="AO96" s="31">
        <f>$I$44*$AO$44</f>
        <v>0</v>
      </c>
      <c r="AP96" s="31">
        <f>$I$44*$AP$44</f>
        <v>0</v>
      </c>
      <c r="AQ96" s="31">
        <f>$I$44*$AQ$44</f>
        <v>0</v>
      </c>
      <c r="AR96" s="31">
        <f>$I$44*$AR$44</f>
        <v>0</v>
      </c>
      <c r="AS96" s="31">
        <f>$I$44*$AS$44</f>
        <v>0</v>
      </c>
      <c r="AT96" s="31">
        <f>$I$44*$AT$44</f>
        <v>0</v>
      </c>
      <c r="AU96" s="31">
        <f>$I$44*$AU$44</f>
        <v>0</v>
      </c>
      <c r="AV96" s="31">
        <f>$I$44*$AV$44</f>
        <v>0</v>
      </c>
      <c r="AW96" s="31">
        <f>$I$44*$AW$44</f>
        <v>0</v>
      </c>
      <c r="AX96" s="31">
        <f>$I$44*$AX$44</f>
        <v>0</v>
      </c>
      <c r="AY96" s="31">
        <f>$I$44*$AY$44</f>
        <v>0</v>
      </c>
      <c r="AZ96" s="31">
        <f>$I$44*$AZ$44</f>
        <v>0</v>
      </c>
      <c r="BA96" s="31">
        <f>$I$44*$BA$44</f>
        <v>0</v>
      </c>
      <c r="BB96" s="31">
        <f>$I$44*$BB$44</f>
        <v>0</v>
      </c>
      <c r="BC96" s="31">
        <f>$I$44*$BC$44</f>
        <v>0</v>
      </c>
      <c r="BD96" s="31">
        <f>$I$44*$BD$44</f>
        <v>0</v>
      </c>
    </row>
    <row r="97" spans="1:56" ht="11.25" customHeight="1" x14ac:dyDescent="0.25">
      <c r="A97" s="9" t="s">
        <v>33</v>
      </c>
      <c r="B97" s="9" t="s">
        <v>895</v>
      </c>
      <c r="C97" s="9" t="s">
        <v>896</v>
      </c>
      <c r="D97" s="9" t="s">
        <v>897</v>
      </c>
      <c r="E97" s="9" t="s">
        <v>898</v>
      </c>
      <c r="F97" s="9" t="s">
        <v>899</v>
      </c>
      <c r="G97" s="9" t="s">
        <v>900</v>
      </c>
      <c r="L97" s="31">
        <f>$I$45*$L$45</f>
        <v>0</v>
      </c>
      <c r="M97" s="31">
        <f>$I$45*$M$45</f>
        <v>0.87137448211510948</v>
      </c>
      <c r="N97" s="31">
        <f ca="1">$I$45*$N$45</f>
        <v>14.239029320139073</v>
      </c>
      <c r="O97" s="31">
        <f>$I$45*$O$45</f>
        <v>0</v>
      </c>
      <c r="P97" s="31">
        <f>$I$45*$P$45</f>
        <v>0</v>
      </c>
      <c r="Q97" s="31">
        <f>$I$45*$Q$45</f>
        <v>122.46672323560087</v>
      </c>
      <c r="R97" s="31">
        <f>$I$45*$R$45</f>
        <v>19.532820721526164</v>
      </c>
      <c r="S97" s="31">
        <f>$I$45*$S$45</f>
        <v>0</v>
      </c>
      <c r="T97" s="31">
        <f>$I$45*$T$45</f>
        <v>0</v>
      </c>
      <c r="U97" s="31">
        <f>$I$45*$U$45</f>
        <v>0</v>
      </c>
      <c r="V97" s="31">
        <f>$I$45*$V$45</f>
        <v>0</v>
      </c>
      <c r="W97" s="31">
        <f>$I$45*$W$45</f>
        <v>0</v>
      </c>
      <c r="X97" s="31">
        <f>$I$45*$X$45</f>
        <v>411.50659377121661</v>
      </c>
      <c r="Y97" s="31">
        <f>$I$45*$Y$45</f>
        <v>0</v>
      </c>
      <c r="Z97" s="31">
        <f>$I$45*$Z$45</f>
        <v>0</v>
      </c>
      <c r="AA97" s="31">
        <f>$I$45*$AA$45</f>
        <v>655.75681987070936</v>
      </c>
      <c r="AB97" s="31">
        <f ca="1">$I$45*$AB$45</f>
        <v>0</v>
      </c>
      <c r="AC97" s="31">
        <f ca="1">$I$45*$AC$45</f>
        <v>0</v>
      </c>
      <c r="AD97" s="31">
        <f>$I$45*$AD$45</f>
        <v>22.357433119670109</v>
      </c>
      <c r="AE97" s="31">
        <f>$I$45*$AE$45</f>
        <v>0.48371928096215028</v>
      </c>
      <c r="AF97" s="31">
        <f ca="1">$I$45*$AF$45</f>
        <v>0.38737412805708876</v>
      </c>
      <c r="AG97" s="31">
        <f ca="1">$I$45*$AG$45</f>
        <v>0.42321764933237066</v>
      </c>
      <c r="AI97" s="31">
        <f>$I$45*$AI$45</f>
        <v>0</v>
      </c>
      <c r="AJ97" s="31">
        <f>$I$45*$AJ$45</f>
        <v>0.73666137409274091</v>
      </c>
      <c r="AK97" s="31">
        <f>$I$45*$AK$45</f>
        <v>12.217833000077915</v>
      </c>
      <c r="AL97" s="31">
        <f>$I$45*$AL$45</f>
        <v>0</v>
      </c>
      <c r="AM97" s="31">
        <f>$I$45*$AM$45</f>
        <v>0</v>
      </c>
      <c r="AN97" s="31">
        <f>$I$45*$AN$45</f>
        <v>66.606471138946247</v>
      </c>
      <c r="AO97" s="31">
        <f>$I$45*$AO$45</f>
        <v>11.335410982808503</v>
      </c>
      <c r="AP97" s="31">
        <f>$I$45*$AP$45</f>
        <v>0</v>
      </c>
      <c r="AQ97" s="31">
        <f>$I$45*$AQ$45</f>
        <v>0</v>
      </c>
      <c r="AR97" s="31">
        <f>$I$45*$AR$45</f>
        <v>0</v>
      </c>
      <c r="AS97" s="31">
        <f>$I$45*$AS$45</f>
        <v>0</v>
      </c>
      <c r="AT97" s="31">
        <f>$I$45*$AT$45</f>
        <v>0</v>
      </c>
      <c r="AU97" s="31">
        <f>$I$45*$AU$45</f>
        <v>417.05076145434589</v>
      </c>
      <c r="AV97" s="31">
        <f>$I$45*$AV$45</f>
        <v>0</v>
      </c>
      <c r="AW97" s="31">
        <f>$I$45*$AW$45</f>
        <v>0</v>
      </c>
      <c r="AX97" s="31">
        <f>$I$45*$AX$45</f>
        <v>601.26047805620021</v>
      </c>
      <c r="AY97" s="31">
        <f>$I$45*$AY$45</f>
        <v>0</v>
      </c>
      <c r="AZ97" s="31">
        <f>$I$45*$AZ$45</f>
        <v>0</v>
      </c>
      <c r="BA97" s="31">
        <f>$I$45*$BA$45</f>
        <v>27.374080502987283</v>
      </c>
      <c r="BB97" s="31">
        <f>$I$45*$BB$45</f>
        <v>0</v>
      </c>
      <c r="BC97" s="31">
        <f>$I$45*$BC$45</f>
        <v>0.28866832437307588</v>
      </c>
      <c r="BD97" s="31">
        <f>$I$45*$BD$45</f>
        <v>0.35499494442123164</v>
      </c>
    </row>
    <row r="98" spans="1:56" ht="11.25" customHeight="1" x14ac:dyDescent="0.25">
      <c r="A98" s="9" t="s">
        <v>33</v>
      </c>
      <c r="B98" s="9" t="s">
        <v>895</v>
      </c>
      <c r="C98" s="9" t="s">
        <v>896</v>
      </c>
      <c r="D98" s="9" t="s">
        <v>897</v>
      </c>
      <c r="E98" s="9" t="s">
        <v>898</v>
      </c>
      <c r="F98" s="9" t="s">
        <v>899</v>
      </c>
      <c r="G98" s="9" t="s">
        <v>901</v>
      </c>
      <c r="L98" s="31">
        <f>$I$46*$L$46</f>
        <v>0</v>
      </c>
      <c r="M98" s="31">
        <f>$I$46*$M$46</f>
        <v>1.1725337329513845</v>
      </c>
      <c r="N98" s="31">
        <f ca="1">$I$46*$N$46</f>
        <v>11.893522848957314</v>
      </c>
      <c r="O98" s="31">
        <f>$I$46*$O$46</f>
        <v>0</v>
      </c>
      <c r="P98" s="31">
        <f>$I$46*$P$46</f>
        <v>0</v>
      </c>
      <c r="Q98" s="31">
        <f>$I$46*$Q$46</f>
        <v>164.79294161702788</v>
      </c>
      <c r="R98" s="31">
        <f>$I$46*$R$46</f>
        <v>26.283637707737842</v>
      </c>
      <c r="S98" s="31">
        <f>$I$46*$S$46</f>
        <v>0</v>
      </c>
      <c r="T98" s="31">
        <f>$I$46*$T$46</f>
        <v>0</v>
      </c>
      <c r="U98" s="31">
        <f>$I$46*$U$46</f>
        <v>0</v>
      </c>
      <c r="V98" s="31">
        <f>$I$46*$V$46</f>
        <v>0</v>
      </c>
      <c r="W98" s="31">
        <f>$I$46*$W$46</f>
        <v>0</v>
      </c>
      <c r="X98" s="31">
        <f>$I$46*$X$46</f>
        <v>332.2374639849395</v>
      </c>
      <c r="Y98" s="31">
        <f>$I$46*$Y$46</f>
        <v>0</v>
      </c>
      <c r="Z98" s="31">
        <f>$I$46*$Z$46</f>
        <v>0</v>
      </c>
      <c r="AA98" s="31">
        <f>$I$46*$AA$46</f>
        <v>529.4372857405283</v>
      </c>
      <c r="AB98" s="31">
        <f ca="1">$I$46*$AB$46</f>
        <v>0</v>
      </c>
      <c r="AC98" s="31">
        <f ca="1">$I$46*$AC$46</f>
        <v>0</v>
      </c>
      <c r="AD98" s="31">
        <f>$I$46*$AD$46</f>
        <v>30.084475794363119</v>
      </c>
      <c r="AE98" s="31">
        <f>$I$46*$AE$46</f>
        <v>0.65089945350520939</v>
      </c>
      <c r="AF98" s="31">
        <f ca="1">$I$46*$AF$46</f>
        <v>0.52125606354348619</v>
      </c>
      <c r="AG98" s="31">
        <f ca="1">$I$46*$AG$46</f>
        <v>0.56948760883847083</v>
      </c>
      <c r="AI98" s="31">
        <f>$I$46*$AI$46</f>
        <v>0</v>
      </c>
      <c r="AJ98" s="31">
        <f>$I$46*$AJ$46</f>
        <v>0.9912618840861972</v>
      </c>
      <c r="AK98" s="31">
        <f>$I$46*$AK$46</f>
        <v>10.371100304822825</v>
      </c>
      <c r="AL98" s="31">
        <f>$I$46*$AL$46</f>
        <v>0</v>
      </c>
      <c r="AM98" s="31">
        <f>$I$46*$AM$46</f>
        <v>0</v>
      </c>
      <c r="AN98" s="31">
        <f>$I$46*$AN$46</f>
        <v>89.626602392231206</v>
      </c>
      <c r="AO98" s="31">
        <f>$I$46*$AO$46</f>
        <v>15.253088111954602</v>
      </c>
      <c r="AP98" s="31">
        <f>$I$46*$AP$46</f>
        <v>0</v>
      </c>
      <c r="AQ98" s="31">
        <f>$I$46*$AQ$46</f>
        <v>0</v>
      </c>
      <c r="AR98" s="31">
        <f>$I$46*$AR$46</f>
        <v>0</v>
      </c>
      <c r="AS98" s="31">
        <f>$I$46*$AS$46</f>
        <v>0</v>
      </c>
      <c r="AT98" s="31">
        <f>$I$46*$AT$46</f>
        <v>0</v>
      </c>
      <c r="AU98" s="31">
        <f>$I$46*$AU$46</f>
        <v>336.7135205403564</v>
      </c>
      <c r="AV98" s="31">
        <f>$I$46*$AV$46</f>
        <v>0</v>
      </c>
      <c r="AW98" s="31">
        <f>$I$46*$AW$46</f>
        <v>0</v>
      </c>
      <c r="AX98" s="31">
        <f>$I$46*$AX$46</f>
        <v>485.43879105799073</v>
      </c>
      <c r="AY98" s="31">
        <f>$I$46*$AY$46</f>
        <v>0</v>
      </c>
      <c r="AZ98" s="31">
        <f>$I$46*$AZ$46</f>
        <v>0</v>
      </c>
      <c r="BA98" s="31">
        <f>$I$46*$BA$46</f>
        <v>36.834946922440793</v>
      </c>
      <c r="BB98" s="31">
        <f>$I$46*$BB$46</f>
        <v>0</v>
      </c>
      <c r="BC98" s="31">
        <f>$I$46*$BC$46</f>
        <v>0.38843614876166538</v>
      </c>
      <c r="BD98" s="31">
        <f>$I$46*$BD$46</f>
        <v>0.47768617959839427</v>
      </c>
    </row>
    <row r="99" spans="1:56" ht="11.25" customHeight="1" x14ac:dyDescent="0.25">
      <c r="A99" s="9" t="s">
        <v>33</v>
      </c>
      <c r="B99" s="9" t="s">
        <v>895</v>
      </c>
      <c r="C99" s="9" t="s">
        <v>896</v>
      </c>
      <c r="D99" s="9" t="s">
        <v>897</v>
      </c>
      <c r="E99" s="9" t="s">
        <v>898</v>
      </c>
      <c r="F99" s="9" t="s">
        <v>899</v>
      </c>
      <c r="G99" s="9" t="s">
        <v>902</v>
      </c>
      <c r="L99" s="31">
        <f>$I$47*$L$47</f>
        <v>0</v>
      </c>
      <c r="M99" s="31">
        <f>$I$47*$M$47</f>
        <v>20.785338852768579</v>
      </c>
      <c r="N99" s="31">
        <f ca="1">$I$47*$N$47</f>
        <v>82.018804464769062</v>
      </c>
      <c r="O99" s="31">
        <f>$I$47*$O$47</f>
        <v>0</v>
      </c>
      <c r="P99" s="31">
        <f>$I$47*$P$47</f>
        <v>0</v>
      </c>
      <c r="Q99" s="31">
        <f>$I$47*$Q$47</f>
        <v>2921.2610569699082</v>
      </c>
      <c r="R99" s="31">
        <f>$I$47*$R$47</f>
        <v>465.92631042145712</v>
      </c>
      <c r="S99" s="31">
        <f>$I$47*$S$47</f>
        <v>0</v>
      </c>
      <c r="T99" s="31">
        <f>$I$47*$T$47</f>
        <v>0</v>
      </c>
      <c r="U99" s="31">
        <f>$I$47*$U$47</f>
        <v>0</v>
      </c>
      <c r="V99" s="31">
        <f>$I$47*$V$47</f>
        <v>0</v>
      </c>
      <c r="W99" s="31">
        <f>$I$47*$W$47</f>
        <v>0</v>
      </c>
      <c r="X99" s="31">
        <f>$I$47*$X$47</f>
        <v>1963.1764739492339</v>
      </c>
      <c r="Y99" s="31">
        <f>$I$47*$Y$47</f>
        <v>0</v>
      </c>
      <c r="Z99" s="31">
        <f>$I$47*$Z$47</f>
        <v>0</v>
      </c>
      <c r="AA99" s="31">
        <f>$I$47*$AA$47</f>
        <v>3128.4207650871231</v>
      </c>
      <c r="AB99" s="31">
        <f ca="1">$I$47*$AB$47</f>
        <v>0</v>
      </c>
      <c r="AC99" s="31">
        <f ca="1">$I$47*$AC$47</f>
        <v>0</v>
      </c>
      <c r="AD99" s="31">
        <f>$I$47*$AD$47</f>
        <v>533.30322703788545</v>
      </c>
      <c r="AE99" s="31">
        <f>$I$47*$AE$47</f>
        <v>11.538402111582242</v>
      </c>
      <c r="AF99" s="31">
        <f ca="1">$I$47*$AF$47</f>
        <v>9.2402321616284357</v>
      </c>
      <c r="AG99" s="31">
        <f ca="1">$I$47*$AG$47</f>
        <v>10.095225910785228</v>
      </c>
      <c r="AI99" s="31">
        <f>$I$47*$AI$47</f>
        <v>0</v>
      </c>
      <c r="AJ99" s="31">
        <f>$I$47*$AJ$47</f>
        <v>17.571958548863076</v>
      </c>
      <c r="AK99" s="31">
        <f>$I$47*$AK$47</f>
        <v>76.255855847646941</v>
      </c>
      <c r="AL99" s="31">
        <f>$I$47*$AL$47</f>
        <v>0</v>
      </c>
      <c r="AM99" s="31">
        <f>$I$47*$AM$47</f>
        <v>0</v>
      </c>
      <c r="AN99" s="31">
        <f>$I$47*$AN$47</f>
        <v>1588.7980435801455</v>
      </c>
      <c r="AO99" s="31">
        <f>$I$47*$AO$47</f>
        <v>270.38932531185236</v>
      </c>
      <c r="AP99" s="31">
        <f>$I$47*$AP$47</f>
        <v>0</v>
      </c>
      <c r="AQ99" s="31">
        <f>$I$47*$AQ$47</f>
        <v>0</v>
      </c>
      <c r="AR99" s="31">
        <f>$I$47*$AR$47</f>
        <v>0</v>
      </c>
      <c r="AS99" s="31">
        <f>$I$47*$AS$47</f>
        <v>0</v>
      </c>
      <c r="AT99" s="31">
        <f>$I$47*$AT$47</f>
        <v>0</v>
      </c>
      <c r="AU99" s="31">
        <f>$I$47*$AU$47</f>
        <v>1989.6256345731736</v>
      </c>
      <c r="AV99" s="31">
        <f>$I$47*$AV$47</f>
        <v>0</v>
      </c>
      <c r="AW99" s="31">
        <f>$I$47*$AW$47</f>
        <v>0</v>
      </c>
      <c r="AX99" s="31">
        <f>$I$47*$AX$47</f>
        <v>2868.4338125907771</v>
      </c>
      <c r="AY99" s="31">
        <f>$I$47*$AY$47</f>
        <v>0</v>
      </c>
      <c r="AZ99" s="31">
        <f>$I$47*$AZ$47</f>
        <v>0</v>
      </c>
      <c r="BA99" s="31">
        <f>$I$47*$BA$47</f>
        <v>652.96786940152049</v>
      </c>
      <c r="BB99" s="31">
        <f>$I$47*$BB$47</f>
        <v>0</v>
      </c>
      <c r="BC99" s="31">
        <f>$I$47*$BC$47</f>
        <v>6.8857524076114514</v>
      </c>
      <c r="BD99" s="31">
        <f>$I$47*$BD$47</f>
        <v>8.467875020742591</v>
      </c>
    </row>
    <row r="100" spans="1:56" ht="11.25" customHeight="1" x14ac:dyDescent="0.25">
      <c r="A100" s="9" t="s">
        <v>33</v>
      </c>
      <c r="B100" s="9" t="s">
        <v>903</v>
      </c>
      <c r="C100" s="9" t="s">
        <v>904</v>
      </c>
      <c r="D100" s="9" t="s">
        <v>905</v>
      </c>
      <c r="E100" s="9" t="s">
        <v>906</v>
      </c>
      <c r="F100" s="9" t="s">
        <v>907</v>
      </c>
      <c r="G100" s="9" t="s">
        <v>908</v>
      </c>
      <c r="L100" s="31">
        <f>$I$48*$L$48</f>
        <v>0</v>
      </c>
      <c r="M100" s="31">
        <f>$I$48*$M$48</f>
        <v>22304.706382327102</v>
      </c>
      <c r="N100" s="31">
        <f ca="1">$I$48*$N$48</f>
        <v>117635.37748298618</v>
      </c>
      <c r="O100" s="31">
        <f>$I$48*$O$48</f>
        <v>0</v>
      </c>
      <c r="P100" s="31">
        <f>$I$48*$P$48</f>
        <v>0</v>
      </c>
      <c r="Q100" s="31">
        <f>$I$48*$Q$48</f>
        <v>3134799.5143779623</v>
      </c>
      <c r="R100" s="31">
        <f>$I$48*$R$48</f>
        <v>499984.61046822654</v>
      </c>
      <c r="S100" s="31">
        <f>$I$48*$S$48</f>
        <v>0</v>
      </c>
      <c r="T100" s="31">
        <f>$I$48*$T$48</f>
        <v>0</v>
      </c>
      <c r="U100" s="31">
        <f>$I$48*$U$48</f>
        <v>0</v>
      </c>
      <c r="V100" s="31">
        <f>$I$48*$V$48</f>
        <v>0</v>
      </c>
      <c r="W100" s="31">
        <f>$I$48*$W$48</f>
        <v>0</v>
      </c>
      <c r="X100" s="31">
        <f>$I$48*$X$48</f>
        <v>3009542.6059375252</v>
      </c>
      <c r="Y100" s="31">
        <f>$I$48*$Y$48</f>
        <v>0</v>
      </c>
      <c r="Z100" s="31">
        <f>$I$48*$Z$48</f>
        <v>0</v>
      </c>
      <c r="AA100" s="31">
        <f>$I$48*$AA$48</f>
        <v>4795858.5742134955</v>
      </c>
      <c r="AB100" s="31">
        <f ca="1">$I$48*$AB$48</f>
        <v>0</v>
      </c>
      <c r="AC100" s="31">
        <f ca="1">$I$48*$AC$48</f>
        <v>0</v>
      </c>
      <c r="AD100" s="31">
        <f>$I$48*$AD$48</f>
        <v>572286.64762629755</v>
      </c>
      <c r="AE100" s="31">
        <f>$I$48*$AE$48</f>
        <v>12381.836689940941</v>
      </c>
      <c r="AF100" s="31">
        <f ca="1">$I$48*$AF$48</f>
        <v>9915.6750212039769</v>
      </c>
      <c r="AG100" s="31">
        <f ca="1">$I$48*$AG$48</f>
        <v>10833.167137582303</v>
      </c>
      <c r="AI100" s="31">
        <f>$I$48*$AI$48</f>
        <v>0</v>
      </c>
      <c r="AJ100" s="31">
        <f>$I$48*$AJ$48</f>
        <v>18856.434276634754</v>
      </c>
      <c r="AK100" s="31">
        <f>$I$48*$AK$48</f>
        <v>102112.79499864734</v>
      </c>
      <c r="AL100" s="31">
        <f>$I$48*$AL$48</f>
        <v>0</v>
      </c>
      <c r="AM100" s="31">
        <f>$I$48*$AM$48</f>
        <v>0</v>
      </c>
      <c r="AN100" s="31">
        <f>$I$48*$AN$48</f>
        <v>1704936.0664211945</v>
      </c>
      <c r="AO100" s="31">
        <f>$I$48*$AO$48</f>
        <v>290154.25501196855</v>
      </c>
      <c r="AP100" s="31">
        <f>$I$48*$AP$48</f>
        <v>0</v>
      </c>
      <c r="AQ100" s="31">
        <f>$I$48*$AQ$48</f>
        <v>0</v>
      </c>
      <c r="AR100" s="31">
        <f>$I$48*$AR$48</f>
        <v>0</v>
      </c>
      <c r="AS100" s="31">
        <f>$I$48*$AS$48</f>
        <v>0</v>
      </c>
      <c r="AT100" s="31">
        <f>$I$48*$AT$48</f>
        <v>0</v>
      </c>
      <c r="AU100" s="31">
        <f>$I$48*$AU$48</f>
        <v>2885221.3740714327</v>
      </c>
      <c r="AV100" s="31">
        <f>$I$48*$AV$48</f>
        <v>0</v>
      </c>
      <c r="AW100" s="31">
        <f>$I$48*$AW$48</f>
        <v>0</v>
      </c>
      <c r="AX100" s="31">
        <f>$I$48*$AX$48</f>
        <v>4159608.4426842714</v>
      </c>
      <c r="AY100" s="31">
        <f>$I$48*$AY$48</f>
        <v>0</v>
      </c>
      <c r="AZ100" s="31">
        <f>$I$48*$AZ$48</f>
        <v>0</v>
      </c>
      <c r="BA100" s="31">
        <f>$I$48*$BA$48</f>
        <v>700698.54079644626</v>
      </c>
      <c r="BB100" s="31">
        <f>$I$48*$BB$48</f>
        <v>0</v>
      </c>
      <c r="BC100" s="31">
        <f>$I$48*$BC$48</f>
        <v>7389.0874120975941</v>
      </c>
      <c r="BD100" s="31">
        <f>$I$48*$BD$48</f>
        <v>9086.8600871882263</v>
      </c>
    </row>
    <row r="101" spans="1:56" ht="11.25" customHeight="1" x14ac:dyDescent="0.25">
      <c r="A101" s="9" t="s">
        <v>33</v>
      </c>
      <c r="B101" s="9" t="s">
        <v>909</v>
      </c>
      <c r="C101" s="9" t="s">
        <v>910</v>
      </c>
      <c r="D101" s="9" t="s">
        <v>911</v>
      </c>
      <c r="E101" s="9" t="s">
        <v>912</v>
      </c>
      <c r="F101" s="9" t="s">
        <v>913</v>
      </c>
      <c r="G101" s="9" t="s">
        <v>914</v>
      </c>
      <c r="L101" s="31">
        <f>$I$49*$L$49</f>
        <v>0</v>
      </c>
      <c r="M101" s="31">
        <f>$I$49*$M$49</f>
        <v>0</v>
      </c>
      <c r="N101" s="31">
        <f ca="1">$I$49*$N$49</f>
        <v>0</v>
      </c>
      <c r="O101" s="31">
        <f>$I$49*$O$49</f>
        <v>0</v>
      </c>
      <c r="P101" s="31">
        <f>$I$49*$P$49</f>
        <v>0</v>
      </c>
      <c r="Q101" s="31">
        <f>$I$49*$Q$49</f>
        <v>0</v>
      </c>
      <c r="R101" s="31">
        <f>$I$49*$R$49</f>
        <v>0</v>
      </c>
      <c r="S101" s="31">
        <f>$I$49*$S$49</f>
        <v>0</v>
      </c>
      <c r="T101" s="31">
        <f>$I$49*$T$49</f>
        <v>0</v>
      </c>
      <c r="U101" s="31">
        <f>$I$49*$U$49</f>
        <v>0</v>
      </c>
      <c r="V101" s="31">
        <f>$I$49*$V$49</f>
        <v>0</v>
      </c>
      <c r="W101" s="31">
        <f>$I$49*$W$49</f>
        <v>0</v>
      </c>
      <c r="X101" s="31">
        <f>$I$49*$X$49</f>
        <v>0</v>
      </c>
      <c r="Y101" s="31">
        <f>$I$49*$Y$49</f>
        <v>0</v>
      </c>
      <c r="Z101" s="31">
        <f>$I$49*$Z$49</f>
        <v>0</v>
      </c>
      <c r="AA101" s="31">
        <f>$I$49*$AA$49</f>
        <v>0</v>
      </c>
      <c r="AB101" s="31">
        <f ca="1">$I$49*$AB$49</f>
        <v>0</v>
      </c>
      <c r="AC101" s="31">
        <f ca="1">$I$49*$AC$49</f>
        <v>0</v>
      </c>
      <c r="AD101" s="31">
        <f>$I$49*$AD$49</f>
        <v>0</v>
      </c>
      <c r="AE101" s="31">
        <f>$I$49*$AE$49</f>
        <v>0</v>
      </c>
      <c r="AF101" s="31">
        <f ca="1">$I$49*$AF$49</f>
        <v>0</v>
      </c>
      <c r="AG101" s="31">
        <f ca="1">$I$49*$AG$49</f>
        <v>0</v>
      </c>
      <c r="AI101" s="31">
        <f>$I$49*$AI$49</f>
        <v>0</v>
      </c>
      <c r="AJ101" s="31">
        <f>$I$49*$AJ$49</f>
        <v>0</v>
      </c>
      <c r="AK101" s="31">
        <f>$I$49*$AK$49</f>
        <v>0</v>
      </c>
      <c r="AL101" s="31">
        <f>$I$49*$AL$49</f>
        <v>0</v>
      </c>
      <c r="AM101" s="31">
        <f>$I$49*$AM$49</f>
        <v>0</v>
      </c>
      <c r="AN101" s="31">
        <f>$I$49*$AN$49</f>
        <v>0</v>
      </c>
      <c r="AO101" s="31">
        <f>$I$49*$AO$49</f>
        <v>0</v>
      </c>
      <c r="AP101" s="31">
        <f>$I$49*$AP$49</f>
        <v>0</v>
      </c>
      <c r="AQ101" s="31">
        <f>$I$49*$AQ$49</f>
        <v>0</v>
      </c>
      <c r="AR101" s="31">
        <f>$I$49*$AR$49</f>
        <v>0</v>
      </c>
      <c r="AS101" s="31">
        <f>$I$49*$AS$49</f>
        <v>0</v>
      </c>
      <c r="AT101" s="31">
        <f>$I$49*$AT$49</f>
        <v>0</v>
      </c>
      <c r="AU101" s="31">
        <f>$I$49*$AU$49</f>
        <v>0</v>
      </c>
      <c r="AV101" s="31">
        <f>$I$49*$AV$49</f>
        <v>0</v>
      </c>
      <c r="AW101" s="31">
        <f>$I$49*$AW$49</f>
        <v>0</v>
      </c>
      <c r="AX101" s="31">
        <f>$I$49*$AX$49</f>
        <v>0</v>
      </c>
      <c r="AY101" s="31">
        <f>$I$49*$AY$49</f>
        <v>0</v>
      </c>
      <c r="AZ101" s="31">
        <f>$I$49*$AZ$49</f>
        <v>0</v>
      </c>
      <c r="BA101" s="31">
        <f>$I$49*$BA$49</f>
        <v>0</v>
      </c>
      <c r="BB101" s="31">
        <f>$I$49*$BB$49</f>
        <v>0</v>
      </c>
      <c r="BC101" s="31">
        <f>$I$49*$BC$49</f>
        <v>0</v>
      </c>
      <c r="BD101" s="31">
        <f>$I$49*$BD$49</f>
        <v>0</v>
      </c>
    </row>
    <row r="102" spans="1:56" ht="11.25" customHeight="1" x14ac:dyDescent="0.25">
      <c r="A102" s="9" t="s">
        <v>44</v>
      </c>
      <c r="B102" s="9" t="s">
        <v>915</v>
      </c>
      <c r="C102" s="9" t="s">
        <v>916</v>
      </c>
      <c r="D102" s="9" t="s">
        <v>917</v>
      </c>
      <c r="E102" s="9" t="s">
        <v>918</v>
      </c>
      <c r="F102" s="9" t="s">
        <v>919</v>
      </c>
      <c r="G102" s="9" t="s">
        <v>920</v>
      </c>
      <c r="L102" s="31">
        <f>$I$50*$L$50</f>
        <v>0</v>
      </c>
      <c r="M102" s="31">
        <f>$I$50*$M$50</f>
        <v>4962.9233760495154</v>
      </c>
      <c r="N102" s="31">
        <f ca="1">$I$50*$N$50</f>
        <v>26174.537102326562</v>
      </c>
      <c r="O102" s="31">
        <f>$I$50*$O$50</f>
        <v>0</v>
      </c>
      <c r="P102" s="31">
        <f>$I$50*$P$50</f>
        <v>0</v>
      </c>
      <c r="Q102" s="31">
        <f>$I$50*$Q$50</f>
        <v>697510.62948141259</v>
      </c>
      <c r="R102" s="31">
        <f>$I$50*$R$50</f>
        <v>111249.40487555006</v>
      </c>
      <c r="S102" s="31">
        <f>$I$50*$S$50</f>
        <v>0</v>
      </c>
      <c r="T102" s="31">
        <f>$I$50*$T$50</f>
        <v>0</v>
      </c>
      <c r="U102" s="31">
        <f>$I$50*$U$50</f>
        <v>0</v>
      </c>
      <c r="V102" s="31">
        <f>$I$50*$V$50</f>
        <v>0</v>
      </c>
      <c r="W102" s="31">
        <f>$I$50*$W$50</f>
        <v>0</v>
      </c>
      <c r="X102" s="31">
        <f>$I$50*$X$50</f>
        <v>669640.25861639692</v>
      </c>
      <c r="Y102" s="31">
        <f>$I$50*$Y$50</f>
        <v>0</v>
      </c>
      <c r="Z102" s="31">
        <f>$I$50*$Z$50</f>
        <v>0</v>
      </c>
      <c r="AA102" s="31">
        <f>$I$50*$AA$50</f>
        <v>1067105.6690103083</v>
      </c>
      <c r="AB102" s="31">
        <f ca="1">$I$50*$AB$50</f>
        <v>0</v>
      </c>
      <c r="AC102" s="31">
        <f ca="1">$I$50*$AC$50</f>
        <v>0</v>
      </c>
      <c r="AD102" s="31">
        <f>$I$50*$AD$50</f>
        <v>127337.01724744416</v>
      </c>
      <c r="AE102" s="31">
        <f>$I$50*$AE$50</f>
        <v>2755.0287232485061</v>
      </c>
      <c r="AF102" s="31">
        <f ca="1">$I$50*$AF$50</f>
        <v>2206.2937977536035</v>
      </c>
      <c r="AG102" s="31">
        <f ca="1">$I$50*$AG$50</f>
        <v>2410.44098506305</v>
      </c>
      <c r="AI102" s="31">
        <f>$I$50*$AI$50</f>
        <v>0</v>
      </c>
      <c r="AJ102" s="31">
        <f>$I$50*$AJ$50</f>
        <v>4195.6633212890729</v>
      </c>
      <c r="AK102" s="31">
        <f>$I$50*$AK$50</f>
        <v>22720.674668646567</v>
      </c>
      <c r="AL102" s="31">
        <f>$I$50*$AL$50</f>
        <v>0</v>
      </c>
      <c r="AM102" s="31">
        <f>$I$50*$AM$50</f>
        <v>0</v>
      </c>
      <c r="AN102" s="31">
        <f>$I$50*$AN$50</f>
        <v>379357.9217620191</v>
      </c>
      <c r="AO102" s="31">
        <f>$I$50*$AO$50</f>
        <v>64560.963510378773</v>
      </c>
      <c r="AP102" s="31">
        <f>$I$50*$AP$50</f>
        <v>0</v>
      </c>
      <c r="AQ102" s="31">
        <f>$I$50*$AQ$50</f>
        <v>0</v>
      </c>
      <c r="AR102" s="31">
        <f>$I$50*$AR$50</f>
        <v>0</v>
      </c>
      <c r="AS102" s="31">
        <f>$I$50*$AS$50</f>
        <v>0</v>
      </c>
      <c r="AT102" s="31">
        <f>$I$50*$AT$50</f>
        <v>0</v>
      </c>
      <c r="AU102" s="31">
        <f>$I$50*$AU$50</f>
        <v>641978.08108348062</v>
      </c>
      <c r="AV102" s="31">
        <f>$I$50*$AV$50</f>
        <v>0</v>
      </c>
      <c r="AW102" s="31">
        <f>$I$50*$AW$50</f>
        <v>0</v>
      </c>
      <c r="AX102" s="31">
        <f>$I$50*$AX$50</f>
        <v>925536.4146720001</v>
      </c>
      <c r="AY102" s="31">
        <f>$I$50*$AY$50</f>
        <v>0</v>
      </c>
      <c r="AZ102" s="31">
        <f>$I$50*$AZ$50</f>
        <v>0</v>
      </c>
      <c r="BA102" s="31">
        <f>$I$50*$BA$50</f>
        <v>155909.39006656699</v>
      </c>
      <c r="BB102" s="31">
        <f>$I$50*$BB$50</f>
        <v>0</v>
      </c>
      <c r="BC102" s="31">
        <f>$I$50*$BC$50</f>
        <v>1644.1137586204029</v>
      </c>
      <c r="BD102" s="31">
        <f>$I$50*$BD$50</f>
        <v>2021.8777852789999</v>
      </c>
    </row>
    <row r="103" spans="1:56" ht="11.25" customHeight="1" x14ac:dyDescent="0.25">
      <c r="A103" s="9" t="s">
        <v>44</v>
      </c>
      <c r="B103" s="9" t="s">
        <v>915</v>
      </c>
      <c r="C103" s="9" t="s">
        <v>916</v>
      </c>
      <c r="D103" s="9" t="s">
        <v>921</v>
      </c>
      <c r="E103" s="9" t="s">
        <v>922</v>
      </c>
      <c r="F103" s="9" t="s">
        <v>923</v>
      </c>
      <c r="G103" s="9" t="s">
        <v>924</v>
      </c>
      <c r="L103" s="31">
        <f>$I$51*$L$51</f>
        <v>0</v>
      </c>
      <c r="M103" s="31">
        <f>$I$51*$M$51</f>
        <v>0</v>
      </c>
      <c r="N103" s="31">
        <f ca="1">$I$51*$N$51</f>
        <v>0</v>
      </c>
      <c r="O103" s="31">
        <f>$I$51*$O$51</f>
        <v>0</v>
      </c>
      <c r="P103" s="31">
        <f>$I$51*$P$51</f>
        <v>0</v>
      </c>
      <c r="Q103" s="31">
        <f>$I$51*$Q$51</f>
        <v>0</v>
      </c>
      <c r="R103" s="31">
        <f>$I$51*$R$51</f>
        <v>0</v>
      </c>
      <c r="S103" s="31">
        <f>$I$51*$S$51</f>
        <v>0</v>
      </c>
      <c r="T103" s="31">
        <f>$I$51*$T$51</f>
        <v>0</v>
      </c>
      <c r="U103" s="31">
        <f>$I$51*$U$51</f>
        <v>0</v>
      </c>
      <c r="V103" s="31">
        <f>$I$51*$V$51</f>
        <v>0</v>
      </c>
      <c r="W103" s="31">
        <f>$I$51*$W$51</f>
        <v>0</v>
      </c>
      <c r="X103" s="31">
        <f>$I$51*$X$51</f>
        <v>0</v>
      </c>
      <c r="Y103" s="31">
        <f>$I$51*$Y$51</f>
        <v>0</v>
      </c>
      <c r="Z103" s="31">
        <f>$I$51*$Z$51</f>
        <v>0</v>
      </c>
      <c r="AA103" s="31">
        <f>$I$51*$AA$51</f>
        <v>0</v>
      </c>
      <c r="AB103" s="31">
        <f ca="1">$I$51*$AB$51</f>
        <v>0</v>
      </c>
      <c r="AC103" s="31">
        <f ca="1">$I$51*$AC$51</f>
        <v>0</v>
      </c>
      <c r="AD103" s="31">
        <f>$I$51*$AD$51</f>
        <v>0</v>
      </c>
      <c r="AE103" s="31">
        <f>$I$51*$AE$51</f>
        <v>0</v>
      </c>
      <c r="AF103" s="31">
        <f ca="1">$I$51*$AF$51</f>
        <v>0</v>
      </c>
      <c r="AG103" s="31">
        <f ca="1">$I$51*$AG$51</f>
        <v>0</v>
      </c>
      <c r="AI103" s="31">
        <f>$I$51*$AI$51</f>
        <v>0</v>
      </c>
      <c r="AJ103" s="31">
        <f>$I$51*$AJ$51</f>
        <v>0</v>
      </c>
      <c r="AK103" s="31">
        <f>$I$51*$AK$51</f>
        <v>0</v>
      </c>
      <c r="AL103" s="31">
        <f>$I$51*$AL$51</f>
        <v>0</v>
      </c>
      <c r="AM103" s="31">
        <f>$I$51*$AM$51</f>
        <v>0</v>
      </c>
      <c r="AN103" s="31">
        <f>$I$51*$AN$51</f>
        <v>0</v>
      </c>
      <c r="AO103" s="31">
        <f>$I$51*$AO$51</f>
        <v>0</v>
      </c>
      <c r="AP103" s="31">
        <f>$I$51*$AP$51</f>
        <v>0</v>
      </c>
      <c r="AQ103" s="31">
        <f>$I$51*$AQ$51</f>
        <v>0</v>
      </c>
      <c r="AR103" s="31">
        <f>$I$51*$AR$51</f>
        <v>0</v>
      </c>
      <c r="AS103" s="31">
        <f>$I$51*$AS$51</f>
        <v>0</v>
      </c>
      <c r="AT103" s="31">
        <f>$I$51*$AT$51</f>
        <v>0</v>
      </c>
      <c r="AU103" s="31">
        <f>$I$51*$AU$51</f>
        <v>0</v>
      </c>
      <c r="AV103" s="31">
        <f>$I$51*$AV$51</f>
        <v>0</v>
      </c>
      <c r="AW103" s="31">
        <f>$I$51*$AW$51</f>
        <v>0</v>
      </c>
      <c r="AX103" s="31">
        <f>$I$51*$AX$51</f>
        <v>0</v>
      </c>
      <c r="AY103" s="31">
        <f>$I$51*$AY$51</f>
        <v>0</v>
      </c>
      <c r="AZ103" s="31">
        <f>$I$51*$AZ$51</f>
        <v>0</v>
      </c>
      <c r="BA103" s="31">
        <f>$I$51*$BA$51</f>
        <v>0</v>
      </c>
      <c r="BB103" s="31">
        <f>$I$51*$BB$51</f>
        <v>0</v>
      </c>
      <c r="BC103" s="31">
        <f>$I$51*$BC$51</f>
        <v>0</v>
      </c>
      <c r="BD103" s="31">
        <f>$I$51*$BD$51</f>
        <v>0</v>
      </c>
    </row>
  </sheetData>
  <mergeCells count="88">
    <mergeCell ref="AQ55:AW55"/>
    <mergeCell ref="AY55:AZ55"/>
    <mergeCell ref="BA55:BD55"/>
    <mergeCell ref="BA3:BD3"/>
    <mergeCell ref="L53:AG53"/>
    <mergeCell ref="AI53:BD53"/>
    <mergeCell ref="L54:AG54"/>
    <mergeCell ref="AI54:BD54"/>
    <mergeCell ref="L55:S55"/>
    <mergeCell ref="T55:Z55"/>
    <mergeCell ref="AB55:AC55"/>
    <mergeCell ref="AD55:AG55"/>
    <mergeCell ref="AI55:AP55"/>
    <mergeCell ref="AB3:AC3"/>
    <mergeCell ref="AD3:AG3"/>
    <mergeCell ref="E45:E47"/>
    <mergeCell ref="F45:F47"/>
    <mergeCell ref="A50:A51"/>
    <mergeCell ref="B50:B51"/>
    <mergeCell ref="C50:C51"/>
    <mergeCell ref="D45:D47"/>
    <mergeCell ref="AI1:BD1"/>
    <mergeCell ref="AI2:BD2"/>
    <mergeCell ref="AI3:AP3"/>
    <mergeCell ref="AQ3:AW3"/>
    <mergeCell ref="AY3:AZ3"/>
    <mergeCell ref="B42:B44"/>
    <mergeCell ref="C42:C44"/>
    <mergeCell ref="A45:A49"/>
    <mergeCell ref="B45:B47"/>
    <mergeCell ref="C45:C47"/>
    <mergeCell ref="A30:A44"/>
    <mergeCell ref="B30:B32"/>
    <mergeCell ref="C30:C32"/>
    <mergeCell ref="B38:B40"/>
    <mergeCell ref="C38:C40"/>
    <mergeCell ref="B34:B36"/>
    <mergeCell ref="C34:C36"/>
    <mergeCell ref="D38:D40"/>
    <mergeCell ref="E38:E40"/>
    <mergeCell ref="F38:F40"/>
    <mergeCell ref="D30:D32"/>
    <mergeCell ref="E30:E32"/>
    <mergeCell ref="F30:F32"/>
    <mergeCell ref="D34:D36"/>
    <mergeCell ref="E34:E36"/>
    <mergeCell ref="F34:F36"/>
    <mergeCell ref="E17:E19"/>
    <mergeCell ref="F17:F19"/>
    <mergeCell ref="B20:B24"/>
    <mergeCell ref="C20:C24"/>
    <mergeCell ref="B25:B29"/>
    <mergeCell ref="C25:C29"/>
    <mergeCell ref="A15:A16"/>
    <mergeCell ref="B15:B16"/>
    <mergeCell ref="C15:C16"/>
    <mergeCell ref="D15:D16"/>
    <mergeCell ref="A17:A29"/>
    <mergeCell ref="B17:B19"/>
    <mergeCell ref="C17:C19"/>
    <mergeCell ref="D17:D19"/>
    <mergeCell ref="A5:A14"/>
    <mergeCell ref="B5:B8"/>
    <mergeCell ref="C5:C8"/>
    <mergeCell ref="D5:D8"/>
    <mergeCell ref="E5:E7"/>
    <mergeCell ref="C10:C14"/>
    <mergeCell ref="D10:D14"/>
    <mergeCell ref="E10:E12"/>
    <mergeCell ref="E13:E14"/>
    <mergeCell ref="F5:F7"/>
    <mergeCell ref="B10:B14"/>
    <mergeCell ref="G1:G4"/>
    <mergeCell ref="H1:H4"/>
    <mergeCell ref="I1:I4"/>
    <mergeCell ref="F1:F4"/>
    <mergeCell ref="F10:F12"/>
    <mergeCell ref="F13:F14"/>
    <mergeCell ref="J1:J4"/>
    <mergeCell ref="L1:AG1"/>
    <mergeCell ref="L2:AG2"/>
    <mergeCell ref="L3:S3"/>
    <mergeCell ref="T3:Z3"/>
    <mergeCell ref="A1:A4"/>
    <mergeCell ref="B1:B4"/>
    <mergeCell ref="C1:C4"/>
    <mergeCell ref="D1:D4"/>
    <mergeCell ref="E1:E4"/>
  </mergeCells>
  <pageMargins left="0.511811024" right="0.511811024" top="0.78740157499999996" bottom="0.78740157499999996" header="0.31496062000000002" footer="0.3149606200000000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AB0B4-87A1-4A0E-AE70-3CE93E70C2BD}">
  <dimension ref="A1:AH85"/>
  <sheetViews>
    <sheetView showGridLines="0" topLeftCell="J1" workbookViewId="0">
      <selection activeCell="V43" sqref="V43"/>
    </sheetView>
  </sheetViews>
  <sheetFormatPr defaultColWidth="9.140625" defaultRowHeight="11.25" customHeight="1" x14ac:dyDescent="0.25"/>
  <cols>
    <col min="1" max="1" width="9.28515625" style="9" bestFit="1" customWidth="1"/>
    <col min="2" max="2" width="29" style="9" bestFit="1" customWidth="1"/>
    <col min="3" max="3" width="38.7109375" style="9" bestFit="1" customWidth="1"/>
    <col min="4" max="4" width="61.7109375" style="9" bestFit="1" customWidth="1"/>
    <col min="5" max="5" width="71.42578125" style="9" bestFit="1" customWidth="1"/>
    <col min="6" max="6" width="81" style="9" bestFit="1" customWidth="1"/>
    <col min="7" max="7" width="81.8554687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20" style="9" bestFit="1" customWidth="1"/>
    <col min="12" max="12" width="8.7109375" style="9" bestFit="1" customWidth="1"/>
    <col min="13" max="13" width="10" style="9" bestFit="1" customWidth="1"/>
    <col min="14" max="14" width="6" style="9" bestFit="1" customWidth="1"/>
    <col min="15" max="15" width="11.140625" style="9" bestFit="1" customWidth="1"/>
    <col min="16" max="16" width="9.28515625" style="9" bestFit="1" customWidth="1"/>
    <col min="17" max="17" width="15" style="9" bestFit="1" customWidth="1"/>
    <col min="18" max="18" width="8.7109375" style="9" bestFit="1" customWidth="1"/>
    <col min="19" max="19" width="10.42578125" style="9" bestFit="1" customWidth="1"/>
    <col min="20" max="20" width="7" style="9" bestFit="1" customWidth="1"/>
    <col min="21" max="21" width="11.140625" style="9" bestFit="1" customWidth="1"/>
    <col min="22" max="22" width="11" style="9" bestFit="1" customWidth="1"/>
    <col min="23" max="23" width="9.140625" style="9"/>
    <col min="24" max="24" width="8.7109375" style="9" bestFit="1" customWidth="1"/>
    <col min="25" max="25" width="10" style="9" bestFit="1" customWidth="1"/>
    <col min="26" max="26" width="6" style="9" bestFit="1" customWidth="1"/>
    <col min="27" max="27" width="11.140625" style="9" bestFit="1" customWidth="1"/>
    <col min="28" max="28" width="9.28515625" style="9" bestFit="1" customWidth="1"/>
    <col min="29" max="29" width="15" style="9" bestFit="1" customWidth="1"/>
    <col min="30" max="30" width="8.7109375" style="9" bestFit="1" customWidth="1"/>
    <col min="31" max="31" width="10.42578125" style="9" bestFit="1" customWidth="1"/>
    <col min="32" max="32" width="7" style="9" bestFit="1" customWidth="1"/>
    <col min="33" max="33" width="11.140625" style="9" bestFit="1" customWidth="1"/>
    <col min="34" max="34" width="11" style="9" bestFit="1" customWidth="1"/>
    <col min="35" max="16384" width="9.140625" style="9"/>
  </cols>
  <sheetData>
    <row r="1" spans="1:34" ht="11.25" customHeight="1" x14ac:dyDescent="0.25">
      <c r="A1" s="154" t="s">
        <v>64</v>
      </c>
      <c r="B1" s="154" t="s">
        <v>65</v>
      </c>
      <c r="C1" s="154" t="s">
        <v>66</v>
      </c>
      <c r="D1" s="154" t="s">
        <v>67</v>
      </c>
      <c r="E1" s="154" t="s">
        <v>68</v>
      </c>
      <c r="F1" s="154" t="s">
        <v>15</v>
      </c>
      <c r="G1" s="154" t="s">
        <v>70</v>
      </c>
      <c r="H1" s="154" t="s">
        <v>71</v>
      </c>
      <c r="I1" s="154" t="s">
        <v>561</v>
      </c>
      <c r="J1" s="141"/>
      <c r="L1" s="155" t="s">
        <v>925</v>
      </c>
      <c r="M1" s="155"/>
      <c r="N1" s="155"/>
      <c r="O1" s="155"/>
      <c r="P1" s="155"/>
      <c r="Q1" s="155"/>
      <c r="R1" s="155"/>
      <c r="S1" s="155"/>
      <c r="T1" s="155"/>
      <c r="U1" s="155"/>
      <c r="V1" s="155"/>
      <c r="X1" s="155" t="s">
        <v>926</v>
      </c>
      <c r="Y1" s="155"/>
      <c r="Z1" s="155"/>
      <c r="AA1" s="155"/>
      <c r="AB1" s="155"/>
      <c r="AC1" s="155"/>
      <c r="AD1" s="155"/>
      <c r="AE1" s="155"/>
      <c r="AF1" s="155"/>
      <c r="AG1" s="155"/>
      <c r="AH1" s="155"/>
    </row>
    <row r="2" spans="1:34" ht="11.25" customHeight="1" x14ac:dyDescent="0.25">
      <c r="A2" s="154"/>
      <c r="B2" s="154"/>
      <c r="C2" s="154"/>
      <c r="D2" s="154"/>
      <c r="E2" s="154"/>
      <c r="F2" s="154"/>
      <c r="G2" s="154"/>
      <c r="H2" s="154"/>
      <c r="I2" s="154"/>
      <c r="J2" s="141"/>
      <c r="L2" s="155" t="s">
        <v>488</v>
      </c>
      <c r="M2" s="155"/>
      <c r="N2" s="155"/>
      <c r="O2" s="155"/>
      <c r="P2" s="155"/>
      <c r="Q2" s="155"/>
      <c r="R2" s="155"/>
      <c r="S2" s="155"/>
      <c r="T2" s="155"/>
      <c r="U2" s="155"/>
      <c r="V2" s="155"/>
      <c r="X2" s="155" t="s">
        <v>488</v>
      </c>
      <c r="Y2" s="155"/>
      <c r="Z2" s="155"/>
      <c r="AA2" s="155"/>
      <c r="AB2" s="155"/>
      <c r="AC2" s="155"/>
      <c r="AD2" s="155"/>
      <c r="AE2" s="155"/>
      <c r="AF2" s="155"/>
      <c r="AG2" s="155"/>
      <c r="AH2" s="155"/>
    </row>
    <row r="3" spans="1:34" ht="11.25" customHeight="1" x14ac:dyDescent="0.25">
      <c r="A3" s="154"/>
      <c r="B3" s="154"/>
      <c r="C3" s="154"/>
      <c r="D3" s="154"/>
      <c r="E3" s="154"/>
      <c r="F3" s="154"/>
      <c r="G3" s="154"/>
      <c r="H3" s="154"/>
      <c r="I3" s="154"/>
      <c r="J3" s="141"/>
      <c r="L3" s="155" t="s">
        <v>461</v>
      </c>
      <c r="M3" s="155"/>
      <c r="N3" s="155"/>
      <c r="O3" s="155"/>
      <c r="P3" s="155"/>
      <c r="Q3" s="63" t="s">
        <v>492</v>
      </c>
      <c r="R3" s="155" t="s">
        <v>470</v>
      </c>
      <c r="S3" s="155"/>
      <c r="T3" s="155"/>
      <c r="U3" s="63" t="s">
        <v>480</v>
      </c>
      <c r="V3" s="63" t="s">
        <v>483</v>
      </c>
      <c r="X3" s="155" t="s">
        <v>461</v>
      </c>
      <c r="Y3" s="155"/>
      <c r="Z3" s="155"/>
      <c r="AA3" s="155"/>
      <c r="AB3" s="155"/>
      <c r="AC3" s="63" t="s">
        <v>492</v>
      </c>
      <c r="AD3" s="155" t="s">
        <v>470</v>
      </c>
      <c r="AE3" s="155"/>
      <c r="AF3" s="155"/>
      <c r="AG3" s="63" t="s">
        <v>480</v>
      </c>
      <c r="AH3" s="63" t="s">
        <v>483</v>
      </c>
    </row>
    <row r="4" spans="1:34" ht="11.25" customHeight="1" x14ac:dyDescent="0.25">
      <c r="A4" s="154"/>
      <c r="B4" s="154"/>
      <c r="C4" s="154"/>
      <c r="D4" s="154"/>
      <c r="E4" s="154"/>
      <c r="F4" s="154"/>
      <c r="G4" s="154"/>
      <c r="H4" s="154"/>
      <c r="I4" s="154"/>
      <c r="J4" s="141"/>
      <c r="L4" s="63" t="s">
        <v>463</v>
      </c>
      <c r="M4" s="63" t="s">
        <v>489</v>
      </c>
      <c r="N4" s="63" t="s">
        <v>490</v>
      </c>
      <c r="O4" s="63" t="s">
        <v>549</v>
      </c>
      <c r="P4" s="63" t="s">
        <v>491</v>
      </c>
      <c r="Q4" s="63" t="s">
        <v>493</v>
      </c>
      <c r="R4" s="63" t="s">
        <v>494</v>
      </c>
      <c r="S4" s="63" t="s">
        <v>495</v>
      </c>
      <c r="T4" s="63" t="s">
        <v>496</v>
      </c>
      <c r="U4" s="63" t="s">
        <v>481</v>
      </c>
      <c r="V4" s="63" t="s">
        <v>497</v>
      </c>
      <c r="X4" s="63" t="s">
        <v>463</v>
      </c>
      <c r="Y4" s="63" t="s">
        <v>489</v>
      </c>
      <c r="Z4" s="63" t="s">
        <v>490</v>
      </c>
      <c r="AA4" s="63" t="s">
        <v>549</v>
      </c>
      <c r="AB4" s="63" t="s">
        <v>491</v>
      </c>
      <c r="AC4" s="63" t="s">
        <v>493</v>
      </c>
      <c r="AD4" s="63" t="s">
        <v>494</v>
      </c>
      <c r="AE4" s="63" t="s">
        <v>495</v>
      </c>
      <c r="AF4" s="63" t="s">
        <v>496</v>
      </c>
      <c r="AG4" s="63" t="s">
        <v>481</v>
      </c>
      <c r="AH4" s="63" t="s">
        <v>497</v>
      </c>
    </row>
    <row r="5" spans="1:34" ht="11.25" customHeight="1" x14ac:dyDescent="0.25">
      <c r="A5" s="153" t="s">
        <v>35</v>
      </c>
      <c r="B5" s="153" t="s">
        <v>73</v>
      </c>
      <c r="C5" s="153" t="s">
        <v>25</v>
      </c>
      <c r="D5" s="153" t="s">
        <v>25</v>
      </c>
      <c r="E5" s="153" t="s">
        <v>25</v>
      </c>
      <c r="F5" s="153" t="s">
        <v>25</v>
      </c>
      <c r="G5" s="62" t="s">
        <v>75</v>
      </c>
      <c r="H5" s="62" t="s">
        <v>74</v>
      </c>
      <c r="I5" s="62">
        <f>'MERCADO TE'!$U$2</f>
        <v>3764.2840000000001</v>
      </c>
      <c r="J5" s="15"/>
      <c r="L5" s="59">
        <f>('TE BE'!$L$5+'TE BF'!$L$5+'TE CVA'!$L$5)*1</f>
        <v>2.2270651360016593</v>
      </c>
      <c r="M5" s="59">
        <f>('TE BE'!$M$5+'TE BF'!$M$5+'TE CVA'!$M$5)*1</f>
        <v>25.911657909847623</v>
      </c>
      <c r="N5" s="59">
        <f>('TE BE'!$N$5+'TE BF'!$N$5+'TE CVA'!$N$5)*1</f>
        <v>0</v>
      </c>
      <c r="O5" s="59">
        <f>('TE BE'!$O$5+'TE BF'!$O$5+'TE CVA'!$O$5)*1</f>
        <v>0</v>
      </c>
      <c r="P5" s="59">
        <f>('TE BE'!$P$5+'TE BF'!$P$5+'TE CVA'!$P$5)*1</f>
        <v>-12.592029417653638</v>
      </c>
      <c r="Q5" s="59">
        <f>('TE BE'!$R$5+'TE BF'!$R$5+'TE CVA'!$R$5)*1</f>
        <v>333.81613473637105</v>
      </c>
      <c r="R5" s="59">
        <f>('TE BE'!$T$5+'TE BF'!$T$5+'TE CVA'!$T$5)*1</f>
        <v>5.1918287206524028</v>
      </c>
      <c r="S5" s="59">
        <f>('TE BE'!$U$5+'TE BF'!$U$5+'TE CVA'!$U$5)*1</f>
        <v>3.8603957966071265</v>
      </c>
      <c r="T5" s="59">
        <f>('TE BE'!$V$5+'TE BF'!$V$5+'TE CVA'!$V$5)*1</f>
        <v>0</v>
      </c>
      <c r="U5" s="59">
        <f>('TE BE'!$X$5+'TE BF'!$X$5+'TE CVA'!$X$5)*1</f>
        <v>0</v>
      </c>
      <c r="V5" s="59">
        <f>('TE BE'!$Z$5+'TE BF'!$Z$5+'TE CVA'!$Z$5)*1</f>
        <v>4.320949263332639</v>
      </c>
      <c r="X5" s="59">
        <v>2.1448993986207001</v>
      </c>
      <c r="Y5" s="59">
        <v>4.7993304386798199</v>
      </c>
      <c r="Z5" s="59">
        <v>0</v>
      </c>
      <c r="AA5" s="59">
        <v>0</v>
      </c>
      <c r="AB5" s="59">
        <v>0</v>
      </c>
      <c r="AC5" s="59">
        <v>352.65979713118998</v>
      </c>
      <c r="AD5" s="59">
        <v>0</v>
      </c>
      <c r="AE5" s="59">
        <v>0</v>
      </c>
      <c r="AF5" s="59">
        <v>0</v>
      </c>
      <c r="AG5" s="59">
        <v>0</v>
      </c>
      <c r="AH5" s="59">
        <v>0</v>
      </c>
    </row>
    <row r="6" spans="1:34" ht="11.25" customHeight="1" x14ac:dyDescent="0.25">
      <c r="A6" s="153"/>
      <c r="B6" s="153"/>
      <c r="C6" s="153"/>
      <c r="D6" s="153"/>
      <c r="E6" s="153"/>
      <c r="F6" s="153"/>
      <c r="G6" s="62" t="s">
        <v>76</v>
      </c>
      <c r="H6" s="62" t="s">
        <v>74</v>
      </c>
      <c r="I6" s="62">
        <f>'MERCADO TE'!$U$3</f>
        <v>77059.703999999983</v>
      </c>
      <c r="J6" s="15"/>
      <c r="L6" s="59">
        <f>('TE BE'!$L$6+'TE BF'!$L$6+'TE CVA'!$L$6)*1</f>
        <v>2.2270651360016593</v>
      </c>
      <c r="M6" s="59">
        <f>('TE BE'!$M$6+'TE BF'!$M$6+'TE CVA'!$M$6)*1</f>
        <v>25.911657909847623</v>
      </c>
      <c r="N6" s="59">
        <f>('TE BE'!$N$6+'TE BF'!$N$6+'TE CVA'!$N$6)*1</f>
        <v>0</v>
      </c>
      <c r="O6" s="59">
        <f>('TE BE'!$O$6+'TE BF'!$O$6+'TE CVA'!$O$6)*1</f>
        <v>0</v>
      </c>
      <c r="P6" s="59">
        <f>('TE BE'!$P$6+'TE BF'!$P$6+'TE CVA'!$P$6)*1</f>
        <v>-12.592029417653638</v>
      </c>
      <c r="Q6" s="59">
        <f>('TE BE'!$R$6+'TE BF'!$R$6+'TE CVA'!$R$6)*1</f>
        <v>194.0791481025413</v>
      </c>
      <c r="R6" s="59">
        <f>('TE BE'!$T$6+'TE BF'!$T$6+'TE CVA'!$T$6)*1</f>
        <v>5.1918287206524028</v>
      </c>
      <c r="S6" s="59">
        <f>('TE BE'!$U$6+'TE BF'!$U$6+'TE CVA'!$U$6)*1</f>
        <v>3.8603957966071265</v>
      </c>
      <c r="T6" s="59">
        <f>('TE BE'!$V$6+'TE BF'!$V$6+'TE CVA'!$V$6)*1</f>
        <v>0</v>
      </c>
      <c r="U6" s="59">
        <f>('TE BE'!$X$6+'TE BF'!$X$6+'TE CVA'!$X$6)*1</f>
        <v>0</v>
      </c>
      <c r="V6" s="59">
        <f>('TE BE'!$Z$6+'TE BF'!$Z$6+'TE CVA'!$Z$6)*1</f>
        <v>4.320949263332639</v>
      </c>
      <c r="X6" s="59">
        <v>2.1448993986207001</v>
      </c>
      <c r="Y6" s="59">
        <v>4.7993304386798199</v>
      </c>
      <c r="Z6" s="59">
        <v>0</v>
      </c>
      <c r="AA6" s="59">
        <v>0</v>
      </c>
      <c r="AB6" s="59">
        <v>0</v>
      </c>
      <c r="AC6" s="59">
        <v>205.03476577394801</v>
      </c>
      <c r="AD6" s="59">
        <v>0</v>
      </c>
      <c r="AE6" s="59">
        <v>0</v>
      </c>
      <c r="AF6" s="59">
        <v>0</v>
      </c>
      <c r="AG6" s="59">
        <v>0</v>
      </c>
      <c r="AH6" s="59">
        <v>0</v>
      </c>
    </row>
    <row r="7" spans="1:34" ht="11.25" customHeight="1" x14ac:dyDescent="0.25">
      <c r="A7" s="153"/>
      <c r="B7" s="61" t="s">
        <v>77</v>
      </c>
      <c r="C7" s="61" t="s">
        <v>25</v>
      </c>
      <c r="D7" s="61" t="s">
        <v>25</v>
      </c>
      <c r="E7" s="61" t="s">
        <v>25</v>
      </c>
      <c r="F7" s="61" t="s">
        <v>25</v>
      </c>
      <c r="G7" s="62" t="s">
        <v>78</v>
      </c>
      <c r="H7" s="62" t="s">
        <v>74</v>
      </c>
      <c r="I7" s="62">
        <f>'MERCADO TE'!$U$4</f>
        <v>0</v>
      </c>
      <c r="J7" s="15"/>
      <c r="L7" s="59">
        <f>('TE BE'!$L$7+'TE BF'!$L$7+'TE CVA'!$L$7)*1</f>
        <v>2.2270651360016593</v>
      </c>
      <c r="M7" s="59">
        <f>('TE BE'!$M$7+'TE BF'!$M$7+'TE CVA'!$M$7)*1</f>
        <v>25.911657909847623</v>
      </c>
      <c r="N7" s="59">
        <f>('TE BE'!$N$7+'TE BF'!$N$7+'TE CVA'!$N$7)*1</f>
        <v>0</v>
      </c>
      <c r="O7" s="59">
        <f>('TE BE'!$O$7+'TE BF'!$O$7+'TE CVA'!$O$7)*1</f>
        <v>0</v>
      </c>
      <c r="P7" s="59">
        <f>('TE BE'!$P$7+'TE BF'!$P$7+'TE CVA'!$P$7)*1</f>
        <v>-12.592029417653638</v>
      </c>
      <c r="Q7" s="59">
        <f>('TE BE'!$R$7+'TE BF'!$R$7+'TE CVA'!$R$7)*1</f>
        <v>205.72389698869381</v>
      </c>
      <c r="R7" s="59">
        <f>('TE BE'!$T$7+'TE BF'!$T$7+'TE CVA'!$T$7)*1</f>
        <v>5.1918287206524028</v>
      </c>
      <c r="S7" s="59">
        <f>('TE BE'!$U$7+'TE BF'!$U$7+'TE CVA'!$U$7)*1</f>
        <v>3.8603957966071265</v>
      </c>
      <c r="T7" s="59">
        <f>('TE BE'!$V$7+'TE BF'!$V$7+'TE CVA'!$V$7)*1</f>
        <v>0</v>
      </c>
      <c r="U7" s="59">
        <f>('TE BE'!$X$7+'TE BF'!$X$7+'TE CVA'!$X$7)*1</f>
        <v>0</v>
      </c>
      <c r="V7" s="59">
        <f>('TE BE'!$Z$7+'TE BF'!$Z$7+'TE CVA'!$Z$7)*1</f>
        <v>4.320949263332639</v>
      </c>
      <c r="X7" s="59">
        <v>2.1448993986207001</v>
      </c>
      <c r="Y7" s="59">
        <v>4.7993304386798199</v>
      </c>
      <c r="Z7" s="59">
        <v>0</v>
      </c>
      <c r="AA7" s="59">
        <v>0</v>
      </c>
      <c r="AB7" s="59">
        <v>0</v>
      </c>
      <c r="AC7" s="59">
        <v>217.336851720385</v>
      </c>
      <c r="AD7" s="59">
        <v>0</v>
      </c>
      <c r="AE7" s="59">
        <v>0</v>
      </c>
      <c r="AF7" s="59">
        <v>0</v>
      </c>
      <c r="AG7" s="59">
        <v>0</v>
      </c>
      <c r="AH7" s="59">
        <v>0</v>
      </c>
    </row>
    <row r="8" spans="1:34" ht="11.25" customHeight="1" x14ac:dyDescent="0.25">
      <c r="A8" s="153" t="s">
        <v>22</v>
      </c>
      <c r="B8" s="153" t="s">
        <v>73</v>
      </c>
      <c r="C8" s="153" t="s">
        <v>24</v>
      </c>
      <c r="D8" s="153" t="s">
        <v>24</v>
      </c>
      <c r="E8" s="153" t="s">
        <v>25</v>
      </c>
      <c r="F8" s="153" t="s">
        <v>25</v>
      </c>
      <c r="G8" s="62" t="s">
        <v>75</v>
      </c>
      <c r="H8" s="62" t="s">
        <v>74</v>
      </c>
      <c r="I8" s="62">
        <f>'MERCADO TE'!$U$5</f>
        <v>0</v>
      </c>
      <c r="J8" s="15"/>
      <c r="L8" s="59">
        <f>('TE BE'!$L$8+'TE BF'!$L$8+'TE CVA'!$L$8)*1</f>
        <v>2.2270651360016593</v>
      </c>
      <c r="M8" s="59">
        <f>('TE BE'!$M$8+'TE BF'!$M$8+'TE CVA'!$M$8)*1</f>
        <v>25.911657909847623</v>
      </c>
      <c r="N8" s="59">
        <f>('TE BE'!$N$8+'TE BF'!$N$8+'TE CVA'!$N$8)*1</f>
        <v>0</v>
      </c>
      <c r="O8" s="59">
        <f>('TE BE'!$O$8+'TE BF'!$O$8+'TE CVA'!$O$8)*1</f>
        <v>0</v>
      </c>
      <c r="P8" s="59">
        <f>('TE BE'!$P$8+'TE BF'!$P$8+'TE CVA'!$P$8)*1</f>
        <v>-12.592029417653638</v>
      </c>
      <c r="Q8" s="59">
        <f>('TE BE'!$R$8+'TE BF'!$R$8+'TE CVA'!$R$8)*1</f>
        <v>333.81613473637105</v>
      </c>
      <c r="R8" s="59">
        <f>('TE BE'!$T$8+'TE BF'!$T$8+'TE CVA'!$T$8)*1</f>
        <v>5.1918287206524028</v>
      </c>
      <c r="S8" s="59">
        <f>('TE BE'!$U$8+'TE BF'!$U$8+'TE CVA'!$U$8)*1</f>
        <v>3.8603957966071265</v>
      </c>
      <c r="T8" s="59">
        <f>('TE BE'!$V$8+'TE BF'!$V$8+'TE CVA'!$V$8)*1</f>
        <v>0</v>
      </c>
      <c r="U8" s="59">
        <f>('TE BE'!$X$8+'TE BF'!$X$8+'TE CVA'!$X$8)*1</f>
        <v>0</v>
      </c>
      <c r="V8" s="59">
        <f>('TE BE'!$Z$8+'TE BF'!$Z$8+'TE CVA'!$Z$8)*1</f>
        <v>4.320949263332639</v>
      </c>
      <c r="X8" s="59">
        <v>2.1448993986207001</v>
      </c>
      <c r="Y8" s="59">
        <v>4.7993304386798199</v>
      </c>
      <c r="Z8" s="59">
        <v>0</v>
      </c>
      <c r="AA8" s="59">
        <v>0</v>
      </c>
      <c r="AB8" s="59">
        <v>0</v>
      </c>
      <c r="AC8" s="59">
        <v>352.65979713118998</v>
      </c>
      <c r="AD8" s="59">
        <v>0</v>
      </c>
      <c r="AE8" s="59">
        <v>0</v>
      </c>
      <c r="AF8" s="59">
        <v>0</v>
      </c>
      <c r="AG8" s="59">
        <v>0</v>
      </c>
      <c r="AH8" s="59">
        <v>0</v>
      </c>
    </row>
    <row r="9" spans="1:34" ht="11.25" customHeight="1" x14ac:dyDescent="0.25">
      <c r="A9" s="153"/>
      <c r="B9" s="153"/>
      <c r="C9" s="153"/>
      <c r="D9" s="153"/>
      <c r="E9" s="153"/>
      <c r="F9" s="153"/>
      <c r="G9" s="62" t="s">
        <v>87</v>
      </c>
      <c r="H9" s="62" t="s">
        <v>74</v>
      </c>
      <c r="I9" s="62">
        <f>'MERCADO TE'!$U$6</f>
        <v>0</v>
      </c>
      <c r="J9" s="15"/>
      <c r="L9" s="59">
        <f>('TE BE'!$L$9+'TE BF'!$L$9+'TE CVA'!$L$9)*1</f>
        <v>2.2270651360016593</v>
      </c>
      <c r="M9" s="59">
        <f>('TE BE'!$M$9+'TE BF'!$M$9+'TE CVA'!$M$9)*1</f>
        <v>25.911657909847623</v>
      </c>
      <c r="N9" s="59">
        <f>('TE BE'!$N$9+'TE BF'!$N$9+'TE CVA'!$N$9)*1</f>
        <v>0</v>
      </c>
      <c r="O9" s="59">
        <f>('TE BE'!$O$9+'TE BF'!$O$9+'TE CVA'!$O$9)*1</f>
        <v>0</v>
      </c>
      <c r="P9" s="59">
        <f>('TE BE'!$P$9+'TE BF'!$P$9+'TE CVA'!$P$9)*1</f>
        <v>-12.592029417653638</v>
      </c>
      <c r="Q9" s="59">
        <f>('TE BE'!$R$9+'TE BF'!$R$9+'TE CVA'!$R$9)*1</f>
        <v>194.0791481025413</v>
      </c>
      <c r="R9" s="59">
        <f>('TE BE'!$T$9+'TE BF'!$T$9+'TE CVA'!$T$9)*1</f>
        <v>5.1918287206524028</v>
      </c>
      <c r="S9" s="59">
        <f>('TE BE'!$U$9+'TE BF'!$U$9+'TE CVA'!$U$9)*1</f>
        <v>3.8603957966071265</v>
      </c>
      <c r="T9" s="59">
        <f>('TE BE'!$V$9+'TE BF'!$V$9+'TE CVA'!$V$9)*1</f>
        <v>0</v>
      </c>
      <c r="U9" s="59">
        <f>('TE BE'!$X$9+'TE BF'!$X$9+'TE CVA'!$X$9)*1</f>
        <v>0</v>
      </c>
      <c r="V9" s="59">
        <f>('TE BE'!$Z$9+'TE BF'!$Z$9+'TE CVA'!$Z$9)*1</f>
        <v>4.320949263332639</v>
      </c>
      <c r="X9" s="59">
        <v>2.1448993986207001</v>
      </c>
      <c r="Y9" s="59">
        <v>4.7993304386798199</v>
      </c>
      <c r="Z9" s="59">
        <v>0</v>
      </c>
      <c r="AA9" s="59">
        <v>0</v>
      </c>
      <c r="AB9" s="59">
        <v>0</v>
      </c>
      <c r="AC9" s="59">
        <v>205.03476577394801</v>
      </c>
      <c r="AD9" s="59">
        <v>0</v>
      </c>
      <c r="AE9" s="59">
        <v>0</v>
      </c>
      <c r="AF9" s="59">
        <v>0</v>
      </c>
      <c r="AG9" s="59">
        <v>0</v>
      </c>
      <c r="AH9" s="59">
        <v>0</v>
      </c>
    </row>
    <row r="10" spans="1:34" ht="11.25" customHeight="1" x14ac:dyDescent="0.25">
      <c r="A10" s="153"/>
      <c r="B10" s="153"/>
      <c r="C10" s="153"/>
      <c r="D10" s="153"/>
      <c r="E10" s="153"/>
      <c r="F10" s="153"/>
      <c r="G10" s="62" t="s">
        <v>76</v>
      </c>
      <c r="H10" s="62" t="s">
        <v>74</v>
      </c>
      <c r="I10" s="62">
        <f>'MERCADO TE'!$U$7</f>
        <v>0</v>
      </c>
      <c r="J10" s="15"/>
      <c r="L10" s="59">
        <f>('TE BE'!$L$10+'TE BF'!$L$10+'TE CVA'!$L$10)*1</f>
        <v>2.2270651360016593</v>
      </c>
      <c r="M10" s="59">
        <f>('TE BE'!$M$10+'TE BF'!$M$10+'TE CVA'!$M$10)*1</f>
        <v>25.911657909847623</v>
      </c>
      <c r="N10" s="59">
        <f>('TE BE'!$N$10+'TE BF'!$N$10+'TE CVA'!$N$10)*1</f>
        <v>0</v>
      </c>
      <c r="O10" s="59">
        <f>('TE BE'!$O$10+'TE BF'!$O$10+'TE CVA'!$O$10)*1</f>
        <v>0</v>
      </c>
      <c r="P10" s="59">
        <f>('TE BE'!$P$10+'TE BF'!$P$10+'TE CVA'!$P$10)*1</f>
        <v>-12.592029417653638</v>
      </c>
      <c r="Q10" s="59">
        <f>('TE BE'!$R$10+'TE BF'!$R$10+'TE CVA'!$R$10)*1</f>
        <v>194.0791481025413</v>
      </c>
      <c r="R10" s="59">
        <f>('TE BE'!$T$10+'TE BF'!$T$10+'TE CVA'!$T$10)*1</f>
        <v>5.1918287206524028</v>
      </c>
      <c r="S10" s="59">
        <f>('TE BE'!$U$10+'TE BF'!$U$10+'TE CVA'!$U$10)*1</f>
        <v>3.8603957966071265</v>
      </c>
      <c r="T10" s="59">
        <f>('TE BE'!$V$10+'TE BF'!$V$10+'TE CVA'!$V$10)*1</f>
        <v>0</v>
      </c>
      <c r="U10" s="59">
        <f>('TE BE'!$X$10+'TE BF'!$X$10+'TE CVA'!$X$10)*1</f>
        <v>0</v>
      </c>
      <c r="V10" s="59">
        <f>('TE BE'!$Z$10+'TE BF'!$Z$10+'TE CVA'!$Z$10)*1</f>
        <v>4.320949263332639</v>
      </c>
      <c r="X10" s="59">
        <v>2.1448993986207001</v>
      </c>
      <c r="Y10" s="59">
        <v>4.7993304386798199</v>
      </c>
      <c r="Z10" s="59">
        <v>0</v>
      </c>
      <c r="AA10" s="59">
        <v>0</v>
      </c>
      <c r="AB10" s="59">
        <v>0</v>
      </c>
      <c r="AC10" s="59">
        <v>205.03476577394801</v>
      </c>
      <c r="AD10" s="59">
        <v>0</v>
      </c>
      <c r="AE10" s="59">
        <v>0</v>
      </c>
      <c r="AF10" s="59">
        <v>0</v>
      </c>
      <c r="AG10" s="59">
        <v>0</v>
      </c>
      <c r="AH10" s="59">
        <v>0</v>
      </c>
    </row>
    <row r="11" spans="1:34" ht="11.25" customHeight="1" x14ac:dyDescent="0.25">
      <c r="A11" s="153"/>
      <c r="B11" s="153" t="s">
        <v>77</v>
      </c>
      <c r="C11" s="153" t="s">
        <v>24</v>
      </c>
      <c r="D11" s="61" t="s">
        <v>24</v>
      </c>
      <c r="E11" s="61" t="s">
        <v>25</v>
      </c>
      <c r="F11" s="61" t="s">
        <v>25</v>
      </c>
      <c r="G11" s="62" t="s">
        <v>78</v>
      </c>
      <c r="H11" s="62" t="s">
        <v>74</v>
      </c>
      <c r="I11" s="62">
        <f>'MERCADO TE'!$U$8</f>
        <v>67923.810000000012</v>
      </c>
      <c r="J11" s="15"/>
      <c r="L11" s="59">
        <f>('TE BE'!$L$11+'TE BF'!$L$11+'TE CVA'!$L$11)*1</f>
        <v>2.2270651360016593</v>
      </c>
      <c r="M11" s="59">
        <f>('TE BE'!$M$11+'TE BF'!$M$11+'TE CVA'!$M$11)*1</f>
        <v>25.911657909847623</v>
      </c>
      <c r="N11" s="59">
        <f>('TE BE'!$N$11+'TE BF'!$N$11+'TE CVA'!$N$11)*1</f>
        <v>0</v>
      </c>
      <c r="O11" s="59">
        <f>('TE BE'!$O$11+'TE BF'!$O$11+'TE CVA'!$O$11)*1</f>
        <v>0</v>
      </c>
      <c r="P11" s="59">
        <f>('TE BE'!$P$11+'TE BF'!$P$11+'TE CVA'!$P$11)*1</f>
        <v>-12.592029417653638</v>
      </c>
      <c r="Q11" s="59">
        <f>('TE BE'!$R$11+'TE BF'!$R$11+'TE CVA'!$R$11)*1</f>
        <v>205.72389698869381</v>
      </c>
      <c r="R11" s="59">
        <f>('TE BE'!$T$11+'TE BF'!$T$11+'TE CVA'!$T$11)*1</f>
        <v>5.1918287206524028</v>
      </c>
      <c r="S11" s="59">
        <f>('TE BE'!$U$11+'TE BF'!$U$11+'TE CVA'!$U$11)*1</f>
        <v>3.8603957966071265</v>
      </c>
      <c r="T11" s="59">
        <f>('TE BE'!$V$11+'TE BF'!$V$11+'TE CVA'!$V$11)*1</f>
        <v>0</v>
      </c>
      <c r="U11" s="59">
        <f>('TE BE'!$X$11+'TE BF'!$X$11+'TE CVA'!$X$11)*1</f>
        <v>0</v>
      </c>
      <c r="V11" s="59">
        <f>('TE BE'!$Z$11+'TE BF'!$Z$11+'TE CVA'!$Z$11)*1</f>
        <v>4.320949263332639</v>
      </c>
      <c r="X11" s="59">
        <v>2.1448993986207001</v>
      </c>
      <c r="Y11" s="59">
        <v>4.7993304386798199</v>
      </c>
      <c r="Z11" s="59">
        <v>0</v>
      </c>
      <c r="AA11" s="59">
        <v>0</v>
      </c>
      <c r="AB11" s="59">
        <v>0</v>
      </c>
      <c r="AC11" s="59">
        <v>217.336851720385</v>
      </c>
      <c r="AD11" s="59">
        <v>0</v>
      </c>
      <c r="AE11" s="59">
        <v>0</v>
      </c>
      <c r="AF11" s="59">
        <v>0</v>
      </c>
      <c r="AG11" s="59">
        <v>0</v>
      </c>
      <c r="AH11" s="59">
        <v>0</v>
      </c>
    </row>
    <row r="12" spans="1:34" ht="11.25" customHeight="1" x14ac:dyDescent="0.25">
      <c r="A12" s="153"/>
      <c r="B12" s="153"/>
      <c r="C12" s="153"/>
      <c r="D12" s="61" t="s">
        <v>29</v>
      </c>
      <c r="E12" s="61" t="s">
        <v>25</v>
      </c>
      <c r="F12" s="61" t="s">
        <v>25</v>
      </c>
      <c r="G12" s="62" t="s">
        <v>78</v>
      </c>
      <c r="H12" s="62" t="s">
        <v>74</v>
      </c>
      <c r="I12" s="62">
        <f>'MERCADO TE'!$U$9</f>
        <v>515.52700000000004</v>
      </c>
      <c r="J12" s="15"/>
      <c r="L12" s="59">
        <f>('TE BE'!$L$12+'TE BF'!$L$12+'TE CVA'!$L$12)*(1 - 0.65)</f>
        <v>0.77947279760058075</v>
      </c>
      <c r="M12" s="59">
        <f>('TE BE'!$M$12+'TE BF'!$M$12+'TE CVA'!$M$12)*(1 - 0.65)</f>
        <v>9.0690802684466671</v>
      </c>
      <c r="N12" s="59">
        <f>('TE BE'!$N$12+'TE BF'!$N$12+'TE CVA'!$N$12)*(1 - 0.65)</f>
        <v>0</v>
      </c>
      <c r="O12" s="59">
        <f>('TE BE'!$O$12+'TE BF'!$O$12+'TE CVA'!$O$12)*(1 - 0.65)</f>
        <v>0</v>
      </c>
      <c r="P12" s="59">
        <f>('TE BE'!$P$12+'TE BF'!$P$12+'TE CVA'!$P$12)*(1 - 0.65)</f>
        <v>-4.4072102961787731</v>
      </c>
      <c r="Q12" s="59">
        <f>('TE BE'!$R$12+'TE BF'!$R$12+'TE CVA'!$R$12)*(1 - 0.65)</f>
        <v>72.003363946042825</v>
      </c>
      <c r="R12" s="59">
        <f>('TE BE'!$T$12+'TE BF'!$T$12+'TE CVA'!$T$12)*(1 - 0.65)</f>
        <v>1.8171400522283407</v>
      </c>
      <c r="S12" s="59">
        <f>('TE BE'!$U$12+'TE BF'!$U$12+'TE CVA'!$U$12)*(1 - 0.65)</f>
        <v>1.3511385288124942</v>
      </c>
      <c r="T12" s="59">
        <f>('TE BE'!$V$12+'TE BF'!$V$12+'TE CVA'!$V$12)*(1 - 0.65)</f>
        <v>0</v>
      </c>
      <c r="U12" s="59">
        <f>('TE BE'!$X$12+'TE BF'!$X$12+'TE CVA'!$X$12)*(1 - 0.65)</f>
        <v>0</v>
      </c>
      <c r="V12" s="59">
        <f>('TE BE'!$Z$12+'TE BF'!$Z$12+'TE CVA'!$Z$12)*(1 - 0.65)</f>
        <v>1.5123322421664236</v>
      </c>
      <c r="X12" s="59">
        <v>0.75071478951724602</v>
      </c>
      <c r="Y12" s="59">
        <v>1.6797656535379399</v>
      </c>
      <c r="Z12" s="59">
        <v>0</v>
      </c>
      <c r="AA12" s="59">
        <v>0</v>
      </c>
      <c r="AB12" s="59">
        <v>0</v>
      </c>
      <c r="AC12" s="59">
        <v>76.067898102134606</v>
      </c>
      <c r="AD12" s="59">
        <v>0</v>
      </c>
      <c r="AE12" s="59">
        <v>0</v>
      </c>
      <c r="AF12" s="59">
        <v>0</v>
      </c>
      <c r="AG12" s="59">
        <v>0</v>
      </c>
      <c r="AH12" s="59">
        <v>0</v>
      </c>
    </row>
    <row r="13" spans="1:34" ht="11.25" customHeight="1" x14ac:dyDescent="0.25">
      <c r="A13" s="153"/>
      <c r="B13" s="153"/>
      <c r="C13" s="153"/>
      <c r="D13" s="61" t="s">
        <v>30</v>
      </c>
      <c r="E13" s="61" t="s">
        <v>25</v>
      </c>
      <c r="F13" s="61" t="s">
        <v>25</v>
      </c>
      <c r="G13" s="62" t="s">
        <v>78</v>
      </c>
      <c r="H13" s="62" t="s">
        <v>74</v>
      </c>
      <c r="I13" s="62">
        <f>'MERCADO TE'!$U$10</f>
        <v>1078.232</v>
      </c>
      <c r="J13" s="15"/>
      <c r="L13" s="59">
        <f>('TE BE'!$L$13+'TE BF'!$L$13+'TE CVA'!$L$13)*(1 - 0.4)</f>
        <v>1.3362390816009955</v>
      </c>
      <c r="M13" s="59">
        <f>('TE BE'!$M$13+'TE BF'!$M$13+'TE CVA'!$M$13)*(1 - 0.4)</f>
        <v>15.546994745908574</v>
      </c>
      <c r="N13" s="59">
        <f>('TE BE'!$N$13+'TE BF'!$N$13+'TE CVA'!$N$13)*(1 - 0.4)</f>
        <v>0</v>
      </c>
      <c r="O13" s="59">
        <f>('TE BE'!$O$13+'TE BF'!$O$13+'TE CVA'!$O$13)*(1 - 0.4)</f>
        <v>0</v>
      </c>
      <c r="P13" s="59">
        <f>('TE BE'!$P$13+'TE BF'!$P$13+'TE CVA'!$P$13)*(1 - 0.4)</f>
        <v>-7.5552176505921826</v>
      </c>
      <c r="Q13" s="59">
        <f>('TE BE'!$R$13+'TE BF'!$R$13+'TE CVA'!$R$13)*(1 - 0.4)</f>
        <v>123.43433819321628</v>
      </c>
      <c r="R13" s="59">
        <f>('TE BE'!$T$13+'TE BF'!$T$13+'TE CVA'!$T$13)*(1 - 0.4)</f>
        <v>3.1150972323914417</v>
      </c>
      <c r="S13" s="59">
        <f>('TE BE'!$U$13+'TE BF'!$U$13+'TE CVA'!$U$13)*(1 - 0.4)</f>
        <v>2.3162374779642758</v>
      </c>
      <c r="T13" s="59">
        <f>('TE BE'!$V$13+'TE BF'!$V$13+'TE CVA'!$V$13)*(1 - 0.4)</f>
        <v>0</v>
      </c>
      <c r="U13" s="59">
        <f>('TE BE'!$X$13+'TE BF'!$X$13+'TE CVA'!$X$13)*(1 - 0.4)</f>
        <v>0</v>
      </c>
      <c r="V13" s="59">
        <f>('TE BE'!$Z$13+'TE BF'!$Z$13+'TE CVA'!$Z$13)*(1 - 0.4)</f>
        <v>2.5925695579995831</v>
      </c>
      <c r="X13" s="59">
        <v>1.2869396391724199</v>
      </c>
      <c r="Y13" s="59">
        <v>2.8795982632078898</v>
      </c>
      <c r="Z13" s="59">
        <v>0</v>
      </c>
      <c r="AA13" s="59">
        <v>0</v>
      </c>
      <c r="AB13" s="59">
        <v>0</v>
      </c>
      <c r="AC13" s="59">
        <v>130.40211103223101</v>
      </c>
      <c r="AD13" s="59">
        <v>0</v>
      </c>
      <c r="AE13" s="59">
        <v>0</v>
      </c>
      <c r="AF13" s="59">
        <v>0</v>
      </c>
      <c r="AG13" s="59">
        <v>0</v>
      </c>
      <c r="AH13" s="59">
        <v>0</v>
      </c>
    </row>
    <row r="14" spans="1:34" ht="11.25" customHeight="1" x14ac:dyDescent="0.25">
      <c r="A14" s="153"/>
      <c r="B14" s="153"/>
      <c r="C14" s="153"/>
      <c r="D14" s="61" t="s">
        <v>31</v>
      </c>
      <c r="E14" s="61" t="s">
        <v>25</v>
      </c>
      <c r="F14" s="61" t="s">
        <v>25</v>
      </c>
      <c r="G14" s="62" t="s">
        <v>78</v>
      </c>
      <c r="H14" s="62" t="s">
        <v>74</v>
      </c>
      <c r="I14" s="62">
        <f>'MERCADO TE'!$U$11</f>
        <v>1111.8500000000001</v>
      </c>
      <c r="J14" s="15"/>
      <c r="L14" s="59">
        <f>('TE BE'!$L$14+'TE BF'!$L$14+'TE CVA'!$L$14)*(1 - 0.1)</f>
        <v>2.0043586224014933</v>
      </c>
      <c r="M14" s="59">
        <f>('TE BE'!$M$14+'TE BF'!$M$14+'TE CVA'!$M$14)*(1 - 0.1)</f>
        <v>23.320492118862862</v>
      </c>
      <c r="N14" s="59">
        <f>('TE BE'!$N$14+'TE BF'!$N$14+'TE CVA'!$N$14)*(1 - 0.1)</f>
        <v>0</v>
      </c>
      <c r="O14" s="59">
        <f>('TE BE'!$O$14+'TE BF'!$O$14+'TE CVA'!$O$14)*(1 - 0.1)</f>
        <v>0</v>
      </c>
      <c r="P14" s="59">
        <f>('TE BE'!$P$14+'TE BF'!$P$14+'TE CVA'!$P$14)*(1 - 0.1)</f>
        <v>-11.332826475888275</v>
      </c>
      <c r="Q14" s="59">
        <f>('TE BE'!$R$14+'TE BF'!$R$14+'TE CVA'!$R$14)*(1 - 0.1)</f>
        <v>185.15150728982442</v>
      </c>
      <c r="R14" s="59">
        <f>('TE BE'!$T$14+'TE BF'!$T$14+'TE CVA'!$T$14)*(1 - 0.1)</f>
        <v>4.6726458485871625</v>
      </c>
      <c r="S14" s="59">
        <f>('TE BE'!$U$14+'TE BF'!$U$14+'TE CVA'!$U$14)*(1 - 0.1)</f>
        <v>3.4743562169464139</v>
      </c>
      <c r="T14" s="59">
        <f>('TE BE'!$V$14+'TE BF'!$V$14+'TE CVA'!$V$14)*(1 - 0.1)</f>
        <v>0</v>
      </c>
      <c r="U14" s="59">
        <f>('TE BE'!$X$14+'TE BF'!$X$14+'TE CVA'!$X$14)*(1 - 0.1)</f>
        <v>0</v>
      </c>
      <c r="V14" s="59">
        <f>('TE BE'!$Z$14+'TE BF'!$Z$14+'TE CVA'!$Z$14)*(1 - 0.1)</f>
        <v>3.8888543369993753</v>
      </c>
      <c r="X14" s="59">
        <v>1.93040945875863</v>
      </c>
      <c r="Y14" s="59">
        <v>4.3193973948118396</v>
      </c>
      <c r="Z14" s="59">
        <v>0</v>
      </c>
      <c r="AA14" s="59">
        <v>0</v>
      </c>
      <c r="AB14" s="59">
        <v>0</v>
      </c>
      <c r="AC14" s="59">
        <v>195.603166548346</v>
      </c>
      <c r="AD14" s="59">
        <v>0</v>
      </c>
      <c r="AE14" s="59">
        <v>0</v>
      </c>
      <c r="AF14" s="59">
        <v>0</v>
      </c>
      <c r="AG14" s="59">
        <v>0</v>
      </c>
      <c r="AH14" s="59">
        <v>0</v>
      </c>
    </row>
    <row r="15" spans="1:34" ht="11.25" customHeight="1" x14ac:dyDescent="0.25">
      <c r="A15" s="153"/>
      <c r="B15" s="153"/>
      <c r="C15" s="153"/>
      <c r="D15" s="61" t="s">
        <v>32</v>
      </c>
      <c r="E15" s="61" t="s">
        <v>25</v>
      </c>
      <c r="F15" s="61" t="s">
        <v>25</v>
      </c>
      <c r="G15" s="62" t="s">
        <v>78</v>
      </c>
      <c r="H15" s="62" t="s">
        <v>74</v>
      </c>
      <c r="I15" s="62">
        <f>'MERCADO TE'!$U$12</f>
        <v>453.86500000000007</v>
      </c>
      <c r="J15" s="15"/>
      <c r="L15" s="59">
        <f>('TE BE'!$L$15+'TE BF'!$L$15+'TE CVA'!$L$15)*1</f>
        <v>2.2270651360016593</v>
      </c>
      <c r="M15" s="59">
        <f>('TE BE'!$M$15+'TE BF'!$M$15+'TE CVA'!$M$15)*1</f>
        <v>25.911657909847623</v>
      </c>
      <c r="N15" s="59">
        <f>('TE BE'!$N$15+'TE BF'!$N$15+'TE CVA'!$N$15)*1</f>
        <v>0</v>
      </c>
      <c r="O15" s="59">
        <f>('TE BE'!$O$15+'TE BF'!$O$15+'TE CVA'!$O$15)*1</f>
        <v>0</v>
      </c>
      <c r="P15" s="59">
        <f>('TE BE'!$P$15+'TE BF'!$P$15+'TE CVA'!$P$15)*1</f>
        <v>-12.592029417653638</v>
      </c>
      <c r="Q15" s="59">
        <f>('TE BE'!$R$15+'TE BF'!$R$15+'TE CVA'!$R$15)*1</f>
        <v>205.72389698869381</v>
      </c>
      <c r="R15" s="59">
        <f>('TE BE'!$T$15+'TE BF'!$T$15+'TE CVA'!$T$15)*1</f>
        <v>5.1918287206524028</v>
      </c>
      <c r="S15" s="59">
        <f>('TE BE'!$U$15+'TE BF'!$U$15+'TE CVA'!$U$15)*1</f>
        <v>3.8603957966071265</v>
      </c>
      <c r="T15" s="59">
        <f>('TE BE'!$V$15+'TE BF'!$V$15+'TE CVA'!$V$15)*1</f>
        <v>0</v>
      </c>
      <c r="U15" s="59">
        <f>('TE BE'!$X$15+'TE BF'!$X$15+'TE CVA'!$X$15)*1</f>
        <v>0</v>
      </c>
      <c r="V15" s="59">
        <f>('TE BE'!$Z$15+'TE BF'!$Z$15+'TE CVA'!$Z$15)*1</f>
        <v>4.320949263332639</v>
      </c>
      <c r="X15" s="59">
        <v>2.1448993986207001</v>
      </c>
      <c r="Y15" s="59">
        <v>4.7993304386798199</v>
      </c>
      <c r="Z15" s="59">
        <v>0</v>
      </c>
      <c r="AA15" s="59">
        <v>0</v>
      </c>
      <c r="AB15" s="59">
        <v>0</v>
      </c>
      <c r="AC15" s="59">
        <v>217.336851720385</v>
      </c>
      <c r="AD15" s="59">
        <v>0</v>
      </c>
      <c r="AE15" s="59">
        <v>0</v>
      </c>
      <c r="AF15" s="59">
        <v>0</v>
      </c>
      <c r="AG15" s="59">
        <v>0</v>
      </c>
      <c r="AH15" s="59">
        <v>0</v>
      </c>
    </row>
    <row r="16" spans="1:34" ht="11.25" customHeight="1" x14ac:dyDescent="0.25">
      <c r="A16" s="153"/>
      <c r="B16" s="153" t="s">
        <v>88</v>
      </c>
      <c r="C16" s="153" t="s">
        <v>24</v>
      </c>
      <c r="D16" s="61" t="s">
        <v>24</v>
      </c>
      <c r="E16" s="61" t="s">
        <v>25</v>
      </c>
      <c r="F16" s="61" t="s">
        <v>25</v>
      </c>
      <c r="G16" s="62" t="s">
        <v>78</v>
      </c>
      <c r="H16" s="62" t="s">
        <v>74</v>
      </c>
      <c r="I16" s="62">
        <f>'MERCADO TE'!$U$13</f>
        <v>0</v>
      </c>
      <c r="J16" s="15"/>
      <c r="L16" s="59">
        <f>('TE BE'!$L$16+'TE BF'!$L$16+'TE CVA'!$L$16)*1</f>
        <v>2.2270651360016593</v>
      </c>
      <c r="M16" s="59">
        <f>('TE BE'!$M$16+'TE BF'!$M$16+'TE CVA'!$M$16)*1</f>
        <v>25.911657909847623</v>
      </c>
      <c r="N16" s="59">
        <f>('TE BE'!$N$16+'TE BF'!$N$16+'TE CVA'!$N$16)*1</f>
        <v>0</v>
      </c>
      <c r="O16" s="59">
        <f>('TE BE'!$O$16+'TE BF'!$O$16+'TE CVA'!$O$16)*1</f>
        <v>0</v>
      </c>
      <c r="P16" s="59">
        <f>('TE BE'!$P$16+'TE BF'!$P$16+'TE CVA'!$P$16)*1</f>
        <v>-12.592029417653638</v>
      </c>
      <c r="Q16" s="59">
        <f>('TE BE'!$R$16+'TE BF'!$R$16+'TE CVA'!$R$16)*1</f>
        <v>205.72389698869381</v>
      </c>
      <c r="R16" s="59">
        <f>('TE BE'!$T$16+'TE BF'!$T$16+'TE CVA'!$T$16)*1</f>
        <v>5.1918287206524028</v>
      </c>
      <c r="S16" s="59">
        <f>('TE BE'!$U$16+'TE BF'!$U$16+'TE CVA'!$U$16)*1</f>
        <v>3.8603957966071265</v>
      </c>
      <c r="T16" s="59">
        <f>('TE BE'!$V$16+'TE BF'!$V$16+'TE CVA'!$V$16)*1</f>
        <v>0</v>
      </c>
      <c r="U16" s="59">
        <f>('TE BE'!$X$16+'TE BF'!$X$16+'TE CVA'!$X$16)*1</f>
        <v>0</v>
      </c>
      <c r="V16" s="59">
        <f>('TE BE'!$Z$16+'TE BF'!$Z$16+'TE CVA'!$Z$16)*1</f>
        <v>4.320949263332639</v>
      </c>
      <c r="X16" s="59">
        <v>2.1448993986207001</v>
      </c>
      <c r="Y16" s="59">
        <v>4.7993304386798199</v>
      </c>
      <c r="Z16" s="59">
        <v>0</v>
      </c>
      <c r="AA16" s="59">
        <v>0</v>
      </c>
      <c r="AB16" s="59">
        <v>0</v>
      </c>
      <c r="AC16" s="59">
        <v>217.336851720385</v>
      </c>
      <c r="AD16" s="59">
        <v>0</v>
      </c>
      <c r="AE16" s="59">
        <v>0</v>
      </c>
      <c r="AF16" s="59">
        <v>0</v>
      </c>
      <c r="AG16" s="59">
        <v>0</v>
      </c>
      <c r="AH16" s="59">
        <v>0</v>
      </c>
    </row>
    <row r="17" spans="1:34" ht="11.25" customHeight="1" x14ac:dyDescent="0.25">
      <c r="A17" s="153"/>
      <c r="B17" s="153"/>
      <c r="C17" s="153"/>
      <c r="D17" s="61" t="s">
        <v>29</v>
      </c>
      <c r="E17" s="61" t="s">
        <v>25</v>
      </c>
      <c r="F17" s="61" t="s">
        <v>25</v>
      </c>
      <c r="G17" s="62" t="s">
        <v>78</v>
      </c>
      <c r="H17" s="62" t="s">
        <v>74</v>
      </c>
      <c r="I17" s="62">
        <f>'MERCADO TE'!$U$14</f>
        <v>0</v>
      </c>
      <c r="J17" s="15"/>
      <c r="L17" s="59">
        <f>('TE BE'!$L$17+'TE BF'!$L$17+'TE CVA'!$L$17)*(1 - 0.65)</f>
        <v>0.77947279760058075</v>
      </c>
      <c r="M17" s="59">
        <f>('TE BE'!$M$17+'TE BF'!$M$17+'TE CVA'!$M$17)*(1 - 0.65)</f>
        <v>9.0690802684466671</v>
      </c>
      <c r="N17" s="59">
        <f>('TE BE'!$N$17+'TE BF'!$N$17+'TE CVA'!$N$17)*(1 - 0.65)</f>
        <v>0</v>
      </c>
      <c r="O17" s="59">
        <f>('TE BE'!$O$17+'TE BF'!$O$17+'TE CVA'!$O$17)*(1 - 0.65)</f>
        <v>0</v>
      </c>
      <c r="P17" s="59">
        <f>('TE BE'!$P$17+'TE BF'!$P$17+'TE CVA'!$P$17)*(1 - 0.65)</f>
        <v>-4.4072102961787731</v>
      </c>
      <c r="Q17" s="59">
        <f>('TE BE'!$R$17+'TE BF'!$R$17+'TE CVA'!$R$17)*(1 - 0.65)</f>
        <v>72.003363946042825</v>
      </c>
      <c r="R17" s="59">
        <f>('TE BE'!$T$17+'TE BF'!$T$17+'TE CVA'!$T$17)*(1 - 0.65)</f>
        <v>1.8171400522283407</v>
      </c>
      <c r="S17" s="59">
        <f>('TE BE'!$U$17+'TE BF'!$U$17+'TE CVA'!$U$17)*(1 - 0.65)</f>
        <v>1.3511385288124942</v>
      </c>
      <c r="T17" s="59">
        <f>('TE BE'!$V$17+'TE BF'!$V$17+'TE CVA'!$V$17)*(1 - 0.65)</f>
        <v>0</v>
      </c>
      <c r="U17" s="59">
        <f>('TE BE'!$X$17+'TE BF'!$X$17+'TE CVA'!$X$17)*(1 - 0.65)</f>
        <v>0</v>
      </c>
      <c r="V17" s="59">
        <f>('TE BE'!$Z$17+'TE BF'!$Z$17+'TE CVA'!$Z$17)*(1 - 0.65)</f>
        <v>1.5123322421664236</v>
      </c>
      <c r="X17" s="59">
        <v>0.75071478951724602</v>
      </c>
      <c r="Y17" s="59">
        <v>1.6797656535379399</v>
      </c>
      <c r="Z17" s="59">
        <v>0</v>
      </c>
      <c r="AA17" s="59">
        <v>0</v>
      </c>
      <c r="AB17" s="59">
        <v>0</v>
      </c>
      <c r="AC17" s="59">
        <v>76.067898102134606</v>
      </c>
      <c r="AD17" s="59">
        <v>0</v>
      </c>
      <c r="AE17" s="59">
        <v>0</v>
      </c>
      <c r="AF17" s="59">
        <v>0</v>
      </c>
      <c r="AG17" s="59">
        <v>0</v>
      </c>
      <c r="AH17" s="59">
        <v>0</v>
      </c>
    </row>
    <row r="18" spans="1:34" ht="11.25" customHeight="1" x14ac:dyDescent="0.25">
      <c r="A18" s="153"/>
      <c r="B18" s="153"/>
      <c r="C18" s="153"/>
      <c r="D18" s="61" t="s">
        <v>30</v>
      </c>
      <c r="E18" s="61" t="s">
        <v>25</v>
      </c>
      <c r="F18" s="61" t="s">
        <v>25</v>
      </c>
      <c r="G18" s="62" t="s">
        <v>78</v>
      </c>
      <c r="H18" s="62" t="s">
        <v>74</v>
      </c>
      <c r="I18" s="62">
        <f>'MERCADO TE'!$U$15</f>
        <v>0</v>
      </c>
      <c r="J18" s="15"/>
      <c r="L18" s="59">
        <f>('TE BE'!$L$18+'TE BF'!$L$18+'TE CVA'!$L$18)*(1 - 0.4)</f>
        <v>1.3362390816009955</v>
      </c>
      <c r="M18" s="59">
        <f>('TE BE'!$M$18+'TE BF'!$M$18+'TE CVA'!$M$18)*(1 - 0.4)</f>
        <v>15.546994745908574</v>
      </c>
      <c r="N18" s="59">
        <f>('TE BE'!$N$18+'TE BF'!$N$18+'TE CVA'!$N$18)*(1 - 0.4)</f>
        <v>0</v>
      </c>
      <c r="O18" s="59">
        <f>('TE BE'!$O$18+'TE BF'!$O$18+'TE CVA'!$O$18)*(1 - 0.4)</f>
        <v>0</v>
      </c>
      <c r="P18" s="59">
        <f>('TE BE'!$P$18+'TE BF'!$P$18+'TE CVA'!$P$18)*(1 - 0.4)</f>
        <v>-7.5552176505921826</v>
      </c>
      <c r="Q18" s="59">
        <f>('TE BE'!$R$18+'TE BF'!$R$18+'TE CVA'!$R$18)*(1 - 0.4)</f>
        <v>123.43433819321628</v>
      </c>
      <c r="R18" s="59">
        <f>('TE BE'!$T$18+'TE BF'!$T$18+'TE CVA'!$T$18)*(1 - 0.4)</f>
        <v>3.1150972323914417</v>
      </c>
      <c r="S18" s="59">
        <f>('TE BE'!$U$18+'TE BF'!$U$18+'TE CVA'!$U$18)*(1 - 0.4)</f>
        <v>2.3162374779642758</v>
      </c>
      <c r="T18" s="59">
        <f>('TE BE'!$V$18+'TE BF'!$V$18+'TE CVA'!$V$18)*(1 - 0.4)</f>
        <v>0</v>
      </c>
      <c r="U18" s="59">
        <f>('TE BE'!$X$18+'TE BF'!$X$18+'TE CVA'!$X$18)*(1 - 0.4)</f>
        <v>0</v>
      </c>
      <c r="V18" s="59">
        <f>('TE BE'!$Z$18+'TE BF'!$Z$18+'TE CVA'!$Z$18)*(1 - 0.4)</f>
        <v>2.5925695579995831</v>
      </c>
      <c r="X18" s="59">
        <v>1.2869396391724199</v>
      </c>
      <c r="Y18" s="59">
        <v>2.8795982632078898</v>
      </c>
      <c r="Z18" s="59">
        <v>0</v>
      </c>
      <c r="AA18" s="59">
        <v>0</v>
      </c>
      <c r="AB18" s="59">
        <v>0</v>
      </c>
      <c r="AC18" s="59">
        <v>130.40211103223101</v>
      </c>
      <c r="AD18" s="59">
        <v>0</v>
      </c>
      <c r="AE18" s="59">
        <v>0</v>
      </c>
      <c r="AF18" s="59">
        <v>0</v>
      </c>
      <c r="AG18" s="59">
        <v>0</v>
      </c>
      <c r="AH18" s="59">
        <v>0</v>
      </c>
    </row>
    <row r="19" spans="1:34" ht="11.25" customHeight="1" x14ac:dyDescent="0.25">
      <c r="A19" s="153"/>
      <c r="B19" s="153"/>
      <c r="C19" s="153"/>
      <c r="D19" s="61" t="s">
        <v>31</v>
      </c>
      <c r="E19" s="61" t="s">
        <v>25</v>
      </c>
      <c r="F19" s="61" t="s">
        <v>25</v>
      </c>
      <c r="G19" s="62" t="s">
        <v>78</v>
      </c>
      <c r="H19" s="62" t="s">
        <v>74</v>
      </c>
      <c r="I19" s="62">
        <f>'MERCADO TE'!$U$16</f>
        <v>0</v>
      </c>
      <c r="J19" s="15"/>
      <c r="L19" s="59">
        <f>('TE BE'!$L$19+'TE BF'!$L$19+'TE CVA'!$L$19)*(1 - 0.1)</f>
        <v>2.0043586224014933</v>
      </c>
      <c r="M19" s="59">
        <f>('TE BE'!$M$19+'TE BF'!$M$19+'TE CVA'!$M$19)*(1 - 0.1)</f>
        <v>23.320492118862862</v>
      </c>
      <c r="N19" s="59">
        <f>('TE BE'!$N$19+'TE BF'!$N$19+'TE CVA'!$N$19)*(1 - 0.1)</f>
        <v>0</v>
      </c>
      <c r="O19" s="59">
        <f>('TE BE'!$O$19+'TE BF'!$O$19+'TE CVA'!$O$19)*(1 - 0.1)</f>
        <v>0</v>
      </c>
      <c r="P19" s="59">
        <f>('TE BE'!$P$19+'TE BF'!$P$19+'TE CVA'!$P$19)*(1 - 0.1)</f>
        <v>-11.332826475888275</v>
      </c>
      <c r="Q19" s="59">
        <f>('TE BE'!$R$19+'TE BF'!$R$19+'TE CVA'!$R$19)*(1 - 0.1)</f>
        <v>185.15150728982442</v>
      </c>
      <c r="R19" s="59">
        <f>('TE BE'!$T$19+'TE BF'!$T$19+'TE CVA'!$T$19)*(1 - 0.1)</f>
        <v>4.6726458485871625</v>
      </c>
      <c r="S19" s="59">
        <f>('TE BE'!$U$19+'TE BF'!$U$19+'TE CVA'!$U$19)*(1 - 0.1)</f>
        <v>3.4743562169464139</v>
      </c>
      <c r="T19" s="59">
        <f>('TE BE'!$V$19+'TE BF'!$V$19+'TE CVA'!$V$19)*(1 - 0.1)</f>
        <v>0</v>
      </c>
      <c r="U19" s="59">
        <f>('TE BE'!$X$19+'TE BF'!$X$19+'TE CVA'!$X$19)*(1 - 0.1)</f>
        <v>0</v>
      </c>
      <c r="V19" s="59">
        <f>('TE BE'!$Z$19+'TE BF'!$Z$19+'TE CVA'!$Z$19)*(1 - 0.1)</f>
        <v>3.8888543369993753</v>
      </c>
      <c r="X19" s="59">
        <v>1.93040945875863</v>
      </c>
      <c r="Y19" s="59">
        <v>4.3193973948118396</v>
      </c>
      <c r="Z19" s="59">
        <v>0</v>
      </c>
      <c r="AA19" s="59">
        <v>0</v>
      </c>
      <c r="AB19" s="59">
        <v>0</v>
      </c>
      <c r="AC19" s="59">
        <v>195.603166548346</v>
      </c>
      <c r="AD19" s="59">
        <v>0</v>
      </c>
      <c r="AE19" s="59">
        <v>0</v>
      </c>
      <c r="AF19" s="59">
        <v>0</v>
      </c>
      <c r="AG19" s="59">
        <v>0</v>
      </c>
      <c r="AH19" s="59">
        <v>0</v>
      </c>
    </row>
    <row r="20" spans="1:34" ht="11.25" customHeight="1" x14ac:dyDescent="0.25">
      <c r="A20" s="153"/>
      <c r="B20" s="153"/>
      <c r="C20" s="153"/>
      <c r="D20" s="61" t="s">
        <v>32</v>
      </c>
      <c r="E20" s="61" t="s">
        <v>25</v>
      </c>
      <c r="F20" s="61" t="s">
        <v>25</v>
      </c>
      <c r="G20" s="62" t="s">
        <v>78</v>
      </c>
      <c r="H20" s="62" t="s">
        <v>74</v>
      </c>
      <c r="I20" s="62">
        <f>'MERCADO TE'!$U$17</f>
        <v>0</v>
      </c>
      <c r="J20" s="15"/>
      <c r="L20" s="59">
        <f>('TE BE'!$L$20+'TE BF'!$L$20+'TE CVA'!$L$20)*1</f>
        <v>2.2270651360016593</v>
      </c>
      <c r="M20" s="59">
        <f>('TE BE'!$M$20+'TE BF'!$M$20+'TE CVA'!$M$20)*1</f>
        <v>25.911657909847623</v>
      </c>
      <c r="N20" s="59">
        <f>('TE BE'!$N$20+'TE BF'!$N$20+'TE CVA'!$N$20)*1</f>
        <v>0</v>
      </c>
      <c r="O20" s="59">
        <f>('TE BE'!$O$20+'TE BF'!$O$20+'TE CVA'!$O$20)*1</f>
        <v>0</v>
      </c>
      <c r="P20" s="59">
        <f>('TE BE'!$P$20+'TE BF'!$P$20+'TE CVA'!$P$20)*1</f>
        <v>-12.592029417653638</v>
      </c>
      <c r="Q20" s="59">
        <f>('TE BE'!$R$20+'TE BF'!$R$20+'TE CVA'!$R$20)*1</f>
        <v>205.72389698869381</v>
      </c>
      <c r="R20" s="59">
        <f>('TE BE'!$T$20+'TE BF'!$T$20+'TE CVA'!$T$20)*1</f>
        <v>5.1918287206524028</v>
      </c>
      <c r="S20" s="59">
        <f>('TE BE'!$U$20+'TE BF'!$U$20+'TE CVA'!$U$20)*1</f>
        <v>3.8603957966071265</v>
      </c>
      <c r="T20" s="59">
        <f>('TE BE'!$V$20+'TE BF'!$V$20+'TE CVA'!$V$20)*1</f>
        <v>0</v>
      </c>
      <c r="U20" s="59">
        <f>('TE BE'!$X$20+'TE BF'!$X$20+'TE CVA'!$X$20)*1</f>
        <v>0</v>
      </c>
      <c r="V20" s="59">
        <f>('TE BE'!$Z$20+'TE BF'!$Z$20+'TE CVA'!$Z$20)*1</f>
        <v>4.320949263332639</v>
      </c>
      <c r="X20" s="59">
        <v>2.1448993986207001</v>
      </c>
      <c r="Y20" s="59">
        <v>4.7993304386798199</v>
      </c>
      <c r="Z20" s="59">
        <v>0</v>
      </c>
      <c r="AA20" s="59">
        <v>0</v>
      </c>
      <c r="AB20" s="59">
        <v>0</v>
      </c>
      <c r="AC20" s="59">
        <v>217.336851720385</v>
      </c>
      <c r="AD20" s="59">
        <v>0</v>
      </c>
      <c r="AE20" s="59">
        <v>0</v>
      </c>
      <c r="AF20" s="59">
        <v>0</v>
      </c>
      <c r="AG20" s="59">
        <v>0</v>
      </c>
      <c r="AH20" s="59">
        <v>0</v>
      </c>
    </row>
    <row r="21" spans="1:34" ht="11.25" customHeight="1" x14ac:dyDescent="0.25">
      <c r="A21" s="153" t="s">
        <v>41</v>
      </c>
      <c r="B21" s="153" t="s">
        <v>73</v>
      </c>
      <c r="C21" s="153" t="s">
        <v>42</v>
      </c>
      <c r="D21" s="153" t="s">
        <v>25</v>
      </c>
      <c r="E21" s="153" t="s">
        <v>25</v>
      </c>
      <c r="F21" s="153" t="s">
        <v>25</v>
      </c>
      <c r="G21" s="62" t="s">
        <v>75</v>
      </c>
      <c r="H21" s="62" t="s">
        <v>74</v>
      </c>
      <c r="I21" s="62">
        <f>'MERCADO TE'!$U$18</f>
        <v>0</v>
      </c>
      <c r="J21" s="15"/>
      <c r="L21" s="59">
        <f>('TE BE'!$L$21+'TE BF'!$L$21+'TE CVA'!$L$21)*(1 - CUSTOS!$M$38)</f>
        <v>2.0934412278415597</v>
      </c>
      <c r="M21" s="59">
        <f>('TE BE'!$M$21+'TE BF'!$M$21+'TE CVA'!$M$21)*(1 - CUSTOS!$M$38)</f>
        <v>24.356958435256765</v>
      </c>
      <c r="N21" s="59">
        <f>('TE BE'!$N$21+'TE BF'!$N$21+'TE CVA'!$N$21)*(1 - CUSTOS!$M$38)</f>
        <v>0</v>
      </c>
      <c r="O21" s="59">
        <f>('TE BE'!$O$21+'TE BF'!$O$21+'TE CVA'!$O$21)*(1 - CUSTOS!$M$38)</f>
        <v>0</v>
      </c>
      <c r="P21" s="59">
        <f>('TE BE'!$P$21+'TE BF'!$P$21+'TE CVA'!$P$21)*(1 - CUSTOS!$M$38)</f>
        <v>-11.836507652594419</v>
      </c>
      <c r="Q21" s="59">
        <f>('TE BE'!$R$21+'TE BF'!$R$21+'TE CVA'!$R$21)*(1 - CUSTOS!$M$38)</f>
        <v>313.78716665218877</v>
      </c>
      <c r="R21" s="59">
        <f>('TE BE'!$T$21+'TE BF'!$T$21+'TE CVA'!$T$21)*(1 - CUSTOS!$M$38)</f>
        <v>4.8803189974132586</v>
      </c>
      <c r="S21" s="59">
        <f>('TE BE'!$U$21+'TE BF'!$U$21+'TE CVA'!$U$21)*(1 - CUSTOS!$M$38)</f>
        <v>3.6287720488106987</v>
      </c>
      <c r="T21" s="59">
        <f>('TE BE'!$V$21+'TE BF'!$V$21+'TE CVA'!$V$21)*(1 - CUSTOS!$M$38)</f>
        <v>0</v>
      </c>
      <c r="U21" s="59">
        <f>('TE BE'!$X$21+'TE BF'!$X$21+'TE CVA'!$X$21)*(1 - CUSTOS!$M$38)</f>
        <v>0</v>
      </c>
      <c r="V21" s="59">
        <f>('TE BE'!$Z$21+'TE BF'!$Z$21+'TE CVA'!$Z$21)*(1 - CUSTOS!$M$38)</f>
        <v>4.0616923075326801</v>
      </c>
      <c r="X21" s="59">
        <v>1.8875114707862199</v>
      </c>
      <c r="Y21" s="59">
        <v>4.2234107860382402</v>
      </c>
      <c r="Z21" s="59">
        <v>0</v>
      </c>
      <c r="AA21" s="59">
        <v>0</v>
      </c>
      <c r="AB21" s="59">
        <v>0</v>
      </c>
      <c r="AC21" s="59">
        <v>310.34062147544802</v>
      </c>
      <c r="AD21" s="59">
        <v>0</v>
      </c>
      <c r="AE21" s="59">
        <v>0</v>
      </c>
      <c r="AF21" s="59">
        <v>0</v>
      </c>
      <c r="AG21" s="59">
        <v>0</v>
      </c>
      <c r="AH21" s="59">
        <v>0</v>
      </c>
    </row>
    <row r="22" spans="1:34" ht="11.25" customHeight="1" x14ac:dyDescent="0.25">
      <c r="A22" s="153"/>
      <c r="B22" s="153"/>
      <c r="C22" s="153"/>
      <c r="D22" s="153"/>
      <c r="E22" s="153"/>
      <c r="F22" s="153"/>
      <c r="G22" s="62" t="s">
        <v>87</v>
      </c>
      <c r="H22" s="62" t="s">
        <v>74</v>
      </c>
      <c r="I22" s="62">
        <f>'MERCADO TE'!$U$19</f>
        <v>0</v>
      </c>
      <c r="J22" s="15"/>
      <c r="L22" s="59">
        <f>('TE BE'!$L$22+'TE BF'!$L$22+'TE CVA'!$L$22)*(1 - CUSTOS!$M$38)</f>
        <v>2.0934412278415597</v>
      </c>
      <c r="M22" s="59">
        <f>('TE BE'!$M$22+'TE BF'!$M$22+'TE CVA'!$M$22)*(1 - CUSTOS!$M$38)</f>
        <v>24.356958435256765</v>
      </c>
      <c r="N22" s="59">
        <f>('TE BE'!$N$22+'TE BF'!$N$22+'TE CVA'!$N$22)*(1 - CUSTOS!$M$38)</f>
        <v>0</v>
      </c>
      <c r="O22" s="59">
        <f>('TE BE'!$O$22+'TE BF'!$O$22+'TE CVA'!$O$22)*(1 - CUSTOS!$M$38)</f>
        <v>0</v>
      </c>
      <c r="P22" s="59">
        <f>('TE BE'!$P$22+'TE BF'!$P$22+'TE CVA'!$P$22)*(1 - CUSTOS!$M$38)</f>
        <v>-11.836507652594419</v>
      </c>
      <c r="Q22" s="59">
        <f>('TE BE'!$R$22+'TE BF'!$R$22+'TE CVA'!$R$22)*(1 - CUSTOS!$M$38)</f>
        <v>182.43439921638881</v>
      </c>
      <c r="R22" s="59">
        <f>('TE BE'!$T$22+'TE BF'!$T$22+'TE CVA'!$T$22)*(1 - CUSTOS!$M$38)</f>
        <v>4.8803189974132586</v>
      </c>
      <c r="S22" s="59">
        <f>('TE BE'!$U$22+'TE BF'!$U$22+'TE CVA'!$U$22)*(1 - CUSTOS!$M$38)</f>
        <v>3.6287720488106987</v>
      </c>
      <c r="T22" s="59">
        <f>('TE BE'!$V$22+'TE BF'!$V$22+'TE CVA'!$V$22)*(1 - CUSTOS!$M$38)</f>
        <v>0</v>
      </c>
      <c r="U22" s="59">
        <f>('TE BE'!$X$22+'TE BF'!$X$22+'TE CVA'!$X$22)*(1 - CUSTOS!$M$38)</f>
        <v>0</v>
      </c>
      <c r="V22" s="59">
        <f>('TE BE'!$Z$22+'TE BF'!$Z$22+'TE CVA'!$Z$22)*(1 - CUSTOS!$M$38)</f>
        <v>4.0616923075326801</v>
      </c>
      <c r="X22" s="59">
        <v>1.8875114707862199</v>
      </c>
      <c r="Y22" s="59">
        <v>4.2234107860382402</v>
      </c>
      <c r="Z22" s="59">
        <v>0</v>
      </c>
      <c r="AA22" s="59">
        <v>0</v>
      </c>
      <c r="AB22" s="59">
        <v>0</v>
      </c>
      <c r="AC22" s="59">
        <v>180.430593881074</v>
      </c>
      <c r="AD22" s="59">
        <v>0</v>
      </c>
      <c r="AE22" s="59">
        <v>0</v>
      </c>
      <c r="AF22" s="59">
        <v>0</v>
      </c>
      <c r="AG22" s="59">
        <v>0</v>
      </c>
      <c r="AH22" s="59">
        <v>0</v>
      </c>
    </row>
    <row r="23" spans="1:34" ht="11.25" customHeight="1" x14ac:dyDescent="0.25">
      <c r="A23" s="153"/>
      <c r="B23" s="153"/>
      <c r="C23" s="153"/>
      <c r="D23" s="153"/>
      <c r="E23" s="153"/>
      <c r="F23" s="153"/>
      <c r="G23" s="62" t="s">
        <v>76</v>
      </c>
      <c r="H23" s="62" t="s">
        <v>74</v>
      </c>
      <c r="I23" s="62">
        <f>'MERCADO TE'!$U$20</f>
        <v>0</v>
      </c>
      <c r="J23" s="15"/>
      <c r="L23" s="59">
        <f>('TE BE'!$L$23+'TE BF'!$L$23+'TE CVA'!$L$23)*(1 - CUSTOS!$M$38)</f>
        <v>2.0934412278415597</v>
      </c>
      <c r="M23" s="59">
        <f>('TE BE'!$M$23+'TE BF'!$M$23+'TE CVA'!$M$23)*(1 - CUSTOS!$M$38)</f>
        <v>24.356958435256765</v>
      </c>
      <c r="N23" s="59">
        <f>('TE BE'!$N$23+'TE BF'!$N$23+'TE CVA'!$N$23)*(1 - CUSTOS!$M$38)</f>
        <v>0</v>
      </c>
      <c r="O23" s="59">
        <f>('TE BE'!$O$23+'TE BF'!$O$23+'TE CVA'!$O$23)*(1 - CUSTOS!$M$38)</f>
        <v>0</v>
      </c>
      <c r="P23" s="59">
        <f>('TE BE'!$P$23+'TE BF'!$P$23+'TE CVA'!$P$23)*(1 - CUSTOS!$M$38)</f>
        <v>-11.836507652594419</v>
      </c>
      <c r="Q23" s="59">
        <f>('TE BE'!$R$23+'TE BF'!$R$23+'TE CVA'!$R$23)*(1 - CUSTOS!$M$38)</f>
        <v>182.43439921638881</v>
      </c>
      <c r="R23" s="59">
        <f>('TE BE'!$T$23+'TE BF'!$T$23+'TE CVA'!$T$23)*(1 - CUSTOS!$M$38)</f>
        <v>4.8803189974132586</v>
      </c>
      <c r="S23" s="59">
        <f>('TE BE'!$U$23+'TE BF'!$U$23+'TE CVA'!$U$23)*(1 - CUSTOS!$M$38)</f>
        <v>3.6287720488106987</v>
      </c>
      <c r="T23" s="59">
        <f>('TE BE'!$V$23+'TE BF'!$V$23+'TE CVA'!$V$23)*(1 - CUSTOS!$M$38)</f>
        <v>0</v>
      </c>
      <c r="U23" s="59">
        <f>('TE BE'!$X$23+'TE BF'!$X$23+'TE CVA'!$X$23)*(1 - CUSTOS!$M$38)</f>
        <v>0</v>
      </c>
      <c r="V23" s="59">
        <f>('TE BE'!$Z$23+'TE BF'!$Z$23+'TE CVA'!$Z$23)*(1 - CUSTOS!$M$38)</f>
        <v>4.0616923075326801</v>
      </c>
      <c r="X23" s="59">
        <v>1.8875114707862199</v>
      </c>
      <c r="Y23" s="59">
        <v>4.2234107860382402</v>
      </c>
      <c r="Z23" s="59">
        <v>0</v>
      </c>
      <c r="AA23" s="59">
        <v>0</v>
      </c>
      <c r="AB23" s="59">
        <v>0</v>
      </c>
      <c r="AC23" s="59">
        <v>180.430593881074</v>
      </c>
      <c r="AD23" s="59">
        <v>0</v>
      </c>
      <c r="AE23" s="59">
        <v>0</v>
      </c>
      <c r="AF23" s="59">
        <v>0</v>
      </c>
      <c r="AG23" s="59">
        <v>0</v>
      </c>
      <c r="AH23" s="59">
        <v>0</v>
      </c>
    </row>
    <row r="24" spans="1:34" ht="11.25" customHeight="1" x14ac:dyDescent="0.25">
      <c r="A24" s="153"/>
      <c r="B24" s="61" t="s">
        <v>77</v>
      </c>
      <c r="C24" s="61" t="s">
        <v>42</v>
      </c>
      <c r="D24" s="61" t="s">
        <v>25</v>
      </c>
      <c r="E24" s="61" t="s">
        <v>25</v>
      </c>
      <c r="F24" s="61" t="s">
        <v>25</v>
      </c>
      <c r="G24" s="62" t="s">
        <v>78</v>
      </c>
      <c r="H24" s="62" t="s">
        <v>74</v>
      </c>
      <c r="I24" s="62">
        <f>'MERCADO TE'!$U$21</f>
        <v>11721.666999999998</v>
      </c>
      <c r="J24" s="15"/>
      <c r="L24" s="59">
        <f>('TE BE'!$L$24+'TE BF'!$L$24+'TE CVA'!$L$24)*(1 - CUSTOS!$M$38)</f>
        <v>2.0934412278415597</v>
      </c>
      <c r="M24" s="59">
        <f>('TE BE'!$M$24+'TE BF'!$M$24+'TE CVA'!$M$24)*(1 - CUSTOS!$M$38)</f>
        <v>24.356958435256765</v>
      </c>
      <c r="N24" s="59">
        <f>('TE BE'!$N$24+'TE BF'!$N$24+'TE CVA'!$N$24)*(1 - CUSTOS!$M$38)</f>
        <v>0</v>
      </c>
      <c r="O24" s="59">
        <f>('TE BE'!$O$24+'TE BF'!$O$24+'TE CVA'!$O$24)*(1 - CUSTOS!$M$38)</f>
        <v>0</v>
      </c>
      <c r="P24" s="59">
        <f>('TE BE'!$P$24+'TE BF'!$P$24+'TE CVA'!$P$24)*(1 - CUSTOS!$M$38)</f>
        <v>-11.836507652594419</v>
      </c>
      <c r="Q24" s="59">
        <f>('TE BE'!$R$24+'TE BF'!$R$24+'TE CVA'!$R$24)*(1 - CUSTOS!$M$38)</f>
        <v>193.38046316937218</v>
      </c>
      <c r="R24" s="59">
        <f>('TE BE'!$T$24+'TE BF'!$T$24+'TE CVA'!$T$24)*(1 - CUSTOS!$M$38)</f>
        <v>4.8803189974132586</v>
      </c>
      <c r="S24" s="59">
        <f>('TE BE'!$U$24+'TE BF'!$U$24+'TE CVA'!$U$24)*(1 - CUSTOS!$M$38)</f>
        <v>3.6287720488106987</v>
      </c>
      <c r="T24" s="59">
        <f>('TE BE'!$V$24+'TE BF'!$V$24+'TE CVA'!$V$24)*(1 - CUSTOS!$M$38)</f>
        <v>0</v>
      </c>
      <c r="U24" s="59">
        <f>('TE BE'!$X$24+'TE BF'!$X$24+'TE CVA'!$X$24)*(1 - CUSTOS!$M$38)</f>
        <v>0</v>
      </c>
      <c r="V24" s="59">
        <f>('TE BE'!$Z$24+'TE BF'!$Z$24+'TE CVA'!$Z$24)*(1 - CUSTOS!$M$38)</f>
        <v>4.0616923075326801</v>
      </c>
      <c r="X24" s="59">
        <v>1.8875114707862199</v>
      </c>
      <c r="Y24" s="59">
        <v>4.2234107860382402</v>
      </c>
      <c r="Z24" s="59">
        <v>0</v>
      </c>
      <c r="AA24" s="59">
        <v>0</v>
      </c>
      <c r="AB24" s="59">
        <v>0</v>
      </c>
      <c r="AC24" s="59">
        <v>191.256429513939</v>
      </c>
      <c r="AD24" s="59">
        <v>0</v>
      </c>
      <c r="AE24" s="59">
        <v>0</v>
      </c>
      <c r="AF24" s="59">
        <v>0</v>
      </c>
      <c r="AG24" s="59">
        <v>0</v>
      </c>
      <c r="AH24" s="59">
        <v>0</v>
      </c>
    </row>
    <row r="25" spans="1:34" ht="11.25" customHeight="1" x14ac:dyDescent="0.25">
      <c r="A25" s="153"/>
      <c r="B25" s="153" t="s">
        <v>73</v>
      </c>
      <c r="C25" s="153" t="s">
        <v>42</v>
      </c>
      <c r="D25" s="153" t="s">
        <v>90</v>
      </c>
      <c r="E25" s="153" t="s">
        <v>25</v>
      </c>
      <c r="F25" s="153" t="s">
        <v>25</v>
      </c>
      <c r="G25" s="62" t="s">
        <v>75</v>
      </c>
      <c r="H25" s="62" t="s">
        <v>74</v>
      </c>
      <c r="I25" s="62">
        <f>'MERCADO TE'!$U$22</f>
        <v>0</v>
      </c>
      <c r="J25" s="15"/>
      <c r="L25" s="59">
        <f>('TE BE'!$L$25+'TE BF'!$L$25+'TE CVA'!$L$25)*(1 - CUSTOS!$M$39)</f>
        <v>2.0934412278415597</v>
      </c>
      <c r="M25" s="59">
        <f>('TE BE'!$M$25+'TE BF'!$M$25+'TE CVA'!$M$25)*(1 - CUSTOS!$M$39)</f>
        <v>24.356958435256765</v>
      </c>
      <c r="N25" s="59">
        <f>('TE BE'!$N$25+'TE BF'!$N$25+'TE CVA'!$N$25)*(1 - CUSTOS!$M$39)</f>
        <v>0</v>
      </c>
      <c r="O25" s="59">
        <f>('TE BE'!$O$25+'TE BF'!$O$25+'TE CVA'!$O$25)*(1 - CUSTOS!$M$39)</f>
        <v>0</v>
      </c>
      <c r="P25" s="59">
        <f>('TE BE'!$P$25+'TE BF'!$P$25+'TE CVA'!$P$25)*(1 - CUSTOS!$M$39)</f>
        <v>-11.836507652594419</v>
      </c>
      <c r="Q25" s="59">
        <f>('TE BE'!$R$25+'TE BF'!$R$25+'TE CVA'!$R$25)*(1 - CUSTOS!$M$39)</f>
        <v>313.78716665218877</v>
      </c>
      <c r="R25" s="59">
        <f>('TE BE'!$T$25+'TE BF'!$T$25+'TE CVA'!$T$25)*(1 - CUSTOS!$M$39)</f>
        <v>4.8803189974132586</v>
      </c>
      <c r="S25" s="59">
        <f>('TE BE'!$U$25+'TE BF'!$U$25+'TE CVA'!$U$25)*(1 - CUSTOS!$M$39)</f>
        <v>3.6287720488106987</v>
      </c>
      <c r="T25" s="59">
        <f>('TE BE'!$V$25+'TE BF'!$V$25+'TE CVA'!$V$25)*(1 - CUSTOS!$M$39)</f>
        <v>0</v>
      </c>
      <c r="U25" s="59">
        <f>('TE BE'!$X$25+'TE BF'!$X$25+'TE CVA'!$X$25)*(1 - CUSTOS!$M$39)</f>
        <v>0</v>
      </c>
      <c r="V25" s="59">
        <f>('TE BE'!$Z$25+'TE BF'!$Z$25+'TE CVA'!$Z$25)*(1 - CUSTOS!$M$39)</f>
        <v>4.0616923075326801</v>
      </c>
      <c r="X25" s="59">
        <v>1.8875114707862199</v>
      </c>
      <c r="Y25" s="59">
        <v>4.2234107860382402</v>
      </c>
      <c r="Z25" s="59">
        <v>0</v>
      </c>
      <c r="AA25" s="59">
        <v>0</v>
      </c>
      <c r="AB25" s="59">
        <v>0</v>
      </c>
      <c r="AC25" s="59">
        <v>310.34062147544802</v>
      </c>
      <c r="AD25" s="59">
        <v>0</v>
      </c>
      <c r="AE25" s="59">
        <v>0</v>
      </c>
      <c r="AF25" s="59">
        <v>0</v>
      </c>
      <c r="AG25" s="59">
        <v>0</v>
      </c>
      <c r="AH25" s="59">
        <v>0</v>
      </c>
    </row>
    <row r="26" spans="1:34" ht="11.25" customHeight="1" x14ac:dyDescent="0.25">
      <c r="A26" s="153"/>
      <c r="B26" s="153"/>
      <c r="C26" s="153"/>
      <c r="D26" s="153"/>
      <c r="E26" s="153"/>
      <c r="F26" s="153"/>
      <c r="G26" s="62" t="s">
        <v>87</v>
      </c>
      <c r="H26" s="62" t="s">
        <v>74</v>
      </c>
      <c r="I26" s="62">
        <f>'MERCADO TE'!$U$23</f>
        <v>0</v>
      </c>
      <c r="J26" s="15"/>
      <c r="L26" s="59">
        <f>('TE BE'!$L$26+'TE BF'!$L$26+'TE CVA'!$L$26)*(1 - CUSTOS!$M$39)</f>
        <v>2.0934412278415597</v>
      </c>
      <c r="M26" s="59">
        <f>('TE BE'!$M$26+'TE BF'!$M$26+'TE CVA'!$M$26)*(1 - CUSTOS!$M$39)</f>
        <v>24.356958435256765</v>
      </c>
      <c r="N26" s="59">
        <f>('TE BE'!$N$26+'TE BF'!$N$26+'TE CVA'!$N$26)*(1 - CUSTOS!$M$39)</f>
        <v>0</v>
      </c>
      <c r="O26" s="59">
        <f>('TE BE'!$O$26+'TE BF'!$O$26+'TE CVA'!$O$26)*(1 - CUSTOS!$M$39)</f>
        <v>0</v>
      </c>
      <c r="P26" s="59">
        <f>('TE BE'!$P$26+'TE BF'!$P$26+'TE CVA'!$P$26)*(1 - CUSTOS!$M$39)</f>
        <v>-11.836507652594419</v>
      </c>
      <c r="Q26" s="59">
        <f>('TE BE'!$R$26+'TE BF'!$R$26+'TE CVA'!$R$26)*(1 - CUSTOS!$M$39)</f>
        <v>182.43439921638881</v>
      </c>
      <c r="R26" s="59">
        <f>('TE BE'!$T$26+'TE BF'!$T$26+'TE CVA'!$T$26)*(1 - CUSTOS!$M$39)</f>
        <v>4.8803189974132586</v>
      </c>
      <c r="S26" s="59">
        <f>('TE BE'!$U$26+'TE BF'!$U$26+'TE CVA'!$U$26)*(1 - CUSTOS!$M$39)</f>
        <v>3.6287720488106987</v>
      </c>
      <c r="T26" s="59">
        <f>('TE BE'!$V$26+'TE BF'!$V$26+'TE CVA'!$V$26)*(1 - CUSTOS!$M$39)</f>
        <v>0</v>
      </c>
      <c r="U26" s="59">
        <f>('TE BE'!$X$26+'TE BF'!$X$26+'TE CVA'!$X$26)*(1 - CUSTOS!$M$39)</f>
        <v>0</v>
      </c>
      <c r="V26" s="59">
        <f>('TE BE'!$Z$26+'TE BF'!$Z$26+'TE CVA'!$Z$26)*(1 - CUSTOS!$M$39)</f>
        <v>4.0616923075326801</v>
      </c>
      <c r="X26" s="59">
        <v>1.8875114707862199</v>
      </c>
      <c r="Y26" s="59">
        <v>4.2234107860382402</v>
      </c>
      <c r="Z26" s="59">
        <v>0</v>
      </c>
      <c r="AA26" s="59">
        <v>0</v>
      </c>
      <c r="AB26" s="59">
        <v>0</v>
      </c>
      <c r="AC26" s="59">
        <v>180.430593881074</v>
      </c>
      <c r="AD26" s="59">
        <v>0</v>
      </c>
      <c r="AE26" s="59">
        <v>0</v>
      </c>
      <c r="AF26" s="59">
        <v>0</v>
      </c>
      <c r="AG26" s="59">
        <v>0</v>
      </c>
      <c r="AH26" s="59">
        <v>0</v>
      </c>
    </row>
    <row r="27" spans="1:34" ht="11.25" customHeight="1" x14ac:dyDescent="0.25">
      <c r="A27" s="153"/>
      <c r="B27" s="153"/>
      <c r="C27" s="153"/>
      <c r="D27" s="153"/>
      <c r="E27" s="153"/>
      <c r="F27" s="153"/>
      <c r="G27" s="62" t="s">
        <v>76</v>
      </c>
      <c r="H27" s="62" t="s">
        <v>74</v>
      </c>
      <c r="I27" s="62">
        <f>'MERCADO TE'!$U$24</f>
        <v>0</v>
      </c>
      <c r="J27" s="15"/>
      <c r="L27" s="59">
        <f>('TE BE'!$L$27+'TE BF'!$L$27+'TE CVA'!$L$27)*(1 - CUSTOS!$M$39)</f>
        <v>2.0934412278415597</v>
      </c>
      <c r="M27" s="59">
        <f>('TE BE'!$M$27+'TE BF'!$M$27+'TE CVA'!$M$27)*(1 - CUSTOS!$M$39)</f>
        <v>24.356958435256765</v>
      </c>
      <c r="N27" s="59">
        <f>('TE BE'!$N$27+'TE BF'!$N$27+'TE CVA'!$N$27)*(1 - CUSTOS!$M$39)</f>
        <v>0</v>
      </c>
      <c r="O27" s="59">
        <f>('TE BE'!$O$27+'TE BF'!$O$27+'TE CVA'!$O$27)*(1 - CUSTOS!$M$39)</f>
        <v>0</v>
      </c>
      <c r="P27" s="59">
        <f>('TE BE'!$P$27+'TE BF'!$P$27+'TE CVA'!$P$27)*(1 - CUSTOS!$M$39)</f>
        <v>-11.836507652594419</v>
      </c>
      <c r="Q27" s="59">
        <f>('TE BE'!$R$27+'TE BF'!$R$27+'TE CVA'!$R$27)*(1 - CUSTOS!$M$39)</f>
        <v>182.43439921638881</v>
      </c>
      <c r="R27" s="59">
        <f>('TE BE'!$T$27+'TE BF'!$T$27+'TE CVA'!$T$27)*(1 - CUSTOS!$M$39)</f>
        <v>4.8803189974132586</v>
      </c>
      <c r="S27" s="59">
        <f>('TE BE'!$U$27+'TE BF'!$U$27+'TE CVA'!$U$27)*(1 - CUSTOS!$M$39)</f>
        <v>3.6287720488106987</v>
      </c>
      <c r="T27" s="59">
        <f>('TE BE'!$V$27+'TE BF'!$V$27+'TE CVA'!$V$27)*(1 - CUSTOS!$M$39)</f>
        <v>0</v>
      </c>
      <c r="U27" s="59">
        <f>('TE BE'!$X$27+'TE BF'!$X$27+'TE CVA'!$X$27)*(1 - CUSTOS!$M$39)</f>
        <v>0</v>
      </c>
      <c r="V27" s="59">
        <f>('TE BE'!$Z$27+'TE BF'!$Z$27+'TE CVA'!$Z$27)*(1 - CUSTOS!$M$39)</f>
        <v>4.0616923075326801</v>
      </c>
      <c r="X27" s="59">
        <v>1.8875114707862199</v>
      </c>
      <c r="Y27" s="59">
        <v>4.2234107860382402</v>
      </c>
      <c r="Z27" s="59">
        <v>0</v>
      </c>
      <c r="AA27" s="59">
        <v>0</v>
      </c>
      <c r="AB27" s="59">
        <v>0</v>
      </c>
      <c r="AC27" s="59">
        <v>180.430593881074</v>
      </c>
      <c r="AD27" s="59">
        <v>0</v>
      </c>
      <c r="AE27" s="59">
        <v>0</v>
      </c>
      <c r="AF27" s="59">
        <v>0</v>
      </c>
      <c r="AG27" s="59">
        <v>0</v>
      </c>
      <c r="AH27" s="59">
        <v>0</v>
      </c>
    </row>
    <row r="28" spans="1:34" ht="11.25" customHeight="1" x14ac:dyDescent="0.25">
      <c r="A28" s="153"/>
      <c r="B28" s="61" t="s">
        <v>77</v>
      </c>
      <c r="C28" s="61" t="s">
        <v>42</v>
      </c>
      <c r="D28" s="61" t="s">
        <v>90</v>
      </c>
      <c r="E28" s="61" t="s">
        <v>25</v>
      </c>
      <c r="F28" s="61" t="s">
        <v>25</v>
      </c>
      <c r="G28" s="62" t="s">
        <v>78</v>
      </c>
      <c r="H28" s="62" t="s">
        <v>74</v>
      </c>
      <c r="I28" s="62">
        <f>'MERCADO TE'!$U$25</f>
        <v>0</v>
      </c>
      <c r="J28" s="15"/>
      <c r="L28" s="59">
        <f>('TE BE'!$L$28+'TE BF'!$L$28+'TE CVA'!$L$28)*(1 - CUSTOS!$M$39)</f>
        <v>2.0934412278415597</v>
      </c>
      <c r="M28" s="59">
        <f>('TE BE'!$M$28+'TE BF'!$M$28+'TE CVA'!$M$28)*(1 - CUSTOS!$M$39)</f>
        <v>24.356958435256765</v>
      </c>
      <c r="N28" s="59">
        <f>('TE BE'!$N$28+'TE BF'!$N$28+'TE CVA'!$N$28)*(1 - CUSTOS!$M$39)</f>
        <v>0</v>
      </c>
      <c r="O28" s="59">
        <f>('TE BE'!$O$28+'TE BF'!$O$28+'TE CVA'!$O$28)*(1 - CUSTOS!$M$39)</f>
        <v>0</v>
      </c>
      <c r="P28" s="59">
        <f>('TE BE'!$P$28+'TE BF'!$P$28+'TE CVA'!$P$28)*(1 - CUSTOS!$M$39)</f>
        <v>-11.836507652594419</v>
      </c>
      <c r="Q28" s="59">
        <f>('TE BE'!$R$28+'TE BF'!$R$28+'TE CVA'!$R$28)*(1 - CUSTOS!$M$39)</f>
        <v>193.38046316937218</v>
      </c>
      <c r="R28" s="59">
        <f>('TE BE'!$T$28+'TE BF'!$T$28+'TE CVA'!$T$28)*(1 - CUSTOS!$M$39)</f>
        <v>4.8803189974132586</v>
      </c>
      <c r="S28" s="59">
        <f>('TE BE'!$U$28+'TE BF'!$U$28+'TE CVA'!$U$28)*(1 - CUSTOS!$M$39)</f>
        <v>3.6287720488106987</v>
      </c>
      <c r="T28" s="59">
        <f>('TE BE'!$V$28+'TE BF'!$V$28+'TE CVA'!$V$28)*(1 - CUSTOS!$M$39)</f>
        <v>0</v>
      </c>
      <c r="U28" s="59">
        <f>('TE BE'!$X$28+'TE BF'!$X$28+'TE CVA'!$X$28)*(1 - CUSTOS!$M$39)</f>
        <v>0</v>
      </c>
      <c r="V28" s="59">
        <f>('TE BE'!$Z$28+'TE BF'!$Z$28+'TE CVA'!$Z$28)*(1 - CUSTOS!$M$39)</f>
        <v>4.0616923075326801</v>
      </c>
      <c r="X28" s="59">
        <v>1.8875114707862199</v>
      </c>
      <c r="Y28" s="59">
        <v>4.2234107860382402</v>
      </c>
      <c r="Z28" s="59">
        <v>0</v>
      </c>
      <c r="AA28" s="59">
        <v>0</v>
      </c>
      <c r="AB28" s="59">
        <v>0</v>
      </c>
      <c r="AC28" s="59">
        <v>191.256429513939</v>
      </c>
      <c r="AD28" s="59">
        <v>0</v>
      </c>
      <c r="AE28" s="59">
        <v>0</v>
      </c>
      <c r="AF28" s="59">
        <v>0</v>
      </c>
      <c r="AG28" s="59">
        <v>0</v>
      </c>
      <c r="AH28" s="59">
        <v>0</v>
      </c>
    </row>
    <row r="29" spans="1:34" ht="11.25" customHeight="1" x14ac:dyDescent="0.25">
      <c r="A29" s="153"/>
      <c r="B29" s="153" t="s">
        <v>73</v>
      </c>
      <c r="C29" s="153" t="s">
        <v>42</v>
      </c>
      <c r="D29" s="153" t="s">
        <v>91</v>
      </c>
      <c r="E29" s="153" t="s">
        <v>25</v>
      </c>
      <c r="F29" s="153" t="s">
        <v>25</v>
      </c>
      <c r="G29" s="62" t="s">
        <v>75</v>
      </c>
      <c r="H29" s="62" t="s">
        <v>74</v>
      </c>
      <c r="I29" s="62">
        <f>'MERCADO TE'!$U$26</f>
        <v>0</v>
      </c>
      <c r="J29" s="15"/>
      <c r="L29" s="59">
        <f>('TE BE'!$L$29+'TE BF'!$L$29+'TE CVA'!$L$29)*(1 - CUSTOS!$M$40)</f>
        <v>2.0488999251215265</v>
      </c>
      <c r="M29" s="59">
        <f>('TE BE'!$M$29+'TE BF'!$M$29+'TE CVA'!$M$29)*(1 - CUSTOS!$M$40)</f>
        <v>23.838725277059815</v>
      </c>
      <c r="N29" s="59">
        <f>('TE BE'!$N$29+'TE BF'!$N$29+'TE CVA'!$N$29)*(1 - CUSTOS!$M$40)</f>
        <v>0</v>
      </c>
      <c r="O29" s="59">
        <f>('TE BE'!$O$29+'TE BF'!$O$29+'TE CVA'!$O$29)*(1 - CUSTOS!$M$40)</f>
        <v>0</v>
      </c>
      <c r="P29" s="59">
        <f>('TE BE'!$P$29+'TE BF'!$P$29+'TE CVA'!$P$29)*(1 - CUSTOS!$M$40)</f>
        <v>-11.584667064241348</v>
      </c>
      <c r="Q29" s="59">
        <f>('TE BE'!$R$29+'TE BF'!$R$29+'TE CVA'!$R$29)*(1 - CUSTOS!$M$40)</f>
        <v>307.11084395746138</v>
      </c>
      <c r="R29" s="59">
        <f>('TE BE'!$T$29+'TE BF'!$T$29+'TE CVA'!$T$29)*(1 - CUSTOS!$M$40)</f>
        <v>4.7764824230002105</v>
      </c>
      <c r="S29" s="59">
        <f>('TE BE'!$U$29+'TE BF'!$U$29+'TE CVA'!$U$29)*(1 - CUSTOS!$M$40)</f>
        <v>3.5515641328785565</v>
      </c>
      <c r="T29" s="59">
        <f>('TE BE'!$V$29+'TE BF'!$V$29+'TE CVA'!$V$29)*(1 - CUSTOS!$M$40)</f>
        <v>0</v>
      </c>
      <c r="U29" s="59">
        <f>('TE BE'!$X$29+'TE BF'!$X$29+'TE CVA'!$X$29)*(1 - CUSTOS!$M$40)</f>
        <v>0</v>
      </c>
      <c r="V29" s="59">
        <f>('TE BE'!$Z$29+'TE BF'!$Z$29+'TE CVA'!$Z$29)*(1 - CUSTOS!$M$40)</f>
        <v>3.9752733222660281</v>
      </c>
      <c r="X29" s="59">
        <v>1.80171549484139</v>
      </c>
      <c r="Y29" s="59">
        <v>4.0314375684910502</v>
      </c>
      <c r="Z29" s="59">
        <v>0</v>
      </c>
      <c r="AA29" s="59">
        <v>0</v>
      </c>
      <c r="AB29" s="59">
        <v>0</v>
      </c>
      <c r="AC29" s="59">
        <v>296.23422959020002</v>
      </c>
      <c r="AD29" s="59">
        <v>0</v>
      </c>
      <c r="AE29" s="59">
        <v>0</v>
      </c>
      <c r="AF29" s="59">
        <v>0</v>
      </c>
      <c r="AG29" s="59">
        <v>0</v>
      </c>
      <c r="AH29" s="59">
        <v>0</v>
      </c>
    </row>
    <row r="30" spans="1:34" ht="11.25" customHeight="1" x14ac:dyDescent="0.25">
      <c r="A30" s="153"/>
      <c r="B30" s="153"/>
      <c r="C30" s="153"/>
      <c r="D30" s="153"/>
      <c r="E30" s="153"/>
      <c r="F30" s="153"/>
      <c r="G30" s="62" t="s">
        <v>87</v>
      </c>
      <c r="H30" s="62" t="s">
        <v>74</v>
      </c>
      <c r="I30" s="62">
        <f>'MERCADO TE'!$U$27</f>
        <v>0</v>
      </c>
      <c r="J30" s="15"/>
      <c r="L30" s="59">
        <f>('TE BE'!$L$30+'TE BF'!$L$30+'TE CVA'!$L$30)*(1 - CUSTOS!$M$40)</f>
        <v>2.0488999251215265</v>
      </c>
      <c r="M30" s="59">
        <f>('TE BE'!$M$30+'TE BF'!$M$30+'TE CVA'!$M$30)*(1 - CUSTOS!$M$40)</f>
        <v>23.838725277059815</v>
      </c>
      <c r="N30" s="59">
        <f>('TE BE'!$N$30+'TE BF'!$N$30+'TE CVA'!$N$30)*(1 - CUSTOS!$M$40)</f>
        <v>0</v>
      </c>
      <c r="O30" s="59">
        <f>('TE BE'!$O$30+'TE BF'!$O$30+'TE CVA'!$O$30)*(1 - CUSTOS!$M$40)</f>
        <v>0</v>
      </c>
      <c r="P30" s="59">
        <f>('TE BE'!$P$30+'TE BF'!$P$30+'TE CVA'!$P$30)*(1 - CUSTOS!$M$40)</f>
        <v>-11.584667064241348</v>
      </c>
      <c r="Q30" s="59">
        <f>('TE BE'!$R$30+'TE BF'!$R$30+'TE CVA'!$R$30)*(1 - CUSTOS!$M$40)</f>
        <v>178.55281625433801</v>
      </c>
      <c r="R30" s="59">
        <f>('TE BE'!$T$30+'TE BF'!$T$30+'TE CVA'!$T$30)*(1 - CUSTOS!$M$40)</f>
        <v>4.7764824230002105</v>
      </c>
      <c r="S30" s="59">
        <f>('TE BE'!$U$30+'TE BF'!$U$30+'TE CVA'!$U$30)*(1 - CUSTOS!$M$40)</f>
        <v>3.5515641328785565</v>
      </c>
      <c r="T30" s="59">
        <f>('TE BE'!$V$30+'TE BF'!$V$30+'TE CVA'!$V$30)*(1 - CUSTOS!$M$40)</f>
        <v>0</v>
      </c>
      <c r="U30" s="59">
        <f>('TE BE'!$X$30+'TE BF'!$X$30+'TE CVA'!$X$30)*(1 - CUSTOS!$M$40)</f>
        <v>0</v>
      </c>
      <c r="V30" s="59">
        <f>('TE BE'!$Z$30+'TE BF'!$Z$30+'TE CVA'!$Z$30)*(1 - CUSTOS!$M$40)</f>
        <v>3.9752733222660281</v>
      </c>
      <c r="X30" s="59">
        <v>1.80171549484139</v>
      </c>
      <c r="Y30" s="59">
        <v>4.0314375684910502</v>
      </c>
      <c r="Z30" s="59">
        <v>0</v>
      </c>
      <c r="AA30" s="59">
        <v>0</v>
      </c>
      <c r="AB30" s="59">
        <v>0</v>
      </c>
      <c r="AC30" s="59">
        <v>172.229203250116</v>
      </c>
      <c r="AD30" s="59">
        <v>0</v>
      </c>
      <c r="AE30" s="59">
        <v>0</v>
      </c>
      <c r="AF30" s="59">
        <v>0</v>
      </c>
      <c r="AG30" s="59">
        <v>0</v>
      </c>
      <c r="AH30" s="59">
        <v>0</v>
      </c>
    </row>
    <row r="31" spans="1:34" ht="11.25" customHeight="1" x14ac:dyDescent="0.25">
      <c r="A31" s="153"/>
      <c r="B31" s="153"/>
      <c r="C31" s="153"/>
      <c r="D31" s="153"/>
      <c r="E31" s="153"/>
      <c r="F31" s="153"/>
      <c r="G31" s="62" t="s">
        <v>76</v>
      </c>
      <c r="H31" s="62" t="s">
        <v>74</v>
      </c>
      <c r="I31" s="62">
        <f>'MERCADO TE'!$U$28</f>
        <v>0</v>
      </c>
      <c r="J31" s="15"/>
      <c r="L31" s="59">
        <f>('TE BE'!$L$31+'TE BF'!$L$31+'TE CVA'!$L$31)*(1 - CUSTOS!$M$40)</f>
        <v>2.0488999251215265</v>
      </c>
      <c r="M31" s="59">
        <f>('TE BE'!$M$31+'TE BF'!$M$31+'TE CVA'!$M$31)*(1 - CUSTOS!$M$40)</f>
        <v>23.838725277059815</v>
      </c>
      <c r="N31" s="59">
        <f>('TE BE'!$N$31+'TE BF'!$N$31+'TE CVA'!$N$31)*(1 - CUSTOS!$M$40)</f>
        <v>0</v>
      </c>
      <c r="O31" s="59">
        <f>('TE BE'!$O$31+'TE BF'!$O$31+'TE CVA'!$O$31)*(1 - CUSTOS!$M$40)</f>
        <v>0</v>
      </c>
      <c r="P31" s="59">
        <f>('TE BE'!$P$31+'TE BF'!$P$31+'TE CVA'!$P$31)*(1 - CUSTOS!$M$40)</f>
        <v>-11.584667064241348</v>
      </c>
      <c r="Q31" s="59">
        <f>('TE BE'!$R$31+'TE BF'!$R$31+'TE CVA'!$R$31)*(1 - CUSTOS!$M$40)</f>
        <v>178.55281625433801</v>
      </c>
      <c r="R31" s="59">
        <f>('TE BE'!$T$31+'TE BF'!$T$31+'TE CVA'!$T$31)*(1 - CUSTOS!$M$40)</f>
        <v>4.7764824230002105</v>
      </c>
      <c r="S31" s="59">
        <f>('TE BE'!$U$31+'TE BF'!$U$31+'TE CVA'!$U$31)*(1 - CUSTOS!$M$40)</f>
        <v>3.5515641328785565</v>
      </c>
      <c r="T31" s="59">
        <f>('TE BE'!$V$31+'TE BF'!$V$31+'TE CVA'!$V$31)*(1 - CUSTOS!$M$40)</f>
        <v>0</v>
      </c>
      <c r="U31" s="59">
        <f>('TE BE'!$X$31+'TE BF'!$X$31+'TE CVA'!$X$31)*(1 - CUSTOS!$M$40)</f>
        <v>0</v>
      </c>
      <c r="V31" s="59">
        <f>('TE BE'!$Z$31+'TE BF'!$Z$31+'TE CVA'!$Z$31)*(1 - CUSTOS!$M$40)</f>
        <v>3.9752733222660281</v>
      </c>
      <c r="X31" s="59">
        <v>1.80171549484139</v>
      </c>
      <c r="Y31" s="59">
        <v>4.0314375684910502</v>
      </c>
      <c r="Z31" s="59">
        <v>0</v>
      </c>
      <c r="AA31" s="59">
        <v>0</v>
      </c>
      <c r="AB31" s="59">
        <v>0</v>
      </c>
      <c r="AC31" s="59">
        <v>172.229203250116</v>
      </c>
      <c r="AD31" s="59">
        <v>0</v>
      </c>
      <c r="AE31" s="59">
        <v>0</v>
      </c>
      <c r="AF31" s="59">
        <v>0</v>
      </c>
      <c r="AG31" s="59">
        <v>0</v>
      </c>
      <c r="AH31" s="59">
        <v>0</v>
      </c>
    </row>
    <row r="32" spans="1:34" ht="11.25" customHeight="1" x14ac:dyDescent="0.25">
      <c r="A32" s="153"/>
      <c r="B32" s="61" t="s">
        <v>77</v>
      </c>
      <c r="C32" s="61" t="s">
        <v>42</v>
      </c>
      <c r="D32" s="61" t="s">
        <v>91</v>
      </c>
      <c r="E32" s="61" t="s">
        <v>25</v>
      </c>
      <c r="F32" s="61" t="s">
        <v>25</v>
      </c>
      <c r="G32" s="62" t="s">
        <v>78</v>
      </c>
      <c r="H32" s="62" t="s">
        <v>74</v>
      </c>
      <c r="I32" s="62">
        <f>'MERCADO TE'!$U$29</f>
        <v>0</v>
      </c>
      <c r="J32" s="15"/>
      <c r="L32" s="59">
        <f>('TE BE'!$L$32+'TE BF'!$L$32+'TE CVA'!$L$32)*(1 - CUSTOS!$M$40)</f>
        <v>2.0488999251215265</v>
      </c>
      <c r="M32" s="59">
        <f>('TE BE'!$M$32+'TE BF'!$M$32+'TE CVA'!$M$32)*(1 - CUSTOS!$M$40)</f>
        <v>23.838725277059815</v>
      </c>
      <c r="N32" s="59">
        <f>('TE BE'!$N$32+'TE BF'!$N$32+'TE CVA'!$N$32)*(1 - CUSTOS!$M$40)</f>
        <v>0</v>
      </c>
      <c r="O32" s="59">
        <f>('TE BE'!$O$32+'TE BF'!$O$32+'TE CVA'!$O$32)*(1 - CUSTOS!$M$40)</f>
        <v>0</v>
      </c>
      <c r="P32" s="59">
        <f>('TE BE'!$P$32+'TE BF'!$P$32+'TE CVA'!$P$32)*(1 - CUSTOS!$M$40)</f>
        <v>-11.584667064241348</v>
      </c>
      <c r="Q32" s="59">
        <f>('TE BE'!$R$32+'TE BF'!$R$32+'TE CVA'!$R$32)*(1 - CUSTOS!$M$40)</f>
        <v>189.2659852295983</v>
      </c>
      <c r="R32" s="59">
        <f>('TE BE'!$T$32+'TE BF'!$T$32+'TE CVA'!$T$32)*(1 - CUSTOS!$M$40)</f>
        <v>4.7764824230002105</v>
      </c>
      <c r="S32" s="59">
        <f>('TE BE'!$U$32+'TE BF'!$U$32+'TE CVA'!$U$32)*(1 - CUSTOS!$M$40)</f>
        <v>3.5515641328785565</v>
      </c>
      <c r="T32" s="59">
        <f>('TE BE'!$V$32+'TE BF'!$V$32+'TE CVA'!$V$32)*(1 - CUSTOS!$M$40)</f>
        <v>0</v>
      </c>
      <c r="U32" s="59">
        <f>('TE BE'!$X$32+'TE BF'!$X$32+'TE CVA'!$X$32)*(1 - CUSTOS!$M$40)</f>
        <v>0</v>
      </c>
      <c r="V32" s="59">
        <f>('TE BE'!$Z$32+'TE BF'!$Z$32+'TE CVA'!$Z$32)*(1 - CUSTOS!$M$40)</f>
        <v>3.9752733222660281</v>
      </c>
      <c r="X32" s="59">
        <v>1.80171549484139</v>
      </c>
      <c r="Y32" s="59">
        <v>4.0314375684910502</v>
      </c>
      <c r="Z32" s="59">
        <v>0</v>
      </c>
      <c r="AA32" s="59">
        <v>0</v>
      </c>
      <c r="AB32" s="59">
        <v>0</v>
      </c>
      <c r="AC32" s="59">
        <v>182.56295544512301</v>
      </c>
      <c r="AD32" s="59">
        <v>0</v>
      </c>
      <c r="AE32" s="59">
        <v>0</v>
      </c>
      <c r="AF32" s="59">
        <v>0</v>
      </c>
      <c r="AG32" s="59">
        <v>0</v>
      </c>
      <c r="AH32" s="59">
        <v>0</v>
      </c>
    </row>
    <row r="33" spans="1:34" ht="11.25" customHeight="1" x14ac:dyDescent="0.25">
      <c r="A33" s="153"/>
      <c r="B33" s="153" t="s">
        <v>88</v>
      </c>
      <c r="C33" s="153" t="s">
        <v>42</v>
      </c>
      <c r="D33" s="61" t="s">
        <v>25</v>
      </c>
      <c r="E33" s="61" t="s">
        <v>25</v>
      </c>
      <c r="F33" s="61" t="s">
        <v>25</v>
      </c>
      <c r="G33" s="62" t="s">
        <v>78</v>
      </c>
      <c r="H33" s="62" t="s">
        <v>74</v>
      </c>
      <c r="I33" s="62">
        <f>'MERCADO TE'!$U$30</f>
        <v>0</v>
      </c>
      <c r="J33" s="15"/>
      <c r="L33" s="59">
        <f>('TE BE'!$L$33+'TE BF'!$L$33+'TE CVA'!$L$33)*(1 - CUSTOS!$M$38)</f>
        <v>2.0934412278415597</v>
      </c>
      <c r="M33" s="59">
        <f>('TE BE'!$M$33+'TE BF'!$M$33+'TE CVA'!$M$33)*(1 - CUSTOS!$M$38)</f>
        <v>24.356958435256765</v>
      </c>
      <c r="N33" s="59">
        <f>('TE BE'!$N$33+'TE BF'!$N$33+'TE CVA'!$N$33)*(1 - CUSTOS!$M$38)</f>
        <v>0</v>
      </c>
      <c r="O33" s="59">
        <f>('TE BE'!$O$33+'TE BF'!$O$33+'TE CVA'!$O$33)*(1 - CUSTOS!$M$38)</f>
        <v>0</v>
      </c>
      <c r="P33" s="59">
        <f>('TE BE'!$P$33+'TE BF'!$P$33+'TE CVA'!$P$33)*(1 - CUSTOS!$M$38)</f>
        <v>-11.836507652594419</v>
      </c>
      <c r="Q33" s="59">
        <f>('TE BE'!$R$33+'TE BF'!$R$33+'TE CVA'!$R$33)*(1 - CUSTOS!$M$38)</f>
        <v>193.38046316937218</v>
      </c>
      <c r="R33" s="59">
        <f>('TE BE'!$T$33+'TE BF'!$T$33+'TE CVA'!$T$33)*(1 - CUSTOS!$M$38)</f>
        <v>4.8803189974132586</v>
      </c>
      <c r="S33" s="59">
        <f>('TE BE'!$U$33+'TE BF'!$U$33+'TE CVA'!$U$33)*(1 - CUSTOS!$M$38)</f>
        <v>3.6287720488106987</v>
      </c>
      <c r="T33" s="59">
        <f>('TE BE'!$V$33+'TE BF'!$V$33+'TE CVA'!$V$33)*(1 - CUSTOS!$M$38)</f>
        <v>0</v>
      </c>
      <c r="U33" s="59">
        <f>('TE BE'!$X$33+'TE BF'!$X$33+'TE CVA'!$X$33)*(1 - CUSTOS!$M$38)</f>
        <v>0</v>
      </c>
      <c r="V33" s="59">
        <f>('TE BE'!$Z$33+'TE BF'!$Z$33+'TE CVA'!$Z$33)*(1 - CUSTOS!$M$38)</f>
        <v>4.0616923075326801</v>
      </c>
      <c r="X33" s="59">
        <v>1.8875114707862199</v>
      </c>
      <c r="Y33" s="59">
        <v>4.2234107860382402</v>
      </c>
      <c r="Z33" s="59">
        <v>0</v>
      </c>
      <c r="AA33" s="59">
        <v>0</v>
      </c>
      <c r="AB33" s="59">
        <v>0</v>
      </c>
      <c r="AC33" s="59">
        <v>191.256429513939</v>
      </c>
      <c r="AD33" s="59">
        <v>0</v>
      </c>
      <c r="AE33" s="59">
        <v>0</v>
      </c>
      <c r="AF33" s="59">
        <v>0</v>
      </c>
      <c r="AG33" s="59">
        <v>0</v>
      </c>
      <c r="AH33" s="59">
        <v>0</v>
      </c>
    </row>
    <row r="34" spans="1:34" ht="11.25" customHeight="1" x14ac:dyDescent="0.25">
      <c r="A34" s="153"/>
      <c r="B34" s="153"/>
      <c r="C34" s="153"/>
      <c r="D34" s="61" t="s">
        <v>90</v>
      </c>
      <c r="E34" s="61" t="s">
        <v>25</v>
      </c>
      <c r="F34" s="61" t="s">
        <v>25</v>
      </c>
      <c r="G34" s="62" t="s">
        <v>78</v>
      </c>
      <c r="H34" s="62" t="s">
        <v>74</v>
      </c>
      <c r="I34" s="62">
        <f>'MERCADO TE'!$U$31</f>
        <v>0</v>
      </c>
      <c r="J34" s="15"/>
      <c r="L34" s="59">
        <f>('TE BE'!$L$34+'TE BF'!$L$34+'TE CVA'!$L$34)*(1 - CUSTOS!$M$39)</f>
        <v>2.0934412278415597</v>
      </c>
      <c r="M34" s="59">
        <f>('TE BE'!$M$34+'TE BF'!$M$34+'TE CVA'!$M$34)*(1 - CUSTOS!$M$39)</f>
        <v>24.356958435256765</v>
      </c>
      <c r="N34" s="59">
        <f>('TE BE'!$N$34+'TE BF'!$N$34+'TE CVA'!$N$34)*(1 - CUSTOS!$M$39)</f>
        <v>0</v>
      </c>
      <c r="O34" s="59">
        <f>('TE BE'!$O$34+'TE BF'!$O$34+'TE CVA'!$O$34)*(1 - CUSTOS!$M$39)</f>
        <v>0</v>
      </c>
      <c r="P34" s="59">
        <f>('TE BE'!$P$34+'TE BF'!$P$34+'TE CVA'!$P$34)*(1 - CUSTOS!$M$39)</f>
        <v>-11.836507652594419</v>
      </c>
      <c r="Q34" s="59">
        <f>('TE BE'!$R$34+'TE BF'!$R$34+'TE CVA'!$R$34)*(1 - CUSTOS!$M$39)</f>
        <v>193.38046316937218</v>
      </c>
      <c r="R34" s="59">
        <f>('TE BE'!$T$34+'TE BF'!$T$34+'TE CVA'!$T$34)*(1 - CUSTOS!$M$39)</f>
        <v>4.8803189974132586</v>
      </c>
      <c r="S34" s="59">
        <f>('TE BE'!$U$34+'TE BF'!$U$34+'TE CVA'!$U$34)*(1 - CUSTOS!$M$39)</f>
        <v>3.6287720488106987</v>
      </c>
      <c r="T34" s="59">
        <f>('TE BE'!$V$34+'TE BF'!$V$34+'TE CVA'!$V$34)*(1 - CUSTOS!$M$39)</f>
        <v>0</v>
      </c>
      <c r="U34" s="59">
        <f>('TE BE'!$X$34+'TE BF'!$X$34+'TE CVA'!$X$34)*(1 - CUSTOS!$M$39)</f>
        <v>0</v>
      </c>
      <c r="V34" s="59">
        <f>('TE BE'!$Z$34+'TE BF'!$Z$34+'TE CVA'!$Z$34)*(1 - CUSTOS!$M$39)</f>
        <v>4.0616923075326801</v>
      </c>
      <c r="X34" s="59">
        <v>1.8875114707862199</v>
      </c>
      <c r="Y34" s="59">
        <v>4.2234107860382402</v>
      </c>
      <c r="Z34" s="59">
        <v>0</v>
      </c>
      <c r="AA34" s="59">
        <v>0</v>
      </c>
      <c r="AB34" s="59">
        <v>0</v>
      </c>
      <c r="AC34" s="59">
        <v>191.256429513939</v>
      </c>
      <c r="AD34" s="59">
        <v>0</v>
      </c>
      <c r="AE34" s="59">
        <v>0</v>
      </c>
      <c r="AF34" s="59">
        <v>0</v>
      </c>
      <c r="AG34" s="59">
        <v>0</v>
      </c>
      <c r="AH34" s="59">
        <v>0</v>
      </c>
    </row>
    <row r="35" spans="1:34" ht="11.25" customHeight="1" x14ac:dyDescent="0.25">
      <c r="A35" s="153"/>
      <c r="B35" s="153"/>
      <c r="C35" s="153"/>
      <c r="D35" s="61" t="s">
        <v>91</v>
      </c>
      <c r="E35" s="61" t="s">
        <v>25</v>
      </c>
      <c r="F35" s="61" t="s">
        <v>25</v>
      </c>
      <c r="G35" s="62" t="s">
        <v>78</v>
      </c>
      <c r="H35" s="62" t="s">
        <v>74</v>
      </c>
      <c r="I35" s="62">
        <f>'MERCADO TE'!$U$32</f>
        <v>0</v>
      </c>
      <c r="J35" s="15"/>
      <c r="L35" s="59">
        <f>('TE BE'!$L$35+'TE BF'!$L$35+'TE CVA'!$L$35)*(1 - CUSTOS!$M$40)</f>
        <v>2.0488999251215265</v>
      </c>
      <c r="M35" s="59">
        <f>('TE BE'!$M$35+'TE BF'!$M$35+'TE CVA'!$M$35)*(1 - CUSTOS!$M$40)</f>
        <v>23.838725277059815</v>
      </c>
      <c r="N35" s="59">
        <f>('TE BE'!$N$35+'TE BF'!$N$35+'TE CVA'!$N$35)*(1 - CUSTOS!$M$40)</f>
        <v>0</v>
      </c>
      <c r="O35" s="59">
        <f>('TE BE'!$O$35+'TE BF'!$O$35+'TE CVA'!$O$35)*(1 - CUSTOS!$M$40)</f>
        <v>0</v>
      </c>
      <c r="P35" s="59">
        <f>('TE BE'!$P$35+'TE BF'!$P$35+'TE CVA'!$P$35)*(1 - CUSTOS!$M$40)</f>
        <v>-11.584667064241348</v>
      </c>
      <c r="Q35" s="59">
        <f>('TE BE'!$R$35+'TE BF'!$R$35+'TE CVA'!$R$35)*(1 - CUSTOS!$M$40)</f>
        <v>189.2659852295983</v>
      </c>
      <c r="R35" s="59">
        <f>('TE BE'!$T$35+'TE BF'!$T$35+'TE CVA'!$T$35)*(1 - CUSTOS!$M$40)</f>
        <v>4.7764824230002105</v>
      </c>
      <c r="S35" s="59">
        <f>('TE BE'!$U$35+'TE BF'!$U$35+'TE CVA'!$U$35)*(1 - CUSTOS!$M$40)</f>
        <v>3.5515641328785565</v>
      </c>
      <c r="T35" s="59">
        <f>('TE BE'!$V$35+'TE BF'!$V$35+'TE CVA'!$V$35)*(1 - CUSTOS!$M$40)</f>
        <v>0</v>
      </c>
      <c r="U35" s="59">
        <f>('TE BE'!$X$35+'TE BF'!$X$35+'TE CVA'!$X$35)*(1 - CUSTOS!$M$40)</f>
        <v>0</v>
      </c>
      <c r="V35" s="59">
        <f>('TE BE'!$Z$35+'TE BF'!$Z$35+'TE CVA'!$Z$35)*(1 - CUSTOS!$M$40)</f>
        <v>3.9752733222660281</v>
      </c>
      <c r="X35" s="59">
        <v>1.80171549484139</v>
      </c>
      <c r="Y35" s="59">
        <v>4.0314375684910502</v>
      </c>
      <c r="Z35" s="59">
        <v>0</v>
      </c>
      <c r="AA35" s="59">
        <v>0</v>
      </c>
      <c r="AB35" s="59">
        <v>0</v>
      </c>
      <c r="AC35" s="59">
        <v>182.56295544512301</v>
      </c>
      <c r="AD35" s="59">
        <v>0</v>
      </c>
      <c r="AE35" s="59">
        <v>0</v>
      </c>
      <c r="AF35" s="59">
        <v>0</v>
      </c>
      <c r="AG35" s="59">
        <v>0</v>
      </c>
      <c r="AH35" s="59">
        <v>0</v>
      </c>
    </row>
    <row r="36" spans="1:34" ht="11.25" customHeight="1" x14ac:dyDescent="0.25">
      <c r="A36" s="153" t="s">
        <v>33</v>
      </c>
      <c r="B36" s="153" t="s">
        <v>73</v>
      </c>
      <c r="C36" s="153" t="s">
        <v>25</v>
      </c>
      <c r="D36" s="153" t="s">
        <v>25</v>
      </c>
      <c r="E36" s="153" t="s">
        <v>25</v>
      </c>
      <c r="F36" s="153" t="s">
        <v>25</v>
      </c>
      <c r="G36" s="62" t="s">
        <v>75</v>
      </c>
      <c r="H36" s="62" t="s">
        <v>74</v>
      </c>
      <c r="I36" s="62">
        <f>'MERCADO TE'!$U$33</f>
        <v>1.1399999999999999</v>
      </c>
      <c r="J36" s="15"/>
      <c r="L36" s="59">
        <f>('TE BE'!$L$36+'TE BF'!$L$36+'TE CVA'!$L$36)*1</f>
        <v>2.2270651360016593</v>
      </c>
      <c r="M36" s="59">
        <f>('TE BE'!$M$36+'TE BF'!$M$36+'TE CVA'!$M$36)*1</f>
        <v>25.911657909847623</v>
      </c>
      <c r="N36" s="59">
        <f>('TE BE'!$N$36+'TE BF'!$N$36+'TE CVA'!$N$36)*1</f>
        <v>0</v>
      </c>
      <c r="O36" s="59">
        <f>('TE BE'!$O$36+'TE BF'!$O$36+'TE CVA'!$O$36)*1</f>
        <v>0</v>
      </c>
      <c r="P36" s="59">
        <f>('TE BE'!$P$36+'TE BF'!$P$36+'TE CVA'!$P$36)*1</f>
        <v>-12.592029417653638</v>
      </c>
      <c r="Q36" s="59">
        <f>('TE BE'!$R$36+'TE BF'!$R$36+'TE CVA'!$R$36)*1</f>
        <v>333.81613473637105</v>
      </c>
      <c r="R36" s="59">
        <f>('TE BE'!$T$36+'TE BF'!$T$36+'TE CVA'!$T$36)*1</f>
        <v>5.1918287206524028</v>
      </c>
      <c r="S36" s="59">
        <f>('TE BE'!$U$36+'TE BF'!$U$36+'TE CVA'!$U$36)*1</f>
        <v>3.8603957966071265</v>
      </c>
      <c r="T36" s="59">
        <f>('TE BE'!$V$36+'TE BF'!$V$36+'TE CVA'!$V$36)*1</f>
        <v>0</v>
      </c>
      <c r="U36" s="59">
        <f>('TE BE'!$X$36+'TE BF'!$X$36+'TE CVA'!$X$36)*1</f>
        <v>0</v>
      </c>
      <c r="V36" s="59">
        <f>('TE BE'!$Z$36+'TE BF'!$Z$36+'TE CVA'!$Z$36)*1</f>
        <v>4.320949263332639</v>
      </c>
      <c r="X36" s="59">
        <v>2.1448993986207001</v>
      </c>
      <c r="Y36" s="59">
        <v>4.7993304386798199</v>
      </c>
      <c r="Z36" s="59">
        <v>0</v>
      </c>
      <c r="AA36" s="59">
        <v>0</v>
      </c>
      <c r="AB36" s="59">
        <v>0</v>
      </c>
      <c r="AC36" s="59">
        <v>352.65979713118998</v>
      </c>
      <c r="AD36" s="59">
        <v>0</v>
      </c>
      <c r="AE36" s="59">
        <v>0</v>
      </c>
      <c r="AF36" s="59">
        <v>0</v>
      </c>
      <c r="AG36" s="59">
        <v>0</v>
      </c>
      <c r="AH36" s="59">
        <v>0</v>
      </c>
    </row>
    <row r="37" spans="1:34" ht="11.25" customHeight="1" x14ac:dyDescent="0.25">
      <c r="A37" s="153"/>
      <c r="B37" s="153"/>
      <c r="C37" s="153"/>
      <c r="D37" s="153"/>
      <c r="E37" s="153"/>
      <c r="F37" s="153"/>
      <c r="G37" s="62" t="s">
        <v>87</v>
      </c>
      <c r="H37" s="62" t="s">
        <v>74</v>
      </c>
      <c r="I37" s="62">
        <f>'MERCADO TE'!$U$34</f>
        <v>1.5340000000000003</v>
      </c>
      <c r="J37" s="15"/>
      <c r="L37" s="59">
        <f>('TE BE'!$L$37+'TE BF'!$L$37+'TE CVA'!$L$37)*1</f>
        <v>2.2270651360016593</v>
      </c>
      <c r="M37" s="59">
        <f>('TE BE'!$M$37+'TE BF'!$M$37+'TE CVA'!$M$37)*1</f>
        <v>25.911657909847623</v>
      </c>
      <c r="N37" s="59">
        <f>('TE BE'!$N$37+'TE BF'!$N$37+'TE CVA'!$N$37)*1</f>
        <v>0</v>
      </c>
      <c r="O37" s="59">
        <f>('TE BE'!$O$37+'TE BF'!$O$37+'TE CVA'!$O$37)*1</f>
        <v>0</v>
      </c>
      <c r="P37" s="59">
        <f>('TE BE'!$P$37+'TE BF'!$P$37+'TE CVA'!$P$37)*1</f>
        <v>-12.592029417653638</v>
      </c>
      <c r="Q37" s="59">
        <f>('TE BE'!$R$37+'TE BF'!$R$37+'TE CVA'!$R$37)*1</f>
        <v>194.0791481025413</v>
      </c>
      <c r="R37" s="59">
        <f>('TE BE'!$T$37+'TE BF'!$T$37+'TE CVA'!$T$37)*1</f>
        <v>5.1918287206524028</v>
      </c>
      <c r="S37" s="59">
        <f>('TE BE'!$U$37+'TE BF'!$U$37+'TE CVA'!$U$37)*1</f>
        <v>3.8603957966071265</v>
      </c>
      <c r="T37" s="59">
        <f>('TE BE'!$V$37+'TE BF'!$V$37+'TE CVA'!$V$37)*1</f>
        <v>0</v>
      </c>
      <c r="U37" s="59">
        <f>('TE BE'!$X$37+'TE BF'!$X$37+'TE CVA'!$X$37)*1</f>
        <v>0</v>
      </c>
      <c r="V37" s="59">
        <f>('TE BE'!$Z$37+'TE BF'!$Z$37+'TE CVA'!$Z$37)*1</f>
        <v>4.320949263332639</v>
      </c>
      <c r="X37" s="59">
        <v>2.1448993986207001</v>
      </c>
      <c r="Y37" s="59">
        <v>4.7993304386798199</v>
      </c>
      <c r="Z37" s="59">
        <v>0</v>
      </c>
      <c r="AA37" s="59">
        <v>0</v>
      </c>
      <c r="AB37" s="59">
        <v>0</v>
      </c>
      <c r="AC37" s="59">
        <v>205.03476577394801</v>
      </c>
      <c r="AD37" s="59">
        <v>0</v>
      </c>
      <c r="AE37" s="59">
        <v>0</v>
      </c>
      <c r="AF37" s="59">
        <v>0</v>
      </c>
      <c r="AG37" s="59">
        <v>0</v>
      </c>
      <c r="AH37" s="59">
        <v>0</v>
      </c>
    </row>
    <row r="38" spans="1:34" ht="11.25" customHeight="1" x14ac:dyDescent="0.25">
      <c r="A38" s="153"/>
      <c r="B38" s="153"/>
      <c r="C38" s="153"/>
      <c r="D38" s="153"/>
      <c r="E38" s="153"/>
      <c r="F38" s="153"/>
      <c r="G38" s="62" t="s">
        <v>76</v>
      </c>
      <c r="H38" s="62" t="s">
        <v>74</v>
      </c>
      <c r="I38" s="62">
        <f>'MERCADO TE'!$U$35</f>
        <v>27.193000000000005</v>
      </c>
      <c r="J38" s="15"/>
      <c r="L38" s="59">
        <f>('TE BE'!$L$38+'TE BF'!$L$38+'TE CVA'!$L$38)*1</f>
        <v>2.2270651360016593</v>
      </c>
      <c r="M38" s="59">
        <f>('TE BE'!$M$38+'TE BF'!$M$38+'TE CVA'!$M$38)*1</f>
        <v>25.911657909847623</v>
      </c>
      <c r="N38" s="59">
        <f>('TE BE'!$N$38+'TE BF'!$N$38+'TE CVA'!$N$38)*1</f>
        <v>0</v>
      </c>
      <c r="O38" s="59">
        <f>('TE BE'!$O$38+'TE BF'!$O$38+'TE CVA'!$O$38)*1</f>
        <v>0</v>
      </c>
      <c r="P38" s="59">
        <f>('TE BE'!$P$38+'TE BF'!$P$38+'TE CVA'!$P$38)*1</f>
        <v>-12.592029417653638</v>
      </c>
      <c r="Q38" s="59">
        <f>('TE BE'!$R$38+'TE BF'!$R$38+'TE CVA'!$R$38)*1</f>
        <v>194.0791481025413</v>
      </c>
      <c r="R38" s="59">
        <f>('TE BE'!$T$38+'TE BF'!$T$38+'TE CVA'!$T$38)*1</f>
        <v>5.1918287206524028</v>
      </c>
      <c r="S38" s="59">
        <f>('TE BE'!$U$38+'TE BF'!$U$38+'TE CVA'!$U$38)*1</f>
        <v>3.8603957966071265</v>
      </c>
      <c r="T38" s="59">
        <f>('TE BE'!$V$38+'TE BF'!$V$38+'TE CVA'!$V$38)*1</f>
        <v>0</v>
      </c>
      <c r="U38" s="59">
        <f>('TE BE'!$X$38+'TE BF'!$X$38+'TE CVA'!$X$38)*1</f>
        <v>0</v>
      </c>
      <c r="V38" s="59">
        <f>('TE BE'!$Z$38+'TE BF'!$Z$38+'TE CVA'!$Z$38)*1</f>
        <v>4.320949263332639</v>
      </c>
      <c r="X38" s="59">
        <v>2.1448993986207001</v>
      </c>
      <c r="Y38" s="59">
        <v>4.7993304386798199</v>
      </c>
      <c r="Z38" s="59">
        <v>0</v>
      </c>
      <c r="AA38" s="59">
        <v>0</v>
      </c>
      <c r="AB38" s="59">
        <v>0</v>
      </c>
      <c r="AC38" s="59">
        <v>205.03476577394801</v>
      </c>
      <c r="AD38" s="59">
        <v>0</v>
      </c>
      <c r="AE38" s="59">
        <v>0</v>
      </c>
      <c r="AF38" s="59">
        <v>0</v>
      </c>
      <c r="AG38" s="59">
        <v>0</v>
      </c>
      <c r="AH38" s="59">
        <v>0</v>
      </c>
    </row>
    <row r="39" spans="1:34" ht="11.25" customHeight="1" x14ac:dyDescent="0.25">
      <c r="A39" s="153"/>
      <c r="B39" s="61" t="s">
        <v>77</v>
      </c>
      <c r="C39" s="61" t="s">
        <v>25</v>
      </c>
      <c r="D39" s="61" t="s">
        <v>25</v>
      </c>
      <c r="E39" s="61" t="s">
        <v>25</v>
      </c>
      <c r="F39" s="61" t="s">
        <v>25</v>
      </c>
      <c r="G39" s="62" t="s">
        <v>78</v>
      </c>
      <c r="H39" s="62" t="s">
        <v>74</v>
      </c>
      <c r="I39" s="62">
        <f>'MERCADO TE'!$U$36</f>
        <v>29180.755000000001</v>
      </c>
      <c r="J39" s="15"/>
      <c r="L39" s="59">
        <f>('TE BE'!$L$39+'TE BF'!$L$39+'TE CVA'!$L$39)*1</f>
        <v>2.2270651360016593</v>
      </c>
      <c r="M39" s="59">
        <f>('TE BE'!$M$39+'TE BF'!$M$39+'TE CVA'!$M$39)*1</f>
        <v>25.911657909847623</v>
      </c>
      <c r="N39" s="59">
        <f>('TE BE'!$N$39+'TE BF'!$N$39+'TE CVA'!$N$39)*1</f>
        <v>0</v>
      </c>
      <c r="O39" s="59">
        <f>('TE BE'!$O$39+'TE BF'!$O$39+'TE CVA'!$O$39)*1</f>
        <v>0</v>
      </c>
      <c r="P39" s="59">
        <f>('TE BE'!$P$39+'TE BF'!$P$39+'TE CVA'!$P$39)*1</f>
        <v>-12.592029417653638</v>
      </c>
      <c r="Q39" s="59">
        <f>('TE BE'!$R$39+'TE BF'!$R$39+'TE CVA'!$R$39)*1</f>
        <v>205.72389698869381</v>
      </c>
      <c r="R39" s="59">
        <f>('TE BE'!$T$39+'TE BF'!$T$39+'TE CVA'!$T$39)*1</f>
        <v>5.1918287206524028</v>
      </c>
      <c r="S39" s="59">
        <f>('TE BE'!$U$39+'TE BF'!$U$39+'TE CVA'!$U$39)*1</f>
        <v>3.8603957966071265</v>
      </c>
      <c r="T39" s="59">
        <f>('TE BE'!$V$39+'TE BF'!$V$39+'TE CVA'!$V$39)*1</f>
        <v>0</v>
      </c>
      <c r="U39" s="59">
        <f>('TE BE'!$X$39+'TE BF'!$X$39+'TE CVA'!$X$39)*1</f>
        <v>0</v>
      </c>
      <c r="V39" s="59">
        <f>('TE BE'!$Z$39+'TE BF'!$Z$39+'TE CVA'!$Z$39)*1</f>
        <v>4.320949263332639</v>
      </c>
      <c r="X39" s="59">
        <v>2.1448993986207001</v>
      </c>
      <c r="Y39" s="59">
        <v>4.7993304386798199</v>
      </c>
      <c r="Z39" s="59">
        <v>0</v>
      </c>
      <c r="AA39" s="59">
        <v>0</v>
      </c>
      <c r="AB39" s="59">
        <v>0</v>
      </c>
      <c r="AC39" s="59">
        <v>217.336851720385</v>
      </c>
      <c r="AD39" s="59">
        <v>0</v>
      </c>
      <c r="AE39" s="59">
        <v>0</v>
      </c>
      <c r="AF39" s="59">
        <v>0</v>
      </c>
      <c r="AG39" s="59">
        <v>0</v>
      </c>
      <c r="AH39" s="59">
        <v>0</v>
      </c>
    </row>
    <row r="40" spans="1:34" ht="11.25" customHeight="1" x14ac:dyDescent="0.25">
      <c r="A40" s="153"/>
      <c r="B40" s="61" t="s">
        <v>88</v>
      </c>
      <c r="C40" s="61" t="s">
        <v>25</v>
      </c>
      <c r="D40" s="61" t="s">
        <v>25</v>
      </c>
      <c r="E40" s="61" t="s">
        <v>25</v>
      </c>
      <c r="F40" s="61" t="s">
        <v>25</v>
      </c>
      <c r="G40" s="62" t="s">
        <v>78</v>
      </c>
      <c r="H40" s="62" t="s">
        <v>74</v>
      </c>
      <c r="I40" s="62">
        <f>'MERCADO TE'!$U$37</f>
        <v>0</v>
      </c>
      <c r="J40" s="15"/>
      <c r="L40" s="59">
        <f>('TE BE'!$L$40+'TE BF'!$L$40+'TE CVA'!$L$40)*1</f>
        <v>2.2270651360016593</v>
      </c>
      <c r="M40" s="59">
        <f>('TE BE'!$M$40+'TE BF'!$M$40+'TE CVA'!$M$40)*1</f>
        <v>25.911657909847623</v>
      </c>
      <c r="N40" s="59">
        <f>('TE BE'!$N$40+'TE BF'!$N$40+'TE CVA'!$N$40)*1</f>
        <v>0</v>
      </c>
      <c r="O40" s="59">
        <f>('TE BE'!$O$40+'TE BF'!$O$40+'TE CVA'!$O$40)*1</f>
        <v>0</v>
      </c>
      <c r="P40" s="59">
        <f>('TE BE'!$P$40+'TE BF'!$P$40+'TE CVA'!$P$40)*1</f>
        <v>-12.592029417653638</v>
      </c>
      <c r="Q40" s="59">
        <f>('TE BE'!$R$40+'TE BF'!$R$40+'TE CVA'!$R$40)*1</f>
        <v>205.72389698869381</v>
      </c>
      <c r="R40" s="59">
        <f>('TE BE'!$T$40+'TE BF'!$T$40+'TE CVA'!$T$40)*1</f>
        <v>5.1918287206524028</v>
      </c>
      <c r="S40" s="59">
        <f>('TE BE'!$U$40+'TE BF'!$U$40+'TE CVA'!$U$40)*1</f>
        <v>3.8603957966071265</v>
      </c>
      <c r="T40" s="59">
        <f>('TE BE'!$V$40+'TE BF'!$V$40+'TE CVA'!$V$40)*1</f>
        <v>0</v>
      </c>
      <c r="U40" s="59">
        <f>('TE BE'!$X$40+'TE BF'!$X$40+'TE CVA'!$X$40)*1</f>
        <v>0</v>
      </c>
      <c r="V40" s="59">
        <f>('TE BE'!$Z$40+'TE BF'!$Z$40+'TE CVA'!$Z$40)*1</f>
        <v>4.320949263332639</v>
      </c>
      <c r="X40" s="59">
        <v>2.1448993986207001</v>
      </c>
      <c r="Y40" s="59">
        <v>4.7993304386798199</v>
      </c>
      <c r="Z40" s="59">
        <v>0</v>
      </c>
      <c r="AA40" s="59">
        <v>0</v>
      </c>
      <c r="AB40" s="59">
        <v>0</v>
      </c>
      <c r="AC40" s="59">
        <v>217.336851720385</v>
      </c>
      <c r="AD40" s="59">
        <v>0</v>
      </c>
      <c r="AE40" s="59">
        <v>0</v>
      </c>
      <c r="AF40" s="59">
        <v>0</v>
      </c>
      <c r="AG40" s="59">
        <v>0</v>
      </c>
      <c r="AH40" s="59">
        <v>0</v>
      </c>
    </row>
    <row r="41" spans="1:34" ht="11.25" customHeight="1" x14ac:dyDescent="0.25">
      <c r="A41" s="153" t="s">
        <v>44</v>
      </c>
      <c r="B41" s="153" t="s">
        <v>77</v>
      </c>
      <c r="C41" s="153" t="s">
        <v>45</v>
      </c>
      <c r="D41" s="61" t="s">
        <v>46</v>
      </c>
      <c r="E41" s="61" t="s">
        <v>25</v>
      </c>
      <c r="F41" s="61" t="s">
        <v>25</v>
      </c>
      <c r="G41" s="62" t="s">
        <v>78</v>
      </c>
      <c r="H41" s="62" t="s">
        <v>74</v>
      </c>
      <c r="I41" s="62">
        <f>'MERCADO TE'!$U$38</f>
        <v>11805.242</v>
      </c>
      <c r="J41" s="15"/>
      <c r="L41" s="59">
        <f>('TE BE'!$L$41+'TE BF'!$L$41+'TE CVA'!$L$41)*1</f>
        <v>1.2248858248009129</v>
      </c>
      <c r="M41" s="59">
        <f>('TE BE'!$M$41+'TE BF'!$M$41+'TE CVA'!$M$41)*1</f>
        <v>14.251411850416195</v>
      </c>
      <c r="N41" s="59">
        <f>('TE BE'!$N$41+'TE BF'!$N$41+'TE CVA'!$N$41)*1</f>
        <v>0</v>
      </c>
      <c r="O41" s="59">
        <f>('TE BE'!$O$41+'TE BF'!$O$41+'TE CVA'!$O$41)*1</f>
        <v>0</v>
      </c>
      <c r="P41" s="59">
        <f>('TE BE'!$P$41+'TE BF'!$P$41+'TE CVA'!$P$41)*1</f>
        <v>-6.9256161797095013</v>
      </c>
      <c r="Q41" s="59">
        <f>('TE BE'!$R$41+'TE BF'!$R$41+'TE CVA'!$R$41)*1</f>
        <v>113.14814334378158</v>
      </c>
      <c r="R41" s="59">
        <f>('TE BE'!$T$41+'TE BF'!$T$41+'TE CVA'!$T$41)*1</f>
        <v>2.855505796358822</v>
      </c>
      <c r="S41" s="59">
        <f>('TE BE'!$U$41+'TE BF'!$U$41+'TE CVA'!$U$41)*1</f>
        <v>2.1232176881339195</v>
      </c>
      <c r="T41" s="59">
        <f>('TE BE'!$V$41+'TE BF'!$V$41+'TE CVA'!$V$41)*1</f>
        <v>0</v>
      </c>
      <c r="U41" s="59">
        <f>('TE BE'!$X$41+'TE BF'!$X$41+'TE CVA'!$X$41)*1</f>
        <v>0</v>
      </c>
      <c r="V41" s="59">
        <f>('TE BE'!$Z$41+'TE BF'!$Z$41+'TE CVA'!$Z$41)*1</f>
        <v>2.3765220948329517</v>
      </c>
      <c r="X41" s="59">
        <v>1.1796946692413901</v>
      </c>
      <c r="Y41" s="59">
        <v>2.6396317412739001</v>
      </c>
      <c r="Z41" s="59">
        <v>0</v>
      </c>
      <c r="AA41" s="59">
        <v>0</v>
      </c>
      <c r="AB41" s="59">
        <v>0</v>
      </c>
      <c r="AC41" s="59">
        <v>119.535268446212</v>
      </c>
      <c r="AD41" s="59">
        <v>0</v>
      </c>
      <c r="AE41" s="59">
        <v>0</v>
      </c>
      <c r="AF41" s="59">
        <v>0</v>
      </c>
      <c r="AG41" s="59">
        <v>0</v>
      </c>
      <c r="AH41" s="59">
        <v>0</v>
      </c>
    </row>
    <row r="42" spans="1:34" ht="11.25" customHeight="1" x14ac:dyDescent="0.25">
      <c r="A42" s="153"/>
      <c r="B42" s="153"/>
      <c r="C42" s="153"/>
      <c r="D42" s="62" t="s">
        <v>92</v>
      </c>
      <c r="E42" s="62" t="s">
        <v>25</v>
      </c>
      <c r="F42" s="62" t="s">
        <v>25</v>
      </c>
      <c r="G42" s="62" t="s">
        <v>78</v>
      </c>
      <c r="H42" s="62" t="s">
        <v>74</v>
      </c>
      <c r="I42" s="62">
        <f>'MERCADO TE'!$U$39</f>
        <v>0</v>
      </c>
      <c r="J42" s="15"/>
      <c r="L42" s="59">
        <f>('TE BE'!$L$42+'TE BF'!$L$42+'TE CVA'!$L$42)*1</f>
        <v>1.3362390816009957</v>
      </c>
      <c r="M42" s="59">
        <f>('TE BE'!$M$42+'TE BF'!$M$42+'TE CVA'!$M$42)*1</f>
        <v>15.546994745908572</v>
      </c>
      <c r="N42" s="59">
        <f>('TE BE'!$N$42+'TE BF'!$N$42+'TE CVA'!$N$42)*1</f>
        <v>0</v>
      </c>
      <c r="O42" s="59">
        <f>('TE BE'!$O$42+'TE BF'!$O$42+'TE CVA'!$O$42)*1</f>
        <v>0</v>
      </c>
      <c r="P42" s="59">
        <f>('TE BE'!$P$42+'TE BF'!$P$42+'TE CVA'!$P$42)*1</f>
        <v>-7.5552176505921826</v>
      </c>
      <c r="Q42" s="59">
        <f>('TE BE'!$R$42+'TE BF'!$R$42+'TE CVA'!$R$42)*1</f>
        <v>123.43433819321626</v>
      </c>
      <c r="R42" s="59">
        <f>('TE BE'!$T$42+'TE BF'!$T$42+'TE CVA'!$T$42)*1</f>
        <v>3.1150972323914417</v>
      </c>
      <c r="S42" s="59">
        <f>('TE BE'!$U$42+'TE BF'!$U$42+'TE CVA'!$U$42)*1</f>
        <v>2.3162374779642758</v>
      </c>
      <c r="T42" s="59">
        <f>('TE BE'!$V$42+'TE BF'!$V$42+'TE CVA'!$V$42)*1</f>
        <v>0</v>
      </c>
      <c r="U42" s="59">
        <f>('TE BE'!$X$42+'TE BF'!$X$42+'TE CVA'!$X$42)*1</f>
        <v>0</v>
      </c>
      <c r="V42" s="59">
        <f>('TE BE'!$Z$42+'TE BF'!$Z$42+'TE CVA'!$Z$42)*1</f>
        <v>2.5925695579995836</v>
      </c>
      <c r="X42" s="59">
        <v>1.2869396391724199</v>
      </c>
      <c r="Y42" s="59">
        <v>2.8795982632078898</v>
      </c>
      <c r="Z42" s="59">
        <v>0</v>
      </c>
      <c r="AA42" s="59">
        <v>0</v>
      </c>
      <c r="AB42" s="59">
        <v>0</v>
      </c>
      <c r="AC42" s="59">
        <v>130.40211103223101</v>
      </c>
      <c r="AD42" s="59">
        <v>0</v>
      </c>
      <c r="AE42" s="59">
        <v>0</v>
      </c>
      <c r="AF42" s="59">
        <v>0</v>
      </c>
      <c r="AG42" s="59">
        <v>0</v>
      </c>
      <c r="AH42" s="59">
        <v>0</v>
      </c>
    </row>
    <row r="44" spans="1:34" ht="11.25" customHeight="1" x14ac:dyDescent="0.25">
      <c r="L44" s="155" t="s">
        <v>925</v>
      </c>
      <c r="M44" s="155"/>
      <c r="N44" s="155"/>
      <c r="O44" s="155"/>
      <c r="P44" s="155"/>
      <c r="Q44" s="155"/>
      <c r="R44" s="155"/>
      <c r="S44" s="155"/>
      <c r="T44" s="155"/>
      <c r="U44" s="155"/>
      <c r="V44" s="155"/>
      <c r="X44" s="155" t="s">
        <v>926</v>
      </c>
      <c r="Y44" s="155"/>
      <c r="Z44" s="155"/>
      <c r="AA44" s="155"/>
      <c r="AB44" s="155"/>
      <c r="AC44" s="155"/>
      <c r="AD44" s="155"/>
      <c r="AE44" s="155"/>
      <c r="AF44" s="155"/>
      <c r="AG44" s="155"/>
      <c r="AH44" s="155"/>
    </row>
    <row r="45" spans="1:34" ht="11.25" customHeight="1" x14ac:dyDescent="0.25">
      <c r="L45" s="155" t="s">
        <v>488</v>
      </c>
      <c r="M45" s="155"/>
      <c r="N45" s="155"/>
      <c r="O45" s="155"/>
      <c r="P45" s="155"/>
      <c r="Q45" s="155"/>
      <c r="R45" s="155"/>
      <c r="S45" s="155"/>
      <c r="T45" s="155"/>
      <c r="U45" s="155"/>
      <c r="V45" s="155"/>
      <c r="X45" s="155" t="s">
        <v>488</v>
      </c>
      <c r="Y45" s="155"/>
      <c r="Z45" s="155"/>
      <c r="AA45" s="155"/>
      <c r="AB45" s="155"/>
      <c r="AC45" s="155"/>
      <c r="AD45" s="155"/>
      <c r="AE45" s="155"/>
      <c r="AF45" s="155"/>
      <c r="AG45" s="155"/>
      <c r="AH45" s="155"/>
    </row>
    <row r="46" spans="1:34" ht="11.25" customHeight="1" x14ac:dyDescent="0.25">
      <c r="L46" s="155" t="s">
        <v>461</v>
      </c>
      <c r="M46" s="155"/>
      <c r="N46" s="155"/>
      <c r="O46" s="155"/>
      <c r="P46" s="155"/>
      <c r="Q46" s="63" t="s">
        <v>492</v>
      </c>
      <c r="R46" s="155" t="s">
        <v>470</v>
      </c>
      <c r="S46" s="155"/>
      <c r="T46" s="155"/>
      <c r="U46" s="63" t="s">
        <v>480</v>
      </c>
      <c r="V46" s="63" t="s">
        <v>483</v>
      </c>
      <c r="X46" s="155" t="s">
        <v>461</v>
      </c>
      <c r="Y46" s="155"/>
      <c r="Z46" s="155"/>
      <c r="AA46" s="155"/>
      <c r="AB46" s="155"/>
      <c r="AC46" s="63" t="s">
        <v>492</v>
      </c>
      <c r="AD46" s="155" t="s">
        <v>470</v>
      </c>
      <c r="AE46" s="155"/>
      <c r="AF46" s="155"/>
      <c r="AG46" s="63" t="s">
        <v>480</v>
      </c>
      <c r="AH46" s="63" t="s">
        <v>483</v>
      </c>
    </row>
    <row r="47" spans="1:34" ht="11.25" customHeight="1" x14ac:dyDescent="0.25">
      <c r="L47" s="63" t="s">
        <v>463</v>
      </c>
      <c r="M47" s="63" t="s">
        <v>489</v>
      </c>
      <c r="N47" s="63" t="s">
        <v>490</v>
      </c>
      <c r="O47" s="63" t="s">
        <v>549</v>
      </c>
      <c r="P47" s="63" t="s">
        <v>491</v>
      </c>
      <c r="Q47" s="63" t="s">
        <v>493</v>
      </c>
      <c r="R47" s="63" t="s">
        <v>494</v>
      </c>
      <c r="S47" s="63" t="s">
        <v>495</v>
      </c>
      <c r="T47" s="63" t="s">
        <v>496</v>
      </c>
      <c r="U47" s="63" t="s">
        <v>481</v>
      </c>
      <c r="V47" s="63" t="s">
        <v>497</v>
      </c>
      <c r="X47" s="63" t="s">
        <v>463</v>
      </c>
      <c r="Y47" s="63" t="s">
        <v>489</v>
      </c>
      <c r="Z47" s="63" t="s">
        <v>490</v>
      </c>
      <c r="AA47" s="63" t="s">
        <v>549</v>
      </c>
      <c r="AB47" s="63" t="s">
        <v>491</v>
      </c>
      <c r="AC47" s="63" t="s">
        <v>493</v>
      </c>
      <c r="AD47" s="63" t="s">
        <v>494</v>
      </c>
      <c r="AE47" s="63" t="s">
        <v>495</v>
      </c>
      <c r="AF47" s="63" t="s">
        <v>496</v>
      </c>
      <c r="AG47" s="63" t="s">
        <v>481</v>
      </c>
      <c r="AH47" s="63" t="s">
        <v>497</v>
      </c>
    </row>
    <row r="48" spans="1:34" ht="11.25" customHeight="1" x14ac:dyDescent="0.25">
      <c r="A48" s="9" t="s">
        <v>35</v>
      </c>
      <c r="B48" s="9" t="s">
        <v>927</v>
      </c>
      <c r="C48" s="9" t="s">
        <v>928</v>
      </c>
      <c r="D48" s="9" t="s">
        <v>929</v>
      </c>
      <c r="E48" s="9" t="s">
        <v>930</v>
      </c>
      <c r="F48" s="9" t="s">
        <v>931</v>
      </c>
      <c r="G48" s="9" t="s">
        <v>932</v>
      </c>
      <c r="L48" s="59">
        <f>$I$5*$L$5</f>
        <v>8383.3056584088699</v>
      </c>
      <c r="M48" s="59">
        <f>$I$5*$M$5</f>
        <v>97538.839283512847</v>
      </c>
      <c r="N48" s="59">
        <f>$I$5*$N$5</f>
        <v>0</v>
      </c>
      <c r="O48" s="59">
        <f>$I$5*$O$5</f>
        <v>0</v>
      </c>
      <c r="P48" s="59">
        <f>$I$5*$P$5</f>
        <v>-47399.97486440291</v>
      </c>
      <c r="Q48" s="59">
        <f>$I$5*$Q$5</f>
        <v>1256578.7349299658</v>
      </c>
      <c r="R48" s="59">
        <f>$I$5*$R$5</f>
        <v>19543.517783892308</v>
      </c>
      <c r="S48" s="59">
        <f>$I$5*$S$5</f>
        <v>14531.626130835461</v>
      </c>
      <c r="T48" s="59">
        <f>$I$5*$T$5</f>
        <v>0</v>
      </c>
      <c r="U48" s="59">
        <f>$I$5*$U$5</f>
        <v>0</v>
      </c>
      <c r="V48" s="59">
        <f>$I$5*$V$5</f>
        <v>16265.280176774841</v>
      </c>
      <c r="X48" s="59">
        <f>$I$5*$X$5</f>
        <v>8074.0104878375241</v>
      </c>
      <c r="Y48" s="59">
        <f>$I$5*$Y$5</f>
        <v>18066.042781035427</v>
      </c>
      <c r="Z48" s="59">
        <f>$I$5*$Z$5</f>
        <v>0</v>
      </c>
      <c r="AA48" s="59">
        <f>$I$5*$AA$5</f>
        <v>0</v>
      </c>
      <c r="AB48" s="59">
        <f>$I$5*$AB$5</f>
        <v>0</v>
      </c>
      <c r="AC48" s="59">
        <f>$I$5*$AC$5</f>
        <v>1327511.6317841844</v>
      </c>
      <c r="AD48" s="59">
        <f>$I$5*$AD$5</f>
        <v>0</v>
      </c>
      <c r="AE48" s="59">
        <f>$I$5*$AE$5</f>
        <v>0</v>
      </c>
      <c r="AF48" s="59">
        <f>$I$5*$AF$5</f>
        <v>0</v>
      </c>
      <c r="AG48" s="59">
        <f>$I$5*$AG$5</f>
        <v>0</v>
      </c>
      <c r="AH48" s="59">
        <f>$I$5*$AH$5</f>
        <v>0</v>
      </c>
    </row>
    <row r="49" spans="1:34" ht="11.25" customHeight="1" x14ac:dyDescent="0.25">
      <c r="A49" s="9" t="s">
        <v>35</v>
      </c>
      <c r="B49" s="9" t="s">
        <v>927</v>
      </c>
      <c r="C49" s="9" t="s">
        <v>928</v>
      </c>
      <c r="D49" s="9" t="s">
        <v>929</v>
      </c>
      <c r="E49" s="9" t="s">
        <v>930</v>
      </c>
      <c r="F49" s="9" t="s">
        <v>931</v>
      </c>
      <c r="G49" s="9" t="s">
        <v>933</v>
      </c>
      <c r="L49" s="59">
        <f>$I$6*$L$6</f>
        <v>171616.98016900758</v>
      </c>
      <c r="M49" s="59">
        <f>$I$6*$M$6</f>
        <v>1996744.6886821161</v>
      </c>
      <c r="N49" s="59">
        <f>$I$6*$N$6</f>
        <v>0</v>
      </c>
      <c r="O49" s="59">
        <f>$I$6*$O$6</f>
        <v>0</v>
      </c>
      <c r="P49" s="59">
        <f>$I$6*$P$6</f>
        <v>-970338.05968368147</v>
      </c>
      <c r="Q49" s="59">
        <f>$I$6*$Q$6</f>
        <v>14955681.70535399</v>
      </c>
      <c r="R49" s="59">
        <f>$I$6*$R$6</f>
        <v>400080.78443217278</v>
      </c>
      <c r="S49" s="59">
        <f>$I$6*$S$6</f>
        <v>297480.95740938932</v>
      </c>
      <c r="T49" s="59">
        <f>$I$6*$T$6</f>
        <v>0</v>
      </c>
      <c r="U49" s="59">
        <f>$I$6*$U$6</f>
        <v>0</v>
      </c>
      <c r="V49" s="59">
        <f>$I$6*$V$6</f>
        <v>332971.07123143115</v>
      </c>
      <c r="X49" s="59">
        <f>$I$6*$X$6</f>
        <v>165285.31276748911</v>
      </c>
      <c r="Y49" s="59">
        <f>$I$6*$Y$6</f>
        <v>369834.98300285701</v>
      </c>
      <c r="Z49" s="59">
        <f>$I$6*$Z$6</f>
        <v>0</v>
      </c>
      <c r="AA49" s="59">
        <f>$I$6*$AA$6</f>
        <v>0</v>
      </c>
      <c r="AB49" s="59">
        <f>$I$6*$AB$6</f>
        <v>0</v>
      </c>
      <c r="AC49" s="59">
        <f>$I$6*$AC$6</f>
        <v>15799918.360249761</v>
      </c>
      <c r="AD49" s="59">
        <f>$I$6*$AD$6</f>
        <v>0</v>
      </c>
      <c r="AE49" s="59">
        <f>$I$6*$AE$6</f>
        <v>0</v>
      </c>
      <c r="AF49" s="59">
        <f>$I$6*$AF$6</f>
        <v>0</v>
      </c>
      <c r="AG49" s="59">
        <f>$I$6*$AG$6</f>
        <v>0</v>
      </c>
      <c r="AH49" s="59">
        <f>$I$6*$AH$6</f>
        <v>0</v>
      </c>
    </row>
    <row r="50" spans="1:34" ht="11.25" customHeight="1" x14ac:dyDescent="0.25">
      <c r="A50" s="9" t="s">
        <v>35</v>
      </c>
      <c r="B50" s="9" t="s">
        <v>934</v>
      </c>
      <c r="C50" s="9" t="s">
        <v>935</v>
      </c>
      <c r="D50" s="9" t="s">
        <v>936</v>
      </c>
      <c r="E50" s="9" t="s">
        <v>937</v>
      </c>
      <c r="F50" s="9" t="s">
        <v>938</v>
      </c>
      <c r="G50" s="9" t="s">
        <v>939</v>
      </c>
      <c r="L50" s="59">
        <f>$I$7*$L$7</f>
        <v>0</v>
      </c>
      <c r="M50" s="59">
        <f>$I$7*$M$7</f>
        <v>0</v>
      </c>
      <c r="N50" s="59">
        <f>$I$7*$N$7</f>
        <v>0</v>
      </c>
      <c r="O50" s="59">
        <f>$I$7*$O$7</f>
        <v>0</v>
      </c>
      <c r="P50" s="59">
        <f>$I$7*$P$7</f>
        <v>0</v>
      </c>
      <c r="Q50" s="59">
        <f>$I$7*$Q$7</f>
        <v>0</v>
      </c>
      <c r="R50" s="59">
        <f>$I$7*$R$7</f>
        <v>0</v>
      </c>
      <c r="S50" s="59">
        <f>$I$7*$S$7</f>
        <v>0</v>
      </c>
      <c r="T50" s="59">
        <f>$I$7*$T$7</f>
        <v>0</v>
      </c>
      <c r="U50" s="59">
        <f>$I$7*$U$7</f>
        <v>0</v>
      </c>
      <c r="V50" s="59">
        <f>$I$7*$V$7</f>
        <v>0</v>
      </c>
      <c r="X50" s="59">
        <f>$I$7*$X$7</f>
        <v>0</v>
      </c>
      <c r="Y50" s="59">
        <f>$I$7*$Y$7</f>
        <v>0</v>
      </c>
      <c r="Z50" s="59">
        <f>$I$7*$Z$7</f>
        <v>0</v>
      </c>
      <c r="AA50" s="59">
        <f>$I$7*$AA$7</f>
        <v>0</v>
      </c>
      <c r="AB50" s="59">
        <f>$I$7*$AB$7</f>
        <v>0</v>
      </c>
      <c r="AC50" s="59">
        <f>$I$7*$AC$7</f>
        <v>0</v>
      </c>
      <c r="AD50" s="59">
        <f>$I$7*$AD$7</f>
        <v>0</v>
      </c>
      <c r="AE50" s="59">
        <f>$I$7*$AE$7</f>
        <v>0</v>
      </c>
      <c r="AF50" s="59">
        <f>$I$7*$AF$7</f>
        <v>0</v>
      </c>
      <c r="AG50" s="59">
        <f>$I$7*$AG$7</f>
        <v>0</v>
      </c>
      <c r="AH50" s="59">
        <f>$I$7*$AH$7</f>
        <v>0</v>
      </c>
    </row>
    <row r="51" spans="1:34" ht="11.25" customHeight="1" x14ac:dyDescent="0.25">
      <c r="A51" s="9" t="s">
        <v>22</v>
      </c>
      <c r="B51" s="9" t="s">
        <v>940</v>
      </c>
      <c r="C51" s="9" t="s">
        <v>941</v>
      </c>
      <c r="D51" s="9" t="s">
        <v>942</v>
      </c>
      <c r="E51" s="9" t="s">
        <v>943</v>
      </c>
      <c r="F51" s="9" t="s">
        <v>944</v>
      </c>
      <c r="G51" s="9" t="s">
        <v>945</v>
      </c>
      <c r="L51" s="59">
        <f>$I$8*$L$8</f>
        <v>0</v>
      </c>
      <c r="M51" s="59">
        <f>$I$8*$M$8</f>
        <v>0</v>
      </c>
      <c r="N51" s="59">
        <f>$I$8*$N$8</f>
        <v>0</v>
      </c>
      <c r="O51" s="59">
        <f>$I$8*$O$8</f>
        <v>0</v>
      </c>
      <c r="P51" s="59">
        <f>$I$8*$P$8</f>
        <v>0</v>
      </c>
      <c r="Q51" s="59">
        <f>$I$8*$Q$8</f>
        <v>0</v>
      </c>
      <c r="R51" s="59">
        <f>$I$8*$R$8</f>
        <v>0</v>
      </c>
      <c r="S51" s="59">
        <f>$I$8*$S$8</f>
        <v>0</v>
      </c>
      <c r="T51" s="59">
        <f>$I$8*$T$8</f>
        <v>0</v>
      </c>
      <c r="U51" s="59">
        <f>$I$8*$U$8</f>
        <v>0</v>
      </c>
      <c r="V51" s="59">
        <f>$I$8*$V$8</f>
        <v>0</v>
      </c>
      <c r="X51" s="59">
        <f>$I$8*$X$8</f>
        <v>0</v>
      </c>
      <c r="Y51" s="59">
        <f>$I$8*$Y$8</f>
        <v>0</v>
      </c>
      <c r="Z51" s="59">
        <f>$I$8*$Z$8</f>
        <v>0</v>
      </c>
      <c r="AA51" s="59">
        <f>$I$8*$AA$8</f>
        <v>0</v>
      </c>
      <c r="AB51" s="59">
        <f>$I$8*$AB$8</f>
        <v>0</v>
      </c>
      <c r="AC51" s="59">
        <f>$I$8*$AC$8</f>
        <v>0</v>
      </c>
      <c r="AD51" s="59">
        <f>$I$8*$AD$8</f>
        <v>0</v>
      </c>
      <c r="AE51" s="59">
        <f>$I$8*$AE$8</f>
        <v>0</v>
      </c>
      <c r="AF51" s="59">
        <f>$I$8*$AF$8</f>
        <v>0</v>
      </c>
      <c r="AG51" s="59">
        <f>$I$8*$AG$8</f>
        <v>0</v>
      </c>
      <c r="AH51" s="59">
        <f>$I$8*$AH$8</f>
        <v>0</v>
      </c>
    </row>
    <row r="52" spans="1:34" ht="11.25" customHeight="1" x14ac:dyDescent="0.25">
      <c r="A52" s="9" t="s">
        <v>22</v>
      </c>
      <c r="B52" s="9" t="s">
        <v>940</v>
      </c>
      <c r="C52" s="9" t="s">
        <v>941</v>
      </c>
      <c r="D52" s="9" t="s">
        <v>942</v>
      </c>
      <c r="E52" s="9" t="s">
        <v>943</v>
      </c>
      <c r="F52" s="9" t="s">
        <v>944</v>
      </c>
      <c r="G52" s="9" t="s">
        <v>946</v>
      </c>
      <c r="L52" s="59">
        <f>$I$9*$L$9</f>
        <v>0</v>
      </c>
      <c r="M52" s="59">
        <f>$I$9*$M$9</f>
        <v>0</v>
      </c>
      <c r="N52" s="59">
        <f>$I$9*$N$9</f>
        <v>0</v>
      </c>
      <c r="O52" s="59">
        <f>$I$9*$O$9</f>
        <v>0</v>
      </c>
      <c r="P52" s="59">
        <f>$I$9*$P$9</f>
        <v>0</v>
      </c>
      <c r="Q52" s="59">
        <f>$I$9*$Q$9</f>
        <v>0</v>
      </c>
      <c r="R52" s="59">
        <f>$I$9*$R$9</f>
        <v>0</v>
      </c>
      <c r="S52" s="59">
        <f>$I$9*$S$9</f>
        <v>0</v>
      </c>
      <c r="T52" s="59">
        <f>$I$9*$T$9</f>
        <v>0</v>
      </c>
      <c r="U52" s="59">
        <f>$I$9*$U$9</f>
        <v>0</v>
      </c>
      <c r="V52" s="59">
        <f>$I$9*$V$9</f>
        <v>0</v>
      </c>
      <c r="X52" s="59">
        <f>$I$9*$X$9</f>
        <v>0</v>
      </c>
      <c r="Y52" s="59">
        <f>$I$9*$Y$9</f>
        <v>0</v>
      </c>
      <c r="Z52" s="59">
        <f>$I$9*$Z$9</f>
        <v>0</v>
      </c>
      <c r="AA52" s="59">
        <f>$I$9*$AA$9</f>
        <v>0</v>
      </c>
      <c r="AB52" s="59">
        <f>$I$9*$AB$9</f>
        <v>0</v>
      </c>
      <c r="AC52" s="59">
        <f>$I$9*$AC$9</f>
        <v>0</v>
      </c>
      <c r="AD52" s="59">
        <f>$I$9*$AD$9</f>
        <v>0</v>
      </c>
      <c r="AE52" s="59">
        <f>$I$9*$AE$9</f>
        <v>0</v>
      </c>
      <c r="AF52" s="59">
        <f>$I$9*$AF$9</f>
        <v>0</v>
      </c>
      <c r="AG52" s="59">
        <f>$I$9*$AG$9</f>
        <v>0</v>
      </c>
      <c r="AH52" s="59">
        <f>$I$9*$AH$9</f>
        <v>0</v>
      </c>
    </row>
    <row r="53" spans="1:34" ht="11.25" customHeight="1" x14ac:dyDescent="0.25">
      <c r="A53" s="9" t="s">
        <v>22</v>
      </c>
      <c r="B53" s="9" t="s">
        <v>940</v>
      </c>
      <c r="C53" s="9" t="s">
        <v>941</v>
      </c>
      <c r="D53" s="9" t="s">
        <v>942</v>
      </c>
      <c r="E53" s="9" t="s">
        <v>943</v>
      </c>
      <c r="F53" s="9" t="s">
        <v>944</v>
      </c>
      <c r="G53" s="9" t="s">
        <v>947</v>
      </c>
      <c r="L53" s="59">
        <f>$I$10*$L$10</f>
        <v>0</v>
      </c>
      <c r="M53" s="59">
        <f>$I$10*$M$10</f>
        <v>0</v>
      </c>
      <c r="N53" s="59">
        <f>$I$10*$N$10</f>
        <v>0</v>
      </c>
      <c r="O53" s="59">
        <f>$I$10*$O$10</f>
        <v>0</v>
      </c>
      <c r="P53" s="59">
        <f>$I$10*$P$10</f>
        <v>0</v>
      </c>
      <c r="Q53" s="59">
        <f>$I$10*$Q$10</f>
        <v>0</v>
      </c>
      <c r="R53" s="59">
        <f>$I$10*$R$10</f>
        <v>0</v>
      </c>
      <c r="S53" s="59">
        <f>$I$10*$S$10</f>
        <v>0</v>
      </c>
      <c r="T53" s="59">
        <f>$I$10*$T$10</f>
        <v>0</v>
      </c>
      <c r="U53" s="59">
        <f>$I$10*$U$10</f>
        <v>0</v>
      </c>
      <c r="V53" s="59">
        <f>$I$10*$V$10</f>
        <v>0</v>
      </c>
      <c r="X53" s="59">
        <f>$I$10*$X$10</f>
        <v>0</v>
      </c>
      <c r="Y53" s="59">
        <f>$I$10*$Y$10</f>
        <v>0</v>
      </c>
      <c r="Z53" s="59">
        <f>$I$10*$Z$10</f>
        <v>0</v>
      </c>
      <c r="AA53" s="59">
        <f>$I$10*$AA$10</f>
        <v>0</v>
      </c>
      <c r="AB53" s="59">
        <f>$I$10*$AB$10</f>
        <v>0</v>
      </c>
      <c r="AC53" s="59">
        <f>$I$10*$AC$10</f>
        <v>0</v>
      </c>
      <c r="AD53" s="59">
        <f>$I$10*$AD$10</f>
        <v>0</v>
      </c>
      <c r="AE53" s="59">
        <f>$I$10*$AE$10</f>
        <v>0</v>
      </c>
      <c r="AF53" s="59">
        <f>$I$10*$AF$10</f>
        <v>0</v>
      </c>
      <c r="AG53" s="59">
        <f>$I$10*$AG$10</f>
        <v>0</v>
      </c>
      <c r="AH53" s="59">
        <f>$I$10*$AH$10</f>
        <v>0</v>
      </c>
    </row>
    <row r="54" spans="1:34" ht="11.25" customHeight="1" x14ac:dyDescent="0.25">
      <c r="A54" s="9" t="s">
        <v>22</v>
      </c>
      <c r="B54" s="9" t="s">
        <v>948</v>
      </c>
      <c r="C54" s="9" t="s">
        <v>949</v>
      </c>
      <c r="D54" s="9" t="s">
        <v>950</v>
      </c>
      <c r="E54" s="9" t="s">
        <v>951</v>
      </c>
      <c r="F54" s="9" t="s">
        <v>952</v>
      </c>
      <c r="G54" s="9" t="s">
        <v>953</v>
      </c>
      <c r="L54" s="59">
        <f>$I$11*$L$11</f>
        <v>151270.7491554009</v>
      </c>
      <c r="M54" s="59">
        <f>$I$11*$M$11</f>
        <v>1760018.5286534873</v>
      </c>
      <c r="N54" s="59">
        <f>$I$11*$N$11</f>
        <v>0</v>
      </c>
      <c r="O54" s="59">
        <f>$I$11*$O$11</f>
        <v>0</v>
      </c>
      <c r="P54" s="59">
        <f>$I$11*$P$11</f>
        <v>-855298.61367911648</v>
      </c>
      <c r="Q54" s="59">
        <f>$I$11*$Q$11</f>
        <v>13973550.891519614</v>
      </c>
      <c r="R54" s="59">
        <f>$I$11*$R$11</f>
        <v>352648.78757413692</v>
      </c>
      <c r="S54" s="59">
        <f>$I$11*$S$11</f>
        <v>262212.79061354115</v>
      </c>
      <c r="T54" s="59">
        <f>$I$11*$T$11</f>
        <v>0</v>
      </c>
      <c r="U54" s="59">
        <f>$I$11*$U$11</f>
        <v>0</v>
      </c>
      <c r="V54" s="59">
        <f>$I$11*$V$11</f>
        <v>293495.33678224619</v>
      </c>
      <c r="X54" s="59">
        <f>$I$11*$X$11</f>
        <v>145689.73922102671</v>
      </c>
      <c r="Y54" s="59">
        <f>$I$11*$Y$11</f>
        <v>325988.80884410482</v>
      </c>
      <c r="Z54" s="59">
        <f>$I$11*$Z$11</f>
        <v>0</v>
      </c>
      <c r="AA54" s="59">
        <f>$I$11*$AA$11</f>
        <v>0</v>
      </c>
      <c r="AB54" s="59">
        <f>$I$11*$AB$11</f>
        <v>0</v>
      </c>
      <c r="AC54" s="59">
        <f>$I$11*$AC$11</f>
        <v>14762347.022253606</v>
      </c>
      <c r="AD54" s="59">
        <f>$I$11*$AD$11</f>
        <v>0</v>
      </c>
      <c r="AE54" s="59">
        <f>$I$11*$AE$11</f>
        <v>0</v>
      </c>
      <c r="AF54" s="59">
        <f>$I$11*$AF$11</f>
        <v>0</v>
      </c>
      <c r="AG54" s="59">
        <f>$I$11*$AG$11</f>
        <v>0</v>
      </c>
      <c r="AH54" s="59">
        <f>$I$11*$AH$11</f>
        <v>0</v>
      </c>
    </row>
    <row r="55" spans="1:34" ht="11.25" customHeight="1" x14ac:dyDescent="0.25">
      <c r="A55" s="9" t="s">
        <v>22</v>
      </c>
      <c r="B55" s="9" t="s">
        <v>948</v>
      </c>
      <c r="C55" s="9" t="s">
        <v>949</v>
      </c>
      <c r="D55" s="9" t="s">
        <v>954</v>
      </c>
      <c r="E55" s="9" t="s">
        <v>955</v>
      </c>
      <c r="F55" s="9" t="s">
        <v>956</v>
      </c>
      <c r="G55" s="9" t="s">
        <v>957</v>
      </c>
      <c r="L55" s="59">
        <f>$I$12*$L$12</f>
        <v>401.83927292863461</v>
      </c>
      <c r="M55" s="59">
        <f>$I$12*$M$12</f>
        <v>4675.3557435515049</v>
      </c>
      <c r="N55" s="59">
        <f>$I$12*$N$12</f>
        <v>0</v>
      </c>
      <c r="O55" s="59">
        <f>$I$12*$O$12</f>
        <v>0</v>
      </c>
      <c r="P55" s="59">
        <f>$I$12*$P$12</f>
        <v>-2272.0359023581545</v>
      </c>
      <c r="Q55" s="59">
        <f>$I$12*$Q$12</f>
        <v>37119.678205011624</v>
      </c>
      <c r="R55" s="59">
        <f>$I$12*$R$12</f>
        <v>936.78475970511988</v>
      </c>
      <c r="S55" s="59">
        <f>$I$12*$S$12</f>
        <v>696.54839234311873</v>
      </c>
      <c r="T55" s="59">
        <f>$I$12*$T$12</f>
        <v>0</v>
      </c>
      <c r="U55" s="59">
        <f>$I$12*$U$12</f>
        <v>0</v>
      </c>
      <c r="V55" s="59">
        <f>$I$12*$V$12</f>
        <v>779.6481038073299</v>
      </c>
      <c r="X55" s="59">
        <f>$I$12*$X$12</f>
        <v>387.01374329545735</v>
      </c>
      <c r="Y55" s="59">
        <f>$I$12*$Y$12</f>
        <v>865.96454807145369</v>
      </c>
      <c r="Z55" s="59">
        <f>$I$12*$Z$12</f>
        <v>0</v>
      </c>
      <c r="AA55" s="59">
        <f>$I$12*$AA$12</f>
        <v>0</v>
      </c>
      <c r="AB55" s="59">
        <f>$I$12*$AB$12</f>
        <v>0</v>
      </c>
      <c r="AC55" s="59">
        <f>$I$12*$AC$12</f>
        <v>39215.05530489915</v>
      </c>
      <c r="AD55" s="59">
        <f>$I$12*$AD$12</f>
        <v>0</v>
      </c>
      <c r="AE55" s="59">
        <f>$I$12*$AE$12</f>
        <v>0</v>
      </c>
      <c r="AF55" s="59">
        <f>$I$12*$AF$12</f>
        <v>0</v>
      </c>
      <c r="AG55" s="59">
        <f>$I$12*$AG$12</f>
        <v>0</v>
      </c>
      <c r="AH55" s="59">
        <f>$I$12*$AH$12</f>
        <v>0</v>
      </c>
    </row>
    <row r="56" spans="1:34" ht="11.25" customHeight="1" x14ac:dyDescent="0.25">
      <c r="A56" s="9" t="s">
        <v>22</v>
      </c>
      <c r="B56" s="9" t="s">
        <v>948</v>
      </c>
      <c r="C56" s="9" t="s">
        <v>949</v>
      </c>
      <c r="D56" s="9" t="s">
        <v>958</v>
      </c>
      <c r="E56" s="9" t="s">
        <v>959</v>
      </c>
      <c r="F56" s="9" t="s">
        <v>960</v>
      </c>
      <c r="G56" s="9" t="s">
        <v>961</v>
      </c>
      <c r="L56" s="59">
        <f>$I$13*$L$13</f>
        <v>1440.7757374328046</v>
      </c>
      <c r="M56" s="59">
        <f>$I$13*$M$13</f>
        <v>16763.267238870492</v>
      </c>
      <c r="N56" s="59">
        <f>$I$13*$N$13</f>
        <v>0</v>
      </c>
      <c r="O56" s="59">
        <f>$I$13*$O$13</f>
        <v>0</v>
      </c>
      <c r="P56" s="59">
        <f>$I$13*$P$13</f>
        <v>-8146.2774378333097</v>
      </c>
      <c r="Q56" s="59">
        <f>$I$13*$Q$13</f>
        <v>133090.85333874798</v>
      </c>
      <c r="R56" s="59">
        <f>$I$13*$R$13</f>
        <v>3358.7975190758889</v>
      </c>
      <c r="S56" s="59">
        <f>$I$13*$S$13</f>
        <v>2497.4413683403768</v>
      </c>
      <c r="T56" s="59">
        <f>$I$13*$T$13</f>
        <v>0</v>
      </c>
      <c r="U56" s="59">
        <f>$I$13*$U$13</f>
        <v>0</v>
      </c>
      <c r="V56" s="59">
        <f>$I$13*$V$13</f>
        <v>2795.3914596610066</v>
      </c>
      <c r="X56" s="59">
        <f>$I$13*$X$13</f>
        <v>1387.6195010241568</v>
      </c>
      <c r="Y56" s="59">
        <f>$I$13*$Y$13</f>
        <v>3104.8749945351692</v>
      </c>
      <c r="Z56" s="59">
        <f>$I$13*$Z$13</f>
        <v>0</v>
      </c>
      <c r="AA56" s="59">
        <f>$I$13*$AA$13</f>
        <v>0</v>
      </c>
      <c r="AB56" s="59">
        <f>$I$13*$AB$13</f>
        <v>0</v>
      </c>
      <c r="AC56" s="59">
        <f>$I$13*$AC$13</f>
        <v>140603.72898250449</v>
      </c>
      <c r="AD56" s="59">
        <f>$I$13*$AD$13</f>
        <v>0</v>
      </c>
      <c r="AE56" s="59">
        <f>$I$13*$AE$13</f>
        <v>0</v>
      </c>
      <c r="AF56" s="59">
        <f>$I$13*$AF$13</f>
        <v>0</v>
      </c>
      <c r="AG56" s="59">
        <f>$I$13*$AG$13</f>
        <v>0</v>
      </c>
      <c r="AH56" s="59">
        <f>$I$13*$AH$13</f>
        <v>0</v>
      </c>
    </row>
    <row r="57" spans="1:34" ht="11.25" customHeight="1" x14ac:dyDescent="0.25">
      <c r="A57" s="9" t="s">
        <v>22</v>
      </c>
      <c r="B57" s="9" t="s">
        <v>948</v>
      </c>
      <c r="C57" s="9" t="s">
        <v>949</v>
      </c>
      <c r="D57" s="9" t="s">
        <v>962</v>
      </c>
      <c r="E57" s="9" t="s">
        <v>963</v>
      </c>
      <c r="F57" s="9" t="s">
        <v>964</v>
      </c>
      <c r="G57" s="9" t="s">
        <v>965</v>
      </c>
      <c r="L57" s="59">
        <f>$I$14*$L$14</f>
        <v>2228.5461343171005</v>
      </c>
      <c r="M57" s="59">
        <f>$I$14*$M$14</f>
        <v>25928.889162357678</v>
      </c>
      <c r="N57" s="59">
        <f>$I$14*$N$14</f>
        <v>0</v>
      </c>
      <c r="O57" s="59">
        <f>$I$14*$O$14</f>
        <v>0</v>
      </c>
      <c r="P57" s="59">
        <f>$I$14*$P$14</f>
        <v>-12600.40311721638</v>
      </c>
      <c r="Q57" s="59">
        <f>$I$14*$Q$14</f>
        <v>205860.70338019132</v>
      </c>
      <c r="R57" s="59">
        <f>$I$14*$R$14</f>
        <v>5195.2812867516368</v>
      </c>
      <c r="S57" s="59">
        <f>$I$14*$S$14</f>
        <v>3862.9629598118709</v>
      </c>
      <c r="T57" s="59">
        <f>$I$14*$T$14</f>
        <v>0</v>
      </c>
      <c r="U57" s="59">
        <f>$I$14*$U$14</f>
        <v>0</v>
      </c>
      <c r="V57" s="59">
        <f>$I$14*$V$14</f>
        <v>4323.8226945927563</v>
      </c>
      <c r="X57" s="59">
        <f>$I$14*$X$14</f>
        <v>2146.3257567207829</v>
      </c>
      <c r="Y57" s="59">
        <f>$I$14*$Y$14</f>
        <v>4802.5219934215447</v>
      </c>
      <c r="Z57" s="59">
        <f>$I$14*$Z$14</f>
        <v>0</v>
      </c>
      <c r="AA57" s="59">
        <f>$I$14*$AA$14</f>
        <v>0</v>
      </c>
      <c r="AB57" s="59">
        <f>$I$14*$AB$14</f>
        <v>0</v>
      </c>
      <c r="AC57" s="59">
        <f>$I$14*$AC$14</f>
        <v>217481.38072677853</v>
      </c>
      <c r="AD57" s="59">
        <f>$I$14*$AD$14</f>
        <v>0</v>
      </c>
      <c r="AE57" s="59">
        <f>$I$14*$AE$14</f>
        <v>0</v>
      </c>
      <c r="AF57" s="59">
        <f>$I$14*$AF$14</f>
        <v>0</v>
      </c>
      <c r="AG57" s="59">
        <f>$I$14*$AG$14</f>
        <v>0</v>
      </c>
      <c r="AH57" s="59">
        <f>$I$14*$AH$14</f>
        <v>0</v>
      </c>
    </row>
    <row r="58" spans="1:34" ht="11.25" customHeight="1" x14ac:dyDescent="0.25">
      <c r="A58" s="9" t="s">
        <v>22</v>
      </c>
      <c r="B58" s="9" t="s">
        <v>948</v>
      </c>
      <c r="C58" s="9" t="s">
        <v>949</v>
      </c>
      <c r="D58" s="9" t="s">
        <v>966</v>
      </c>
      <c r="E58" s="9" t="s">
        <v>967</v>
      </c>
      <c r="F58" s="9" t="s">
        <v>968</v>
      </c>
      <c r="G58" s="9" t="s">
        <v>969</v>
      </c>
      <c r="L58" s="59">
        <f>$I$15*$L$15</f>
        <v>1010.7869179513932</v>
      </c>
      <c r="M58" s="59">
        <f>$I$15*$M$15</f>
        <v>11760.394617252992</v>
      </c>
      <c r="N58" s="59">
        <f>$I$15*$N$15</f>
        <v>0</v>
      </c>
      <c r="O58" s="59">
        <f>$I$15*$O$15</f>
        <v>0</v>
      </c>
      <c r="P58" s="59">
        <f>$I$15*$P$15</f>
        <v>-5715.0814316433689</v>
      </c>
      <c r="Q58" s="59">
        <f>$I$15*$Q$15</f>
        <v>93370.876506773522</v>
      </c>
      <c r="R58" s="59">
        <f>$I$15*$R$15</f>
        <v>2356.3893422989031</v>
      </c>
      <c r="S58" s="59">
        <f>$I$15*$S$15</f>
        <v>1752.0985382270937</v>
      </c>
      <c r="T58" s="59">
        <f>$I$15*$T$15</f>
        <v>0</v>
      </c>
      <c r="U58" s="59">
        <f>$I$15*$U$15</f>
        <v>0</v>
      </c>
      <c r="V58" s="59">
        <f>$I$15*$V$15</f>
        <v>1961.1276374024685</v>
      </c>
      <c r="X58" s="59">
        <f>$I$15*$X$15</f>
        <v>973.49476555498416</v>
      </c>
      <c r="Y58" s="59">
        <f>$I$15*$Y$15</f>
        <v>2178.2481095514167</v>
      </c>
      <c r="Z58" s="59">
        <f>$I$15*$Z$15</f>
        <v>0</v>
      </c>
      <c r="AA58" s="59">
        <f>$I$15*$AA$15</f>
        <v>0</v>
      </c>
      <c r="AB58" s="59">
        <f>$I$15*$AB$15</f>
        <v>0</v>
      </c>
      <c r="AC58" s="59">
        <f>$I$15*$AC$15</f>
        <v>98641.590206072549</v>
      </c>
      <c r="AD58" s="59">
        <f>$I$15*$AD$15</f>
        <v>0</v>
      </c>
      <c r="AE58" s="59">
        <f>$I$15*$AE$15</f>
        <v>0</v>
      </c>
      <c r="AF58" s="59">
        <f>$I$15*$AF$15</f>
        <v>0</v>
      </c>
      <c r="AG58" s="59">
        <f>$I$15*$AG$15</f>
        <v>0</v>
      </c>
      <c r="AH58" s="59">
        <f>$I$15*$AH$15</f>
        <v>0</v>
      </c>
    </row>
    <row r="59" spans="1:34" ht="11.25" customHeight="1" x14ac:dyDescent="0.25">
      <c r="A59" s="9" t="s">
        <v>22</v>
      </c>
      <c r="B59" s="9" t="s">
        <v>970</v>
      </c>
      <c r="C59" s="9" t="s">
        <v>971</v>
      </c>
      <c r="D59" s="9" t="s">
        <v>972</v>
      </c>
      <c r="E59" s="9" t="s">
        <v>973</v>
      </c>
      <c r="F59" s="9" t="s">
        <v>974</v>
      </c>
      <c r="G59" s="9" t="s">
        <v>975</v>
      </c>
      <c r="L59" s="59">
        <f>$I$16*$L$16</f>
        <v>0</v>
      </c>
      <c r="M59" s="59">
        <f>$I$16*$M$16</f>
        <v>0</v>
      </c>
      <c r="N59" s="59">
        <f>$I$16*$N$16</f>
        <v>0</v>
      </c>
      <c r="O59" s="59">
        <f>$I$16*$O$16</f>
        <v>0</v>
      </c>
      <c r="P59" s="59">
        <f>$I$16*$P$16</f>
        <v>0</v>
      </c>
      <c r="Q59" s="59">
        <f>$I$16*$Q$16</f>
        <v>0</v>
      </c>
      <c r="R59" s="59">
        <f>$I$16*$R$16</f>
        <v>0</v>
      </c>
      <c r="S59" s="59">
        <f>$I$16*$S$16</f>
        <v>0</v>
      </c>
      <c r="T59" s="59">
        <f>$I$16*$T$16</f>
        <v>0</v>
      </c>
      <c r="U59" s="59">
        <f>$I$16*$U$16</f>
        <v>0</v>
      </c>
      <c r="V59" s="59">
        <f>$I$16*$V$16</f>
        <v>0</v>
      </c>
      <c r="X59" s="59">
        <f>$I$16*$X$16</f>
        <v>0</v>
      </c>
      <c r="Y59" s="59">
        <f>$I$16*$Y$16</f>
        <v>0</v>
      </c>
      <c r="Z59" s="59">
        <f>$I$16*$Z$16</f>
        <v>0</v>
      </c>
      <c r="AA59" s="59">
        <f>$I$16*$AA$16</f>
        <v>0</v>
      </c>
      <c r="AB59" s="59">
        <f>$I$16*$AB$16</f>
        <v>0</v>
      </c>
      <c r="AC59" s="59">
        <f>$I$16*$AC$16</f>
        <v>0</v>
      </c>
      <c r="AD59" s="59">
        <f>$I$16*$AD$16</f>
        <v>0</v>
      </c>
      <c r="AE59" s="59">
        <f>$I$16*$AE$16</f>
        <v>0</v>
      </c>
      <c r="AF59" s="59">
        <f>$I$16*$AF$16</f>
        <v>0</v>
      </c>
      <c r="AG59" s="59">
        <f>$I$16*$AG$16</f>
        <v>0</v>
      </c>
      <c r="AH59" s="59">
        <f>$I$16*$AH$16</f>
        <v>0</v>
      </c>
    </row>
    <row r="60" spans="1:34" ht="11.25" customHeight="1" x14ac:dyDescent="0.25">
      <c r="A60" s="9" t="s">
        <v>22</v>
      </c>
      <c r="B60" s="9" t="s">
        <v>970</v>
      </c>
      <c r="C60" s="9" t="s">
        <v>971</v>
      </c>
      <c r="D60" s="9" t="s">
        <v>976</v>
      </c>
      <c r="E60" s="9" t="s">
        <v>977</v>
      </c>
      <c r="F60" s="9" t="s">
        <v>978</v>
      </c>
      <c r="G60" s="9" t="s">
        <v>979</v>
      </c>
      <c r="L60" s="59">
        <f>$I$17*$L$17</f>
        <v>0</v>
      </c>
      <c r="M60" s="59">
        <f>$I$17*$M$17</f>
        <v>0</v>
      </c>
      <c r="N60" s="59">
        <f>$I$17*$N$17</f>
        <v>0</v>
      </c>
      <c r="O60" s="59">
        <f>$I$17*$O$17</f>
        <v>0</v>
      </c>
      <c r="P60" s="59">
        <f>$I$17*$P$17</f>
        <v>0</v>
      </c>
      <c r="Q60" s="59">
        <f>$I$17*$Q$17</f>
        <v>0</v>
      </c>
      <c r="R60" s="59">
        <f>$I$17*$R$17</f>
        <v>0</v>
      </c>
      <c r="S60" s="59">
        <f>$I$17*$S$17</f>
        <v>0</v>
      </c>
      <c r="T60" s="59">
        <f>$I$17*$T$17</f>
        <v>0</v>
      </c>
      <c r="U60" s="59">
        <f>$I$17*$U$17</f>
        <v>0</v>
      </c>
      <c r="V60" s="59">
        <f>$I$17*$V$17</f>
        <v>0</v>
      </c>
      <c r="X60" s="59">
        <f>$I$17*$X$17</f>
        <v>0</v>
      </c>
      <c r="Y60" s="59">
        <f>$I$17*$Y$17</f>
        <v>0</v>
      </c>
      <c r="Z60" s="59">
        <f>$I$17*$Z$17</f>
        <v>0</v>
      </c>
      <c r="AA60" s="59">
        <f>$I$17*$AA$17</f>
        <v>0</v>
      </c>
      <c r="AB60" s="59">
        <f>$I$17*$AB$17</f>
        <v>0</v>
      </c>
      <c r="AC60" s="59">
        <f>$I$17*$AC$17</f>
        <v>0</v>
      </c>
      <c r="AD60" s="59">
        <f>$I$17*$AD$17</f>
        <v>0</v>
      </c>
      <c r="AE60" s="59">
        <f>$I$17*$AE$17</f>
        <v>0</v>
      </c>
      <c r="AF60" s="59">
        <f>$I$17*$AF$17</f>
        <v>0</v>
      </c>
      <c r="AG60" s="59">
        <f>$I$17*$AG$17</f>
        <v>0</v>
      </c>
      <c r="AH60" s="59">
        <f>$I$17*$AH$17</f>
        <v>0</v>
      </c>
    </row>
    <row r="61" spans="1:34" ht="11.25" customHeight="1" x14ac:dyDescent="0.25">
      <c r="A61" s="9" t="s">
        <v>22</v>
      </c>
      <c r="B61" s="9" t="s">
        <v>970</v>
      </c>
      <c r="C61" s="9" t="s">
        <v>971</v>
      </c>
      <c r="D61" s="9" t="s">
        <v>980</v>
      </c>
      <c r="E61" s="9" t="s">
        <v>981</v>
      </c>
      <c r="F61" s="9" t="s">
        <v>982</v>
      </c>
      <c r="G61" s="9" t="s">
        <v>983</v>
      </c>
      <c r="L61" s="59">
        <f>$I$18*$L$18</f>
        <v>0</v>
      </c>
      <c r="M61" s="59">
        <f>$I$18*$M$18</f>
        <v>0</v>
      </c>
      <c r="N61" s="59">
        <f>$I$18*$N$18</f>
        <v>0</v>
      </c>
      <c r="O61" s="59">
        <f>$I$18*$O$18</f>
        <v>0</v>
      </c>
      <c r="P61" s="59">
        <f>$I$18*$P$18</f>
        <v>0</v>
      </c>
      <c r="Q61" s="59">
        <f>$I$18*$Q$18</f>
        <v>0</v>
      </c>
      <c r="R61" s="59">
        <f>$I$18*$R$18</f>
        <v>0</v>
      </c>
      <c r="S61" s="59">
        <f>$I$18*$S$18</f>
        <v>0</v>
      </c>
      <c r="T61" s="59">
        <f>$I$18*$T$18</f>
        <v>0</v>
      </c>
      <c r="U61" s="59">
        <f>$I$18*$U$18</f>
        <v>0</v>
      </c>
      <c r="V61" s="59">
        <f>$I$18*$V$18</f>
        <v>0</v>
      </c>
      <c r="X61" s="59">
        <f>$I$18*$X$18</f>
        <v>0</v>
      </c>
      <c r="Y61" s="59">
        <f>$I$18*$Y$18</f>
        <v>0</v>
      </c>
      <c r="Z61" s="59">
        <f>$I$18*$Z$18</f>
        <v>0</v>
      </c>
      <c r="AA61" s="59">
        <f>$I$18*$AA$18</f>
        <v>0</v>
      </c>
      <c r="AB61" s="59">
        <f>$I$18*$AB$18</f>
        <v>0</v>
      </c>
      <c r="AC61" s="59">
        <f>$I$18*$AC$18</f>
        <v>0</v>
      </c>
      <c r="AD61" s="59">
        <f>$I$18*$AD$18</f>
        <v>0</v>
      </c>
      <c r="AE61" s="59">
        <f>$I$18*$AE$18</f>
        <v>0</v>
      </c>
      <c r="AF61" s="59">
        <f>$I$18*$AF$18</f>
        <v>0</v>
      </c>
      <c r="AG61" s="59">
        <f>$I$18*$AG$18</f>
        <v>0</v>
      </c>
      <c r="AH61" s="59">
        <f>$I$18*$AH$18</f>
        <v>0</v>
      </c>
    </row>
    <row r="62" spans="1:34" ht="11.25" customHeight="1" x14ac:dyDescent="0.25">
      <c r="A62" s="9" t="s">
        <v>22</v>
      </c>
      <c r="B62" s="9" t="s">
        <v>970</v>
      </c>
      <c r="C62" s="9" t="s">
        <v>971</v>
      </c>
      <c r="D62" s="9" t="s">
        <v>984</v>
      </c>
      <c r="E62" s="9" t="s">
        <v>985</v>
      </c>
      <c r="F62" s="9" t="s">
        <v>986</v>
      </c>
      <c r="G62" s="9" t="s">
        <v>987</v>
      </c>
      <c r="L62" s="59">
        <f>$I$19*$L$19</f>
        <v>0</v>
      </c>
      <c r="M62" s="59">
        <f>$I$19*$M$19</f>
        <v>0</v>
      </c>
      <c r="N62" s="59">
        <f>$I$19*$N$19</f>
        <v>0</v>
      </c>
      <c r="O62" s="59">
        <f>$I$19*$O$19</f>
        <v>0</v>
      </c>
      <c r="P62" s="59">
        <f>$I$19*$P$19</f>
        <v>0</v>
      </c>
      <c r="Q62" s="59">
        <f>$I$19*$Q$19</f>
        <v>0</v>
      </c>
      <c r="R62" s="59">
        <f>$I$19*$R$19</f>
        <v>0</v>
      </c>
      <c r="S62" s="59">
        <f>$I$19*$S$19</f>
        <v>0</v>
      </c>
      <c r="T62" s="59">
        <f>$I$19*$T$19</f>
        <v>0</v>
      </c>
      <c r="U62" s="59">
        <f>$I$19*$U$19</f>
        <v>0</v>
      </c>
      <c r="V62" s="59">
        <f>$I$19*$V$19</f>
        <v>0</v>
      </c>
      <c r="X62" s="59">
        <f>$I$19*$X$19</f>
        <v>0</v>
      </c>
      <c r="Y62" s="59">
        <f>$I$19*$Y$19</f>
        <v>0</v>
      </c>
      <c r="Z62" s="59">
        <f>$I$19*$Z$19</f>
        <v>0</v>
      </c>
      <c r="AA62" s="59">
        <f>$I$19*$AA$19</f>
        <v>0</v>
      </c>
      <c r="AB62" s="59">
        <f>$I$19*$AB$19</f>
        <v>0</v>
      </c>
      <c r="AC62" s="59">
        <f>$I$19*$AC$19</f>
        <v>0</v>
      </c>
      <c r="AD62" s="59">
        <f>$I$19*$AD$19</f>
        <v>0</v>
      </c>
      <c r="AE62" s="59">
        <f>$I$19*$AE$19</f>
        <v>0</v>
      </c>
      <c r="AF62" s="59">
        <f>$I$19*$AF$19</f>
        <v>0</v>
      </c>
      <c r="AG62" s="59">
        <f>$I$19*$AG$19</f>
        <v>0</v>
      </c>
      <c r="AH62" s="59">
        <f>$I$19*$AH$19</f>
        <v>0</v>
      </c>
    </row>
    <row r="63" spans="1:34" ht="11.25" customHeight="1" x14ac:dyDescent="0.25">
      <c r="A63" s="9" t="s">
        <v>22</v>
      </c>
      <c r="B63" s="9" t="s">
        <v>970</v>
      </c>
      <c r="C63" s="9" t="s">
        <v>971</v>
      </c>
      <c r="D63" s="9" t="s">
        <v>988</v>
      </c>
      <c r="E63" s="9" t="s">
        <v>989</v>
      </c>
      <c r="F63" s="9" t="s">
        <v>990</v>
      </c>
      <c r="G63" s="9" t="s">
        <v>991</v>
      </c>
      <c r="L63" s="59">
        <f>$I$20*$L$20</f>
        <v>0</v>
      </c>
      <c r="M63" s="59">
        <f>$I$20*$M$20</f>
        <v>0</v>
      </c>
      <c r="N63" s="59">
        <f>$I$20*$N$20</f>
        <v>0</v>
      </c>
      <c r="O63" s="59">
        <f>$I$20*$O$20</f>
        <v>0</v>
      </c>
      <c r="P63" s="59">
        <f>$I$20*$P$20</f>
        <v>0</v>
      </c>
      <c r="Q63" s="59">
        <f>$I$20*$Q$20</f>
        <v>0</v>
      </c>
      <c r="R63" s="59">
        <f>$I$20*$R$20</f>
        <v>0</v>
      </c>
      <c r="S63" s="59">
        <f>$I$20*$S$20</f>
        <v>0</v>
      </c>
      <c r="T63" s="59">
        <f>$I$20*$T$20</f>
        <v>0</v>
      </c>
      <c r="U63" s="59">
        <f>$I$20*$U$20</f>
        <v>0</v>
      </c>
      <c r="V63" s="59">
        <f>$I$20*$V$20</f>
        <v>0</v>
      </c>
      <c r="X63" s="59">
        <f>$I$20*$X$20</f>
        <v>0</v>
      </c>
      <c r="Y63" s="59">
        <f>$I$20*$Y$20</f>
        <v>0</v>
      </c>
      <c r="Z63" s="59">
        <f>$I$20*$Z$20</f>
        <v>0</v>
      </c>
      <c r="AA63" s="59">
        <f>$I$20*$AA$20</f>
        <v>0</v>
      </c>
      <c r="AB63" s="59">
        <f>$I$20*$AB$20</f>
        <v>0</v>
      </c>
      <c r="AC63" s="59">
        <f>$I$20*$AC$20</f>
        <v>0</v>
      </c>
      <c r="AD63" s="59">
        <f>$I$20*$AD$20</f>
        <v>0</v>
      </c>
      <c r="AE63" s="59">
        <f>$I$20*$AE$20</f>
        <v>0</v>
      </c>
      <c r="AF63" s="59">
        <f>$I$20*$AF$20</f>
        <v>0</v>
      </c>
      <c r="AG63" s="59">
        <f>$I$20*$AG$20</f>
        <v>0</v>
      </c>
      <c r="AH63" s="59">
        <f>$I$20*$AH$20</f>
        <v>0</v>
      </c>
    </row>
    <row r="64" spans="1:34" ht="11.25" customHeight="1" x14ac:dyDescent="0.25">
      <c r="A64" s="9" t="s">
        <v>41</v>
      </c>
      <c r="B64" s="9" t="s">
        <v>992</v>
      </c>
      <c r="C64" s="9" t="s">
        <v>993</v>
      </c>
      <c r="D64" s="9" t="s">
        <v>994</v>
      </c>
      <c r="E64" s="9" t="s">
        <v>995</v>
      </c>
      <c r="F64" s="9" t="s">
        <v>996</v>
      </c>
      <c r="G64" s="9" t="s">
        <v>997</v>
      </c>
      <c r="L64" s="59">
        <f>$I$21*$L$21</f>
        <v>0</v>
      </c>
      <c r="M64" s="59">
        <f>$I$21*$M$21</f>
        <v>0</v>
      </c>
      <c r="N64" s="59">
        <f>$I$21*$N$21</f>
        <v>0</v>
      </c>
      <c r="O64" s="59">
        <f>$I$21*$O$21</f>
        <v>0</v>
      </c>
      <c r="P64" s="59">
        <f>$I$21*$P$21</f>
        <v>0</v>
      </c>
      <c r="Q64" s="59">
        <f>$I$21*$Q$21</f>
        <v>0</v>
      </c>
      <c r="R64" s="59">
        <f>$I$21*$R$21</f>
        <v>0</v>
      </c>
      <c r="S64" s="59">
        <f>$I$21*$S$21</f>
        <v>0</v>
      </c>
      <c r="T64" s="59">
        <f>$I$21*$T$21</f>
        <v>0</v>
      </c>
      <c r="U64" s="59">
        <f>$I$21*$U$21</f>
        <v>0</v>
      </c>
      <c r="V64" s="59">
        <f>$I$21*$V$21</f>
        <v>0</v>
      </c>
      <c r="X64" s="59">
        <f>$I$21*$X$21</f>
        <v>0</v>
      </c>
      <c r="Y64" s="59">
        <f>$I$21*$Y$21</f>
        <v>0</v>
      </c>
      <c r="Z64" s="59">
        <f>$I$21*$Z$21</f>
        <v>0</v>
      </c>
      <c r="AA64" s="59">
        <f>$I$21*$AA$21</f>
        <v>0</v>
      </c>
      <c r="AB64" s="59">
        <f>$I$21*$AB$21</f>
        <v>0</v>
      </c>
      <c r="AC64" s="59">
        <f>$I$21*$AC$21</f>
        <v>0</v>
      </c>
      <c r="AD64" s="59">
        <f>$I$21*$AD$21</f>
        <v>0</v>
      </c>
      <c r="AE64" s="59">
        <f>$I$21*$AE$21</f>
        <v>0</v>
      </c>
      <c r="AF64" s="59">
        <f>$I$21*$AF$21</f>
        <v>0</v>
      </c>
      <c r="AG64" s="59">
        <f>$I$21*$AG$21</f>
        <v>0</v>
      </c>
      <c r="AH64" s="59">
        <f>$I$21*$AH$21</f>
        <v>0</v>
      </c>
    </row>
    <row r="65" spans="1:34" ht="11.25" customHeight="1" x14ac:dyDescent="0.25">
      <c r="A65" s="9" t="s">
        <v>41</v>
      </c>
      <c r="B65" s="9" t="s">
        <v>992</v>
      </c>
      <c r="C65" s="9" t="s">
        <v>993</v>
      </c>
      <c r="D65" s="9" t="s">
        <v>994</v>
      </c>
      <c r="E65" s="9" t="s">
        <v>995</v>
      </c>
      <c r="F65" s="9" t="s">
        <v>996</v>
      </c>
      <c r="G65" s="9" t="s">
        <v>998</v>
      </c>
      <c r="L65" s="59">
        <f>$I$22*$L$22</f>
        <v>0</v>
      </c>
      <c r="M65" s="59">
        <f>$I$22*$M$22</f>
        <v>0</v>
      </c>
      <c r="N65" s="59">
        <f>$I$22*$N$22</f>
        <v>0</v>
      </c>
      <c r="O65" s="59">
        <f>$I$22*$O$22</f>
        <v>0</v>
      </c>
      <c r="P65" s="59">
        <f>$I$22*$P$22</f>
        <v>0</v>
      </c>
      <c r="Q65" s="59">
        <f>$I$22*$Q$22</f>
        <v>0</v>
      </c>
      <c r="R65" s="59">
        <f>$I$22*$R$22</f>
        <v>0</v>
      </c>
      <c r="S65" s="59">
        <f>$I$22*$S$22</f>
        <v>0</v>
      </c>
      <c r="T65" s="59">
        <f>$I$22*$T$22</f>
        <v>0</v>
      </c>
      <c r="U65" s="59">
        <f>$I$22*$U$22</f>
        <v>0</v>
      </c>
      <c r="V65" s="59">
        <f>$I$22*$V$22</f>
        <v>0</v>
      </c>
      <c r="X65" s="59">
        <f>$I$22*$X$22</f>
        <v>0</v>
      </c>
      <c r="Y65" s="59">
        <f>$I$22*$Y$22</f>
        <v>0</v>
      </c>
      <c r="Z65" s="59">
        <f>$I$22*$Z$22</f>
        <v>0</v>
      </c>
      <c r="AA65" s="59">
        <f>$I$22*$AA$22</f>
        <v>0</v>
      </c>
      <c r="AB65" s="59">
        <f>$I$22*$AB$22</f>
        <v>0</v>
      </c>
      <c r="AC65" s="59">
        <f>$I$22*$AC$22</f>
        <v>0</v>
      </c>
      <c r="AD65" s="59">
        <f>$I$22*$AD$22</f>
        <v>0</v>
      </c>
      <c r="AE65" s="59">
        <f>$I$22*$AE$22</f>
        <v>0</v>
      </c>
      <c r="AF65" s="59">
        <f>$I$22*$AF$22</f>
        <v>0</v>
      </c>
      <c r="AG65" s="59">
        <f>$I$22*$AG$22</f>
        <v>0</v>
      </c>
      <c r="AH65" s="59">
        <f>$I$22*$AH$22</f>
        <v>0</v>
      </c>
    </row>
    <row r="66" spans="1:34" ht="11.25" customHeight="1" x14ac:dyDescent="0.25">
      <c r="A66" s="9" t="s">
        <v>41</v>
      </c>
      <c r="B66" s="9" t="s">
        <v>992</v>
      </c>
      <c r="C66" s="9" t="s">
        <v>993</v>
      </c>
      <c r="D66" s="9" t="s">
        <v>994</v>
      </c>
      <c r="E66" s="9" t="s">
        <v>995</v>
      </c>
      <c r="F66" s="9" t="s">
        <v>996</v>
      </c>
      <c r="G66" s="9" t="s">
        <v>999</v>
      </c>
      <c r="L66" s="59">
        <f>$I$23*$L$23</f>
        <v>0</v>
      </c>
      <c r="M66" s="59">
        <f>$I$23*$M$23</f>
        <v>0</v>
      </c>
      <c r="N66" s="59">
        <f>$I$23*$N$23</f>
        <v>0</v>
      </c>
      <c r="O66" s="59">
        <f>$I$23*$O$23</f>
        <v>0</v>
      </c>
      <c r="P66" s="59">
        <f>$I$23*$P$23</f>
        <v>0</v>
      </c>
      <c r="Q66" s="59">
        <f>$I$23*$Q$23</f>
        <v>0</v>
      </c>
      <c r="R66" s="59">
        <f>$I$23*$R$23</f>
        <v>0</v>
      </c>
      <c r="S66" s="59">
        <f>$I$23*$S$23</f>
        <v>0</v>
      </c>
      <c r="T66" s="59">
        <f>$I$23*$T$23</f>
        <v>0</v>
      </c>
      <c r="U66" s="59">
        <f>$I$23*$U$23</f>
        <v>0</v>
      </c>
      <c r="V66" s="59">
        <f>$I$23*$V$23</f>
        <v>0</v>
      </c>
      <c r="X66" s="59">
        <f>$I$23*$X$23</f>
        <v>0</v>
      </c>
      <c r="Y66" s="59">
        <f>$I$23*$Y$23</f>
        <v>0</v>
      </c>
      <c r="Z66" s="59">
        <f>$I$23*$Z$23</f>
        <v>0</v>
      </c>
      <c r="AA66" s="59">
        <f>$I$23*$AA$23</f>
        <v>0</v>
      </c>
      <c r="AB66" s="59">
        <f>$I$23*$AB$23</f>
        <v>0</v>
      </c>
      <c r="AC66" s="59">
        <f>$I$23*$AC$23</f>
        <v>0</v>
      </c>
      <c r="AD66" s="59">
        <f>$I$23*$AD$23</f>
        <v>0</v>
      </c>
      <c r="AE66" s="59">
        <f>$I$23*$AE$23</f>
        <v>0</v>
      </c>
      <c r="AF66" s="59">
        <f>$I$23*$AF$23</f>
        <v>0</v>
      </c>
      <c r="AG66" s="59">
        <f>$I$23*$AG$23</f>
        <v>0</v>
      </c>
      <c r="AH66" s="59">
        <f>$I$23*$AH$23</f>
        <v>0</v>
      </c>
    </row>
    <row r="67" spans="1:34" ht="11.25" customHeight="1" x14ac:dyDescent="0.25">
      <c r="A67" s="9" t="s">
        <v>41</v>
      </c>
      <c r="B67" s="9" t="s">
        <v>1000</v>
      </c>
      <c r="C67" s="9" t="s">
        <v>1001</v>
      </c>
      <c r="D67" s="9" t="s">
        <v>1002</v>
      </c>
      <c r="E67" s="9" t="s">
        <v>1003</v>
      </c>
      <c r="F67" s="9" t="s">
        <v>1004</v>
      </c>
      <c r="G67" s="9" t="s">
        <v>1005</v>
      </c>
      <c r="L67" s="59">
        <f>$I$24*$L$24</f>
        <v>24538.620956829887</v>
      </c>
      <c r="M67" s="59">
        <f>$I$24*$M$24</f>
        <v>285504.15591092082</v>
      </c>
      <c r="N67" s="59">
        <f>$I$24*$N$24</f>
        <v>0</v>
      </c>
      <c r="O67" s="59">
        <f>$I$24*$O$24</f>
        <v>0</v>
      </c>
      <c r="P67" s="59">
        <f>$I$24*$P$24</f>
        <v>-138743.60114666342</v>
      </c>
      <c r="Q67" s="59">
        <f>$I$24*$Q$24</f>
        <v>2266741.3935771449</v>
      </c>
      <c r="R67" s="59">
        <f>$I$24*$R$24</f>
        <v>57205.474141452069</v>
      </c>
      <c r="S67" s="59">
        <f>$I$24*$S$24</f>
        <v>42535.257575066746</v>
      </c>
      <c r="T67" s="59">
        <f>$I$24*$T$24</f>
        <v>0</v>
      </c>
      <c r="U67" s="59">
        <f>$I$24*$U$24</f>
        <v>0</v>
      </c>
      <c r="V67" s="59">
        <f>$I$24*$V$24</f>
        <v>47609.804685359661</v>
      </c>
      <c r="X67" s="59">
        <f>$I$24*$X$24</f>
        <v>22124.780919236295</v>
      </c>
      <c r="Y67" s="59">
        <f>$I$24*$Y$24</f>
        <v>49505.414838148492</v>
      </c>
      <c r="Z67" s="59">
        <f>$I$24*$Z$24</f>
        <v>0</v>
      </c>
      <c r="AA67" s="59">
        <f>$I$24*$AA$24</f>
        <v>0</v>
      </c>
      <c r="AB67" s="59">
        <f>$I$24*$AB$24</f>
        <v>0</v>
      </c>
      <c r="AC67" s="59">
        <f>$I$24*$AC$24</f>
        <v>2241844.1783713643</v>
      </c>
      <c r="AD67" s="59">
        <f>$I$24*$AD$24</f>
        <v>0</v>
      </c>
      <c r="AE67" s="59">
        <f>$I$24*$AE$24</f>
        <v>0</v>
      </c>
      <c r="AF67" s="59">
        <f>$I$24*$AF$24</f>
        <v>0</v>
      </c>
      <c r="AG67" s="59">
        <f>$I$24*$AG$24</f>
        <v>0</v>
      </c>
      <c r="AH67" s="59">
        <f>$I$24*$AH$24</f>
        <v>0</v>
      </c>
    </row>
    <row r="68" spans="1:34" ht="11.25" customHeight="1" x14ac:dyDescent="0.25">
      <c r="A68" s="9" t="s">
        <v>41</v>
      </c>
      <c r="B68" s="9" t="s">
        <v>992</v>
      </c>
      <c r="C68" s="9" t="s">
        <v>993</v>
      </c>
      <c r="D68" s="9" t="s">
        <v>1006</v>
      </c>
      <c r="E68" s="9" t="s">
        <v>1007</v>
      </c>
      <c r="F68" s="9" t="s">
        <v>1008</v>
      </c>
      <c r="G68" s="9" t="s">
        <v>1009</v>
      </c>
      <c r="L68" s="59">
        <f>$I$25*$L$25</f>
        <v>0</v>
      </c>
      <c r="M68" s="59">
        <f>$I$25*$M$25</f>
        <v>0</v>
      </c>
      <c r="N68" s="59">
        <f>$I$25*$N$25</f>
        <v>0</v>
      </c>
      <c r="O68" s="59">
        <f>$I$25*$O$25</f>
        <v>0</v>
      </c>
      <c r="P68" s="59">
        <f>$I$25*$P$25</f>
        <v>0</v>
      </c>
      <c r="Q68" s="59">
        <f>$I$25*$Q$25</f>
        <v>0</v>
      </c>
      <c r="R68" s="59">
        <f>$I$25*$R$25</f>
        <v>0</v>
      </c>
      <c r="S68" s="59">
        <f>$I$25*$S$25</f>
        <v>0</v>
      </c>
      <c r="T68" s="59">
        <f>$I$25*$T$25</f>
        <v>0</v>
      </c>
      <c r="U68" s="59">
        <f>$I$25*$U$25</f>
        <v>0</v>
      </c>
      <c r="V68" s="59">
        <f>$I$25*$V$25</f>
        <v>0</v>
      </c>
      <c r="X68" s="59">
        <f>$I$25*$X$25</f>
        <v>0</v>
      </c>
      <c r="Y68" s="59">
        <f>$I$25*$Y$25</f>
        <v>0</v>
      </c>
      <c r="Z68" s="59">
        <f>$I$25*$Z$25</f>
        <v>0</v>
      </c>
      <c r="AA68" s="59">
        <f>$I$25*$AA$25</f>
        <v>0</v>
      </c>
      <c r="AB68" s="59">
        <f>$I$25*$AB$25</f>
        <v>0</v>
      </c>
      <c r="AC68" s="59">
        <f>$I$25*$AC$25</f>
        <v>0</v>
      </c>
      <c r="AD68" s="59">
        <f>$I$25*$AD$25</f>
        <v>0</v>
      </c>
      <c r="AE68" s="59">
        <f>$I$25*$AE$25</f>
        <v>0</v>
      </c>
      <c r="AF68" s="59">
        <f>$I$25*$AF$25</f>
        <v>0</v>
      </c>
      <c r="AG68" s="59">
        <f>$I$25*$AG$25</f>
        <v>0</v>
      </c>
      <c r="AH68" s="59">
        <f>$I$25*$AH$25</f>
        <v>0</v>
      </c>
    </row>
    <row r="69" spans="1:34" ht="11.25" customHeight="1" x14ac:dyDescent="0.25">
      <c r="A69" s="9" t="s">
        <v>41</v>
      </c>
      <c r="B69" s="9" t="s">
        <v>992</v>
      </c>
      <c r="C69" s="9" t="s">
        <v>993</v>
      </c>
      <c r="D69" s="9" t="s">
        <v>1006</v>
      </c>
      <c r="E69" s="9" t="s">
        <v>1007</v>
      </c>
      <c r="F69" s="9" t="s">
        <v>1008</v>
      </c>
      <c r="G69" s="9" t="s">
        <v>1010</v>
      </c>
      <c r="L69" s="59">
        <f>$I$26*$L$26</f>
        <v>0</v>
      </c>
      <c r="M69" s="59">
        <f>$I$26*$M$26</f>
        <v>0</v>
      </c>
      <c r="N69" s="59">
        <f>$I$26*$N$26</f>
        <v>0</v>
      </c>
      <c r="O69" s="59">
        <f>$I$26*$O$26</f>
        <v>0</v>
      </c>
      <c r="P69" s="59">
        <f>$I$26*$P$26</f>
        <v>0</v>
      </c>
      <c r="Q69" s="59">
        <f>$I$26*$Q$26</f>
        <v>0</v>
      </c>
      <c r="R69" s="59">
        <f>$I$26*$R$26</f>
        <v>0</v>
      </c>
      <c r="S69" s="59">
        <f>$I$26*$S$26</f>
        <v>0</v>
      </c>
      <c r="T69" s="59">
        <f>$I$26*$T$26</f>
        <v>0</v>
      </c>
      <c r="U69" s="59">
        <f>$I$26*$U$26</f>
        <v>0</v>
      </c>
      <c r="V69" s="59">
        <f>$I$26*$V$26</f>
        <v>0</v>
      </c>
      <c r="X69" s="59">
        <f>$I$26*$X$26</f>
        <v>0</v>
      </c>
      <c r="Y69" s="59">
        <f>$I$26*$Y$26</f>
        <v>0</v>
      </c>
      <c r="Z69" s="59">
        <f>$I$26*$Z$26</f>
        <v>0</v>
      </c>
      <c r="AA69" s="59">
        <f>$I$26*$AA$26</f>
        <v>0</v>
      </c>
      <c r="AB69" s="59">
        <f>$I$26*$AB$26</f>
        <v>0</v>
      </c>
      <c r="AC69" s="59">
        <f>$I$26*$AC$26</f>
        <v>0</v>
      </c>
      <c r="AD69" s="59">
        <f>$I$26*$AD$26</f>
        <v>0</v>
      </c>
      <c r="AE69" s="59">
        <f>$I$26*$AE$26</f>
        <v>0</v>
      </c>
      <c r="AF69" s="59">
        <f>$I$26*$AF$26</f>
        <v>0</v>
      </c>
      <c r="AG69" s="59">
        <f>$I$26*$AG$26</f>
        <v>0</v>
      </c>
      <c r="AH69" s="59">
        <f>$I$26*$AH$26</f>
        <v>0</v>
      </c>
    </row>
    <row r="70" spans="1:34" ht="11.25" customHeight="1" x14ac:dyDescent="0.25">
      <c r="A70" s="9" t="s">
        <v>41</v>
      </c>
      <c r="B70" s="9" t="s">
        <v>992</v>
      </c>
      <c r="C70" s="9" t="s">
        <v>993</v>
      </c>
      <c r="D70" s="9" t="s">
        <v>1006</v>
      </c>
      <c r="E70" s="9" t="s">
        <v>1007</v>
      </c>
      <c r="F70" s="9" t="s">
        <v>1008</v>
      </c>
      <c r="G70" s="9" t="s">
        <v>1011</v>
      </c>
      <c r="L70" s="59">
        <f>$I$27*$L$27</f>
        <v>0</v>
      </c>
      <c r="M70" s="59">
        <f>$I$27*$M$27</f>
        <v>0</v>
      </c>
      <c r="N70" s="59">
        <f>$I$27*$N$27</f>
        <v>0</v>
      </c>
      <c r="O70" s="59">
        <f>$I$27*$O$27</f>
        <v>0</v>
      </c>
      <c r="P70" s="59">
        <f>$I$27*$P$27</f>
        <v>0</v>
      </c>
      <c r="Q70" s="59">
        <f>$I$27*$Q$27</f>
        <v>0</v>
      </c>
      <c r="R70" s="59">
        <f>$I$27*$R$27</f>
        <v>0</v>
      </c>
      <c r="S70" s="59">
        <f>$I$27*$S$27</f>
        <v>0</v>
      </c>
      <c r="T70" s="59">
        <f>$I$27*$T$27</f>
        <v>0</v>
      </c>
      <c r="U70" s="59">
        <f>$I$27*$U$27</f>
        <v>0</v>
      </c>
      <c r="V70" s="59">
        <f>$I$27*$V$27</f>
        <v>0</v>
      </c>
      <c r="X70" s="59">
        <f>$I$27*$X$27</f>
        <v>0</v>
      </c>
      <c r="Y70" s="59">
        <f>$I$27*$Y$27</f>
        <v>0</v>
      </c>
      <c r="Z70" s="59">
        <f>$I$27*$Z$27</f>
        <v>0</v>
      </c>
      <c r="AA70" s="59">
        <f>$I$27*$AA$27</f>
        <v>0</v>
      </c>
      <c r="AB70" s="59">
        <f>$I$27*$AB$27</f>
        <v>0</v>
      </c>
      <c r="AC70" s="59">
        <f>$I$27*$AC$27</f>
        <v>0</v>
      </c>
      <c r="AD70" s="59">
        <f>$I$27*$AD$27</f>
        <v>0</v>
      </c>
      <c r="AE70" s="59">
        <f>$I$27*$AE$27</f>
        <v>0</v>
      </c>
      <c r="AF70" s="59">
        <f>$I$27*$AF$27</f>
        <v>0</v>
      </c>
      <c r="AG70" s="59">
        <f>$I$27*$AG$27</f>
        <v>0</v>
      </c>
      <c r="AH70" s="59">
        <f>$I$27*$AH$27</f>
        <v>0</v>
      </c>
    </row>
    <row r="71" spans="1:34" ht="11.25" customHeight="1" x14ac:dyDescent="0.25">
      <c r="A71" s="9" t="s">
        <v>41</v>
      </c>
      <c r="B71" s="9" t="s">
        <v>1000</v>
      </c>
      <c r="C71" s="9" t="s">
        <v>1001</v>
      </c>
      <c r="D71" s="9" t="s">
        <v>1012</v>
      </c>
      <c r="E71" s="9" t="s">
        <v>1013</v>
      </c>
      <c r="F71" s="9" t="s">
        <v>1014</v>
      </c>
      <c r="G71" s="9" t="s">
        <v>1015</v>
      </c>
      <c r="L71" s="59">
        <f>$I$28*$L$28</f>
        <v>0</v>
      </c>
      <c r="M71" s="59">
        <f>$I$28*$M$28</f>
        <v>0</v>
      </c>
      <c r="N71" s="59">
        <f>$I$28*$N$28</f>
        <v>0</v>
      </c>
      <c r="O71" s="59">
        <f>$I$28*$O$28</f>
        <v>0</v>
      </c>
      <c r="P71" s="59">
        <f>$I$28*$P$28</f>
        <v>0</v>
      </c>
      <c r="Q71" s="59">
        <f>$I$28*$Q$28</f>
        <v>0</v>
      </c>
      <c r="R71" s="59">
        <f>$I$28*$R$28</f>
        <v>0</v>
      </c>
      <c r="S71" s="59">
        <f>$I$28*$S$28</f>
        <v>0</v>
      </c>
      <c r="T71" s="59">
        <f>$I$28*$T$28</f>
        <v>0</v>
      </c>
      <c r="U71" s="59">
        <f>$I$28*$U$28</f>
        <v>0</v>
      </c>
      <c r="V71" s="59">
        <f>$I$28*$V$28</f>
        <v>0</v>
      </c>
      <c r="X71" s="59">
        <f>$I$28*$X$28</f>
        <v>0</v>
      </c>
      <c r="Y71" s="59">
        <f>$I$28*$Y$28</f>
        <v>0</v>
      </c>
      <c r="Z71" s="59">
        <f>$I$28*$Z$28</f>
        <v>0</v>
      </c>
      <c r="AA71" s="59">
        <f>$I$28*$AA$28</f>
        <v>0</v>
      </c>
      <c r="AB71" s="59">
        <f>$I$28*$AB$28</f>
        <v>0</v>
      </c>
      <c r="AC71" s="59">
        <f>$I$28*$AC$28</f>
        <v>0</v>
      </c>
      <c r="AD71" s="59">
        <f>$I$28*$AD$28</f>
        <v>0</v>
      </c>
      <c r="AE71" s="59">
        <f>$I$28*$AE$28</f>
        <v>0</v>
      </c>
      <c r="AF71" s="59">
        <f>$I$28*$AF$28</f>
        <v>0</v>
      </c>
      <c r="AG71" s="59">
        <f>$I$28*$AG$28</f>
        <v>0</v>
      </c>
      <c r="AH71" s="59">
        <f>$I$28*$AH$28</f>
        <v>0</v>
      </c>
    </row>
    <row r="72" spans="1:34" ht="11.25" customHeight="1" x14ac:dyDescent="0.25">
      <c r="A72" s="9" t="s">
        <v>41</v>
      </c>
      <c r="B72" s="9" t="s">
        <v>992</v>
      </c>
      <c r="C72" s="9" t="s">
        <v>993</v>
      </c>
      <c r="D72" s="9" t="s">
        <v>1016</v>
      </c>
      <c r="E72" s="9" t="s">
        <v>1017</v>
      </c>
      <c r="F72" s="9" t="s">
        <v>1018</v>
      </c>
      <c r="G72" s="9" t="s">
        <v>1019</v>
      </c>
      <c r="L72" s="59">
        <f>$I$29*$L$29</f>
        <v>0</v>
      </c>
      <c r="M72" s="59">
        <f>$I$29*$M$29</f>
        <v>0</v>
      </c>
      <c r="N72" s="59">
        <f>$I$29*$N$29</f>
        <v>0</v>
      </c>
      <c r="O72" s="59">
        <f>$I$29*$O$29</f>
        <v>0</v>
      </c>
      <c r="P72" s="59">
        <f>$I$29*$P$29</f>
        <v>0</v>
      </c>
      <c r="Q72" s="59">
        <f>$I$29*$Q$29</f>
        <v>0</v>
      </c>
      <c r="R72" s="59">
        <f>$I$29*$R$29</f>
        <v>0</v>
      </c>
      <c r="S72" s="59">
        <f>$I$29*$S$29</f>
        <v>0</v>
      </c>
      <c r="T72" s="59">
        <f>$I$29*$T$29</f>
        <v>0</v>
      </c>
      <c r="U72" s="59">
        <f>$I$29*$U$29</f>
        <v>0</v>
      </c>
      <c r="V72" s="59">
        <f>$I$29*$V$29</f>
        <v>0</v>
      </c>
      <c r="X72" s="59">
        <f>$I$29*$X$29</f>
        <v>0</v>
      </c>
      <c r="Y72" s="59">
        <f>$I$29*$Y$29</f>
        <v>0</v>
      </c>
      <c r="Z72" s="59">
        <f>$I$29*$Z$29</f>
        <v>0</v>
      </c>
      <c r="AA72" s="59">
        <f>$I$29*$AA$29</f>
        <v>0</v>
      </c>
      <c r="AB72" s="59">
        <f>$I$29*$AB$29</f>
        <v>0</v>
      </c>
      <c r="AC72" s="59">
        <f>$I$29*$AC$29</f>
        <v>0</v>
      </c>
      <c r="AD72" s="59">
        <f>$I$29*$AD$29</f>
        <v>0</v>
      </c>
      <c r="AE72" s="59">
        <f>$I$29*$AE$29</f>
        <v>0</v>
      </c>
      <c r="AF72" s="59">
        <f>$I$29*$AF$29</f>
        <v>0</v>
      </c>
      <c r="AG72" s="59">
        <f>$I$29*$AG$29</f>
        <v>0</v>
      </c>
      <c r="AH72" s="59">
        <f>$I$29*$AH$29</f>
        <v>0</v>
      </c>
    </row>
    <row r="73" spans="1:34" ht="11.25" customHeight="1" x14ac:dyDescent="0.25">
      <c r="A73" s="9" t="s">
        <v>41</v>
      </c>
      <c r="B73" s="9" t="s">
        <v>992</v>
      </c>
      <c r="C73" s="9" t="s">
        <v>993</v>
      </c>
      <c r="D73" s="9" t="s">
        <v>1016</v>
      </c>
      <c r="E73" s="9" t="s">
        <v>1017</v>
      </c>
      <c r="F73" s="9" t="s">
        <v>1018</v>
      </c>
      <c r="G73" s="9" t="s">
        <v>1020</v>
      </c>
      <c r="L73" s="59">
        <f>$I$30*$L$30</f>
        <v>0</v>
      </c>
      <c r="M73" s="59">
        <f>$I$30*$M$30</f>
        <v>0</v>
      </c>
      <c r="N73" s="59">
        <f>$I$30*$N$30</f>
        <v>0</v>
      </c>
      <c r="O73" s="59">
        <f>$I$30*$O$30</f>
        <v>0</v>
      </c>
      <c r="P73" s="59">
        <f>$I$30*$P$30</f>
        <v>0</v>
      </c>
      <c r="Q73" s="59">
        <f>$I$30*$Q$30</f>
        <v>0</v>
      </c>
      <c r="R73" s="59">
        <f>$I$30*$R$30</f>
        <v>0</v>
      </c>
      <c r="S73" s="59">
        <f>$I$30*$S$30</f>
        <v>0</v>
      </c>
      <c r="T73" s="59">
        <f>$I$30*$T$30</f>
        <v>0</v>
      </c>
      <c r="U73" s="59">
        <f>$I$30*$U$30</f>
        <v>0</v>
      </c>
      <c r="V73" s="59">
        <f>$I$30*$V$30</f>
        <v>0</v>
      </c>
      <c r="X73" s="59">
        <f>$I$30*$X$30</f>
        <v>0</v>
      </c>
      <c r="Y73" s="59">
        <f>$I$30*$Y$30</f>
        <v>0</v>
      </c>
      <c r="Z73" s="59">
        <f>$I$30*$Z$30</f>
        <v>0</v>
      </c>
      <c r="AA73" s="59">
        <f>$I$30*$AA$30</f>
        <v>0</v>
      </c>
      <c r="AB73" s="59">
        <f>$I$30*$AB$30</f>
        <v>0</v>
      </c>
      <c r="AC73" s="59">
        <f>$I$30*$AC$30</f>
        <v>0</v>
      </c>
      <c r="AD73" s="59">
        <f>$I$30*$AD$30</f>
        <v>0</v>
      </c>
      <c r="AE73" s="59">
        <f>$I$30*$AE$30</f>
        <v>0</v>
      </c>
      <c r="AF73" s="59">
        <f>$I$30*$AF$30</f>
        <v>0</v>
      </c>
      <c r="AG73" s="59">
        <f>$I$30*$AG$30</f>
        <v>0</v>
      </c>
      <c r="AH73" s="59">
        <f>$I$30*$AH$30</f>
        <v>0</v>
      </c>
    </row>
    <row r="74" spans="1:34" ht="11.25" customHeight="1" x14ac:dyDescent="0.25">
      <c r="A74" s="9" t="s">
        <v>41</v>
      </c>
      <c r="B74" s="9" t="s">
        <v>992</v>
      </c>
      <c r="C74" s="9" t="s">
        <v>993</v>
      </c>
      <c r="D74" s="9" t="s">
        <v>1016</v>
      </c>
      <c r="E74" s="9" t="s">
        <v>1017</v>
      </c>
      <c r="F74" s="9" t="s">
        <v>1018</v>
      </c>
      <c r="G74" s="9" t="s">
        <v>1021</v>
      </c>
      <c r="L74" s="59">
        <f>$I$31*$L$31</f>
        <v>0</v>
      </c>
      <c r="M74" s="59">
        <f>$I$31*$M$31</f>
        <v>0</v>
      </c>
      <c r="N74" s="59">
        <f>$I$31*$N$31</f>
        <v>0</v>
      </c>
      <c r="O74" s="59">
        <f>$I$31*$O$31</f>
        <v>0</v>
      </c>
      <c r="P74" s="59">
        <f>$I$31*$P$31</f>
        <v>0</v>
      </c>
      <c r="Q74" s="59">
        <f>$I$31*$Q$31</f>
        <v>0</v>
      </c>
      <c r="R74" s="59">
        <f>$I$31*$R$31</f>
        <v>0</v>
      </c>
      <c r="S74" s="59">
        <f>$I$31*$S$31</f>
        <v>0</v>
      </c>
      <c r="T74" s="59">
        <f>$I$31*$T$31</f>
        <v>0</v>
      </c>
      <c r="U74" s="59">
        <f>$I$31*$U$31</f>
        <v>0</v>
      </c>
      <c r="V74" s="59">
        <f>$I$31*$V$31</f>
        <v>0</v>
      </c>
      <c r="X74" s="59">
        <f>$I$31*$X$31</f>
        <v>0</v>
      </c>
      <c r="Y74" s="59">
        <f>$I$31*$Y$31</f>
        <v>0</v>
      </c>
      <c r="Z74" s="59">
        <f>$I$31*$Z$31</f>
        <v>0</v>
      </c>
      <c r="AA74" s="59">
        <f>$I$31*$AA$31</f>
        <v>0</v>
      </c>
      <c r="AB74" s="59">
        <f>$I$31*$AB$31</f>
        <v>0</v>
      </c>
      <c r="AC74" s="59">
        <f>$I$31*$AC$31</f>
        <v>0</v>
      </c>
      <c r="AD74" s="59">
        <f>$I$31*$AD$31</f>
        <v>0</v>
      </c>
      <c r="AE74" s="59">
        <f>$I$31*$AE$31</f>
        <v>0</v>
      </c>
      <c r="AF74" s="59">
        <f>$I$31*$AF$31</f>
        <v>0</v>
      </c>
      <c r="AG74" s="59">
        <f>$I$31*$AG$31</f>
        <v>0</v>
      </c>
      <c r="AH74" s="59">
        <f>$I$31*$AH$31</f>
        <v>0</v>
      </c>
    </row>
    <row r="75" spans="1:34" ht="11.25" customHeight="1" x14ac:dyDescent="0.25">
      <c r="A75" s="9" t="s">
        <v>41</v>
      </c>
      <c r="B75" s="9" t="s">
        <v>1000</v>
      </c>
      <c r="C75" s="9" t="s">
        <v>1001</v>
      </c>
      <c r="D75" s="9" t="s">
        <v>1022</v>
      </c>
      <c r="E75" s="9" t="s">
        <v>1023</v>
      </c>
      <c r="F75" s="9" t="s">
        <v>1024</v>
      </c>
      <c r="G75" s="9" t="s">
        <v>1025</v>
      </c>
      <c r="L75" s="59">
        <f>$I$32*$L$32</f>
        <v>0</v>
      </c>
      <c r="M75" s="59">
        <f>$I$32*$M$32</f>
        <v>0</v>
      </c>
      <c r="N75" s="59">
        <f>$I$32*$N$32</f>
        <v>0</v>
      </c>
      <c r="O75" s="59">
        <f>$I$32*$O$32</f>
        <v>0</v>
      </c>
      <c r="P75" s="59">
        <f>$I$32*$P$32</f>
        <v>0</v>
      </c>
      <c r="Q75" s="59">
        <f>$I$32*$Q$32</f>
        <v>0</v>
      </c>
      <c r="R75" s="59">
        <f>$I$32*$R$32</f>
        <v>0</v>
      </c>
      <c r="S75" s="59">
        <f>$I$32*$S$32</f>
        <v>0</v>
      </c>
      <c r="T75" s="59">
        <f>$I$32*$T$32</f>
        <v>0</v>
      </c>
      <c r="U75" s="59">
        <f>$I$32*$U$32</f>
        <v>0</v>
      </c>
      <c r="V75" s="59">
        <f>$I$32*$V$32</f>
        <v>0</v>
      </c>
      <c r="X75" s="59">
        <f>$I$32*$X$32</f>
        <v>0</v>
      </c>
      <c r="Y75" s="59">
        <f>$I$32*$Y$32</f>
        <v>0</v>
      </c>
      <c r="Z75" s="59">
        <f>$I$32*$Z$32</f>
        <v>0</v>
      </c>
      <c r="AA75" s="59">
        <f>$I$32*$AA$32</f>
        <v>0</v>
      </c>
      <c r="AB75" s="59">
        <f>$I$32*$AB$32</f>
        <v>0</v>
      </c>
      <c r="AC75" s="59">
        <f>$I$32*$AC$32</f>
        <v>0</v>
      </c>
      <c r="AD75" s="59">
        <f>$I$32*$AD$32</f>
        <v>0</v>
      </c>
      <c r="AE75" s="59">
        <f>$I$32*$AE$32</f>
        <v>0</v>
      </c>
      <c r="AF75" s="59">
        <f>$I$32*$AF$32</f>
        <v>0</v>
      </c>
      <c r="AG75" s="59">
        <f>$I$32*$AG$32</f>
        <v>0</v>
      </c>
      <c r="AH75" s="59">
        <f>$I$32*$AH$32</f>
        <v>0</v>
      </c>
    </row>
    <row r="76" spans="1:34" ht="11.25" customHeight="1" x14ac:dyDescent="0.25">
      <c r="A76" s="9" t="s">
        <v>41</v>
      </c>
      <c r="B76" s="9" t="s">
        <v>1026</v>
      </c>
      <c r="C76" s="9" t="s">
        <v>1027</v>
      </c>
      <c r="D76" s="9" t="s">
        <v>1028</v>
      </c>
      <c r="E76" s="9" t="s">
        <v>1029</v>
      </c>
      <c r="F76" s="9" t="s">
        <v>1030</v>
      </c>
      <c r="G76" s="9" t="s">
        <v>1031</v>
      </c>
      <c r="L76" s="59">
        <f>$I$33*$L$33</f>
        <v>0</v>
      </c>
      <c r="M76" s="59">
        <f>$I$33*$M$33</f>
        <v>0</v>
      </c>
      <c r="N76" s="59">
        <f>$I$33*$N$33</f>
        <v>0</v>
      </c>
      <c r="O76" s="59">
        <f>$I$33*$O$33</f>
        <v>0</v>
      </c>
      <c r="P76" s="59">
        <f>$I$33*$P$33</f>
        <v>0</v>
      </c>
      <c r="Q76" s="59">
        <f>$I$33*$Q$33</f>
        <v>0</v>
      </c>
      <c r="R76" s="59">
        <f>$I$33*$R$33</f>
        <v>0</v>
      </c>
      <c r="S76" s="59">
        <f>$I$33*$S$33</f>
        <v>0</v>
      </c>
      <c r="T76" s="59">
        <f>$I$33*$T$33</f>
        <v>0</v>
      </c>
      <c r="U76" s="59">
        <f>$I$33*$U$33</f>
        <v>0</v>
      </c>
      <c r="V76" s="59">
        <f>$I$33*$V$33</f>
        <v>0</v>
      </c>
      <c r="X76" s="59">
        <f>$I$33*$X$33</f>
        <v>0</v>
      </c>
      <c r="Y76" s="59">
        <f>$I$33*$Y$33</f>
        <v>0</v>
      </c>
      <c r="Z76" s="59">
        <f>$I$33*$Z$33</f>
        <v>0</v>
      </c>
      <c r="AA76" s="59">
        <f>$I$33*$AA$33</f>
        <v>0</v>
      </c>
      <c r="AB76" s="59">
        <f>$I$33*$AB$33</f>
        <v>0</v>
      </c>
      <c r="AC76" s="59">
        <f>$I$33*$AC$33</f>
        <v>0</v>
      </c>
      <c r="AD76" s="59">
        <f>$I$33*$AD$33</f>
        <v>0</v>
      </c>
      <c r="AE76" s="59">
        <f>$I$33*$AE$33</f>
        <v>0</v>
      </c>
      <c r="AF76" s="59">
        <f>$I$33*$AF$33</f>
        <v>0</v>
      </c>
      <c r="AG76" s="59">
        <f>$I$33*$AG$33</f>
        <v>0</v>
      </c>
      <c r="AH76" s="59">
        <f>$I$33*$AH$33</f>
        <v>0</v>
      </c>
    </row>
    <row r="77" spans="1:34" ht="11.25" customHeight="1" x14ac:dyDescent="0.25">
      <c r="A77" s="9" t="s">
        <v>41</v>
      </c>
      <c r="B77" s="9" t="s">
        <v>1026</v>
      </c>
      <c r="C77" s="9" t="s">
        <v>1027</v>
      </c>
      <c r="D77" s="9" t="s">
        <v>1032</v>
      </c>
      <c r="E77" s="9" t="s">
        <v>1033</v>
      </c>
      <c r="F77" s="9" t="s">
        <v>1034</v>
      </c>
      <c r="G77" s="9" t="s">
        <v>1035</v>
      </c>
      <c r="L77" s="59">
        <f>$I$34*$L$34</f>
        <v>0</v>
      </c>
      <c r="M77" s="59">
        <f>$I$34*$M$34</f>
        <v>0</v>
      </c>
      <c r="N77" s="59">
        <f>$I$34*$N$34</f>
        <v>0</v>
      </c>
      <c r="O77" s="59">
        <f>$I$34*$O$34</f>
        <v>0</v>
      </c>
      <c r="P77" s="59">
        <f>$I$34*$P$34</f>
        <v>0</v>
      </c>
      <c r="Q77" s="59">
        <f>$I$34*$Q$34</f>
        <v>0</v>
      </c>
      <c r="R77" s="59">
        <f>$I$34*$R$34</f>
        <v>0</v>
      </c>
      <c r="S77" s="59">
        <f>$I$34*$S$34</f>
        <v>0</v>
      </c>
      <c r="T77" s="59">
        <f>$I$34*$T$34</f>
        <v>0</v>
      </c>
      <c r="U77" s="59">
        <f>$I$34*$U$34</f>
        <v>0</v>
      </c>
      <c r="V77" s="59">
        <f>$I$34*$V$34</f>
        <v>0</v>
      </c>
      <c r="X77" s="59">
        <f>$I$34*$X$34</f>
        <v>0</v>
      </c>
      <c r="Y77" s="59">
        <f>$I$34*$Y$34</f>
        <v>0</v>
      </c>
      <c r="Z77" s="59">
        <f>$I$34*$Z$34</f>
        <v>0</v>
      </c>
      <c r="AA77" s="59">
        <f>$I$34*$AA$34</f>
        <v>0</v>
      </c>
      <c r="AB77" s="59">
        <f>$I$34*$AB$34</f>
        <v>0</v>
      </c>
      <c r="AC77" s="59">
        <f>$I$34*$AC$34</f>
        <v>0</v>
      </c>
      <c r="AD77" s="59">
        <f>$I$34*$AD$34</f>
        <v>0</v>
      </c>
      <c r="AE77" s="59">
        <f>$I$34*$AE$34</f>
        <v>0</v>
      </c>
      <c r="AF77" s="59">
        <f>$I$34*$AF$34</f>
        <v>0</v>
      </c>
      <c r="AG77" s="59">
        <f>$I$34*$AG$34</f>
        <v>0</v>
      </c>
      <c r="AH77" s="59">
        <f>$I$34*$AH$34</f>
        <v>0</v>
      </c>
    </row>
    <row r="78" spans="1:34" ht="11.25" customHeight="1" x14ac:dyDescent="0.25">
      <c r="A78" s="9" t="s">
        <v>41</v>
      </c>
      <c r="B78" s="9" t="s">
        <v>1026</v>
      </c>
      <c r="C78" s="9" t="s">
        <v>1027</v>
      </c>
      <c r="D78" s="9" t="s">
        <v>1036</v>
      </c>
      <c r="E78" s="9" t="s">
        <v>1037</v>
      </c>
      <c r="F78" s="9" t="s">
        <v>1038</v>
      </c>
      <c r="G78" s="9" t="s">
        <v>1039</v>
      </c>
      <c r="L78" s="59">
        <f>$I$35*$L$35</f>
        <v>0</v>
      </c>
      <c r="M78" s="59">
        <f>$I$35*$M$35</f>
        <v>0</v>
      </c>
      <c r="N78" s="59">
        <f>$I$35*$N$35</f>
        <v>0</v>
      </c>
      <c r="O78" s="59">
        <f>$I$35*$O$35</f>
        <v>0</v>
      </c>
      <c r="P78" s="59">
        <f>$I$35*$P$35</f>
        <v>0</v>
      </c>
      <c r="Q78" s="59">
        <f>$I$35*$Q$35</f>
        <v>0</v>
      </c>
      <c r="R78" s="59">
        <f>$I$35*$R$35</f>
        <v>0</v>
      </c>
      <c r="S78" s="59">
        <f>$I$35*$S$35</f>
        <v>0</v>
      </c>
      <c r="T78" s="59">
        <f>$I$35*$T$35</f>
        <v>0</v>
      </c>
      <c r="U78" s="59">
        <f>$I$35*$U$35</f>
        <v>0</v>
      </c>
      <c r="V78" s="59">
        <f>$I$35*$V$35</f>
        <v>0</v>
      </c>
      <c r="X78" s="59">
        <f>$I$35*$X$35</f>
        <v>0</v>
      </c>
      <c r="Y78" s="59">
        <f>$I$35*$Y$35</f>
        <v>0</v>
      </c>
      <c r="Z78" s="59">
        <f>$I$35*$Z$35</f>
        <v>0</v>
      </c>
      <c r="AA78" s="59">
        <f>$I$35*$AA$35</f>
        <v>0</v>
      </c>
      <c r="AB78" s="59">
        <f>$I$35*$AB$35</f>
        <v>0</v>
      </c>
      <c r="AC78" s="59">
        <f>$I$35*$AC$35</f>
        <v>0</v>
      </c>
      <c r="AD78" s="59">
        <f>$I$35*$AD$35</f>
        <v>0</v>
      </c>
      <c r="AE78" s="59">
        <f>$I$35*$AE$35</f>
        <v>0</v>
      </c>
      <c r="AF78" s="59">
        <f>$I$35*$AF$35</f>
        <v>0</v>
      </c>
      <c r="AG78" s="59">
        <f>$I$35*$AG$35</f>
        <v>0</v>
      </c>
      <c r="AH78" s="59">
        <f>$I$35*$AH$35</f>
        <v>0</v>
      </c>
    </row>
    <row r="79" spans="1:34" ht="11.25" customHeight="1" x14ac:dyDescent="0.25">
      <c r="A79" s="9" t="s">
        <v>33</v>
      </c>
      <c r="B79" s="9" t="s">
        <v>1040</v>
      </c>
      <c r="C79" s="9" t="s">
        <v>1041</v>
      </c>
      <c r="D79" s="9" t="s">
        <v>1042</v>
      </c>
      <c r="E79" s="9" t="s">
        <v>1043</v>
      </c>
      <c r="F79" s="9" t="s">
        <v>1044</v>
      </c>
      <c r="G79" s="9" t="s">
        <v>1045</v>
      </c>
      <c r="L79" s="59">
        <f>$I$36*$L$36</f>
        <v>2.5388542550418913</v>
      </c>
      <c r="M79" s="59">
        <f>$I$36*$M$36</f>
        <v>29.539290017226289</v>
      </c>
      <c r="N79" s="59">
        <f>$I$36*$N$36</f>
        <v>0</v>
      </c>
      <c r="O79" s="59">
        <f>$I$36*$O$36</f>
        <v>0</v>
      </c>
      <c r="P79" s="59">
        <f>$I$36*$P$36</f>
        <v>-14.354913536125146</v>
      </c>
      <c r="Q79" s="59">
        <f>$I$36*$Q$36</f>
        <v>380.55039359946295</v>
      </c>
      <c r="R79" s="59">
        <f>$I$36*$R$36</f>
        <v>5.9186847415437382</v>
      </c>
      <c r="S79" s="59">
        <f>$I$36*$S$36</f>
        <v>4.4008512081321243</v>
      </c>
      <c r="T79" s="59">
        <f>$I$36*$T$36</f>
        <v>0</v>
      </c>
      <c r="U79" s="59">
        <f>$I$36*$U$36</f>
        <v>0</v>
      </c>
      <c r="V79" s="59">
        <f>$I$36*$V$36</f>
        <v>4.9258821601992082</v>
      </c>
      <c r="X79" s="59">
        <f>$I$36*$X$36</f>
        <v>2.4451853144275981</v>
      </c>
      <c r="Y79" s="59">
        <f>$I$36*$Y$36</f>
        <v>5.4712367000949946</v>
      </c>
      <c r="Z79" s="59">
        <f>$I$36*$Z$36</f>
        <v>0</v>
      </c>
      <c r="AA79" s="59">
        <f>$I$36*$AA$36</f>
        <v>0</v>
      </c>
      <c r="AB79" s="59">
        <f>$I$36*$AB$36</f>
        <v>0</v>
      </c>
      <c r="AC79" s="59">
        <f>$I$36*$AC$36</f>
        <v>402.03216872955653</v>
      </c>
      <c r="AD79" s="59">
        <f>$I$36*$AD$36</f>
        <v>0</v>
      </c>
      <c r="AE79" s="59">
        <f>$I$36*$AE$36</f>
        <v>0</v>
      </c>
      <c r="AF79" s="59">
        <f>$I$36*$AF$36</f>
        <v>0</v>
      </c>
      <c r="AG79" s="59">
        <f>$I$36*$AG$36</f>
        <v>0</v>
      </c>
      <c r="AH79" s="59">
        <f>$I$36*$AH$36</f>
        <v>0</v>
      </c>
    </row>
    <row r="80" spans="1:34" ht="11.25" customHeight="1" x14ac:dyDescent="0.25">
      <c r="A80" s="9" t="s">
        <v>33</v>
      </c>
      <c r="B80" s="9" t="s">
        <v>1040</v>
      </c>
      <c r="C80" s="9" t="s">
        <v>1041</v>
      </c>
      <c r="D80" s="9" t="s">
        <v>1042</v>
      </c>
      <c r="E80" s="9" t="s">
        <v>1043</v>
      </c>
      <c r="F80" s="9" t="s">
        <v>1044</v>
      </c>
      <c r="G80" s="9" t="s">
        <v>1046</v>
      </c>
      <c r="L80" s="59">
        <f>$I$37*$L$37</f>
        <v>3.4163179186265458</v>
      </c>
      <c r="M80" s="59">
        <f>$I$37*$M$37</f>
        <v>39.74848323370626</v>
      </c>
      <c r="N80" s="59">
        <f>$I$37*$N$37</f>
        <v>0</v>
      </c>
      <c r="O80" s="59">
        <f>$I$37*$O$37</f>
        <v>0</v>
      </c>
      <c r="P80" s="59">
        <f>$I$37*$P$37</f>
        <v>-19.316173126680685</v>
      </c>
      <c r="Q80" s="59">
        <f>$I$37*$Q$37</f>
        <v>297.71741318929838</v>
      </c>
      <c r="R80" s="59">
        <f>$I$37*$R$37</f>
        <v>7.9642652574807871</v>
      </c>
      <c r="S80" s="59">
        <f>$I$37*$S$37</f>
        <v>5.9218471519953333</v>
      </c>
      <c r="T80" s="59">
        <f>$I$37*$T$37</f>
        <v>0</v>
      </c>
      <c r="U80" s="59">
        <f>$I$37*$U$37</f>
        <v>0</v>
      </c>
      <c r="V80" s="59">
        <f>$I$37*$V$37</f>
        <v>6.6283361699522692</v>
      </c>
      <c r="X80" s="59">
        <f>$I$37*$X$37</f>
        <v>3.2902756774841544</v>
      </c>
      <c r="Y80" s="59">
        <f>$I$37*$Y$37</f>
        <v>7.3621728929348453</v>
      </c>
      <c r="Z80" s="59">
        <f>$I$37*$Z$37</f>
        <v>0</v>
      </c>
      <c r="AA80" s="59">
        <f>$I$37*$AA$37</f>
        <v>0</v>
      </c>
      <c r="AB80" s="59">
        <f>$I$37*$AB$37</f>
        <v>0</v>
      </c>
      <c r="AC80" s="59">
        <f>$I$37*$AC$37</f>
        <v>314.5233306972363</v>
      </c>
      <c r="AD80" s="59">
        <f>$I$37*$AD$37</f>
        <v>0</v>
      </c>
      <c r="AE80" s="59">
        <f>$I$37*$AE$37</f>
        <v>0</v>
      </c>
      <c r="AF80" s="59">
        <f>$I$37*$AF$37</f>
        <v>0</v>
      </c>
      <c r="AG80" s="59">
        <f>$I$37*$AG$37</f>
        <v>0</v>
      </c>
      <c r="AH80" s="59">
        <f>$I$37*$AH$37</f>
        <v>0</v>
      </c>
    </row>
    <row r="81" spans="1:34" ht="11.25" customHeight="1" x14ac:dyDescent="0.25">
      <c r="A81" s="9" t="s">
        <v>33</v>
      </c>
      <c r="B81" s="9" t="s">
        <v>1040</v>
      </c>
      <c r="C81" s="9" t="s">
        <v>1041</v>
      </c>
      <c r="D81" s="9" t="s">
        <v>1042</v>
      </c>
      <c r="E81" s="9" t="s">
        <v>1043</v>
      </c>
      <c r="F81" s="9" t="s">
        <v>1044</v>
      </c>
      <c r="G81" s="9" t="s">
        <v>1047</v>
      </c>
      <c r="L81" s="59">
        <f>$I$38*$L$38</f>
        <v>60.560582243293133</v>
      </c>
      <c r="M81" s="59">
        <f>$I$38*$M$38</f>
        <v>704.61571354248656</v>
      </c>
      <c r="N81" s="59">
        <f>$I$38*$N$38</f>
        <v>0</v>
      </c>
      <c r="O81" s="59">
        <f>$I$38*$O$38</f>
        <v>0</v>
      </c>
      <c r="P81" s="59">
        <f>$I$38*$P$38</f>
        <v>-342.41505595425542</v>
      </c>
      <c r="Q81" s="59">
        <f>$I$38*$Q$38</f>
        <v>5277.5942743524065</v>
      </c>
      <c r="R81" s="59">
        <f>$I$38*$R$38</f>
        <v>141.1813984007008</v>
      </c>
      <c r="S81" s="59">
        <f>$I$38*$S$38</f>
        <v>104.97574289713761</v>
      </c>
      <c r="T81" s="59">
        <f>$I$38*$T$38</f>
        <v>0</v>
      </c>
      <c r="U81" s="59">
        <f>$I$38*$U$38</f>
        <v>0</v>
      </c>
      <c r="V81" s="59">
        <f>$I$38*$V$38</f>
        <v>117.49957331780448</v>
      </c>
      <c r="X81" s="59">
        <f>$I$38*$X$38</f>
        <v>58.326249346692705</v>
      </c>
      <c r="Y81" s="59">
        <f>$I$38*$Y$38</f>
        <v>130.50819261902038</v>
      </c>
      <c r="Z81" s="59">
        <f>$I$38*$Z$38</f>
        <v>0</v>
      </c>
      <c r="AA81" s="59">
        <f>$I$38*$AA$38</f>
        <v>0</v>
      </c>
      <c r="AB81" s="59">
        <f>$I$38*$AB$38</f>
        <v>0</v>
      </c>
      <c r="AC81" s="59">
        <f>$I$38*$AC$38</f>
        <v>5575.5103856909691</v>
      </c>
      <c r="AD81" s="59">
        <f>$I$38*$AD$38</f>
        <v>0</v>
      </c>
      <c r="AE81" s="59">
        <f>$I$38*$AE$38</f>
        <v>0</v>
      </c>
      <c r="AF81" s="59">
        <f>$I$38*$AF$38</f>
        <v>0</v>
      </c>
      <c r="AG81" s="59">
        <f>$I$38*$AG$38</f>
        <v>0</v>
      </c>
      <c r="AH81" s="59">
        <f>$I$38*$AH$38</f>
        <v>0</v>
      </c>
    </row>
    <row r="82" spans="1:34" ht="11.25" customHeight="1" x14ac:dyDescent="0.25">
      <c r="A82" s="9" t="s">
        <v>33</v>
      </c>
      <c r="B82" s="9" t="s">
        <v>1048</v>
      </c>
      <c r="C82" s="9" t="s">
        <v>1049</v>
      </c>
      <c r="D82" s="9" t="s">
        <v>1050</v>
      </c>
      <c r="E82" s="9" t="s">
        <v>1051</v>
      </c>
      <c r="F82" s="9" t="s">
        <v>1052</v>
      </c>
      <c r="G82" s="9" t="s">
        <v>1053</v>
      </c>
      <c r="L82" s="59">
        <f>$I$39*$L$39</f>
        <v>64987.442102706103</v>
      </c>
      <c r="M82" s="59">
        <f>$I$39*$M$39</f>
        <v>756121.74111107562</v>
      </c>
      <c r="N82" s="59">
        <f>$I$39*$N$39</f>
        <v>0</v>
      </c>
      <c r="O82" s="59">
        <f>$I$39*$O$39</f>
        <v>0</v>
      </c>
      <c r="P82" s="59">
        <f>$I$39*$P$39</f>
        <v>-367444.92538934352</v>
      </c>
      <c r="Q82" s="59">
        <f>$I$39*$Q$39</f>
        <v>6003178.6356723122</v>
      </c>
      <c r="R82" s="59">
        <f>$I$39*$R$39</f>
        <v>151501.4818993212</v>
      </c>
      <c r="S82" s="59">
        <f>$I$39*$S$39</f>
        <v>112649.2639438224</v>
      </c>
      <c r="T82" s="59">
        <f>$I$39*$T$39</f>
        <v>0</v>
      </c>
      <c r="U82" s="59">
        <f>$I$39*$U$39</f>
        <v>0</v>
      </c>
      <c r="V82" s="59">
        <f>$I$39*$V$39</f>
        <v>126088.56182074023</v>
      </c>
      <c r="X82" s="59">
        <f>$I$39*$X$39</f>
        <v>62589.78385079799</v>
      </c>
      <c r="Y82" s="59">
        <f>$I$39*$Y$39</f>
        <v>140048.08569515834</v>
      </c>
      <c r="Z82" s="59">
        <f>$I$39*$Z$39</f>
        <v>0</v>
      </c>
      <c r="AA82" s="59">
        <f>$I$39*$AA$39</f>
        <v>0</v>
      </c>
      <c r="AB82" s="59">
        <f>$I$39*$AB$39</f>
        <v>0</v>
      </c>
      <c r="AC82" s="59">
        <f>$I$39*$AC$39</f>
        <v>6342053.4225238832</v>
      </c>
      <c r="AD82" s="59">
        <f>$I$39*$AD$39</f>
        <v>0</v>
      </c>
      <c r="AE82" s="59">
        <f>$I$39*$AE$39</f>
        <v>0</v>
      </c>
      <c r="AF82" s="59">
        <f>$I$39*$AF$39</f>
        <v>0</v>
      </c>
      <c r="AG82" s="59">
        <f>$I$39*$AG$39</f>
        <v>0</v>
      </c>
      <c r="AH82" s="59">
        <f>$I$39*$AH$39</f>
        <v>0</v>
      </c>
    </row>
    <row r="83" spans="1:34" ht="11.25" customHeight="1" x14ac:dyDescent="0.25">
      <c r="A83" s="9" t="s">
        <v>33</v>
      </c>
      <c r="B83" s="9" t="s">
        <v>1054</v>
      </c>
      <c r="C83" s="9" t="s">
        <v>1055</v>
      </c>
      <c r="D83" s="9" t="s">
        <v>1056</v>
      </c>
      <c r="E83" s="9" t="s">
        <v>1057</v>
      </c>
      <c r="F83" s="9" t="s">
        <v>1058</v>
      </c>
      <c r="G83" s="9" t="s">
        <v>1059</v>
      </c>
      <c r="L83" s="59">
        <f>$I$40*$L$40</f>
        <v>0</v>
      </c>
      <c r="M83" s="59">
        <f>$I$40*$M$40</f>
        <v>0</v>
      </c>
      <c r="N83" s="59">
        <f>$I$40*$N$40</f>
        <v>0</v>
      </c>
      <c r="O83" s="59">
        <f>$I$40*$O$40</f>
        <v>0</v>
      </c>
      <c r="P83" s="59">
        <f>$I$40*$P$40</f>
        <v>0</v>
      </c>
      <c r="Q83" s="59">
        <f>$I$40*$Q$40</f>
        <v>0</v>
      </c>
      <c r="R83" s="59">
        <f>$I$40*$R$40</f>
        <v>0</v>
      </c>
      <c r="S83" s="59">
        <f>$I$40*$S$40</f>
        <v>0</v>
      </c>
      <c r="T83" s="59">
        <f>$I$40*$T$40</f>
        <v>0</v>
      </c>
      <c r="U83" s="59">
        <f>$I$40*$U$40</f>
        <v>0</v>
      </c>
      <c r="V83" s="59">
        <f>$I$40*$V$40</f>
        <v>0</v>
      </c>
      <c r="X83" s="59">
        <f>$I$40*$X$40</f>
        <v>0</v>
      </c>
      <c r="Y83" s="59">
        <f>$I$40*$Y$40</f>
        <v>0</v>
      </c>
      <c r="Z83" s="59">
        <f>$I$40*$Z$40</f>
        <v>0</v>
      </c>
      <c r="AA83" s="59">
        <f>$I$40*$AA$40</f>
        <v>0</v>
      </c>
      <c r="AB83" s="59">
        <f>$I$40*$AB$40</f>
        <v>0</v>
      </c>
      <c r="AC83" s="59">
        <f>$I$40*$AC$40</f>
        <v>0</v>
      </c>
      <c r="AD83" s="59">
        <f>$I$40*$AD$40</f>
        <v>0</v>
      </c>
      <c r="AE83" s="59">
        <f>$I$40*$AE$40</f>
        <v>0</v>
      </c>
      <c r="AF83" s="59">
        <f>$I$40*$AF$40</f>
        <v>0</v>
      </c>
      <c r="AG83" s="59">
        <f>$I$40*$AG$40</f>
        <v>0</v>
      </c>
      <c r="AH83" s="59">
        <f>$I$40*$AH$40</f>
        <v>0</v>
      </c>
    </row>
    <row r="84" spans="1:34" ht="11.25" customHeight="1" x14ac:dyDescent="0.25">
      <c r="A84" s="9" t="s">
        <v>44</v>
      </c>
      <c r="B84" s="9" t="s">
        <v>1060</v>
      </c>
      <c r="C84" s="9" t="s">
        <v>1061</v>
      </c>
      <c r="D84" s="9" t="s">
        <v>1062</v>
      </c>
      <c r="E84" s="9" t="s">
        <v>1063</v>
      </c>
      <c r="F84" s="9" t="s">
        <v>1064</v>
      </c>
      <c r="G84" s="9" t="s">
        <v>1065</v>
      </c>
      <c r="L84" s="59">
        <f>$I$41*$L$41</f>
        <v>14460.073584144378</v>
      </c>
      <c r="M84" s="59">
        <f>$I$41*$M$41</f>
        <v>168241.365735831</v>
      </c>
      <c r="N84" s="59">
        <f>$I$41*$N$41</f>
        <v>0</v>
      </c>
      <c r="O84" s="59">
        <f>$I$41*$O$41</f>
        <v>0</v>
      </c>
      <c r="P84" s="59">
        <f>$I$41*$P$41</f>
        <v>-81758.575000586148</v>
      </c>
      <c r="Q84" s="59">
        <f>$I$41*$Q$41</f>
        <v>1335741.2140240308</v>
      </c>
      <c r="R84" s="59">
        <f>$I$41*$R$41</f>
        <v>33709.936958418613</v>
      </c>
      <c r="S84" s="59">
        <f>$I$41*$S$41</f>
        <v>25065.098627101448</v>
      </c>
      <c r="T84" s="59">
        <f>$I$41*$T$41</f>
        <v>0</v>
      </c>
      <c r="U84" s="59">
        <f>$I$41*$U$41</f>
        <v>0</v>
      </c>
      <c r="V84" s="59">
        <f>$I$41*$V$41</f>
        <v>28055.418447849945</v>
      </c>
      <c r="X84" s="59">
        <f>$I$41*$X$41</f>
        <v>13926.581056504567</v>
      </c>
      <c r="Y84" s="59">
        <f>$I$41*$Y$41</f>
        <v>31161.491496619779</v>
      </c>
      <c r="Z84" s="59">
        <f>$I$41*$Z$41</f>
        <v>0</v>
      </c>
      <c r="AA84" s="59">
        <f>$I$41*$AA$41</f>
        <v>0</v>
      </c>
      <c r="AB84" s="59">
        <f>$I$41*$AB$41</f>
        <v>0</v>
      </c>
      <c r="AC84" s="59">
        <f>$I$41*$AC$41</f>
        <v>1411142.7715424967</v>
      </c>
      <c r="AD84" s="59">
        <f>$I$41*$AD$41</f>
        <v>0</v>
      </c>
      <c r="AE84" s="59">
        <f>$I$41*$AE$41</f>
        <v>0</v>
      </c>
      <c r="AF84" s="59">
        <f>$I$41*$AF$41</f>
        <v>0</v>
      </c>
      <c r="AG84" s="59">
        <f>$I$41*$AG$41</f>
        <v>0</v>
      </c>
      <c r="AH84" s="59">
        <f>$I$41*$AH$41</f>
        <v>0</v>
      </c>
    </row>
    <row r="85" spans="1:34" ht="11.25" customHeight="1" x14ac:dyDescent="0.25">
      <c r="A85" s="9" t="s">
        <v>44</v>
      </c>
      <c r="B85" s="9" t="s">
        <v>1060</v>
      </c>
      <c r="C85" s="9" t="s">
        <v>1061</v>
      </c>
      <c r="D85" s="9" t="s">
        <v>1066</v>
      </c>
      <c r="E85" s="9" t="s">
        <v>1067</v>
      </c>
      <c r="F85" s="9" t="s">
        <v>1068</v>
      </c>
      <c r="G85" s="9" t="s">
        <v>1069</v>
      </c>
      <c r="L85" s="59">
        <f>$I$42*$L$42</f>
        <v>0</v>
      </c>
      <c r="M85" s="59">
        <f>$I$42*$M$42</f>
        <v>0</v>
      </c>
      <c r="N85" s="59">
        <f>$I$42*$N$42</f>
        <v>0</v>
      </c>
      <c r="O85" s="59">
        <f>$I$42*$O$42</f>
        <v>0</v>
      </c>
      <c r="P85" s="59">
        <f>$I$42*$P$42</f>
        <v>0</v>
      </c>
      <c r="Q85" s="59">
        <f>$I$42*$Q$42</f>
        <v>0</v>
      </c>
      <c r="R85" s="59">
        <f>$I$42*$R$42</f>
        <v>0</v>
      </c>
      <c r="S85" s="59">
        <f>$I$42*$S$42</f>
        <v>0</v>
      </c>
      <c r="T85" s="59">
        <f>$I$42*$T$42</f>
        <v>0</v>
      </c>
      <c r="U85" s="59">
        <f>$I$42*$U$42</f>
        <v>0</v>
      </c>
      <c r="V85" s="59">
        <f>$I$42*$V$42</f>
        <v>0</v>
      </c>
      <c r="X85" s="59">
        <f>$I$42*$X$42</f>
        <v>0</v>
      </c>
      <c r="Y85" s="59">
        <f>$I$42*$Y$42</f>
        <v>0</v>
      </c>
      <c r="Z85" s="59">
        <f>$I$42*$Z$42</f>
        <v>0</v>
      </c>
      <c r="AA85" s="59">
        <f>$I$42*$AA$42</f>
        <v>0</v>
      </c>
      <c r="AB85" s="59">
        <f>$I$42*$AB$42</f>
        <v>0</v>
      </c>
      <c r="AC85" s="59">
        <f>$I$42*$AC$42</f>
        <v>0</v>
      </c>
      <c r="AD85" s="59">
        <f>$I$42*$AD$42</f>
        <v>0</v>
      </c>
      <c r="AE85" s="59">
        <f>$I$42*$AE$42</f>
        <v>0</v>
      </c>
      <c r="AF85" s="59">
        <f>$I$42*$AF$42</f>
        <v>0</v>
      </c>
      <c r="AG85" s="59">
        <f>$I$42*$AG$42</f>
        <v>0</v>
      </c>
      <c r="AH85" s="59">
        <f>$I$42*$AH$42</f>
        <v>0</v>
      </c>
    </row>
  </sheetData>
  <mergeCells count="69">
    <mergeCell ref="L44:V44"/>
    <mergeCell ref="X44:AH44"/>
    <mergeCell ref="L45:V45"/>
    <mergeCell ref="X45:AH45"/>
    <mergeCell ref="L46:P46"/>
    <mergeCell ref="R46:T46"/>
    <mergeCell ref="X46:AB46"/>
    <mergeCell ref="AD46:AF46"/>
    <mergeCell ref="E36:E38"/>
    <mergeCell ref="F36:F38"/>
    <mergeCell ref="A41:A42"/>
    <mergeCell ref="B41:B42"/>
    <mergeCell ref="C41:C42"/>
    <mergeCell ref="A36:A40"/>
    <mergeCell ref="B36:B38"/>
    <mergeCell ref="C36:C38"/>
    <mergeCell ref="D36:D38"/>
    <mergeCell ref="X1:AH1"/>
    <mergeCell ref="X2:AH2"/>
    <mergeCell ref="X3:AB3"/>
    <mergeCell ref="AD3:AF3"/>
    <mergeCell ref="B33:B35"/>
    <mergeCell ref="C33:C35"/>
    <mergeCell ref="F25:F27"/>
    <mergeCell ref="B29:B31"/>
    <mergeCell ref="C29:C31"/>
    <mergeCell ref="D29:D31"/>
    <mergeCell ref="E29:E31"/>
    <mergeCell ref="F29:F31"/>
    <mergeCell ref="F21:F23"/>
    <mergeCell ref="F8:F10"/>
    <mergeCell ref="F5:F6"/>
    <mergeCell ref="G1:G4"/>
    <mergeCell ref="A21:A35"/>
    <mergeCell ref="B21:B23"/>
    <mergeCell ref="C21:C23"/>
    <mergeCell ref="D21:D23"/>
    <mergeCell ref="E21:E23"/>
    <mergeCell ref="B25:B27"/>
    <mergeCell ref="C25:C27"/>
    <mergeCell ref="D25:D27"/>
    <mergeCell ref="E25:E27"/>
    <mergeCell ref="A8:A20"/>
    <mergeCell ref="B8:B10"/>
    <mergeCell ref="C8:C10"/>
    <mergeCell ref="D8:D10"/>
    <mergeCell ref="E8:E10"/>
    <mergeCell ref="B11:B15"/>
    <mergeCell ref="C11:C15"/>
    <mergeCell ref="B16:B20"/>
    <mergeCell ref="C16:C20"/>
    <mergeCell ref="A5:A7"/>
    <mergeCell ref="B5:B6"/>
    <mergeCell ref="C5:C6"/>
    <mergeCell ref="D5:D6"/>
    <mergeCell ref="E5:E6"/>
    <mergeCell ref="H1:H4"/>
    <mergeCell ref="I1:I4"/>
    <mergeCell ref="J1:J4"/>
    <mergeCell ref="L1:V1"/>
    <mergeCell ref="L2:V2"/>
    <mergeCell ref="L3:P3"/>
    <mergeCell ref="R3:T3"/>
    <mergeCell ref="F1:F4"/>
    <mergeCell ref="A1:A4"/>
    <mergeCell ref="B1:B4"/>
    <mergeCell ref="C1:C4"/>
    <mergeCell ref="D1:D4"/>
    <mergeCell ref="E1:E4"/>
  </mergeCells>
  <pageMargins left="0.511811024" right="0.511811024" top="0.78740157499999996" bottom="0.78740157499999996" header="0.31496062000000002" footer="0.3149606200000000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F78E4-571C-411B-B21A-3FA857CF16DB}">
  <dimension ref="A1:AG15"/>
  <sheetViews>
    <sheetView showGridLines="0" workbookViewId="0">
      <selection activeCell="J15" sqref="J15"/>
    </sheetView>
  </sheetViews>
  <sheetFormatPr defaultRowHeight="11.25" x14ac:dyDescent="0.2"/>
  <cols>
    <col min="1" max="1" width="19.140625" style="14" bestFit="1" customWidth="1"/>
    <col min="2" max="2" width="12.42578125" style="14" bestFit="1" customWidth="1"/>
    <col min="3" max="6" width="10.28515625" style="14" bestFit="1" customWidth="1"/>
    <col min="7" max="7" width="10.85546875" style="14" bestFit="1" customWidth="1"/>
    <col min="8" max="8" width="10" style="14" bestFit="1" customWidth="1"/>
    <col min="9" max="9" width="8" style="14" bestFit="1" customWidth="1"/>
    <col min="10" max="10" width="7.28515625" style="14" bestFit="1" customWidth="1"/>
    <col min="11" max="11" width="7.140625" style="14" bestFit="1" customWidth="1"/>
    <col min="12" max="12" width="9.5703125" style="14" bestFit="1" customWidth="1"/>
    <col min="13" max="13" width="9.7109375" style="14" bestFit="1" customWidth="1"/>
    <col min="14" max="14" width="10.85546875" style="14" bestFit="1" customWidth="1"/>
    <col min="15" max="15" width="7.42578125" style="14" bestFit="1" customWidth="1"/>
    <col min="16" max="16" width="9.7109375" style="14" bestFit="1" customWidth="1"/>
    <col min="17" max="17" width="11" style="14" bestFit="1" customWidth="1"/>
    <col min="18" max="18" width="7.7109375" style="14" bestFit="1" customWidth="1"/>
    <col min="19" max="19" width="7.140625" style="14" bestFit="1" customWidth="1"/>
    <col min="20" max="20" width="14.5703125" style="14" bestFit="1" customWidth="1"/>
    <col min="21" max="21" width="17.7109375" style="14" bestFit="1" customWidth="1"/>
    <col min="22" max="22" width="18.42578125" style="14" bestFit="1" customWidth="1"/>
    <col min="23" max="23" width="7.85546875" style="14" bestFit="1" customWidth="1"/>
    <col min="24" max="24" width="10.85546875" style="14" bestFit="1" customWidth="1"/>
    <col min="25" max="26" width="9.140625" style="14"/>
    <col min="27" max="27" width="3" style="14" bestFit="1" customWidth="1"/>
    <col min="28" max="28" width="21.5703125" style="14" bestFit="1" customWidth="1"/>
    <col min="29" max="29" width="13.5703125" style="14" bestFit="1" customWidth="1"/>
    <col min="30" max="30" width="25.140625" style="14" bestFit="1" customWidth="1"/>
    <col min="31" max="33" width="10.28515625" style="14" bestFit="1" customWidth="1"/>
    <col min="34" max="16384" width="9.140625" style="14"/>
  </cols>
  <sheetData>
    <row r="1" spans="1:33" x14ac:dyDescent="0.2">
      <c r="A1" s="14" t="s">
        <v>64</v>
      </c>
      <c r="B1" s="14" t="s">
        <v>65</v>
      </c>
      <c r="C1" s="14" t="s">
        <v>66</v>
      </c>
      <c r="D1" s="14" t="s">
        <v>67</v>
      </c>
      <c r="E1" s="14" t="s">
        <v>68</v>
      </c>
      <c r="F1" s="14" t="s">
        <v>15</v>
      </c>
      <c r="G1" s="14" t="s">
        <v>70</v>
      </c>
      <c r="I1" s="14" t="s">
        <v>1077</v>
      </c>
      <c r="AA1" s="14" t="s">
        <v>35</v>
      </c>
      <c r="AB1" s="14" t="s">
        <v>25</v>
      </c>
      <c r="AC1" s="14" t="s">
        <v>25</v>
      </c>
      <c r="AD1" s="14" t="s">
        <v>25</v>
      </c>
      <c r="AE1" s="14" t="s">
        <v>25</v>
      </c>
      <c r="AF1" s="14" t="s">
        <v>25</v>
      </c>
      <c r="AG1" s="14" t="s">
        <v>25</v>
      </c>
    </row>
    <row r="2" spans="1:33" x14ac:dyDescent="0.2">
      <c r="A2" s="14" t="s">
        <v>35</v>
      </c>
      <c r="B2" s="14" t="s">
        <v>25</v>
      </c>
      <c r="C2" s="14" t="s">
        <v>25</v>
      </c>
      <c r="D2" s="14" t="s">
        <v>25</v>
      </c>
      <c r="E2" s="14" t="s">
        <v>25</v>
      </c>
      <c r="F2" s="14" t="s">
        <v>25</v>
      </c>
      <c r="G2" s="14" t="s">
        <v>25</v>
      </c>
      <c r="I2" s="14" t="str">
        <f>IF($G$2&lt;&gt;"Não se aplica",$A$2&amp;$B$2&amp;$C$2&amp;$D$2&amp;$E$2&amp;$F$2&amp;$G$2,IF($F$2&lt;&gt;"Não se aplica",$A$2&amp;$B$2&amp;$C$2&amp;$D$2&amp;$E$2&amp;$F$2,IF($E$2&lt;&gt;"Não se aplica",$A$2&amp;$B$2&amp;$C$2&amp;$D$2&amp;$E$2,IF($D$2&lt;&gt;"Não se aplica",$A$2&amp;$B$2&amp;$C$2&amp;$D$2,IF($C$2&lt;&gt;"Não se aplica",$A$2&amp;$B$2&amp;$C$2,IF($B$2&lt;&gt;"Não se aplica",$A$2&amp;$B$2,$A$2))))))</f>
        <v>A4</v>
      </c>
      <c r="AA2" s="14" t="s">
        <v>84</v>
      </c>
      <c r="AB2" s="14" t="s">
        <v>36</v>
      </c>
      <c r="AC2" s="14" t="s">
        <v>24</v>
      </c>
      <c r="AD2" s="14" t="s">
        <v>24</v>
      </c>
      <c r="AE2" s="14" t="s">
        <v>82</v>
      </c>
      <c r="AG2" s="14" t="s">
        <v>80</v>
      </c>
    </row>
    <row r="3" spans="1:33" x14ac:dyDescent="0.2">
      <c r="AA3" s="14" t="s">
        <v>22</v>
      </c>
      <c r="AB3" s="14" t="s">
        <v>83</v>
      </c>
      <c r="AC3" s="14" t="s">
        <v>42</v>
      </c>
      <c r="AD3" s="14" t="s">
        <v>29</v>
      </c>
      <c r="AE3" s="14" t="s">
        <v>85</v>
      </c>
      <c r="AG3" s="14" t="s">
        <v>81</v>
      </c>
    </row>
    <row r="4" spans="1:33" x14ac:dyDescent="0.2">
      <c r="AA4" s="14" t="s">
        <v>41</v>
      </c>
      <c r="AB4" s="14" t="s">
        <v>39</v>
      </c>
      <c r="AC4" s="14" t="s">
        <v>45</v>
      </c>
      <c r="AD4" s="14" t="s">
        <v>30</v>
      </c>
      <c r="AE4" s="14" t="s">
        <v>86</v>
      </c>
      <c r="AG4" s="14" t="s">
        <v>78</v>
      </c>
    </row>
    <row r="5" spans="1:33" x14ac:dyDescent="0.2">
      <c r="A5" s="14" t="s">
        <v>1070</v>
      </c>
      <c r="B5" s="14" t="str">
        <f>TUSD!$AI$4</f>
        <v>CDE Covid TUSD</v>
      </c>
      <c r="C5" s="14" t="str">
        <f>TUSD!$AJ$4</f>
        <v>TFSEE</v>
      </c>
      <c r="D5" s="14" t="str">
        <f>TUSD!$AK$4</f>
        <v>P&amp;D</v>
      </c>
      <c r="E5" s="14" t="str">
        <f>TUSD!$AL$4</f>
        <v>ONS</v>
      </c>
      <c r="F5" s="14" t="str">
        <f>TUSD!$AM$4</f>
        <v>CCC</v>
      </c>
      <c r="G5" s="14" t="str">
        <f>TUSD!$AN$4</f>
        <v>CDE</v>
      </c>
      <c r="H5" s="14" t="str">
        <f>TUSD!$AO$4</f>
        <v>PROINFA</v>
      </c>
      <c r="I5" s="14" t="str">
        <f>TUSD!$AP$4</f>
        <v>LIMINAR 1</v>
      </c>
      <c r="J5" s="14" t="str">
        <f>TUSD!$AQ$4</f>
        <v>TUSD RB</v>
      </c>
      <c r="K5" s="14" t="str">
        <f>TUSD!$AR$4</f>
        <v>TUSD FR</v>
      </c>
      <c r="L5" s="14" t="str">
        <f>TUSD!$AS$4</f>
        <v>CONEXAO T</v>
      </c>
      <c r="M5" s="14" t="str">
        <f>TUSD!$AT$4</f>
        <v>CONEXAO D</v>
      </c>
      <c r="N5" s="14" t="str">
        <f>TUSD!$AU$4</f>
        <v>CUSD</v>
      </c>
      <c r="O5" s="14" t="str">
        <f>TUSD!$AV$4</f>
        <v>TUSDG-T</v>
      </c>
      <c r="P5" s="14" t="str">
        <f>TUSD!$AW$4</f>
        <v>TUSDG-ONS</v>
      </c>
      <c r="Q5" s="14" t="str">
        <f>TUSD!$AX$4</f>
        <v>DISTRIBUICAO</v>
      </c>
      <c r="R5" s="14" t="str">
        <f>TUSD!$AY$4</f>
        <v>SUBSIDIO</v>
      </c>
      <c r="S5" s="14" t="str">
        <f>TUSD!$AZ$4</f>
        <v>OUTROS</v>
      </c>
      <c r="T5" s="14" t="str">
        <f>TUSD!$BA$4</f>
        <v>PERDAS TECNICAS</v>
      </c>
      <c r="U5" s="14" t="str">
        <f>TUSD!$BB$4</f>
        <v>PERDAS RB/ PERDAS D</v>
      </c>
      <c r="V5" s="14" t="str">
        <f>TUSD!$BC$4</f>
        <v>PERDAS NAO TECNICAS</v>
      </c>
      <c r="W5" s="14" t="str">
        <f>TUSD!$BD$4</f>
        <v>RI</v>
      </c>
      <c r="X5" s="14" t="s">
        <v>498</v>
      </c>
      <c r="AA5" s="14" t="s">
        <v>33</v>
      </c>
      <c r="AB5" s="14" t="s">
        <v>50</v>
      </c>
      <c r="AD5" s="14" t="s">
        <v>31</v>
      </c>
      <c r="AG5" s="14" t="s">
        <v>9</v>
      </c>
    </row>
    <row r="6" spans="1:33" x14ac:dyDescent="0.2">
      <c r="A6" s="14" t="s">
        <v>1071</v>
      </c>
      <c r="B6" s="18">
        <f>SUM(TUSD!$AI$57:'TUSD'!$AI$103)</f>
        <v>0</v>
      </c>
      <c r="C6" s="18">
        <f>SUM(TUSD!$AJ$57:'TUSD'!$AJ$103)</f>
        <v>120898.43645098324</v>
      </c>
      <c r="D6" s="18">
        <f>SUM(TUSD!$AK$57:'TUSD'!$AK$103)</f>
        <v>556147.02592571417</v>
      </c>
      <c r="E6" s="18">
        <f>SUM(TUSD!$AL$57:'TUSD'!$AL$103)</f>
        <v>0</v>
      </c>
      <c r="F6" s="18">
        <f>SUM(TUSD!$AM$57:'TUSD'!$AM$103)</f>
        <v>0</v>
      </c>
      <c r="G6" s="18">
        <f>SUM(TUSD!$AN$57:'TUSD'!$AN$103)</f>
        <v>13102468.561428817</v>
      </c>
      <c r="H6" s="18">
        <f>SUM(TUSD!$AO$57:'TUSD'!$AO$103)</f>
        <v>2393741.9814348374</v>
      </c>
      <c r="I6" s="18">
        <f>SUM(TUSD!$AP$57:'TUSD'!$AP$103)</f>
        <v>0</v>
      </c>
      <c r="J6" s="18">
        <f>SUM(TUSD!$AQ$57:'TUSD'!$AQ$103)</f>
        <v>0</v>
      </c>
      <c r="K6" s="18">
        <f>SUM(TUSD!$AR$57:'TUSD'!$AR$103)</f>
        <v>0</v>
      </c>
      <c r="L6" s="18">
        <f>SUM(TUSD!$AS$57:'TUSD'!$AS$103)</f>
        <v>0</v>
      </c>
      <c r="M6" s="18">
        <f>SUM(TUSD!$AT$57:'TUSD'!$AT$103)</f>
        <v>0</v>
      </c>
      <c r="N6" s="18">
        <f>SUM(TUSD!$AU$57:'TUSD'!$AU$103)</f>
        <v>21166597.908564858</v>
      </c>
      <c r="O6" s="18">
        <f>SUM(TUSD!$AV$57:'TUSD'!$AV$103)</f>
        <v>0</v>
      </c>
      <c r="P6" s="18">
        <f>SUM(TUSD!$AW$57:'TUSD'!$AW$103)</f>
        <v>0</v>
      </c>
      <c r="Q6" s="18">
        <f>SUM(TUSD!$AX$57:'TUSD'!$AX$103)</f>
        <v>26631099.257759959</v>
      </c>
      <c r="R6" s="18">
        <f>SUM(TUSD!$AY$57:'TUSD'!$AY$103)</f>
        <v>0</v>
      </c>
      <c r="S6" s="18">
        <f>SUM(TUSD!$AZ$57:'TUSD'!$AZ$103)</f>
        <v>0</v>
      </c>
      <c r="T6" s="18">
        <f>SUM(TUSD!$BA$57:'TUSD'!$BA$103)</f>
        <v>4217127.6445658561</v>
      </c>
      <c r="U6" s="18">
        <f>SUM(TUSD!$BB$57:'TUSD'!$BB$103)</f>
        <v>0</v>
      </c>
      <c r="V6" s="18">
        <f>SUM(TUSD!$BC$57:'TUSD'!$BC$103)</f>
        <v>52357.042231916232</v>
      </c>
      <c r="W6" s="18">
        <f>SUM(TUSD!$BD$57:'TUSD'!$BD$103)</f>
        <v>64386.992710561208</v>
      </c>
      <c r="X6" s="18">
        <f t="shared" ref="X6:X11" si="0">SUM(B6:W6)</f>
        <v>68304824.851073503</v>
      </c>
      <c r="AA6" s="14" t="s">
        <v>44</v>
      </c>
      <c r="AB6" s="14" t="s">
        <v>23</v>
      </c>
      <c r="AD6" s="14" t="s">
        <v>32</v>
      </c>
      <c r="AG6" s="14" t="s">
        <v>75</v>
      </c>
    </row>
    <row r="7" spans="1:33" x14ac:dyDescent="0.2">
      <c r="A7" s="14" t="s">
        <v>1072</v>
      </c>
      <c r="B7" s="18">
        <f>SUM(TUSD!$L$57:'TUSD'!$L$103)</f>
        <v>0</v>
      </c>
      <c r="C7" s="18">
        <f>SUM(TUSD!$M$57:'TUSD'!$M$103)</f>
        <v>125858.61986032561</v>
      </c>
      <c r="D7" s="18">
        <f ca="1">SUM(TUSD!$N$57:'TUSD'!$N$103)</f>
        <v>618164.16566515551</v>
      </c>
      <c r="E7" s="18">
        <f>SUM(TUSD!$O$57:'TUSD'!$O$103)</f>
        <v>0</v>
      </c>
      <c r="F7" s="18">
        <f>SUM(TUSD!$P$57:'TUSD'!$P$103)</f>
        <v>0</v>
      </c>
      <c r="G7" s="18">
        <f>SUM(TUSD!$Q$57:'TUSD'!$Q$103)</f>
        <v>23757913.320474766</v>
      </c>
      <c r="H7" s="18">
        <f>SUM(TUSD!$R$57:'TUSD'!$R$103)</f>
        <v>4136870.6487939721</v>
      </c>
      <c r="I7" s="18">
        <f>SUM(TUSD!$S$57:'TUSD'!$S$103)</f>
        <v>0</v>
      </c>
      <c r="J7" s="18">
        <f>SUM(TUSD!$T$57:'TUSD'!$T$103)</f>
        <v>0</v>
      </c>
      <c r="K7" s="18">
        <f>SUM(TUSD!$U$57:'TUSD'!$U$103)</f>
        <v>0</v>
      </c>
      <c r="L7" s="18">
        <f>SUM(TUSD!$V$57:'TUSD'!$V$103)</f>
        <v>0</v>
      </c>
      <c r="M7" s="18">
        <f>SUM(TUSD!$W$57:'TUSD'!$W$103)</f>
        <v>0</v>
      </c>
      <c r="N7" s="18">
        <f>SUM(TUSD!$X$57:'TUSD'!$X$103)</f>
        <v>22954993.766041383</v>
      </c>
      <c r="O7" s="18">
        <f>SUM(TUSD!$Y$57:'TUSD'!$Y$103)</f>
        <v>0</v>
      </c>
      <c r="P7" s="18">
        <f>SUM(TUSD!$Z$57:'TUSD'!$Z$103)</f>
        <v>0</v>
      </c>
      <c r="Q7" s="18">
        <f>SUM(TUSD!$AA$57:'TUSD'!$AA$103)</f>
        <v>27060735.203500185</v>
      </c>
      <c r="R7" s="18">
        <f ca="1">SUM(TUSD!$AB$57:'TUSD'!$AB$103)</f>
        <v>0</v>
      </c>
      <c r="S7" s="18">
        <f ca="1">SUM(TUSD!$AC$57:'TUSD'!$AC$103)</f>
        <v>0</v>
      </c>
      <c r="T7" s="18">
        <f>SUM(TUSD!$AD$57:'TUSD'!$AD$103)</f>
        <v>3458080.2471530312</v>
      </c>
      <c r="U7" s="18">
        <f>SUM(TUSD!$AE$57:'TUSD'!$AE$103)</f>
        <v>74818.074226535391</v>
      </c>
      <c r="V7" s="18">
        <f ca="1">SUM(TUSD!$AF$57:'TUSD'!$AF$103)</f>
        <v>68061.202442435941</v>
      </c>
      <c r="W7" s="18">
        <f ca="1">SUM(TUSD!$AG$57:'TUSD'!$AG$103)</f>
        <v>74358.869170987309</v>
      </c>
      <c r="X7" s="18">
        <f t="shared" ca="1" si="0"/>
        <v>82329854.117328778</v>
      </c>
      <c r="AB7" s="14" t="s">
        <v>89</v>
      </c>
      <c r="AD7" s="14" t="s">
        <v>90</v>
      </c>
      <c r="AG7" s="14" t="s">
        <v>76</v>
      </c>
    </row>
    <row r="8" spans="1:33" x14ac:dyDescent="0.2">
      <c r="A8" s="14" t="s">
        <v>1075</v>
      </c>
      <c r="B8" s="18">
        <f>IF($G$2&lt;&gt;"Não se aplica",SUMIF(TUSD!$G$57:'TUSD'!$G$103,$I$2,TUSD!$AI$57:'TUSD'!$AI$103),IF($F$2&lt;&gt;"Não se aplica",SUMIF(TUSD!$F$57:'TUSD'!$F$103,$I$2,TUSD!$AI$57:'TUSD'!$AI$103),IF($E$2&lt;&gt;"Não se aplica",SUMIF(TUSD!$E$57:'TUSD'!$E$103,$I$2,TUSD!$AI$57:'TUSD'!$AI$103),IF($D$2&lt;&gt;"Não se aplica",SUMIF(TUSD!$D$57:'TUSD'!$D$103,$I$2,TUSD!$AI$57:'TUSD'!$AI$103),IF($C$2&lt;&gt;"Não se aplica",SUMIF(TUSD!$C$57:'TUSD'!$C$103,$I$2,TUSD!$AI$57:'TUSD'!$AI$103),IF($B$2&lt;&gt;"Não se aplica",SUMIF(TUSD!$B$57:'TUSD'!$B$103,$I$2,TUSD!$AI$57:'TUSD'!$AI$103),SUMIF(TUSD!$A$57:'TUSD'!$A$103,$I$2,TUSD!$AI$57:'TUSD'!$AI$103)))))))</f>
        <v>0</v>
      </c>
      <c r="C8" s="18">
        <f>IF($G$2&lt;&gt;"Não se aplica",SUMIF(TUSD!$G$57:'TUSD'!$G$103,$I$2,TUSD!$AJ$57:'TUSD'!$AJ$103),IF($F$2&lt;&gt;"Não se aplica",SUMIF(TUSD!$F$57:'TUSD'!$F$103,$I$2,TUSD!$AJ$57:'TUSD'!$AJ$103),IF($E$2&lt;&gt;"Não se aplica",SUMIF(TUSD!$E$57:'TUSD'!$E$103,$I$2,TUSD!$AJ$57:'TUSD'!$AJ$103),IF($D$2&lt;&gt;"Não se aplica",SUMIF(TUSD!$D$57:'TUSD'!$D$103,$I$2,TUSD!$AJ$57:'TUSD'!$AJ$103),IF($C$2&lt;&gt;"Não se aplica",SUMIF(TUSD!$C$57:'TUSD'!$C$103,$I$2,TUSD!$AJ$57:'TUSD'!$AJ$103),IF($B$2&lt;&gt;"Não se aplica",SUMIF(TUSD!$B$57:'TUSD'!$B$103,$I$2,TUSD!$AJ$57:'TUSD'!$AJ$103),SUMIF(TUSD!$A$57:'TUSD'!$A$103,$I$2,TUSD!$AJ$57:'TUSD'!$AJ$103)))))))</f>
        <v>45794.978543898636</v>
      </c>
      <c r="D8" s="18">
        <f>IF($G$2&lt;&gt;"Não se aplica",SUMIF(TUSD!$G$57:'TUSD'!$G$103,$I$2,TUSD!$AK$57:'TUSD'!$AK$103),IF($F$2&lt;&gt;"Não se aplica",SUMIF(TUSD!$F$57:'TUSD'!$F$103,$I$2,TUSD!$AK$57:'TUSD'!$AK$103),IF($E$2&lt;&gt;"Não se aplica",SUMIF(TUSD!$E$57:'TUSD'!$E$103,$I$2,TUSD!$AK$57:'TUSD'!$AK$103),IF($D$2&lt;&gt;"Não se aplica",SUMIF(TUSD!$D$57:'TUSD'!$D$103,$I$2,TUSD!$AK$57:'TUSD'!$AK$103),IF($C$2&lt;&gt;"Não se aplica",SUMIF(TUSD!$C$57:'TUSD'!$C$103,$I$2,TUSD!$AK$57:'TUSD'!$AK$103),IF($B$2&lt;&gt;"Não se aplica",SUMIF(TUSD!$B$57:'TUSD'!$B$103,$I$2,TUSD!$AK$57:'TUSD'!$AK$103),SUMIF(TUSD!$A$57:'TUSD'!$A$103,$I$2,TUSD!$AK$57:'TUSD'!$AK$103)))))))</f>
        <v>149478.42962817146</v>
      </c>
      <c r="E8" s="18">
        <f>IF($G$2&lt;&gt;"Não se aplica",SUMIF(TUSD!$G$57:'TUSD'!$G$103,$I$2,TUSD!$AL$57:'TUSD'!$AL$103),IF($F$2&lt;&gt;"Não se aplica",SUMIF(TUSD!$F$57:'TUSD'!$F$103,$I$2,TUSD!$AL$57:'TUSD'!$AL$103),IF($E$2&lt;&gt;"Não se aplica",SUMIF(TUSD!$E$57:'TUSD'!$E$103,$I$2,TUSD!$AL$57:'TUSD'!$AL$103),IF($D$2&lt;&gt;"Não se aplica",SUMIF(TUSD!$D$57:'TUSD'!$D$103,$I$2,TUSD!$AL$57:'TUSD'!$AL$103),IF($C$2&lt;&gt;"Não se aplica",SUMIF(TUSD!$C$57:'TUSD'!$C$103,$I$2,TUSD!$AL$57:'TUSD'!$AL$103),IF($B$2&lt;&gt;"Não se aplica",SUMIF(TUSD!$B$57:'TUSD'!$B$103,$I$2,TUSD!$AL$57:'TUSD'!$AL$103),SUMIF(TUSD!$A$57:'TUSD'!$A$103,$I$2,TUSD!$AL$57:'TUSD'!$AL$103)))))))</f>
        <v>0</v>
      </c>
      <c r="F8" s="18">
        <f>IF($G$2&lt;&gt;"Não se aplica",SUMIF(TUSD!$G$57:'TUSD'!$G$103,$I$2,TUSD!$AM$57:'TUSD'!$AM$103),IF($F$2&lt;&gt;"Não se aplica",SUMIF(TUSD!$F$57:'TUSD'!$F$103,$I$2,TUSD!$AM$57:'TUSD'!$AM$103),IF($E$2&lt;&gt;"Não se aplica",SUMIF(TUSD!$E$57:'TUSD'!$E$103,$I$2,TUSD!$AM$57:'TUSD'!$AM$103),IF($D$2&lt;&gt;"Não se aplica",SUMIF(TUSD!$D$57:'TUSD'!$D$103,$I$2,TUSD!$AM$57:'TUSD'!$AM$103),IF($C$2&lt;&gt;"Não se aplica",SUMIF(TUSD!$C$57:'TUSD'!$C$103,$I$2,TUSD!$AM$57:'TUSD'!$AM$103),IF($B$2&lt;&gt;"Não se aplica",SUMIF(TUSD!$B$57:'TUSD'!$B$103,$I$2,TUSD!$AM$57:'TUSD'!$AM$103),SUMIF(TUSD!$A$57:'TUSD'!$A$103,$I$2,TUSD!$AM$57:'TUSD'!$AM$103)))))))</f>
        <v>0</v>
      </c>
      <c r="G8" s="18">
        <f>IF($G$2&lt;&gt;"Não se aplica",SUMIF(TUSD!$G$57:'TUSD'!$G$103,$I$2,TUSD!$AN$57:'TUSD'!$AN$103),IF($F$2&lt;&gt;"Não se aplica",SUMIF(TUSD!$F$57:'TUSD'!$F$103,$I$2,TUSD!$AN$57:'TUSD'!$AN$103),IF($E$2&lt;&gt;"Não se aplica",SUMIF(TUSD!$E$57:'TUSD'!$E$103,$I$2,TUSD!$AN$57:'TUSD'!$AN$103),IF($D$2&lt;&gt;"Não se aplica",SUMIF(TUSD!$D$57:'TUSD'!$D$103,$I$2,TUSD!$AN$57:'TUSD'!$AN$103),IF($C$2&lt;&gt;"Não se aplica",SUMIF(TUSD!$C$57:'TUSD'!$C$103,$I$2,TUSD!$AN$57:'TUSD'!$AN$103),IF($B$2&lt;&gt;"Não se aplica",SUMIF(TUSD!$B$57:'TUSD'!$B$103,$I$2,TUSD!$AN$57:'TUSD'!$AN$103),SUMIF(TUSD!$A$57:'TUSD'!$A$103,$I$2,TUSD!$AN$57:'TUSD'!$AN$103)))))))</f>
        <v>6445187.8753040992</v>
      </c>
      <c r="H8" s="18">
        <f>IF($G$2&lt;&gt;"Não se aplica",SUMIF(TUSD!$G$57:'TUSD'!$G$103,$I$2,TUSD!$AO$57:'TUSD'!$AO$103),IF($F$2&lt;&gt;"Não se aplica",SUMIF(TUSD!$F$57:'TUSD'!$F$103,$I$2,TUSD!$AO$57:'TUSD'!$AO$103),IF($E$2&lt;&gt;"Não se aplica",SUMIF(TUSD!$E$57:'TUSD'!$E$103,$I$2,TUSD!$AO$57:'TUSD'!$AO$103),IF($D$2&lt;&gt;"Não se aplica",SUMIF(TUSD!$D$57:'TUSD'!$D$103,$I$2,TUSD!$AO$57:'TUSD'!$AO$103),IF($C$2&lt;&gt;"Não se aplica",SUMIF(TUSD!$C$57:'TUSD'!$C$103,$I$2,TUSD!$AO$57:'TUSD'!$AO$103),IF($B$2&lt;&gt;"Não se aplica",SUMIF(TUSD!$B$57:'TUSD'!$B$103,$I$2,TUSD!$AO$57:'TUSD'!$AO$103),SUMIF(TUSD!$A$57:'TUSD'!$A$103,$I$2,TUSD!$AO$57:'TUSD'!$AO$103)))))))</f>
        <v>1260773.7980924807</v>
      </c>
      <c r="I8" s="18">
        <f>IF($G$2&lt;&gt;"Não se aplica",SUMIF(TUSD!$G$57:'TUSD'!$G$103,$I$2,TUSD!$AP$57:'TUSD'!$AP$103),IF($F$2&lt;&gt;"Não se aplica",SUMIF(TUSD!$F$57:'TUSD'!$F$103,$I$2,TUSD!$AP$57:'TUSD'!$AP$103),IF($E$2&lt;&gt;"Não se aplica",SUMIF(TUSD!$E$57:'TUSD'!$E$103,$I$2,TUSD!$AP$57:'TUSD'!$AP$103),IF($D$2&lt;&gt;"Não se aplica",SUMIF(TUSD!$D$57:'TUSD'!$D$103,$I$2,TUSD!$AP$57:'TUSD'!$AP$103),IF($C$2&lt;&gt;"Não se aplica",SUMIF(TUSD!$C$57:'TUSD'!$C$103,$I$2,TUSD!$AP$57:'TUSD'!$AP$103),IF($B$2&lt;&gt;"Não se aplica",SUMIF(TUSD!$B$57:'TUSD'!$B$103,$I$2,TUSD!$AP$57:'TUSD'!$AP$103),SUMIF(TUSD!$A$57:'TUSD'!$A$103,$I$2,TUSD!$AP$57:'TUSD'!$AP$103)))))))</f>
        <v>0</v>
      </c>
      <c r="J8" s="18">
        <f>IF($G$2&lt;&gt;"Não se aplica",SUMIF(TUSD!$G$57:'TUSD'!$G$103,$I$2,TUSD!$AQ$57:'TUSD'!$AQ$103),IF($F$2&lt;&gt;"Não se aplica",SUMIF(TUSD!$F$57:'TUSD'!$F$103,$I$2,TUSD!$AQ$57:'TUSD'!$AQ$103),IF($E$2&lt;&gt;"Não se aplica",SUMIF(TUSD!$E$57:'TUSD'!$E$103,$I$2,TUSD!$AQ$57:'TUSD'!$AQ$103),IF($D$2&lt;&gt;"Não se aplica",SUMIF(TUSD!$D$57:'TUSD'!$D$103,$I$2,TUSD!$AQ$57:'TUSD'!$AQ$103),IF($C$2&lt;&gt;"Não se aplica",SUMIF(TUSD!$C$57:'TUSD'!$C$103,$I$2,TUSD!$AQ$57:'TUSD'!$AQ$103),IF($B$2&lt;&gt;"Não se aplica",SUMIF(TUSD!$B$57:'TUSD'!$B$103,$I$2,TUSD!$AQ$57:'TUSD'!$AQ$103),SUMIF(TUSD!$A$57:'TUSD'!$A$103,$I$2,TUSD!$AQ$57:'TUSD'!$AQ$103)))))))</f>
        <v>0</v>
      </c>
      <c r="K8" s="18">
        <f>IF($G$2&lt;&gt;"Não se aplica",SUMIF(TUSD!$G$57:'TUSD'!$G$103,$I$2,TUSD!$AR$57:'TUSD'!$AR$103),IF($F$2&lt;&gt;"Não se aplica",SUMIF(TUSD!$F$57:'TUSD'!$F$103,$I$2,TUSD!$AR$57:'TUSD'!$AR$103),IF($E$2&lt;&gt;"Não se aplica",SUMIF(TUSD!$E$57:'TUSD'!$E$103,$I$2,TUSD!$AR$57:'TUSD'!$AR$103),IF($D$2&lt;&gt;"Não se aplica",SUMIF(TUSD!$D$57:'TUSD'!$D$103,$I$2,TUSD!$AR$57:'TUSD'!$AR$103),IF($C$2&lt;&gt;"Não se aplica",SUMIF(TUSD!$C$57:'TUSD'!$C$103,$I$2,TUSD!$AR$57:'TUSD'!$AR$103),IF($B$2&lt;&gt;"Não se aplica",SUMIF(TUSD!$B$57:'TUSD'!$B$103,$I$2,TUSD!$AR$57:'TUSD'!$AR$103),SUMIF(TUSD!$A$57:'TUSD'!$A$103,$I$2,TUSD!$AR$57:'TUSD'!$AR$103)))))))</f>
        <v>0</v>
      </c>
      <c r="L8" s="18">
        <f>IF($G$2&lt;&gt;"Não se aplica",SUMIF(TUSD!$G$57:'TUSD'!$G$103,$I$2,TUSD!$AS$57:'TUSD'!$AS$103),IF($F$2&lt;&gt;"Não se aplica",SUMIF(TUSD!$F$57:'TUSD'!$F$103,$I$2,TUSD!$AS$57:'TUSD'!$AS$103),IF($E$2&lt;&gt;"Não se aplica",SUMIF(TUSD!$E$57:'TUSD'!$E$103,$I$2,TUSD!$AS$57:'TUSD'!$AS$103),IF($D$2&lt;&gt;"Não se aplica",SUMIF(TUSD!$D$57:'TUSD'!$D$103,$I$2,TUSD!$AS$57:'TUSD'!$AS$103),IF($C$2&lt;&gt;"Não se aplica",SUMIF(TUSD!$C$57:'TUSD'!$C$103,$I$2,TUSD!$AS$57:'TUSD'!$AS$103),IF($B$2&lt;&gt;"Não se aplica",SUMIF(TUSD!$B$57:'TUSD'!$B$103,$I$2,TUSD!$AS$57:'TUSD'!$AS$103),SUMIF(TUSD!$A$57:'TUSD'!$A$103,$I$2,TUSD!$AS$57:'TUSD'!$AS$103)))))))</f>
        <v>0</v>
      </c>
      <c r="M8" s="18">
        <f>IF($G$2&lt;&gt;"Não se aplica",SUMIF(TUSD!$G$57:'TUSD'!$G$103,$I$2,TUSD!$AT$57:'TUSD'!$AT$103),IF($F$2&lt;&gt;"Não se aplica",SUMIF(TUSD!$F$57:'TUSD'!$F$103,$I$2,TUSD!$AT$57:'TUSD'!$AT$103),IF($E$2&lt;&gt;"Não se aplica",SUMIF(TUSD!$E$57:'TUSD'!$E$103,$I$2,TUSD!$AT$57:'TUSD'!$AT$103),IF($D$2&lt;&gt;"Não se aplica",SUMIF(TUSD!$D$57:'TUSD'!$D$103,$I$2,TUSD!$AT$57:'TUSD'!$AT$103),IF($C$2&lt;&gt;"Não se aplica",SUMIF(TUSD!$C$57:'TUSD'!$C$103,$I$2,TUSD!$AT$57:'TUSD'!$AT$103),IF($B$2&lt;&gt;"Não se aplica",SUMIF(TUSD!$B$57:'TUSD'!$B$103,$I$2,TUSD!$AT$57:'TUSD'!$AT$103),SUMIF(TUSD!$A$57:'TUSD'!$A$103,$I$2,TUSD!$AT$57:'TUSD'!$AT$103)))))))</f>
        <v>0</v>
      </c>
      <c r="N8" s="18">
        <f>IF($G$2&lt;&gt;"Não se aplica",SUMIF(TUSD!$G$57:'TUSD'!$G$103,$I$2,TUSD!$AU$57:'TUSD'!$AU$103),IF($F$2&lt;&gt;"Não se aplica",SUMIF(TUSD!$F$57:'TUSD'!$F$103,$I$2,TUSD!$AU$57:'TUSD'!$AU$103),IF($E$2&lt;&gt;"Não se aplica",SUMIF(TUSD!$E$57:'TUSD'!$E$103,$I$2,TUSD!$AU$57:'TUSD'!$AU$103),IF($D$2&lt;&gt;"Não se aplica",SUMIF(TUSD!$D$57:'TUSD'!$D$103,$I$2,TUSD!$AU$57:'TUSD'!$AU$103),IF($C$2&lt;&gt;"Não se aplica",SUMIF(TUSD!$C$57:'TUSD'!$C$103,$I$2,TUSD!$AU$57:'TUSD'!$AU$103),IF($B$2&lt;&gt;"Não se aplica",SUMIF(TUSD!$B$57:'TUSD'!$B$103,$I$2,TUSD!$AU$57:'TUSD'!$AU$103),SUMIF(TUSD!$A$57:'TUSD'!$A$103,$I$2,TUSD!$AU$57:'TUSD'!$AU$103)))))))</f>
        <v>9675234.0079761837</v>
      </c>
      <c r="O8" s="18">
        <f>IF($G$2&lt;&gt;"Não se aplica",SUMIF(TUSD!$G$57:'TUSD'!$G$103,$I$2,TUSD!$AV$57:'TUSD'!$AV$103),IF($F$2&lt;&gt;"Não se aplica",SUMIF(TUSD!$F$57:'TUSD'!$F$103,$I$2,TUSD!$AV$57:'TUSD'!$AV$103),IF($E$2&lt;&gt;"Não se aplica",SUMIF(TUSD!$E$57:'TUSD'!$E$103,$I$2,TUSD!$AV$57:'TUSD'!$AV$103),IF($D$2&lt;&gt;"Não se aplica",SUMIF(TUSD!$D$57:'TUSD'!$D$103,$I$2,TUSD!$AV$57:'TUSD'!$AV$103),IF($C$2&lt;&gt;"Não se aplica",SUMIF(TUSD!$C$57:'TUSD'!$C$103,$I$2,TUSD!$AV$57:'TUSD'!$AV$103),IF($B$2&lt;&gt;"Não se aplica",SUMIF(TUSD!$B$57:'TUSD'!$B$103,$I$2,TUSD!$AV$57:'TUSD'!$AV$103),SUMIF(TUSD!$A$57:'TUSD'!$A$103,$I$2,TUSD!$AV$57:'TUSD'!$AV$103)))))))</f>
        <v>0</v>
      </c>
      <c r="P8" s="18">
        <f>IF($G$2&lt;&gt;"Não se aplica",SUMIF(TUSD!$G$57:'TUSD'!$G$103,$I$2,TUSD!$AW$57:'TUSD'!$AW$103),IF($F$2&lt;&gt;"Não se aplica",SUMIF(TUSD!$F$57:'TUSD'!$F$103,$I$2,TUSD!$AW$57:'TUSD'!$AW$103),IF($E$2&lt;&gt;"Não se aplica",SUMIF(TUSD!$E$57:'TUSD'!$E$103,$I$2,TUSD!$AW$57:'TUSD'!$AW$103),IF($D$2&lt;&gt;"Não se aplica",SUMIF(TUSD!$D$57:'TUSD'!$D$103,$I$2,TUSD!$AW$57:'TUSD'!$AW$103),IF($C$2&lt;&gt;"Não se aplica",SUMIF(TUSD!$C$57:'TUSD'!$C$103,$I$2,TUSD!$AW$57:'TUSD'!$AW$103),IF($B$2&lt;&gt;"Não se aplica",SUMIF(TUSD!$B$57:'TUSD'!$B$103,$I$2,TUSD!$AW$57:'TUSD'!$AW$103),SUMIF(TUSD!$A$57:'TUSD'!$A$103,$I$2,TUSD!$AW$57:'TUSD'!$AW$103)))))))</f>
        <v>0</v>
      </c>
      <c r="Q8" s="18">
        <f>IF($G$2&lt;&gt;"Não se aplica",SUMIF(TUSD!$G$57:'TUSD'!$G$103,$I$2,TUSD!$AX$57:'TUSD'!$AX$103),IF($F$2&lt;&gt;"Não se aplica",SUMIF(TUSD!$F$57:'TUSD'!$F$103,$I$2,TUSD!$AX$57:'TUSD'!$AX$103),IF($E$2&lt;&gt;"Não se aplica",SUMIF(TUSD!$E$57:'TUSD'!$E$103,$I$2,TUSD!$AX$57:'TUSD'!$AX$103),IF($D$2&lt;&gt;"Não se aplica",SUMIF(TUSD!$D$57:'TUSD'!$D$103,$I$2,TUSD!$AX$57:'TUSD'!$AX$103),IF($C$2&lt;&gt;"Não se aplica",SUMIF(TUSD!$C$57:'TUSD'!$C$103,$I$2,TUSD!$AX$57:'TUSD'!$AX$103),IF($B$2&lt;&gt;"Não se aplica",SUMIF(TUSD!$B$57:'TUSD'!$B$103,$I$2,TUSD!$AX$57:'TUSD'!$AX$103),SUMIF(TUSD!$A$57:'TUSD'!$A$103,$I$2,TUSD!$AX$57:'TUSD'!$AX$103)))))))</f>
        <v>10064060.508133303</v>
      </c>
      <c r="R8" s="18">
        <f>IF($G$2&lt;&gt;"Não se aplica",SUMIF(TUSD!$G$57:'TUSD'!$G$103,$I$2,TUSD!$AY$57:'TUSD'!$AY$103),IF($F$2&lt;&gt;"Não se aplica",SUMIF(TUSD!$F$57:'TUSD'!$F$103,$I$2,TUSD!$AY$57:'TUSD'!$AY$103),IF($E$2&lt;&gt;"Não se aplica",SUMIF(TUSD!$E$57:'TUSD'!$E$103,$I$2,TUSD!$AY$57:'TUSD'!$AY$103),IF($D$2&lt;&gt;"Não se aplica",SUMIF(TUSD!$D$57:'TUSD'!$D$103,$I$2,TUSD!$AY$57:'TUSD'!$AY$103),IF($C$2&lt;&gt;"Não se aplica",SUMIF(TUSD!$C$57:'TUSD'!$C$103,$I$2,TUSD!$AY$57:'TUSD'!$AY$103),IF($B$2&lt;&gt;"Não se aplica",SUMIF(TUSD!$B$57:'TUSD'!$B$103,$I$2,TUSD!$AY$57:'TUSD'!$AY$103),SUMIF(TUSD!$A$57:'TUSD'!$A$103,$I$2,TUSD!$AY$57:'TUSD'!$AY$103)))))))</f>
        <v>0</v>
      </c>
      <c r="S8" s="18">
        <f>IF($G$2&lt;&gt;"Não se aplica",SUMIF(TUSD!$G$57:'TUSD'!$G$103,$I$2,TUSD!$AZ$57:'TUSD'!$AZ$103),IF($F$2&lt;&gt;"Não se aplica",SUMIF(TUSD!$F$57:'TUSD'!$F$103,$I$2,TUSD!$AZ$57:'TUSD'!$AZ$103),IF($E$2&lt;&gt;"Não se aplica",SUMIF(TUSD!$E$57:'TUSD'!$E$103,$I$2,TUSD!$AZ$57:'TUSD'!$AZ$103),IF($D$2&lt;&gt;"Não se aplica",SUMIF(TUSD!$D$57:'TUSD'!$D$103,$I$2,TUSD!$AZ$57:'TUSD'!$AZ$103),IF($C$2&lt;&gt;"Não se aplica",SUMIF(TUSD!$C$57:'TUSD'!$C$103,$I$2,TUSD!$AZ$57:'TUSD'!$AZ$103),IF($B$2&lt;&gt;"Não se aplica",SUMIF(TUSD!$B$57:'TUSD'!$B$103,$I$2,TUSD!$AZ$57:'TUSD'!$AZ$103),SUMIF(TUSD!$A$57:'TUSD'!$A$103,$I$2,TUSD!$AZ$57:'TUSD'!$AZ$103)))))))</f>
        <v>0</v>
      </c>
      <c r="T8" s="18">
        <f>IF($G$2&lt;&gt;"Não se aplica",SUMIF(TUSD!$G$57:'TUSD'!$G$103,$I$2,TUSD!$BA$57:'TUSD'!$BA$103),IF($F$2&lt;&gt;"Não se aplica",SUMIF(TUSD!$F$57:'TUSD'!$F$103,$I$2,TUSD!$BA$57:'TUSD'!$BA$103),IF($E$2&lt;&gt;"Não se aplica",SUMIF(TUSD!$E$57:'TUSD'!$E$103,$I$2,TUSD!$BA$57:'TUSD'!$BA$103),IF($D$2&lt;&gt;"Não se aplica",SUMIF(TUSD!$D$57:'TUSD'!$D$103,$I$2,TUSD!$BA$57:'TUSD'!$BA$103),IF($C$2&lt;&gt;"Não se aplica",SUMIF(TUSD!$C$57:'TUSD'!$C$103,$I$2,TUSD!$BA$57:'TUSD'!$BA$103),IF($B$2&lt;&gt;"Não se aplica",SUMIF(TUSD!$B$57:'TUSD'!$B$103,$I$2,TUSD!$BA$57:'TUSD'!$BA$103),SUMIF(TUSD!$A$57:'TUSD'!$A$103,$I$2,TUSD!$BA$57:'TUSD'!$BA$103)))))))</f>
        <v>1426309.2643660882</v>
      </c>
      <c r="U8" s="18">
        <f>IF($G$2&lt;&gt;"Não se aplica",SUMIF(TUSD!$G$57:'TUSD'!$G$103,$I$2,TUSD!$BB$57:'TUSD'!$BB$103),IF($F$2&lt;&gt;"Não se aplica",SUMIF(TUSD!$F$57:'TUSD'!$F$103,$I$2,TUSD!$BB$57:'TUSD'!$BB$103),IF($E$2&lt;&gt;"Não se aplica",SUMIF(TUSD!$E$57:'TUSD'!$E$103,$I$2,TUSD!$BB$57:'TUSD'!$BB$103),IF($D$2&lt;&gt;"Não se aplica",SUMIF(TUSD!$D$57:'TUSD'!$D$103,$I$2,TUSD!$BB$57:'TUSD'!$BB$103),IF($C$2&lt;&gt;"Não se aplica",SUMIF(TUSD!$C$57:'TUSD'!$C$103,$I$2,TUSD!$BB$57:'TUSD'!$BB$103),IF($B$2&lt;&gt;"Não se aplica",SUMIF(TUSD!$B$57:'TUSD'!$B$103,$I$2,TUSD!$BB$57:'TUSD'!$BB$103),SUMIF(TUSD!$A$57:'TUSD'!$A$103,$I$2,TUSD!$BB$57:'TUSD'!$BB$103)))))))</f>
        <v>0</v>
      </c>
      <c r="V8" s="18">
        <f>IF($G$2&lt;&gt;"Não se aplica",SUMIF(TUSD!$G$57:'TUSD'!$G$103,$I$2,TUSD!$BC$57:'TUSD'!$BC$103),IF($F$2&lt;&gt;"Não se aplica",SUMIF(TUSD!$F$57:'TUSD'!$F$103,$I$2,TUSD!$BC$57:'TUSD'!$BC$103),IF($E$2&lt;&gt;"Não se aplica",SUMIF(TUSD!$E$57:'TUSD'!$E$103,$I$2,TUSD!$BC$57:'TUSD'!$BC$103),IF($D$2&lt;&gt;"Não se aplica",SUMIF(TUSD!$D$57:'TUSD'!$D$103,$I$2,TUSD!$BC$57:'TUSD'!$BC$103),IF($C$2&lt;&gt;"Não se aplica",SUMIF(TUSD!$C$57:'TUSD'!$C$103,$I$2,TUSD!$BC$57:'TUSD'!$BC$103),IF($B$2&lt;&gt;"Não se aplica",SUMIF(TUSD!$B$57:'TUSD'!$B$103,$I$2,TUSD!$BC$57:'TUSD'!$BC$103),SUMIF(TUSD!$A$57:'TUSD'!$A$103,$I$2,TUSD!$BC$57:'TUSD'!$BC$103)))))))</f>
        <v>22926.980997387007</v>
      </c>
      <c r="W8" s="18">
        <f>IF($G$2&lt;&gt;"Não se aplica",SUMIF(TUSD!$G$57:'TUSD'!$G$103,$I$2,TUSD!$BD$57:'TUSD'!$BD$103),IF($F$2&lt;&gt;"Não se aplica",SUMIF(TUSD!$F$57:'TUSD'!$F$103,$I$2,TUSD!$BD$57:'TUSD'!$BD$103),IF($E$2&lt;&gt;"Não se aplica",SUMIF(TUSD!$E$57:'TUSD'!$E$103,$I$2,TUSD!$BD$57:'TUSD'!$BD$103),IF($D$2&lt;&gt;"Não se aplica",SUMIF(TUSD!$D$57:'TUSD'!$D$103,$I$2,TUSD!$BD$57:'TUSD'!$BD$103),IF($C$2&lt;&gt;"Não se aplica",SUMIF(TUSD!$C$57:'TUSD'!$C$103,$I$2,TUSD!$BD$57:'TUSD'!$BD$103),IF($B$2&lt;&gt;"Não se aplica",SUMIF(TUSD!$B$57:'TUSD'!$B$103,$I$2,TUSD!$BD$57:'TUSD'!$BD$103),SUMIF(TUSD!$A$57:'TUSD'!$A$103,$I$2,TUSD!$BD$57:'TUSD'!$BD$103)))))))</f>
        <v>28194.857757913131</v>
      </c>
      <c r="X8" s="18">
        <f t="shared" si="0"/>
        <v>29117960.700799525</v>
      </c>
      <c r="AD8" s="14" t="s">
        <v>91</v>
      </c>
      <c r="AG8" s="14" t="s">
        <v>87</v>
      </c>
    </row>
    <row r="9" spans="1:33" x14ac:dyDescent="0.2">
      <c r="A9" s="14" t="s">
        <v>1076</v>
      </c>
      <c r="B9" s="18">
        <f>IF($G$2&lt;&gt;"Não se aplica",SUMIF(TUSD!$G$57:'TUSD'!$G$103,$I$2,TUSD!$L$57:'TUSD'!$L$103),IF($F$2&lt;&gt;"Não se aplica",SUMIF(TUSD!$F$57:'TUSD'!$F$103,$I$2,TUSD!$L$57:'TUSD'!$L$103),IF($E$2&lt;&gt;"Não se aplica",SUMIF(TUSD!$E$57:'TUSD'!$E$103,$I$2,TUSD!$L$57:'TUSD'!$L$103),IF($D$2&lt;&gt;"Não se aplica",SUMIF(TUSD!$D$57:'TUSD'!$D$103,$I$2,TUSD!$L$57:'TUSD'!$L$103),IF($C$2&lt;&gt;"Não se aplica",SUMIF(TUSD!$C$57:'TUSD'!$C$103,$I$2,TUSD!$L$57:'TUSD'!$L$103),IF($B$2&lt;&gt;"Não se aplica",SUMIF(TUSD!$B$57:'TUSD'!$B$103,$I$2,TUSD!$L$57:'TUSD'!$L$103),SUMIF(TUSD!$A$57:'TUSD'!$A$103,$I$2,TUSD!$L$57:'TUSD'!$L$103)))))))</f>
        <v>0</v>
      </c>
      <c r="C9" s="18">
        <f>IF($G$2&lt;&gt;"Não se aplica",SUMIF(TUSD!$G$57:'TUSD'!$G$103,$I$2,TUSD!$M$57:'TUSD'!$M$103),IF($F$2&lt;&gt;"Não se aplica",SUMIF(TUSD!$F$57:'TUSD'!$F$103,$I$2,TUSD!$M$57:'TUSD'!$M$103),IF($E$2&lt;&gt;"Não se aplica",SUMIF(TUSD!$E$57:'TUSD'!$E$103,$I$2,TUSD!$M$57:'TUSD'!$M$103),IF($D$2&lt;&gt;"Não se aplica",SUMIF(TUSD!$D$57:'TUSD'!$D$103,$I$2,TUSD!$M$57:'TUSD'!$M$103),IF($C$2&lt;&gt;"Não se aplica",SUMIF(TUSD!$C$57:'TUSD'!$C$103,$I$2,TUSD!$M$57:'TUSD'!$M$103),IF($B$2&lt;&gt;"Não se aplica",SUMIF(TUSD!$B$57:'TUSD'!$B$103,$I$2,TUSD!$M$57:'TUSD'!$M$103),SUMIF(TUSD!$A$57:'TUSD'!$A$103,$I$2,TUSD!$M$57:'TUSD'!$M$103)))))))</f>
        <v>36483.43173712417</v>
      </c>
      <c r="D9" s="18">
        <f ca="1">IF($G$2&lt;&gt;"Não se aplica",SUMIF(TUSD!$G$57:'TUSD'!$G$103,$I$2,TUSD!$N$57:'TUSD'!$N$103),IF($F$2&lt;&gt;"Não se aplica",SUMIF(TUSD!$F$57:'TUSD'!$F$103,$I$2,TUSD!$N$57:'TUSD'!$N$103),IF($E$2&lt;&gt;"Não se aplica",SUMIF(TUSD!$E$57:'TUSD'!$E$103,$I$2,TUSD!$N$57:'TUSD'!$N$103),IF($D$2&lt;&gt;"Não se aplica",SUMIF(TUSD!$D$57:'TUSD'!$D$103,$I$2,TUSD!$N$57:'TUSD'!$N$103),IF($C$2&lt;&gt;"Não se aplica",SUMIF(TUSD!$C$57:'TUSD'!$C$103,$I$2,TUSD!$N$57:'TUSD'!$N$103),IF($B$2&lt;&gt;"Não se aplica",SUMIF(TUSD!$B$57:'TUSD'!$B$103,$I$2,TUSD!$N$57:'TUSD'!$N$103),SUMIF(TUSD!$A$57:'TUSD'!$A$103,$I$2,TUSD!$N$57:'TUSD'!$N$103)))))))</f>
        <v>146840.95791801275</v>
      </c>
      <c r="E9" s="18">
        <f>IF($G$2&lt;&gt;"Não se aplica",SUMIF(TUSD!$G$57:'TUSD'!$G$103,$I$2,TUSD!$O$57:'TUSD'!$O$103),IF($F$2&lt;&gt;"Não se aplica",SUMIF(TUSD!$F$57:'TUSD'!$F$103,$I$2,TUSD!$O$57:'TUSD'!$O$103),IF($E$2&lt;&gt;"Não se aplica",SUMIF(TUSD!$E$57:'TUSD'!$E$103,$I$2,TUSD!$O$57:'TUSD'!$O$103),IF($D$2&lt;&gt;"Não se aplica",SUMIF(TUSD!$D$57:'TUSD'!$D$103,$I$2,TUSD!$O$57:'TUSD'!$O$103),IF($C$2&lt;&gt;"Não se aplica",SUMIF(TUSD!$C$57:'TUSD'!$C$103,$I$2,TUSD!$O$57:'TUSD'!$O$103),IF($B$2&lt;&gt;"Não se aplica",SUMIF(TUSD!$B$57:'TUSD'!$B$103,$I$2,TUSD!$O$57:'TUSD'!$O$103),SUMIF(TUSD!$A$57:'TUSD'!$A$103,$I$2,TUSD!$O$57:'TUSD'!$O$103)))))))</f>
        <v>0</v>
      </c>
      <c r="F9" s="18">
        <f>IF($G$2&lt;&gt;"Não se aplica",SUMIF(TUSD!$G$57:'TUSD'!$G$103,$I$2,TUSD!$P$57:'TUSD'!$P$103),IF($F$2&lt;&gt;"Não se aplica",SUMIF(TUSD!$F$57:'TUSD'!$F$103,$I$2,TUSD!$P$57:'TUSD'!$P$103),IF($E$2&lt;&gt;"Não se aplica",SUMIF(TUSD!$E$57:'TUSD'!$E$103,$I$2,TUSD!$P$57:'TUSD'!$P$103),IF($D$2&lt;&gt;"Não se aplica",SUMIF(TUSD!$D$57:'TUSD'!$D$103,$I$2,TUSD!$P$57:'TUSD'!$P$103),IF($C$2&lt;&gt;"Não se aplica",SUMIF(TUSD!$C$57:'TUSD'!$C$103,$I$2,TUSD!$P$57:'TUSD'!$P$103),IF($B$2&lt;&gt;"Não se aplica",SUMIF(TUSD!$B$57:'TUSD'!$B$103,$I$2,TUSD!$P$57:'TUSD'!$P$103),SUMIF(TUSD!$A$57:'TUSD'!$A$103,$I$2,TUSD!$P$57:'TUSD'!$P$103)))))))</f>
        <v>0</v>
      </c>
      <c r="G9" s="18">
        <f>IF($G$2&lt;&gt;"Não se aplica",SUMIF(TUSD!$G$57:'TUSD'!$G$103,$I$2,TUSD!$Q$57:'TUSD'!$Q$103),IF($F$2&lt;&gt;"Não se aplica",SUMIF(TUSD!$F$57:'TUSD'!$F$103,$I$2,TUSD!$Q$57:'TUSD'!$Q$103),IF($E$2&lt;&gt;"Não se aplica",SUMIF(TUSD!$E$57:'TUSD'!$E$103,$I$2,TUSD!$Q$57:'TUSD'!$Q$103),IF($D$2&lt;&gt;"Não se aplica",SUMIF(TUSD!$D$57:'TUSD'!$D$103,$I$2,TUSD!$Q$57:'TUSD'!$Q$103),IF($C$2&lt;&gt;"Não se aplica",SUMIF(TUSD!$C$57:'TUSD'!$C$103,$I$2,TUSD!$Q$57:'TUSD'!$Q$103),IF($B$2&lt;&gt;"Não se aplica",SUMIF(TUSD!$B$57:'TUSD'!$B$103,$I$2,TUSD!$Q$57:'TUSD'!$Q$103),SUMIF(TUSD!$A$57:'TUSD'!$A$103,$I$2,TUSD!$Q$57:'TUSD'!$Q$103)))))))</f>
        <v>11441877.340257173</v>
      </c>
      <c r="H9" s="18">
        <f>IF($G$2&lt;&gt;"Não se aplica",SUMIF(TUSD!$G$57:'TUSD'!$G$103,$I$2,TUSD!$R$57:'TUSD'!$R$103),IF($F$2&lt;&gt;"Não se aplica",SUMIF(TUSD!$F$57:'TUSD'!$F$103,$I$2,TUSD!$R$57:'TUSD'!$R$103),IF($E$2&lt;&gt;"Não se aplica",SUMIF(TUSD!$E$57:'TUSD'!$E$103,$I$2,TUSD!$R$57:'TUSD'!$R$103),IF($D$2&lt;&gt;"Não se aplica",SUMIF(TUSD!$D$57:'TUSD'!$D$103,$I$2,TUSD!$R$57:'TUSD'!$R$103),IF($C$2&lt;&gt;"Não se aplica",SUMIF(TUSD!$C$57:'TUSD'!$C$103,$I$2,TUSD!$R$57:'TUSD'!$R$103),IF($B$2&lt;&gt;"Não se aplica",SUMIF(TUSD!$B$57:'TUSD'!$B$103,$I$2,TUSD!$R$57:'TUSD'!$R$103),SUMIF(TUSD!$A$57:'TUSD'!$A$103,$I$2,TUSD!$R$57:'TUSD'!$R$103)))))))</f>
        <v>2172525.4254907048</v>
      </c>
      <c r="I9" s="18">
        <f>IF($G$2&lt;&gt;"Não se aplica",SUMIF(TUSD!$G$57:'TUSD'!$G$103,$I$2,TUSD!$S$57:'TUSD'!$S$103),IF($F$2&lt;&gt;"Não se aplica",SUMIF(TUSD!$F$57:'TUSD'!$F$103,$I$2,TUSD!$S$57:'TUSD'!$S$103),IF($E$2&lt;&gt;"Não se aplica",SUMIF(TUSD!$E$57:'TUSD'!$E$103,$I$2,TUSD!$S$57:'TUSD'!$S$103),IF($D$2&lt;&gt;"Não se aplica",SUMIF(TUSD!$D$57:'TUSD'!$D$103,$I$2,TUSD!$S$57:'TUSD'!$S$103),IF($C$2&lt;&gt;"Não se aplica",SUMIF(TUSD!$C$57:'TUSD'!$C$103,$I$2,TUSD!$S$57:'TUSD'!$S$103),IF($B$2&lt;&gt;"Não se aplica",SUMIF(TUSD!$B$57:'TUSD'!$B$103,$I$2,TUSD!$S$57:'TUSD'!$S$103),SUMIF(TUSD!$A$57:'TUSD'!$A$103,$I$2,TUSD!$S$57:'TUSD'!$S$103)))))))</f>
        <v>0</v>
      </c>
      <c r="J9" s="18">
        <f>IF($G$2&lt;&gt;"Não se aplica",SUMIF(TUSD!$G$57:'TUSD'!$G$103,$I$2,TUSD!$T$57:'TUSD'!$T$103),IF($F$2&lt;&gt;"Não se aplica",SUMIF(TUSD!$F$57:'TUSD'!$F$103,$I$2,TUSD!$T$57:'TUSD'!$T$103),IF($E$2&lt;&gt;"Não se aplica",SUMIF(TUSD!$E$57:'TUSD'!$E$103,$I$2,TUSD!$T$57:'TUSD'!$T$103),IF($D$2&lt;&gt;"Não se aplica",SUMIF(TUSD!$D$57:'TUSD'!$D$103,$I$2,TUSD!$T$57:'TUSD'!$T$103),IF($C$2&lt;&gt;"Não se aplica",SUMIF(TUSD!$C$57:'TUSD'!$C$103,$I$2,TUSD!$T$57:'TUSD'!$T$103),IF($B$2&lt;&gt;"Não se aplica",SUMIF(TUSD!$B$57:'TUSD'!$B$103,$I$2,TUSD!$T$57:'TUSD'!$T$103),SUMIF(TUSD!$A$57:'TUSD'!$A$103,$I$2,TUSD!$T$57:'TUSD'!$T$103)))))))</f>
        <v>0</v>
      </c>
      <c r="K9" s="18">
        <f>IF($G$2&lt;&gt;"Não se aplica",SUMIF(TUSD!$G$57:'TUSD'!$G$103,$I$2,TUSD!$U$57:'TUSD'!$U$103),IF($F$2&lt;&gt;"Não se aplica",SUMIF(TUSD!$F$57:'TUSD'!$F$103,$I$2,TUSD!$U$57:'TUSD'!$U$103),IF($E$2&lt;&gt;"Não se aplica",SUMIF(TUSD!$E$57:'TUSD'!$E$103,$I$2,TUSD!$U$57:'TUSD'!$U$103),IF($D$2&lt;&gt;"Não se aplica",SUMIF(TUSD!$D$57:'TUSD'!$D$103,$I$2,TUSD!$U$57:'TUSD'!$U$103),IF($C$2&lt;&gt;"Não se aplica",SUMIF(TUSD!$C$57:'TUSD'!$C$103,$I$2,TUSD!$U$57:'TUSD'!$U$103),IF($B$2&lt;&gt;"Não se aplica",SUMIF(TUSD!$B$57:'TUSD'!$B$103,$I$2,TUSD!$U$57:'TUSD'!$U$103),SUMIF(TUSD!$A$57:'TUSD'!$A$103,$I$2,TUSD!$U$57:'TUSD'!$U$103)))))))</f>
        <v>0</v>
      </c>
      <c r="L9" s="18">
        <f>IF($G$2&lt;&gt;"Não se aplica",SUMIF(TUSD!$G$57:'TUSD'!$G$103,$I$2,TUSD!$V$57:'TUSD'!$V$103),IF($F$2&lt;&gt;"Não se aplica",SUMIF(TUSD!$F$57:'TUSD'!$F$103,$I$2,TUSD!$V$57:'TUSD'!$V$103),IF($E$2&lt;&gt;"Não se aplica",SUMIF(TUSD!$E$57:'TUSD'!$E$103,$I$2,TUSD!$V$57:'TUSD'!$V$103),IF($D$2&lt;&gt;"Não se aplica",SUMIF(TUSD!$D$57:'TUSD'!$D$103,$I$2,TUSD!$V$57:'TUSD'!$V$103),IF($C$2&lt;&gt;"Não se aplica",SUMIF(TUSD!$C$57:'TUSD'!$C$103,$I$2,TUSD!$V$57:'TUSD'!$V$103),IF($B$2&lt;&gt;"Não se aplica",SUMIF(TUSD!$B$57:'TUSD'!$B$103,$I$2,TUSD!$V$57:'TUSD'!$V$103),SUMIF(TUSD!$A$57:'TUSD'!$A$103,$I$2,TUSD!$V$57:'TUSD'!$V$103)))))))</f>
        <v>0</v>
      </c>
      <c r="M9" s="18">
        <f>IF($G$2&lt;&gt;"Não se aplica",SUMIF(TUSD!$G$57:'TUSD'!$G$103,$I$2,TUSD!$W$57:'TUSD'!$W$103),IF($F$2&lt;&gt;"Não se aplica",SUMIF(TUSD!$F$57:'TUSD'!$F$103,$I$2,TUSD!$W$57:'TUSD'!$W$103),IF($E$2&lt;&gt;"Não se aplica",SUMIF(TUSD!$E$57:'TUSD'!$E$103,$I$2,TUSD!$W$57:'TUSD'!$W$103),IF($D$2&lt;&gt;"Não se aplica",SUMIF(TUSD!$D$57:'TUSD'!$D$103,$I$2,TUSD!$W$57:'TUSD'!$W$103),IF($C$2&lt;&gt;"Não se aplica",SUMIF(TUSD!$C$57:'TUSD'!$C$103,$I$2,TUSD!$W$57:'TUSD'!$W$103),IF($B$2&lt;&gt;"Não se aplica",SUMIF(TUSD!$B$57:'TUSD'!$B$103,$I$2,TUSD!$W$57:'TUSD'!$W$103),SUMIF(TUSD!$A$57:'TUSD'!$A$103,$I$2,TUSD!$W$57:'TUSD'!$W$103)))))))</f>
        <v>0</v>
      </c>
      <c r="N9" s="18">
        <f>IF($G$2&lt;&gt;"Não se aplica",SUMIF(TUSD!$G$57:'TUSD'!$G$103,$I$2,TUSD!$X$57:'TUSD'!$X$103),IF($F$2&lt;&gt;"Não se aplica",SUMIF(TUSD!$F$57:'TUSD'!$F$103,$I$2,TUSD!$X$57:'TUSD'!$X$103),IF($E$2&lt;&gt;"Não se aplica",SUMIF(TUSD!$E$57:'TUSD'!$E$103,$I$2,TUSD!$X$57:'TUSD'!$X$103),IF($D$2&lt;&gt;"Não se aplica",SUMIF(TUSD!$D$57:'TUSD'!$D$103,$I$2,TUSD!$X$57:'TUSD'!$X$103),IF($C$2&lt;&gt;"Não se aplica",SUMIF(TUSD!$C$57:'TUSD'!$C$103,$I$2,TUSD!$X$57:'TUSD'!$X$103),IF($B$2&lt;&gt;"Não se aplica",SUMIF(TUSD!$B$57:'TUSD'!$B$103,$I$2,TUSD!$X$57:'TUSD'!$X$103),SUMIF(TUSD!$A$57:'TUSD'!$A$103,$I$2,TUSD!$X$57:'TUSD'!$X$103)))))))</f>
        <v>10896098.955414439</v>
      </c>
      <c r="O9" s="18">
        <f>IF($G$2&lt;&gt;"Não se aplica",SUMIF(TUSD!$G$57:'TUSD'!$G$103,$I$2,TUSD!$Y$57:'TUSD'!$Y$103),IF($F$2&lt;&gt;"Não se aplica",SUMIF(TUSD!$F$57:'TUSD'!$F$103,$I$2,TUSD!$Y$57:'TUSD'!$Y$103),IF($E$2&lt;&gt;"Não se aplica",SUMIF(TUSD!$E$57:'TUSD'!$E$103,$I$2,TUSD!$Y$57:'TUSD'!$Y$103),IF($D$2&lt;&gt;"Não se aplica",SUMIF(TUSD!$D$57:'TUSD'!$D$103,$I$2,TUSD!$Y$57:'TUSD'!$Y$103),IF($C$2&lt;&gt;"Não se aplica",SUMIF(TUSD!$C$57:'TUSD'!$C$103,$I$2,TUSD!$Y$57:'TUSD'!$Y$103),IF($B$2&lt;&gt;"Não se aplica",SUMIF(TUSD!$B$57:'TUSD'!$B$103,$I$2,TUSD!$Y$57:'TUSD'!$Y$103),SUMIF(TUSD!$A$57:'TUSD'!$A$103,$I$2,TUSD!$Y$57:'TUSD'!$Y$103)))))))</f>
        <v>0</v>
      </c>
      <c r="P9" s="18">
        <f>IF($G$2&lt;&gt;"Não se aplica",SUMIF(TUSD!$G$57:'TUSD'!$G$103,$I$2,TUSD!$Z$57:'TUSD'!$Z$103),IF($F$2&lt;&gt;"Não se aplica",SUMIF(TUSD!$F$57:'TUSD'!$F$103,$I$2,TUSD!$Z$57:'TUSD'!$Z$103),IF($E$2&lt;&gt;"Não se aplica",SUMIF(TUSD!$E$57:'TUSD'!$E$103,$I$2,TUSD!$Z$57:'TUSD'!$Z$103),IF($D$2&lt;&gt;"Não se aplica",SUMIF(TUSD!$D$57:'TUSD'!$D$103,$I$2,TUSD!$Z$57:'TUSD'!$Z$103),IF($C$2&lt;&gt;"Não se aplica",SUMIF(TUSD!$C$57:'TUSD'!$C$103,$I$2,TUSD!$Z$57:'TUSD'!$Z$103),IF($B$2&lt;&gt;"Não se aplica",SUMIF(TUSD!$B$57:'TUSD'!$B$103,$I$2,TUSD!$Z$57:'TUSD'!$Z$103),SUMIF(TUSD!$A$57:'TUSD'!$A$103,$I$2,TUSD!$Z$57:'TUSD'!$Z$103)))))))</f>
        <v>0</v>
      </c>
      <c r="Q9" s="18">
        <f>IF($G$2&lt;&gt;"Não se aplica",SUMIF(TUSD!$G$57:'TUSD'!$G$103,$I$2,TUSD!$AA$57:'TUSD'!$AA$103),IF($F$2&lt;&gt;"Não se aplica",SUMIF(TUSD!$F$57:'TUSD'!$F$103,$I$2,TUSD!$AA$57:'TUSD'!$AA$103),IF($E$2&lt;&gt;"Não se aplica",SUMIF(TUSD!$E$57:'TUSD'!$E$103,$I$2,TUSD!$AA$57:'TUSD'!$AA$103),IF($D$2&lt;&gt;"Não se aplica",SUMIF(TUSD!$D$57:'TUSD'!$D$103,$I$2,TUSD!$AA$57:'TUSD'!$AA$103),IF($C$2&lt;&gt;"Não se aplica",SUMIF(TUSD!$C$57:'TUSD'!$C$103,$I$2,TUSD!$AA$57:'TUSD'!$AA$103),IF($B$2&lt;&gt;"Não se aplica",SUMIF(TUSD!$B$57:'TUSD'!$B$103,$I$2,TUSD!$AA$57:'TUSD'!$AA$103),SUMIF(TUSD!$A$57:'TUSD'!$A$103,$I$2,TUSD!$AA$57:'TUSD'!$AA$103)))))))</f>
        <v>7844275.5465796897</v>
      </c>
      <c r="R9" s="18">
        <f ca="1">IF($G$2&lt;&gt;"Não se aplica",SUMIF(TUSD!$G$57:'TUSD'!$G$103,$I$2,TUSD!$AB$57:'TUSD'!$AB$103),IF($F$2&lt;&gt;"Não se aplica",SUMIF(TUSD!$F$57:'TUSD'!$F$103,$I$2,TUSD!$AB$57:'TUSD'!$AB$103),IF($E$2&lt;&gt;"Não se aplica",SUMIF(TUSD!$E$57:'TUSD'!$E$103,$I$2,TUSD!$AB$57:'TUSD'!$AB$103),IF($D$2&lt;&gt;"Não se aplica",SUMIF(TUSD!$D$57:'TUSD'!$D$103,$I$2,TUSD!$AB$57:'TUSD'!$AB$103),IF($C$2&lt;&gt;"Não se aplica",SUMIF(TUSD!$C$57:'TUSD'!$C$103,$I$2,TUSD!$AB$57:'TUSD'!$AB$103),IF($B$2&lt;&gt;"Não se aplica",SUMIF(TUSD!$B$57:'TUSD'!$B$103,$I$2,TUSD!$AB$57:'TUSD'!$AB$103),SUMIF(TUSD!$A$57:'TUSD'!$A$103,$I$2,TUSD!$AB$57:'TUSD'!$AB$103)))))))</f>
        <v>0</v>
      </c>
      <c r="S9" s="18">
        <f ca="1">IF($G$2&lt;&gt;"Não se aplica",SUMIF(TUSD!$G$57:'TUSD'!$G$103,$I$2,TUSD!$AC$57:'TUSD'!$AC$103),IF($F$2&lt;&gt;"Não se aplica",SUMIF(TUSD!$F$57:'TUSD'!$F$103,$I$2,TUSD!$AC$57:'TUSD'!$AC$103),IF($E$2&lt;&gt;"Não se aplica",SUMIF(TUSD!$E$57:'TUSD'!$E$103,$I$2,TUSD!$AC$57:'TUSD'!$AC$103),IF($D$2&lt;&gt;"Não se aplica",SUMIF(TUSD!$D$57:'TUSD'!$D$103,$I$2,TUSD!$AC$57:'TUSD'!$AC$103),IF($C$2&lt;&gt;"Não se aplica",SUMIF(TUSD!$C$57:'TUSD'!$C$103,$I$2,TUSD!$AC$57:'TUSD'!$AC$103),IF($B$2&lt;&gt;"Não se aplica",SUMIF(TUSD!$B$57:'TUSD'!$B$103,$I$2,TUSD!$AC$57:'TUSD'!$AC$103),SUMIF(TUSD!$A$57:'TUSD'!$A$103,$I$2,TUSD!$AC$57:'TUSD'!$AC$103)))))))</f>
        <v>0</v>
      </c>
      <c r="T9" s="18">
        <f>IF($G$2&lt;&gt;"Não se aplica",SUMIF(TUSD!$G$57:'TUSD'!$G$103,$I$2,TUSD!$AD$57:'TUSD'!$AD$103),IF($F$2&lt;&gt;"Não se aplica",SUMIF(TUSD!$F$57:'TUSD'!$F$103,$I$2,TUSD!$AD$57:'TUSD'!$AD$103),IF($E$2&lt;&gt;"Não se aplica",SUMIF(TUSD!$E$57:'TUSD'!$E$103,$I$2,TUSD!$AD$57:'TUSD'!$AD$103),IF($D$2&lt;&gt;"Não se aplica",SUMIF(TUSD!$D$57:'TUSD'!$D$103,$I$2,TUSD!$AD$57:'TUSD'!$AD$103),IF($C$2&lt;&gt;"Não se aplica",SUMIF(TUSD!$C$57:'TUSD'!$C$103,$I$2,TUSD!$AD$57:'TUSD'!$AD$103),IF($B$2&lt;&gt;"Não se aplica",SUMIF(TUSD!$B$57:'TUSD'!$B$103,$I$2,TUSD!$AD$57:'TUSD'!$AD$103),SUMIF(TUSD!$A$57:'TUSD'!$A$103,$I$2,TUSD!$AD$57:'TUSD'!$AD$103)))))))</f>
        <v>1164921.7578521813</v>
      </c>
      <c r="U9" s="18">
        <f>IF($G$2&lt;&gt;"Não se aplica",SUMIF(TUSD!$G$57:'TUSD'!$G$103,$I$2,TUSD!$AE$57:'TUSD'!$AE$103),IF($F$2&lt;&gt;"Não se aplica",SUMIF(TUSD!$F$57:'TUSD'!$F$103,$I$2,TUSD!$AE$57:'TUSD'!$AE$103),IF($E$2&lt;&gt;"Não se aplica",SUMIF(TUSD!$E$57:'TUSD'!$E$103,$I$2,TUSD!$AE$57:'TUSD'!$AE$103),IF($D$2&lt;&gt;"Não se aplica",SUMIF(TUSD!$D$57:'TUSD'!$D$103,$I$2,TUSD!$AE$57:'TUSD'!$AE$103),IF($C$2&lt;&gt;"Não se aplica",SUMIF(TUSD!$C$57:'TUSD'!$C$103,$I$2,TUSD!$AE$57:'TUSD'!$AE$103),IF($B$2&lt;&gt;"Não se aplica",SUMIF(TUSD!$B$57:'TUSD'!$B$103,$I$2,TUSD!$AE$57:'TUSD'!$AE$103),SUMIF(TUSD!$A$57:'TUSD'!$A$103,$I$2,TUSD!$AE$57:'TUSD'!$AE$103)))))))</f>
        <v>25203.927126574174</v>
      </c>
      <c r="V9" s="18">
        <f ca="1">IF($G$2&lt;&gt;"Não se aplica",SUMIF(TUSD!$G$57:'TUSD'!$G$103,$I$2,TUSD!$AF$57:'TUSD'!$AF$103),IF($F$2&lt;&gt;"Não se aplica",SUMIF(TUSD!$F$57:'TUSD'!$F$103,$I$2,TUSD!$AF$57:'TUSD'!$AF$103),IF($E$2&lt;&gt;"Não se aplica",SUMIF(TUSD!$E$57:'TUSD'!$E$103,$I$2,TUSD!$AF$57:'TUSD'!$AF$103),IF($D$2&lt;&gt;"Não se aplica",SUMIF(TUSD!$D$57:'TUSD'!$D$103,$I$2,TUSD!$AF$57:'TUSD'!$AF$103),IF($C$2&lt;&gt;"Não se aplica",SUMIF(TUSD!$C$57:'TUSD'!$C$103,$I$2,TUSD!$AF$57:'TUSD'!$AF$103),IF($B$2&lt;&gt;"Não se aplica",SUMIF(TUSD!$B$57:'TUSD'!$B$103,$I$2,TUSD!$AF$57:'TUSD'!$AF$103),SUMIF(TUSD!$A$57:'TUSD'!$A$103,$I$2,TUSD!$AF$57:'TUSD'!$AF$103)))))))</f>
        <v>28328.990540699757</v>
      </c>
      <c r="W9" s="18">
        <f ca="1">IF($G$2&lt;&gt;"Não se aplica",SUMIF(TUSD!$G$57:'TUSD'!$G$103,$I$2,TUSD!$AG$57:'TUSD'!$AG$103),IF($F$2&lt;&gt;"Não se aplica",SUMIF(TUSD!$F$57:'TUSD'!$F$103,$I$2,TUSD!$AG$57:'TUSD'!$AG$103),IF($E$2&lt;&gt;"Não se aplica",SUMIF(TUSD!$E$57:'TUSD'!$E$103,$I$2,TUSD!$AG$57:'TUSD'!$AG$103),IF($D$2&lt;&gt;"Não se aplica",SUMIF(TUSD!$D$57:'TUSD'!$D$103,$I$2,TUSD!$AG$57:'TUSD'!$AG$103),IF($C$2&lt;&gt;"Não se aplica",SUMIF(TUSD!$C$57:'TUSD'!$C$103,$I$2,TUSD!$AG$57:'TUSD'!$AG$103),IF($B$2&lt;&gt;"Não se aplica",SUMIF(TUSD!$B$57:'TUSD'!$B$103,$I$2,TUSD!$AG$57:'TUSD'!$AG$103),SUMIF(TUSD!$A$57:'TUSD'!$A$103,$I$2,TUSD!$AG$57:'TUSD'!$AG$103)))))))</f>
        <v>30950.256912426034</v>
      </c>
      <c r="X9" s="18">
        <f t="shared" ca="1" si="0"/>
        <v>33787506.58982902</v>
      </c>
      <c r="AD9" s="14" t="s">
        <v>46</v>
      </c>
    </row>
    <row r="10" spans="1:33" x14ac:dyDescent="0.2">
      <c r="A10" s="14" t="s">
        <v>1073</v>
      </c>
      <c r="B10" s="18">
        <f>SUMIF(TUSD!$A$57:'TUSD'!$A$103,$A$2,TUSD!$AI$57:'TUSD'!$AI$103)</f>
        <v>0</v>
      </c>
      <c r="C10" s="18">
        <f>SUMIF(TUSD!$A$57:'TUSD'!$A$103,$A$2,TUSD!$AJ$57:'TUSD'!$AJ$103)</f>
        <v>45794.978543898636</v>
      </c>
      <c r="D10" s="18">
        <f>SUMIF(TUSD!$A$57:'TUSD'!$A$103,$A$2,TUSD!$AK$57:'TUSD'!$AK$103)</f>
        <v>149478.42962817146</v>
      </c>
      <c r="E10" s="18">
        <f>SUMIF(TUSD!$A$57:'TUSD'!$A$103,$A$2,TUSD!$AL$57:'TUSD'!$AL$103)</f>
        <v>0</v>
      </c>
      <c r="F10" s="18">
        <f>SUMIF(TUSD!$A$57:'TUSD'!$A$103,$A$2,TUSD!$AM$57:'TUSD'!$AM$103)</f>
        <v>0</v>
      </c>
      <c r="G10" s="18">
        <f>SUMIF(TUSD!$A$57:'TUSD'!$A$103,$A$2,TUSD!$AN$57:'TUSD'!$AN$103)</f>
        <v>6445187.8753040992</v>
      </c>
      <c r="H10" s="18">
        <f>SUMIF(TUSD!$A$57:'TUSD'!$A$103,$A$2,TUSD!$AO$57:'TUSD'!$AO$103)</f>
        <v>1260773.7980924807</v>
      </c>
      <c r="I10" s="18">
        <f>SUMIF(TUSD!$A$57:'TUSD'!$A$103,$A$2,TUSD!$AP$57:'TUSD'!$AP$103)</f>
        <v>0</v>
      </c>
      <c r="J10" s="18">
        <f>SUMIF(TUSD!$A$57:'TUSD'!$A$103,$A$2,TUSD!$AQ$57:'TUSD'!$AQ$103)</f>
        <v>0</v>
      </c>
      <c r="K10" s="18">
        <f>SUMIF(TUSD!$A$57:'TUSD'!$A$103,$A$2,TUSD!$AR$57:'TUSD'!$AR$103)</f>
        <v>0</v>
      </c>
      <c r="L10" s="18">
        <f>SUMIF(TUSD!$A$57:'TUSD'!$A$103,$A$2,TUSD!$AS$57:'TUSD'!$AS$103)</f>
        <v>0</v>
      </c>
      <c r="M10" s="18">
        <f>SUMIF(TUSD!$A$57:'TUSD'!$A$103,$A$2,TUSD!$AT$57:'TUSD'!$AT$103)</f>
        <v>0</v>
      </c>
      <c r="N10" s="18">
        <f>SUMIF(TUSD!$A$57:'TUSD'!$A$103,$A$2,TUSD!$AU$57:'TUSD'!$AU$103)</f>
        <v>9675234.0079761837</v>
      </c>
      <c r="O10" s="18">
        <f>SUMIF(TUSD!$A$57:'TUSD'!$A$103,$A$2,TUSD!$AV$57:'TUSD'!$AV$103)</f>
        <v>0</v>
      </c>
      <c r="P10" s="18">
        <f>SUMIF(TUSD!$A$57:'TUSD'!$A$103,$A$2,TUSD!$AW$57:'TUSD'!$AW$103)</f>
        <v>0</v>
      </c>
      <c r="Q10" s="18">
        <f>SUMIF(TUSD!$A$57:'TUSD'!$A$103,$A$2,TUSD!$AX$57:'TUSD'!$AX$103)</f>
        <v>10064060.508133303</v>
      </c>
      <c r="R10" s="18">
        <f>SUMIF(TUSD!$A$57:'TUSD'!$A$103,$A$2,TUSD!$AY$57:'TUSD'!$AY$103)</f>
        <v>0</v>
      </c>
      <c r="S10" s="18">
        <f>SUMIF(TUSD!$A$57:'TUSD'!$A$103,$A$2,TUSD!$AZ$57:'TUSD'!$AZ$103)</f>
        <v>0</v>
      </c>
      <c r="T10" s="18">
        <f>SUMIF(TUSD!$A$57:'TUSD'!$A$103,$A$2,TUSD!$BA$57:'TUSD'!$BA$103)</f>
        <v>1426309.2643660882</v>
      </c>
      <c r="U10" s="18">
        <f>SUMIF(TUSD!$A$57:'TUSD'!$A$103,$A$2,TUSD!$BB$57:'TUSD'!$BB$103)</f>
        <v>0</v>
      </c>
      <c r="V10" s="18">
        <f>SUMIF(TUSD!$A$57:'TUSD'!$A$103,$A$2,TUSD!$BC$57:'TUSD'!$BC$103)</f>
        <v>22926.980997387007</v>
      </c>
      <c r="W10" s="18">
        <f>SUMIF(TUSD!$A$57:'TUSD'!$A$103,$A$2,TUSD!$BD$57:'TUSD'!$BD$103)</f>
        <v>28194.857757913131</v>
      </c>
      <c r="X10" s="18">
        <f t="shared" si="0"/>
        <v>29117960.700799525</v>
      </c>
      <c r="AD10" s="14" t="s">
        <v>92</v>
      </c>
    </row>
    <row r="11" spans="1:33" x14ac:dyDescent="0.2">
      <c r="A11" s="14" t="s">
        <v>1074</v>
      </c>
      <c r="B11" s="18">
        <f>SUMIF(TUSD!$A$57:'TUSD'!$A$103,$A$2,TUSD!$L$57:'TUSD'!$L$103)</f>
        <v>0</v>
      </c>
      <c r="C11" s="18">
        <f>SUMIF(TUSD!$A$57:'TUSD'!$A$103,$A$2,TUSD!$M$57:'TUSD'!$M$103)</f>
        <v>36483.43173712417</v>
      </c>
      <c r="D11" s="18">
        <f ca="1">SUMIF(TUSD!$A$57:'TUSD'!$A$103,$A$2,TUSD!$N$57:'TUSD'!$N$103)</f>
        <v>146840.95791801275</v>
      </c>
      <c r="E11" s="18">
        <f>SUMIF(TUSD!$A$57:'TUSD'!$A$103,$A$2,TUSD!$O$57:'TUSD'!$O$103)</f>
        <v>0</v>
      </c>
      <c r="F11" s="18">
        <f>SUMIF(TUSD!$A$57:'TUSD'!$A$103,$A$2,TUSD!$P$57:'TUSD'!$P$103)</f>
        <v>0</v>
      </c>
      <c r="G11" s="18">
        <f>SUMIF(TUSD!$A$57:'TUSD'!$A$103,$A$2,TUSD!$Q$57:'TUSD'!$Q$103)</f>
        <v>11441877.340257173</v>
      </c>
      <c r="H11" s="18">
        <f>SUMIF(TUSD!$A$57:'TUSD'!$A$103,$A$2,TUSD!$R$57:'TUSD'!$R$103)</f>
        <v>2172525.4254907048</v>
      </c>
      <c r="I11" s="18">
        <f>SUMIF(TUSD!$A$57:'TUSD'!$A$103,$A$2,TUSD!$S$57:'TUSD'!$S$103)</f>
        <v>0</v>
      </c>
      <c r="J11" s="18">
        <f>SUMIF(TUSD!$A$57:'TUSD'!$A$103,$A$2,TUSD!$T$57:'TUSD'!$T$103)</f>
        <v>0</v>
      </c>
      <c r="K11" s="18">
        <f>SUMIF(TUSD!$A$57:'TUSD'!$A$103,$A$2,TUSD!$U$57:'TUSD'!$U$103)</f>
        <v>0</v>
      </c>
      <c r="L11" s="18">
        <f>SUMIF(TUSD!$A$57:'TUSD'!$A$103,$A$2,TUSD!$V$57:'TUSD'!$V$103)</f>
        <v>0</v>
      </c>
      <c r="M11" s="18">
        <f>SUMIF(TUSD!$A$57:'TUSD'!$A$103,$A$2,TUSD!$W$57:'TUSD'!$W$103)</f>
        <v>0</v>
      </c>
      <c r="N11" s="18">
        <f>SUMIF(TUSD!$A$57:'TUSD'!$A$103,$A$2,TUSD!$X$57:'TUSD'!$X$103)</f>
        <v>10896098.955414439</v>
      </c>
      <c r="O11" s="18">
        <f>SUMIF(TUSD!$A$57:'TUSD'!$A$103,$A$2,TUSD!$Y$57:'TUSD'!$Y$103)</f>
        <v>0</v>
      </c>
      <c r="P11" s="18">
        <f>SUMIF(TUSD!$A$57:'TUSD'!$A$103,$A$2,TUSD!$Z$57:'TUSD'!$Z$103)</f>
        <v>0</v>
      </c>
      <c r="Q11" s="18">
        <f>SUMIF(TUSD!$A$57:'TUSD'!$A$103,$A$2,TUSD!$AA$57:'TUSD'!$AA$103)</f>
        <v>7844275.5465796897</v>
      </c>
      <c r="R11" s="18">
        <f ca="1">SUMIF(TUSD!$A$57:'TUSD'!$A$103,$A$2,TUSD!$AB$57:'TUSD'!$AB$103)</f>
        <v>0</v>
      </c>
      <c r="S11" s="18">
        <f ca="1">SUMIF(TUSD!$A$57:'TUSD'!$A$103,$A$2,TUSD!$AC$57:'TUSD'!$AC$103)</f>
        <v>0</v>
      </c>
      <c r="T11" s="18">
        <f>SUMIF(TUSD!$A$57:'TUSD'!$A$103,$A$2,TUSD!$AD$57:'TUSD'!$AD$103)</f>
        <v>1164921.7578521813</v>
      </c>
      <c r="U11" s="18">
        <f>SUMIF(TUSD!$A$57:'TUSD'!$A$103,$A$2,TUSD!$AE$57:'TUSD'!$AE$103)</f>
        <v>25203.927126574174</v>
      </c>
      <c r="V11" s="18">
        <f ca="1">SUMIF(TUSD!$A$57:'TUSD'!$A$103,$A$2,TUSD!$AF$57:'TUSD'!$AF$103)</f>
        <v>28328.990540699757</v>
      </c>
      <c r="W11" s="18">
        <f ca="1">SUMIF(TUSD!$A$57:'TUSD'!$A$103,$A$2,TUSD!$AG$57:'TUSD'!$AG$103)</f>
        <v>30950.256912426034</v>
      </c>
      <c r="X11" s="18">
        <f t="shared" ca="1" si="0"/>
        <v>33787506.58982902</v>
      </c>
    </row>
    <row r="13" spans="1:33" x14ac:dyDescent="0.2">
      <c r="A13" s="14" t="s">
        <v>1078</v>
      </c>
      <c r="B13" s="29">
        <f t="shared" ref="B13:X13" si="1">IF($X$6&lt;&gt;0,(B$7-B$6)/$X$6,0)</f>
        <v>0</v>
      </c>
      <c r="C13" s="29">
        <f t="shared" si="1"/>
        <v>7.2618346070825359E-5</v>
      </c>
      <c r="D13" s="29">
        <f t="shared" ca="1" si="1"/>
        <v>9.0794669153546113E-4</v>
      </c>
      <c r="E13" s="29">
        <f t="shared" si="1"/>
        <v>0</v>
      </c>
      <c r="F13" s="29">
        <f t="shared" si="1"/>
        <v>0</v>
      </c>
      <c r="G13" s="29">
        <f t="shared" si="1"/>
        <v>0.15599842005712258</v>
      </c>
      <c r="H13" s="29">
        <f t="shared" si="1"/>
        <v>2.5519846821358754E-2</v>
      </c>
      <c r="I13" s="29">
        <f t="shared" si="1"/>
        <v>0</v>
      </c>
      <c r="J13" s="29">
        <f t="shared" si="1"/>
        <v>0</v>
      </c>
      <c r="K13" s="29">
        <f t="shared" si="1"/>
        <v>0</v>
      </c>
      <c r="L13" s="29">
        <f t="shared" si="1"/>
        <v>0</v>
      </c>
      <c r="M13" s="29">
        <f t="shared" si="1"/>
        <v>0</v>
      </c>
      <c r="N13" s="29">
        <f t="shared" si="1"/>
        <v>2.618256999232197E-2</v>
      </c>
      <c r="O13" s="29">
        <f t="shared" si="1"/>
        <v>0</v>
      </c>
      <c r="P13" s="29">
        <f t="shared" si="1"/>
        <v>0</v>
      </c>
      <c r="Q13" s="29">
        <f t="shared" si="1"/>
        <v>6.2899794659743479E-3</v>
      </c>
      <c r="R13" s="29">
        <f t="shared" ca="1" si="1"/>
        <v>0</v>
      </c>
      <c r="S13" s="29">
        <f t="shared" ca="1" si="1"/>
        <v>0</v>
      </c>
      <c r="T13" s="29">
        <f t="shared" si="1"/>
        <v>-1.1112646860127267E-2</v>
      </c>
      <c r="U13" s="29">
        <f t="shared" si="1"/>
        <v>1.0953556266290539E-3</v>
      </c>
      <c r="V13" s="29">
        <f t="shared" ca="1" si="1"/>
        <v>2.2991289773101434E-4</v>
      </c>
      <c r="W13" s="29">
        <f t="shared" ca="1" si="1"/>
        <v>1.459908063913201E-4</v>
      </c>
      <c r="X13" s="29">
        <f t="shared" ca="1" si="1"/>
        <v>0.20532999384500802</v>
      </c>
    </row>
    <row r="14" spans="1:33" x14ac:dyDescent="0.2">
      <c r="A14" s="14" t="s">
        <v>1079</v>
      </c>
      <c r="B14" s="29">
        <f t="shared" ref="B14:X14" si="2">IF($X$10&lt;&gt;0,(B$9-B$8)/$X$10,0)</f>
        <v>0</v>
      </c>
      <c r="C14" s="29">
        <f t="shared" si="2"/>
        <v>-3.1978705179442008E-4</v>
      </c>
      <c r="D14" s="29">
        <f t="shared" ca="1" si="2"/>
        <v>-9.0578860836442289E-5</v>
      </c>
      <c r="E14" s="29">
        <f t="shared" si="2"/>
        <v>0</v>
      </c>
      <c r="F14" s="29">
        <f t="shared" si="2"/>
        <v>0</v>
      </c>
      <c r="G14" s="29">
        <f t="shared" si="2"/>
        <v>0.17160162815989632</v>
      </c>
      <c r="H14" s="29">
        <f t="shared" si="2"/>
        <v>3.131234487081333E-2</v>
      </c>
      <c r="I14" s="29">
        <f t="shared" si="2"/>
        <v>0</v>
      </c>
      <c r="J14" s="29">
        <f t="shared" si="2"/>
        <v>0</v>
      </c>
      <c r="K14" s="29">
        <f t="shared" si="2"/>
        <v>0</v>
      </c>
      <c r="L14" s="29">
        <f t="shared" si="2"/>
        <v>0</v>
      </c>
      <c r="M14" s="29">
        <f t="shared" si="2"/>
        <v>0</v>
      </c>
      <c r="N14" s="29">
        <f t="shared" si="2"/>
        <v>4.1928243532684359E-2</v>
      </c>
      <c r="O14" s="29">
        <f t="shared" si="2"/>
        <v>0</v>
      </c>
      <c r="P14" s="29">
        <f t="shared" si="2"/>
        <v>0</v>
      </c>
      <c r="Q14" s="29">
        <f t="shared" si="2"/>
        <v>-7.6234217923532757E-2</v>
      </c>
      <c r="R14" s="29">
        <f t="shared" ca="1" si="2"/>
        <v>0</v>
      </c>
      <c r="S14" s="29">
        <f t="shared" ca="1" si="2"/>
        <v>0</v>
      </c>
      <c r="T14" s="29">
        <f t="shared" si="2"/>
        <v>-8.9768479736539262E-3</v>
      </c>
      <c r="U14" s="29">
        <f t="shared" si="2"/>
        <v>8.6558009283535162E-4</v>
      </c>
      <c r="V14" s="29">
        <f t="shared" ca="1" si="2"/>
        <v>1.8552156171996003E-4</v>
      </c>
      <c r="W14" s="29">
        <f t="shared" ca="1" si="2"/>
        <v>9.4628850654271431E-5</v>
      </c>
      <c r="X14" s="29">
        <f t="shared" ca="1" si="2"/>
        <v>0.1603665152587859</v>
      </c>
    </row>
    <row r="15" spans="1:33" x14ac:dyDescent="0.2">
      <c r="A15" s="14" t="s">
        <v>1080</v>
      </c>
      <c r="B15" s="29">
        <f t="shared" ref="B15:X15" si="3">IF($X$8&lt;&gt;0,(B$9-B$8)/$X$8,0)</f>
        <v>0</v>
      </c>
      <c r="C15" s="29">
        <f t="shared" si="3"/>
        <v>-3.1978705179442008E-4</v>
      </c>
      <c r="D15" s="29">
        <f t="shared" ca="1" si="3"/>
        <v>-9.0578860836442289E-5</v>
      </c>
      <c r="E15" s="29">
        <f t="shared" si="3"/>
        <v>0</v>
      </c>
      <c r="F15" s="29">
        <f t="shared" si="3"/>
        <v>0</v>
      </c>
      <c r="G15" s="29">
        <f t="shared" si="3"/>
        <v>0.17160162815989632</v>
      </c>
      <c r="H15" s="29">
        <f t="shared" si="3"/>
        <v>3.131234487081333E-2</v>
      </c>
      <c r="I15" s="29">
        <f t="shared" si="3"/>
        <v>0</v>
      </c>
      <c r="J15" s="29">
        <f t="shared" si="3"/>
        <v>0</v>
      </c>
      <c r="K15" s="29">
        <f t="shared" si="3"/>
        <v>0</v>
      </c>
      <c r="L15" s="29">
        <f t="shared" si="3"/>
        <v>0</v>
      </c>
      <c r="M15" s="29">
        <f t="shared" si="3"/>
        <v>0</v>
      </c>
      <c r="N15" s="29">
        <f t="shared" si="3"/>
        <v>4.1928243532684359E-2</v>
      </c>
      <c r="O15" s="29">
        <f t="shared" si="3"/>
        <v>0</v>
      </c>
      <c r="P15" s="29">
        <f t="shared" si="3"/>
        <v>0</v>
      </c>
      <c r="Q15" s="29">
        <f t="shared" si="3"/>
        <v>-7.6234217923532757E-2</v>
      </c>
      <c r="R15" s="29">
        <f t="shared" ca="1" si="3"/>
        <v>0</v>
      </c>
      <c r="S15" s="29">
        <f t="shared" ca="1" si="3"/>
        <v>0</v>
      </c>
      <c r="T15" s="29">
        <f t="shared" si="3"/>
        <v>-8.9768479736539262E-3</v>
      </c>
      <c r="U15" s="29">
        <f t="shared" si="3"/>
        <v>8.6558009283535162E-4</v>
      </c>
      <c r="V15" s="29">
        <f t="shared" ca="1" si="3"/>
        <v>1.8552156171996003E-4</v>
      </c>
      <c r="W15" s="29">
        <f t="shared" ca="1" si="3"/>
        <v>9.4628850654271431E-5</v>
      </c>
      <c r="X15" s="29">
        <f t="shared" ca="1" si="3"/>
        <v>0.1603665152587859</v>
      </c>
    </row>
  </sheetData>
  <dataValidations count="6">
    <dataValidation type="list" allowBlank="1" showInputMessage="1" showErrorMessage="1" error="Deve-se selecionar grupo válido" sqref="A2" xr:uid="{BD60EC27-EF42-4465-AFF0-1AA3CA5CC861}">
      <formula1>AA1:AA6</formula1>
    </dataValidation>
    <dataValidation type="list" allowBlank="1" showInputMessage="1" showErrorMessage="1" error="Deve-se selecionar grupo válido" sqref="B2" xr:uid="{050D652A-B5E2-4458-8E5E-68D76B5CB6CB}">
      <formula1>AB1:AB7</formula1>
    </dataValidation>
    <dataValidation type="list" allowBlank="1" showInputMessage="1" showErrorMessage="1" error="Deve-se selecionar grupo válido" sqref="C2 E2" xr:uid="{CD79F799-F9BB-4A64-8835-0C07369DD8AE}">
      <formula1>AC1:AC4</formula1>
    </dataValidation>
    <dataValidation type="list" allowBlank="1" showInputMessage="1" showErrorMessage="1" error="Deve-se selecionar grupo válido" sqref="D2" xr:uid="{51E12E6E-9C5E-4269-855C-5E5E9E609184}">
      <formula1>AD1:AD10</formula1>
    </dataValidation>
    <dataValidation type="list" allowBlank="1" showInputMessage="1" showErrorMessage="1" error="Deve-se selecionar grupo válido" sqref="F2" xr:uid="{D029E79A-9AFE-4CE9-81C9-B175C38388C9}">
      <formula1>AF1:AF1</formula1>
    </dataValidation>
    <dataValidation type="list" allowBlank="1" showInputMessage="1" showErrorMessage="1" error="Deve-se selecionar grupo válido" sqref="G2" xr:uid="{33A18F94-F795-41FC-BA43-F5036255715B}">
      <formula1>AG1:AG8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F9229-A8A1-476F-9F7D-CB3BFD0A26B1}">
  <dimension ref="A1:AG15"/>
  <sheetViews>
    <sheetView showGridLines="0" workbookViewId="0">
      <selection activeCell="J15" sqref="J15"/>
    </sheetView>
  </sheetViews>
  <sheetFormatPr defaultRowHeight="11.25" x14ac:dyDescent="0.2"/>
  <cols>
    <col min="1" max="1" width="19.140625" style="14" bestFit="1" customWidth="1"/>
    <col min="2" max="2" width="10.5703125" style="14" bestFit="1" customWidth="1"/>
    <col min="3" max="5" width="10.28515625" style="14" bestFit="1" customWidth="1"/>
    <col min="6" max="6" width="10.5703125" style="14" bestFit="1" customWidth="1"/>
    <col min="7" max="7" width="14.85546875" style="14" bestFit="1" customWidth="1"/>
    <col min="8" max="8" width="10" style="14" bestFit="1" customWidth="1"/>
    <col min="9" max="9" width="9.5703125" style="14" bestFit="1" customWidth="1"/>
    <col min="10" max="10" width="6.42578125" style="14" bestFit="1" customWidth="1"/>
    <col min="11" max="11" width="7.7109375" style="14" bestFit="1" customWidth="1"/>
    <col min="12" max="12" width="10.7109375" style="14" bestFit="1" customWidth="1"/>
    <col min="13" max="13" width="10.85546875" style="14" bestFit="1" customWidth="1"/>
    <col min="14" max="26" width="9.140625" style="14"/>
    <col min="27" max="27" width="3" style="14" bestFit="1" customWidth="1"/>
    <col min="28" max="28" width="27.140625" style="14" bestFit="1" customWidth="1"/>
    <col min="29" max="29" width="13.5703125" style="14" bestFit="1" customWidth="1"/>
    <col min="30" max="30" width="25.140625" style="14" bestFit="1" customWidth="1"/>
    <col min="31" max="33" width="10.28515625" style="14" bestFit="1" customWidth="1"/>
    <col min="34" max="16384" width="9.140625" style="14"/>
  </cols>
  <sheetData>
    <row r="1" spans="1:33" x14ac:dyDescent="0.2">
      <c r="A1" s="14" t="s">
        <v>64</v>
      </c>
      <c r="B1" s="14" t="s">
        <v>65</v>
      </c>
      <c r="C1" s="14" t="s">
        <v>66</v>
      </c>
      <c r="D1" s="14" t="s">
        <v>67</v>
      </c>
      <c r="E1" s="14" t="s">
        <v>68</v>
      </c>
      <c r="F1" s="14" t="s">
        <v>15</v>
      </c>
      <c r="G1" s="14" t="s">
        <v>70</v>
      </c>
      <c r="I1" s="14" t="s">
        <v>1077</v>
      </c>
      <c r="AA1" s="14" t="s">
        <v>35</v>
      </c>
      <c r="AB1" s="14" t="s">
        <v>25</v>
      </c>
      <c r="AC1" s="14" t="s">
        <v>25</v>
      </c>
      <c r="AD1" s="14" t="s">
        <v>25</v>
      </c>
      <c r="AE1" s="14" t="s">
        <v>25</v>
      </c>
      <c r="AF1" s="14" t="s">
        <v>25</v>
      </c>
      <c r="AG1" s="14" t="s">
        <v>25</v>
      </c>
    </row>
    <row r="2" spans="1:33" x14ac:dyDescent="0.2">
      <c r="A2" s="14" t="s">
        <v>35</v>
      </c>
      <c r="B2" s="14" t="s">
        <v>25</v>
      </c>
      <c r="C2" s="14" t="s">
        <v>25</v>
      </c>
      <c r="D2" s="14" t="s">
        <v>25</v>
      </c>
      <c r="E2" s="14" t="s">
        <v>25</v>
      </c>
      <c r="F2" s="14" t="s">
        <v>25</v>
      </c>
      <c r="G2" s="14" t="s">
        <v>25</v>
      </c>
      <c r="I2" s="14" t="str">
        <f>IF($G$2&lt;&gt;"Não se aplica",$A$2&amp;$B$2&amp;$C$2&amp;$D$2&amp;$E$2&amp;$F$2&amp;$G$2,IF($F$2&lt;&gt;"Não se aplica",$A$2&amp;$B$2&amp;$C$2&amp;$D$2&amp;$E$2&amp;$F$2,IF($E$2&lt;&gt;"Não se aplica",$A$2&amp;$B$2&amp;$C$2&amp;$D$2&amp;$E$2,IF($D$2&lt;&gt;"Não se aplica",$A$2&amp;$B$2&amp;$C$2&amp;$D$2,IF($C$2&lt;&gt;"Não se aplica",$A$2&amp;$B$2&amp;$C$2,IF($B$2&lt;&gt;"Não se aplica",$A$2&amp;$B$2,$A$2))))))</f>
        <v>A4</v>
      </c>
      <c r="AA2" s="14" t="s">
        <v>22</v>
      </c>
      <c r="AB2" s="14" t="s">
        <v>73</v>
      </c>
      <c r="AC2" s="14" t="s">
        <v>24</v>
      </c>
      <c r="AD2" s="14" t="s">
        <v>24</v>
      </c>
      <c r="AG2" s="14" t="s">
        <v>75</v>
      </c>
    </row>
    <row r="3" spans="1:33" x14ac:dyDescent="0.2">
      <c r="AA3" s="14" t="s">
        <v>41</v>
      </c>
      <c r="AB3" s="14" t="s">
        <v>77</v>
      </c>
      <c r="AC3" s="14" t="s">
        <v>42</v>
      </c>
      <c r="AD3" s="14" t="s">
        <v>29</v>
      </c>
      <c r="AG3" s="14" t="s">
        <v>76</v>
      </c>
    </row>
    <row r="4" spans="1:33" x14ac:dyDescent="0.2">
      <c r="AA4" s="14" t="s">
        <v>33</v>
      </c>
      <c r="AB4" s="14" t="s">
        <v>88</v>
      </c>
      <c r="AC4" s="14" t="s">
        <v>45</v>
      </c>
      <c r="AD4" s="14" t="s">
        <v>30</v>
      </c>
      <c r="AG4" s="14" t="s">
        <v>78</v>
      </c>
    </row>
    <row r="5" spans="1:33" x14ac:dyDescent="0.2">
      <c r="A5" s="14" t="s">
        <v>1070</v>
      </c>
      <c r="B5" s="14" t="str">
        <f>TE!$X$4</f>
        <v>P&amp;D</v>
      </c>
      <c r="C5" s="14" t="str">
        <f>TE!$Y$4</f>
        <v>ESS/ERR</v>
      </c>
      <c r="D5" s="14" t="str">
        <f>TE!$Z$4</f>
        <v>CFURH</v>
      </c>
      <c r="E5" s="14" t="str">
        <f>TE!$AA$4</f>
        <v>CDE Covid TE</v>
      </c>
      <c r="F5" s="14" t="str">
        <f>TE!$AB$4</f>
        <v>CDE ELET</v>
      </c>
      <c r="G5" s="14" t="str">
        <f>TE!$AC$4</f>
        <v>ENERGIA REVENDA</v>
      </c>
      <c r="H5" s="14" t="str">
        <f>TE!$AD$4</f>
        <v>ITAIPU</v>
      </c>
      <c r="I5" s="14" t="str">
        <f>TE!$AE$4</f>
        <v>TUST ITAIPU</v>
      </c>
      <c r="J5" s="14" t="str">
        <f>TE!$AF$4</f>
        <v>TUST CI</v>
      </c>
      <c r="K5" s="14" t="str">
        <f>TE!$AG$4</f>
        <v>SUBSIDIO</v>
      </c>
      <c r="L5" s="14" t="str">
        <f>TE!$AH$4</f>
        <v>PERDAS RB/C</v>
      </c>
      <c r="M5" s="14" t="s">
        <v>498</v>
      </c>
      <c r="AA5" s="14" t="s">
        <v>44</v>
      </c>
      <c r="AD5" s="14" t="s">
        <v>31</v>
      </c>
      <c r="AG5" s="14" t="s">
        <v>87</v>
      </c>
    </row>
    <row r="6" spans="1:33" x14ac:dyDescent="0.2">
      <c r="A6" s="14" t="s">
        <v>1071</v>
      </c>
      <c r="B6" s="18">
        <f>SUM(TE!$X$48:'TE'!$X$85)</f>
        <v>422648.72377982619</v>
      </c>
      <c r="C6" s="18">
        <f>SUM(TE!$Y$48:'TE'!$Y$85)</f>
        <v>945699.77790571551</v>
      </c>
      <c r="D6" s="18">
        <f>SUM(TE!$Z$48:'TE'!$Z$85)</f>
        <v>0</v>
      </c>
      <c r="E6" s="18">
        <f>SUM(TE!$AA$48:'TE'!$AA$85)</f>
        <v>0</v>
      </c>
      <c r="F6" s="18">
        <f>SUM(TE!$AB$48:'TE'!$AB$85)</f>
        <v>0</v>
      </c>
      <c r="G6" s="18">
        <f>SUM(TE!$AC$48:'TE'!$AC$85)</f>
        <v>42387051.207830675</v>
      </c>
      <c r="H6" s="18">
        <f>SUM(TE!$AD$48:'TE'!$AD$85)</f>
        <v>0</v>
      </c>
      <c r="I6" s="18">
        <f>SUM(TE!$AE$48:'TE'!$AE$85)</f>
        <v>0</v>
      </c>
      <c r="J6" s="18">
        <f>SUM(TE!$AF$48:'TE'!$AF$85)</f>
        <v>0</v>
      </c>
      <c r="K6" s="18">
        <f>SUM(TE!$AG$48:'TE'!$AG$85)</f>
        <v>0</v>
      </c>
      <c r="L6" s="18">
        <f>SUM(TE!$AH$48:'TE'!$AH$85)</f>
        <v>0</v>
      </c>
      <c r="M6" s="18">
        <f t="shared" ref="M6:M11" si="0">SUM(B6:L6)</f>
        <v>43755399.70951622</v>
      </c>
      <c r="AD6" s="14" t="s">
        <v>32</v>
      </c>
    </row>
    <row r="7" spans="1:33" x14ac:dyDescent="0.2">
      <c r="A7" s="14" t="s">
        <v>1072</v>
      </c>
      <c r="B7" s="18">
        <f>SUM(TE!$L$48:'TE'!$L$85)</f>
        <v>440405.63544354466</v>
      </c>
      <c r="C7" s="18">
        <f>SUM(TE!$M$48:'TE'!$M$85)</f>
        <v>5124071.1296257693</v>
      </c>
      <c r="D7" s="18">
        <f>SUM(TE!$N$48:'TE'!$N$85)</f>
        <v>0</v>
      </c>
      <c r="E7" s="18">
        <f>SUM(TE!$O$48:'TE'!$O$85)</f>
        <v>0</v>
      </c>
      <c r="F7" s="18">
        <f>SUM(TE!$P$48:'TE'!$P$85)</f>
        <v>-2490093.6337954621</v>
      </c>
      <c r="G7" s="18">
        <f>SUM(TE!$Q$48:'TE'!$Q$85)</f>
        <v>40266870.548588924</v>
      </c>
      <c r="H7" s="18">
        <f>SUM(TE!$R$48:'TE'!$R$85)</f>
        <v>1026692.3000456251</v>
      </c>
      <c r="I7" s="18">
        <f>SUM(TE!$S$48:'TE'!$S$85)</f>
        <v>763399.34399973613</v>
      </c>
      <c r="J7" s="18">
        <f>SUM(TE!$T$48:'TE'!$T$85)</f>
        <v>0</v>
      </c>
      <c r="K7" s="18">
        <f>SUM(TE!$U$48:'TE'!$U$85)</f>
        <v>0</v>
      </c>
      <c r="L7" s="18">
        <f>SUM(TE!$V$48:'TE'!$V$85)</f>
        <v>854474.51683151361</v>
      </c>
      <c r="M7" s="18">
        <f t="shared" si="0"/>
        <v>45985819.840739653</v>
      </c>
      <c r="AD7" s="14" t="s">
        <v>90</v>
      </c>
    </row>
    <row r="8" spans="1:33" x14ac:dyDescent="0.2">
      <c r="A8" s="14" t="s">
        <v>1075</v>
      </c>
      <c r="B8" s="18">
        <f>IF($G$2&lt;&gt;"Não se aplica",SUMIF(TE!$G$48:'TE'!$G$85,$I$2,TE!$X$48:'TE'!$X$85),IF($F$2&lt;&gt;"Não se aplica",SUMIF(TE!$F$48:'TE'!$F$85,$I$2,TE!$X$48:'TE'!$X$85),IF($E$2&lt;&gt;"Não se aplica",SUMIF(TE!$E$48:'TE'!$E$85,$I$2,TE!$X$48:'TE'!$X$85),IF($D$2&lt;&gt;"Não se aplica",SUMIF(TE!$D$48:'TE'!$D$85,$I$2,TE!$X$48:'TE'!$X$85),IF($C$2&lt;&gt;"Não se aplica",SUMIF(TE!$C$48:'TE'!$C$85,$I$2,TE!$X$48:'TE'!$X$85),IF($B$2&lt;&gt;"Não se aplica",SUMIF(TE!$B$48:'TE'!$B$85,$I$2,TE!$X$48:'TE'!$X$85),SUMIF(TE!$A$48:'TE'!$A$85,$I$2,TE!$X$48:'TE'!$X$85)))))))</f>
        <v>173359.32325532663</v>
      </c>
      <c r="C8" s="18">
        <f>IF($G$2&lt;&gt;"Não se aplica",SUMIF(TE!$G$48:'TE'!$G$85,$I$2,TE!$Y$48:'TE'!$Y$85),IF($F$2&lt;&gt;"Não se aplica",SUMIF(TE!$F$48:'TE'!$F$85,$I$2,TE!$Y$48:'TE'!$Y$85),IF($E$2&lt;&gt;"Não se aplica",SUMIF(TE!$E$48:'TE'!$E$85,$I$2,TE!$Y$48:'TE'!$Y$85),IF($D$2&lt;&gt;"Não se aplica",SUMIF(TE!$D$48:'TE'!$D$85,$I$2,TE!$Y$48:'TE'!$Y$85),IF($C$2&lt;&gt;"Não se aplica",SUMIF(TE!$C$48:'TE'!$C$85,$I$2,TE!$Y$48:'TE'!$Y$85),IF($B$2&lt;&gt;"Não se aplica",SUMIF(TE!$B$48:'TE'!$B$85,$I$2,TE!$Y$48:'TE'!$Y$85),SUMIF(TE!$A$48:'TE'!$A$85,$I$2,TE!$Y$48:'TE'!$Y$85)))))))</f>
        <v>387901.02578389243</v>
      </c>
      <c r="D8" s="18">
        <f>IF($G$2&lt;&gt;"Não se aplica",SUMIF(TE!$G$48:'TE'!$G$85,$I$2,TE!$Z$48:'TE'!$Z$85),IF($F$2&lt;&gt;"Não se aplica",SUMIF(TE!$F$48:'TE'!$F$85,$I$2,TE!$Z$48:'TE'!$Z$85),IF($E$2&lt;&gt;"Não se aplica",SUMIF(TE!$E$48:'TE'!$E$85,$I$2,TE!$Z$48:'TE'!$Z$85),IF($D$2&lt;&gt;"Não se aplica",SUMIF(TE!$D$48:'TE'!$D$85,$I$2,TE!$Z$48:'TE'!$Z$85),IF($C$2&lt;&gt;"Não se aplica",SUMIF(TE!$C$48:'TE'!$C$85,$I$2,TE!$Z$48:'TE'!$Z$85),IF($B$2&lt;&gt;"Não se aplica",SUMIF(TE!$B$48:'TE'!$B$85,$I$2,TE!$Z$48:'TE'!$Z$85),SUMIF(TE!$A$48:'TE'!$A$85,$I$2,TE!$Z$48:'TE'!$Z$85)))))))</f>
        <v>0</v>
      </c>
      <c r="E8" s="18">
        <f>IF($G$2&lt;&gt;"Não se aplica",SUMIF(TE!$G$48:'TE'!$G$85,$I$2,TE!$AA$48:'TE'!$AA$85),IF($F$2&lt;&gt;"Não se aplica",SUMIF(TE!$F$48:'TE'!$F$85,$I$2,TE!$AA$48:'TE'!$AA$85),IF($E$2&lt;&gt;"Não se aplica",SUMIF(TE!$E$48:'TE'!$E$85,$I$2,TE!$AA$48:'TE'!$AA$85),IF($D$2&lt;&gt;"Não se aplica",SUMIF(TE!$D$48:'TE'!$D$85,$I$2,TE!$AA$48:'TE'!$AA$85),IF($C$2&lt;&gt;"Não se aplica",SUMIF(TE!$C$48:'TE'!$C$85,$I$2,TE!$AA$48:'TE'!$AA$85),IF($B$2&lt;&gt;"Não se aplica",SUMIF(TE!$B$48:'TE'!$B$85,$I$2,TE!$AA$48:'TE'!$AA$85),SUMIF(TE!$A$48:'TE'!$A$85,$I$2,TE!$AA$48:'TE'!$AA$85)))))))</f>
        <v>0</v>
      </c>
      <c r="F8" s="18">
        <f>IF($G$2&lt;&gt;"Não se aplica",SUMIF(TE!$G$48:'TE'!$G$85,$I$2,TE!$AB$48:'TE'!$AB$85),IF($F$2&lt;&gt;"Não se aplica",SUMIF(TE!$F$48:'TE'!$F$85,$I$2,TE!$AB$48:'TE'!$AB$85),IF($E$2&lt;&gt;"Não se aplica",SUMIF(TE!$E$48:'TE'!$E$85,$I$2,TE!$AB$48:'TE'!$AB$85),IF($D$2&lt;&gt;"Não se aplica",SUMIF(TE!$D$48:'TE'!$D$85,$I$2,TE!$AB$48:'TE'!$AB$85),IF($C$2&lt;&gt;"Não se aplica",SUMIF(TE!$C$48:'TE'!$C$85,$I$2,TE!$AB$48:'TE'!$AB$85),IF($B$2&lt;&gt;"Não se aplica",SUMIF(TE!$B$48:'TE'!$B$85,$I$2,TE!$AB$48:'TE'!$AB$85),SUMIF(TE!$A$48:'TE'!$A$85,$I$2,TE!$AB$48:'TE'!$AB$85)))))))</f>
        <v>0</v>
      </c>
      <c r="G8" s="18">
        <f>IF($G$2&lt;&gt;"Não se aplica",SUMIF(TE!$G$48:'TE'!$G$85,$I$2,TE!$AC$48:'TE'!$AC$85),IF($F$2&lt;&gt;"Não se aplica",SUMIF(TE!$F$48:'TE'!$F$85,$I$2,TE!$AC$48:'TE'!$AC$85),IF($E$2&lt;&gt;"Não se aplica",SUMIF(TE!$E$48:'TE'!$E$85,$I$2,TE!$AC$48:'TE'!$AC$85),IF($D$2&lt;&gt;"Não se aplica",SUMIF(TE!$D$48:'TE'!$D$85,$I$2,TE!$AC$48:'TE'!$AC$85),IF($C$2&lt;&gt;"Não se aplica",SUMIF(TE!$C$48:'TE'!$C$85,$I$2,TE!$AC$48:'TE'!$AC$85),IF($B$2&lt;&gt;"Não se aplica",SUMIF(TE!$B$48:'TE'!$B$85,$I$2,TE!$AC$48:'TE'!$AC$85),SUMIF(TE!$A$48:'TE'!$A$85,$I$2,TE!$AC$48:'TE'!$AC$85)))))))</f>
        <v>17127429.992033947</v>
      </c>
      <c r="H8" s="18">
        <f>IF($G$2&lt;&gt;"Não se aplica",SUMIF(TE!$G$48:'TE'!$G$85,$I$2,TE!$AD$48:'TE'!$AD$85),IF($F$2&lt;&gt;"Não se aplica",SUMIF(TE!$F$48:'TE'!$F$85,$I$2,TE!$AD$48:'TE'!$AD$85),IF($E$2&lt;&gt;"Não se aplica",SUMIF(TE!$E$48:'TE'!$E$85,$I$2,TE!$AD$48:'TE'!$AD$85),IF($D$2&lt;&gt;"Não se aplica",SUMIF(TE!$D$48:'TE'!$D$85,$I$2,TE!$AD$48:'TE'!$AD$85),IF($C$2&lt;&gt;"Não se aplica",SUMIF(TE!$C$48:'TE'!$C$85,$I$2,TE!$AD$48:'TE'!$AD$85),IF($B$2&lt;&gt;"Não se aplica",SUMIF(TE!$B$48:'TE'!$B$85,$I$2,TE!$AD$48:'TE'!$AD$85),SUMIF(TE!$A$48:'TE'!$A$85,$I$2,TE!$AD$48:'TE'!$AD$85)))))))</f>
        <v>0</v>
      </c>
      <c r="I8" s="18">
        <f>IF($G$2&lt;&gt;"Não se aplica",SUMIF(TE!$G$48:'TE'!$G$85,$I$2,TE!$AE$48:'TE'!$AE$85),IF($F$2&lt;&gt;"Não se aplica",SUMIF(TE!$F$48:'TE'!$F$85,$I$2,TE!$AE$48:'TE'!$AE$85),IF($E$2&lt;&gt;"Não se aplica",SUMIF(TE!$E$48:'TE'!$E$85,$I$2,TE!$AE$48:'TE'!$AE$85),IF($D$2&lt;&gt;"Não se aplica",SUMIF(TE!$D$48:'TE'!$D$85,$I$2,TE!$AE$48:'TE'!$AE$85),IF($C$2&lt;&gt;"Não se aplica",SUMIF(TE!$C$48:'TE'!$C$85,$I$2,TE!$AE$48:'TE'!$AE$85),IF($B$2&lt;&gt;"Não se aplica",SUMIF(TE!$B$48:'TE'!$B$85,$I$2,TE!$AE$48:'TE'!$AE$85),SUMIF(TE!$A$48:'TE'!$A$85,$I$2,TE!$AE$48:'TE'!$AE$85)))))))</f>
        <v>0</v>
      </c>
      <c r="J8" s="18">
        <f>IF($G$2&lt;&gt;"Não se aplica",SUMIF(TE!$G$48:'TE'!$G$85,$I$2,TE!$AF$48:'TE'!$AF$85),IF($F$2&lt;&gt;"Não se aplica",SUMIF(TE!$F$48:'TE'!$F$85,$I$2,TE!$AF$48:'TE'!$AF$85),IF($E$2&lt;&gt;"Não se aplica",SUMIF(TE!$E$48:'TE'!$E$85,$I$2,TE!$AF$48:'TE'!$AF$85),IF($D$2&lt;&gt;"Não se aplica",SUMIF(TE!$D$48:'TE'!$D$85,$I$2,TE!$AF$48:'TE'!$AF$85),IF($C$2&lt;&gt;"Não se aplica",SUMIF(TE!$C$48:'TE'!$C$85,$I$2,TE!$AF$48:'TE'!$AF$85),IF($B$2&lt;&gt;"Não se aplica",SUMIF(TE!$B$48:'TE'!$B$85,$I$2,TE!$AF$48:'TE'!$AF$85),SUMIF(TE!$A$48:'TE'!$A$85,$I$2,TE!$AF$48:'TE'!$AF$85)))))))</f>
        <v>0</v>
      </c>
      <c r="K8" s="18">
        <f>IF($G$2&lt;&gt;"Não se aplica",SUMIF(TE!$G$48:'TE'!$G$85,$I$2,TE!$AG$48:'TE'!$AG$85),IF($F$2&lt;&gt;"Não se aplica",SUMIF(TE!$F$48:'TE'!$F$85,$I$2,TE!$AG$48:'TE'!$AG$85),IF($E$2&lt;&gt;"Não se aplica",SUMIF(TE!$E$48:'TE'!$E$85,$I$2,TE!$AG$48:'TE'!$AG$85),IF($D$2&lt;&gt;"Não se aplica",SUMIF(TE!$D$48:'TE'!$D$85,$I$2,TE!$AG$48:'TE'!$AG$85),IF($C$2&lt;&gt;"Não se aplica",SUMIF(TE!$C$48:'TE'!$C$85,$I$2,TE!$AG$48:'TE'!$AG$85),IF($B$2&lt;&gt;"Não se aplica",SUMIF(TE!$B$48:'TE'!$B$85,$I$2,TE!$AG$48:'TE'!$AG$85),SUMIF(TE!$A$48:'TE'!$A$85,$I$2,TE!$AG$48:'TE'!$AG$85)))))))</f>
        <v>0</v>
      </c>
      <c r="L8" s="18">
        <f>IF($G$2&lt;&gt;"Não se aplica",SUMIF(TE!$G$48:'TE'!$G$85,$I$2,TE!$AH$48:'TE'!$AH$85),IF($F$2&lt;&gt;"Não se aplica",SUMIF(TE!$F$48:'TE'!$F$85,$I$2,TE!$AH$48:'TE'!$AH$85),IF($E$2&lt;&gt;"Não se aplica",SUMIF(TE!$E$48:'TE'!$E$85,$I$2,TE!$AH$48:'TE'!$AH$85),IF($D$2&lt;&gt;"Não se aplica",SUMIF(TE!$D$48:'TE'!$D$85,$I$2,TE!$AH$48:'TE'!$AH$85),IF($C$2&lt;&gt;"Não se aplica",SUMIF(TE!$C$48:'TE'!$C$85,$I$2,TE!$AH$48:'TE'!$AH$85),IF($B$2&lt;&gt;"Não se aplica",SUMIF(TE!$B$48:'TE'!$B$85,$I$2,TE!$AH$48:'TE'!$AH$85),SUMIF(TE!$A$48:'TE'!$A$85,$I$2,TE!$AH$48:'TE'!$AH$85)))))))</f>
        <v>0</v>
      </c>
      <c r="M8" s="18">
        <f t="shared" si="0"/>
        <v>17688690.341073167</v>
      </c>
      <c r="AD8" s="14" t="s">
        <v>91</v>
      </c>
    </row>
    <row r="9" spans="1:33" x14ac:dyDescent="0.2">
      <c r="A9" s="14" t="s">
        <v>1076</v>
      </c>
      <c r="B9" s="18">
        <f>IF($G$2&lt;&gt;"Não se aplica",SUMIF(TE!$G$48:'TE'!$G$85,$I$2,TE!$L$48:'TE'!$L$85),IF($F$2&lt;&gt;"Não se aplica",SUMIF(TE!$F$48:'TE'!$F$85,$I$2,TE!$L$48:'TE'!$L$85),IF($E$2&lt;&gt;"Não se aplica",SUMIF(TE!$E$48:'TE'!$E$85,$I$2,TE!$L$48:'TE'!$L$85),IF($D$2&lt;&gt;"Não se aplica",SUMIF(TE!$D$48:'TE'!$D$85,$I$2,TE!$L$48:'TE'!$L$85),IF($C$2&lt;&gt;"Não se aplica",SUMIF(TE!$C$48:'TE'!$C$85,$I$2,TE!$L$48:'TE'!$L$85),IF($B$2&lt;&gt;"Não se aplica",SUMIF(TE!$B$48:'TE'!$B$85,$I$2,TE!$L$48:'TE'!$L$85),SUMIF(TE!$A$48:'TE'!$A$85,$I$2,TE!$L$48:'TE'!$L$85)))))))</f>
        <v>180000.28582741646</v>
      </c>
      <c r="C9" s="18">
        <f>IF($G$2&lt;&gt;"Não se aplica",SUMIF(TE!$G$48:'TE'!$G$85,$I$2,TE!$M$48:'TE'!$M$85),IF($F$2&lt;&gt;"Não se aplica",SUMIF(TE!$F$48:'TE'!$F$85,$I$2,TE!$M$48:'TE'!$M$85),IF($E$2&lt;&gt;"Não se aplica",SUMIF(TE!$E$48:'TE'!$E$85,$I$2,TE!$M$48:'TE'!$M$85),IF($D$2&lt;&gt;"Não se aplica",SUMIF(TE!$D$48:'TE'!$D$85,$I$2,TE!$M$48:'TE'!$M$85),IF($C$2&lt;&gt;"Não se aplica",SUMIF(TE!$C$48:'TE'!$C$85,$I$2,TE!$M$48:'TE'!$M$85),IF($B$2&lt;&gt;"Não se aplica",SUMIF(TE!$B$48:'TE'!$B$85,$I$2,TE!$M$48:'TE'!$M$85),SUMIF(TE!$A$48:'TE'!$A$85,$I$2,TE!$M$48:'TE'!$M$85)))))))</f>
        <v>2094283.527965629</v>
      </c>
      <c r="D9" s="18">
        <f>IF($G$2&lt;&gt;"Não se aplica",SUMIF(TE!$G$48:'TE'!$G$85,$I$2,TE!$N$48:'TE'!$N$85),IF($F$2&lt;&gt;"Não se aplica",SUMIF(TE!$F$48:'TE'!$F$85,$I$2,TE!$N$48:'TE'!$N$85),IF($E$2&lt;&gt;"Não se aplica",SUMIF(TE!$E$48:'TE'!$E$85,$I$2,TE!$N$48:'TE'!$N$85),IF($D$2&lt;&gt;"Não se aplica",SUMIF(TE!$D$48:'TE'!$D$85,$I$2,TE!$N$48:'TE'!$N$85),IF($C$2&lt;&gt;"Não se aplica",SUMIF(TE!$C$48:'TE'!$C$85,$I$2,TE!$N$48:'TE'!$N$85),IF($B$2&lt;&gt;"Não se aplica",SUMIF(TE!$B$48:'TE'!$B$85,$I$2,TE!$N$48:'TE'!$N$85),SUMIF(TE!$A$48:'TE'!$A$85,$I$2,TE!$N$48:'TE'!$N$85)))))))</f>
        <v>0</v>
      </c>
      <c r="E9" s="18">
        <f>IF($G$2&lt;&gt;"Não se aplica",SUMIF(TE!$G$48:'TE'!$G$85,$I$2,TE!$O$48:'TE'!$O$85),IF($F$2&lt;&gt;"Não se aplica",SUMIF(TE!$F$48:'TE'!$F$85,$I$2,TE!$O$48:'TE'!$O$85),IF($E$2&lt;&gt;"Não se aplica",SUMIF(TE!$E$48:'TE'!$E$85,$I$2,TE!$O$48:'TE'!$O$85),IF($D$2&lt;&gt;"Não se aplica",SUMIF(TE!$D$48:'TE'!$D$85,$I$2,TE!$O$48:'TE'!$O$85),IF($C$2&lt;&gt;"Não se aplica",SUMIF(TE!$C$48:'TE'!$C$85,$I$2,TE!$O$48:'TE'!$O$85),IF($B$2&lt;&gt;"Não se aplica",SUMIF(TE!$B$48:'TE'!$B$85,$I$2,TE!$O$48:'TE'!$O$85),SUMIF(TE!$A$48:'TE'!$A$85,$I$2,TE!$O$48:'TE'!$O$85)))))))</f>
        <v>0</v>
      </c>
      <c r="F9" s="18">
        <f>IF($G$2&lt;&gt;"Não se aplica",SUMIF(TE!$G$48:'TE'!$G$85,$I$2,TE!$P$48:'TE'!$P$85),IF($F$2&lt;&gt;"Não se aplica",SUMIF(TE!$F$48:'TE'!$F$85,$I$2,TE!$P$48:'TE'!$P$85),IF($E$2&lt;&gt;"Não se aplica",SUMIF(TE!$E$48:'TE'!$E$85,$I$2,TE!$P$48:'TE'!$P$85),IF($D$2&lt;&gt;"Não se aplica",SUMIF(TE!$D$48:'TE'!$D$85,$I$2,TE!$P$48:'TE'!$P$85),IF($C$2&lt;&gt;"Não se aplica",SUMIF(TE!$C$48:'TE'!$C$85,$I$2,TE!$P$48:'TE'!$P$85),IF($B$2&lt;&gt;"Não se aplica",SUMIF(TE!$B$48:'TE'!$B$85,$I$2,TE!$P$48:'TE'!$P$85),SUMIF(TE!$A$48:'TE'!$A$85,$I$2,TE!$P$48:'TE'!$P$85)))))))</f>
        <v>-1017738.0345480844</v>
      </c>
      <c r="G9" s="18">
        <f>IF($G$2&lt;&gt;"Não se aplica",SUMIF(TE!$G$48:'TE'!$G$85,$I$2,TE!$Q$48:'TE'!$Q$85),IF($F$2&lt;&gt;"Não se aplica",SUMIF(TE!$F$48:'TE'!$F$85,$I$2,TE!$Q$48:'TE'!$Q$85),IF($E$2&lt;&gt;"Não se aplica",SUMIF(TE!$E$48:'TE'!$E$85,$I$2,TE!$Q$48:'TE'!$Q$85),IF($D$2&lt;&gt;"Não se aplica",SUMIF(TE!$D$48:'TE'!$D$85,$I$2,TE!$Q$48:'TE'!$Q$85),IF($C$2&lt;&gt;"Não se aplica",SUMIF(TE!$C$48:'TE'!$C$85,$I$2,TE!$Q$48:'TE'!$Q$85),IF($B$2&lt;&gt;"Não se aplica",SUMIF(TE!$B$48:'TE'!$B$85,$I$2,TE!$Q$48:'TE'!$Q$85),SUMIF(TE!$A$48:'TE'!$A$85,$I$2,TE!$Q$48:'TE'!$Q$85)))))))</f>
        <v>16212260.440283956</v>
      </c>
      <c r="H9" s="18">
        <f>IF($G$2&lt;&gt;"Não se aplica",SUMIF(TE!$G$48:'TE'!$G$85,$I$2,TE!$R$48:'TE'!$R$85),IF($F$2&lt;&gt;"Não se aplica",SUMIF(TE!$F$48:'TE'!$F$85,$I$2,TE!$R$48:'TE'!$R$85),IF($E$2&lt;&gt;"Não se aplica",SUMIF(TE!$E$48:'TE'!$E$85,$I$2,TE!$R$48:'TE'!$R$85),IF($D$2&lt;&gt;"Não se aplica",SUMIF(TE!$D$48:'TE'!$D$85,$I$2,TE!$R$48:'TE'!$R$85),IF($C$2&lt;&gt;"Não se aplica",SUMIF(TE!$C$48:'TE'!$C$85,$I$2,TE!$R$48:'TE'!$R$85),IF($B$2&lt;&gt;"Não se aplica",SUMIF(TE!$B$48:'TE'!$B$85,$I$2,TE!$R$48:'TE'!$R$85),SUMIF(TE!$A$48:'TE'!$A$85,$I$2,TE!$R$48:'TE'!$R$85)))))))</f>
        <v>419624.30221606506</v>
      </c>
      <c r="I9" s="18">
        <f>IF($G$2&lt;&gt;"Não se aplica",SUMIF(TE!$G$48:'TE'!$G$85,$I$2,TE!$S$48:'TE'!$S$85),IF($F$2&lt;&gt;"Não se aplica",SUMIF(TE!$F$48:'TE'!$F$85,$I$2,TE!$S$48:'TE'!$S$85),IF($E$2&lt;&gt;"Não se aplica",SUMIF(TE!$E$48:'TE'!$E$85,$I$2,TE!$S$48:'TE'!$S$85),IF($D$2&lt;&gt;"Não se aplica",SUMIF(TE!$D$48:'TE'!$D$85,$I$2,TE!$S$48:'TE'!$S$85),IF($C$2&lt;&gt;"Não se aplica",SUMIF(TE!$C$48:'TE'!$C$85,$I$2,TE!$S$48:'TE'!$S$85),IF($B$2&lt;&gt;"Não se aplica",SUMIF(TE!$B$48:'TE'!$B$85,$I$2,TE!$S$48:'TE'!$S$85),SUMIF(TE!$A$48:'TE'!$A$85,$I$2,TE!$S$48:'TE'!$S$85)))))))</f>
        <v>312012.58354022476</v>
      </c>
      <c r="J9" s="18">
        <f>IF($G$2&lt;&gt;"Não se aplica",SUMIF(TE!$G$48:'TE'!$G$85,$I$2,TE!$T$48:'TE'!$T$85),IF($F$2&lt;&gt;"Não se aplica",SUMIF(TE!$F$48:'TE'!$F$85,$I$2,TE!$T$48:'TE'!$T$85),IF($E$2&lt;&gt;"Não se aplica",SUMIF(TE!$E$48:'TE'!$E$85,$I$2,TE!$T$48:'TE'!$T$85),IF($D$2&lt;&gt;"Não se aplica",SUMIF(TE!$D$48:'TE'!$D$85,$I$2,TE!$T$48:'TE'!$T$85),IF($C$2&lt;&gt;"Não se aplica",SUMIF(TE!$C$48:'TE'!$C$85,$I$2,TE!$T$48:'TE'!$T$85),IF($B$2&lt;&gt;"Não se aplica",SUMIF(TE!$B$48:'TE'!$B$85,$I$2,TE!$T$48:'TE'!$T$85),SUMIF(TE!$A$48:'TE'!$A$85,$I$2,TE!$T$48:'TE'!$T$85)))))))</f>
        <v>0</v>
      </c>
      <c r="K9" s="18">
        <f>IF($G$2&lt;&gt;"Não se aplica",SUMIF(TE!$G$48:'TE'!$G$85,$I$2,TE!$U$48:'TE'!$U$85),IF($F$2&lt;&gt;"Não se aplica",SUMIF(TE!$F$48:'TE'!$F$85,$I$2,TE!$U$48:'TE'!$U$85),IF($E$2&lt;&gt;"Não se aplica",SUMIF(TE!$E$48:'TE'!$E$85,$I$2,TE!$U$48:'TE'!$U$85),IF($D$2&lt;&gt;"Não se aplica",SUMIF(TE!$D$48:'TE'!$D$85,$I$2,TE!$U$48:'TE'!$U$85),IF($C$2&lt;&gt;"Não se aplica",SUMIF(TE!$C$48:'TE'!$C$85,$I$2,TE!$U$48:'TE'!$U$85),IF($B$2&lt;&gt;"Não se aplica",SUMIF(TE!$B$48:'TE'!$B$85,$I$2,TE!$U$48:'TE'!$U$85),SUMIF(TE!$A$48:'TE'!$A$85,$I$2,TE!$U$48:'TE'!$U$85)))))))</f>
        <v>0</v>
      </c>
      <c r="L9" s="18">
        <f>IF($G$2&lt;&gt;"Não se aplica",SUMIF(TE!$G$48:'TE'!$G$85,$I$2,TE!$V$48:'TE'!$V$85),IF($F$2&lt;&gt;"Não se aplica",SUMIF(TE!$F$48:'TE'!$F$85,$I$2,TE!$V$48:'TE'!$V$85),IF($E$2&lt;&gt;"Não se aplica",SUMIF(TE!$E$48:'TE'!$E$85,$I$2,TE!$V$48:'TE'!$V$85),IF($D$2&lt;&gt;"Não se aplica",SUMIF(TE!$D$48:'TE'!$D$85,$I$2,TE!$V$48:'TE'!$V$85),IF($C$2&lt;&gt;"Não se aplica",SUMIF(TE!$C$48:'TE'!$C$85,$I$2,TE!$V$48:'TE'!$V$85),IF($B$2&lt;&gt;"Não se aplica",SUMIF(TE!$B$48:'TE'!$B$85,$I$2,TE!$V$48:'TE'!$V$85),SUMIF(TE!$A$48:'TE'!$A$85,$I$2,TE!$V$48:'TE'!$V$85)))))))</f>
        <v>349236.35140820598</v>
      </c>
      <c r="M9" s="18">
        <f t="shared" si="0"/>
        <v>18549679.456693411</v>
      </c>
      <c r="AD9" s="14" t="s">
        <v>46</v>
      </c>
    </row>
    <row r="10" spans="1:33" x14ac:dyDescent="0.2">
      <c r="A10" s="14" t="s">
        <v>1073</v>
      </c>
      <c r="B10" s="18">
        <f>SUMIF(TE!$A$48:'TE'!$A$85,$A$2,TE!$X$48:'TE'!$X$85)</f>
        <v>173359.32325532663</v>
      </c>
      <c r="C10" s="18">
        <f>SUMIF(TE!$A$48:'TE'!$A$85,$A$2,TE!$Y$48:'TE'!$Y$85)</f>
        <v>387901.02578389243</v>
      </c>
      <c r="D10" s="18">
        <f>SUMIF(TE!$A$48:'TE'!$A$85,$A$2,TE!$Z$48:'TE'!$Z$85)</f>
        <v>0</v>
      </c>
      <c r="E10" s="18">
        <f>SUMIF(TE!$A$48:'TE'!$A$85,$A$2,TE!$AA$48:'TE'!$AA$85)</f>
        <v>0</v>
      </c>
      <c r="F10" s="18">
        <f>SUMIF(TE!$A$48:'TE'!$A$85,$A$2,TE!$AB$48:'TE'!$AB$85)</f>
        <v>0</v>
      </c>
      <c r="G10" s="18">
        <f>SUMIF(TE!$A$48:'TE'!$A$85,$A$2,TE!$AC$48:'TE'!$AC$85)</f>
        <v>17127429.992033947</v>
      </c>
      <c r="H10" s="18">
        <f>SUMIF(TE!$A$48:'TE'!$A$85,$A$2,TE!$AD$48:'TE'!$AD$85)</f>
        <v>0</v>
      </c>
      <c r="I10" s="18">
        <f>SUMIF(TE!$A$48:'TE'!$A$85,$A$2,TE!$AE$48:'TE'!$AE$85)</f>
        <v>0</v>
      </c>
      <c r="J10" s="18">
        <f>SUMIF(TE!$A$48:'TE'!$A$85,$A$2,TE!$AF$48:'TE'!$AF$85)</f>
        <v>0</v>
      </c>
      <c r="K10" s="18">
        <f>SUMIF(TE!$A$48:'TE'!$A$85,$A$2,TE!$AG$48:'TE'!$AG$85)</f>
        <v>0</v>
      </c>
      <c r="L10" s="18">
        <f>SUMIF(TE!$A$48:'TE'!$A$85,$A$2,TE!$AH$48:'TE'!$AH$85)</f>
        <v>0</v>
      </c>
      <c r="M10" s="18">
        <f t="shared" si="0"/>
        <v>17688690.341073167</v>
      </c>
      <c r="AD10" s="14" t="s">
        <v>92</v>
      </c>
    </row>
    <row r="11" spans="1:33" x14ac:dyDescent="0.2">
      <c r="A11" s="14" t="s">
        <v>1074</v>
      </c>
      <c r="B11" s="18">
        <f>SUMIF(TE!$A$48:'TE'!$A$85,$A$2,TE!$L$48:'TE'!$L$85)</f>
        <v>180000.28582741646</v>
      </c>
      <c r="C11" s="18">
        <f>SUMIF(TE!$A$48:'TE'!$A$85,$A$2,TE!$M$48:'TE'!$M$85)</f>
        <v>2094283.527965629</v>
      </c>
      <c r="D11" s="18">
        <f>SUMIF(TE!$A$48:'TE'!$A$85,$A$2,TE!$N$48:'TE'!$N$85)</f>
        <v>0</v>
      </c>
      <c r="E11" s="18">
        <f>SUMIF(TE!$A$48:'TE'!$A$85,$A$2,TE!$O$48:'TE'!$O$85)</f>
        <v>0</v>
      </c>
      <c r="F11" s="18">
        <f>SUMIF(TE!$A$48:'TE'!$A$85,$A$2,TE!$P$48:'TE'!$P$85)</f>
        <v>-1017738.0345480844</v>
      </c>
      <c r="G11" s="18">
        <f>SUMIF(TE!$A$48:'TE'!$A$85,$A$2,TE!$Q$48:'TE'!$Q$85)</f>
        <v>16212260.440283956</v>
      </c>
      <c r="H11" s="18">
        <f>SUMIF(TE!$A$48:'TE'!$A$85,$A$2,TE!$R$48:'TE'!$R$85)</f>
        <v>419624.30221606506</v>
      </c>
      <c r="I11" s="18">
        <f>SUMIF(TE!$A$48:'TE'!$A$85,$A$2,TE!$S$48:'TE'!$S$85)</f>
        <v>312012.58354022476</v>
      </c>
      <c r="J11" s="18">
        <f>SUMIF(TE!$A$48:'TE'!$A$85,$A$2,TE!$T$48:'TE'!$T$85)</f>
        <v>0</v>
      </c>
      <c r="K11" s="18">
        <f>SUMIF(TE!$A$48:'TE'!$A$85,$A$2,TE!$U$48:'TE'!$U$85)</f>
        <v>0</v>
      </c>
      <c r="L11" s="18">
        <f>SUMIF(TE!$A$48:'TE'!$A$85,$A$2,TE!$V$48:'TE'!$V$85)</f>
        <v>349236.35140820598</v>
      </c>
      <c r="M11" s="18">
        <f t="shared" si="0"/>
        <v>18549679.456693411</v>
      </c>
    </row>
    <row r="13" spans="1:33" x14ac:dyDescent="0.2">
      <c r="A13" s="14" t="s">
        <v>1078</v>
      </c>
      <c r="B13" s="29">
        <f t="shared" ref="B13:M13" si="1">IF($M$6&lt;&gt;0,(B$7-B$6)/$M$6,0)</f>
        <v>4.0582217924195013E-4</v>
      </c>
      <c r="C13" s="29">
        <f t="shared" si="1"/>
        <v>9.5493844861650606E-2</v>
      </c>
      <c r="D13" s="29">
        <f t="shared" si="1"/>
        <v>0</v>
      </c>
      <c r="E13" s="29">
        <f t="shared" si="1"/>
        <v>0</v>
      </c>
      <c r="F13" s="29">
        <f t="shared" si="1"/>
        <v>-5.6909402046986662E-2</v>
      </c>
      <c r="G13" s="29">
        <f t="shared" si="1"/>
        <v>-4.8455291765524419E-2</v>
      </c>
      <c r="H13" s="29">
        <f t="shared" si="1"/>
        <v>2.3464356556256831E-2</v>
      </c>
      <c r="I13" s="29">
        <f t="shared" si="1"/>
        <v>1.7446974523551362E-2</v>
      </c>
      <c r="J13" s="29">
        <f t="shared" si="1"/>
        <v>0</v>
      </c>
      <c r="K13" s="29">
        <f t="shared" si="1"/>
        <v>0</v>
      </c>
      <c r="L13" s="29">
        <f t="shared" si="1"/>
        <v>1.952843586172695E-2</v>
      </c>
      <c r="M13" s="29">
        <f t="shared" si="1"/>
        <v>5.0974740169916578E-2</v>
      </c>
    </row>
    <row r="14" spans="1:33" x14ac:dyDescent="0.2">
      <c r="A14" s="14" t="s">
        <v>1079</v>
      </c>
      <c r="B14" s="29">
        <f t="shared" ref="B14:M14" si="2">IF($M$10&lt;&gt;0,(B$9-B$8)/$M$10,0)</f>
        <v>3.754355152382032E-4</v>
      </c>
      <c r="C14" s="29">
        <f t="shared" si="2"/>
        <v>9.6467430277724614E-2</v>
      </c>
      <c r="D14" s="29">
        <f t="shared" si="2"/>
        <v>0</v>
      </c>
      <c r="E14" s="29">
        <f t="shared" si="2"/>
        <v>0</v>
      </c>
      <c r="F14" s="29">
        <f t="shared" si="2"/>
        <v>-5.753608746176618E-2</v>
      </c>
      <c r="G14" s="29">
        <f t="shared" si="2"/>
        <v>-5.1737552871563709E-2</v>
      </c>
      <c r="H14" s="29">
        <f t="shared" si="2"/>
        <v>2.3722745671096789E-2</v>
      </c>
      <c r="I14" s="29">
        <f t="shared" si="2"/>
        <v>1.7639100324783857E-2</v>
      </c>
      <c r="J14" s="29">
        <f t="shared" si="2"/>
        <v>0</v>
      </c>
      <c r="K14" s="29">
        <f t="shared" si="2"/>
        <v>0</v>
      </c>
      <c r="L14" s="29">
        <f t="shared" si="2"/>
        <v>1.9743482681545882E-2</v>
      </c>
      <c r="M14" s="29">
        <f t="shared" si="2"/>
        <v>4.8674554137059331E-2</v>
      </c>
    </row>
    <row r="15" spans="1:33" x14ac:dyDescent="0.2">
      <c r="A15" s="14" t="s">
        <v>1080</v>
      </c>
      <c r="B15" s="29">
        <f t="shared" ref="B15:M15" si="3">IF($M$8&lt;&gt;0,(B$9-B$8)/$M$8,0)</f>
        <v>3.754355152382032E-4</v>
      </c>
      <c r="C15" s="29">
        <f t="shared" si="3"/>
        <v>9.6467430277724614E-2</v>
      </c>
      <c r="D15" s="29">
        <f t="shared" si="3"/>
        <v>0</v>
      </c>
      <c r="E15" s="29">
        <f t="shared" si="3"/>
        <v>0</v>
      </c>
      <c r="F15" s="29">
        <f t="shared" si="3"/>
        <v>-5.753608746176618E-2</v>
      </c>
      <c r="G15" s="29">
        <f t="shared" si="3"/>
        <v>-5.1737552871563709E-2</v>
      </c>
      <c r="H15" s="29">
        <f t="shared" si="3"/>
        <v>2.3722745671096789E-2</v>
      </c>
      <c r="I15" s="29">
        <f t="shared" si="3"/>
        <v>1.7639100324783857E-2</v>
      </c>
      <c r="J15" s="29">
        <f t="shared" si="3"/>
        <v>0</v>
      </c>
      <c r="K15" s="29">
        <f t="shared" si="3"/>
        <v>0</v>
      </c>
      <c r="L15" s="29">
        <f t="shared" si="3"/>
        <v>1.9743482681545882E-2</v>
      </c>
      <c r="M15" s="29">
        <f t="shared" si="3"/>
        <v>4.8674554137059331E-2</v>
      </c>
    </row>
  </sheetData>
  <dataValidations count="4">
    <dataValidation type="list" allowBlank="1" showInputMessage="1" showErrorMessage="1" sqref="A2 G2" xr:uid="{BA146C86-4FC2-4720-B204-8A5DC8CEA74C}">
      <formula1>AA1:AA5</formula1>
    </dataValidation>
    <dataValidation type="list" allowBlank="1" showInputMessage="1" showErrorMessage="1" sqref="B2 C2" xr:uid="{1EA3DA1E-F8B2-4AF7-AC50-39225DF678A2}">
      <formula1>AB1:AB4</formula1>
    </dataValidation>
    <dataValidation type="list" allowBlank="1" showInputMessage="1" showErrorMessage="1" sqref="D2" xr:uid="{29C64894-8856-4532-B850-01CA819267F6}">
      <formula1>AD1:AD10</formula1>
    </dataValidation>
    <dataValidation type="list" allowBlank="1" showInputMessage="1" showErrorMessage="1" sqref="E2 F2" xr:uid="{FCB57CC4-E364-4B47-BBE6-D6A1EB0B65B3}">
      <formula1>AE1:AE1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46D0C-7722-4F36-817E-C3DCB5A326ED}">
  <sheetPr>
    <tabColor indexed="12" tint="-0.249977111117893"/>
  </sheetPr>
  <dimension ref="A1:BC58"/>
  <sheetViews>
    <sheetView showGridLines="0" topLeftCell="Y35" workbookViewId="0">
      <selection activeCell="AO53" sqref="AO53:AP55"/>
    </sheetView>
  </sheetViews>
  <sheetFormatPr defaultColWidth="9.140625"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4" width="8.7109375" style="9" bestFit="1" customWidth="1"/>
    <col min="15" max="15" width="4.140625" style="9" bestFit="1" customWidth="1"/>
    <col min="16" max="16" width="4.42578125" style="9" bestFit="1" customWidth="1"/>
    <col min="17" max="17" width="10.85546875" style="9" bestFit="1" customWidth="1"/>
    <col min="18" max="18" width="10" style="9" bestFit="1" customWidth="1"/>
    <col min="19" max="19" width="8.7109375" style="9" bestFit="1" customWidth="1"/>
    <col min="20" max="20" width="10.85546875" style="9" bestFit="1" customWidth="1"/>
    <col min="21" max="21" width="7.42578125" style="9" bestFit="1" customWidth="1"/>
    <col min="22" max="22" width="7.28515625" style="9" bestFit="1" customWidth="1"/>
    <col min="23" max="24" width="9.85546875" style="9" bestFit="1" customWidth="1"/>
    <col min="25" max="25" width="10.85546875" style="9" bestFit="1" customWidth="1"/>
    <col min="26" max="26" width="7.7109375" style="9" bestFit="1" customWidth="1"/>
    <col min="27" max="27" width="9.85546875" style="9" bestFit="1" customWidth="1"/>
    <col min="28" max="28" width="10.85546875" style="9" bestFit="1" customWidth="1"/>
    <col min="29" max="29" width="11.7109375" style="9" bestFit="1" customWidth="1"/>
    <col min="30" max="30" width="10.85546875" style="9" bestFit="1" customWidth="1"/>
    <col min="31" max="31" width="8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7.85546875" style="9" bestFit="1" customWidth="1"/>
    <col min="38" max="38" width="10" style="9" bestFit="1" customWidth="1"/>
    <col min="39" max="39" width="10.85546875" style="9" bestFit="1" customWidth="1"/>
    <col min="40" max="40" width="9.140625" style="9"/>
    <col min="41" max="42" width="10.85546875" style="9" bestFit="1" customWidth="1"/>
    <col min="43" max="16384" width="9.140625" style="9"/>
  </cols>
  <sheetData>
    <row r="1" spans="1:55" ht="11.25" customHeight="1" x14ac:dyDescent="0.25">
      <c r="A1" s="145" t="s">
        <v>64</v>
      </c>
      <c r="B1" s="145" t="s">
        <v>65</v>
      </c>
      <c r="C1" s="145" t="s">
        <v>66</v>
      </c>
      <c r="D1" s="145" t="s">
        <v>67</v>
      </c>
      <c r="E1" s="145" t="s">
        <v>68</v>
      </c>
      <c r="F1" s="145" t="s">
        <v>15</v>
      </c>
      <c r="G1" s="145" t="s">
        <v>70</v>
      </c>
      <c r="H1" s="145" t="s">
        <v>71</v>
      </c>
      <c r="I1" s="145" t="s">
        <v>561</v>
      </c>
      <c r="J1" s="141"/>
      <c r="L1" s="146" t="s">
        <v>572</v>
      </c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  <c r="AA1" s="146"/>
      <c r="AB1" s="146"/>
      <c r="AC1" s="146"/>
      <c r="AD1" s="146"/>
      <c r="AE1" s="146"/>
      <c r="AF1" s="146"/>
      <c r="AG1" s="146"/>
      <c r="AH1" s="146"/>
      <c r="AI1" s="146"/>
      <c r="AJ1" s="146"/>
      <c r="AK1" s="146"/>
      <c r="AL1" s="146"/>
      <c r="AM1" s="146"/>
      <c r="AO1" s="59"/>
      <c r="AP1" s="150" t="s">
        <v>563</v>
      </c>
      <c r="AQ1" s="166" t="s">
        <v>1</v>
      </c>
      <c r="AR1" s="164" t="s">
        <v>2</v>
      </c>
      <c r="AS1" s="164" t="s">
        <v>3</v>
      </c>
      <c r="AT1" s="164" t="s">
        <v>4</v>
      </c>
      <c r="AU1" s="164" t="s">
        <v>5</v>
      </c>
      <c r="AV1" s="164" t="s">
        <v>1103</v>
      </c>
      <c r="AW1" s="164" t="s">
        <v>1104</v>
      </c>
      <c r="AX1" s="164" t="s">
        <v>1105</v>
      </c>
      <c r="AY1" s="164" t="s">
        <v>1106</v>
      </c>
      <c r="AZ1" s="164" t="s">
        <v>1107</v>
      </c>
      <c r="BC1" s="164" t="s">
        <v>1108</v>
      </c>
    </row>
    <row r="2" spans="1:55" ht="11.25" customHeight="1" x14ac:dyDescent="0.25">
      <c r="A2" s="145"/>
      <c r="B2" s="145"/>
      <c r="C2" s="145"/>
      <c r="D2" s="145"/>
      <c r="E2" s="145"/>
      <c r="F2" s="145"/>
      <c r="G2" s="145"/>
      <c r="H2" s="145"/>
      <c r="I2" s="145"/>
      <c r="J2" s="141"/>
      <c r="L2" s="146" t="s">
        <v>460</v>
      </c>
      <c r="M2" s="146"/>
      <c r="N2" s="146"/>
      <c r="O2" s="146"/>
      <c r="P2" s="146"/>
      <c r="Q2" s="146"/>
      <c r="R2" s="146"/>
      <c r="S2" s="146"/>
      <c r="T2" s="146"/>
      <c r="U2" s="146"/>
      <c r="V2" s="146"/>
      <c r="W2" s="146"/>
      <c r="X2" s="146"/>
      <c r="Y2" s="146"/>
      <c r="Z2" s="146"/>
      <c r="AA2" s="146"/>
      <c r="AB2" s="146"/>
      <c r="AC2" s="146"/>
      <c r="AD2" s="146"/>
      <c r="AE2" s="146"/>
      <c r="AF2" s="146"/>
      <c r="AG2" s="146"/>
      <c r="AH2" s="146"/>
      <c r="AI2" s="146"/>
      <c r="AJ2" s="146"/>
      <c r="AK2" s="146"/>
      <c r="AL2" s="146"/>
      <c r="AM2" s="146"/>
      <c r="AO2" s="59"/>
      <c r="AP2" s="151"/>
      <c r="AQ2" s="167"/>
      <c r="AR2" s="165"/>
      <c r="AS2" s="165"/>
      <c r="AT2" s="165"/>
      <c r="AU2" s="165"/>
      <c r="AV2" s="165"/>
      <c r="AW2" s="165"/>
      <c r="AX2" s="165"/>
      <c r="AY2" s="165"/>
      <c r="AZ2" s="165"/>
      <c r="BC2" s="165"/>
    </row>
    <row r="3" spans="1:55" ht="11.25" customHeight="1" x14ac:dyDescent="0.25">
      <c r="A3" s="145"/>
      <c r="B3" s="145"/>
      <c r="C3" s="145"/>
      <c r="D3" s="145"/>
      <c r="E3" s="145"/>
      <c r="F3" s="145"/>
      <c r="G3" s="145"/>
      <c r="H3" s="145"/>
      <c r="I3" s="145"/>
      <c r="J3" s="141"/>
      <c r="L3" s="146" t="s">
        <v>461</v>
      </c>
      <c r="M3" s="146"/>
      <c r="N3" s="146"/>
      <c r="O3" s="146"/>
      <c r="P3" s="146"/>
      <c r="Q3" s="146"/>
      <c r="R3" s="146"/>
      <c r="S3" s="146"/>
      <c r="T3" s="146"/>
      <c r="U3" s="146" t="s">
        <v>470</v>
      </c>
      <c r="V3" s="146"/>
      <c r="W3" s="146"/>
      <c r="X3" s="146"/>
      <c r="Y3" s="146"/>
      <c r="Z3" s="146"/>
      <c r="AA3" s="146"/>
      <c r="AB3" s="146"/>
      <c r="AC3" s="146" t="s">
        <v>478</v>
      </c>
      <c r="AD3" s="146"/>
      <c r="AE3" s="146" t="s">
        <v>480</v>
      </c>
      <c r="AF3" s="146"/>
      <c r="AG3" s="146"/>
      <c r="AH3" s="146" t="s">
        <v>483</v>
      </c>
      <c r="AI3" s="146"/>
      <c r="AJ3" s="146"/>
      <c r="AK3" s="146"/>
      <c r="AL3" s="146"/>
      <c r="AM3" s="146" t="s">
        <v>469</v>
      </c>
      <c r="AO3" s="59"/>
      <c r="AP3" s="151"/>
      <c r="AQ3" s="167"/>
      <c r="AR3" s="165"/>
      <c r="AS3" s="165"/>
      <c r="AT3" s="165"/>
      <c r="AU3" s="165"/>
      <c r="AV3" s="165"/>
      <c r="AW3" s="165"/>
      <c r="AX3" s="165"/>
      <c r="AY3" s="165"/>
      <c r="AZ3" s="165"/>
      <c r="BC3" s="165"/>
    </row>
    <row r="4" spans="1:55" ht="11.25" customHeight="1" x14ac:dyDescent="0.25">
      <c r="A4" s="145"/>
      <c r="B4" s="145"/>
      <c r="C4" s="145"/>
      <c r="D4" s="145"/>
      <c r="E4" s="145"/>
      <c r="F4" s="145"/>
      <c r="G4" s="145"/>
      <c r="H4" s="145"/>
      <c r="I4" s="145"/>
      <c r="J4" s="141"/>
      <c r="L4" s="32" t="s">
        <v>546</v>
      </c>
      <c r="M4" s="32" t="s">
        <v>462</v>
      </c>
      <c r="N4" s="32" t="s">
        <v>463</v>
      </c>
      <c r="O4" s="32" t="s">
        <v>464</v>
      </c>
      <c r="P4" s="32" t="s">
        <v>465</v>
      </c>
      <c r="Q4" s="32" t="s">
        <v>466</v>
      </c>
      <c r="R4" s="32" t="s">
        <v>467</v>
      </c>
      <c r="S4" s="32" t="s">
        <v>468</v>
      </c>
      <c r="T4" s="32" t="s">
        <v>469</v>
      </c>
      <c r="U4" s="32" t="s">
        <v>471</v>
      </c>
      <c r="V4" s="32" t="s">
        <v>472</v>
      </c>
      <c r="W4" s="32" t="s">
        <v>473</v>
      </c>
      <c r="X4" s="32" t="s">
        <v>474</v>
      </c>
      <c r="Y4" s="32" t="s">
        <v>475</v>
      </c>
      <c r="Z4" s="32" t="s">
        <v>476</v>
      </c>
      <c r="AA4" s="32" t="s">
        <v>477</v>
      </c>
      <c r="AB4" s="32" t="s">
        <v>469</v>
      </c>
      <c r="AC4" s="32" t="s">
        <v>479</v>
      </c>
      <c r="AD4" s="32" t="s">
        <v>469</v>
      </c>
      <c r="AE4" s="32" t="s">
        <v>481</v>
      </c>
      <c r="AF4" s="32" t="s">
        <v>482</v>
      </c>
      <c r="AG4" s="32" t="s">
        <v>469</v>
      </c>
      <c r="AH4" s="32" t="s">
        <v>484</v>
      </c>
      <c r="AI4" s="32" t="s">
        <v>485</v>
      </c>
      <c r="AJ4" s="32" t="s">
        <v>486</v>
      </c>
      <c r="AK4" s="32" t="s">
        <v>487</v>
      </c>
      <c r="AL4" s="32" t="s">
        <v>469</v>
      </c>
      <c r="AM4" s="148"/>
      <c r="AO4" s="60" t="s">
        <v>574</v>
      </c>
      <c r="AP4" s="152"/>
      <c r="AQ4" s="167"/>
      <c r="AR4" s="165"/>
      <c r="AS4" s="165"/>
      <c r="AT4" s="165"/>
      <c r="AU4" s="165"/>
      <c r="AV4" s="165"/>
      <c r="AW4" s="165"/>
      <c r="AX4" s="165"/>
      <c r="AY4" s="165"/>
      <c r="AZ4" s="165"/>
      <c r="BC4" s="165"/>
    </row>
    <row r="5" spans="1:55" ht="11.25" customHeight="1" x14ac:dyDescent="0.25">
      <c r="A5" s="149" t="s">
        <v>35</v>
      </c>
      <c r="B5" s="149" t="s">
        <v>36</v>
      </c>
      <c r="C5" s="149" t="s">
        <v>25</v>
      </c>
      <c r="D5" s="149" t="s">
        <v>25</v>
      </c>
      <c r="E5" s="149" t="s">
        <v>25</v>
      </c>
      <c r="F5" s="149" t="s">
        <v>25</v>
      </c>
      <c r="G5" s="57" t="s">
        <v>80</v>
      </c>
      <c r="H5" s="57" t="s">
        <v>79</v>
      </c>
      <c r="I5" s="57">
        <f>'MERCADO TUSD'!$U$2</f>
        <v>2966</v>
      </c>
      <c r="J5" s="15"/>
      <c r="L5" s="31">
        <f>'TUSD BE'!$L$5*'TUSD BE'!$L$58</f>
        <v>0</v>
      </c>
      <c r="M5" s="31">
        <f>'TUSD BE'!$M$5*'TUSD BE'!$M$58</f>
        <v>0</v>
      </c>
      <c r="N5" s="31">
        <f ca="1">'TUSD BE'!$N$5*'TUSD BE'!$N$58</f>
        <v>0</v>
      </c>
      <c r="O5" s="31">
        <f>'TUSD BE'!$O$5*'TUSD BE'!$O$58</f>
        <v>0</v>
      </c>
      <c r="P5" s="31">
        <f>'TUSD BE'!$P$5*'TUSD BE'!$P$58</f>
        <v>0</v>
      </c>
      <c r="Q5" s="31">
        <f>'TUSD BE'!$Q$5*'TUSD BE'!$Q$58</f>
        <v>0</v>
      </c>
      <c r="R5" s="31">
        <f>'TUSD BE'!$R$5*'TUSD BE'!$R$58</f>
        <v>0</v>
      </c>
      <c r="S5" s="31">
        <f>'TUSD BE'!$R$5*'TUSD BE'!$S$58</f>
        <v>0</v>
      </c>
      <c r="T5" s="31">
        <f ca="1">SUM($L$5:$S$5)</f>
        <v>0</v>
      </c>
      <c r="U5" s="31">
        <f>'TUSD BE'!$U$5*'TUSD BE'!$U$58</f>
        <v>0</v>
      </c>
      <c r="V5" s="31">
        <f>'TUSD BE'!$V$5*'TUSD BE'!$V$58</f>
        <v>0</v>
      </c>
      <c r="W5" s="31">
        <f>'TUSD BE'!$W$5*'TUSD BE'!$W$58</f>
        <v>0</v>
      </c>
      <c r="X5" s="31">
        <f>'TUSD BE'!$X$5*'TUSD BE'!$X$58</f>
        <v>0</v>
      </c>
      <c r="Y5" s="31">
        <f>'TUSD BE'!$Y$5*'TUSD BE'!$Y$58</f>
        <v>0.12661836641308571</v>
      </c>
      <c r="Z5" s="31">
        <f>'TUSD BE'!$Z$5*'TUSD BE'!$Z$58</f>
        <v>0</v>
      </c>
      <c r="AA5" s="31">
        <f>'TUSD BE'!$AA$5*'TUSD BE'!$AA$58</f>
        <v>0</v>
      </c>
      <c r="AB5" s="31">
        <f>SUM($U$5:$AA$5)</f>
        <v>0.12661836641308571</v>
      </c>
      <c r="AC5" s="31">
        <f>'TUSD BE'!$AC$5*'TUSD BE'!$AC$58</f>
        <v>-0.3024558320202429</v>
      </c>
      <c r="AD5" s="31">
        <f>SUM($AC$5:$AC$5)</f>
        <v>-0.3024558320202429</v>
      </c>
      <c r="AE5" s="31">
        <f ca="1">$AO$5*$AO$55</f>
        <v>0</v>
      </c>
      <c r="AF5" s="31">
        <f ca="1">$AP$5*$AP$55</f>
        <v>0</v>
      </c>
      <c r="AG5" s="31">
        <f ca="1">SUM($AE$5:$AF$5)</f>
        <v>0</v>
      </c>
      <c r="AH5" s="31">
        <f>'TUSD BE'!$AH$5*'TUSD BE'!$AH$58</f>
        <v>0</v>
      </c>
      <c r="AI5" s="31">
        <f>'TUSD BE'!$AI$5*'TUSD BE'!$AI$58</f>
        <v>0</v>
      </c>
      <c r="AJ5" s="31">
        <f ca="1">'TUSD BE'!$AJ$5*'TUSD BE'!$AJ$58</f>
        <v>0</v>
      </c>
      <c r="AK5" s="31">
        <f ca="1">'TUSD BE'!$AK$5*'TUSD BE'!$AK$58</f>
        <v>0</v>
      </c>
      <c r="AL5" s="31">
        <f ca="1">SUM($AH$5:$AK$5)</f>
        <v>0</v>
      </c>
      <c r="AM5" s="31">
        <f ca="1">SUMIF($L$4:$AL$4,"SUBTOTAL",$L$5:$AL$5)+AZ5</f>
        <v>-24.306286163410409</v>
      </c>
      <c r="AO5" s="59">
        <f ca="1">+'TUSD BE'!$T$5+'TUSD BE'!$AB$5+'TUSD BE'!$AD$5+'TUSD BE'!$AL$5</f>
        <v>56.656286163410414</v>
      </c>
      <c r="AP5" s="59">
        <f ca="1">+'TUSD BE'!$T$5+'TUSD BE'!$AB$5+'TUSD BE'!$AD$5+'TUSD BE'!$AL$5</f>
        <v>56.656286163410414</v>
      </c>
      <c r="AQ5" s="9" t="str">
        <f t="shared" ref="AQ5:AQ51" si="0">IF($A5="",AQ4,$A5)</f>
        <v>A4</v>
      </c>
      <c r="AR5" s="9" t="str">
        <f t="shared" ref="AR5:AR51" si="1">IF($B5="",AR4,$B5)</f>
        <v>Azul</v>
      </c>
      <c r="AS5" s="9" t="str">
        <f t="shared" ref="AS5:AS51" si="2">IF($C5="",AS4,$C5)</f>
        <v>Não se aplica</v>
      </c>
      <c r="AT5" s="9" t="str">
        <f t="shared" ref="AT5:AT51" si="3">IF($D5="",AT4,$D5)</f>
        <v>Não se aplica</v>
      </c>
      <c r="AU5" s="9" t="str">
        <f t="shared" ref="AU5:AU51" si="4">IF($E5="",AU4,$E5)</f>
        <v>Não se aplica</v>
      </c>
      <c r="AV5" s="9">
        <f t="shared" ref="AV5:AV51" si="5">IF(OR(AR5="Distribuição",AR5="Geração"),0,1)</f>
        <v>1</v>
      </c>
      <c r="AW5" s="9">
        <f ca="1">IFERROR(VLOOKUP(AQ5,TarifaMedia!$C$17:$G$17,5,0),0)</f>
        <v>1</v>
      </c>
      <c r="AX5" s="15">
        <f ca="1">'TUSD BE'!$AM5+'TUSD BF'!$AM5+'TUSD CVA'!$AM5</f>
        <v>56.480448697803254</v>
      </c>
      <c r="AY5" s="9">
        <v>32.35</v>
      </c>
      <c r="AZ5" s="9">
        <f t="shared" ref="AZ5:AZ51" ca="1" si="6">(AY5-AX5)*AW5*AV5</f>
        <v>-24.130448697803253</v>
      </c>
      <c r="BC5" s="54" t="s">
        <v>1109</v>
      </c>
    </row>
    <row r="6" spans="1:55" ht="11.25" customHeight="1" x14ac:dyDescent="0.25">
      <c r="A6" s="149"/>
      <c r="B6" s="149"/>
      <c r="C6" s="149"/>
      <c r="D6" s="149"/>
      <c r="E6" s="149"/>
      <c r="F6" s="149"/>
      <c r="G6" s="57" t="s">
        <v>81</v>
      </c>
      <c r="H6" s="57" t="s">
        <v>79</v>
      </c>
      <c r="I6" s="57">
        <f>'MERCADO TUSD'!$U$3</f>
        <v>31888</v>
      </c>
      <c r="J6" s="15"/>
      <c r="L6" s="31">
        <f>'TUSD BE'!$L$6*'TUSD BE'!$L$58</f>
        <v>0</v>
      </c>
      <c r="M6" s="31">
        <f>'TUSD BE'!$M$6*'TUSD BE'!$M$58</f>
        <v>0</v>
      </c>
      <c r="N6" s="31">
        <f ca="1">'TUSD BE'!$N$6*'TUSD BE'!$N$58</f>
        <v>0</v>
      </c>
      <c r="O6" s="31">
        <f>'TUSD BE'!$O$6*'TUSD BE'!$O$58</f>
        <v>0</v>
      </c>
      <c r="P6" s="31">
        <f>'TUSD BE'!$P$6*'TUSD BE'!$P$58</f>
        <v>0</v>
      </c>
      <c r="Q6" s="31">
        <f>'TUSD BE'!$Q$6*'TUSD BE'!$Q$58</f>
        <v>0</v>
      </c>
      <c r="R6" s="31">
        <f>'TUSD BE'!$R$6*'TUSD BE'!$R$58</f>
        <v>0</v>
      </c>
      <c r="S6" s="31">
        <f>'TUSD BE'!$R$6*'TUSD BE'!$S$58</f>
        <v>0</v>
      </c>
      <c r="T6" s="31">
        <f ca="1">SUM($L$6:$S$6)</f>
        <v>0</v>
      </c>
      <c r="U6" s="31">
        <f>'TUSD BE'!$U$6*'TUSD BE'!$U$58</f>
        <v>0</v>
      </c>
      <c r="V6" s="31">
        <f>'TUSD BE'!$V$6*'TUSD BE'!$V$58</f>
        <v>0</v>
      </c>
      <c r="W6" s="31">
        <f>'TUSD BE'!$W$6*'TUSD BE'!$W$58</f>
        <v>0</v>
      </c>
      <c r="X6" s="31">
        <f>'TUSD BE'!$X$6*'TUSD BE'!$X$58</f>
        <v>0</v>
      </c>
      <c r="Y6" s="31">
        <f>'TUSD BE'!$Y$6*'TUSD BE'!$Y$58</f>
        <v>4.8850016700894727E-2</v>
      </c>
      <c r="Z6" s="31">
        <f>'TUSD BE'!$Z$6*'TUSD BE'!$Z$58</f>
        <v>0</v>
      </c>
      <c r="AA6" s="31">
        <f>'TUSD BE'!$AA$6*'TUSD BE'!$AA$58</f>
        <v>0</v>
      </c>
      <c r="AB6" s="31">
        <f>SUM($U$6:$AA$6)</f>
        <v>4.8850016700894727E-2</v>
      </c>
      <c r="AC6" s="31">
        <f>'TUSD BE'!$AC$6*'TUSD BE'!$AC$58</f>
        <v>-0.11596481820980867</v>
      </c>
      <c r="AD6" s="31">
        <f>SUM($AC$6:$AC$6)</f>
        <v>-0.11596481820980867</v>
      </c>
      <c r="AE6" s="31">
        <f ca="1">$AO$6*$AO$55</f>
        <v>0</v>
      </c>
      <c r="AF6" s="31">
        <f ca="1">$AP$6*$AP$55</f>
        <v>0</v>
      </c>
      <c r="AG6" s="31">
        <f ca="1">SUM($AE$6:$AF$6)</f>
        <v>0</v>
      </c>
      <c r="AH6" s="31">
        <f>'TUSD BE'!$AH$6*'TUSD BE'!$AH$58</f>
        <v>0</v>
      </c>
      <c r="AI6" s="31">
        <f>'TUSD BE'!$AI$6*'TUSD BE'!$AI$58</f>
        <v>0</v>
      </c>
      <c r="AJ6" s="31">
        <f ca="1">'TUSD BE'!$AJ$6*'TUSD BE'!$AJ$58</f>
        <v>0</v>
      </c>
      <c r="AK6" s="31">
        <f ca="1">'TUSD BE'!$AK$6*'TUSD BE'!$AK$58</f>
        <v>0</v>
      </c>
      <c r="AL6" s="31">
        <f ca="1">SUM($AH$6:$AK$6)</f>
        <v>0</v>
      </c>
      <c r="AM6" s="31">
        <f ca="1">SUMIF($L$4:$AL$4,"SUBTOTAL",$L$6:$AL$6)+AZ6</f>
        <v>-6.1608466903567765</v>
      </c>
      <c r="AO6" s="59">
        <f ca="1">+'TUSD BE'!$T$6+'TUSD BE'!$AB$6+'TUSD BE'!$AD$6+'TUSD BE'!$AL$6</f>
        <v>21.800846690356778</v>
      </c>
      <c r="AP6" s="59">
        <f ca="1">+'TUSD BE'!$T$6+'TUSD BE'!$AB$6+'TUSD BE'!$AD$6+'TUSD BE'!$AL$6</f>
        <v>21.800846690356778</v>
      </c>
      <c r="AQ6" s="9" t="str">
        <f t="shared" si="0"/>
        <v>A4</v>
      </c>
      <c r="AR6" s="9" t="str">
        <f t="shared" si="1"/>
        <v>Azul</v>
      </c>
      <c r="AS6" s="9" t="str">
        <f t="shared" si="2"/>
        <v>Não se aplica</v>
      </c>
      <c r="AT6" s="9" t="str">
        <f t="shared" si="3"/>
        <v>Não se aplica</v>
      </c>
      <c r="AU6" s="9" t="str">
        <f t="shared" si="4"/>
        <v>Não se aplica</v>
      </c>
      <c r="AV6" s="9">
        <f t="shared" si="5"/>
        <v>1</v>
      </c>
      <c r="AW6" s="9">
        <f ca="1">IFERROR(VLOOKUP(AQ6,TarifaMedia!$C$17:$G$17,5,0),0)</f>
        <v>1</v>
      </c>
      <c r="AX6" s="15">
        <f ca="1">'TUSD BE'!$AM6+'TUSD BF'!$AM6+'TUSD CVA'!$AM6</f>
        <v>21.733731888847863</v>
      </c>
      <c r="AY6" s="9">
        <v>15.64</v>
      </c>
      <c r="AZ6" s="9">
        <f t="shared" ca="1" si="6"/>
        <v>-6.0937318888478629</v>
      </c>
      <c r="BC6" s="54" t="s">
        <v>1110</v>
      </c>
    </row>
    <row r="7" spans="1:55" ht="11.25" customHeight="1" x14ac:dyDescent="0.25">
      <c r="A7" s="149"/>
      <c r="B7" s="149"/>
      <c r="C7" s="149"/>
      <c r="D7" s="149"/>
      <c r="E7" s="149"/>
      <c r="F7" s="149"/>
      <c r="G7" s="57" t="s">
        <v>78</v>
      </c>
      <c r="H7" s="57" t="s">
        <v>74</v>
      </c>
      <c r="I7" s="57">
        <f>'MERCADO TUSD'!$U$4</f>
        <v>12070.286</v>
      </c>
      <c r="J7" s="15"/>
      <c r="L7" s="31">
        <f>'TUSD BE'!$L$7*'TUSD BE'!$L$58</f>
        <v>0</v>
      </c>
      <c r="M7" s="31">
        <f>'TUSD BE'!$M$7*'TUSD BE'!$M$58</f>
        <v>-1.1538100189374996E-2</v>
      </c>
      <c r="N7" s="31">
        <f ca="1">'TUSD BE'!$N$7*'TUSD BE'!$N$58</f>
        <v>-1.0938636333008266E-6</v>
      </c>
      <c r="O7" s="31">
        <f>'TUSD BE'!$O$7*'TUSD BE'!$O$58</f>
        <v>0</v>
      </c>
      <c r="P7" s="31">
        <f>'TUSD BE'!$P$7*'TUSD BE'!$P$58</f>
        <v>0</v>
      </c>
      <c r="Q7" s="31">
        <f>'TUSD BE'!$Q$7*'TUSD BE'!$Q$58</f>
        <v>-2.2968607286001315</v>
      </c>
      <c r="R7" s="31">
        <f>'TUSD BE'!$R$7*'TUSD BE'!$R$58</f>
        <v>-0.47097951775238756</v>
      </c>
      <c r="S7" s="31">
        <f>'TUSD BE'!$R$7*'TUSD BE'!$S$58</f>
        <v>0</v>
      </c>
      <c r="T7" s="31">
        <f ca="1">SUM($L$7:$S$7)</f>
        <v>-2.7793794404055272</v>
      </c>
      <c r="U7" s="31">
        <f>'TUSD BE'!$U$7*'TUSD BE'!$U$58</f>
        <v>0</v>
      </c>
      <c r="V7" s="31">
        <f>'TUSD BE'!$V$7*'TUSD BE'!$V$58</f>
        <v>0</v>
      </c>
      <c r="W7" s="31">
        <f>'TUSD BE'!$W$7*'TUSD BE'!$W$58</f>
        <v>0</v>
      </c>
      <c r="X7" s="31">
        <f>'TUSD BE'!$X$7*'TUSD BE'!$X$58</f>
        <v>0</v>
      </c>
      <c r="Y7" s="31">
        <f>'TUSD BE'!$Y$7*'TUSD BE'!$Y$58</f>
        <v>0</v>
      </c>
      <c r="Z7" s="31">
        <f>'TUSD BE'!$Z$7*'TUSD BE'!$Z$58</f>
        <v>0</v>
      </c>
      <c r="AA7" s="31">
        <f>'TUSD BE'!$AA$7*'TUSD BE'!$AA$58</f>
        <v>0</v>
      </c>
      <c r="AB7" s="31">
        <f>SUM($U$7:$AA$7)</f>
        <v>0</v>
      </c>
      <c r="AC7" s="31">
        <f>'TUSD BE'!$AC$7*'TUSD BE'!$AC$58</f>
        <v>0</v>
      </c>
      <c r="AD7" s="31">
        <f>SUM($AC$7:$AC$7)</f>
        <v>0</v>
      </c>
      <c r="AE7" s="31">
        <f ca="1">$AO$7*$AO$55</f>
        <v>0</v>
      </c>
      <c r="AF7" s="31">
        <f ca="1">$AP$7*$AP$55</f>
        <v>0</v>
      </c>
      <c r="AG7" s="31">
        <f ca="1">SUM($AE$7:$AF$7)</f>
        <v>0</v>
      </c>
      <c r="AH7" s="31">
        <f>'TUSD BE'!$AH$7*'TUSD BE'!$AH$58</f>
        <v>0.61492125762607952</v>
      </c>
      <c r="AI7" s="31">
        <f>'TUSD BE'!$AI$7*'TUSD BE'!$AI$58</f>
        <v>1.3304267399352383E-2</v>
      </c>
      <c r="AJ7" s="31">
        <f ca="1">'TUSD BE'!$AJ$7*'TUSD BE'!$AJ$58</f>
        <v>1.4953878552910386E-2</v>
      </c>
      <c r="AK7" s="31">
        <f ca="1">'TUSD BE'!$AK$7*'TUSD BE'!$AK$58</f>
        <v>2.4735656990833962E-2</v>
      </c>
      <c r="AL7" s="31">
        <f ca="1">SUM($AH$7:$AK$7)</f>
        <v>0.66791506056917627</v>
      </c>
      <c r="AM7" s="31">
        <f ca="1">SUMIF($L$4:$AL$4,"SUBTOTAL",$L$7:$AL$7)+AZ7</f>
        <v>6.3061152370396041</v>
      </c>
      <c r="AO7" s="59">
        <f ca="1">+'TUSD BE'!$T$7+'TUSD BE'!$AB$7+'TUSD BE'!$AD$7+'TUSD BE'!$AL$7</f>
        <v>98.914531839783777</v>
      </c>
      <c r="AP7" s="59">
        <f ca="1">+'TUSD BE'!$T$7+'TUSD BE'!$AB$7+'TUSD BE'!$AD$7+'TUSD BE'!$AL$7</f>
        <v>98.914531839783777</v>
      </c>
      <c r="AQ7" s="9" t="str">
        <f t="shared" si="0"/>
        <v>A4</v>
      </c>
      <c r="AR7" s="9" t="str">
        <f t="shared" si="1"/>
        <v>Azul</v>
      </c>
      <c r="AS7" s="9" t="str">
        <f t="shared" si="2"/>
        <v>Não se aplica</v>
      </c>
      <c r="AT7" s="9" t="str">
        <f t="shared" si="3"/>
        <v>Não se aplica</v>
      </c>
      <c r="AU7" s="9" t="str">
        <f t="shared" si="4"/>
        <v>Não se aplica</v>
      </c>
      <c r="AV7" s="9">
        <f t="shared" si="5"/>
        <v>1</v>
      </c>
      <c r="AW7" s="9">
        <f ca="1">IFERROR(VLOOKUP(AQ7,TarifaMedia!$C$17:$G$17,5,0),0)</f>
        <v>1</v>
      </c>
      <c r="AX7" s="15">
        <f ca="1">'TUSD BE'!$AM7+'TUSD BF'!$AM7+'TUSD CVA'!$AM7</f>
        <v>117.83242038312405</v>
      </c>
      <c r="AY7" s="9">
        <v>126.25</v>
      </c>
      <c r="AZ7" s="9">
        <f t="shared" ca="1" si="6"/>
        <v>8.4175796168759547</v>
      </c>
      <c r="BC7" s="54" t="s">
        <v>1111</v>
      </c>
    </row>
    <row r="8" spans="1:55" ht="11.25" customHeight="1" x14ac:dyDescent="0.25">
      <c r="A8" s="149"/>
      <c r="B8" s="149"/>
      <c r="C8" s="149"/>
      <c r="D8" s="149"/>
      <c r="E8" s="56" t="s">
        <v>82</v>
      </c>
      <c r="F8" s="56" t="s">
        <v>25</v>
      </c>
      <c r="G8" s="57" t="s">
        <v>78</v>
      </c>
      <c r="H8" s="57" t="s">
        <v>74</v>
      </c>
      <c r="I8" s="57">
        <f>'MERCADO TUSD'!$U$5</f>
        <v>0</v>
      </c>
      <c r="J8" s="15"/>
      <c r="L8" s="31">
        <f>'TUSD BE'!$L$8*'TUSD BE'!$L$58</f>
        <v>0</v>
      </c>
      <c r="M8" s="31">
        <f>'TUSD BE'!$M$8*'TUSD BE'!$M$58</f>
        <v>-1.1538100189374996E-2</v>
      </c>
      <c r="N8" s="31">
        <f ca="1">'TUSD BE'!$N$8*'TUSD BE'!$N$58</f>
        <v>-1.0476152734865321E-6</v>
      </c>
      <c r="O8" s="31">
        <f>'TUSD BE'!$O$8*'TUSD BE'!$O$58</f>
        <v>0</v>
      </c>
      <c r="P8" s="31">
        <f>'TUSD BE'!$P$8*'TUSD BE'!$P$58</f>
        <v>0</v>
      </c>
      <c r="Q8" s="31">
        <f>'TUSD BE'!$Q$8*'TUSD BE'!$Q$58</f>
        <v>0</v>
      </c>
      <c r="R8" s="31">
        <f>'TUSD BE'!$R$8*'TUSD BE'!$R$58</f>
        <v>0</v>
      </c>
      <c r="S8" s="31">
        <f>'TUSD BE'!$R$8*'TUSD BE'!$S$58</f>
        <v>0</v>
      </c>
      <c r="T8" s="31">
        <f ca="1">SUM($L$8:$S$8)</f>
        <v>-1.1539147804648483E-2</v>
      </c>
      <c r="U8" s="31">
        <f>'TUSD BE'!$U$8*'TUSD BE'!$U$58</f>
        <v>0</v>
      </c>
      <c r="V8" s="31">
        <f>'TUSD BE'!$V$8*'TUSD BE'!$V$58</f>
        <v>0</v>
      </c>
      <c r="W8" s="31">
        <f>'TUSD BE'!$W$8*'TUSD BE'!$W$58</f>
        <v>0</v>
      </c>
      <c r="X8" s="31">
        <f>'TUSD BE'!$X$8*'TUSD BE'!$X$58</f>
        <v>0</v>
      </c>
      <c r="Y8" s="31">
        <f>'TUSD BE'!$Y$8*'TUSD BE'!$Y$58</f>
        <v>0</v>
      </c>
      <c r="Z8" s="31">
        <f>'TUSD BE'!$Z$8*'TUSD BE'!$Z$58</f>
        <v>0</v>
      </c>
      <c r="AA8" s="31">
        <f>'TUSD BE'!$AA$8*'TUSD BE'!$AA$58</f>
        <v>0</v>
      </c>
      <c r="AB8" s="31">
        <f>SUM($U$8:$AA$8)</f>
        <v>0</v>
      </c>
      <c r="AC8" s="31">
        <f>'TUSD BE'!$AC$8*'TUSD BE'!$AC$58</f>
        <v>0</v>
      </c>
      <c r="AD8" s="31">
        <f>SUM($AC$8:$AC$8)</f>
        <v>0</v>
      </c>
      <c r="AE8" s="31">
        <f ca="1">$AO$8*$AO$55</f>
        <v>0</v>
      </c>
      <c r="AF8" s="31">
        <f ca="1">$AP$8*$AP$55</f>
        <v>0</v>
      </c>
      <c r="AG8" s="31">
        <f ca="1">SUM($AE$8:$AF$8)</f>
        <v>0</v>
      </c>
      <c r="AH8" s="31">
        <f>'TUSD BE'!$AH$8*'TUSD BE'!$AH$58</f>
        <v>0.61492125762607952</v>
      </c>
      <c r="AI8" s="31">
        <f>'TUSD BE'!$AI$8*'TUSD BE'!$AI$58</f>
        <v>1.3304267399352383E-2</v>
      </c>
      <c r="AJ8" s="31">
        <f ca="1">'TUSD BE'!$AJ$8*'TUSD BE'!$AJ$58</f>
        <v>1.4953878552910386E-2</v>
      </c>
      <c r="AK8" s="31">
        <f ca="1">'TUSD BE'!$AK$8*'TUSD BE'!$AK$58</f>
        <v>2.4735656990833962E-2</v>
      </c>
      <c r="AL8" s="31">
        <f ca="1">SUM($AH$8:$AK$8)</f>
        <v>0.66791506056917627</v>
      </c>
      <c r="AM8" s="31">
        <f ca="1">SUMIF($L$4:$AL$4,"SUBTOTAL",$L$8:$AL$8)+AZ8</f>
        <v>10.700105267793095</v>
      </c>
      <c r="AO8" s="59">
        <f ca="1">+'TUSD BE'!$T$8+'TUSD BE'!$AB$8+'TUSD BE'!$AD$8+'TUSD BE'!$AL$8</f>
        <v>9.8096149439220781</v>
      </c>
      <c r="AP8" s="59">
        <f ca="1">+'TUSD BE'!$T$8+'TUSD BE'!$AB$8+'TUSD BE'!$AD$8+'TUSD BE'!$AL$8</f>
        <v>9.8096149439220781</v>
      </c>
      <c r="AQ8" s="9" t="str">
        <f t="shared" si="0"/>
        <v>A4</v>
      </c>
      <c r="AR8" s="9" t="str">
        <f t="shared" si="1"/>
        <v>Azul</v>
      </c>
      <c r="AS8" s="9" t="str">
        <f t="shared" si="2"/>
        <v>Não se aplica</v>
      </c>
      <c r="AT8" s="9" t="str">
        <f t="shared" si="3"/>
        <v>Não se aplica</v>
      </c>
      <c r="AU8" s="9" t="str">
        <f t="shared" si="4"/>
        <v>APE</v>
      </c>
      <c r="AV8" s="9">
        <f t="shared" si="5"/>
        <v>1</v>
      </c>
      <c r="AW8" s="9">
        <f ca="1">IFERROR(VLOOKUP(AQ8,TarifaMedia!$C$17:$G$17,5,0),0)</f>
        <v>1</v>
      </c>
      <c r="AX8" s="15">
        <f ca="1">'TUSD BE'!$AM8+'TUSD BF'!$AM8+'TUSD CVA'!$AM8</f>
        <v>10.446270644971431</v>
      </c>
      <c r="AY8" s="9">
        <v>20.49</v>
      </c>
      <c r="AZ8" s="9">
        <f t="shared" ca="1" si="6"/>
        <v>10.043729355028567</v>
      </c>
      <c r="BC8" s="54" t="s">
        <v>1112</v>
      </c>
    </row>
    <row r="9" spans="1:55" ht="11.25" customHeight="1" x14ac:dyDescent="0.25">
      <c r="A9" s="149"/>
      <c r="B9" s="56" t="s">
        <v>83</v>
      </c>
      <c r="C9" s="56" t="s">
        <v>25</v>
      </c>
      <c r="D9" s="56" t="s">
        <v>25</v>
      </c>
      <c r="E9" s="56" t="s">
        <v>25</v>
      </c>
      <c r="F9" s="56" t="s">
        <v>25</v>
      </c>
      <c r="G9" s="57" t="s">
        <v>9</v>
      </c>
      <c r="H9" s="57" t="s">
        <v>79</v>
      </c>
      <c r="I9" s="57">
        <f>'MERCADO TUSD'!$U$6</f>
        <v>0</v>
      </c>
      <c r="J9" s="15"/>
      <c r="L9" s="31">
        <f>'TUSD BE'!$L$9*'TUSD BE'!$L$58</f>
        <v>0</v>
      </c>
      <c r="M9" s="31">
        <f>'TUSD BE'!$M$9*'TUSD BE'!$M$58</f>
        <v>-1.3925077327881941E-3</v>
      </c>
      <c r="N9" s="31">
        <f ca="1">'TUSD BE'!$N$9*'TUSD BE'!$N$58</f>
        <v>-4.0606059916950683E-7</v>
      </c>
      <c r="O9" s="31">
        <f>'TUSD BE'!$O$9*'TUSD BE'!$O$58</f>
        <v>0</v>
      </c>
      <c r="P9" s="31">
        <f>'TUSD BE'!$P$9*'TUSD BE'!$P$58</f>
        <v>0</v>
      </c>
      <c r="Q9" s="31">
        <f>'TUSD BE'!$Q$9*'TUSD BE'!$Q$58</f>
        <v>0</v>
      </c>
      <c r="R9" s="31">
        <f>'TUSD BE'!$R$9*'TUSD BE'!$R$58</f>
        <v>0</v>
      </c>
      <c r="S9" s="31">
        <f>'TUSD BE'!$R$9*'TUSD BE'!$S$58</f>
        <v>0</v>
      </c>
      <c r="T9" s="31">
        <f ca="1">SUM($L$9:$S$9)</f>
        <v>-1.3929137933873636E-3</v>
      </c>
      <c r="U9" s="31">
        <f>'TUSD BE'!$U$9*'TUSD BE'!$U$58</f>
        <v>0</v>
      </c>
      <c r="V9" s="31">
        <f>'TUSD BE'!$V$9*'TUSD BE'!$V$58</f>
        <v>0</v>
      </c>
      <c r="W9" s="31">
        <f>'TUSD BE'!$W$9*'TUSD BE'!$W$58</f>
        <v>0</v>
      </c>
      <c r="X9" s="31">
        <f>'TUSD BE'!$X$9*'TUSD BE'!$X$58</f>
        <v>0</v>
      </c>
      <c r="Y9" s="31">
        <f>'TUSD BE'!$Y$9*'TUSD BE'!$Y$58</f>
        <v>0</v>
      </c>
      <c r="Z9" s="31">
        <f>'TUSD BE'!$Z$9*'TUSD BE'!$Z$58</f>
        <v>0</v>
      </c>
      <c r="AA9" s="31">
        <f>'TUSD BE'!$AA$9*'TUSD BE'!$AA$58</f>
        <v>0</v>
      </c>
      <c r="AB9" s="31">
        <f>SUM($U$9:$AA$9)</f>
        <v>0</v>
      </c>
      <c r="AC9" s="31">
        <f>'TUSD BE'!$AC$9*'TUSD BE'!$AC$58</f>
        <v>-0.11379884418695403</v>
      </c>
      <c r="AD9" s="31">
        <f>SUM($AC$9:$AC$9)</f>
        <v>-0.11379884418695403</v>
      </c>
      <c r="AE9" s="31">
        <f ca="1">$AO$9*$AO$55</f>
        <v>0</v>
      </c>
      <c r="AF9" s="31">
        <f ca="1">$AP$9*$AP$55</f>
        <v>0</v>
      </c>
      <c r="AG9" s="31">
        <f ca="1">SUM($AE$9:$AF$9)</f>
        <v>0</v>
      </c>
      <c r="AH9" s="31">
        <f>'TUSD BE'!$AH$9*'TUSD BE'!$AH$58</f>
        <v>0</v>
      </c>
      <c r="AI9" s="31">
        <f>'TUSD BE'!$AI$9*'TUSD BE'!$AI$58</f>
        <v>0</v>
      </c>
      <c r="AJ9" s="31">
        <f ca="1">'TUSD BE'!$AJ$9*'TUSD BE'!$AJ$58</f>
        <v>0</v>
      </c>
      <c r="AK9" s="31">
        <f ca="1">'TUSD BE'!$AK$9*'TUSD BE'!$AK$58</f>
        <v>0</v>
      </c>
      <c r="AL9" s="31">
        <f ca="1">SUM($AH$9:$AK$9)</f>
        <v>0</v>
      </c>
      <c r="AM9" s="31">
        <f ca="1">SUMIF($L$4:$AL$4,"SUBTOTAL",$L$9:$AL$9)+AZ9</f>
        <v>-0.1151917579803414</v>
      </c>
      <c r="AO9" s="59">
        <f ca="1">+'TUSD BE'!$T$9+'TUSD BE'!$AB$9+'TUSD BE'!$AD$9+'TUSD BE'!$AL$9</f>
        <v>9.1802565922717481</v>
      </c>
      <c r="AP9" s="59">
        <f ca="1">+'TUSD BE'!$T$9+'TUSD BE'!$AB$9+'TUSD BE'!$AD$9+'TUSD BE'!$AL$9</f>
        <v>9.1802565922717481</v>
      </c>
      <c r="AQ9" s="9" t="str">
        <f t="shared" si="0"/>
        <v>A4</v>
      </c>
      <c r="AR9" s="9" t="str">
        <f t="shared" si="1"/>
        <v>Geração</v>
      </c>
      <c r="AS9" s="9" t="str">
        <f t="shared" si="2"/>
        <v>Não se aplica</v>
      </c>
      <c r="AT9" s="9" t="str">
        <f t="shared" si="3"/>
        <v>Não se aplica</v>
      </c>
      <c r="AU9" s="9" t="str">
        <f t="shared" si="4"/>
        <v>Não se aplica</v>
      </c>
      <c r="AV9" s="9">
        <f t="shared" si="5"/>
        <v>0</v>
      </c>
      <c r="AW9" s="9">
        <f ca="1">IFERROR(VLOOKUP(AQ9,TarifaMedia!$C$17:$G$17,5,0),0)</f>
        <v>1</v>
      </c>
      <c r="AX9" s="15">
        <f ca="1">'TUSD BE'!$AM9+'TUSD BF'!$AM9+'TUSD CVA'!$AM9</f>
        <v>9.0650648342914071</v>
      </c>
      <c r="AY9" s="9">
        <v>3.46</v>
      </c>
      <c r="AZ9" s="9">
        <f t="shared" ca="1" si="6"/>
        <v>0</v>
      </c>
      <c r="BC9" s="54" t="s">
        <v>1113</v>
      </c>
    </row>
    <row r="10" spans="1:55" ht="11.25" customHeight="1" x14ac:dyDescent="0.25">
      <c r="A10" s="149"/>
      <c r="B10" s="149" t="s">
        <v>39</v>
      </c>
      <c r="C10" s="149" t="s">
        <v>25</v>
      </c>
      <c r="D10" s="149" t="s">
        <v>25</v>
      </c>
      <c r="E10" s="149" t="s">
        <v>25</v>
      </c>
      <c r="F10" s="149" t="s">
        <v>25</v>
      </c>
      <c r="G10" s="57" t="s">
        <v>9</v>
      </c>
      <c r="H10" s="57" t="s">
        <v>79</v>
      </c>
      <c r="I10" s="57">
        <f>'MERCADO TUSD'!$U$7</f>
        <v>426500</v>
      </c>
      <c r="J10" s="15"/>
      <c r="L10" s="31">
        <f>'TUSD BE'!$L$10*'TUSD BE'!$L$58</f>
        <v>0</v>
      </c>
      <c r="M10" s="31">
        <f>'TUSD BE'!$M$10*'TUSD BE'!$M$58</f>
        <v>0</v>
      </c>
      <c r="N10" s="31">
        <f ca="1">'TUSD BE'!$N$10*'TUSD BE'!$N$58</f>
        <v>0</v>
      </c>
      <c r="O10" s="31">
        <f>'TUSD BE'!$O$10*'TUSD BE'!$O$58</f>
        <v>0</v>
      </c>
      <c r="P10" s="31">
        <f>'TUSD BE'!$P$10*'TUSD BE'!$P$58</f>
        <v>0</v>
      </c>
      <c r="Q10" s="31">
        <f>'TUSD BE'!$Q$10*'TUSD BE'!$Q$58</f>
        <v>0</v>
      </c>
      <c r="R10" s="31">
        <f>'TUSD BE'!$R$10*'TUSD BE'!$R$58</f>
        <v>0</v>
      </c>
      <c r="S10" s="31">
        <f>'TUSD BE'!$R$10*'TUSD BE'!$S$58</f>
        <v>0</v>
      </c>
      <c r="T10" s="31">
        <f ca="1">SUM($L$10:$S$10)</f>
        <v>0</v>
      </c>
      <c r="U10" s="31">
        <f>'TUSD BE'!$U$10*'TUSD BE'!$U$58</f>
        <v>0</v>
      </c>
      <c r="V10" s="31">
        <f>'TUSD BE'!$V$10*'TUSD BE'!$V$58</f>
        <v>0</v>
      </c>
      <c r="W10" s="31">
        <f>'TUSD BE'!$W$10*'TUSD BE'!$W$58</f>
        <v>0</v>
      </c>
      <c r="X10" s="31">
        <f>'TUSD BE'!$X$10*'TUSD BE'!$X$58</f>
        <v>0</v>
      </c>
      <c r="Y10" s="31">
        <f>'TUSD BE'!$Y$10*'TUSD BE'!$Y$58</f>
        <v>4.8850016700894727E-2</v>
      </c>
      <c r="Z10" s="31">
        <f>'TUSD BE'!$Z$10*'TUSD BE'!$Z$58</f>
        <v>0</v>
      </c>
      <c r="AA10" s="31">
        <f>'TUSD BE'!$AA$10*'TUSD BE'!$AA$58</f>
        <v>0</v>
      </c>
      <c r="AB10" s="31">
        <f>SUM($U$10:$AA$10)</f>
        <v>4.8850016700894727E-2</v>
      </c>
      <c r="AC10" s="31">
        <f>'TUSD BE'!$AC$10*'TUSD BE'!$AC$58</f>
        <v>-0.11596481820980867</v>
      </c>
      <c r="AD10" s="31">
        <f>SUM($AC$10:$AC$10)</f>
        <v>-0.11596481820980867</v>
      </c>
      <c r="AE10" s="31">
        <f ca="1">$AO$10*$AO$55</f>
        <v>0</v>
      </c>
      <c r="AF10" s="31">
        <f ca="1">$AP$10*$AP$55</f>
        <v>0</v>
      </c>
      <c r="AG10" s="31">
        <f ca="1">SUM($AE$10:$AF$10)</f>
        <v>0</v>
      </c>
      <c r="AH10" s="31">
        <f>'TUSD BE'!$AH$10*'TUSD BE'!$AH$58</f>
        <v>0</v>
      </c>
      <c r="AI10" s="31">
        <f>'TUSD BE'!$AI$10*'TUSD BE'!$AI$58</f>
        <v>0</v>
      </c>
      <c r="AJ10" s="31">
        <f ca="1">'TUSD BE'!$AJ$10*'TUSD BE'!$AJ$58</f>
        <v>0</v>
      </c>
      <c r="AK10" s="31">
        <f ca="1">'TUSD BE'!$AK$10*'TUSD BE'!$AK$58</f>
        <v>0</v>
      </c>
      <c r="AL10" s="31">
        <f ca="1">SUM($AH$10:$AK$10)</f>
        <v>0</v>
      </c>
      <c r="AM10" s="31">
        <f ca="1">SUMIF($L$4:$AL$4,"SUBTOTAL",$L$10:$AL$10)+AZ10</f>
        <v>-6.1608466903567765</v>
      </c>
      <c r="AO10" s="59">
        <f ca="1">+'TUSD BE'!$T$10+'TUSD BE'!$AB$10+'TUSD BE'!$AD$10+'TUSD BE'!$AL$10</f>
        <v>21.800846690356778</v>
      </c>
      <c r="AP10" s="59">
        <f ca="1">+'TUSD BE'!$T$10+'TUSD BE'!$AB$10+'TUSD BE'!$AD$10+'TUSD BE'!$AL$10</f>
        <v>21.800846690356778</v>
      </c>
      <c r="AQ10" s="9" t="str">
        <f t="shared" si="0"/>
        <v>A4</v>
      </c>
      <c r="AR10" s="9" t="str">
        <f t="shared" si="1"/>
        <v>Verde</v>
      </c>
      <c r="AS10" s="9" t="str">
        <f t="shared" si="2"/>
        <v>Não se aplica</v>
      </c>
      <c r="AT10" s="9" t="str">
        <f t="shared" si="3"/>
        <v>Não se aplica</v>
      </c>
      <c r="AU10" s="9" t="str">
        <f t="shared" si="4"/>
        <v>Não se aplica</v>
      </c>
      <c r="AV10" s="9">
        <f t="shared" si="5"/>
        <v>1</v>
      </c>
      <c r="AW10" s="9">
        <f ca="1">IFERROR(VLOOKUP(AQ10,TarifaMedia!$C$17:$G$17,5,0),0)</f>
        <v>1</v>
      </c>
      <c r="AX10" s="15">
        <f ca="1">'TUSD BE'!$AM10+'TUSD BF'!$AM10+'TUSD CVA'!$AM10</f>
        <v>21.733731888847863</v>
      </c>
      <c r="AY10" s="9">
        <v>15.64</v>
      </c>
      <c r="AZ10" s="9">
        <f t="shared" ca="1" si="6"/>
        <v>-6.0937318888478629</v>
      </c>
      <c r="BC10" s="54" t="s">
        <v>1114</v>
      </c>
    </row>
    <row r="11" spans="1:55" ht="11.25" customHeight="1" x14ac:dyDescent="0.25">
      <c r="A11" s="149"/>
      <c r="B11" s="149"/>
      <c r="C11" s="149"/>
      <c r="D11" s="149"/>
      <c r="E11" s="149"/>
      <c r="F11" s="149"/>
      <c r="G11" s="57" t="s">
        <v>75</v>
      </c>
      <c r="H11" s="57" t="s">
        <v>74</v>
      </c>
      <c r="I11" s="57">
        <f>'MERCADO TUSD'!$U$8</f>
        <v>6338.8209999999999</v>
      </c>
      <c r="J11" s="15"/>
      <c r="L11" s="31">
        <f>'TUSD BE'!$L$11*'TUSD BE'!$L$58</f>
        <v>0</v>
      </c>
      <c r="M11" s="31">
        <f>'TUSD BE'!$M$11*'TUSD BE'!$M$58</f>
        <v>-1.1538100189374996E-2</v>
      </c>
      <c r="N11" s="31">
        <f ca="1">'TUSD BE'!$N$11*'TUSD BE'!$N$58</f>
        <v>-5.8819077674031372E-5</v>
      </c>
      <c r="O11" s="31">
        <f>'TUSD BE'!$O$11*'TUSD BE'!$O$58</f>
        <v>0</v>
      </c>
      <c r="P11" s="31">
        <f>'TUSD BE'!$P$11*'TUSD BE'!$P$58</f>
        <v>0</v>
      </c>
      <c r="Q11" s="31">
        <f>'TUSD BE'!$Q$11*'TUSD BE'!$Q$58</f>
        <v>-2.2968607286001315</v>
      </c>
      <c r="R11" s="31">
        <f>'TUSD BE'!$R$11*'TUSD BE'!$R$58</f>
        <v>-0.47097951775238756</v>
      </c>
      <c r="S11" s="31">
        <f>'TUSD BE'!$R$11*'TUSD BE'!$S$58</f>
        <v>0</v>
      </c>
      <c r="T11" s="31">
        <f ca="1">SUM($L$11:$S$11)</f>
        <v>-2.779437165619568</v>
      </c>
      <c r="U11" s="31">
        <f>'TUSD BE'!$U$11*'TUSD BE'!$U$58</f>
        <v>0</v>
      </c>
      <c r="V11" s="31">
        <f>'TUSD BE'!$V$11*'TUSD BE'!$V$58</f>
        <v>0</v>
      </c>
      <c r="W11" s="31">
        <f>'TUSD BE'!$W$11*'TUSD BE'!$W$58</f>
        <v>0</v>
      </c>
      <c r="X11" s="31">
        <f>'TUSD BE'!$X$11*'TUSD BE'!$X$58</f>
        <v>0</v>
      </c>
      <c r="Y11" s="31">
        <f>'TUSD BE'!$Y$11*'TUSD BE'!$Y$58</f>
        <v>3.0451751596288354</v>
      </c>
      <c r="Z11" s="31">
        <f>'TUSD BE'!$Z$11*'TUSD BE'!$Z$58</f>
        <v>0</v>
      </c>
      <c r="AA11" s="31">
        <f>'TUSD BE'!$AA$11*'TUSD BE'!$AA$58</f>
        <v>0</v>
      </c>
      <c r="AB11" s="31">
        <f>SUM($U$11:$AA$11)</f>
        <v>3.0451751596288354</v>
      </c>
      <c r="AC11" s="31">
        <f>'TUSD BE'!$AC$11*'TUSD BE'!$AC$58</f>
        <v>-7.274058857430945</v>
      </c>
      <c r="AD11" s="31">
        <f>SUM($AC$11:$AC$11)</f>
        <v>-7.274058857430945</v>
      </c>
      <c r="AE11" s="31">
        <f ca="1">$AO$11*$AO$55</f>
        <v>0</v>
      </c>
      <c r="AF11" s="31">
        <f ca="1">$AP$11*$AP$55</f>
        <v>0</v>
      </c>
      <c r="AG11" s="31">
        <f ca="1">SUM($AE$11:$AF$11)</f>
        <v>0</v>
      </c>
      <c r="AH11" s="31">
        <f>'TUSD BE'!$AH$11*'TUSD BE'!$AH$58</f>
        <v>0.61492125762607952</v>
      </c>
      <c r="AI11" s="31">
        <f>'TUSD BE'!$AI$11*'TUSD BE'!$AI$58</f>
        <v>1.3304267399352383E-2</v>
      </c>
      <c r="AJ11" s="31">
        <f ca="1">'TUSD BE'!$AJ$11*'TUSD BE'!$AJ$58</f>
        <v>1.4953878552910386E-2</v>
      </c>
      <c r="AK11" s="31">
        <f ca="1">'TUSD BE'!$AK$11*'TUSD BE'!$AK$58</f>
        <v>2.4735656990833962E-2</v>
      </c>
      <c r="AL11" s="31">
        <f ca="1">SUM($AH$11:$AK$11)</f>
        <v>0.66791506056917627</v>
      </c>
      <c r="AM11" s="31">
        <f ca="1">SUMIF($L$4:$AL$4,"SUBTOTAL",$L$11:$AL$11)+AZ11</f>
        <v>-587.48627601229293</v>
      </c>
      <c r="AO11" s="59">
        <f ca="1">+'TUSD BE'!$T$11+'TUSD BE'!$AB$11+'TUSD BE'!$AD$11+'TUSD BE'!$AL$11</f>
        <v>1478.2969230891163</v>
      </c>
      <c r="AP11" s="59">
        <f ca="1">+'TUSD BE'!$T$11+'TUSD BE'!$AB$11+'TUSD BE'!$AD$11+'TUSD BE'!$AL$11</f>
        <v>1478.2969230891163</v>
      </c>
      <c r="AQ11" s="9" t="str">
        <f t="shared" si="0"/>
        <v>A4</v>
      </c>
      <c r="AR11" s="9" t="str">
        <f t="shared" si="1"/>
        <v>Verde</v>
      </c>
      <c r="AS11" s="9" t="str">
        <f t="shared" si="2"/>
        <v>Não se aplica</v>
      </c>
      <c r="AT11" s="9" t="str">
        <f t="shared" si="3"/>
        <v>Não se aplica</v>
      </c>
      <c r="AU11" s="9" t="str">
        <f t="shared" si="4"/>
        <v>Não se aplica</v>
      </c>
      <c r="AV11" s="9">
        <f t="shared" si="5"/>
        <v>1</v>
      </c>
      <c r="AW11" s="9">
        <f ca="1">IFERROR(VLOOKUP(AQ11,TarifaMedia!$C$17:$G$17,5,0),0)</f>
        <v>1</v>
      </c>
      <c r="AX11" s="15">
        <f ca="1">'TUSD BE'!$AM11+'TUSD BF'!$AM11+'TUSD CVA'!$AM11</f>
        <v>1492.9858702094405</v>
      </c>
      <c r="AY11" s="9">
        <v>911.84</v>
      </c>
      <c r="AZ11" s="9">
        <f t="shared" ca="1" si="6"/>
        <v>-581.14587020944043</v>
      </c>
      <c r="BC11" s="54" t="s">
        <v>1115</v>
      </c>
    </row>
    <row r="12" spans="1:55" ht="11.25" customHeight="1" x14ac:dyDescent="0.25">
      <c r="A12" s="149"/>
      <c r="B12" s="149"/>
      <c r="C12" s="149"/>
      <c r="D12" s="149"/>
      <c r="E12" s="149"/>
      <c r="F12" s="149"/>
      <c r="G12" s="57" t="s">
        <v>76</v>
      </c>
      <c r="H12" s="57" t="s">
        <v>74</v>
      </c>
      <c r="I12" s="57">
        <f>'MERCADO TUSD'!$U$9</f>
        <v>108386.66</v>
      </c>
      <c r="J12" s="15"/>
      <c r="L12" s="31">
        <f>'TUSD BE'!$L$12*'TUSD BE'!$L$58</f>
        <v>0</v>
      </c>
      <c r="M12" s="31">
        <f>'TUSD BE'!$M$12*'TUSD BE'!$M$58</f>
        <v>-1.1538100189374996E-2</v>
      </c>
      <c r="N12" s="31">
        <f ca="1">'TUSD BE'!$N$12*'TUSD BE'!$N$58</f>
        <v>-1.0938636333008266E-6</v>
      </c>
      <c r="O12" s="31">
        <f>'TUSD BE'!$O$12*'TUSD BE'!$O$58</f>
        <v>0</v>
      </c>
      <c r="P12" s="31">
        <f>'TUSD BE'!$P$12*'TUSD BE'!$P$58</f>
        <v>0</v>
      </c>
      <c r="Q12" s="31">
        <f>'TUSD BE'!$Q$12*'TUSD BE'!$Q$58</f>
        <v>-2.2968607286001315</v>
      </c>
      <c r="R12" s="31">
        <f>'TUSD BE'!$R$12*'TUSD BE'!$R$58</f>
        <v>-0.47097951775238756</v>
      </c>
      <c r="S12" s="31">
        <f>'TUSD BE'!$R$12*'TUSD BE'!$S$58</f>
        <v>0</v>
      </c>
      <c r="T12" s="31">
        <f ca="1">SUM($L$12:$S$12)</f>
        <v>-2.7793794404055272</v>
      </c>
      <c r="U12" s="31">
        <f>'TUSD BE'!$U$12*'TUSD BE'!$U$58</f>
        <v>0</v>
      </c>
      <c r="V12" s="31">
        <f>'TUSD BE'!$V$12*'TUSD BE'!$V$58</f>
        <v>0</v>
      </c>
      <c r="W12" s="31">
        <f>'TUSD BE'!$W$12*'TUSD BE'!$W$58</f>
        <v>0</v>
      </c>
      <c r="X12" s="31">
        <f>'TUSD BE'!$X$12*'TUSD BE'!$X$58</f>
        <v>0</v>
      </c>
      <c r="Y12" s="31">
        <f>'TUSD BE'!$Y$12*'TUSD BE'!$Y$58</f>
        <v>0</v>
      </c>
      <c r="Z12" s="31">
        <f>'TUSD BE'!$Z$12*'TUSD BE'!$Z$58</f>
        <v>0</v>
      </c>
      <c r="AA12" s="31">
        <f>'TUSD BE'!$AA$12*'TUSD BE'!$AA$58</f>
        <v>0</v>
      </c>
      <c r="AB12" s="31">
        <f>SUM($U$12:$AA$12)</f>
        <v>0</v>
      </c>
      <c r="AC12" s="31">
        <f>'TUSD BE'!$AC$12*'TUSD BE'!$AC$58</f>
        <v>0</v>
      </c>
      <c r="AD12" s="31">
        <f>SUM($AC$12:$AC$12)</f>
        <v>0</v>
      </c>
      <c r="AE12" s="31">
        <f ca="1">$AO$12*$AO$55</f>
        <v>0</v>
      </c>
      <c r="AF12" s="31">
        <f ca="1">$AP$12*$AP$55</f>
        <v>0</v>
      </c>
      <c r="AG12" s="31">
        <f ca="1">SUM($AE$12:$AF$12)</f>
        <v>0</v>
      </c>
      <c r="AH12" s="31">
        <f>'TUSD BE'!$AH$12*'TUSD BE'!$AH$58</f>
        <v>0.61492125762607952</v>
      </c>
      <c r="AI12" s="31">
        <f>'TUSD BE'!$AI$12*'TUSD BE'!$AI$58</f>
        <v>1.3304267399352383E-2</v>
      </c>
      <c r="AJ12" s="31">
        <f ca="1">'TUSD BE'!$AJ$12*'TUSD BE'!$AJ$58</f>
        <v>1.4953878552910386E-2</v>
      </c>
      <c r="AK12" s="31">
        <f ca="1">'TUSD BE'!$AK$12*'TUSD BE'!$AK$58</f>
        <v>2.4735656990833962E-2</v>
      </c>
      <c r="AL12" s="31">
        <f ca="1">SUM($AH$12:$AK$12)</f>
        <v>0.66791506056917627</v>
      </c>
      <c r="AM12" s="31">
        <f ca="1">SUMIF($L$4:$AL$4,"SUBTOTAL",$L$12:$AL$12)+AZ12</f>
        <v>6.3061152370396041</v>
      </c>
      <c r="AO12" s="59">
        <f ca="1">+'TUSD BE'!$T$12+'TUSD BE'!$AB$12+'TUSD BE'!$AD$12+'TUSD BE'!$AL$12</f>
        <v>98.914531839783777</v>
      </c>
      <c r="AP12" s="59">
        <f ca="1">+'TUSD BE'!$T$12+'TUSD BE'!$AB$12+'TUSD BE'!$AD$12+'TUSD BE'!$AL$12</f>
        <v>98.914531839783777</v>
      </c>
      <c r="AQ12" s="9" t="str">
        <f t="shared" si="0"/>
        <v>A4</v>
      </c>
      <c r="AR12" s="9" t="str">
        <f t="shared" si="1"/>
        <v>Verde</v>
      </c>
      <c r="AS12" s="9" t="str">
        <f t="shared" si="2"/>
        <v>Não se aplica</v>
      </c>
      <c r="AT12" s="9" t="str">
        <f t="shared" si="3"/>
        <v>Não se aplica</v>
      </c>
      <c r="AU12" s="9" t="str">
        <f t="shared" si="4"/>
        <v>Não se aplica</v>
      </c>
      <c r="AV12" s="9">
        <f t="shared" si="5"/>
        <v>1</v>
      </c>
      <c r="AW12" s="9">
        <f ca="1">IFERROR(VLOOKUP(AQ12,TarifaMedia!$C$17:$G$17,5,0),0)</f>
        <v>1</v>
      </c>
      <c r="AX12" s="15">
        <f ca="1">'TUSD BE'!$AM12+'TUSD BF'!$AM12+'TUSD CVA'!$AM12</f>
        <v>117.83242038312405</v>
      </c>
      <c r="AY12" s="9">
        <v>126.25</v>
      </c>
      <c r="AZ12" s="9">
        <f t="shared" ca="1" si="6"/>
        <v>8.4175796168759547</v>
      </c>
      <c r="BC12" s="54" t="s">
        <v>1116</v>
      </c>
    </row>
    <row r="13" spans="1:55" ht="11.25" customHeight="1" x14ac:dyDescent="0.25">
      <c r="A13" s="149"/>
      <c r="B13" s="149"/>
      <c r="C13" s="149"/>
      <c r="D13" s="149"/>
      <c r="E13" s="149" t="s">
        <v>82</v>
      </c>
      <c r="F13" s="149" t="s">
        <v>25</v>
      </c>
      <c r="G13" s="57" t="s">
        <v>75</v>
      </c>
      <c r="H13" s="57" t="s">
        <v>74</v>
      </c>
      <c r="I13" s="57">
        <f>'MERCADO TUSD'!$U$10</f>
        <v>0</v>
      </c>
      <c r="J13" s="15"/>
      <c r="L13" s="31">
        <f>'TUSD BE'!$L$13*'TUSD BE'!$L$58</f>
        <v>0</v>
      </c>
      <c r="M13" s="31">
        <f>'TUSD BE'!$M$13*'TUSD BE'!$M$58</f>
        <v>-1.1538100189374996E-2</v>
      </c>
      <c r="N13" s="31">
        <f ca="1">'TUSD BE'!$N$13*'TUSD BE'!$N$58</f>
        <v>-5.8772829314217084E-5</v>
      </c>
      <c r="O13" s="31">
        <f>'TUSD BE'!$O$13*'TUSD BE'!$O$58</f>
        <v>0</v>
      </c>
      <c r="P13" s="31">
        <f>'TUSD BE'!$P$13*'TUSD BE'!$P$58</f>
        <v>0</v>
      </c>
      <c r="Q13" s="31">
        <f>'TUSD BE'!$Q$13*'TUSD BE'!$Q$58</f>
        <v>0</v>
      </c>
      <c r="R13" s="31">
        <f>'TUSD BE'!$R$13*'TUSD BE'!$R$58</f>
        <v>0</v>
      </c>
      <c r="S13" s="31">
        <f>'TUSD BE'!$R$13*'TUSD BE'!$S$58</f>
        <v>0</v>
      </c>
      <c r="T13" s="31">
        <f ca="1">SUM($L$13:$S$13)</f>
        <v>-1.1596873018689212E-2</v>
      </c>
      <c r="U13" s="31">
        <f>'TUSD BE'!$U$13*'TUSD BE'!$U$58</f>
        <v>0</v>
      </c>
      <c r="V13" s="31">
        <f>'TUSD BE'!$V$13*'TUSD BE'!$V$58</f>
        <v>0</v>
      </c>
      <c r="W13" s="31">
        <f>'TUSD BE'!$W$13*'TUSD BE'!$W$58</f>
        <v>0</v>
      </c>
      <c r="X13" s="31">
        <f>'TUSD BE'!$X$13*'TUSD BE'!$X$58</f>
        <v>0</v>
      </c>
      <c r="Y13" s="31">
        <f>'TUSD BE'!$Y$13*'TUSD BE'!$Y$58</f>
        <v>3.0451751596288354</v>
      </c>
      <c r="Z13" s="31">
        <f>'TUSD BE'!$Z$13*'TUSD BE'!$Z$58</f>
        <v>0</v>
      </c>
      <c r="AA13" s="31">
        <f>'TUSD BE'!$AA$13*'TUSD BE'!$AA$58</f>
        <v>0</v>
      </c>
      <c r="AB13" s="31">
        <f>SUM($U$13:$AA$13)</f>
        <v>3.0451751596288354</v>
      </c>
      <c r="AC13" s="31">
        <f>'TUSD BE'!$AC$13*'TUSD BE'!$AC$58</f>
        <v>-7.274058857430945</v>
      </c>
      <c r="AD13" s="31">
        <f>SUM($AC$13:$AC$13)</f>
        <v>-7.274058857430945</v>
      </c>
      <c r="AE13" s="31">
        <f ca="1">$AO$13*$AO$55</f>
        <v>0</v>
      </c>
      <c r="AF13" s="31">
        <f ca="1">$AP$13*$AP$55</f>
        <v>0</v>
      </c>
      <c r="AG13" s="31">
        <f ca="1">SUM($AE$13:$AF$13)</f>
        <v>0</v>
      </c>
      <c r="AH13" s="31">
        <f>'TUSD BE'!$AH$13*'TUSD BE'!$AH$58</f>
        <v>0.61492125762607952</v>
      </c>
      <c r="AI13" s="31">
        <f>'TUSD BE'!$AI$13*'TUSD BE'!$AI$58</f>
        <v>1.3304267399352383E-2</v>
      </c>
      <c r="AJ13" s="31">
        <f ca="1">'TUSD BE'!$AJ$13*'TUSD BE'!$AJ$58</f>
        <v>1.4953878552910386E-2</v>
      </c>
      <c r="AK13" s="31">
        <f ca="1">'TUSD BE'!$AK$13*'TUSD BE'!$AK$58</f>
        <v>2.4735656990833962E-2</v>
      </c>
      <c r="AL13" s="31">
        <f ca="1">SUM($AH$13:$AK$13)</f>
        <v>0.66791506056917627</v>
      </c>
      <c r="AM13" s="31">
        <f ca="1">SUMIF($L$4:$AL$4,"SUBTOTAL",$L$13:$AL$13)+AZ13</f>
        <v>-583.09228598153936</v>
      </c>
      <c r="AO13" s="59">
        <f ca="1">+'TUSD BE'!$T$13+'TUSD BE'!$AB$13+'TUSD BE'!$AD$13+'TUSD BE'!$AL$13</f>
        <v>1389.1920061932547</v>
      </c>
      <c r="AP13" s="59">
        <f ca="1">+'TUSD BE'!$T$13+'TUSD BE'!$AB$13+'TUSD BE'!$AD$13+'TUSD BE'!$AL$13</f>
        <v>1389.1920061932547</v>
      </c>
      <c r="AQ13" s="9" t="str">
        <f t="shared" si="0"/>
        <v>A4</v>
      </c>
      <c r="AR13" s="9" t="str">
        <f t="shared" si="1"/>
        <v>Verde</v>
      </c>
      <c r="AS13" s="9" t="str">
        <f t="shared" si="2"/>
        <v>Não se aplica</v>
      </c>
      <c r="AT13" s="9" t="str">
        <f t="shared" si="3"/>
        <v>Não se aplica</v>
      </c>
      <c r="AU13" s="9" t="str">
        <f t="shared" si="4"/>
        <v>APE</v>
      </c>
      <c r="AV13" s="9">
        <f t="shared" si="5"/>
        <v>1</v>
      </c>
      <c r="AW13" s="9">
        <f ca="1">IFERROR(VLOOKUP(AQ13,TarifaMedia!$C$17:$G$17,5,0),0)</f>
        <v>1</v>
      </c>
      <c r="AX13" s="15">
        <f ca="1">'TUSD BE'!$AM13+'TUSD BF'!$AM13+'TUSD CVA'!$AM13</f>
        <v>1385.5997204712878</v>
      </c>
      <c r="AY13" s="9">
        <v>806.08</v>
      </c>
      <c r="AZ13" s="9">
        <f t="shared" ca="1" si="6"/>
        <v>-579.51972047128777</v>
      </c>
      <c r="BC13" s="54" t="s">
        <v>1117</v>
      </c>
    </row>
    <row r="14" spans="1:55" ht="11.25" customHeight="1" x14ac:dyDescent="0.25">
      <c r="A14" s="149"/>
      <c r="B14" s="149"/>
      <c r="C14" s="149"/>
      <c r="D14" s="149"/>
      <c r="E14" s="149"/>
      <c r="F14" s="149"/>
      <c r="G14" s="57" t="s">
        <v>76</v>
      </c>
      <c r="H14" s="57" t="s">
        <v>74</v>
      </c>
      <c r="I14" s="57">
        <f>'MERCADO TUSD'!$U$11</f>
        <v>0</v>
      </c>
      <c r="J14" s="15"/>
      <c r="L14" s="31">
        <f>'TUSD BE'!$L$14*'TUSD BE'!$L$58</f>
        <v>0</v>
      </c>
      <c r="M14" s="31">
        <f>'TUSD BE'!$M$14*'TUSD BE'!$M$58</f>
        <v>-1.1538100189374996E-2</v>
      </c>
      <c r="N14" s="31">
        <f ca="1">'TUSD BE'!$N$14*'TUSD BE'!$N$58</f>
        <v>-1.0476152734865321E-6</v>
      </c>
      <c r="O14" s="31">
        <f>'TUSD BE'!$O$14*'TUSD BE'!$O$58</f>
        <v>0</v>
      </c>
      <c r="P14" s="31">
        <f>'TUSD BE'!$P$14*'TUSD BE'!$P$58</f>
        <v>0</v>
      </c>
      <c r="Q14" s="31">
        <f>'TUSD BE'!$Q$14*'TUSD BE'!$Q$58</f>
        <v>0</v>
      </c>
      <c r="R14" s="31">
        <f>'TUSD BE'!$R$14*'TUSD BE'!$R$58</f>
        <v>0</v>
      </c>
      <c r="S14" s="31">
        <f>'TUSD BE'!$R$14*'TUSD BE'!$S$58</f>
        <v>0</v>
      </c>
      <c r="T14" s="31">
        <f ca="1">SUM($L$14:$S$14)</f>
        <v>-1.1539147804648483E-2</v>
      </c>
      <c r="U14" s="31">
        <f>'TUSD BE'!$U$14*'TUSD BE'!$U$58</f>
        <v>0</v>
      </c>
      <c r="V14" s="31">
        <f>'TUSD BE'!$V$14*'TUSD BE'!$V$58</f>
        <v>0</v>
      </c>
      <c r="W14" s="31">
        <f>'TUSD BE'!$W$14*'TUSD BE'!$W$58</f>
        <v>0</v>
      </c>
      <c r="X14" s="31">
        <f>'TUSD BE'!$X$14*'TUSD BE'!$X$58</f>
        <v>0</v>
      </c>
      <c r="Y14" s="31">
        <f>'TUSD BE'!$Y$14*'TUSD BE'!$Y$58</f>
        <v>0</v>
      </c>
      <c r="Z14" s="31">
        <f>'TUSD BE'!$Z$14*'TUSD BE'!$Z$58</f>
        <v>0</v>
      </c>
      <c r="AA14" s="31">
        <f>'TUSD BE'!$AA$14*'TUSD BE'!$AA$58</f>
        <v>0</v>
      </c>
      <c r="AB14" s="31">
        <f>SUM($U$14:$AA$14)</f>
        <v>0</v>
      </c>
      <c r="AC14" s="31">
        <f>'TUSD BE'!$AC$14*'TUSD BE'!$AC$58</f>
        <v>0</v>
      </c>
      <c r="AD14" s="31">
        <f>SUM($AC$14:$AC$14)</f>
        <v>0</v>
      </c>
      <c r="AE14" s="31">
        <f ca="1">$AO$14*$AO$55</f>
        <v>0</v>
      </c>
      <c r="AF14" s="31">
        <f ca="1">$AP$14*$AP$55</f>
        <v>0</v>
      </c>
      <c r="AG14" s="31">
        <f ca="1">SUM($AE$14:$AF$14)</f>
        <v>0</v>
      </c>
      <c r="AH14" s="31">
        <f>'TUSD BE'!$AH$14*'TUSD BE'!$AH$58</f>
        <v>0.61492125762607952</v>
      </c>
      <c r="AI14" s="31">
        <f>'TUSD BE'!$AI$14*'TUSD BE'!$AI$58</f>
        <v>1.3304267399352383E-2</v>
      </c>
      <c r="AJ14" s="31">
        <f ca="1">'TUSD BE'!$AJ$14*'TUSD BE'!$AJ$58</f>
        <v>1.4953878552910386E-2</v>
      </c>
      <c r="AK14" s="31">
        <f ca="1">'TUSD BE'!$AK$14*'TUSD BE'!$AK$58</f>
        <v>2.4735656990833962E-2</v>
      </c>
      <c r="AL14" s="31">
        <f ca="1">SUM($AH$14:$AK$14)</f>
        <v>0.66791506056917627</v>
      </c>
      <c r="AM14" s="31">
        <f ca="1">SUMIF($L$4:$AL$4,"SUBTOTAL",$L$14:$AL$14)+AZ14</f>
        <v>10.700105267793095</v>
      </c>
      <c r="AO14" s="59">
        <f ca="1">+'TUSD BE'!$T$14+'TUSD BE'!$AB$14+'TUSD BE'!$AD$14+'TUSD BE'!$AL$14</f>
        <v>9.8096149439220781</v>
      </c>
      <c r="AP14" s="59">
        <f ca="1">+'TUSD BE'!$T$14+'TUSD BE'!$AB$14+'TUSD BE'!$AD$14+'TUSD BE'!$AL$14</f>
        <v>9.8096149439220781</v>
      </c>
      <c r="AQ14" s="9" t="str">
        <f t="shared" si="0"/>
        <v>A4</v>
      </c>
      <c r="AR14" s="9" t="str">
        <f t="shared" si="1"/>
        <v>Verde</v>
      </c>
      <c r="AS14" s="9" t="str">
        <f t="shared" si="2"/>
        <v>Não se aplica</v>
      </c>
      <c r="AT14" s="9" t="str">
        <f t="shared" si="3"/>
        <v>Não se aplica</v>
      </c>
      <c r="AU14" s="9" t="str">
        <f t="shared" si="4"/>
        <v>APE</v>
      </c>
      <c r="AV14" s="9">
        <f t="shared" si="5"/>
        <v>1</v>
      </c>
      <c r="AW14" s="9">
        <f ca="1">IFERROR(VLOOKUP(AQ14,TarifaMedia!$C$17:$G$17,5,0),0)</f>
        <v>1</v>
      </c>
      <c r="AX14" s="15">
        <f ca="1">'TUSD BE'!$AM14+'TUSD BF'!$AM14+'TUSD CVA'!$AM14</f>
        <v>10.446270644971431</v>
      </c>
      <c r="AY14" s="9">
        <v>20.49</v>
      </c>
      <c r="AZ14" s="9">
        <f t="shared" ca="1" si="6"/>
        <v>10.043729355028567</v>
      </c>
      <c r="BC14" s="54" t="s">
        <v>1118</v>
      </c>
    </row>
    <row r="15" spans="1:55" ht="11.25" customHeight="1" x14ac:dyDescent="0.25">
      <c r="A15" s="149" t="s">
        <v>84</v>
      </c>
      <c r="B15" s="149" t="s">
        <v>83</v>
      </c>
      <c r="C15" s="149" t="s">
        <v>25</v>
      </c>
      <c r="D15" s="149" t="s">
        <v>25</v>
      </c>
      <c r="E15" s="56" t="s">
        <v>85</v>
      </c>
      <c r="F15" s="56" t="s">
        <v>25</v>
      </c>
      <c r="G15" s="57" t="s">
        <v>9</v>
      </c>
      <c r="H15" s="57" t="s">
        <v>79</v>
      </c>
      <c r="I15" s="57">
        <f>'MERCADO TUSD'!$U$12+0.00000001</f>
        <v>1E-8</v>
      </c>
      <c r="J15" s="15"/>
      <c r="L15" s="31">
        <f>'TUSD BE'!$L$15*'TUSD BE'!$L$58</f>
        <v>0</v>
      </c>
      <c r="M15" s="31">
        <f>'TUSD BE'!$M$15*'TUSD BE'!$M$58</f>
        <v>-1.4124007003994538E-3</v>
      </c>
      <c r="N15" s="31">
        <f ca="1">'TUSD BE'!$N$15*'TUSD BE'!$N$58</f>
        <v>-4.1253536954350811E-7</v>
      </c>
      <c r="O15" s="31">
        <f>'TUSD BE'!$O$15*'TUSD BE'!$O$58</f>
        <v>0</v>
      </c>
      <c r="P15" s="31">
        <f>'TUSD BE'!$P$15*'TUSD BE'!$P$58</f>
        <v>0</v>
      </c>
      <c r="Q15" s="31">
        <f>'TUSD BE'!$Q$15*'TUSD BE'!$Q$58</f>
        <v>0</v>
      </c>
      <c r="R15" s="31">
        <f>'TUSD BE'!$R$15*'TUSD BE'!$R$58</f>
        <v>0</v>
      </c>
      <c r="S15" s="31">
        <f>'TUSD BE'!$R$15*'TUSD BE'!$S$58</f>
        <v>0</v>
      </c>
      <c r="T15" s="31">
        <f ca="1">SUM($L$15:$S$15)</f>
        <v>-1.4128132357689974E-3</v>
      </c>
      <c r="U15" s="31">
        <f>'TUSD BE'!$U$15*'TUSD BE'!$U$58</f>
        <v>0</v>
      </c>
      <c r="V15" s="31">
        <f>'TUSD BE'!$V$15*'TUSD BE'!$V$58</f>
        <v>0</v>
      </c>
      <c r="W15" s="31">
        <f>'TUSD BE'!$W$15*'TUSD BE'!$W$58</f>
        <v>0</v>
      </c>
      <c r="X15" s="31">
        <f>'TUSD BE'!$X$15*'TUSD BE'!$X$58</f>
        <v>0</v>
      </c>
      <c r="Y15" s="31">
        <f>'TUSD BE'!$Y$15*'TUSD BE'!$Y$58</f>
        <v>0</v>
      </c>
      <c r="Z15" s="31">
        <f>'TUSD BE'!$Z$15*'TUSD BE'!$Z$58</f>
        <v>0</v>
      </c>
      <c r="AA15" s="31">
        <f>'TUSD BE'!$AA$15*'TUSD BE'!$AA$58</f>
        <v>0</v>
      </c>
      <c r="AB15" s="31">
        <f>SUM($U$15:$AA$15)</f>
        <v>0</v>
      </c>
      <c r="AC15" s="31">
        <f>'TUSD BE'!$AC$15*'TUSD BE'!$AC$58</f>
        <v>-0.11556934907890908</v>
      </c>
      <c r="AD15" s="31">
        <f>SUM($AC$15:$AC$15)</f>
        <v>-0.11556934907890908</v>
      </c>
      <c r="AE15" s="31">
        <f ca="1">$AO$15*$AO$55</f>
        <v>0</v>
      </c>
      <c r="AF15" s="31">
        <f ca="1">$AP$15*$AP$55</f>
        <v>0</v>
      </c>
      <c r="AG15" s="31">
        <f ca="1">SUM($AE$15:$AF$15)</f>
        <v>0</v>
      </c>
      <c r="AH15" s="31">
        <f>'TUSD BE'!$AH$15*'TUSD BE'!$AH$58</f>
        <v>0</v>
      </c>
      <c r="AI15" s="31">
        <f>'TUSD BE'!$AI$15*'TUSD BE'!$AI$58</f>
        <v>0</v>
      </c>
      <c r="AJ15" s="31">
        <f ca="1">'TUSD BE'!$AJ$15*'TUSD BE'!$AJ$58</f>
        <v>0</v>
      </c>
      <c r="AK15" s="31">
        <f ca="1">'TUSD BE'!$AK$15*'TUSD BE'!$AK$58</f>
        <v>0</v>
      </c>
      <c r="AL15" s="31">
        <f ca="1">SUM($AH$15:$AK$15)</f>
        <v>0</v>
      </c>
      <c r="AM15" s="31">
        <f ca="1">SUMIF($L$4:$AL$4,"SUBTOTAL",$L$15:$AL$15)+AZ15</f>
        <v>-0.11698216231467808</v>
      </c>
      <c r="AO15" s="59">
        <f ca="1">+'TUSD BE'!$T$15+'TUSD BE'!$AB$15+'TUSD BE'!$AD$15+'TUSD BE'!$AL$15</f>
        <v>9.323084622468409</v>
      </c>
      <c r="AP15" s="59">
        <f ca="1">+'TUSD BE'!$T$15+'TUSD BE'!$AB$15+'TUSD BE'!$AD$15+'TUSD BE'!$AL$15</f>
        <v>9.323084622468409</v>
      </c>
      <c r="AQ15" s="9" t="str">
        <f t="shared" si="0"/>
        <v>B</v>
      </c>
      <c r="AR15" s="9" t="str">
        <f t="shared" si="1"/>
        <v>Geração</v>
      </c>
      <c r="AS15" s="9" t="str">
        <f t="shared" si="2"/>
        <v>Não se aplica</v>
      </c>
      <c r="AT15" s="9" t="str">
        <f t="shared" si="3"/>
        <v>Não se aplica</v>
      </c>
      <c r="AU15" s="9" t="str">
        <f t="shared" si="4"/>
        <v>TIPO 01</v>
      </c>
      <c r="AV15" s="9">
        <f t="shared" si="5"/>
        <v>0</v>
      </c>
      <c r="AW15" s="9">
        <f ca="1">TarifaMedia!$G$20</f>
        <v>1</v>
      </c>
      <c r="AX15" s="15">
        <f ca="1">'TUSD BE'!$AM15+'TUSD BF'!$AM15+'TUSD CVA'!$AM15</f>
        <v>9.2061024601537316</v>
      </c>
      <c r="AY15" s="9">
        <v>1.99</v>
      </c>
      <c r="AZ15" s="9">
        <f t="shared" ca="1" si="6"/>
        <v>0</v>
      </c>
      <c r="BC15" s="54" t="s">
        <v>1119</v>
      </c>
    </row>
    <row r="16" spans="1:55" ht="11.25" customHeight="1" x14ac:dyDescent="0.25">
      <c r="A16" s="149"/>
      <c r="B16" s="149"/>
      <c r="C16" s="149"/>
      <c r="D16" s="149"/>
      <c r="E16" s="56" t="s">
        <v>86</v>
      </c>
      <c r="F16" s="56" t="s">
        <v>25</v>
      </c>
      <c r="G16" s="57" t="s">
        <v>9</v>
      </c>
      <c r="H16" s="57" t="s">
        <v>79</v>
      </c>
      <c r="I16" s="57">
        <f>'MERCADO TUSD'!$U$13+0.00000001</f>
        <v>1E-8</v>
      </c>
      <c r="J16" s="15"/>
      <c r="L16" s="31">
        <f>'TUSD BE'!$L$16*'TUSD BE'!$L$58</f>
        <v>0</v>
      </c>
      <c r="M16" s="31">
        <f>'TUSD BE'!$M$16*'TUSD BE'!$M$58</f>
        <v>-1.4124007003994538E-3</v>
      </c>
      <c r="N16" s="31">
        <f ca="1">'TUSD BE'!$N$16*'TUSD BE'!$N$58</f>
        <v>-4.1253536954350811E-7</v>
      </c>
      <c r="O16" s="31">
        <f>'TUSD BE'!$O$16*'TUSD BE'!$O$58</f>
        <v>0</v>
      </c>
      <c r="P16" s="31">
        <f>'TUSD BE'!$P$16*'TUSD BE'!$P$58</f>
        <v>0</v>
      </c>
      <c r="Q16" s="31">
        <f>'TUSD BE'!$Q$16*'TUSD BE'!$Q$58</f>
        <v>0</v>
      </c>
      <c r="R16" s="31">
        <f>'TUSD BE'!$R$16*'TUSD BE'!$R$58</f>
        <v>0</v>
      </c>
      <c r="S16" s="31">
        <f>'TUSD BE'!$R$16*'TUSD BE'!$S$58</f>
        <v>0</v>
      </c>
      <c r="T16" s="31">
        <f ca="1">SUM($L$16:$S$16)</f>
        <v>-1.4128132357689974E-3</v>
      </c>
      <c r="U16" s="31">
        <f>'TUSD BE'!$U$16*'TUSD BE'!$U$58</f>
        <v>0</v>
      </c>
      <c r="V16" s="31">
        <f>'TUSD BE'!$V$16*'TUSD BE'!$V$58</f>
        <v>0</v>
      </c>
      <c r="W16" s="31">
        <f>'TUSD BE'!$W$16*'TUSD BE'!$W$58</f>
        <v>0</v>
      </c>
      <c r="X16" s="31">
        <f>'TUSD BE'!$X$16*'TUSD BE'!$X$58</f>
        <v>0</v>
      </c>
      <c r="Y16" s="31">
        <f>'TUSD BE'!$Y$16*'TUSD BE'!$Y$58</f>
        <v>0</v>
      </c>
      <c r="Z16" s="31">
        <f>'TUSD BE'!$Z$16*'TUSD BE'!$Z$58</f>
        <v>0</v>
      </c>
      <c r="AA16" s="31">
        <f>'TUSD BE'!$AA$16*'TUSD BE'!$AA$58</f>
        <v>0</v>
      </c>
      <c r="AB16" s="31">
        <f>SUM($U$16:$AA$16)</f>
        <v>0</v>
      </c>
      <c r="AC16" s="31">
        <f>'TUSD BE'!$AC$16*'TUSD BE'!$AC$58</f>
        <v>-0.18412470345153178</v>
      </c>
      <c r="AD16" s="31">
        <f>SUM($AC$16:$AC$16)</f>
        <v>-0.18412470345153178</v>
      </c>
      <c r="AE16" s="31">
        <f ca="1">$AO$16*$AO$55</f>
        <v>0</v>
      </c>
      <c r="AF16" s="31">
        <f ca="1">$AP$16*$AP$55</f>
        <v>0</v>
      </c>
      <c r="AG16" s="31">
        <f ca="1">SUM($AE$16:$AF$16)</f>
        <v>0</v>
      </c>
      <c r="AH16" s="31">
        <f>'TUSD BE'!$AH$16*'TUSD BE'!$AH$58</f>
        <v>0</v>
      </c>
      <c r="AI16" s="31">
        <f>'TUSD BE'!$AI$16*'TUSD BE'!$AI$58</f>
        <v>0</v>
      </c>
      <c r="AJ16" s="31">
        <f ca="1">'TUSD BE'!$AJ$16*'TUSD BE'!$AJ$58</f>
        <v>0</v>
      </c>
      <c r="AK16" s="31">
        <f ca="1">'TUSD BE'!$AK$16*'TUSD BE'!$AK$58</f>
        <v>0</v>
      </c>
      <c r="AL16" s="31">
        <f ca="1">SUM($AH$16:$AK$16)</f>
        <v>0</v>
      </c>
      <c r="AM16" s="31">
        <f ca="1">SUMIF($L$4:$AL$4,"SUBTOTAL",$L$16:$AL$16)+AZ16</f>
        <v>-0.18553751668730079</v>
      </c>
      <c r="AO16" s="59">
        <f ca="1">+'TUSD BE'!$T$16+'TUSD BE'!$AB$16+'TUSD BE'!$AD$16+'TUSD BE'!$AL$16</f>
        <v>14.760563710962762</v>
      </c>
      <c r="AP16" s="59">
        <f ca="1">+'TUSD BE'!$T$16+'TUSD BE'!$AB$16+'TUSD BE'!$AD$16+'TUSD BE'!$AL$16</f>
        <v>14.760563710962762</v>
      </c>
      <c r="AQ16" s="9" t="str">
        <f t="shared" si="0"/>
        <v>B</v>
      </c>
      <c r="AR16" s="9" t="str">
        <f t="shared" si="1"/>
        <v>Geração</v>
      </c>
      <c r="AS16" s="9" t="str">
        <f t="shared" si="2"/>
        <v>Não se aplica</v>
      </c>
      <c r="AT16" s="9" t="str">
        <f t="shared" si="3"/>
        <v>Não se aplica</v>
      </c>
      <c r="AU16" s="9" t="str">
        <f t="shared" si="4"/>
        <v>TIPO 02</v>
      </c>
      <c r="AV16" s="9">
        <f t="shared" si="5"/>
        <v>0</v>
      </c>
      <c r="AW16" s="9">
        <f ca="1">TarifaMedia!$G$20</f>
        <v>1</v>
      </c>
      <c r="AX16" s="15">
        <f ca="1">'TUSD BE'!$AM16+'TUSD BF'!$AM16+'TUSD CVA'!$AM16</f>
        <v>14.575026194275461</v>
      </c>
      <c r="AY16" s="9">
        <v>5.86</v>
      </c>
      <c r="AZ16" s="9">
        <f t="shared" ca="1" si="6"/>
        <v>0</v>
      </c>
      <c r="BC16" s="54" t="s">
        <v>1120</v>
      </c>
    </row>
    <row r="17" spans="1:55" ht="11.25" customHeight="1" x14ac:dyDescent="0.25">
      <c r="A17" s="149" t="s">
        <v>22</v>
      </c>
      <c r="B17" s="149" t="s">
        <v>50</v>
      </c>
      <c r="C17" s="149" t="s">
        <v>24</v>
      </c>
      <c r="D17" s="149" t="s">
        <v>24</v>
      </c>
      <c r="E17" s="149" t="s">
        <v>25</v>
      </c>
      <c r="F17" s="149" t="s">
        <v>25</v>
      </c>
      <c r="G17" s="57" t="s">
        <v>75</v>
      </c>
      <c r="H17" s="57" t="s">
        <v>74</v>
      </c>
      <c r="I17" s="57">
        <f>'MERCADO TUSD'!$U$14</f>
        <v>0</v>
      </c>
      <c r="J17" s="15"/>
      <c r="L17" s="31">
        <f>'TUSD BE'!$L$17*'TUSD BE'!$L$58</f>
        <v>0</v>
      </c>
      <c r="M17" s="31">
        <f>'TUSD BE'!$M$17*'TUSD BE'!$M$58</f>
        <v>-3.0650909416479716E-2</v>
      </c>
      <c r="N17" s="31">
        <f ca="1">'TUSD BE'!$N$17*'TUSD BE'!$N$58</f>
        <v>-3.536421128698183E-5</v>
      </c>
      <c r="O17" s="31">
        <f>'TUSD BE'!$O$17*'TUSD BE'!$O$58</f>
        <v>0</v>
      </c>
      <c r="P17" s="31">
        <f>'TUSD BE'!$P$17*'TUSD BE'!$P$58</f>
        <v>0</v>
      </c>
      <c r="Q17" s="31">
        <f>'TUSD BE'!$Q$17*'TUSD BE'!$Q$58</f>
        <v>-2.7343580102382514</v>
      </c>
      <c r="R17" s="31">
        <f>'TUSD BE'!$R$17*'TUSD BE'!$R$58</f>
        <v>-0.47097951775238756</v>
      </c>
      <c r="S17" s="31">
        <f>'TUSD BE'!$R$17*'TUSD BE'!$S$58</f>
        <v>0</v>
      </c>
      <c r="T17" s="31">
        <f ca="1">SUM($L$17:$S$17)</f>
        <v>-3.2360238016184057</v>
      </c>
      <c r="U17" s="31">
        <f>'TUSD BE'!$U$17*'TUSD BE'!$U$58</f>
        <v>0</v>
      </c>
      <c r="V17" s="31">
        <f>'TUSD BE'!$V$17*'TUSD BE'!$V$58</f>
        <v>0</v>
      </c>
      <c r="W17" s="31">
        <f>'TUSD BE'!$W$17*'TUSD BE'!$W$58</f>
        <v>0</v>
      </c>
      <c r="X17" s="31">
        <f>'TUSD BE'!$X$17*'TUSD BE'!$X$58</f>
        <v>0</v>
      </c>
      <c r="Y17" s="31">
        <f>'TUSD BE'!$Y$17*'TUSD BE'!$Y$58</f>
        <v>1.134897614469532</v>
      </c>
      <c r="Z17" s="31">
        <f>'TUSD BE'!$Z$17*'TUSD BE'!$Z$58</f>
        <v>0</v>
      </c>
      <c r="AA17" s="31">
        <f>'TUSD BE'!$AA$17*'TUSD BE'!$AA$58</f>
        <v>0</v>
      </c>
      <c r="AB17" s="31">
        <f>SUM($U$17:$AA$17)</f>
        <v>1.134897614469532</v>
      </c>
      <c r="AC17" s="31">
        <f>'TUSD BE'!$AC$17*'TUSD BE'!$AC$58</f>
        <v>-5.9809320383424538</v>
      </c>
      <c r="AD17" s="31">
        <f>SUM($AC$17:$AC$17)</f>
        <v>-5.9809320383424538</v>
      </c>
      <c r="AE17" s="31">
        <f ca="1">$AO$17*$AO$55</f>
        <v>0</v>
      </c>
      <c r="AF17" s="31">
        <f ca="1">$AP$17*$AP$55</f>
        <v>0</v>
      </c>
      <c r="AG17" s="31">
        <f ca="1">SUM($AE$17:$AF$17)</f>
        <v>0</v>
      </c>
      <c r="AH17" s="31">
        <f>'TUSD BE'!$AH$17*'TUSD BE'!$AH$58</f>
        <v>1.3126368552728811</v>
      </c>
      <c r="AI17" s="31">
        <f>'TUSD BE'!$AI$17*'TUSD BE'!$AI$58</f>
        <v>2.8399850394202356E-2</v>
      </c>
      <c r="AJ17" s="31">
        <f ca="1">'TUSD BE'!$AJ$17*'TUSD BE'!$AJ$58</f>
        <v>2.2743288755253759E-2</v>
      </c>
      <c r="AK17" s="31">
        <f ca="1">'TUSD BE'!$AK$17*'TUSD BE'!$AK$58</f>
        <v>3.7620352974175937E-2</v>
      </c>
      <c r="AL17" s="31">
        <f ca="1">SUM($AH$17:$AK$17)</f>
        <v>1.4014003473965131</v>
      </c>
      <c r="AM17" s="31">
        <f ca="1">SUMIF($L$4:$AL$4,"SUBTOTAL",$L$17:$AL$17)+AZ17</f>
        <v>-353.78507181123683</v>
      </c>
      <c r="AO17" s="59">
        <f ca="1">+'TUSD BE'!$T$17+'TUSD BE'!$AB$17+'TUSD BE'!$AD$17+'TUSD BE'!$AL$17</f>
        <v>901.09853266375694</v>
      </c>
      <c r="AP17" s="59">
        <f ca="1">+'TUSD BE'!$T$17+'TUSD BE'!$AB$17+'TUSD BE'!$AD$17+'TUSD BE'!$AL$17</f>
        <v>901.09853266375694</v>
      </c>
      <c r="AQ17" s="9" t="str">
        <f t="shared" si="0"/>
        <v>B1</v>
      </c>
      <c r="AR17" s="9" t="str">
        <f t="shared" si="1"/>
        <v>Branca</v>
      </c>
      <c r="AS17" s="9" t="str">
        <f t="shared" si="2"/>
        <v>Residencial</v>
      </c>
      <c r="AT17" s="9" t="str">
        <f t="shared" si="3"/>
        <v>Residencial</v>
      </c>
      <c r="AU17" s="9" t="str">
        <f t="shared" si="4"/>
        <v>Não se aplica</v>
      </c>
      <c r="AV17" s="9">
        <f t="shared" si="5"/>
        <v>1</v>
      </c>
      <c r="AW17" s="9">
        <f ca="1">TarifaMedia!$G$20</f>
        <v>1</v>
      </c>
      <c r="AX17" s="15">
        <f ca="1">'TUSD BE'!$AM17+'TUSD BF'!$AM17+'TUSD CVA'!$AM17</f>
        <v>918.69441393314207</v>
      </c>
      <c r="AY17" s="9">
        <v>571.59</v>
      </c>
      <c r="AZ17" s="9">
        <f t="shared" ca="1" si="6"/>
        <v>-347.10441393314204</v>
      </c>
      <c r="BC17" s="54" t="s">
        <v>1121</v>
      </c>
    </row>
    <row r="18" spans="1:55" ht="11.25" customHeight="1" x14ac:dyDescent="0.25">
      <c r="A18" s="149"/>
      <c r="B18" s="149"/>
      <c r="C18" s="149"/>
      <c r="D18" s="149"/>
      <c r="E18" s="149"/>
      <c r="F18" s="149"/>
      <c r="G18" s="57" t="s">
        <v>87</v>
      </c>
      <c r="H18" s="57" t="s">
        <v>74</v>
      </c>
      <c r="I18" s="57">
        <f>'MERCADO TUSD'!$U$15</f>
        <v>0</v>
      </c>
      <c r="J18" s="15"/>
      <c r="L18" s="31">
        <f>'TUSD BE'!$L$18*'TUSD BE'!$L$58</f>
        <v>0</v>
      </c>
      <c r="M18" s="31">
        <f>'TUSD BE'!$M$18*'TUSD BE'!$M$58</f>
        <v>-3.0650909416479716E-2</v>
      </c>
      <c r="N18" s="31">
        <f ca="1">'TUSD BE'!$N$18*'TUSD BE'!$N$58</f>
        <v>-2.2108728389135803E-5</v>
      </c>
      <c r="O18" s="31">
        <f>'TUSD BE'!$O$18*'TUSD BE'!$O$58</f>
        <v>0</v>
      </c>
      <c r="P18" s="31">
        <f>'TUSD BE'!$P$18*'TUSD BE'!$P$58</f>
        <v>0</v>
      </c>
      <c r="Q18" s="31">
        <f>'TUSD BE'!$Q$18*'TUSD BE'!$Q$58</f>
        <v>-2.7343580102382514</v>
      </c>
      <c r="R18" s="31">
        <f>'TUSD BE'!$R$18*'TUSD BE'!$R$58</f>
        <v>-0.47097951775238756</v>
      </c>
      <c r="S18" s="31">
        <f>'TUSD BE'!$R$18*'TUSD BE'!$S$58</f>
        <v>0</v>
      </c>
      <c r="T18" s="31">
        <f ca="1">SUM($L$18:$S$18)</f>
        <v>-3.2360105461355078</v>
      </c>
      <c r="U18" s="31">
        <f>'TUSD BE'!$U$18*'TUSD BE'!$U$58</f>
        <v>0</v>
      </c>
      <c r="V18" s="31">
        <f>'TUSD BE'!$V$18*'TUSD BE'!$V$58</f>
        <v>0</v>
      </c>
      <c r="W18" s="31">
        <f>'TUSD BE'!$W$18*'TUSD BE'!$W$58</f>
        <v>0</v>
      </c>
      <c r="X18" s="31">
        <f>'TUSD BE'!$X$18*'TUSD BE'!$X$58</f>
        <v>0</v>
      </c>
      <c r="Y18" s="31">
        <f>'TUSD BE'!$Y$18*'TUSD BE'!$Y$58</f>
        <v>0.68093856868171931</v>
      </c>
      <c r="Z18" s="31">
        <f>'TUSD BE'!$Z$18*'TUSD BE'!$Z$58</f>
        <v>0</v>
      </c>
      <c r="AA18" s="31">
        <f>'TUSD BE'!$AA$18*'TUSD BE'!$AA$58</f>
        <v>0</v>
      </c>
      <c r="AB18" s="31">
        <f>SUM($U$18:$AA$18)</f>
        <v>0.68093856868171931</v>
      </c>
      <c r="AC18" s="31">
        <f>'TUSD BE'!$AC$18*'TUSD BE'!$AC$58</f>
        <v>-3.5885597433595926</v>
      </c>
      <c r="AD18" s="31">
        <f>SUM($AC$18:$AC$18)</f>
        <v>-3.5885597433595926</v>
      </c>
      <c r="AE18" s="31">
        <f ca="1">$AO$18*$AO$55</f>
        <v>0</v>
      </c>
      <c r="AF18" s="31">
        <f ca="1">$AP$18*$AP$55</f>
        <v>0</v>
      </c>
      <c r="AG18" s="31">
        <f ca="1">SUM($AE$18:$AF$18)</f>
        <v>0</v>
      </c>
      <c r="AH18" s="31">
        <f>'TUSD BE'!$AH$18*'TUSD BE'!$AH$58</f>
        <v>1.3126368552728811</v>
      </c>
      <c r="AI18" s="31">
        <f>'TUSD BE'!$AI$18*'TUSD BE'!$AI$58</f>
        <v>2.8399850394202356E-2</v>
      </c>
      <c r="AJ18" s="31">
        <f ca="1">'TUSD BE'!$AJ$18*'TUSD BE'!$AJ$58</f>
        <v>2.2743288755253759E-2</v>
      </c>
      <c r="AK18" s="31">
        <f ca="1">'TUSD BE'!$AK$18*'TUSD BE'!$AK$58</f>
        <v>3.7620352974175937E-2</v>
      </c>
      <c r="AL18" s="31">
        <f ca="1">SUM($AH$18:$AK$18)</f>
        <v>1.4014003473965131</v>
      </c>
      <c r="AM18" s="31">
        <f ca="1">SUMIF($L$4:$AL$4,"SUBTOTAL",$L$18:$AL$18)+AZ18</f>
        <v>-208.93697410898977</v>
      </c>
      <c r="AO18" s="59">
        <f ca="1">+'TUSD BE'!$T$18+'TUSD BE'!$AB$18+'TUSD BE'!$AD$18+'TUSD BE'!$AL$18</f>
        <v>590.37043496150977</v>
      </c>
      <c r="AP18" s="59">
        <f ca="1">+'TUSD BE'!$T$18+'TUSD BE'!$AB$18+'TUSD BE'!$AD$18+'TUSD BE'!$AL$18</f>
        <v>590.37043496150977</v>
      </c>
      <c r="AQ18" s="9" t="str">
        <f t="shared" si="0"/>
        <v>B1</v>
      </c>
      <c r="AR18" s="9" t="str">
        <f t="shared" si="1"/>
        <v>Branca</v>
      </c>
      <c r="AS18" s="9" t="str">
        <f t="shared" si="2"/>
        <v>Residencial</v>
      </c>
      <c r="AT18" s="9" t="str">
        <f t="shared" si="3"/>
        <v>Residencial</v>
      </c>
      <c r="AU18" s="9" t="str">
        <f t="shared" si="4"/>
        <v>Não se aplica</v>
      </c>
      <c r="AV18" s="9">
        <f t="shared" si="5"/>
        <v>1</v>
      </c>
      <c r="AW18" s="9">
        <f ca="1">TarifaMedia!$G$20</f>
        <v>1</v>
      </c>
      <c r="AX18" s="15">
        <f ca="1">'TUSD BE'!$AM18+'TUSD BF'!$AM18+'TUSD CVA'!$AM18</f>
        <v>609.90474273557288</v>
      </c>
      <c r="AY18" s="9">
        <v>405.71</v>
      </c>
      <c r="AZ18" s="9">
        <f t="shared" ca="1" si="6"/>
        <v>-204.1947427355729</v>
      </c>
      <c r="BC18" s="54" t="s">
        <v>1122</v>
      </c>
    </row>
    <row r="19" spans="1:55" ht="11.25" customHeight="1" x14ac:dyDescent="0.25">
      <c r="A19" s="149"/>
      <c r="B19" s="149"/>
      <c r="C19" s="149"/>
      <c r="D19" s="149"/>
      <c r="E19" s="149"/>
      <c r="F19" s="149"/>
      <c r="G19" s="57" t="s">
        <v>76</v>
      </c>
      <c r="H19" s="57" t="s">
        <v>74</v>
      </c>
      <c r="I19" s="57">
        <f>'MERCADO TUSD'!$U$16</f>
        <v>0</v>
      </c>
      <c r="J19" s="15"/>
      <c r="L19" s="31">
        <f>'TUSD BE'!$L$19*'TUSD BE'!$L$58</f>
        <v>0</v>
      </c>
      <c r="M19" s="31">
        <f>'TUSD BE'!$M$19*'TUSD BE'!$M$58</f>
        <v>-3.0650909416479716E-2</v>
      </c>
      <c r="N19" s="31">
        <f ca="1">'TUSD BE'!$N$19*'TUSD BE'!$N$58</f>
        <v>-8.853240866453803E-6</v>
      </c>
      <c r="O19" s="31">
        <f>'TUSD BE'!$O$19*'TUSD BE'!$O$58</f>
        <v>0</v>
      </c>
      <c r="P19" s="31">
        <f>'TUSD BE'!$P$19*'TUSD BE'!$P$58</f>
        <v>0</v>
      </c>
      <c r="Q19" s="31">
        <f>'TUSD BE'!$Q$19*'TUSD BE'!$Q$58</f>
        <v>-2.7343580102382514</v>
      </c>
      <c r="R19" s="31">
        <f>'TUSD BE'!$R$19*'TUSD BE'!$R$58</f>
        <v>-0.47097951775238756</v>
      </c>
      <c r="S19" s="31">
        <f>'TUSD BE'!$R$19*'TUSD BE'!$S$58</f>
        <v>0</v>
      </c>
      <c r="T19" s="31">
        <f ca="1">SUM($L$19:$S$19)</f>
        <v>-3.235997290647985</v>
      </c>
      <c r="U19" s="31">
        <f>'TUSD BE'!$U$19*'TUSD BE'!$U$58</f>
        <v>0</v>
      </c>
      <c r="V19" s="31">
        <f>'TUSD BE'!$V$19*'TUSD BE'!$V$58</f>
        <v>0</v>
      </c>
      <c r="W19" s="31">
        <f>'TUSD BE'!$W$19*'TUSD BE'!$W$58</f>
        <v>0</v>
      </c>
      <c r="X19" s="31">
        <f>'TUSD BE'!$X$19*'TUSD BE'!$X$58</f>
        <v>0</v>
      </c>
      <c r="Y19" s="31">
        <f>'TUSD BE'!$Y$19*'TUSD BE'!$Y$58</f>
        <v>0.22697952289390644</v>
      </c>
      <c r="Z19" s="31">
        <f>'TUSD BE'!$Z$19*'TUSD BE'!$Z$58</f>
        <v>0</v>
      </c>
      <c r="AA19" s="31">
        <f>'TUSD BE'!$AA$19*'TUSD BE'!$AA$58</f>
        <v>0</v>
      </c>
      <c r="AB19" s="31">
        <f>SUM($U$19:$AA$19)</f>
        <v>0.22697952289390644</v>
      </c>
      <c r="AC19" s="31">
        <f>'TUSD BE'!$AC$19*'TUSD BE'!$AC$58</f>
        <v>-1.196186147491431</v>
      </c>
      <c r="AD19" s="31">
        <f>SUM($AC$19:$AC$19)</f>
        <v>-1.196186147491431</v>
      </c>
      <c r="AE19" s="31">
        <f ca="1">$AO$19*$AO$55</f>
        <v>0</v>
      </c>
      <c r="AF19" s="31">
        <f ca="1">$AP$19*$AP$55</f>
        <v>0</v>
      </c>
      <c r="AG19" s="31">
        <f ca="1">SUM($AE$19:$AF$19)</f>
        <v>0</v>
      </c>
      <c r="AH19" s="31">
        <f>'TUSD BE'!$AH$19*'TUSD BE'!$AH$58</f>
        <v>1.3126368552728811</v>
      </c>
      <c r="AI19" s="31">
        <f>'TUSD BE'!$AI$19*'TUSD BE'!$AI$58</f>
        <v>2.8399850394202356E-2</v>
      </c>
      <c r="AJ19" s="31">
        <f ca="1">'TUSD BE'!$AJ$19*'TUSD BE'!$AJ$58</f>
        <v>2.2743288755253759E-2</v>
      </c>
      <c r="AK19" s="31">
        <f ca="1">'TUSD BE'!$AK$19*'TUSD BE'!$AK$58</f>
        <v>3.7620352974175937E-2</v>
      </c>
      <c r="AL19" s="31">
        <f ca="1">SUM($AH$19:$AK$19)</f>
        <v>1.4014003473965131</v>
      </c>
      <c r="AM19" s="31">
        <f ca="1">SUMIF($L$4:$AL$4,"SUBTOTAL",$L$19:$AL$19)+AZ19</f>
        <v>-64.088771880978669</v>
      </c>
      <c r="AO19" s="59">
        <f ca="1">+'TUSD BE'!$T$19+'TUSD BE'!$AB$19+'TUSD BE'!$AD$19+'TUSD BE'!$AL$19</f>
        <v>279.6422327334987</v>
      </c>
      <c r="AP19" s="59">
        <f ca="1">+'TUSD BE'!$T$19+'TUSD BE'!$AB$19+'TUSD BE'!$AD$19+'TUSD BE'!$AL$19</f>
        <v>279.6422327334987</v>
      </c>
      <c r="AQ19" s="9" t="str">
        <f t="shared" si="0"/>
        <v>B1</v>
      </c>
      <c r="AR19" s="9" t="str">
        <f t="shared" si="1"/>
        <v>Branca</v>
      </c>
      <c r="AS19" s="9" t="str">
        <f t="shared" si="2"/>
        <v>Residencial</v>
      </c>
      <c r="AT19" s="9" t="str">
        <f t="shared" si="3"/>
        <v>Residencial</v>
      </c>
      <c r="AU19" s="9" t="str">
        <f t="shared" si="4"/>
        <v>Não se aplica</v>
      </c>
      <c r="AV19" s="9">
        <f t="shared" si="5"/>
        <v>1</v>
      </c>
      <c r="AW19" s="9">
        <f ca="1">TarifaMedia!$G$20</f>
        <v>1</v>
      </c>
      <c r="AX19" s="15">
        <f ca="1">'TUSD BE'!$AM19+'TUSD BF'!$AM19+'TUSD CVA'!$AM19</f>
        <v>301.11496831312968</v>
      </c>
      <c r="AY19" s="9">
        <v>239.83</v>
      </c>
      <c r="AZ19" s="9">
        <f t="shared" ca="1" si="6"/>
        <v>-61.284968313129667</v>
      </c>
      <c r="BC19" s="54" t="s">
        <v>1123</v>
      </c>
    </row>
    <row r="20" spans="1:55" ht="11.25" customHeight="1" x14ac:dyDescent="0.25">
      <c r="A20" s="149"/>
      <c r="B20" s="149" t="s">
        <v>23</v>
      </c>
      <c r="C20" s="149" t="s">
        <v>24</v>
      </c>
      <c r="D20" s="56" t="s">
        <v>24</v>
      </c>
      <c r="E20" s="56" t="s">
        <v>25</v>
      </c>
      <c r="F20" s="56" t="s">
        <v>25</v>
      </c>
      <c r="G20" s="57" t="s">
        <v>78</v>
      </c>
      <c r="H20" s="57" t="s">
        <v>74</v>
      </c>
      <c r="I20" s="57">
        <f>'MERCADO TUSD'!$U$17</f>
        <v>67923.810000000012</v>
      </c>
      <c r="J20" s="15"/>
      <c r="L20" s="31">
        <f>'TUSD BE'!$L$20*'TUSD BE'!$L$58</f>
        <v>0</v>
      </c>
      <c r="M20" s="31">
        <f>'TUSD BE'!$M$20*'TUSD BE'!$M$58</f>
        <v>-3.0650909416479716E-2</v>
      </c>
      <c r="N20" s="31">
        <f ca="1">'TUSD BE'!$N$20*'TUSD BE'!$N$58</f>
        <v>-1.3853118672125327E-5</v>
      </c>
      <c r="O20" s="31">
        <f>'TUSD BE'!$O$20*'TUSD BE'!$O$58</f>
        <v>0</v>
      </c>
      <c r="P20" s="31">
        <f>'TUSD BE'!$P$20*'TUSD BE'!$P$58</f>
        <v>0</v>
      </c>
      <c r="Q20" s="31">
        <f>'TUSD BE'!$Q$20*'TUSD BE'!$Q$58</f>
        <v>-2.7343580102382514</v>
      </c>
      <c r="R20" s="31">
        <f>'TUSD BE'!$R$20*'TUSD BE'!$R$58</f>
        <v>-0.47097951775238756</v>
      </c>
      <c r="S20" s="31">
        <f>'TUSD BE'!$R$20*'TUSD BE'!$S$58</f>
        <v>0</v>
      </c>
      <c r="T20" s="31">
        <f ca="1">SUM($L$20:$S$20)</f>
        <v>-3.2360022905257906</v>
      </c>
      <c r="U20" s="31">
        <f>'TUSD BE'!$U$20*'TUSD BE'!$U$58</f>
        <v>0</v>
      </c>
      <c r="V20" s="31">
        <f>'TUSD BE'!$V$20*'TUSD BE'!$V$58</f>
        <v>0</v>
      </c>
      <c r="W20" s="31">
        <f>'TUSD BE'!$W$20*'TUSD BE'!$W$58</f>
        <v>0</v>
      </c>
      <c r="X20" s="31">
        <f>'TUSD BE'!$X$20*'TUSD BE'!$X$58</f>
        <v>0</v>
      </c>
      <c r="Y20" s="31">
        <f>'TUSD BE'!$Y$20*'TUSD BE'!$Y$58</f>
        <v>0.39820982110424452</v>
      </c>
      <c r="Z20" s="31">
        <f>'TUSD BE'!$Z$20*'TUSD BE'!$Z$58</f>
        <v>0</v>
      </c>
      <c r="AA20" s="31">
        <f>'TUSD BE'!$AA$20*'TUSD BE'!$AA$58</f>
        <v>0</v>
      </c>
      <c r="AB20" s="31">
        <f>SUM($U$20:$AA$20)</f>
        <v>0.39820982110424452</v>
      </c>
      <c r="AC20" s="31">
        <f>'TUSD BE'!$AC$20*'TUSD BE'!$AC$58</f>
        <v>-2.0985725537422435</v>
      </c>
      <c r="AD20" s="31">
        <f>SUM($AC$20:$AC$20)</f>
        <v>-2.0985725537422435</v>
      </c>
      <c r="AE20" s="31">
        <f ca="1">$AO$20*$AO$55</f>
        <v>0</v>
      </c>
      <c r="AF20" s="31">
        <f ca="1">$AP$20*$AP$55</f>
        <v>0</v>
      </c>
      <c r="AG20" s="31">
        <f ca="1">SUM($AE$20:$AF$20)</f>
        <v>0</v>
      </c>
      <c r="AH20" s="31">
        <f>'TUSD BE'!$AH$20*'TUSD BE'!$AH$58</f>
        <v>1.3126368552728811</v>
      </c>
      <c r="AI20" s="31">
        <f>'TUSD BE'!$AI$20*'TUSD BE'!$AI$58</f>
        <v>2.8399850394202356E-2</v>
      </c>
      <c r="AJ20" s="31">
        <f ca="1">'TUSD BE'!$AJ$20*'TUSD BE'!$AJ$58</f>
        <v>2.2743288755253759E-2</v>
      </c>
      <c r="AK20" s="31">
        <f ca="1">'TUSD BE'!$AK$20*'TUSD BE'!$AK$58</f>
        <v>3.7620352974175937E-2</v>
      </c>
      <c r="AL20" s="31">
        <f ca="1">SUM($AH$20:$AK$20)</f>
        <v>1.4014003473965131</v>
      </c>
      <c r="AM20" s="31">
        <f ca="1">SUMIF($L$4:$AL$4,"SUBTOTAL",$L$20:$AL$20)+AZ20</f>
        <v>-110.63329353626264</v>
      </c>
      <c r="AO20" s="59">
        <f ca="1">+'TUSD BE'!$T$20+'TUSD BE'!$AB$20+'TUSD BE'!$AD$20+'TUSD BE'!$AL$20</f>
        <v>396.8467543887827</v>
      </c>
      <c r="AP20" s="59">
        <f ca="1">+'TUSD BE'!$T$20+'TUSD BE'!$AB$20+'TUSD BE'!$AD$20+'TUSD BE'!$AL$20</f>
        <v>396.8467543887827</v>
      </c>
      <c r="AQ20" s="9" t="str">
        <f t="shared" si="0"/>
        <v>B1</v>
      </c>
      <c r="AR20" s="9" t="str">
        <f t="shared" si="1"/>
        <v>Convencional</v>
      </c>
      <c r="AS20" s="9" t="str">
        <f t="shared" si="2"/>
        <v>Residencial</v>
      </c>
      <c r="AT20" s="9" t="str">
        <f t="shared" si="3"/>
        <v>Residencial</v>
      </c>
      <c r="AU20" s="9" t="str">
        <f t="shared" si="4"/>
        <v>Não se aplica</v>
      </c>
      <c r="AV20" s="9">
        <f t="shared" si="5"/>
        <v>1</v>
      </c>
      <c r="AW20" s="9">
        <f ca="1">TarifaMedia!$G$20</f>
        <v>1</v>
      </c>
      <c r="AX20" s="15">
        <f ca="1">'TUSD BE'!$AM20+'TUSD BF'!$AM20+'TUSD CVA'!$AM20</f>
        <v>417.58832886049538</v>
      </c>
      <c r="AY20" s="9">
        <v>310.49</v>
      </c>
      <c r="AZ20" s="9">
        <f t="shared" ca="1" si="6"/>
        <v>-107.09832886049537</v>
      </c>
      <c r="BC20" s="54" t="s">
        <v>1124</v>
      </c>
    </row>
    <row r="21" spans="1:55" ht="11.25" customHeight="1" x14ac:dyDescent="0.25">
      <c r="A21" s="149"/>
      <c r="B21" s="149"/>
      <c r="C21" s="149"/>
      <c r="D21" s="56" t="s">
        <v>29</v>
      </c>
      <c r="E21" s="56" t="s">
        <v>25</v>
      </c>
      <c r="F21" s="56" t="s">
        <v>25</v>
      </c>
      <c r="G21" s="57" t="s">
        <v>78</v>
      </c>
      <c r="H21" s="57" t="s">
        <v>74</v>
      </c>
      <c r="I21" s="57">
        <f>'MERCADO TUSD'!$U$18</f>
        <v>515.52700000000004</v>
      </c>
      <c r="J21" s="15"/>
      <c r="L21" s="31">
        <f>'TUSD BE'!$L$21*'TUSD BE'!$L$58</f>
        <v>0</v>
      </c>
      <c r="M21" s="31">
        <f>'TUSD BE'!$M$21*'TUSD BE'!$M$58</f>
        <v>-3.0650909416479716E-2</v>
      </c>
      <c r="N21" s="31">
        <f ca="1">'TUSD BE'!$N$21*'TUSD BE'!$N$58</f>
        <v>-1.3806870312311032E-5</v>
      </c>
      <c r="O21" s="31">
        <f>'TUSD BE'!$O$21*'TUSD BE'!$O$58</f>
        <v>0</v>
      </c>
      <c r="P21" s="31">
        <f>'TUSD BE'!$P$21*'TUSD BE'!$P$58</f>
        <v>0</v>
      </c>
      <c r="Q21" s="31">
        <f>'TUSD BE'!$Q$21*'TUSD BE'!$Q$58</f>
        <v>0</v>
      </c>
      <c r="R21" s="31">
        <f>'TUSD BE'!$R$21*'TUSD BE'!$R$58</f>
        <v>0</v>
      </c>
      <c r="S21" s="31">
        <f>'TUSD BE'!$R$21*'TUSD BE'!$S$58</f>
        <v>0</v>
      </c>
      <c r="T21" s="31">
        <f ca="1">SUM($L$21:$S$21)</f>
        <v>-3.0664716286792026E-2</v>
      </c>
      <c r="U21" s="31">
        <f>'TUSD BE'!$U$21*'TUSD BE'!$U$58</f>
        <v>0</v>
      </c>
      <c r="V21" s="31">
        <f>'TUSD BE'!$V$21*'TUSD BE'!$V$58</f>
        <v>0</v>
      </c>
      <c r="W21" s="31">
        <f>'TUSD BE'!$W$21*'TUSD BE'!$W$58</f>
        <v>0</v>
      </c>
      <c r="X21" s="31">
        <f>'TUSD BE'!$X$21*'TUSD BE'!$X$58</f>
        <v>0</v>
      </c>
      <c r="Y21" s="31">
        <f>'TUSD BE'!$Y$21*'TUSD BE'!$Y$58</f>
        <v>0.39820982110424452</v>
      </c>
      <c r="Z21" s="31">
        <f>'TUSD BE'!$Z$21*'TUSD BE'!$Z$58</f>
        <v>0</v>
      </c>
      <c r="AA21" s="31">
        <f>'TUSD BE'!$AA$21*'TUSD BE'!$AA$58</f>
        <v>0</v>
      </c>
      <c r="AB21" s="31">
        <f>SUM($U$21:$AA$21)</f>
        <v>0.39820982110424452</v>
      </c>
      <c r="AC21" s="31">
        <f>'TUSD BE'!$AC$21*'TUSD BE'!$AC$58</f>
        <v>-2.0985725537422435</v>
      </c>
      <c r="AD21" s="31">
        <f>SUM($AC$21:$AC$21)</f>
        <v>-2.0985725537422435</v>
      </c>
      <c r="AE21" s="31">
        <f ca="1">$AO$21*$AO$55</f>
        <v>0</v>
      </c>
      <c r="AF21" s="31">
        <f ca="1">$AP$21*$AP$55</f>
        <v>0</v>
      </c>
      <c r="AG21" s="31">
        <f ca="1">SUM($AE$21:$AF$21)</f>
        <v>0</v>
      </c>
      <c r="AH21" s="31">
        <f>'TUSD BE'!$AH$21*'TUSD BE'!$AH$58</f>
        <v>1.3126368552728811</v>
      </c>
      <c r="AI21" s="31">
        <f>'TUSD BE'!$AI$21*'TUSD BE'!$AI$58</f>
        <v>2.8399850394202356E-2</v>
      </c>
      <c r="AJ21" s="31">
        <f ca="1">'TUSD BE'!$AJ$21*'TUSD BE'!$AJ$58</f>
        <v>2.2743288755253759E-2</v>
      </c>
      <c r="AK21" s="31">
        <f ca="1">'TUSD BE'!$AK$21*'TUSD BE'!$AK$58</f>
        <v>3.7620352974175937E-2</v>
      </c>
      <c r="AL21" s="31">
        <f ca="1">SUM($AH$21:$AK$21)</f>
        <v>1.4014003473965131</v>
      </c>
      <c r="AM21" s="31">
        <f ca="1">SUMIF($L$4:$AL$4,"SUBTOTAL",$L$21:$AL$21)+AZ21</f>
        <v>-105.56349419080428</v>
      </c>
      <c r="AO21" s="59">
        <f ca="1">+'TUSD BE'!$T$21+'TUSD BE'!$AB$21+'TUSD BE'!$AD$21+'TUSD BE'!$AL$21</f>
        <v>293.38530838770379</v>
      </c>
      <c r="AP21" s="59">
        <f ca="1">+'TUSD BE'!$T$21+'TUSD BE'!$AB$21+'TUSD BE'!$AD$21+'TUSD BE'!$AL$21</f>
        <v>293.38530838770379</v>
      </c>
      <c r="AQ21" s="9" t="str">
        <f t="shared" si="0"/>
        <v>B1</v>
      </c>
      <c r="AR21" s="9" t="str">
        <f t="shared" si="1"/>
        <v>Convencional</v>
      </c>
      <c r="AS21" s="9" t="str">
        <f t="shared" si="2"/>
        <v>Residencial</v>
      </c>
      <c r="AT21" s="9" t="str">
        <f t="shared" si="3"/>
        <v>Residencial baixa renda – faixa 01</v>
      </c>
      <c r="AU21" s="9" t="str">
        <f t="shared" si="4"/>
        <v>Não se aplica</v>
      </c>
      <c r="AV21" s="9">
        <f t="shared" si="5"/>
        <v>1</v>
      </c>
      <c r="AW21" s="9">
        <f ca="1">TarifaMedia!$G$20</f>
        <v>1</v>
      </c>
      <c r="AX21" s="15">
        <f ca="1">'TUSD BE'!$AM21+'TUSD BF'!$AM21+'TUSD CVA'!$AM21</f>
        <v>293.013867089276</v>
      </c>
      <c r="AY21" s="9">
        <v>187.78</v>
      </c>
      <c r="AZ21" s="9">
        <f t="shared" ca="1" si="6"/>
        <v>-105.233867089276</v>
      </c>
      <c r="BC21" s="54" t="s">
        <v>1125</v>
      </c>
    </row>
    <row r="22" spans="1:55" ht="11.25" customHeight="1" x14ac:dyDescent="0.25">
      <c r="A22" s="149"/>
      <c r="B22" s="149"/>
      <c r="C22" s="149"/>
      <c r="D22" s="56" t="s">
        <v>30</v>
      </c>
      <c r="E22" s="56" t="s">
        <v>25</v>
      </c>
      <c r="F22" s="56" t="s">
        <v>25</v>
      </c>
      <c r="G22" s="57" t="s">
        <v>78</v>
      </c>
      <c r="H22" s="57" t="s">
        <v>74</v>
      </c>
      <c r="I22" s="57">
        <f>'MERCADO TUSD'!$U$19</f>
        <v>1078.232</v>
      </c>
      <c r="J22" s="15"/>
      <c r="L22" s="31">
        <f>'TUSD BE'!$L$22*'TUSD BE'!$L$58</f>
        <v>0</v>
      </c>
      <c r="M22" s="31">
        <f>'TUSD BE'!$M$22*'TUSD BE'!$M$58</f>
        <v>-3.0650909416479716E-2</v>
      </c>
      <c r="N22" s="31">
        <f ca="1">'TUSD BE'!$N$22*'TUSD BE'!$N$58</f>
        <v>-1.3806870312311032E-5</v>
      </c>
      <c r="O22" s="31">
        <f>'TUSD BE'!$O$22*'TUSD BE'!$O$58</f>
        <v>0</v>
      </c>
      <c r="P22" s="31">
        <f>'TUSD BE'!$P$22*'TUSD BE'!$P$58</f>
        <v>0</v>
      </c>
      <c r="Q22" s="31">
        <f>'TUSD BE'!$Q$22*'TUSD BE'!$Q$58</f>
        <v>0</v>
      </c>
      <c r="R22" s="31">
        <f>'TUSD BE'!$R$22*'TUSD BE'!$R$58</f>
        <v>0</v>
      </c>
      <c r="S22" s="31">
        <f>'TUSD BE'!$R$22*'TUSD BE'!$S$58</f>
        <v>0</v>
      </c>
      <c r="T22" s="31">
        <f ca="1">SUM($L$22:$S$22)</f>
        <v>-3.0664716286792026E-2</v>
      </c>
      <c r="U22" s="31">
        <f>'TUSD BE'!$U$22*'TUSD BE'!$U$58</f>
        <v>0</v>
      </c>
      <c r="V22" s="31">
        <f>'TUSD BE'!$V$22*'TUSD BE'!$V$58</f>
        <v>0</v>
      </c>
      <c r="W22" s="31">
        <f>'TUSD BE'!$W$22*'TUSD BE'!$W$58</f>
        <v>0</v>
      </c>
      <c r="X22" s="31">
        <f>'TUSD BE'!$X$22*'TUSD BE'!$X$58</f>
        <v>0</v>
      </c>
      <c r="Y22" s="31">
        <f>'TUSD BE'!$Y$22*'TUSD BE'!$Y$58</f>
        <v>0.39820982110424452</v>
      </c>
      <c r="Z22" s="31">
        <f>'TUSD BE'!$Z$22*'TUSD BE'!$Z$58</f>
        <v>0</v>
      </c>
      <c r="AA22" s="31">
        <f>'TUSD BE'!$AA$22*'TUSD BE'!$AA$58</f>
        <v>0</v>
      </c>
      <c r="AB22" s="31">
        <f>SUM($U$22:$AA$22)</f>
        <v>0.39820982110424452</v>
      </c>
      <c r="AC22" s="31">
        <f>'TUSD BE'!$AC$22*'TUSD BE'!$AC$58</f>
        <v>-2.0985725537422435</v>
      </c>
      <c r="AD22" s="31">
        <f>SUM($AC$22:$AC$22)</f>
        <v>-2.0985725537422435</v>
      </c>
      <c r="AE22" s="31">
        <f ca="1">$AO$22*$AO$55</f>
        <v>0</v>
      </c>
      <c r="AF22" s="31">
        <f ca="1">$AP$22*$AP$55</f>
        <v>0</v>
      </c>
      <c r="AG22" s="31">
        <f ca="1">SUM($AE$22:$AF$22)</f>
        <v>0</v>
      </c>
      <c r="AH22" s="31">
        <f>'TUSD BE'!$AH$22*'TUSD BE'!$AH$58</f>
        <v>1.3126368552728811</v>
      </c>
      <c r="AI22" s="31">
        <f>'TUSD BE'!$AI$22*'TUSD BE'!$AI$58</f>
        <v>2.8399850394202356E-2</v>
      </c>
      <c r="AJ22" s="31">
        <f ca="1">'TUSD BE'!$AJ$22*'TUSD BE'!$AJ$58</f>
        <v>2.2743288755253759E-2</v>
      </c>
      <c r="AK22" s="31">
        <f ca="1">'TUSD BE'!$AK$22*'TUSD BE'!$AK$58</f>
        <v>3.7620352974175937E-2</v>
      </c>
      <c r="AL22" s="31">
        <f ca="1">SUM($AH$22:$AK$22)</f>
        <v>1.4014003473965131</v>
      </c>
      <c r="AM22" s="31">
        <f ca="1">SUMIF($L$4:$AL$4,"SUBTOTAL",$L$22:$AL$22)+AZ22</f>
        <v>-105.56349419080428</v>
      </c>
      <c r="AO22" s="59">
        <f ca="1">+'TUSD BE'!$T$22+'TUSD BE'!$AB$22+'TUSD BE'!$AD$22+'TUSD BE'!$AL$22</f>
        <v>293.38530838770379</v>
      </c>
      <c r="AP22" s="59">
        <f ca="1">+'TUSD BE'!$T$22+'TUSD BE'!$AB$22+'TUSD BE'!$AD$22+'TUSD BE'!$AL$22</f>
        <v>293.38530838770379</v>
      </c>
      <c r="AQ22" s="9" t="str">
        <f t="shared" si="0"/>
        <v>B1</v>
      </c>
      <c r="AR22" s="9" t="str">
        <f t="shared" si="1"/>
        <v>Convencional</v>
      </c>
      <c r="AS22" s="9" t="str">
        <f t="shared" si="2"/>
        <v>Residencial</v>
      </c>
      <c r="AT22" s="9" t="str">
        <f t="shared" si="3"/>
        <v>Residencial baixa renda – faixa 02</v>
      </c>
      <c r="AU22" s="9" t="str">
        <f t="shared" si="4"/>
        <v>Não se aplica</v>
      </c>
      <c r="AV22" s="9">
        <f t="shared" si="5"/>
        <v>1</v>
      </c>
      <c r="AW22" s="9">
        <f ca="1">TarifaMedia!$G$20</f>
        <v>1</v>
      </c>
      <c r="AX22" s="15">
        <f ca="1">'TUSD BE'!$AM22+'TUSD BF'!$AM22+'TUSD CVA'!$AM22</f>
        <v>293.013867089276</v>
      </c>
      <c r="AY22" s="9">
        <v>187.78</v>
      </c>
      <c r="AZ22" s="9">
        <f t="shared" ca="1" si="6"/>
        <v>-105.233867089276</v>
      </c>
      <c r="BC22" s="54" t="s">
        <v>1125</v>
      </c>
    </row>
    <row r="23" spans="1:55" ht="11.25" customHeight="1" x14ac:dyDescent="0.25">
      <c r="A23" s="149"/>
      <c r="B23" s="149"/>
      <c r="C23" s="149"/>
      <c r="D23" s="56" t="s">
        <v>31</v>
      </c>
      <c r="E23" s="56" t="s">
        <v>25</v>
      </c>
      <c r="F23" s="56" t="s">
        <v>25</v>
      </c>
      <c r="G23" s="57" t="s">
        <v>78</v>
      </c>
      <c r="H23" s="57" t="s">
        <v>74</v>
      </c>
      <c r="I23" s="57">
        <f>'MERCADO TUSD'!$U$20</f>
        <v>1111.8500000000001</v>
      </c>
      <c r="J23" s="15"/>
      <c r="L23" s="31">
        <f>'TUSD BE'!$L$23*'TUSD BE'!$L$58</f>
        <v>0</v>
      </c>
      <c r="M23" s="31">
        <f>'TUSD BE'!$M$23*'TUSD BE'!$M$58</f>
        <v>-3.0650909416479716E-2</v>
      </c>
      <c r="N23" s="31">
        <f ca="1">'TUSD BE'!$N$23*'TUSD BE'!$N$58</f>
        <v>-1.3806870312311032E-5</v>
      </c>
      <c r="O23" s="31">
        <f>'TUSD BE'!$O$23*'TUSD BE'!$O$58</f>
        <v>0</v>
      </c>
      <c r="P23" s="31">
        <f>'TUSD BE'!$P$23*'TUSD BE'!$P$58</f>
        <v>0</v>
      </c>
      <c r="Q23" s="31">
        <f>'TUSD BE'!$Q$23*'TUSD BE'!$Q$58</f>
        <v>0</v>
      </c>
      <c r="R23" s="31">
        <f>'TUSD BE'!$R$23*'TUSD BE'!$R$58</f>
        <v>0</v>
      </c>
      <c r="S23" s="31">
        <f>'TUSD BE'!$R$23*'TUSD BE'!$S$58</f>
        <v>0</v>
      </c>
      <c r="T23" s="31">
        <f ca="1">SUM($L$23:$S$23)</f>
        <v>-3.0664716286792026E-2</v>
      </c>
      <c r="U23" s="31">
        <f>'TUSD BE'!$U$23*'TUSD BE'!$U$58</f>
        <v>0</v>
      </c>
      <c r="V23" s="31">
        <f>'TUSD BE'!$V$23*'TUSD BE'!$V$58</f>
        <v>0</v>
      </c>
      <c r="W23" s="31">
        <f>'TUSD BE'!$W$23*'TUSD BE'!$W$58</f>
        <v>0</v>
      </c>
      <c r="X23" s="31">
        <f>'TUSD BE'!$X$23*'TUSD BE'!$X$58</f>
        <v>0</v>
      </c>
      <c r="Y23" s="31">
        <f>'TUSD BE'!$Y$23*'TUSD BE'!$Y$58</f>
        <v>0.39820982110424452</v>
      </c>
      <c r="Z23" s="31">
        <f>'TUSD BE'!$Z$23*'TUSD BE'!$Z$58</f>
        <v>0</v>
      </c>
      <c r="AA23" s="31">
        <f>'TUSD BE'!$AA$23*'TUSD BE'!$AA$58</f>
        <v>0</v>
      </c>
      <c r="AB23" s="31">
        <f>SUM($U$23:$AA$23)</f>
        <v>0.39820982110424452</v>
      </c>
      <c r="AC23" s="31">
        <f>'TUSD BE'!$AC$23*'TUSD BE'!$AC$58</f>
        <v>-2.0985725537422435</v>
      </c>
      <c r="AD23" s="31">
        <f>SUM($AC$23:$AC$23)</f>
        <v>-2.0985725537422435</v>
      </c>
      <c r="AE23" s="31">
        <f ca="1">$AO$23*$AO$55</f>
        <v>0</v>
      </c>
      <c r="AF23" s="31">
        <f ca="1">$AP$23*$AP$55</f>
        <v>0</v>
      </c>
      <c r="AG23" s="31">
        <f ca="1">SUM($AE$23:$AF$23)</f>
        <v>0</v>
      </c>
      <c r="AH23" s="31">
        <f>'TUSD BE'!$AH$23*'TUSD BE'!$AH$58</f>
        <v>1.3126368552728811</v>
      </c>
      <c r="AI23" s="31">
        <f>'TUSD BE'!$AI$23*'TUSD BE'!$AI$58</f>
        <v>2.8399850394202356E-2</v>
      </c>
      <c r="AJ23" s="31">
        <f ca="1">'TUSD BE'!$AJ$23*'TUSD BE'!$AJ$58</f>
        <v>2.2743288755253759E-2</v>
      </c>
      <c r="AK23" s="31">
        <f ca="1">'TUSD BE'!$AK$23*'TUSD BE'!$AK$58</f>
        <v>3.7620352974175937E-2</v>
      </c>
      <c r="AL23" s="31">
        <f ca="1">SUM($AH$23:$AK$23)</f>
        <v>1.4014003473965131</v>
      </c>
      <c r="AM23" s="31">
        <f ca="1">SUMIF($L$4:$AL$4,"SUBTOTAL",$L$23:$AL$23)+AZ23</f>
        <v>-105.56349419080428</v>
      </c>
      <c r="AO23" s="59">
        <f ca="1">+'TUSD BE'!$T$23+'TUSD BE'!$AB$23+'TUSD BE'!$AD$23+'TUSD BE'!$AL$23</f>
        <v>293.38530838770379</v>
      </c>
      <c r="AP23" s="59">
        <f ca="1">+'TUSD BE'!$T$23+'TUSD BE'!$AB$23+'TUSD BE'!$AD$23+'TUSD BE'!$AL$23</f>
        <v>293.38530838770379</v>
      </c>
      <c r="AQ23" s="9" t="str">
        <f t="shared" si="0"/>
        <v>B1</v>
      </c>
      <c r="AR23" s="9" t="str">
        <f t="shared" si="1"/>
        <v>Convencional</v>
      </c>
      <c r="AS23" s="9" t="str">
        <f t="shared" si="2"/>
        <v>Residencial</v>
      </c>
      <c r="AT23" s="9" t="str">
        <f t="shared" si="3"/>
        <v>Residencial baixa renda – faixa 03</v>
      </c>
      <c r="AU23" s="9" t="str">
        <f t="shared" si="4"/>
        <v>Não se aplica</v>
      </c>
      <c r="AV23" s="9">
        <f t="shared" si="5"/>
        <v>1</v>
      </c>
      <c r="AW23" s="9">
        <f ca="1">TarifaMedia!$G$20</f>
        <v>1</v>
      </c>
      <c r="AX23" s="15">
        <f ca="1">'TUSD BE'!$AM23+'TUSD BF'!$AM23+'TUSD CVA'!$AM23</f>
        <v>293.013867089276</v>
      </c>
      <c r="AY23" s="9">
        <v>187.78</v>
      </c>
      <c r="AZ23" s="9">
        <f t="shared" ca="1" si="6"/>
        <v>-105.233867089276</v>
      </c>
      <c r="BC23" s="54" t="s">
        <v>1125</v>
      </c>
    </row>
    <row r="24" spans="1:55" ht="11.25" customHeight="1" x14ac:dyDescent="0.25">
      <c r="A24" s="149"/>
      <c r="B24" s="149"/>
      <c r="C24" s="149"/>
      <c r="D24" s="56" t="s">
        <v>32</v>
      </c>
      <c r="E24" s="56" t="s">
        <v>25</v>
      </c>
      <c r="F24" s="56" t="s">
        <v>25</v>
      </c>
      <c r="G24" s="57" t="s">
        <v>78</v>
      </c>
      <c r="H24" s="57" t="s">
        <v>74</v>
      </c>
      <c r="I24" s="57">
        <f>'MERCADO TUSD'!$U$21</f>
        <v>453.86500000000007</v>
      </c>
      <c r="J24" s="15"/>
      <c r="L24" s="31">
        <f>'TUSD BE'!$L$24*'TUSD BE'!$L$58</f>
        <v>0</v>
      </c>
      <c r="M24" s="31">
        <f>'TUSD BE'!$M$24*'TUSD BE'!$M$58</f>
        <v>-3.0650909416479716E-2</v>
      </c>
      <c r="N24" s="31">
        <f ca="1">'TUSD BE'!$N$24*'TUSD BE'!$N$58</f>
        <v>-1.3806870312311032E-5</v>
      </c>
      <c r="O24" s="31">
        <f>'TUSD BE'!$O$24*'TUSD BE'!$O$58</f>
        <v>0</v>
      </c>
      <c r="P24" s="31">
        <f>'TUSD BE'!$P$24*'TUSD BE'!$P$58</f>
        <v>0</v>
      </c>
      <c r="Q24" s="31">
        <f>'TUSD BE'!$Q$24*'TUSD BE'!$Q$58</f>
        <v>0</v>
      </c>
      <c r="R24" s="31">
        <f>'TUSD BE'!$R$24*'TUSD BE'!$R$58</f>
        <v>0</v>
      </c>
      <c r="S24" s="31">
        <f>'TUSD BE'!$R$24*'TUSD BE'!$S$58</f>
        <v>0</v>
      </c>
      <c r="T24" s="31">
        <f ca="1">SUM($L$24:$S$24)</f>
        <v>-3.0664716286792026E-2</v>
      </c>
      <c r="U24" s="31">
        <f>'TUSD BE'!$U$24*'TUSD BE'!$U$58</f>
        <v>0</v>
      </c>
      <c r="V24" s="31">
        <f>'TUSD BE'!$V$24*'TUSD BE'!$V$58</f>
        <v>0</v>
      </c>
      <c r="W24" s="31">
        <f>'TUSD BE'!$W$24*'TUSD BE'!$W$58</f>
        <v>0</v>
      </c>
      <c r="X24" s="31">
        <f>'TUSD BE'!$X$24*'TUSD BE'!$X$58</f>
        <v>0</v>
      </c>
      <c r="Y24" s="31">
        <f>'TUSD BE'!$Y$24*'TUSD BE'!$Y$58</f>
        <v>0.39820982110424452</v>
      </c>
      <c r="Z24" s="31">
        <f>'TUSD BE'!$Z$24*'TUSD BE'!$Z$58</f>
        <v>0</v>
      </c>
      <c r="AA24" s="31">
        <f>'TUSD BE'!$AA$24*'TUSD BE'!$AA$58</f>
        <v>0</v>
      </c>
      <c r="AB24" s="31">
        <f>SUM($U$24:$AA$24)</f>
        <v>0.39820982110424452</v>
      </c>
      <c r="AC24" s="31">
        <f>'TUSD BE'!$AC$24*'TUSD BE'!$AC$58</f>
        <v>-2.0985725537422435</v>
      </c>
      <c r="AD24" s="31">
        <f>SUM($AC$24:$AC$24)</f>
        <v>-2.0985725537422435</v>
      </c>
      <c r="AE24" s="31">
        <f ca="1">$AO$24*$AO$55</f>
        <v>0</v>
      </c>
      <c r="AF24" s="31">
        <f ca="1">$AP$24*$AP$55</f>
        <v>0</v>
      </c>
      <c r="AG24" s="31">
        <f ca="1">SUM($AE$24:$AF$24)</f>
        <v>0</v>
      </c>
      <c r="AH24" s="31">
        <f>'TUSD BE'!$AH$24*'TUSD BE'!$AH$58</f>
        <v>1.3126368552728811</v>
      </c>
      <c r="AI24" s="31">
        <f>'TUSD BE'!$AI$24*'TUSD BE'!$AI$58</f>
        <v>2.8399850394202356E-2</v>
      </c>
      <c r="AJ24" s="31">
        <f ca="1">'TUSD BE'!$AJ$24*'TUSD BE'!$AJ$58</f>
        <v>2.2743288755253759E-2</v>
      </c>
      <c r="AK24" s="31">
        <f ca="1">'TUSD BE'!$AK$24*'TUSD BE'!$AK$58</f>
        <v>3.7620352974175937E-2</v>
      </c>
      <c r="AL24" s="31">
        <f ca="1">SUM($AH$24:$AK$24)</f>
        <v>1.4014003473965131</v>
      </c>
      <c r="AM24" s="31">
        <f ca="1">SUMIF($L$4:$AL$4,"SUBTOTAL",$L$24:$AL$24)+AZ24</f>
        <v>-105.56349419080428</v>
      </c>
      <c r="AO24" s="59">
        <f ca="1">+'TUSD BE'!$T$24+'TUSD BE'!$AB$24+'TUSD BE'!$AD$24+'TUSD BE'!$AL$24</f>
        <v>293.38530838770379</v>
      </c>
      <c r="AP24" s="59">
        <f ca="1">+'TUSD BE'!$T$24+'TUSD BE'!$AB$24+'TUSD BE'!$AD$24+'TUSD BE'!$AL$24</f>
        <v>293.38530838770379</v>
      </c>
      <c r="AQ24" s="9" t="str">
        <f t="shared" si="0"/>
        <v>B1</v>
      </c>
      <c r="AR24" s="9" t="str">
        <f t="shared" si="1"/>
        <v>Convencional</v>
      </c>
      <c r="AS24" s="9" t="str">
        <f t="shared" si="2"/>
        <v>Residencial</v>
      </c>
      <c r="AT24" s="9" t="str">
        <f t="shared" si="3"/>
        <v>Residencial baixa renda – faixa 04</v>
      </c>
      <c r="AU24" s="9" t="str">
        <f t="shared" si="4"/>
        <v>Não se aplica</v>
      </c>
      <c r="AV24" s="9">
        <f t="shared" si="5"/>
        <v>1</v>
      </c>
      <c r="AW24" s="9">
        <f ca="1">TarifaMedia!$G$20</f>
        <v>1</v>
      </c>
      <c r="AX24" s="15">
        <f ca="1">'TUSD BE'!$AM24+'TUSD BF'!$AM24+'TUSD CVA'!$AM24</f>
        <v>293.013867089276</v>
      </c>
      <c r="AY24" s="9">
        <v>187.78</v>
      </c>
      <c r="AZ24" s="9">
        <f t="shared" ca="1" si="6"/>
        <v>-105.233867089276</v>
      </c>
      <c r="BC24" s="54" t="s">
        <v>1125</v>
      </c>
    </row>
    <row r="25" spans="1:55" ht="11.25" customHeight="1" x14ac:dyDescent="0.25">
      <c r="A25" s="149"/>
      <c r="B25" s="149" t="s">
        <v>89</v>
      </c>
      <c r="C25" s="149" t="s">
        <v>24</v>
      </c>
      <c r="D25" s="56" t="s">
        <v>24</v>
      </c>
      <c r="E25" s="56" t="s">
        <v>25</v>
      </c>
      <c r="F25" s="56" t="s">
        <v>25</v>
      </c>
      <c r="G25" s="57" t="s">
        <v>78</v>
      </c>
      <c r="H25" s="57" t="s">
        <v>74</v>
      </c>
      <c r="I25" s="57">
        <f>'MERCADO TUSD'!$U$22</f>
        <v>0</v>
      </c>
      <c r="J25" s="15"/>
      <c r="L25" s="31">
        <f>'TUSD BE'!$L$25*'TUSD BE'!$L$58</f>
        <v>0</v>
      </c>
      <c r="M25" s="31">
        <f>'TUSD BE'!$M$25*'TUSD BE'!$M$58</f>
        <v>-3.0650909416479716E-2</v>
      </c>
      <c r="N25" s="31">
        <f ca="1">'TUSD BE'!$N$25*'TUSD BE'!$N$58</f>
        <v>-1.3853118672125327E-5</v>
      </c>
      <c r="O25" s="31">
        <f>'TUSD BE'!$O$25*'TUSD BE'!$O$58</f>
        <v>0</v>
      </c>
      <c r="P25" s="31">
        <f>'TUSD BE'!$P$25*'TUSD BE'!$P$58</f>
        <v>0</v>
      </c>
      <c r="Q25" s="31">
        <f>'TUSD BE'!$Q$25*'TUSD BE'!$Q$58</f>
        <v>-2.7343580102382514</v>
      </c>
      <c r="R25" s="31">
        <f>'TUSD BE'!$R$25*'TUSD BE'!$R$58</f>
        <v>-0.47097951775238756</v>
      </c>
      <c r="S25" s="31">
        <f>'TUSD BE'!$R$25*'TUSD BE'!$S$58</f>
        <v>0</v>
      </c>
      <c r="T25" s="31">
        <f ca="1">SUM($L$25:$S$25)</f>
        <v>-3.2360022905257906</v>
      </c>
      <c r="U25" s="31">
        <f>'TUSD BE'!$U$25*'TUSD BE'!$U$58</f>
        <v>0</v>
      </c>
      <c r="V25" s="31">
        <f>'TUSD BE'!$V$25*'TUSD BE'!$V$58</f>
        <v>0</v>
      </c>
      <c r="W25" s="31">
        <f>'TUSD BE'!$W$25*'TUSD BE'!$W$58</f>
        <v>0</v>
      </c>
      <c r="X25" s="31">
        <f>'TUSD BE'!$X$25*'TUSD BE'!$X$58</f>
        <v>0</v>
      </c>
      <c r="Y25" s="31">
        <f>'TUSD BE'!$Y$25*'TUSD BE'!$Y$58</f>
        <v>0.39820982110424452</v>
      </c>
      <c r="Z25" s="31">
        <f>'TUSD BE'!$Z$25*'TUSD BE'!$Z$58</f>
        <v>0</v>
      </c>
      <c r="AA25" s="31">
        <f>'TUSD BE'!$AA$25*'TUSD BE'!$AA$58</f>
        <v>0</v>
      </c>
      <c r="AB25" s="31">
        <f>SUM($U$25:$AA$25)</f>
        <v>0.39820982110424452</v>
      </c>
      <c r="AC25" s="31">
        <f>'TUSD BE'!$AC$25*'TUSD BE'!$AC$58</f>
        <v>-2.0985725537422435</v>
      </c>
      <c r="AD25" s="31">
        <f>SUM($AC$25:$AC$25)</f>
        <v>-2.0985725537422435</v>
      </c>
      <c r="AE25" s="31">
        <f ca="1">$AO$25*$AO$55</f>
        <v>0</v>
      </c>
      <c r="AF25" s="31">
        <f ca="1">$AP$25*$AP$55</f>
        <v>0</v>
      </c>
      <c r="AG25" s="31">
        <f ca="1">SUM($AE$25:$AF$25)</f>
        <v>0</v>
      </c>
      <c r="AH25" s="31">
        <f>'TUSD BE'!$AH$25*'TUSD BE'!$AH$58</f>
        <v>1.3126368552728811</v>
      </c>
      <c r="AI25" s="31">
        <f>'TUSD BE'!$AI$25*'TUSD BE'!$AI$58</f>
        <v>2.8399850394202356E-2</v>
      </c>
      <c r="AJ25" s="31">
        <f ca="1">'TUSD BE'!$AJ$25*'TUSD BE'!$AJ$58</f>
        <v>2.2743288755253759E-2</v>
      </c>
      <c r="AK25" s="31">
        <f ca="1">'TUSD BE'!$AK$25*'TUSD BE'!$AK$58</f>
        <v>3.7620352974175937E-2</v>
      </c>
      <c r="AL25" s="31">
        <f ca="1">SUM($AH$25:$AK$25)</f>
        <v>1.4014003473965131</v>
      </c>
      <c r="AM25" s="31">
        <f ca="1">SUMIF($L$4:$AL$4,"SUBTOTAL",$L$25:$AL$25)+AZ25</f>
        <v>-110.63329353626264</v>
      </c>
      <c r="AO25" s="59">
        <f ca="1">+'TUSD BE'!$T$25+'TUSD BE'!$AB$25+'TUSD BE'!$AD$25+'TUSD BE'!$AL$25</f>
        <v>396.8467543887827</v>
      </c>
      <c r="AP25" s="59">
        <f ca="1">+'TUSD BE'!$T$25+'TUSD BE'!$AB$25+'TUSD BE'!$AD$25+'TUSD BE'!$AL$25</f>
        <v>396.8467543887827</v>
      </c>
      <c r="AQ25" s="9" t="str">
        <f t="shared" si="0"/>
        <v>B1</v>
      </c>
      <c r="AR25" s="9" t="str">
        <f t="shared" si="1"/>
        <v>Convencional pré-pagamento</v>
      </c>
      <c r="AS25" s="9" t="str">
        <f t="shared" si="2"/>
        <v>Residencial</v>
      </c>
      <c r="AT25" s="9" t="str">
        <f t="shared" si="3"/>
        <v>Residencial</v>
      </c>
      <c r="AU25" s="9" t="str">
        <f t="shared" si="4"/>
        <v>Não se aplica</v>
      </c>
      <c r="AV25" s="9">
        <f t="shared" si="5"/>
        <v>1</v>
      </c>
      <c r="AW25" s="9">
        <f ca="1">TarifaMedia!$G$20</f>
        <v>1</v>
      </c>
      <c r="AX25" s="15">
        <f ca="1">'TUSD BE'!$AM25+'TUSD BF'!$AM25+'TUSD CVA'!$AM25</f>
        <v>417.58832886049538</v>
      </c>
      <c r="AY25" s="9">
        <v>310.49</v>
      </c>
      <c r="AZ25" s="9">
        <f t="shared" ca="1" si="6"/>
        <v>-107.09832886049537</v>
      </c>
      <c r="BC25" s="54" t="s">
        <v>1126</v>
      </c>
    </row>
    <row r="26" spans="1:55" ht="11.25" customHeight="1" x14ac:dyDescent="0.25">
      <c r="A26" s="149"/>
      <c r="B26" s="149"/>
      <c r="C26" s="149"/>
      <c r="D26" s="56" t="s">
        <v>29</v>
      </c>
      <c r="E26" s="56" t="s">
        <v>25</v>
      </c>
      <c r="F26" s="56" t="s">
        <v>25</v>
      </c>
      <c r="G26" s="57" t="s">
        <v>78</v>
      </c>
      <c r="H26" s="57" t="s">
        <v>74</v>
      </c>
      <c r="I26" s="57">
        <f>'MERCADO TUSD'!$U$23</f>
        <v>0</v>
      </c>
      <c r="J26" s="15"/>
      <c r="L26" s="31">
        <f>'TUSD BE'!$L$26*'TUSD BE'!$L$58</f>
        <v>0</v>
      </c>
      <c r="M26" s="31">
        <f>'TUSD BE'!$M$26*'TUSD BE'!$M$58</f>
        <v>-3.0650909416479716E-2</v>
      </c>
      <c r="N26" s="31">
        <f ca="1">'TUSD BE'!$N$26*'TUSD BE'!$N$58</f>
        <v>-1.3806870312311032E-5</v>
      </c>
      <c r="O26" s="31">
        <f>'TUSD BE'!$O$26*'TUSD BE'!$O$58</f>
        <v>0</v>
      </c>
      <c r="P26" s="31">
        <f>'TUSD BE'!$P$26*'TUSD BE'!$P$58</f>
        <v>0</v>
      </c>
      <c r="Q26" s="31">
        <f>'TUSD BE'!$Q$26*'TUSD BE'!$Q$58</f>
        <v>0</v>
      </c>
      <c r="R26" s="31">
        <f>'TUSD BE'!$R$26*'TUSD BE'!$R$58</f>
        <v>0</v>
      </c>
      <c r="S26" s="31">
        <f>'TUSD BE'!$R$26*'TUSD BE'!$S$58</f>
        <v>0</v>
      </c>
      <c r="T26" s="31">
        <f ca="1">SUM($L$26:$S$26)</f>
        <v>-3.0664716286792026E-2</v>
      </c>
      <c r="U26" s="31">
        <f>'TUSD BE'!$U$26*'TUSD BE'!$U$58</f>
        <v>0</v>
      </c>
      <c r="V26" s="31">
        <f>'TUSD BE'!$V$26*'TUSD BE'!$V$58</f>
        <v>0</v>
      </c>
      <c r="W26" s="31">
        <f>'TUSD BE'!$W$26*'TUSD BE'!$W$58</f>
        <v>0</v>
      </c>
      <c r="X26" s="31">
        <f>'TUSD BE'!$X$26*'TUSD BE'!$X$58</f>
        <v>0</v>
      </c>
      <c r="Y26" s="31">
        <f>'TUSD BE'!$Y$26*'TUSD BE'!$Y$58</f>
        <v>0.39820982110424452</v>
      </c>
      <c r="Z26" s="31">
        <f>'TUSD BE'!$Z$26*'TUSD BE'!$Z$58</f>
        <v>0</v>
      </c>
      <c r="AA26" s="31">
        <f>'TUSD BE'!$AA$26*'TUSD BE'!$AA$58</f>
        <v>0</v>
      </c>
      <c r="AB26" s="31">
        <f>SUM($U$26:$AA$26)</f>
        <v>0.39820982110424452</v>
      </c>
      <c r="AC26" s="31">
        <f>'TUSD BE'!$AC$26*'TUSD BE'!$AC$58</f>
        <v>-2.0985725537422435</v>
      </c>
      <c r="AD26" s="31">
        <f>SUM($AC$26:$AC$26)</f>
        <v>-2.0985725537422435</v>
      </c>
      <c r="AE26" s="31">
        <f ca="1">$AO$26*$AO$55</f>
        <v>0</v>
      </c>
      <c r="AF26" s="31">
        <f ca="1">$AP$26*$AP$55</f>
        <v>0</v>
      </c>
      <c r="AG26" s="31">
        <f ca="1">SUM($AE$26:$AF$26)</f>
        <v>0</v>
      </c>
      <c r="AH26" s="31">
        <f>'TUSD BE'!$AH$26*'TUSD BE'!$AH$58</f>
        <v>1.3126368552728811</v>
      </c>
      <c r="AI26" s="31">
        <f>'TUSD BE'!$AI$26*'TUSD BE'!$AI$58</f>
        <v>2.8399850394202356E-2</v>
      </c>
      <c r="AJ26" s="31">
        <f ca="1">'TUSD BE'!$AJ$26*'TUSD BE'!$AJ$58</f>
        <v>2.2743288755253759E-2</v>
      </c>
      <c r="AK26" s="31">
        <f ca="1">'TUSD BE'!$AK$26*'TUSD BE'!$AK$58</f>
        <v>3.7620352974175937E-2</v>
      </c>
      <c r="AL26" s="31">
        <f ca="1">SUM($AH$26:$AK$26)</f>
        <v>1.4014003473965131</v>
      </c>
      <c r="AM26" s="31">
        <f ca="1">SUMIF($L$4:$AL$4,"SUBTOTAL",$L$26:$AL$26)+AZ26</f>
        <v>-105.56349419080428</v>
      </c>
      <c r="AO26" s="59">
        <f ca="1">+'TUSD BE'!$T$26+'TUSD BE'!$AB$26+'TUSD BE'!$AD$26+'TUSD BE'!$AL$26</f>
        <v>293.38530838770379</v>
      </c>
      <c r="AP26" s="59">
        <f ca="1">+'TUSD BE'!$T$26+'TUSD BE'!$AB$26+'TUSD BE'!$AD$26+'TUSD BE'!$AL$26</f>
        <v>293.38530838770379</v>
      </c>
      <c r="AQ26" s="9" t="str">
        <f t="shared" si="0"/>
        <v>B1</v>
      </c>
      <c r="AR26" s="9" t="str">
        <f t="shared" si="1"/>
        <v>Convencional pré-pagamento</v>
      </c>
      <c r="AS26" s="9" t="str">
        <f t="shared" si="2"/>
        <v>Residencial</v>
      </c>
      <c r="AT26" s="9" t="str">
        <f t="shared" si="3"/>
        <v>Residencial baixa renda – faixa 01</v>
      </c>
      <c r="AU26" s="9" t="str">
        <f t="shared" si="4"/>
        <v>Não se aplica</v>
      </c>
      <c r="AV26" s="9">
        <f t="shared" si="5"/>
        <v>1</v>
      </c>
      <c r="AW26" s="9">
        <f ca="1">TarifaMedia!$G$20</f>
        <v>1</v>
      </c>
      <c r="AX26" s="15">
        <f ca="1">'TUSD BE'!$AM26+'TUSD BF'!$AM26+'TUSD CVA'!$AM26</f>
        <v>293.013867089276</v>
      </c>
      <c r="AY26" s="9">
        <v>187.78</v>
      </c>
      <c r="AZ26" s="9">
        <f t="shared" ca="1" si="6"/>
        <v>-105.233867089276</v>
      </c>
      <c r="BC26" s="54" t="s">
        <v>1127</v>
      </c>
    </row>
    <row r="27" spans="1:55" ht="11.25" customHeight="1" x14ac:dyDescent="0.25">
      <c r="A27" s="149"/>
      <c r="B27" s="149"/>
      <c r="C27" s="149"/>
      <c r="D27" s="56" t="s">
        <v>30</v>
      </c>
      <c r="E27" s="56" t="s">
        <v>25</v>
      </c>
      <c r="F27" s="56" t="s">
        <v>25</v>
      </c>
      <c r="G27" s="57" t="s">
        <v>78</v>
      </c>
      <c r="H27" s="57" t="s">
        <v>74</v>
      </c>
      <c r="I27" s="57">
        <f>'MERCADO TUSD'!$U$24</f>
        <v>0</v>
      </c>
      <c r="J27" s="15"/>
      <c r="L27" s="31">
        <f>'TUSD BE'!$L$27*'TUSD BE'!$L$58</f>
        <v>0</v>
      </c>
      <c r="M27" s="31">
        <f>'TUSD BE'!$M$27*'TUSD BE'!$M$58</f>
        <v>-3.0650909416479716E-2</v>
      </c>
      <c r="N27" s="31">
        <f ca="1">'TUSD BE'!$N$27*'TUSD BE'!$N$58</f>
        <v>-1.3806870312311032E-5</v>
      </c>
      <c r="O27" s="31">
        <f>'TUSD BE'!$O$27*'TUSD BE'!$O$58</f>
        <v>0</v>
      </c>
      <c r="P27" s="31">
        <f>'TUSD BE'!$P$27*'TUSD BE'!$P$58</f>
        <v>0</v>
      </c>
      <c r="Q27" s="31">
        <f>'TUSD BE'!$Q$27*'TUSD BE'!$Q$58</f>
        <v>0</v>
      </c>
      <c r="R27" s="31">
        <f>'TUSD BE'!$R$27*'TUSD BE'!$R$58</f>
        <v>0</v>
      </c>
      <c r="S27" s="31">
        <f>'TUSD BE'!$R$27*'TUSD BE'!$S$58</f>
        <v>0</v>
      </c>
      <c r="T27" s="31">
        <f ca="1">SUM($L$27:$S$27)</f>
        <v>-3.0664716286792026E-2</v>
      </c>
      <c r="U27" s="31">
        <f>'TUSD BE'!$U$27*'TUSD BE'!$U$58</f>
        <v>0</v>
      </c>
      <c r="V27" s="31">
        <f>'TUSD BE'!$V$27*'TUSD BE'!$V$58</f>
        <v>0</v>
      </c>
      <c r="W27" s="31">
        <f>'TUSD BE'!$W$27*'TUSD BE'!$W$58</f>
        <v>0</v>
      </c>
      <c r="X27" s="31">
        <f>'TUSD BE'!$X$27*'TUSD BE'!$X$58</f>
        <v>0</v>
      </c>
      <c r="Y27" s="31">
        <f>'TUSD BE'!$Y$27*'TUSD BE'!$Y$58</f>
        <v>0.39820982110424452</v>
      </c>
      <c r="Z27" s="31">
        <f>'TUSD BE'!$Z$27*'TUSD BE'!$Z$58</f>
        <v>0</v>
      </c>
      <c r="AA27" s="31">
        <f>'TUSD BE'!$AA$27*'TUSD BE'!$AA$58</f>
        <v>0</v>
      </c>
      <c r="AB27" s="31">
        <f>SUM($U$27:$AA$27)</f>
        <v>0.39820982110424452</v>
      </c>
      <c r="AC27" s="31">
        <f>'TUSD BE'!$AC$27*'TUSD BE'!$AC$58</f>
        <v>-2.0985725537422435</v>
      </c>
      <c r="AD27" s="31">
        <f>SUM($AC$27:$AC$27)</f>
        <v>-2.0985725537422435</v>
      </c>
      <c r="AE27" s="31">
        <f ca="1">$AO$27*$AO$55</f>
        <v>0</v>
      </c>
      <c r="AF27" s="31">
        <f ca="1">$AP$27*$AP$55</f>
        <v>0</v>
      </c>
      <c r="AG27" s="31">
        <f ca="1">SUM($AE$27:$AF$27)</f>
        <v>0</v>
      </c>
      <c r="AH27" s="31">
        <f>'TUSD BE'!$AH$27*'TUSD BE'!$AH$58</f>
        <v>1.3126368552728811</v>
      </c>
      <c r="AI27" s="31">
        <f>'TUSD BE'!$AI$27*'TUSD BE'!$AI$58</f>
        <v>2.8399850394202356E-2</v>
      </c>
      <c r="AJ27" s="31">
        <f ca="1">'TUSD BE'!$AJ$27*'TUSD BE'!$AJ$58</f>
        <v>2.2743288755253759E-2</v>
      </c>
      <c r="AK27" s="31">
        <f ca="1">'TUSD BE'!$AK$27*'TUSD BE'!$AK$58</f>
        <v>3.7620352974175937E-2</v>
      </c>
      <c r="AL27" s="31">
        <f ca="1">SUM($AH$27:$AK$27)</f>
        <v>1.4014003473965131</v>
      </c>
      <c r="AM27" s="31">
        <f ca="1">SUMIF($L$4:$AL$4,"SUBTOTAL",$L$27:$AL$27)+AZ27</f>
        <v>-105.56349419080428</v>
      </c>
      <c r="AO27" s="59">
        <f ca="1">+'TUSD BE'!$T$27+'TUSD BE'!$AB$27+'TUSD BE'!$AD$27+'TUSD BE'!$AL$27</f>
        <v>293.38530838770379</v>
      </c>
      <c r="AP27" s="59">
        <f ca="1">+'TUSD BE'!$T$27+'TUSD BE'!$AB$27+'TUSD BE'!$AD$27+'TUSD BE'!$AL$27</f>
        <v>293.38530838770379</v>
      </c>
      <c r="AQ27" s="9" t="str">
        <f t="shared" si="0"/>
        <v>B1</v>
      </c>
      <c r="AR27" s="9" t="str">
        <f t="shared" si="1"/>
        <v>Convencional pré-pagamento</v>
      </c>
      <c r="AS27" s="9" t="str">
        <f t="shared" si="2"/>
        <v>Residencial</v>
      </c>
      <c r="AT27" s="9" t="str">
        <f t="shared" si="3"/>
        <v>Residencial baixa renda – faixa 02</v>
      </c>
      <c r="AU27" s="9" t="str">
        <f t="shared" si="4"/>
        <v>Não se aplica</v>
      </c>
      <c r="AV27" s="9">
        <f t="shared" si="5"/>
        <v>1</v>
      </c>
      <c r="AW27" s="9">
        <f ca="1">TarifaMedia!$G$20</f>
        <v>1</v>
      </c>
      <c r="AX27" s="15">
        <f ca="1">'TUSD BE'!$AM27+'TUSD BF'!$AM27+'TUSD CVA'!$AM27</f>
        <v>293.013867089276</v>
      </c>
      <c r="AY27" s="9">
        <v>187.78</v>
      </c>
      <c r="AZ27" s="9">
        <f t="shared" ca="1" si="6"/>
        <v>-105.233867089276</v>
      </c>
      <c r="BC27" s="54" t="s">
        <v>1127</v>
      </c>
    </row>
    <row r="28" spans="1:55" ht="11.25" customHeight="1" x14ac:dyDescent="0.25">
      <c r="A28" s="149"/>
      <c r="B28" s="149"/>
      <c r="C28" s="149"/>
      <c r="D28" s="56" t="s">
        <v>31</v>
      </c>
      <c r="E28" s="56" t="s">
        <v>25</v>
      </c>
      <c r="F28" s="56" t="s">
        <v>25</v>
      </c>
      <c r="G28" s="57" t="s">
        <v>78</v>
      </c>
      <c r="H28" s="57" t="s">
        <v>74</v>
      </c>
      <c r="I28" s="57">
        <f>'MERCADO TUSD'!$U$25</f>
        <v>0</v>
      </c>
      <c r="J28" s="15"/>
      <c r="L28" s="31">
        <f>'TUSD BE'!$L$28*'TUSD BE'!$L$58</f>
        <v>0</v>
      </c>
      <c r="M28" s="31">
        <f>'TUSD BE'!$M$28*'TUSD BE'!$M$58</f>
        <v>-3.0650909416479716E-2</v>
      </c>
      <c r="N28" s="31">
        <f ca="1">'TUSD BE'!$N$28*'TUSD BE'!$N$58</f>
        <v>-1.3806870312311032E-5</v>
      </c>
      <c r="O28" s="31">
        <f>'TUSD BE'!$O$28*'TUSD BE'!$O$58</f>
        <v>0</v>
      </c>
      <c r="P28" s="31">
        <f>'TUSD BE'!$P$28*'TUSD BE'!$P$58</f>
        <v>0</v>
      </c>
      <c r="Q28" s="31">
        <f>'TUSD BE'!$Q$28*'TUSD BE'!$Q$58</f>
        <v>0</v>
      </c>
      <c r="R28" s="31">
        <f>'TUSD BE'!$R$28*'TUSD BE'!$R$58</f>
        <v>0</v>
      </c>
      <c r="S28" s="31">
        <f>'TUSD BE'!$R$28*'TUSD BE'!$S$58</f>
        <v>0</v>
      </c>
      <c r="T28" s="31">
        <f ca="1">SUM($L$28:$S$28)</f>
        <v>-3.0664716286792026E-2</v>
      </c>
      <c r="U28" s="31">
        <f>'TUSD BE'!$U$28*'TUSD BE'!$U$58</f>
        <v>0</v>
      </c>
      <c r="V28" s="31">
        <f>'TUSD BE'!$V$28*'TUSD BE'!$V$58</f>
        <v>0</v>
      </c>
      <c r="W28" s="31">
        <f>'TUSD BE'!$W$28*'TUSD BE'!$W$58</f>
        <v>0</v>
      </c>
      <c r="X28" s="31">
        <f>'TUSD BE'!$X$28*'TUSD BE'!$X$58</f>
        <v>0</v>
      </c>
      <c r="Y28" s="31">
        <f>'TUSD BE'!$Y$28*'TUSD BE'!$Y$58</f>
        <v>0.39820982110424452</v>
      </c>
      <c r="Z28" s="31">
        <f>'TUSD BE'!$Z$28*'TUSD BE'!$Z$58</f>
        <v>0</v>
      </c>
      <c r="AA28" s="31">
        <f>'TUSD BE'!$AA$28*'TUSD BE'!$AA$58</f>
        <v>0</v>
      </c>
      <c r="AB28" s="31">
        <f>SUM($U$28:$AA$28)</f>
        <v>0.39820982110424452</v>
      </c>
      <c r="AC28" s="31">
        <f>'TUSD BE'!$AC$28*'TUSD BE'!$AC$58</f>
        <v>-2.0985725537422435</v>
      </c>
      <c r="AD28" s="31">
        <f>SUM($AC$28:$AC$28)</f>
        <v>-2.0985725537422435</v>
      </c>
      <c r="AE28" s="31">
        <f ca="1">$AO$28*$AO$55</f>
        <v>0</v>
      </c>
      <c r="AF28" s="31">
        <f ca="1">$AP$28*$AP$55</f>
        <v>0</v>
      </c>
      <c r="AG28" s="31">
        <f ca="1">SUM($AE$28:$AF$28)</f>
        <v>0</v>
      </c>
      <c r="AH28" s="31">
        <f>'TUSD BE'!$AH$28*'TUSD BE'!$AH$58</f>
        <v>1.3126368552728811</v>
      </c>
      <c r="AI28" s="31">
        <f>'TUSD BE'!$AI$28*'TUSD BE'!$AI$58</f>
        <v>2.8399850394202356E-2</v>
      </c>
      <c r="AJ28" s="31">
        <f ca="1">'TUSD BE'!$AJ$28*'TUSD BE'!$AJ$58</f>
        <v>2.2743288755253759E-2</v>
      </c>
      <c r="AK28" s="31">
        <f ca="1">'TUSD BE'!$AK$28*'TUSD BE'!$AK$58</f>
        <v>3.7620352974175937E-2</v>
      </c>
      <c r="AL28" s="31">
        <f ca="1">SUM($AH$28:$AK$28)</f>
        <v>1.4014003473965131</v>
      </c>
      <c r="AM28" s="31">
        <f ca="1">SUMIF($L$4:$AL$4,"SUBTOTAL",$L$28:$AL$28)+AZ28</f>
        <v>-105.56349419080428</v>
      </c>
      <c r="AO28" s="59">
        <f ca="1">+'TUSD BE'!$T$28+'TUSD BE'!$AB$28+'TUSD BE'!$AD$28+'TUSD BE'!$AL$28</f>
        <v>293.38530838770379</v>
      </c>
      <c r="AP28" s="59">
        <f ca="1">+'TUSD BE'!$T$28+'TUSD BE'!$AB$28+'TUSD BE'!$AD$28+'TUSD BE'!$AL$28</f>
        <v>293.38530838770379</v>
      </c>
      <c r="AQ28" s="9" t="str">
        <f t="shared" si="0"/>
        <v>B1</v>
      </c>
      <c r="AR28" s="9" t="str">
        <f t="shared" si="1"/>
        <v>Convencional pré-pagamento</v>
      </c>
      <c r="AS28" s="9" t="str">
        <f t="shared" si="2"/>
        <v>Residencial</v>
      </c>
      <c r="AT28" s="9" t="str">
        <f t="shared" si="3"/>
        <v>Residencial baixa renda – faixa 03</v>
      </c>
      <c r="AU28" s="9" t="str">
        <f t="shared" si="4"/>
        <v>Não se aplica</v>
      </c>
      <c r="AV28" s="9">
        <f t="shared" si="5"/>
        <v>1</v>
      </c>
      <c r="AW28" s="9">
        <f ca="1">TarifaMedia!$G$20</f>
        <v>1</v>
      </c>
      <c r="AX28" s="15">
        <f ca="1">'TUSD BE'!$AM28+'TUSD BF'!$AM28+'TUSD CVA'!$AM28</f>
        <v>293.013867089276</v>
      </c>
      <c r="AY28" s="9">
        <v>187.78</v>
      </c>
      <c r="AZ28" s="9">
        <f t="shared" ca="1" si="6"/>
        <v>-105.233867089276</v>
      </c>
      <c r="BC28" s="54" t="s">
        <v>1127</v>
      </c>
    </row>
    <row r="29" spans="1:55" ht="11.25" customHeight="1" x14ac:dyDescent="0.25">
      <c r="A29" s="149"/>
      <c r="B29" s="149"/>
      <c r="C29" s="149"/>
      <c r="D29" s="56" t="s">
        <v>32</v>
      </c>
      <c r="E29" s="56" t="s">
        <v>25</v>
      </c>
      <c r="F29" s="56" t="s">
        <v>25</v>
      </c>
      <c r="G29" s="57" t="s">
        <v>78</v>
      </c>
      <c r="H29" s="57" t="s">
        <v>74</v>
      </c>
      <c r="I29" s="57">
        <f>'MERCADO TUSD'!$U$26</f>
        <v>0</v>
      </c>
      <c r="J29" s="15"/>
      <c r="L29" s="31">
        <f>'TUSD BE'!$L$29*'TUSD BE'!$L$58</f>
        <v>0</v>
      </c>
      <c r="M29" s="31">
        <f>'TUSD BE'!$M$29*'TUSD BE'!$M$58</f>
        <v>-3.0650909416479716E-2</v>
      </c>
      <c r="N29" s="31">
        <f ca="1">'TUSD BE'!$N$29*'TUSD BE'!$N$58</f>
        <v>-1.3806870312311032E-5</v>
      </c>
      <c r="O29" s="31">
        <f>'TUSD BE'!$O$29*'TUSD BE'!$O$58</f>
        <v>0</v>
      </c>
      <c r="P29" s="31">
        <f>'TUSD BE'!$P$29*'TUSD BE'!$P$58</f>
        <v>0</v>
      </c>
      <c r="Q29" s="31">
        <f>'TUSD BE'!$Q$29*'TUSD BE'!$Q$58</f>
        <v>0</v>
      </c>
      <c r="R29" s="31">
        <f>'TUSD BE'!$R$29*'TUSD BE'!$R$58</f>
        <v>0</v>
      </c>
      <c r="S29" s="31">
        <f>'TUSD BE'!$R$29*'TUSD BE'!$S$58</f>
        <v>0</v>
      </c>
      <c r="T29" s="31">
        <f ca="1">SUM($L$29:$S$29)</f>
        <v>-3.0664716286792026E-2</v>
      </c>
      <c r="U29" s="31">
        <f>'TUSD BE'!$U$29*'TUSD BE'!$U$58</f>
        <v>0</v>
      </c>
      <c r="V29" s="31">
        <f>'TUSD BE'!$V$29*'TUSD BE'!$V$58</f>
        <v>0</v>
      </c>
      <c r="W29" s="31">
        <f>'TUSD BE'!$W$29*'TUSD BE'!$W$58</f>
        <v>0</v>
      </c>
      <c r="X29" s="31">
        <f>'TUSD BE'!$X$29*'TUSD BE'!$X$58</f>
        <v>0</v>
      </c>
      <c r="Y29" s="31">
        <f>'TUSD BE'!$Y$29*'TUSD BE'!$Y$58</f>
        <v>0.39820982110424452</v>
      </c>
      <c r="Z29" s="31">
        <f>'TUSD BE'!$Z$29*'TUSD BE'!$Z$58</f>
        <v>0</v>
      </c>
      <c r="AA29" s="31">
        <f>'TUSD BE'!$AA$29*'TUSD BE'!$AA$58</f>
        <v>0</v>
      </c>
      <c r="AB29" s="31">
        <f>SUM($U$29:$AA$29)</f>
        <v>0.39820982110424452</v>
      </c>
      <c r="AC29" s="31">
        <f>'TUSD BE'!$AC$29*'TUSD BE'!$AC$58</f>
        <v>-2.0985725537422435</v>
      </c>
      <c r="AD29" s="31">
        <f>SUM($AC$29:$AC$29)</f>
        <v>-2.0985725537422435</v>
      </c>
      <c r="AE29" s="31">
        <f ca="1">$AO$29*$AO$55</f>
        <v>0</v>
      </c>
      <c r="AF29" s="31">
        <f ca="1">$AP$29*$AP$55</f>
        <v>0</v>
      </c>
      <c r="AG29" s="31">
        <f ca="1">SUM($AE$29:$AF$29)</f>
        <v>0</v>
      </c>
      <c r="AH29" s="31">
        <f>'TUSD BE'!$AH$29*'TUSD BE'!$AH$58</f>
        <v>1.3126368552728811</v>
      </c>
      <c r="AI29" s="31">
        <f>'TUSD BE'!$AI$29*'TUSD BE'!$AI$58</f>
        <v>2.8399850394202356E-2</v>
      </c>
      <c r="AJ29" s="31">
        <f ca="1">'TUSD BE'!$AJ$29*'TUSD BE'!$AJ$58</f>
        <v>2.2743288755253759E-2</v>
      </c>
      <c r="AK29" s="31">
        <f ca="1">'TUSD BE'!$AK$29*'TUSD BE'!$AK$58</f>
        <v>3.7620352974175937E-2</v>
      </c>
      <c r="AL29" s="31">
        <f ca="1">SUM($AH$29:$AK$29)</f>
        <v>1.4014003473965131</v>
      </c>
      <c r="AM29" s="31">
        <f ca="1">SUMIF($L$4:$AL$4,"SUBTOTAL",$L$29:$AL$29)+AZ29</f>
        <v>-105.56349419080428</v>
      </c>
      <c r="AO29" s="59">
        <f ca="1">+'TUSD BE'!$T$29+'TUSD BE'!$AB$29+'TUSD BE'!$AD$29+'TUSD BE'!$AL$29</f>
        <v>293.38530838770379</v>
      </c>
      <c r="AP29" s="59">
        <f ca="1">+'TUSD BE'!$T$29+'TUSD BE'!$AB$29+'TUSD BE'!$AD$29+'TUSD BE'!$AL$29</f>
        <v>293.38530838770379</v>
      </c>
      <c r="AQ29" s="9" t="str">
        <f t="shared" si="0"/>
        <v>B1</v>
      </c>
      <c r="AR29" s="9" t="str">
        <f t="shared" si="1"/>
        <v>Convencional pré-pagamento</v>
      </c>
      <c r="AS29" s="9" t="str">
        <f t="shared" si="2"/>
        <v>Residencial</v>
      </c>
      <c r="AT29" s="9" t="str">
        <f t="shared" si="3"/>
        <v>Residencial baixa renda – faixa 04</v>
      </c>
      <c r="AU29" s="9" t="str">
        <f t="shared" si="4"/>
        <v>Não se aplica</v>
      </c>
      <c r="AV29" s="9">
        <f t="shared" si="5"/>
        <v>1</v>
      </c>
      <c r="AW29" s="9">
        <f ca="1">TarifaMedia!$G$20</f>
        <v>1</v>
      </c>
      <c r="AX29" s="15">
        <f ca="1">'TUSD BE'!$AM29+'TUSD BF'!$AM29+'TUSD CVA'!$AM29</f>
        <v>293.013867089276</v>
      </c>
      <c r="AY29" s="9">
        <v>187.78</v>
      </c>
      <c r="AZ29" s="9">
        <f t="shared" ca="1" si="6"/>
        <v>-105.233867089276</v>
      </c>
      <c r="BC29" s="54" t="s">
        <v>1127</v>
      </c>
    </row>
    <row r="30" spans="1:55" ht="11.25" customHeight="1" x14ac:dyDescent="0.25">
      <c r="A30" s="149" t="s">
        <v>41</v>
      </c>
      <c r="B30" s="149" t="s">
        <v>50</v>
      </c>
      <c r="C30" s="149" t="s">
        <v>42</v>
      </c>
      <c r="D30" s="149" t="s">
        <v>25</v>
      </c>
      <c r="E30" s="149" t="s">
        <v>25</v>
      </c>
      <c r="F30" s="149" t="s">
        <v>25</v>
      </c>
      <c r="G30" s="57" t="s">
        <v>75</v>
      </c>
      <c r="H30" s="57" t="s">
        <v>74</v>
      </c>
      <c r="I30" s="57">
        <f>'MERCADO TUSD'!$U$27</f>
        <v>0</v>
      </c>
      <c r="J30" s="15"/>
      <c r="L30" s="31">
        <f>'TUSD BE'!$L$30*'TUSD BE'!$L$58</f>
        <v>0</v>
      </c>
      <c r="M30" s="31">
        <f>'TUSD BE'!$M$30*'TUSD BE'!$M$58</f>
        <v>-3.0650909416479716E-2</v>
      </c>
      <c r="N30" s="31">
        <f ca="1">'TUSD BE'!$N$30*'TUSD BE'!$N$58</f>
        <v>-3.827111494442146E-5</v>
      </c>
      <c r="O30" s="31">
        <f>'TUSD BE'!$O$30*'TUSD BE'!$O$58</f>
        <v>0</v>
      </c>
      <c r="P30" s="31">
        <f>'TUSD BE'!$P$30*'TUSD BE'!$P$58</f>
        <v>0</v>
      </c>
      <c r="Q30" s="31">
        <f>'TUSD BE'!$Q$30*'TUSD BE'!$Q$58</f>
        <v>-2.7343580102382514</v>
      </c>
      <c r="R30" s="31">
        <f>'TUSD BE'!$R$30*'TUSD BE'!$R$58</f>
        <v>-0.47097951775238756</v>
      </c>
      <c r="S30" s="31">
        <f>'TUSD BE'!$R$30*'TUSD BE'!$S$58</f>
        <v>0</v>
      </c>
      <c r="T30" s="31">
        <f ca="1">SUM($L$30:$S$30)</f>
        <v>-3.2360267085220631</v>
      </c>
      <c r="U30" s="31">
        <f>'TUSD BE'!$U$30*'TUSD BE'!$U$58</f>
        <v>0</v>
      </c>
      <c r="V30" s="31">
        <f>'TUSD BE'!$V$30*'TUSD BE'!$V$58</f>
        <v>0</v>
      </c>
      <c r="W30" s="31">
        <f>'TUSD BE'!$W$30*'TUSD BE'!$W$58</f>
        <v>0</v>
      </c>
      <c r="X30" s="31">
        <f>'TUSD BE'!$X$30*'TUSD BE'!$X$58</f>
        <v>0</v>
      </c>
      <c r="Y30" s="31">
        <f>'TUSD BE'!$Y$30*'TUSD BE'!$Y$58</f>
        <v>1.2344499592521916</v>
      </c>
      <c r="Z30" s="31">
        <f>'TUSD BE'!$Z$30*'TUSD BE'!$Z$58</f>
        <v>0</v>
      </c>
      <c r="AA30" s="31">
        <f>'TUSD BE'!$AA$30*'TUSD BE'!$AA$58</f>
        <v>0</v>
      </c>
      <c r="AB30" s="31">
        <f>SUM($U$30:$AA$30)</f>
        <v>1.2344499592521916</v>
      </c>
      <c r="AC30" s="31">
        <f>'TUSD BE'!$AC$30*'TUSD BE'!$AC$58</f>
        <v>-6.5055751767780148</v>
      </c>
      <c r="AD30" s="31">
        <f>SUM($AC$30:$AC$30)</f>
        <v>-6.5055751767780148</v>
      </c>
      <c r="AE30" s="31">
        <f ca="1">$AO$30*$AO$55</f>
        <v>0</v>
      </c>
      <c r="AF30" s="31">
        <f ca="1">$AP$30*$AP$55</f>
        <v>0</v>
      </c>
      <c r="AG30" s="31">
        <f ca="1">SUM($AE$30:$AF$30)</f>
        <v>0</v>
      </c>
      <c r="AH30" s="31">
        <f>'TUSD BE'!$AH$30*'TUSD BE'!$AH$58</f>
        <v>1.3126368552728811</v>
      </c>
      <c r="AI30" s="31">
        <f>'TUSD BE'!$AI$30*'TUSD BE'!$AI$58</f>
        <v>2.8399850394202356E-2</v>
      </c>
      <c r="AJ30" s="31">
        <f ca="1">'TUSD BE'!$AJ$30*'TUSD BE'!$AJ$58</f>
        <v>2.2743288755253759E-2</v>
      </c>
      <c r="AK30" s="31">
        <f ca="1">'TUSD BE'!$AK$30*'TUSD BE'!$AK$58</f>
        <v>3.7620352974175937E-2</v>
      </c>
      <c r="AL30" s="31">
        <f ca="1">SUM($AH$30:$AK$30)</f>
        <v>1.4014003473965131</v>
      </c>
      <c r="AM30" s="31">
        <f ca="1">SUMIF($L$4:$AL$4,"SUBTOTAL",$L$30:$AL$30)+AZ30</f>
        <v>-383.52718559459379</v>
      </c>
      <c r="AO30" s="59">
        <f ca="1">+'TUSD BE'!$T$30+'TUSD BE'!$AB$30+'TUSD BE'!$AD$30+'TUSD BE'!$AL$30</f>
        <v>969.24064644711382</v>
      </c>
      <c r="AP30" s="59">
        <f ca="1">+'TUSD BE'!$T$30+'TUSD BE'!$AB$30+'TUSD BE'!$AD$30+'TUSD BE'!$AL$30</f>
        <v>969.24064644711382</v>
      </c>
      <c r="AQ30" s="9" t="str">
        <f t="shared" si="0"/>
        <v>B2</v>
      </c>
      <c r="AR30" s="9" t="str">
        <f t="shared" si="1"/>
        <v>Branca</v>
      </c>
      <c r="AS30" s="9" t="str">
        <f t="shared" si="2"/>
        <v>Rural</v>
      </c>
      <c r="AT30" s="9" t="str">
        <f t="shared" si="3"/>
        <v>Não se aplica</v>
      </c>
      <c r="AU30" s="9" t="str">
        <f t="shared" si="4"/>
        <v>Não se aplica</v>
      </c>
      <c r="AV30" s="9">
        <f t="shared" si="5"/>
        <v>1</v>
      </c>
      <c r="AW30" s="9">
        <f ca="1">TarifaMedia!$G$20</f>
        <v>1</v>
      </c>
      <c r="AX30" s="15">
        <f ca="1">'TUSD BE'!$AM30+'TUSD BF'!$AM30+'TUSD CVA'!$AM30</f>
        <v>986.4114340159424</v>
      </c>
      <c r="AY30" s="9">
        <f>ROUND(573.39/(1-CUSTOS!$M$38),2)</f>
        <v>609.99</v>
      </c>
      <c r="AZ30" s="9">
        <f t="shared" ca="1" si="6"/>
        <v>-376.4214340159424</v>
      </c>
      <c r="BC30" s="54" t="s">
        <v>1128</v>
      </c>
    </row>
    <row r="31" spans="1:55" ht="11.25" customHeight="1" x14ac:dyDescent="0.25">
      <c r="A31" s="149"/>
      <c r="B31" s="149"/>
      <c r="C31" s="149"/>
      <c r="D31" s="149"/>
      <c r="E31" s="149"/>
      <c r="F31" s="149"/>
      <c r="G31" s="57" t="s">
        <v>87</v>
      </c>
      <c r="H31" s="57" t="s">
        <v>74</v>
      </c>
      <c r="I31" s="57">
        <f>'MERCADO TUSD'!$U$28</f>
        <v>0</v>
      </c>
      <c r="J31" s="15"/>
      <c r="L31" s="31">
        <f>'TUSD BE'!$L$31*'TUSD BE'!$L$58</f>
        <v>0</v>
      </c>
      <c r="M31" s="31">
        <f>'TUSD BE'!$M$31*'TUSD BE'!$M$58</f>
        <v>-3.0650909416479716E-2</v>
      </c>
      <c r="N31" s="31">
        <f ca="1">'TUSD BE'!$N$31*'TUSD BE'!$N$58</f>
        <v>-2.3852869658632398E-5</v>
      </c>
      <c r="O31" s="31">
        <f>'TUSD BE'!$O$31*'TUSD BE'!$O$58</f>
        <v>0</v>
      </c>
      <c r="P31" s="31">
        <f>'TUSD BE'!$P$31*'TUSD BE'!$P$58</f>
        <v>0</v>
      </c>
      <c r="Q31" s="31">
        <f>'TUSD BE'!$Q$31*'TUSD BE'!$Q$58</f>
        <v>-2.7343580102382514</v>
      </c>
      <c r="R31" s="31">
        <f>'TUSD BE'!$R$31*'TUSD BE'!$R$58</f>
        <v>-0.47097951775238756</v>
      </c>
      <c r="S31" s="31">
        <f>'TUSD BE'!$R$31*'TUSD BE'!$S$58</f>
        <v>0</v>
      </c>
      <c r="T31" s="31">
        <f ca="1">SUM($L$31:$S$31)</f>
        <v>-3.2360122902767774</v>
      </c>
      <c r="U31" s="31">
        <f>'TUSD BE'!$U$31*'TUSD BE'!$U$58</f>
        <v>0</v>
      </c>
      <c r="V31" s="31">
        <f>'TUSD BE'!$V$31*'TUSD BE'!$V$58</f>
        <v>0</v>
      </c>
      <c r="W31" s="31">
        <f>'TUSD BE'!$W$31*'TUSD BE'!$W$58</f>
        <v>0</v>
      </c>
      <c r="X31" s="31">
        <f>'TUSD BE'!$X$31*'TUSD BE'!$X$58</f>
        <v>0</v>
      </c>
      <c r="Y31" s="31">
        <f>'TUSD BE'!$Y$31*'TUSD BE'!$Y$58</f>
        <v>0.7406699755513152</v>
      </c>
      <c r="Z31" s="31">
        <f>'TUSD BE'!$Z$31*'TUSD BE'!$Z$58</f>
        <v>0</v>
      </c>
      <c r="AA31" s="31">
        <f>'TUSD BE'!$AA$31*'TUSD BE'!$AA$58</f>
        <v>0</v>
      </c>
      <c r="AB31" s="31">
        <f>SUM($U$31:$AA$31)</f>
        <v>0.7406699755513152</v>
      </c>
      <c r="AC31" s="31">
        <f>'TUSD BE'!$AC$31*'TUSD BE'!$AC$58</f>
        <v>-3.9033453662438689</v>
      </c>
      <c r="AD31" s="31">
        <f>SUM($AC$31:$AC$31)</f>
        <v>-3.9033453662438689</v>
      </c>
      <c r="AE31" s="31">
        <f ca="1">$AO$31*$AO$55</f>
        <v>0</v>
      </c>
      <c r="AF31" s="31">
        <f ca="1">$AP$31*$AP$55</f>
        <v>0</v>
      </c>
      <c r="AG31" s="31">
        <f ca="1">SUM($AE$31:$AF$31)</f>
        <v>0</v>
      </c>
      <c r="AH31" s="31">
        <f>'TUSD BE'!$AH$31*'TUSD BE'!$AH$58</f>
        <v>1.3126368552728811</v>
      </c>
      <c r="AI31" s="31">
        <f>'TUSD BE'!$AI$31*'TUSD BE'!$AI$58</f>
        <v>2.8399850394202356E-2</v>
      </c>
      <c r="AJ31" s="31">
        <f ca="1">'TUSD BE'!$AJ$31*'TUSD BE'!$AJ$58</f>
        <v>2.2743288755253759E-2</v>
      </c>
      <c r="AK31" s="31">
        <f ca="1">'TUSD BE'!$AK$31*'TUSD BE'!$AK$58</f>
        <v>3.7620352974175937E-2</v>
      </c>
      <c r="AL31" s="31">
        <f ca="1">SUM($AH$31:$AK$31)</f>
        <v>1.4014003473965131</v>
      </c>
      <c r="AM31" s="31">
        <f ca="1">SUMIF($L$4:$AL$4,"SUBTOTAL",$L$31:$AL$31)+AZ31</f>
        <v>-226.77222147385126</v>
      </c>
      <c r="AO31" s="59">
        <f ca="1">+'TUSD BE'!$T$31+'TUSD BE'!$AB$31+'TUSD BE'!$AD$31+'TUSD BE'!$AL$31</f>
        <v>631.25568232637124</v>
      </c>
      <c r="AP31" s="59">
        <f ca="1">+'TUSD BE'!$T$31+'TUSD BE'!$AB$31+'TUSD BE'!$AD$31+'TUSD BE'!$AL$31</f>
        <v>631.25568232637124</v>
      </c>
      <c r="AQ31" s="9" t="str">
        <f t="shared" si="0"/>
        <v>B2</v>
      </c>
      <c r="AR31" s="9" t="str">
        <f t="shared" si="1"/>
        <v>Branca</v>
      </c>
      <c r="AS31" s="9" t="str">
        <f t="shared" si="2"/>
        <v>Rural</v>
      </c>
      <c r="AT31" s="9" t="str">
        <f t="shared" si="3"/>
        <v>Não se aplica</v>
      </c>
      <c r="AU31" s="9" t="str">
        <f t="shared" si="4"/>
        <v>Não se aplica</v>
      </c>
      <c r="AV31" s="9">
        <f t="shared" si="5"/>
        <v>1</v>
      </c>
      <c r="AW31" s="9">
        <f ca="1">TarifaMedia!$G$20</f>
        <v>1</v>
      </c>
      <c r="AX31" s="15">
        <f ca="1">'TUSD BE'!$AM31+'TUSD BF'!$AM31+'TUSD CVA'!$AM31</f>
        <v>650.53493414027844</v>
      </c>
      <c r="AY31" s="9">
        <f>ROUND(403.03/(1-CUSTOS!$M$38),2)</f>
        <v>428.76</v>
      </c>
      <c r="AZ31" s="9">
        <f t="shared" ca="1" si="6"/>
        <v>-221.77493414027845</v>
      </c>
      <c r="BC31" s="54" t="s">
        <v>1129</v>
      </c>
    </row>
    <row r="32" spans="1:55" ht="11.25" customHeight="1" x14ac:dyDescent="0.25">
      <c r="A32" s="149"/>
      <c r="B32" s="149"/>
      <c r="C32" s="149"/>
      <c r="D32" s="149"/>
      <c r="E32" s="149"/>
      <c r="F32" s="149"/>
      <c r="G32" s="57" t="s">
        <v>76</v>
      </c>
      <c r="H32" s="57" t="s">
        <v>74</v>
      </c>
      <c r="I32" s="57">
        <f>'MERCADO TUSD'!$U$29</f>
        <v>0</v>
      </c>
      <c r="J32" s="15"/>
      <c r="L32" s="31">
        <f>'TUSD BE'!$L$32*'TUSD BE'!$L$58</f>
        <v>0</v>
      </c>
      <c r="M32" s="31">
        <f>'TUSD BE'!$M$32*'TUSD BE'!$M$58</f>
        <v>-3.0650909416479716E-2</v>
      </c>
      <c r="N32" s="31">
        <f ca="1">'TUSD BE'!$N$32*'TUSD BE'!$N$58</f>
        <v>-9.4346243728433189E-6</v>
      </c>
      <c r="O32" s="31">
        <f>'TUSD BE'!$O$32*'TUSD BE'!$O$58</f>
        <v>0</v>
      </c>
      <c r="P32" s="31">
        <f>'TUSD BE'!$P$32*'TUSD BE'!$P$58</f>
        <v>0</v>
      </c>
      <c r="Q32" s="31">
        <f>'TUSD BE'!$Q$32*'TUSD BE'!$Q$58</f>
        <v>-2.7343580102382514</v>
      </c>
      <c r="R32" s="31">
        <f>'TUSD BE'!$R$32*'TUSD BE'!$R$58</f>
        <v>-0.47097951775238756</v>
      </c>
      <c r="S32" s="31">
        <f>'TUSD BE'!$R$32*'TUSD BE'!$S$58</f>
        <v>0</v>
      </c>
      <c r="T32" s="31">
        <f ca="1">SUM($L$32:$S$32)</f>
        <v>-3.2359978720314913</v>
      </c>
      <c r="U32" s="31">
        <f>'TUSD BE'!$U$32*'TUSD BE'!$U$58</f>
        <v>0</v>
      </c>
      <c r="V32" s="31">
        <f>'TUSD BE'!$V$32*'TUSD BE'!$V$58</f>
        <v>0</v>
      </c>
      <c r="W32" s="31">
        <f>'TUSD BE'!$W$32*'TUSD BE'!$W$58</f>
        <v>0</v>
      </c>
      <c r="X32" s="31">
        <f>'TUSD BE'!$X$32*'TUSD BE'!$X$58</f>
        <v>0</v>
      </c>
      <c r="Y32" s="31">
        <f>'TUSD BE'!$Y$32*'TUSD BE'!$Y$58</f>
        <v>0.24688999185043836</v>
      </c>
      <c r="Z32" s="31">
        <f>'TUSD BE'!$Z$32*'TUSD BE'!$Z$58</f>
        <v>0</v>
      </c>
      <c r="AA32" s="31">
        <f>'TUSD BE'!$AA$32*'TUSD BE'!$AA$58</f>
        <v>0</v>
      </c>
      <c r="AB32" s="31">
        <f>SUM($U$32:$AA$32)</f>
        <v>0.24688999185043836</v>
      </c>
      <c r="AC32" s="31">
        <f>'TUSD BE'!$AC$32*'TUSD BE'!$AC$58</f>
        <v>-1.3011155557097227</v>
      </c>
      <c r="AD32" s="31">
        <f>SUM($AC$32:$AC$32)</f>
        <v>-1.3011155557097227</v>
      </c>
      <c r="AE32" s="31">
        <f ca="1">$AO$32*$AO$55</f>
        <v>0</v>
      </c>
      <c r="AF32" s="31">
        <f ca="1">$AP$32*$AP$55</f>
        <v>0</v>
      </c>
      <c r="AG32" s="31">
        <f ca="1">SUM($AE$32:$AF$32)</f>
        <v>0</v>
      </c>
      <c r="AH32" s="31">
        <f>'TUSD BE'!$AH$32*'TUSD BE'!$AH$58</f>
        <v>1.3126368552728811</v>
      </c>
      <c r="AI32" s="31">
        <f>'TUSD BE'!$AI$32*'TUSD BE'!$AI$58</f>
        <v>2.8399850394202356E-2</v>
      </c>
      <c r="AJ32" s="31">
        <f ca="1">'TUSD BE'!$AJ$32*'TUSD BE'!$AJ$58</f>
        <v>2.2743288755253759E-2</v>
      </c>
      <c r="AK32" s="31">
        <f ca="1">'TUSD BE'!$AK$32*'TUSD BE'!$AK$58</f>
        <v>3.7620352974175937E-2</v>
      </c>
      <c r="AL32" s="31">
        <f ca="1">SUM($AH$32:$AK$32)</f>
        <v>1.4014003473965131</v>
      </c>
      <c r="AM32" s="31">
        <f ca="1">SUMIF($L$4:$AL$4,"SUBTOTAL",$L$32:$AL$32)+AZ32</f>
        <v>-70.037257353108402</v>
      </c>
      <c r="AO32" s="59">
        <f ca="1">+'TUSD BE'!$T$32+'TUSD BE'!$AB$32+'TUSD BE'!$AD$32+'TUSD BE'!$AL$32</f>
        <v>293.27071820562838</v>
      </c>
      <c r="AP32" s="59">
        <f ca="1">+'TUSD BE'!$T$32+'TUSD BE'!$AB$32+'TUSD BE'!$AD$32+'TUSD BE'!$AL$32</f>
        <v>293.27071820562838</v>
      </c>
      <c r="AQ32" s="9" t="str">
        <f t="shared" si="0"/>
        <v>B2</v>
      </c>
      <c r="AR32" s="9" t="str">
        <f t="shared" si="1"/>
        <v>Branca</v>
      </c>
      <c r="AS32" s="9" t="str">
        <f t="shared" si="2"/>
        <v>Rural</v>
      </c>
      <c r="AT32" s="9" t="str">
        <f t="shared" si="3"/>
        <v>Não se aplica</v>
      </c>
      <c r="AU32" s="9" t="str">
        <f t="shared" si="4"/>
        <v>Não se aplica</v>
      </c>
      <c r="AV32" s="9">
        <f t="shared" si="5"/>
        <v>1</v>
      </c>
      <c r="AW32" s="9">
        <f ca="1">TarifaMedia!$G$20</f>
        <v>1</v>
      </c>
      <c r="AX32" s="15">
        <f ca="1">'TUSD BE'!$AM32+'TUSD BF'!$AM32+'TUSD CVA'!$AM32</f>
        <v>314.65843426461413</v>
      </c>
      <c r="AY32" s="9">
        <f>ROUND(232.66/(1-CUSTOS!$M$38),2)</f>
        <v>247.51</v>
      </c>
      <c r="AZ32" s="9">
        <f t="shared" ca="1" si="6"/>
        <v>-67.148434264614139</v>
      </c>
      <c r="BC32" s="54" t="s">
        <v>1130</v>
      </c>
    </row>
    <row r="33" spans="1:55" ht="11.25" customHeight="1" x14ac:dyDescent="0.25">
      <c r="A33" s="149"/>
      <c r="B33" s="56" t="s">
        <v>23</v>
      </c>
      <c r="C33" s="56" t="s">
        <v>42</v>
      </c>
      <c r="D33" s="56" t="s">
        <v>25</v>
      </c>
      <c r="E33" s="56" t="s">
        <v>25</v>
      </c>
      <c r="F33" s="56" t="s">
        <v>25</v>
      </c>
      <c r="G33" s="57" t="s">
        <v>78</v>
      </c>
      <c r="H33" s="57" t="s">
        <v>74</v>
      </c>
      <c r="I33" s="57">
        <f>'MERCADO TUSD'!$U$30</f>
        <v>11721.666999999998</v>
      </c>
      <c r="J33" s="15"/>
      <c r="L33" s="31">
        <f>'TUSD BE'!$L$33*'TUSD BE'!$L$58</f>
        <v>0</v>
      </c>
      <c r="M33" s="31">
        <f>'TUSD BE'!$M$33*'TUSD BE'!$M$58</f>
        <v>-3.0650909416479716E-2</v>
      </c>
      <c r="N33" s="31">
        <f ca="1">'TUSD BE'!$N$33*'TUSD BE'!$N$58</f>
        <v>-1.3853118672125327E-5</v>
      </c>
      <c r="O33" s="31">
        <f>'TUSD BE'!$O$33*'TUSD BE'!$O$58</f>
        <v>0</v>
      </c>
      <c r="P33" s="31">
        <f>'TUSD BE'!$P$33*'TUSD BE'!$P$58</f>
        <v>0</v>
      </c>
      <c r="Q33" s="31">
        <f>'TUSD BE'!$Q$33*'TUSD BE'!$Q$58</f>
        <v>-2.7343580102382514</v>
      </c>
      <c r="R33" s="31">
        <f>'TUSD BE'!$R$33*'TUSD BE'!$R$58</f>
        <v>-0.47097951775238756</v>
      </c>
      <c r="S33" s="31">
        <f>'TUSD BE'!$R$33*'TUSD BE'!$S$58</f>
        <v>0</v>
      </c>
      <c r="T33" s="31">
        <f ca="1">SUM($L$33:$S$33)</f>
        <v>-3.2360022905257906</v>
      </c>
      <c r="U33" s="31">
        <f>'TUSD BE'!$U$33*'TUSD BE'!$U$58</f>
        <v>0</v>
      </c>
      <c r="V33" s="31">
        <f>'TUSD BE'!$V$33*'TUSD BE'!$V$58</f>
        <v>0</v>
      </c>
      <c r="W33" s="31">
        <f>'TUSD BE'!$W$33*'TUSD BE'!$W$58</f>
        <v>0</v>
      </c>
      <c r="X33" s="31">
        <f>'TUSD BE'!$X$33*'TUSD BE'!$X$58</f>
        <v>0</v>
      </c>
      <c r="Y33" s="31">
        <f>'TUSD BE'!$Y$33*'TUSD BE'!$Y$58</f>
        <v>0.39820982110424452</v>
      </c>
      <c r="Z33" s="31">
        <f>'TUSD BE'!$Z$33*'TUSD BE'!$Z$58</f>
        <v>0</v>
      </c>
      <c r="AA33" s="31">
        <f>'TUSD BE'!$AA$33*'TUSD BE'!$AA$58</f>
        <v>0</v>
      </c>
      <c r="AB33" s="31">
        <f>SUM($U$33:$AA$33)</f>
        <v>0.39820982110424452</v>
      </c>
      <c r="AC33" s="31">
        <f>'TUSD BE'!$AC$33*'TUSD BE'!$AC$58</f>
        <v>-2.0985725537422435</v>
      </c>
      <c r="AD33" s="31">
        <f>SUM($AC$33:$AC$33)</f>
        <v>-2.0985725537422435</v>
      </c>
      <c r="AE33" s="31">
        <f ca="1">$AO$33*$AO$55</f>
        <v>0</v>
      </c>
      <c r="AF33" s="31">
        <f ca="1">$AP$33*$AP$55</f>
        <v>0</v>
      </c>
      <c r="AG33" s="31">
        <f ca="1">SUM($AE$33:$AF$33)</f>
        <v>0</v>
      </c>
      <c r="AH33" s="31">
        <f>'TUSD BE'!$AH$33*'TUSD BE'!$AH$58</f>
        <v>1.3126368552728811</v>
      </c>
      <c r="AI33" s="31">
        <f>'TUSD BE'!$AI$33*'TUSD BE'!$AI$58</f>
        <v>2.8399850394202356E-2</v>
      </c>
      <c r="AJ33" s="31">
        <f ca="1">'TUSD BE'!$AJ$33*'TUSD BE'!$AJ$58</f>
        <v>2.2743288755253759E-2</v>
      </c>
      <c r="AK33" s="31">
        <f ca="1">'TUSD BE'!$AK$33*'TUSD BE'!$AK$58</f>
        <v>3.7620352974175937E-2</v>
      </c>
      <c r="AL33" s="31">
        <f ca="1">SUM($AH$33:$AK$33)</f>
        <v>1.4014003473965131</v>
      </c>
      <c r="AM33" s="31">
        <f ca="1">SUMIF($L$4:$AL$4,"SUBTOTAL",$L$33:$AL$33)+AZ33</f>
        <v>-110.63329353626264</v>
      </c>
      <c r="AO33" s="59">
        <f ca="1">+'TUSD BE'!$T$33+'TUSD BE'!$AB$33+'TUSD BE'!$AD$33+'TUSD BE'!$AL$33</f>
        <v>396.8467543887827</v>
      </c>
      <c r="AP33" s="59">
        <f ca="1">+'TUSD BE'!$T$33+'TUSD BE'!$AB$33+'TUSD BE'!$AD$33+'TUSD BE'!$AL$33</f>
        <v>396.8467543887827</v>
      </c>
      <c r="AQ33" s="9" t="str">
        <f t="shared" si="0"/>
        <v>B2</v>
      </c>
      <c r="AR33" s="9" t="str">
        <f t="shared" si="1"/>
        <v>Convencional</v>
      </c>
      <c r="AS33" s="9" t="str">
        <f t="shared" si="2"/>
        <v>Rural</v>
      </c>
      <c r="AT33" s="9" t="str">
        <f t="shared" si="3"/>
        <v>Não se aplica</v>
      </c>
      <c r="AU33" s="9" t="str">
        <f t="shared" si="4"/>
        <v>Não se aplica</v>
      </c>
      <c r="AV33" s="9">
        <f t="shared" si="5"/>
        <v>1</v>
      </c>
      <c r="AW33" s="9">
        <f ca="1">TarifaMedia!$G$20</f>
        <v>1</v>
      </c>
      <c r="AX33" s="15">
        <f ca="1">'TUSD BE'!$AM33+'TUSD BF'!$AM33+'TUSD CVA'!$AM33</f>
        <v>417.58832886049538</v>
      </c>
      <c r="AY33" s="9">
        <v>310.49</v>
      </c>
      <c r="AZ33" s="9">
        <f t="shared" ca="1" si="6"/>
        <v>-107.09832886049537</v>
      </c>
      <c r="BC33" s="54" t="s">
        <v>1124</v>
      </c>
    </row>
    <row r="34" spans="1:55" ht="11.25" customHeight="1" x14ac:dyDescent="0.25">
      <c r="A34" s="149"/>
      <c r="B34" s="149" t="s">
        <v>50</v>
      </c>
      <c r="C34" s="149" t="s">
        <v>42</v>
      </c>
      <c r="D34" s="149" t="s">
        <v>90</v>
      </c>
      <c r="E34" s="149" t="s">
        <v>25</v>
      </c>
      <c r="F34" s="149" t="s">
        <v>25</v>
      </c>
      <c r="G34" s="57" t="s">
        <v>75</v>
      </c>
      <c r="H34" s="57" t="s">
        <v>74</v>
      </c>
      <c r="I34" s="57">
        <f>'MERCADO TUSD'!$U$31</f>
        <v>0</v>
      </c>
      <c r="J34" s="15"/>
      <c r="L34" s="31">
        <f>'TUSD BE'!$L$34*'TUSD BE'!$L$58</f>
        <v>0</v>
      </c>
      <c r="M34" s="31">
        <f>'TUSD BE'!$M$34*'TUSD BE'!$M$58</f>
        <v>-3.0650909416479716E-2</v>
      </c>
      <c r="N34" s="31">
        <f ca="1">'TUSD BE'!$N$34*'TUSD BE'!$N$58</f>
        <v>-3.827111494442146E-5</v>
      </c>
      <c r="O34" s="31">
        <f>'TUSD BE'!$O$34*'TUSD BE'!$O$58</f>
        <v>0</v>
      </c>
      <c r="P34" s="31">
        <f>'TUSD BE'!$P$34*'TUSD BE'!$P$58</f>
        <v>0</v>
      </c>
      <c r="Q34" s="31">
        <f>'TUSD BE'!$Q$34*'TUSD BE'!$Q$58</f>
        <v>-2.7343580102382514</v>
      </c>
      <c r="R34" s="31">
        <f>'TUSD BE'!$R$34*'TUSD BE'!$R$58</f>
        <v>-0.47097951775238756</v>
      </c>
      <c r="S34" s="31">
        <f>'TUSD BE'!$R$34*'TUSD BE'!$S$58</f>
        <v>0</v>
      </c>
      <c r="T34" s="31">
        <f ca="1">SUM($L$34:$S$34)</f>
        <v>-3.2360267085220631</v>
      </c>
      <c r="U34" s="31">
        <f>'TUSD BE'!$U$34*'TUSD BE'!$U$58</f>
        <v>0</v>
      </c>
      <c r="V34" s="31">
        <f>'TUSD BE'!$V$34*'TUSD BE'!$V$58</f>
        <v>0</v>
      </c>
      <c r="W34" s="31">
        <f>'TUSD BE'!$W$34*'TUSD BE'!$W$58</f>
        <v>0</v>
      </c>
      <c r="X34" s="31">
        <f>'TUSD BE'!$X$34*'TUSD BE'!$X$58</f>
        <v>0</v>
      </c>
      <c r="Y34" s="31">
        <f>'TUSD BE'!$Y$34*'TUSD BE'!$Y$58</f>
        <v>1.2344499592521916</v>
      </c>
      <c r="Z34" s="31">
        <f>'TUSD BE'!$Z$34*'TUSD BE'!$Z$58</f>
        <v>0</v>
      </c>
      <c r="AA34" s="31">
        <f>'TUSD BE'!$AA$34*'TUSD BE'!$AA$58</f>
        <v>0</v>
      </c>
      <c r="AB34" s="31">
        <f>SUM($U$34:$AA$34)</f>
        <v>1.2344499592521916</v>
      </c>
      <c r="AC34" s="31">
        <f>'TUSD BE'!$AC$34*'TUSD BE'!$AC$58</f>
        <v>-6.5055751767780148</v>
      </c>
      <c r="AD34" s="31">
        <f>SUM($AC$34:$AC$34)</f>
        <v>-6.5055751767780148</v>
      </c>
      <c r="AE34" s="31">
        <f ca="1">$AO$34*$AO$55</f>
        <v>0</v>
      </c>
      <c r="AF34" s="31">
        <f ca="1">$AP$34*$AP$55</f>
        <v>0</v>
      </c>
      <c r="AG34" s="31">
        <f ca="1">SUM($AE$34:$AF$34)</f>
        <v>0</v>
      </c>
      <c r="AH34" s="31">
        <f>'TUSD BE'!$AH$34*'TUSD BE'!$AH$58</f>
        <v>1.3126368552728811</v>
      </c>
      <c r="AI34" s="31">
        <f>'TUSD BE'!$AI$34*'TUSD BE'!$AI$58</f>
        <v>2.8399850394202356E-2</v>
      </c>
      <c r="AJ34" s="31">
        <f ca="1">'TUSD BE'!$AJ$34*'TUSD BE'!$AJ$58</f>
        <v>2.2743288755253759E-2</v>
      </c>
      <c r="AK34" s="31">
        <f ca="1">'TUSD BE'!$AK$34*'TUSD BE'!$AK$58</f>
        <v>3.7620352974175937E-2</v>
      </c>
      <c r="AL34" s="31">
        <f ca="1">SUM($AH$34:$AK$34)</f>
        <v>1.4014003473965131</v>
      </c>
      <c r="AM34" s="31">
        <f ca="1">SUMIF($L$4:$AL$4,"SUBTOTAL",$L$34:$AL$34)+AZ34</f>
        <v>-383.52718559459379</v>
      </c>
      <c r="AO34" s="59">
        <f ca="1">+'TUSD BE'!$T$34+'TUSD BE'!$AB$34+'TUSD BE'!$AD$34+'TUSD BE'!$AL$34</f>
        <v>969.24064644711382</v>
      </c>
      <c r="AP34" s="59">
        <f ca="1">+'TUSD BE'!$T$34+'TUSD BE'!$AB$34+'TUSD BE'!$AD$34+'TUSD BE'!$AL$34</f>
        <v>969.24064644711382</v>
      </c>
      <c r="AQ34" s="9" t="str">
        <f t="shared" si="0"/>
        <v>B2</v>
      </c>
      <c r="AR34" s="9" t="str">
        <f t="shared" si="1"/>
        <v>Branca</v>
      </c>
      <c r="AS34" s="9" t="str">
        <f t="shared" si="2"/>
        <v>Rural</v>
      </c>
      <c r="AT34" s="9" t="str">
        <f t="shared" si="3"/>
        <v>Cooperativa de eletrificação rural</v>
      </c>
      <c r="AU34" s="9" t="str">
        <f t="shared" si="4"/>
        <v>Não se aplica</v>
      </c>
      <c r="AV34" s="9">
        <f t="shared" si="5"/>
        <v>1</v>
      </c>
      <c r="AW34" s="9">
        <f ca="1">TarifaMedia!$G$20</f>
        <v>1</v>
      </c>
      <c r="AX34" s="15">
        <f ca="1">'TUSD BE'!$AM34+'TUSD BF'!$AM34+'TUSD CVA'!$AM34</f>
        <v>986.4114340159424</v>
      </c>
      <c r="AY34" s="9">
        <f>ROUND(573.39/(1-CUSTOS!$M$38),2)</f>
        <v>609.99</v>
      </c>
      <c r="AZ34" s="9">
        <f t="shared" ca="1" si="6"/>
        <v>-376.4214340159424</v>
      </c>
      <c r="BC34" s="54" t="s">
        <v>1128</v>
      </c>
    </row>
    <row r="35" spans="1:55" ht="11.25" customHeight="1" x14ac:dyDescent="0.25">
      <c r="A35" s="149"/>
      <c r="B35" s="149"/>
      <c r="C35" s="149"/>
      <c r="D35" s="149"/>
      <c r="E35" s="149"/>
      <c r="F35" s="149"/>
      <c r="G35" s="57" t="s">
        <v>87</v>
      </c>
      <c r="H35" s="57" t="s">
        <v>74</v>
      </c>
      <c r="I35" s="57">
        <f>'MERCADO TUSD'!$U$32</f>
        <v>0</v>
      </c>
      <c r="J35" s="15"/>
      <c r="L35" s="31">
        <f>'TUSD BE'!$L$35*'TUSD BE'!$L$58</f>
        <v>0</v>
      </c>
      <c r="M35" s="31">
        <f>'TUSD BE'!$M$35*'TUSD BE'!$M$58</f>
        <v>-3.0650909416479716E-2</v>
      </c>
      <c r="N35" s="31">
        <f ca="1">'TUSD BE'!$N$35*'TUSD BE'!$N$58</f>
        <v>-2.3852869658632398E-5</v>
      </c>
      <c r="O35" s="31">
        <f>'TUSD BE'!$O$35*'TUSD BE'!$O$58</f>
        <v>0</v>
      </c>
      <c r="P35" s="31">
        <f>'TUSD BE'!$P$35*'TUSD BE'!$P$58</f>
        <v>0</v>
      </c>
      <c r="Q35" s="31">
        <f>'TUSD BE'!$Q$35*'TUSD BE'!$Q$58</f>
        <v>-2.7343580102382514</v>
      </c>
      <c r="R35" s="31">
        <f>'TUSD BE'!$R$35*'TUSD BE'!$R$58</f>
        <v>-0.47097951775238756</v>
      </c>
      <c r="S35" s="31">
        <f>'TUSD BE'!$R$35*'TUSD BE'!$S$58</f>
        <v>0</v>
      </c>
      <c r="T35" s="31">
        <f ca="1">SUM($L$35:$S$35)</f>
        <v>-3.2360122902767774</v>
      </c>
      <c r="U35" s="31">
        <f>'TUSD BE'!$U$35*'TUSD BE'!$U$58</f>
        <v>0</v>
      </c>
      <c r="V35" s="31">
        <f>'TUSD BE'!$V$35*'TUSD BE'!$V$58</f>
        <v>0</v>
      </c>
      <c r="W35" s="31">
        <f>'TUSD BE'!$W$35*'TUSD BE'!$W$58</f>
        <v>0</v>
      </c>
      <c r="X35" s="31">
        <f>'TUSD BE'!$X$35*'TUSD BE'!$X$58</f>
        <v>0</v>
      </c>
      <c r="Y35" s="31">
        <f>'TUSD BE'!$Y$35*'TUSD BE'!$Y$58</f>
        <v>0.7406699755513152</v>
      </c>
      <c r="Z35" s="31">
        <f>'TUSD BE'!$Z$35*'TUSD BE'!$Z$58</f>
        <v>0</v>
      </c>
      <c r="AA35" s="31">
        <f>'TUSD BE'!$AA$35*'TUSD BE'!$AA$58</f>
        <v>0</v>
      </c>
      <c r="AB35" s="31">
        <f>SUM($U$35:$AA$35)</f>
        <v>0.7406699755513152</v>
      </c>
      <c r="AC35" s="31">
        <f>'TUSD BE'!$AC$35*'TUSD BE'!$AC$58</f>
        <v>-3.9033453662438689</v>
      </c>
      <c r="AD35" s="31">
        <f>SUM($AC$35:$AC$35)</f>
        <v>-3.9033453662438689</v>
      </c>
      <c r="AE35" s="31">
        <f ca="1">$AO$35*$AO$55</f>
        <v>0</v>
      </c>
      <c r="AF35" s="31">
        <f ca="1">$AP$35*$AP$55</f>
        <v>0</v>
      </c>
      <c r="AG35" s="31">
        <f ca="1">SUM($AE$35:$AF$35)</f>
        <v>0</v>
      </c>
      <c r="AH35" s="31">
        <f>'TUSD BE'!$AH$35*'TUSD BE'!$AH$58</f>
        <v>1.3126368552728811</v>
      </c>
      <c r="AI35" s="31">
        <f>'TUSD BE'!$AI$35*'TUSD BE'!$AI$58</f>
        <v>2.8399850394202356E-2</v>
      </c>
      <c r="AJ35" s="31">
        <f ca="1">'TUSD BE'!$AJ$35*'TUSD BE'!$AJ$58</f>
        <v>2.2743288755253759E-2</v>
      </c>
      <c r="AK35" s="31">
        <f ca="1">'TUSD BE'!$AK$35*'TUSD BE'!$AK$58</f>
        <v>3.7620352974175937E-2</v>
      </c>
      <c r="AL35" s="31">
        <f ca="1">SUM($AH$35:$AK$35)</f>
        <v>1.4014003473965131</v>
      </c>
      <c r="AM35" s="31">
        <f ca="1">SUMIF($L$4:$AL$4,"SUBTOTAL",$L$35:$AL$35)+AZ35</f>
        <v>-226.77222147385126</v>
      </c>
      <c r="AO35" s="59">
        <f ca="1">+'TUSD BE'!$T$35+'TUSD BE'!$AB$35+'TUSD BE'!$AD$35+'TUSD BE'!$AL$35</f>
        <v>631.25568232637124</v>
      </c>
      <c r="AP35" s="59">
        <f ca="1">+'TUSD BE'!$T$35+'TUSD BE'!$AB$35+'TUSD BE'!$AD$35+'TUSD BE'!$AL$35</f>
        <v>631.25568232637124</v>
      </c>
      <c r="AQ35" s="9" t="str">
        <f t="shared" si="0"/>
        <v>B2</v>
      </c>
      <c r="AR35" s="9" t="str">
        <f t="shared" si="1"/>
        <v>Branca</v>
      </c>
      <c r="AS35" s="9" t="str">
        <f t="shared" si="2"/>
        <v>Rural</v>
      </c>
      <c r="AT35" s="9" t="str">
        <f t="shared" si="3"/>
        <v>Cooperativa de eletrificação rural</v>
      </c>
      <c r="AU35" s="9" t="str">
        <f t="shared" si="4"/>
        <v>Não se aplica</v>
      </c>
      <c r="AV35" s="9">
        <f t="shared" si="5"/>
        <v>1</v>
      </c>
      <c r="AW35" s="9">
        <f ca="1">TarifaMedia!$G$20</f>
        <v>1</v>
      </c>
      <c r="AX35" s="15">
        <f ca="1">'TUSD BE'!$AM35+'TUSD BF'!$AM35+'TUSD CVA'!$AM35</f>
        <v>650.53493414027844</v>
      </c>
      <c r="AY35" s="9">
        <f>ROUND(403.03/(1-CUSTOS!$M$38),2)</f>
        <v>428.76</v>
      </c>
      <c r="AZ35" s="9">
        <f t="shared" ca="1" si="6"/>
        <v>-221.77493414027845</v>
      </c>
      <c r="BC35" s="54" t="s">
        <v>1129</v>
      </c>
    </row>
    <row r="36" spans="1:55" ht="11.25" customHeight="1" x14ac:dyDescent="0.25">
      <c r="A36" s="149"/>
      <c r="B36" s="149"/>
      <c r="C36" s="149"/>
      <c r="D36" s="149"/>
      <c r="E36" s="149"/>
      <c r="F36" s="149"/>
      <c r="G36" s="57" t="s">
        <v>76</v>
      </c>
      <c r="H36" s="57" t="s">
        <v>74</v>
      </c>
      <c r="I36" s="57">
        <f>'MERCADO TUSD'!$U$33</f>
        <v>0</v>
      </c>
      <c r="J36" s="15"/>
      <c r="L36" s="31">
        <f>'TUSD BE'!$L$36*'TUSD BE'!$L$58</f>
        <v>0</v>
      </c>
      <c r="M36" s="31">
        <f>'TUSD BE'!$M$36*'TUSD BE'!$M$58</f>
        <v>-3.0650909416479716E-2</v>
      </c>
      <c r="N36" s="31">
        <f ca="1">'TUSD BE'!$N$36*'TUSD BE'!$N$58</f>
        <v>-9.4346243728433189E-6</v>
      </c>
      <c r="O36" s="31">
        <f>'TUSD BE'!$O$36*'TUSD BE'!$O$58</f>
        <v>0</v>
      </c>
      <c r="P36" s="31">
        <f>'TUSD BE'!$P$36*'TUSD BE'!$P$58</f>
        <v>0</v>
      </c>
      <c r="Q36" s="31">
        <f>'TUSD BE'!$Q$36*'TUSD BE'!$Q$58</f>
        <v>-2.7343580102382514</v>
      </c>
      <c r="R36" s="31">
        <f>'TUSD BE'!$R$36*'TUSD BE'!$R$58</f>
        <v>-0.47097951775238756</v>
      </c>
      <c r="S36" s="31">
        <f>'TUSD BE'!$R$36*'TUSD BE'!$S$58</f>
        <v>0</v>
      </c>
      <c r="T36" s="31">
        <f ca="1">SUM($L$36:$S$36)</f>
        <v>-3.2359978720314913</v>
      </c>
      <c r="U36" s="31">
        <f>'TUSD BE'!$U$36*'TUSD BE'!$U$58</f>
        <v>0</v>
      </c>
      <c r="V36" s="31">
        <f>'TUSD BE'!$V$36*'TUSD BE'!$V$58</f>
        <v>0</v>
      </c>
      <c r="W36" s="31">
        <f>'TUSD BE'!$W$36*'TUSD BE'!$W$58</f>
        <v>0</v>
      </c>
      <c r="X36" s="31">
        <f>'TUSD BE'!$X$36*'TUSD BE'!$X$58</f>
        <v>0</v>
      </c>
      <c r="Y36" s="31">
        <f>'TUSD BE'!$Y$36*'TUSD BE'!$Y$58</f>
        <v>0.24688999185043836</v>
      </c>
      <c r="Z36" s="31">
        <f>'TUSD BE'!$Z$36*'TUSD BE'!$Z$58</f>
        <v>0</v>
      </c>
      <c r="AA36" s="31">
        <f>'TUSD BE'!$AA$36*'TUSD BE'!$AA$58</f>
        <v>0</v>
      </c>
      <c r="AB36" s="31">
        <f>SUM($U$36:$AA$36)</f>
        <v>0.24688999185043836</v>
      </c>
      <c r="AC36" s="31">
        <f>'TUSD BE'!$AC$36*'TUSD BE'!$AC$58</f>
        <v>-1.3011155557097227</v>
      </c>
      <c r="AD36" s="31">
        <f>SUM($AC$36:$AC$36)</f>
        <v>-1.3011155557097227</v>
      </c>
      <c r="AE36" s="31">
        <f ca="1">$AO$36*$AO$55</f>
        <v>0</v>
      </c>
      <c r="AF36" s="31">
        <f ca="1">$AP$36*$AP$55</f>
        <v>0</v>
      </c>
      <c r="AG36" s="31">
        <f ca="1">SUM($AE$36:$AF$36)</f>
        <v>0</v>
      </c>
      <c r="AH36" s="31">
        <f>'TUSD BE'!$AH$36*'TUSD BE'!$AH$58</f>
        <v>1.3126368552728811</v>
      </c>
      <c r="AI36" s="31">
        <f>'TUSD BE'!$AI$36*'TUSD BE'!$AI$58</f>
        <v>2.8399850394202356E-2</v>
      </c>
      <c r="AJ36" s="31">
        <f ca="1">'TUSD BE'!$AJ$36*'TUSD BE'!$AJ$58</f>
        <v>2.2743288755253759E-2</v>
      </c>
      <c r="AK36" s="31">
        <f ca="1">'TUSD BE'!$AK$36*'TUSD BE'!$AK$58</f>
        <v>3.7620352974175937E-2</v>
      </c>
      <c r="AL36" s="31">
        <f ca="1">SUM($AH$36:$AK$36)</f>
        <v>1.4014003473965131</v>
      </c>
      <c r="AM36" s="31">
        <f ca="1">SUMIF($L$4:$AL$4,"SUBTOTAL",$L$36:$AL$36)+AZ36</f>
        <v>-70.037257353108402</v>
      </c>
      <c r="AO36" s="59">
        <f ca="1">+'TUSD BE'!$T$36+'TUSD BE'!$AB$36+'TUSD BE'!$AD$36+'TUSD BE'!$AL$36</f>
        <v>293.27071820562838</v>
      </c>
      <c r="AP36" s="59">
        <f ca="1">+'TUSD BE'!$T$36+'TUSD BE'!$AB$36+'TUSD BE'!$AD$36+'TUSD BE'!$AL$36</f>
        <v>293.27071820562838</v>
      </c>
      <c r="AQ36" s="9" t="str">
        <f t="shared" si="0"/>
        <v>B2</v>
      </c>
      <c r="AR36" s="9" t="str">
        <f t="shared" si="1"/>
        <v>Branca</v>
      </c>
      <c r="AS36" s="9" t="str">
        <f t="shared" si="2"/>
        <v>Rural</v>
      </c>
      <c r="AT36" s="9" t="str">
        <f t="shared" si="3"/>
        <v>Cooperativa de eletrificação rural</v>
      </c>
      <c r="AU36" s="9" t="str">
        <f t="shared" si="4"/>
        <v>Não se aplica</v>
      </c>
      <c r="AV36" s="9">
        <f t="shared" si="5"/>
        <v>1</v>
      </c>
      <c r="AW36" s="9">
        <f ca="1">TarifaMedia!$G$20</f>
        <v>1</v>
      </c>
      <c r="AX36" s="15">
        <f ca="1">'TUSD BE'!$AM36+'TUSD BF'!$AM36+'TUSD CVA'!$AM36</f>
        <v>314.65843426461413</v>
      </c>
      <c r="AY36" s="9">
        <f>ROUND(232.66/(1-CUSTOS!$M$38),2)</f>
        <v>247.51</v>
      </c>
      <c r="AZ36" s="9">
        <f t="shared" ca="1" si="6"/>
        <v>-67.148434264614139</v>
      </c>
      <c r="BC36" s="54" t="s">
        <v>1130</v>
      </c>
    </row>
    <row r="37" spans="1:55" ht="11.25" customHeight="1" x14ac:dyDescent="0.25">
      <c r="A37" s="149"/>
      <c r="B37" s="56" t="s">
        <v>23</v>
      </c>
      <c r="C37" s="56" t="s">
        <v>42</v>
      </c>
      <c r="D37" s="56" t="s">
        <v>90</v>
      </c>
      <c r="E37" s="56" t="s">
        <v>25</v>
      </c>
      <c r="F37" s="56" t="s">
        <v>25</v>
      </c>
      <c r="G37" s="57" t="s">
        <v>78</v>
      </c>
      <c r="H37" s="57" t="s">
        <v>74</v>
      </c>
      <c r="I37" s="57">
        <f>'MERCADO TUSD'!$U$34</f>
        <v>0</v>
      </c>
      <c r="J37" s="15"/>
      <c r="L37" s="31">
        <f>'TUSD BE'!$L$37*'TUSD BE'!$L$58</f>
        <v>0</v>
      </c>
      <c r="M37" s="31">
        <f>'TUSD BE'!$M$37*'TUSD BE'!$M$58</f>
        <v>-3.0650909416479716E-2</v>
      </c>
      <c r="N37" s="31">
        <f ca="1">'TUSD BE'!$N$37*'TUSD BE'!$N$58</f>
        <v>-1.3853118672125327E-5</v>
      </c>
      <c r="O37" s="31">
        <f>'TUSD BE'!$O$37*'TUSD BE'!$O$58</f>
        <v>0</v>
      </c>
      <c r="P37" s="31">
        <f>'TUSD BE'!$P$37*'TUSD BE'!$P$58</f>
        <v>0</v>
      </c>
      <c r="Q37" s="31">
        <f>'TUSD BE'!$Q$37*'TUSD BE'!$Q$58</f>
        <v>-2.7343580102382514</v>
      </c>
      <c r="R37" s="31">
        <f>'TUSD BE'!$R$37*'TUSD BE'!$R$58</f>
        <v>-0.47097951775238756</v>
      </c>
      <c r="S37" s="31">
        <f>'TUSD BE'!$R$37*'TUSD BE'!$S$58</f>
        <v>0</v>
      </c>
      <c r="T37" s="31">
        <f ca="1">SUM($L$37:$S$37)</f>
        <v>-3.2360022905257906</v>
      </c>
      <c r="U37" s="31">
        <f>'TUSD BE'!$U$37*'TUSD BE'!$U$58</f>
        <v>0</v>
      </c>
      <c r="V37" s="31">
        <f>'TUSD BE'!$V$37*'TUSD BE'!$V$58</f>
        <v>0</v>
      </c>
      <c r="W37" s="31">
        <f>'TUSD BE'!$W$37*'TUSD BE'!$W$58</f>
        <v>0</v>
      </c>
      <c r="X37" s="31">
        <f>'TUSD BE'!$X$37*'TUSD BE'!$X$58</f>
        <v>0</v>
      </c>
      <c r="Y37" s="31">
        <f>'TUSD BE'!$Y$37*'TUSD BE'!$Y$58</f>
        <v>0.39820982110424452</v>
      </c>
      <c r="Z37" s="31">
        <f>'TUSD BE'!$Z$37*'TUSD BE'!$Z$58</f>
        <v>0</v>
      </c>
      <c r="AA37" s="31">
        <f>'TUSD BE'!$AA$37*'TUSD BE'!$AA$58</f>
        <v>0</v>
      </c>
      <c r="AB37" s="31">
        <f>SUM($U$37:$AA$37)</f>
        <v>0.39820982110424452</v>
      </c>
      <c r="AC37" s="31">
        <f>'TUSD BE'!$AC$37*'TUSD BE'!$AC$58</f>
        <v>-2.0985725537422435</v>
      </c>
      <c r="AD37" s="31">
        <f>SUM($AC$37:$AC$37)</f>
        <v>-2.0985725537422435</v>
      </c>
      <c r="AE37" s="31">
        <f ca="1">$AO$37*$AO$55</f>
        <v>0</v>
      </c>
      <c r="AF37" s="31">
        <f ca="1">$AP$37*$AP$55</f>
        <v>0</v>
      </c>
      <c r="AG37" s="31">
        <f ca="1">SUM($AE$37:$AF$37)</f>
        <v>0</v>
      </c>
      <c r="AH37" s="31">
        <f>'TUSD BE'!$AH$37*'TUSD BE'!$AH$58</f>
        <v>1.3126368552728811</v>
      </c>
      <c r="AI37" s="31">
        <f>'TUSD BE'!$AI$37*'TUSD BE'!$AI$58</f>
        <v>2.8399850394202356E-2</v>
      </c>
      <c r="AJ37" s="31">
        <f ca="1">'TUSD BE'!$AJ$37*'TUSD BE'!$AJ$58</f>
        <v>2.2743288755253759E-2</v>
      </c>
      <c r="AK37" s="31">
        <f ca="1">'TUSD BE'!$AK$37*'TUSD BE'!$AK$58</f>
        <v>3.7620352974175937E-2</v>
      </c>
      <c r="AL37" s="31">
        <f ca="1">SUM($AH$37:$AK$37)</f>
        <v>1.4014003473965131</v>
      </c>
      <c r="AM37" s="31">
        <f ca="1">SUMIF($L$4:$AL$4,"SUBTOTAL",$L$37:$AL$37)+AZ37</f>
        <v>-110.63329353626264</v>
      </c>
      <c r="AO37" s="59">
        <f ca="1">+'TUSD BE'!$T$37+'TUSD BE'!$AB$37+'TUSD BE'!$AD$37+'TUSD BE'!$AL$37</f>
        <v>396.8467543887827</v>
      </c>
      <c r="AP37" s="59">
        <f ca="1">+'TUSD BE'!$T$37+'TUSD BE'!$AB$37+'TUSD BE'!$AD$37+'TUSD BE'!$AL$37</f>
        <v>396.8467543887827</v>
      </c>
      <c r="AQ37" s="9" t="str">
        <f t="shared" si="0"/>
        <v>B2</v>
      </c>
      <c r="AR37" s="9" t="str">
        <f t="shared" si="1"/>
        <v>Convencional</v>
      </c>
      <c r="AS37" s="9" t="str">
        <f t="shared" si="2"/>
        <v>Rural</v>
      </c>
      <c r="AT37" s="9" t="str">
        <f t="shared" si="3"/>
        <v>Cooperativa de eletrificação rural</v>
      </c>
      <c r="AU37" s="9" t="str">
        <f t="shared" si="4"/>
        <v>Não se aplica</v>
      </c>
      <c r="AV37" s="9">
        <f t="shared" si="5"/>
        <v>1</v>
      </c>
      <c r="AW37" s="9">
        <f ca="1">TarifaMedia!$G$20</f>
        <v>1</v>
      </c>
      <c r="AX37" s="15">
        <f ca="1">'TUSD BE'!$AM37+'TUSD BF'!$AM37+'TUSD CVA'!$AM37</f>
        <v>417.58832886049538</v>
      </c>
      <c r="AY37" s="9">
        <v>310.49</v>
      </c>
      <c r="AZ37" s="9">
        <f t="shared" ca="1" si="6"/>
        <v>-107.09832886049537</v>
      </c>
      <c r="BC37" s="54" t="s">
        <v>1124</v>
      </c>
    </row>
    <row r="38" spans="1:55" ht="11.25" customHeight="1" x14ac:dyDescent="0.25">
      <c r="A38" s="149"/>
      <c r="B38" s="149" t="s">
        <v>50</v>
      </c>
      <c r="C38" s="149" t="s">
        <v>42</v>
      </c>
      <c r="D38" s="149" t="s">
        <v>91</v>
      </c>
      <c r="E38" s="149" t="s">
        <v>25</v>
      </c>
      <c r="F38" s="149" t="s">
        <v>25</v>
      </c>
      <c r="G38" s="57" t="s">
        <v>75</v>
      </c>
      <c r="H38" s="57" t="s">
        <v>74</v>
      </c>
      <c r="I38" s="57">
        <f>'MERCADO TUSD'!$U$35</f>
        <v>0</v>
      </c>
      <c r="J38" s="15"/>
      <c r="L38" s="31">
        <f>'TUSD BE'!$L$38*'TUSD BE'!$L$58</f>
        <v>0</v>
      </c>
      <c r="M38" s="31">
        <f>'TUSD BE'!$M$38*'TUSD BE'!$M$58</f>
        <v>-3.0650909416479716E-2</v>
      </c>
      <c r="N38" s="31">
        <f ca="1">'TUSD BE'!$N$38*'TUSD BE'!$N$58</f>
        <v>-3.827111494442146E-5</v>
      </c>
      <c r="O38" s="31">
        <f>'TUSD BE'!$O$38*'TUSD BE'!$O$58</f>
        <v>0</v>
      </c>
      <c r="P38" s="31">
        <f>'TUSD BE'!$P$38*'TUSD BE'!$P$58</f>
        <v>0</v>
      </c>
      <c r="Q38" s="31">
        <f>'TUSD BE'!$Q$38*'TUSD BE'!$Q$58</f>
        <v>-2.7343580102382514</v>
      </c>
      <c r="R38" s="31">
        <f>'TUSD BE'!$R$38*'TUSD BE'!$R$58</f>
        <v>-0.47097951775238756</v>
      </c>
      <c r="S38" s="31">
        <f>'TUSD BE'!$R$38*'TUSD BE'!$S$58</f>
        <v>0</v>
      </c>
      <c r="T38" s="31">
        <f ca="1">SUM($L$38:$S$38)</f>
        <v>-3.2360267085220631</v>
      </c>
      <c r="U38" s="31">
        <f>'TUSD BE'!$U$38*'TUSD BE'!$U$58</f>
        <v>0</v>
      </c>
      <c r="V38" s="31">
        <f>'TUSD BE'!$V$38*'TUSD BE'!$V$58</f>
        <v>0</v>
      </c>
      <c r="W38" s="31">
        <f>'TUSD BE'!$W$38*'TUSD BE'!$W$58</f>
        <v>0</v>
      </c>
      <c r="X38" s="31">
        <f>'TUSD BE'!$X$38*'TUSD BE'!$X$58</f>
        <v>0</v>
      </c>
      <c r="Y38" s="31">
        <f>'TUSD BE'!$Y$38*'TUSD BE'!$Y$58</f>
        <v>1.2344499592521916</v>
      </c>
      <c r="Z38" s="31">
        <f>'TUSD BE'!$Z$38*'TUSD BE'!$Z$58</f>
        <v>0</v>
      </c>
      <c r="AA38" s="31">
        <f>'TUSD BE'!$AA$38*'TUSD BE'!$AA$58</f>
        <v>0</v>
      </c>
      <c r="AB38" s="31">
        <f>SUM($U$38:$AA$38)</f>
        <v>1.2344499592521916</v>
      </c>
      <c r="AC38" s="31">
        <f>'TUSD BE'!$AC$38*'TUSD BE'!$AC$58</f>
        <v>-6.5055751767780148</v>
      </c>
      <c r="AD38" s="31">
        <f>SUM($AC$38:$AC$38)</f>
        <v>-6.5055751767780148</v>
      </c>
      <c r="AE38" s="31">
        <f ca="1">$AO$38*$AO$55</f>
        <v>0</v>
      </c>
      <c r="AF38" s="31">
        <f ca="1">$AP$38*$AP$55</f>
        <v>0</v>
      </c>
      <c r="AG38" s="31">
        <f ca="1">SUM($AE$38:$AF$38)</f>
        <v>0</v>
      </c>
      <c r="AH38" s="31">
        <f>'TUSD BE'!$AH$38*'TUSD BE'!$AH$58</f>
        <v>1.3126368552728811</v>
      </c>
      <c r="AI38" s="31">
        <f>'TUSD BE'!$AI$38*'TUSD BE'!$AI$58</f>
        <v>2.8399850394202356E-2</v>
      </c>
      <c r="AJ38" s="31">
        <f ca="1">'TUSD BE'!$AJ$38*'TUSD BE'!$AJ$58</f>
        <v>2.2743288755253759E-2</v>
      </c>
      <c r="AK38" s="31">
        <f ca="1">'TUSD BE'!$AK$38*'TUSD BE'!$AK$58</f>
        <v>3.7620352974175937E-2</v>
      </c>
      <c r="AL38" s="31">
        <f ca="1">SUM($AH$38:$AK$38)</f>
        <v>1.4014003473965131</v>
      </c>
      <c r="AM38" s="31">
        <f ca="1">SUMIF($L$4:$AL$4,"SUBTOTAL",$L$38:$AL$38)+AZ38</f>
        <v>-383.52718559459379</v>
      </c>
      <c r="AO38" s="59">
        <f ca="1">+'TUSD BE'!$T$38+'TUSD BE'!$AB$38+'TUSD BE'!$AD$38+'TUSD BE'!$AL$38</f>
        <v>969.24064644711382</v>
      </c>
      <c r="AP38" s="59">
        <f ca="1">+'TUSD BE'!$T$38+'TUSD BE'!$AB$38+'TUSD BE'!$AD$38+'TUSD BE'!$AL$38</f>
        <v>969.24064644711382</v>
      </c>
      <c r="AQ38" s="9" t="str">
        <f t="shared" si="0"/>
        <v>B2</v>
      </c>
      <c r="AR38" s="9" t="str">
        <f t="shared" si="1"/>
        <v>Branca</v>
      </c>
      <c r="AS38" s="9" t="str">
        <f t="shared" si="2"/>
        <v>Rural</v>
      </c>
      <c r="AT38" s="9" t="str">
        <f t="shared" si="3"/>
        <v>Serviço público de irrigação rural</v>
      </c>
      <c r="AU38" s="9" t="str">
        <f t="shared" si="4"/>
        <v>Não se aplica</v>
      </c>
      <c r="AV38" s="9">
        <f t="shared" si="5"/>
        <v>1</v>
      </c>
      <c r="AW38" s="9">
        <f ca="1">TarifaMedia!$G$20</f>
        <v>1</v>
      </c>
      <c r="AX38" s="15">
        <f ca="1">'TUSD BE'!$AM38+'TUSD BF'!$AM38+'TUSD CVA'!$AM38</f>
        <v>986.4114340159424</v>
      </c>
      <c r="AY38" s="9">
        <f>ROUND(573.39/(1-CUSTOS!$M$38),2)</f>
        <v>609.99</v>
      </c>
      <c r="AZ38" s="9">
        <f t="shared" ca="1" si="6"/>
        <v>-376.4214340159424</v>
      </c>
      <c r="BC38" s="54" t="s">
        <v>1128</v>
      </c>
    </row>
    <row r="39" spans="1:55" ht="11.25" customHeight="1" x14ac:dyDescent="0.25">
      <c r="A39" s="149"/>
      <c r="B39" s="149"/>
      <c r="C39" s="149"/>
      <c r="D39" s="149"/>
      <c r="E39" s="149"/>
      <c r="F39" s="149"/>
      <c r="G39" s="57" t="s">
        <v>87</v>
      </c>
      <c r="H39" s="57" t="s">
        <v>74</v>
      </c>
      <c r="I39" s="57">
        <f>'MERCADO TUSD'!$U$36</f>
        <v>0</v>
      </c>
      <c r="J39" s="15"/>
      <c r="L39" s="31">
        <f>'TUSD BE'!$L$39*'TUSD BE'!$L$58</f>
        <v>0</v>
      </c>
      <c r="M39" s="31">
        <f>'TUSD BE'!$M$39*'TUSD BE'!$M$58</f>
        <v>-3.0650909416479716E-2</v>
      </c>
      <c r="N39" s="31">
        <f ca="1">'TUSD BE'!$N$39*'TUSD BE'!$N$58</f>
        <v>-2.3852869658632398E-5</v>
      </c>
      <c r="O39" s="31">
        <f>'TUSD BE'!$O$39*'TUSD BE'!$O$58</f>
        <v>0</v>
      </c>
      <c r="P39" s="31">
        <f>'TUSD BE'!$P$39*'TUSD BE'!$P$58</f>
        <v>0</v>
      </c>
      <c r="Q39" s="31">
        <f>'TUSD BE'!$Q$39*'TUSD BE'!$Q$58</f>
        <v>-2.7343580102382514</v>
      </c>
      <c r="R39" s="31">
        <f>'TUSD BE'!$R$39*'TUSD BE'!$R$58</f>
        <v>-0.47097951775238756</v>
      </c>
      <c r="S39" s="31">
        <f>'TUSD BE'!$R$39*'TUSD BE'!$S$58</f>
        <v>0</v>
      </c>
      <c r="T39" s="31">
        <f ca="1">SUM($L$39:$S$39)</f>
        <v>-3.2360122902767774</v>
      </c>
      <c r="U39" s="31">
        <f>'TUSD BE'!$U$39*'TUSD BE'!$U$58</f>
        <v>0</v>
      </c>
      <c r="V39" s="31">
        <f>'TUSD BE'!$V$39*'TUSD BE'!$V$58</f>
        <v>0</v>
      </c>
      <c r="W39" s="31">
        <f>'TUSD BE'!$W$39*'TUSD BE'!$W$58</f>
        <v>0</v>
      </c>
      <c r="X39" s="31">
        <f>'TUSD BE'!$X$39*'TUSD BE'!$X$58</f>
        <v>0</v>
      </c>
      <c r="Y39" s="31">
        <f>'TUSD BE'!$Y$39*'TUSD BE'!$Y$58</f>
        <v>0.7406699755513152</v>
      </c>
      <c r="Z39" s="31">
        <f>'TUSD BE'!$Z$39*'TUSD BE'!$Z$58</f>
        <v>0</v>
      </c>
      <c r="AA39" s="31">
        <f>'TUSD BE'!$AA$39*'TUSD BE'!$AA$58</f>
        <v>0</v>
      </c>
      <c r="AB39" s="31">
        <f>SUM($U$39:$AA$39)</f>
        <v>0.7406699755513152</v>
      </c>
      <c r="AC39" s="31">
        <f>'TUSD BE'!$AC$39*'TUSD BE'!$AC$58</f>
        <v>-3.9033453662438689</v>
      </c>
      <c r="AD39" s="31">
        <f>SUM($AC$39:$AC$39)</f>
        <v>-3.9033453662438689</v>
      </c>
      <c r="AE39" s="31">
        <f ca="1">$AO$39*$AO$55</f>
        <v>0</v>
      </c>
      <c r="AF39" s="31">
        <f ca="1">$AP$39*$AP$55</f>
        <v>0</v>
      </c>
      <c r="AG39" s="31">
        <f ca="1">SUM($AE$39:$AF$39)</f>
        <v>0</v>
      </c>
      <c r="AH39" s="31">
        <f>'TUSD BE'!$AH$39*'TUSD BE'!$AH$58</f>
        <v>1.3126368552728811</v>
      </c>
      <c r="AI39" s="31">
        <f>'TUSD BE'!$AI$39*'TUSD BE'!$AI$58</f>
        <v>2.8399850394202356E-2</v>
      </c>
      <c r="AJ39" s="31">
        <f ca="1">'TUSD BE'!$AJ$39*'TUSD BE'!$AJ$58</f>
        <v>2.2743288755253759E-2</v>
      </c>
      <c r="AK39" s="31">
        <f ca="1">'TUSD BE'!$AK$39*'TUSD BE'!$AK$58</f>
        <v>3.7620352974175937E-2</v>
      </c>
      <c r="AL39" s="31">
        <f ca="1">SUM($AH$39:$AK$39)</f>
        <v>1.4014003473965131</v>
      </c>
      <c r="AM39" s="31">
        <f ca="1">SUMIF($L$4:$AL$4,"SUBTOTAL",$L$39:$AL$39)+AZ39</f>
        <v>-226.77222147385126</v>
      </c>
      <c r="AO39" s="59">
        <f ca="1">+'TUSD BE'!$T$39+'TUSD BE'!$AB$39+'TUSD BE'!$AD$39+'TUSD BE'!$AL$39</f>
        <v>631.25568232637124</v>
      </c>
      <c r="AP39" s="59">
        <f ca="1">+'TUSD BE'!$T$39+'TUSD BE'!$AB$39+'TUSD BE'!$AD$39+'TUSD BE'!$AL$39</f>
        <v>631.25568232637124</v>
      </c>
      <c r="AQ39" s="9" t="str">
        <f t="shared" si="0"/>
        <v>B2</v>
      </c>
      <c r="AR39" s="9" t="str">
        <f t="shared" si="1"/>
        <v>Branca</v>
      </c>
      <c r="AS39" s="9" t="str">
        <f t="shared" si="2"/>
        <v>Rural</v>
      </c>
      <c r="AT39" s="9" t="str">
        <f t="shared" si="3"/>
        <v>Serviço público de irrigação rural</v>
      </c>
      <c r="AU39" s="9" t="str">
        <f t="shared" si="4"/>
        <v>Não se aplica</v>
      </c>
      <c r="AV39" s="9">
        <f t="shared" si="5"/>
        <v>1</v>
      </c>
      <c r="AW39" s="9">
        <f ca="1">TarifaMedia!$G$20</f>
        <v>1</v>
      </c>
      <c r="AX39" s="15">
        <f ca="1">'TUSD BE'!$AM39+'TUSD BF'!$AM39+'TUSD CVA'!$AM39</f>
        <v>650.53493414027844</v>
      </c>
      <c r="AY39" s="9">
        <f>ROUND(403.03/(1-CUSTOS!$M$38),2)</f>
        <v>428.76</v>
      </c>
      <c r="AZ39" s="9">
        <f t="shared" ca="1" si="6"/>
        <v>-221.77493414027845</v>
      </c>
      <c r="BC39" s="54" t="s">
        <v>1129</v>
      </c>
    </row>
    <row r="40" spans="1:55" ht="11.25" customHeight="1" x14ac:dyDescent="0.25">
      <c r="A40" s="149"/>
      <c r="B40" s="149"/>
      <c r="C40" s="149"/>
      <c r="D40" s="149"/>
      <c r="E40" s="149"/>
      <c r="F40" s="149"/>
      <c r="G40" s="57" t="s">
        <v>76</v>
      </c>
      <c r="H40" s="57" t="s">
        <v>74</v>
      </c>
      <c r="I40" s="57">
        <f>'MERCADO TUSD'!$U$37</f>
        <v>0</v>
      </c>
      <c r="J40" s="15"/>
      <c r="L40" s="31">
        <f>'TUSD BE'!$L$40*'TUSD BE'!$L$58</f>
        <v>0</v>
      </c>
      <c r="M40" s="31">
        <f>'TUSD BE'!$M$40*'TUSD BE'!$M$58</f>
        <v>-3.0650909416479716E-2</v>
      </c>
      <c r="N40" s="31">
        <f ca="1">'TUSD BE'!$N$40*'TUSD BE'!$N$58</f>
        <v>-9.4346243728433189E-6</v>
      </c>
      <c r="O40" s="31">
        <f>'TUSD BE'!$O$40*'TUSD BE'!$O$58</f>
        <v>0</v>
      </c>
      <c r="P40" s="31">
        <f>'TUSD BE'!$P$40*'TUSD BE'!$P$58</f>
        <v>0</v>
      </c>
      <c r="Q40" s="31">
        <f>'TUSD BE'!$Q$40*'TUSD BE'!$Q$58</f>
        <v>-2.7343580102382514</v>
      </c>
      <c r="R40" s="31">
        <f>'TUSD BE'!$R$40*'TUSD BE'!$R$58</f>
        <v>-0.47097951775238756</v>
      </c>
      <c r="S40" s="31">
        <f>'TUSD BE'!$R$40*'TUSD BE'!$S$58</f>
        <v>0</v>
      </c>
      <c r="T40" s="31">
        <f ca="1">SUM($L$40:$S$40)</f>
        <v>-3.2359978720314913</v>
      </c>
      <c r="U40" s="31">
        <f>'TUSD BE'!$U$40*'TUSD BE'!$U$58</f>
        <v>0</v>
      </c>
      <c r="V40" s="31">
        <f>'TUSD BE'!$V$40*'TUSD BE'!$V$58</f>
        <v>0</v>
      </c>
      <c r="W40" s="31">
        <f>'TUSD BE'!$W$40*'TUSD BE'!$W$58</f>
        <v>0</v>
      </c>
      <c r="X40" s="31">
        <f>'TUSD BE'!$X$40*'TUSD BE'!$X$58</f>
        <v>0</v>
      </c>
      <c r="Y40" s="31">
        <f>'TUSD BE'!$Y$40*'TUSD BE'!$Y$58</f>
        <v>0.24688999185043836</v>
      </c>
      <c r="Z40" s="31">
        <f>'TUSD BE'!$Z$40*'TUSD BE'!$Z$58</f>
        <v>0</v>
      </c>
      <c r="AA40" s="31">
        <f>'TUSD BE'!$AA$40*'TUSD BE'!$AA$58</f>
        <v>0</v>
      </c>
      <c r="AB40" s="31">
        <f>SUM($U$40:$AA$40)</f>
        <v>0.24688999185043836</v>
      </c>
      <c r="AC40" s="31">
        <f>'TUSD BE'!$AC$40*'TUSD BE'!$AC$58</f>
        <v>-1.3011155557097227</v>
      </c>
      <c r="AD40" s="31">
        <f>SUM($AC$40:$AC$40)</f>
        <v>-1.3011155557097227</v>
      </c>
      <c r="AE40" s="31">
        <f ca="1">$AO$40*$AO$55</f>
        <v>0</v>
      </c>
      <c r="AF40" s="31">
        <f ca="1">$AP$40*$AP$55</f>
        <v>0</v>
      </c>
      <c r="AG40" s="31">
        <f ca="1">SUM($AE$40:$AF$40)</f>
        <v>0</v>
      </c>
      <c r="AH40" s="31">
        <f>'TUSD BE'!$AH$40*'TUSD BE'!$AH$58</f>
        <v>1.3126368552728811</v>
      </c>
      <c r="AI40" s="31">
        <f>'TUSD BE'!$AI$40*'TUSD BE'!$AI$58</f>
        <v>2.8399850394202356E-2</v>
      </c>
      <c r="AJ40" s="31">
        <f ca="1">'TUSD BE'!$AJ$40*'TUSD BE'!$AJ$58</f>
        <v>2.2743288755253759E-2</v>
      </c>
      <c r="AK40" s="31">
        <f ca="1">'TUSD BE'!$AK$40*'TUSD BE'!$AK$58</f>
        <v>3.7620352974175937E-2</v>
      </c>
      <c r="AL40" s="31">
        <f ca="1">SUM($AH$40:$AK$40)</f>
        <v>1.4014003473965131</v>
      </c>
      <c r="AM40" s="31">
        <f ca="1">SUMIF($L$4:$AL$4,"SUBTOTAL",$L$40:$AL$40)+AZ40</f>
        <v>-70.037257353108402</v>
      </c>
      <c r="AO40" s="59">
        <f ca="1">+'TUSD BE'!$T$40+'TUSD BE'!$AB$40+'TUSD BE'!$AD$40+'TUSD BE'!$AL$40</f>
        <v>293.27071820562838</v>
      </c>
      <c r="AP40" s="59">
        <f ca="1">+'TUSD BE'!$T$40+'TUSD BE'!$AB$40+'TUSD BE'!$AD$40+'TUSD BE'!$AL$40</f>
        <v>293.27071820562838</v>
      </c>
      <c r="AQ40" s="9" t="str">
        <f t="shared" si="0"/>
        <v>B2</v>
      </c>
      <c r="AR40" s="9" t="str">
        <f t="shared" si="1"/>
        <v>Branca</v>
      </c>
      <c r="AS40" s="9" t="str">
        <f t="shared" si="2"/>
        <v>Rural</v>
      </c>
      <c r="AT40" s="9" t="str">
        <f t="shared" si="3"/>
        <v>Serviço público de irrigação rural</v>
      </c>
      <c r="AU40" s="9" t="str">
        <f t="shared" si="4"/>
        <v>Não se aplica</v>
      </c>
      <c r="AV40" s="9">
        <f t="shared" si="5"/>
        <v>1</v>
      </c>
      <c r="AW40" s="9">
        <f ca="1">TarifaMedia!$G$20</f>
        <v>1</v>
      </c>
      <c r="AX40" s="15">
        <f ca="1">'TUSD BE'!$AM40+'TUSD BF'!$AM40+'TUSD CVA'!$AM40</f>
        <v>314.65843426461413</v>
      </c>
      <c r="AY40" s="9">
        <f>ROUND(232.66/(1-CUSTOS!$M$38),2)</f>
        <v>247.51</v>
      </c>
      <c r="AZ40" s="9">
        <f t="shared" ca="1" si="6"/>
        <v>-67.148434264614139</v>
      </c>
      <c r="BC40" s="54" t="s">
        <v>1130</v>
      </c>
    </row>
    <row r="41" spans="1:55" ht="11.25" customHeight="1" x14ac:dyDescent="0.25">
      <c r="A41" s="149"/>
      <c r="B41" s="56" t="s">
        <v>23</v>
      </c>
      <c r="C41" s="56" t="s">
        <v>42</v>
      </c>
      <c r="D41" s="56" t="s">
        <v>91</v>
      </c>
      <c r="E41" s="56" t="s">
        <v>25</v>
      </c>
      <c r="F41" s="56" t="s">
        <v>25</v>
      </c>
      <c r="G41" s="57" t="s">
        <v>78</v>
      </c>
      <c r="H41" s="57" t="s">
        <v>74</v>
      </c>
      <c r="I41" s="57">
        <f>'MERCADO TUSD'!$U$38</f>
        <v>0</v>
      </c>
      <c r="J41" s="15"/>
      <c r="L41" s="31">
        <f>'TUSD BE'!$L$41*'TUSD BE'!$L$58</f>
        <v>0</v>
      </c>
      <c r="M41" s="31">
        <f>'TUSD BE'!$M$41*'TUSD BE'!$M$58</f>
        <v>-3.0650909416479716E-2</v>
      </c>
      <c r="N41" s="31">
        <f ca="1">'TUSD BE'!$N$41*'TUSD BE'!$N$58</f>
        <v>-1.3853118672125327E-5</v>
      </c>
      <c r="O41" s="31">
        <f>'TUSD BE'!$O$41*'TUSD BE'!$O$58</f>
        <v>0</v>
      </c>
      <c r="P41" s="31">
        <f>'TUSD BE'!$P$41*'TUSD BE'!$P$58</f>
        <v>0</v>
      </c>
      <c r="Q41" s="31">
        <f>'TUSD BE'!$Q$41*'TUSD BE'!$Q$58</f>
        <v>-2.7343580102382514</v>
      </c>
      <c r="R41" s="31">
        <f>'TUSD BE'!$R$41*'TUSD BE'!$R$58</f>
        <v>-0.47097951775238756</v>
      </c>
      <c r="S41" s="31">
        <f>'TUSD BE'!$R$41*'TUSD BE'!$S$58</f>
        <v>0</v>
      </c>
      <c r="T41" s="31">
        <f ca="1">SUM($L$41:$S$41)</f>
        <v>-3.2360022905257906</v>
      </c>
      <c r="U41" s="31">
        <f>'TUSD BE'!$U$41*'TUSD BE'!$U$58</f>
        <v>0</v>
      </c>
      <c r="V41" s="31">
        <f>'TUSD BE'!$V$41*'TUSD BE'!$V$58</f>
        <v>0</v>
      </c>
      <c r="W41" s="31">
        <f>'TUSD BE'!$W$41*'TUSD BE'!$W$58</f>
        <v>0</v>
      </c>
      <c r="X41" s="31">
        <f>'TUSD BE'!$X$41*'TUSD BE'!$X$58</f>
        <v>0</v>
      </c>
      <c r="Y41" s="31">
        <f>'TUSD BE'!$Y$41*'TUSD BE'!$Y$58</f>
        <v>0.39820982110424452</v>
      </c>
      <c r="Z41" s="31">
        <f>'TUSD BE'!$Z$41*'TUSD BE'!$Z$58</f>
        <v>0</v>
      </c>
      <c r="AA41" s="31">
        <f>'TUSD BE'!$AA$41*'TUSD BE'!$AA$58</f>
        <v>0</v>
      </c>
      <c r="AB41" s="31">
        <f>SUM($U$41:$AA$41)</f>
        <v>0.39820982110424452</v>
      </c>
      <c r="AC41" s="31">
        <f>'TUSD BE'!$AC$41*'TUSD BE'!$AC$58</f>
        <v>-2.0985725537422435</v>
      </c>
      <c r="AD41" s="31">
        <f>SUM($AC$41:$AC$41)</f>
        <v>-2.0985725537422435</v>
      </c>
      <c r="AE41" s="31">
        <f ca="1">$AO$41*$AO$55</f>
        <v>0</v>
      </c>
      <c r="AF41" s="31">
        <f ca="1">$AP$41*$AP$55</f>
        <v>0</v>
      </c>
      <c r="AG41" s="31">
        <f ca="1">SUM($AE$41:$AF$41)</f>
        <v>0</v>
      </c>
      <c r="AH41" s="31">
        <f>'TUSD BE'!$AH$41*'TUSD BE'!$AH$58</f>
        <v>1.3126368552728811</v>
      </c>
      <c r="AI41" s="31">
        <f>'TUSD BE'!$AI$41*'TUSD BE'!$AI$58</f>
        <v>2.8399850394202356E-2</v>
      </c>
      <c r="AJ41" s="31">
        <f ca="1">'TUSD BE'!$AJ$41*'TUSD BE'!$AJ$58</f>
        <v>2.2743288755253759E-2</v>
      </c>
      <c r="AK41" s="31">
        <f ca="1">'TUSD BE'!$AK$41*'TUSD BE'!$AK$58</f>
        <v>3.7620352974175937E-2</v>
      </c>
      <c r="AL41" s="31">
        <f ca="1">SUM($AH$41:$AK$41)</f>
        <v>1.4014003473965131</v>
      </c>
      <c r="AM41" s="31">
        <f ca="1">SUMIF($L$4:$AL$4,"SUBTOTAL",$L$41:$AL$41)+AZ41</f>
        <v>-110.63329353626264</v>
      </c>
      <c r="AO41" s="59">
        <f ca="1">+'TUSD BE'!$T$41+'TUSD BE'!$AB$41+'TUSD BE'!$AD$41+'TUSD BE'!$AL$41</f>
        <v>396.8467543887827</v>
      </c>
      <c r="AP41" s="59">
        <f ca="1">+'TUSD BE'!$T$41+'TUSD BE'!$AB$41+'TUSD BE'!$AD$41+'TUSD BE'!$AL$41</f>
        <v>396.8467543887827</v>
      </c>
      <c r="AQ41" s="9" t="str">
        <f t="shared" si="0"/>
        <v>B2</v>
      </c>
      <c r="AR41" s="9" t="str">
        <f t="shared" si="1"/>
        <v>Convencional</v>
      </c>
      <c r="AS41" s="9" t="str">
        <f t="shared" si="2"/>
        <v>Rural</v>
      </c>
      <c r="AT41" s="9" t="str">
        <f t="shared" si="3"/>
        <v>Serviço público de irrigação rural</v>
      </c>
      <c r="AU41" s="9" t="str">
        <f t="shared" si="4"/>
        <v>Não se aplica</v>
      </c>
      <c r="AV41" s="9">
        <f t="shared" si="5"/>
        <v>1</v>
      </c>
      <c r="AW41" s="9">
        <f ca="1">TarifaMedia!$G$20</f>
        <v>1</v>
      </c>
      <c r="AX41" s="15">
        <f ca="1">'TUSD BE'!$AM41+'TUSD BF'!$AM41+'TUSD CVA'!$AM41</f>
        <v>417.58832886049538</v>
      </c>
      <c r="AY41" s="9">
        <v>310.49</v>
      </c>
      <c r="AZ41" s="9">
        <f t="shared" ca="1" si="6"/>
        <v>-107.09832886049537</v>
      </c>
      <c r="BC41" s="54" t="s">
        <v>1124</v>
      </c>
    </row>
    <row r="42" spans="1:55" ht="11.25" customHeight="1" x14ac:dyDescent="0.25">
      <c r="A42" s="149"/>
      <c r="B42" s="149" t="s">
        <v>89</v>
      </c>
      <c r="C42" s="149" t="s">
        <v>42</v>
      </c>
      <c r="D42" s="56" t="s">
        <v>25</v>
      </c>
      <c r="E42" s="56" t="s">
        <v>25</v>
      </c>
      <c r="F42" s="56" t="s">
        <v>25</v>
      </c>
      <c r="G42" s="57" t="s">
        <v>78</v>
      </c>
      <c r="H42" s="57" t="s">
        <v>74</v>
      </c>
      <c r="I42" s="57">
        <f>'MERCADO TUSD'!$U$39</f>
        <v>0</v>
      </c>
      <c r="J42" s="15"/>
      <c r="L42" s="31">
        <f>'TUSD BE'!$L$42*'TUSD BE'!$L$58</f>
        <v>0</v>
      </c>
      <c r="M42" s="31">
        <f>'TUSD BE'!$M$42*'TUSD BE'!$M$58</f>
        <v>-3.0650909416479716E-2</v>
      </c>
      <c r="N42" s="31">
        <f ca="1">'TUSD BE'!$N$42*'TUSD BE'!$N$58</f>
        <v>-1.3853118672125327E-5</v>
      </c>
      <c r="O42" s="31">
        <f>'TUSD BE'!$O$42*'TUSD BE'!$O$58</f>
        <v>0</v>
      </c>
      <c r="P42" s="31">
        <f>'TUSD BE'!$P$42*'TUSD BE'!$P$58</f>
        <v>0</v>
      </c>
      <c r="Q42" s="31">
        <f>'TUSD BE'!$Q$42*'TUSD BE'!$Q$58</f>
        <v>-2.7343580102382514</v>
      </c>
      <c r="R42" s="31">
        <f>'TUSD BE'!$R$42*'TUSD BE'!$R$58</f>
        <v>-0.47097951775238756</v>
      </c>
      <c r="S42" s="31">
        <f>'TUSD BE'!$R$42*'TUSD BE'!$S$58</f>
        <v>0</v>
      </c>
      <c r="T42" s="31">
        <f ca="1">SUM($L$42:$S$42)</f>
        <v>-3.2360022905257906</v>
      </c>
      <c r="U42" s="31">
        <f>'TUSD BE'!$U$42*'TUSD BE'!$U$58</f>
        <v>0</v>
      </c>
      <c r="V42" s="31">
        <f>'TUSD BE'!$V$42*'TUSD BE'!$V$58</f>
        <v>0</v>
      </c>
      <c r="W42" s="31">
        <f>'TUSD BE'!$W$42*'TUSD BE'!$W$58</f>
        <v>0</v>
      </c>
      <c r="X42" s="31">
        <f>'TUSD BE'!$X$42*'TUSD BE'!$X$58</f>
        <v>0</v>
      </c>
      <c r="Y42" s="31">
        <f>'TUSD BE'!$Y$42*'TUSD BE'!$Y$58</f>
        <v>0.39820982110424452</v>
      </c>
      <c r="Z42" s="31">
        <f>'TUSD BE'!$Z$42*'TUSD BE'!$Z$58</f>
        <v>0</v>
      </c>
      <c r="AA42" s="31">
        <f>'TUSD BE'!$AA$42*'TUSD BE'!$AA$58</f>
        <v>0</v>
      </c>
      <c r="AB42" s="31">
        <f>SUM($U$42:$AA$42)</f>
        <v>0.39820982110424452</v>
      </c>
      <c r="AC42" s="31">
        <f>'TUSD BE'!$AC$42*'TUSD BE'!$AC$58</f>
        <v>-2.0985725537422435</v>
      </c>
      <c r="AD42" s="31">
        <f>SUM($AC$42:$AC$42)</f>
        <v>-2.0985725537422435</v>
      </c>
      <c r="AE42" s="31">
        <f ca="1">$AO$42*$AO$55</f>
        <v>0</v>
      </c>
      <c r="AF42" s="31">
        <f ca="1">$AP$42*$AP$55</f>
        <v>0</v>
      </c>
      <c r="AG42" s="31">
        <f ca="1">SUM($AE$42:$AF$42)</f>
        <v>0</v>
      </c>
      <c r="AH42" s="31">
        <f>'TUSD BE'!$AH$42*'TUSD BE'!$AH$58</f>
        <v>1.3126368552728811</v>
      </c>
      <c r="AI42" s="31">
        <f>'TUSD BE'!$AI$42*'TUSD BE'!$AI$58</f>
        <v>2.8399850394202356E-2</v>
      </c>
      <c r="AJ42" s="31">
        <f ca="1">'TUSD BE'!$AJ$42*'TUSD BE'!$AJ$58</f>
        <v>2.2743288755253759E-2</v>
      </c>
      <c r="AK42" s="31">
        <f ca="1">'TUSD BE'!$AK$42*'TUSD BE'!$AK$58</f>
        <v>3.7620352974175937E-2</v>
      </c>
      <c r="AL42" s="31">
        <f ca="1">SUM($AH$42:$AK$42)</f>
        <v>1.4014003473965131</v>
      </c>
      <c r="AM42" s="31">
        <f ca="1">SUMIF($L$4:$AL$4,"SUBTOTAL",$L$42:$AL$42)+AZ42</f>
        <v>-110.63329353626264</v>
      </c>
      <c r="AO42" s="59">
        <f ca="1">+'TUSD BE'!$T$42+'TUSD BE'!$AB$42+'TUSD BE'!$AD$42+'TUSD BE'!$AL$42</f>
        <v>396.8467543887827</v>
      </c>
      <c r="AP42" s="59">
        <f ca="1">+'TUSD BE'!$T$42+'TUSD BE'!$AB$42+'TUSD BE'!$AD$42+'TUSD BE'!$AL$42</f>
        <v>396.8467543887827</v>
      </c>
      <c r="AQ42" s="9" t="str">
        <f t="shared" si="0"/>
        <v>B2</v>
      </c>
      <c r="AR42" s="9" t="str">
        <f t="shared" si="1"/>
        <v>Convencional pré-pagamento</v>
      </c>
      <c r="AS42" s="9" t="str">
        <f t="shared" si="2"/>
        <v>Rural</v>
      </c>
      <c r="AT42" s="9" t="str">
        <f t="shared" si="3"/>
        <v>Não se aplica</v>
      </c>
      <c r="AU42" s="9" t="str">
        <f t="shared" si="4"/>
        <v>Não se aplica</v>
      </c>
      <c r="AV42" s="9">
        <f t="shared" si="5"/>
        <v>1</v>
      </c>
      <c r="AW42" s="9">
        <f ca="1">TarifaMedia!$G$20</f>
        <v>1</v>
      </c>
      <c r="AX42" s="15">
        <f ca="1">'TUSD BE'!$AM42+'TUSD BF'!$AM42+'TUSD CVA'!$AM42</f>
        <v>417.58832886049538</v>
      </c>
      <c r="AY42" s="9">
        <v>310.49</v>
      </c>
      <c r="AZ42" s="9">
        <f t="shared" ca="1" si="6"/>
        <v>-107.09832886049537</v>
      </c>
      <c r="BC42" s="54" t="s">
        <v>1124</v>
      </c>
    </row>
    <row r="43" spans="1:55" ht="11.25" customHeight="1" x14ac:dyDescent="0.25">
      <c r="A43" s="149"/>
      <c r="B43" s="149"/>
      <c r="C43" s="149"/>
      <c r="D43" s="56" t="s">
        <v>90</v>
      </c>
      <c r="E43" s="56" t="s">
        <v>25</v>
      </c>
      <c r="F43" s="56" t="s">
        <v>25</v>
      </c>
      <c r="G43" s="57" t="s">
        <v>78</v>
      </c>
      <c r="H43" s="57" t="s">
        <v>74</v>
      </c>
      <c r="I43" s="57">
        <f>'MERCADO TUSD'!$U$40</f>
        <v>0</v>
      </c>
      <c r="J43" s="15"/>
      <c r="L43" s="31">
        <f>'TUSD BE'!$L$43*'TUSD BE'!$L$58</f>
        <v>0</v>
      </c>
      <c r="M43" s="31">
        <f>'TUSD BE'!$M$43*'TUSD BE'!$M$58</f>
        <v>-3.0650909416479716E-2</v>
      </c>
      <c r="N43" s="31">
        <f ca="1">'TUSD BE'!$N$43*'TUSD BE'!$N$58</f>
        <v>-1.3853118672125327E-5</v>
      </c>
      <c r="O43" s="31">
        <f>'TUSD BE'!$O$43*'TUSD BE'!$O$58</f>
        <v>0</v>
      </c>
      <c r="P43" s="31">
        <f>'TUSD BE'!$P$43*'TUSD BE'!$P$58</f>
        <v>0</v>
      </c>
      <c r="Q43" s="31">
        <f>'TUSD BE'!$Q$43*'TUSD BE'!$Q$58</f>
        <v>-2.7343580102382514</v>
      </c>
      <c r="R43" s="31">
        <f>'TUSD BE'!$R$43*'TUSD BE'!$R$58</f>
        <v>-0.47097951775238756</v>
      </c>
      <c r="S43" s="31">
        <f>'TUSD BE'!$R$43*'TUSD BE'!$S$58</f>
        <v>0</v>
      </c>
      <c r="T43" s="31">
        <f ca="1">SUM($L$43:$S$43)</f>
        <v>-3.2360022905257906</v>
      </c>
      <c r="U43" s="31">
        <f>'TUSD BE'!$U$43*'TUSD BE'!$U$58</f>
        <v>0</v>
      </c>
      <c r="V43" s="31">
        <f>'TUSD BE'!$V$43*'TUSD BE'!$V$58</f>
        <v>0</v>
      </c>
      <c r="W43" s="31">
        <f>'TUSD BE'!$W$43*'TUSD BE'!$W$58</f>
        <v>0</v>
      </c>
      <c r="X43" s="31">
        <f>'TUSD BE'!$X$43*'TUSD BE'!$X$58</f>
        <v>0</v>
      </c>
      <c r="Y43" s="31">
        <f>'TUSD BE'!$Y$43*'TUSD BE'!$Y$58</f>
        <v>0.39820982110424452</v>
      </c>
      <c r="Z43" s="31">
        <f>'TUSD BE'!$Z$43*'TUSD BE'!$Z$58</f>
        <v>0</v>
      </c>
      <c r="AA43" s="31">
        <f>'TUSD BE'!$AA$43*'TUSD BE'!$AA$58</f>
        <v>0</v>
      </c>
      <c r="AB43" s="31">
        <f>SUM($U$43:$AA$43)</f>
        <v>0.39820982110424452</v>
      </c>
      <c r="AC43" s="31">
        <f>'TUSD BE'!$AC$43*'TUSD BE'!$AC$58</f>
        <v>-2.0985725537422435</v>
      </c>
      <c r="AD43" s="31">
        <f>SUM($AC$43:$AC$43)</f>
        <v>-2.0985725537422435</v>
      </c>
      <c r="AE43" s="31">
        <f ca="1">$AO$43*$AO$55</f>
        <v>0</v>
      </c>
      <c r="AF43" s="31">
        <f ca="1">$AP$43*$AP$55</f>
        <v>0</v>
      </c>
      <c r="AG43" s="31">
        <f ca="1">SUM($AE$43:$AF$43)</f>
        <v>0</v>
      </c>
      <c r="AH43" s="31">
        <f>'TUSD BE'!$AH$43*'TUSD BE'!$AH$58</f>
        <v>1.3126368552728811</v>
      </c>
      <c r="AI43" s="31">
        <f>'TUSD BE'!$AI$43*'TUSD BE'!$AI$58</f>
        <v>2.8399850394202356E-2</v>
      </c>
      <c r="AJ43" s="31">
        <f ca="1">'TUSD BE'!$AJ$43*'TUSD BE'!$AJ$58</f>
        <v>2.2743288755253759E-2</v>
      </c>
      <c r="AK43" s="31">
        <f ca="1">'TUSD BE'!$AK$43*'TUSD BE'!$AK$58</f>
        <v>3.7620352974175937E-2</v>
      </c>
      <c r="AL43" s="31">
        <f ca="1">SUM($AH$43:$AK$43)</f>
        <v>1.4014003473965131</v>
      </c>
      <c r="AM43" s="31">
        <f ca="1">SUMIF($L$4:$AL$4,"SUBTOTAL",$L$43:$AL$43)+AZ43</f>
        <v>-110.63329353626264</v>
      </c>
      <c r="AO43" s="59">
        <f ca="1">+'TUSD BE'!$T$43+'TUSD BE'!$AB$43+'TUSD BE'!$AD$43+'TUSD BE'!$AL$43</f>
        <v>396.8467543887827</v>
      </c>
      <c r="AP43" s="59">
        <f ca="1">+'TUSD BE'!$T$43+'TUSD BE'!$AB$43+'TUSD BE'!$AD$43+'TUSD BE'!$AL$43</f>
        <v>396.8467543887827</v>
      </c>
      <c r="AQ43" s="9" t="str">
        <f t="shared" si="0"/>
        <v>B2</v>
      </c>
      <c r="AR43" s="9" t="str">
        <f t="shared" si="1"/>
        <v>Convencional pré-pagamento</v>
      </c>
      <c r="AS43" s="9" t="str">
        <f t="shared" si="2"/>
        <v>Rural</v>
      </c>
      <c r="AT43" s="9" t="str">
        <f t="shared" si="3"/>
        <v>Cooperativa de eletrificação rural</v>
      </c>
      <c r="AU43" s="9" t="str">
        <f t="shared" si="4"/>
        <v>Não se aplica</v>
      </c>
      <c r="AV43" s="9">
        <f t="shared" si="5"/>
        <v>1</v>
      </c>
      <c r="AW43" s="9">
        <f ca="1">TarifaMedia!$G$20</f>
        <v>1</v>
      </c>
      <c r="AX43" s="15">
        <f ca="1">'TUSD BE'!$AM43+'TUSD BF'!$AM43+'TUSD CVA'!$AM43</f>
        <v>417.58832886049538</v>
      </c>
      <c r="AY43" s="9">
        <v>310.49</v>
      </c>
      <c r="AZ43" s="9">
        <f t="shared" ca="1" si="6"/>
        <v>-107.09832886049537</v>
      </c>
      <c r="BC43" s="54" t="s">
        <v>1124</v>
      </c>
    </row>
    <row r="44" spans="1:55" ht="11.25" customHeight="1" x14ac:dyDescent="0.25">
      <c r="A44" s="149"/>
      <c r="B44" s="149"/>
      <c r="C44" s="149"/>
      <c r="D44" s="56" t="s">
        <v>91</v>
      </c>
      <c r="E44" s="56" t="s">
        <v>25</v>
      </c>
      <c r="F44" s="56" t="s">
        <v>25</v>
      </c>
      <c r="G44" s="57" t="s">
        <v>78</v>
      </c>
      <c r="H44" s="57" t="s">
        <v>74</v>
      </c>
      <c r="I44" s="57">
        <f>'MERCADO TUSD'!$U$41</f>
        <v>0</v>
      </c>
      <c r="J44" s="15"/>
      <c r="L44" s="31">
        <f>'TUSD BE'!$L$44*'TUSD BE'!$L$58</f>
        <v>0</v>
      </c>
      <c r="M44" s="31">
        <f>'TUSD BE'!$M$44*'TUSD BE'!$M$58</f>
        <v>-3.0650909416479716E-2</v>
      </c>
      <c r="N44" s="31">
        <f ca="1">'TUSD BE'!$N$44*'TUSD BE'!$N$58</f>
        <v>-1.3853118672125327E-5</v>
      </c>
      <c r="O44" s="31">
        <f>'TUSD BE'!$O$44*'TUSD BE'!$O$58</f>
        <v>0</v>
      </c>
      <c r="P44" s="31">
        <f>'TUSD BE'!$P$44*'TUSD BE'!$P$58</f>
        <v>0</v>
      </c>
      <c r="Q44" s="31">
        <f>'TUSD BE'!$Q$44*'TUSD BE'!$Q$58</f>
        <v>-2.7343580102382514</v>
      </c>
      <c r="R44" s="31">
        <f>'TUSD BE'!$R$44*'TUSD BE'!$R$58</f>
        <v>-0.47097951775238756</v>
      </c>
      <c r="S44" s="31">
        <f>'TUSD BE'!$R$44*'TUSD BE'!$S$58</f>
        <v>0</v>
      </c>
      <c r="T44" s="31">
        <f ca="1">SUM($L$44:$S$44)</f>
        <v>-3.2360022905257906</v>
      </c>
      <c r="U44" s="31">
        <f>'TUSD BE'!$U$44*'TUSD BE'!$U$58</f>
        <v>0</v>
      </c>
      <c r="V44" s="31">
        <f>'TUSD BE'!$V$44*'TUSD BE'!$V$58</f>
        <v>0</v>
      </c>
      <c r="W44" s="31">
        <f>'TUSD BE'!$W$44*'TUSD BE'!$W$58</f>
        <v>0</v>
      </c>
      <c r="X44" s="31">
        <f>'TUSD BE'!$X$44*'TUSD BE'!$X$58</f>
        <v>0</v>
      </c>
      <c r="Y44" s="31">
        <f>'TUSD BE'!$Y$44*'TUSD BE'!$Y$58</f>
        <v>0.39820982110424452</v>
      </c>
      <c r="Z44" s="31">
        <f>'TUSD BE'!$Z$44*'TUSD BE'!$Z$58</f>
        <v>0</v>
      </c>
      <c r="AA44" s="31">
        <f>'TUSD BE'!$AA$44*'TUSD BE'!$AA$58</f>
        <v>0</v>
      </c>
      <c r="AB44" s="31">
        <f>SUM($U$44:$AA$44)</f>
        <v>0.39820982110424452</v>
      </c>
      <c r="AC44" s="31">
        <f>'TUSD BE'!$AC$44*'TUSD BE'!$AC$58</f>
        <v>-2.0985725537422435</v>
      </c>
      <c r="AD44" s="31">
        <f>SUM($AC$44:$AC$44)</f>
        <v>-2.0985725537422435</v>
      </c>
      <c r="AE44" s="31">
        <f ca="1">$AO$44*$AO$55</f>
        <v>0</v>
      </c>
      <c r="AF44" s="31">
        <f ca="1">$AP$44*$AP$55</f>
        <v>0</v>
      </c>
      <c r="AG44" s="31">
        <f ca="1">SUM($AE$44:$AF$44)</f>
        <v>0</v>
      </c>
      <c r="AH44" s="31">
        <f>'TUSD BE'!$AH$44*'TUSD BE'!$AH$58</f>
        <v>1.3126368552728811</v>
      </c>
      <c r="AI44" s="31">
        <f>'TUSD BE'!$AI$44*'TUSD BE'!$AI$58</f>
        <v>2.8399850394202356E-2</v>
      </c>
      <c r="AJ44" s="31">
        <f ca="1">'TUSD BE'!$AJ$44*'TUSD BE'!$AJ$58</f>
        <v>2.2743288755253759E-2</v>
      </c>
      <c r="AK44" s="31">
        <f ca="1">'TUSD BE'!$AK$44*'TUSD BE'!$AK$58</f>
        <v>3.7620352974175937E-2</v>
      </c>
      <c r="AL44" s="31">
        <f ca="1">SUM($AH$44:$AK$44)</f>
        <v>1.4014003473965131</v>
      </c>
      <c r="AM44" s="31">
        <f ca="1">SUMIF($L$4:$AL$4,"SUBTOTAL",$L$44:$AL$44)+AZ44</f>
        <v>-110.63329353626264</v>
      </c>
      <c r="AO44" s="59">
        <f ca="1">+'TUSD BE'!$T$44+'TUSD BE'!$AB$44+'TUSD BE'!$AD$44+'TUSD BE'!$AL$44</f>
        <v>396.8467543887827</v>
      </c>
      <c r="AP44" s="59">
        <f ca="1">+'TUSD BE'!$T$44+'TUSD BE'!$AB$44+'TUSD BE'!$AD$44+'TUSD BE'!$AL$44</f>
        <v>396.8467543887827</v>
      </c>
      <c r="AQ44" s="9" t="str">
        <f t="shared" si="0"/>
        <v>B2</v>
      </c>
      <c r="AR44" s="9" t="str">
        <f t="shared" si="1"/>
        <v>Convencional pré-pagamento</v>
      </c>
      <c r="AS44" s="9" t="str">
        <f t="shared" si="2"/>
        <v>Rural</v>
      </c>
      <c r="AT44" s="9" t="str">
        <f t="shared" si="3"/>
        <v>Serviço público de irrigação rural</v>
      </c>
      <c r="AU44" s="9" t="str">
        <f t="shared" si="4"/>
        <v>Não se aplica</v>
      </c>
      <c r="AV44" s="9">
        <f t="shared" si="5"/>
        <v>1</v>
      </c>
      <c r="AW44" s="9">
        <f ca="1">TarifaMedia!$G$20</f>
        <v>1</v>
      </c>
      <c r="AX44" s="15">
        <f ca="1">'TUSD BE'!$AM44+'TUSD BF'!$AM44+'TUSD CVA'!$AM44</f>
        <v>417.58832886049538</v>
      </c>
      <c r="AY44" s="9">
        <v>310.49</v>
      </c>
      <c r="AZ44" s="9">
        <f t="shared" ca="1" si="6"/>
        <v>-107.09832886049537</v>
      </c>
      <c r="BC44" s="54" t="s">
        <v>1124</v>
      </c>
    </row>
    <row r="45" spans="1:55" ht="11.25" customHeight="1" x14ac:dyDescent="0.25">
      <c r="A45" s="149" t="s">
        <v>33</v>
      </c>
      <c r="B45" s="149" t="s">
        <v>50</v>
      </c>
      <c r="C45" s="149" t="s">
        <v>25</v>
      </c>
      <c r="D45" s="149" t="s">
        <v>25</v>
      </c>
      <c r="E45" s="149" t="s">
        <v>25</v>
      </c>
      <c r="F45" s="149" t="s">
        <v>25</v>
      </c>
      <c r="G45" s="57" t="s">
        <v>75</v>
      </c>
      <c r="H45" s="57" t="s">
        <v>74</v>
      </c>
      <c r="I45" s="57">
        <f>'MERCADO TUSD'!$U$42</f>
        <v>1.1399999999999999</v>
      </c>
      <c r="J45" s="15"/>
      <c r="L45" s="31">
        <f>'TUSD BE'!$L$45*'TUSD BE'!$L$58</f>
        <v>0</v>
      </c>
      <c r="M45" s="31">
        <f>'TUSD BE'!$M$45*'TUSD BE'!$M$58</f>
        <v>-3.0650909416479716E-2</v>
      </c>
      <c r="N45" s="31">
        <f ca="1">'TUSD BE'!$N$45*'TUSD BE'!$N$58</f>
        <v>-4.2922169121029654E-5</v>
      </c>
      <c r="O45" s="31">
        <f>'TUSD BE'!$O$45*'TUSD BE'!$O$58</f>
        <v>0</v>
      </c>
      <c r="P45" s="31">
        <f>'TUSD BE'!$P$45*'TUSD BE'!$P$58</f>
        <v>0</v>
      </c>
      <c r="Q45" s="31">
        <f>'TUSD BE'!$Q$45*'TUSD BE'!$Q$58</f>
        <v>-2.7343580102382514</v>
      </c>
      <c r="R45" s="31">
        <f>'TUSD BE'!$R$45*'TUSD BE'!$R$58</f>
        <v>-0.47097951775238756</v>
      </c>
      <c r="S45" s="31">
        <f>'TUSD BE'!$R$45*'TUSD BE'!$S$58</f>
        <v>0</v>
      </c>
      <c r="T45" s="31">
        <f ca="1">SUM($L$45:$S$45)</f>
        <v>-3.2360313595762396</v>
      </c>
      <c r="U45" s="31">
        <f>'TUSD BE'!$U$45*'TUSD BE'!$U$58</f>
        <v>0</v>
      </c>
      <c r="V45" s="31">
        <f>'TUSD BE'!$V$45*'TUSD BE'!$V$58</f>
        <v>0</v>
      </c>
      <c r="W45" s="31">
        <f>'TUSD BE'!$W$45*'TUSD BE'!$W$58</f>
        <v>0</v>
      </c>
      <c r="X45" s="31">
        <f>'TUSD BE'!$X$45*'TUSD BE'!$X$58</f>
        <v>0</v>
      </c>
      <c r="Y45" s="31">
        <f>'TUSD BE'!$Y$45*'TUSD BE'!$Y$58</f>
        <v>1.3937341528780529</v>
      </c>
      <c r="Z45" s="31">
        <f>'TUSD BE'!$Z$45*'TUSD BE'!$Z$58</f>
        <v>0</v>
      </c>
      <c r="AA45" s="31">
        <f>'TUSD BE'!$AA$45*'TUSD BE'!$AA$58</f>
        <v>0</v>
      </c>
      <c r="AB45" s="31">
        <f>SUM($U$45:$AA$45)</f>
        <v>1.3937341528780529</v>
      </c>
      <c r="AC45" s="31">
        <f>'TUSD BE'!$AC$45*'TUSD BE'!$AC$58</f>
        <v>-7.3450052389831511</v>
      </c>
      <c r="AD45" s="31">
        <f>SUM($AC$45:$AC$45)</f>
        <v>-7.3450052389831511</v>
      </c>
      <c r="AE45" s="31">
        <f ca="1">$AO$45*$AO$55</f>
        <v>0</v>
      </c>
      <c r="AF45" s="31">
        <f ca="1">$AP$45*$AP$55</f>
        <v>0</v>
      </c>
      <c r="AG45" s="31">
        <f ca="1">SUM($AE$45:$AF$45)</f>
        <v>0</v>
      </c>
      <c r="AH45" s="31">
        <f>'TUSD BE'!$AH$45*'TUSD BE'!$AH$58</f>
        <v>1.3126368552728811</v>
      </c>
      <c r="AI45" s="31">
        <f>'TUSD BE'!$AI$45*'TUSD BE'!$AI$58</f>
        <v>2.8399850394202356E-2</v>
      </c>
      <c r="AJ45" s="31">
        <f ca="1">'TUSD BE'!$AJ$45*'TUSD BE'!$AJ$58</f>
        <v>2.2743288755253759E-2</v>
      </c>
      <c r="AK45" s="31">
        <f ca="1">'TUSD BE'!$AK$45*'TUSD BE'!$AK$58</f>
        <v>3.7620352974175937E-2</v>
      </c>
      <c r="AL45" s="31">
        <f ca="1">SUM($AH$45:$AK$45)</f>
        <v>1.4014003473965131</v>
      </c>
      <c r="AM45" s="31">
        <f ca="1">SUMIF($L$4:$AL$4,"SUBTOTAL",$L$45:$AL$45)+AZ45</f>
        <v>-423.43476664155571</v>
      </c>
      <c r="AO45" s="59">
        <f ca="1">+'TUSD BE'!$T$45+'TUSD BE'!$AB$45+'TUSD BE'!$AD$45+'TUSD BE'!$AL$45</f>
        <v>1078.2682274940757</v>
      </c>
      <c r="AP45" s="59">
        <f ca="1">+'TUSD BE'!$T$45+'TUSD BE'!$AB$45+'TUSD BE'!$AD$45+'TUSD BE'!$AL$45</f>
        <v>1078.2682274940757</v>
      </c>
      <c r="AQ45" s="9" t="str">
        <f t="shared" si="0"/>
        <v>B3</v>
      </c>
      <c r="AR45" s="9" t="str">
        <f t="shared" si="1"/>
        <v>Branca</v>
      </c>
      <c r="AS45" s="9" t="str">
        <f t="shared" si="2"/>
        <v>Não se aplica</v>
      </c>
      <c r="AT45" s="9" t="str">
        <f t="shared" si="3"/>
        <v>Não se aplica</v>
      </c>
      <c r="AU45" s="9" t="str">
        <f t="shared" si="4"/>
        <v>Não se aplica</v>
      </c>
      <c r="AV45" s="9">
        <f t="shared" si="5"/>
        <v>1</v>
      </c>
      <c r="AW45" s="9">
        <f ca="1">TarifaMedia!$G$20</f>
        <v>1</v>
      </c>
      <c r="AX45" s="15">
        <f ca="1">'TUSD BE'!$AM45+'TUSD BF'!$AM45+'TUSD CVA'!$AM45</f>
        <v>1094.7588645432709</v>
      </c>
      <c r="AY45" s="9">
        <v>679.11</v>
      </c>
      <c r="AZ45" s="9">
        <f t="shared" ca="1" si="6"/>
        <v>-415.64886454327086</v>
      </c>
      <c r="BC45" s="54" t="s">
        <v>1131</v>
      </c>
    </row>
    <row r="46" spans="1:55" ht="11.25" customHeight="1" x14ac:dyDescent="0.25">
      <c r="A46" s="149"/>
      <c r="B46" s="149"/>
      <c r="C46" s="149"/>
      <c r="D46" s="149"/>
      <c r="E46" s="149"/>
      <c r="F46" s="149"/>
      <c r="G46" s="57" t="s">
        <v>87</v>
      </c>
      <c r="H46" s="57" t="s">
        <v>74</v>
      </c>
      <c r="I46" s="57">
        <f>'MERCADO TUSD'!$U$43</f>
        <v>1.5340000000000003</v>
      </c>
      <c r="J46" s="15"/>
      <c r="L46" s="31">
        <f>'TUSD BE'!$L$46*'TUSD BE'!$L$58</f>
        <v>0</v>
      </c>
      <c r="M46" s="31">
        <f>'TUSD BE'!$M$46*'TUSD BE'!$M$58</f>
        <v>-3.0650909416479716E-2</v>
      </c>
      <c r="N46" s="31">
        <f ca="1">'TUSD BE'!$N$46*'TUSD BE'!$N$58</f>
        <v>-2.6643500314662914E-5</v>
      </c>
      <c r="O46" s="31">
        <f>'TUSD BE'!$O$46*'TUSD BE'!$O$58</f>
        <v>0</v>
      </c>
      <c r="P46" s="31">
        <f>'TUSD BE'!$P$46*'TUSD BE'!$P$58</f>
        <v>0</v>
      </c>
      <c r="Q46" s="31">
        <f>'TUSD BE'!$Q$46*'TUSD BE'!$Q$58</f>
        <v>-2.7343580102382514</v>
      </c>
      <c r="R46" s="31">
        <f>'TUSD BE'!$R$46*'TUSD BE'!$R$58</f>
        <v>-0.47097951775238756</v>
      </c>
      <c r="S46" s="31">
        <f>'TUSD BE'!$R$46*'TUSD BE'!$S$58</f>
        <v>0</v>
      </c>
      <c r="T46" s="31">
        <f ca="1">SUM($L$46:$S$46)</f>
        <v>-3.2360150809074333</v>
      </c>
      <c r="U46" s="31">
        <f>'TUSD BE'!$U$46*'TUSD BE'!$U$58</f>
        <v>0</v>
      </c>
      <c r="V46" s="31">
        <f>'TUSD BE'!$V$46*'TUSD BE'!$V$58</f>
        <v>0</v>
      </c>
      <c r="W46" s="31">
        <f>'TUSD BE'!$W$46*'TUSD BE'!$W$58</f>
        <v>0</v>
      </c>
      <c r="X46" s="31">
        <f>'TUSD BE'!$X$46*'TUSD BE'!$X$58</f>
        <v>0</v>
      </c>
      <c r="Y46" s="31">
        <f>'TUSD BE'!$Y$46*'TUSD BE'!$Y$58</f>
        <v>0.83624058012155289</v>
      </c>
      <c r="Z46" s="31">
        <f>'TUSD BE'!$Z$46*'TUSD BE'!$Z$58</f>
        <v>0</v>
      </c>
      <c r="AA46" s="31">
        <f>'TUSD BE'!$AA$46*'TUSD BE'!$AA$58</f>
        <v>0</v>
      </c>
      <c r="AB46" s="31">
        <f>SUM($U$46:$AA$46)</f>
        <v>0.83624058012155289</v>
      </c>
      <c r="AC46" s="31">
        <f>'TUSD BE'!$AC$46*'TUSD BE'!$AC$58</f>
        <v>-4.4070026230357708</v>
      </c>
      <c r="AD46" s="31">
        <f>SUM($AC$46:$AC$46)</f>
        <v>-4.4070026230357708</v>
      </c>
      <c r="AE46" s="31">
        <f ca="1">$AO$46*$AO$55</f>
        <v>0</v>
      </c>
      <c r="AF46" s="31">
        <f ca="1">$AP$46*$AP$55</f>
        <v>0</v>
      </c>
      <c r="AG46" s="31">
        <f ca="1">SUM($AE$46:$AF$46)</f>
        <v>0</v>
      </c>
      <c r="AH46" s="31">
        <f>'TUSD BE'!$AH$46*'TUSD BE'!$AH$58</f>
        <v>1.3126368552728811</v>
      </c>
      <c r="AI46" s="31">
        <f>'TUSD BE'!$AI$46*'TUSD BE'!$AI$58</f>
        <v>2.8399850394202356E-2</v>
      </c>
      <c r="AJ46" s="31">
        <f ca="1">'TUSD BE'!$AJ$46*'TUSD BE'!$AJ$58</f>
        <v>2.2743288755253759E-2</v>
      </c>
      <c r="AK46" s="31">
        <f ca="1">'TUSD BE'!$AK$46*'TUSD BE'!$AK$58</f>
        <v>3.7620352974175937E-2</v>
      </c>
      <c r="AL46" s="31">
        <f ca="1">SUM($AH$46:$AK$46)</f>
        <v>1.4014003473965131</v>
      </c>
      <c r="AM46" s="31">
        <f ca="1">SUMIF($L$4:$AL$4,"SUBTOTAL",$L$46:$AL$46)+AZ46</f>
        <v>-250.72873046116595</v>
      </c>
      <c r="AO46" s="59">
        <f ca="1">+'TUSD BE'!$T$46+'TUSD BE'!$AB$46+'TUSD BE'!$AD$46+'TUSD BE'!$AL$46</f>
        <v>696.67219131368597</v>
      </c>
      <c r="AP46" s="59">
        <f ca="1">+'TUSD BE'!$T$46+'TUSD BE'!$AB$46+'TUSD BE'!$AD$46+'TUSD BE'!$AL$46</f>
        <v>696.67219131368597</v>
      </c>
      <c r="AQ46" s="9" t="str">
        <f t="shared" si="0"/>
        <v>B3</v>
      </c>
      <c r="AR46" s="9" t="str">
        <f t="shared" si="1"/>
        <v>Branca</v>
      </c>
      <c r="AS46" s="9" t="str">
        <f t="shared" si="2"/>
        <v>Não se aplica</v>
      </c>
      <c r="AT46" s="9" t="str">
        <f t="shared" si="3"/>
        <v>Não se aplica</v>
      </c>
      <c r="AU46" s="9" t="str">
        <f t="shared" si="4"/>
        <v>Não se aplica</v>
      </c>
      <c r="AV46" s="9">
        <f t="shared" si="5"/>
        <v>1</v>
      </c>
      <c r="AW46" s="9">
        <f ca="1">TarifaMedia!$G$20</f>
        <v>1</v>
      </c>
      <c r="AX46" s="15">
        <f ca="1">'TUSD BE'!$AM46+'TUSD BF'!$AM46+'TUSD CVA'!$AM46</f>
        <v>715.54335368474085</v>
      </c>
      <c r="AY46" s="9">
        <v>470.22</v>
      </c>
      <c r="AZ46" s="9">
        <f t="shared" ca="1" si="6"/>
        <v>-245.32335368474082</v>
      </c>
      <c r="BC46" s="54" t="s">
        <v>1132</v>
      </c>
    </row>
    <row r="47" spans="1:55" ht="11.25" customHeight="1" x14ac:dyDescent="0.25">
      <c r="A47" s="149"/>
      <c r="B47" s="149"/>
      <c r="C47" s="149"/>
      <c r="D47" s="149"/>
      <c r="E47" s="149"/>
      <c r="F47" s="149"/>
      <c r="G47" s="57" t="s">
        <v>76</v>
      </c>
      <c r="H47" s="57" t="s">
        <v>74</v>
      </c>
      <c r="I47" s="57">
        <f>'MERCADO TUSD'!$U$44</f>
        <v>27.193000000000005</v>
      </c>
      <c r="J47" s="15"/>
      <c r="L47" s="31">
        <f>'TUSD BE'!$L$47*'TUSD BE'!$L$58</f>
        <v>0</v>
      </c>
      <c r="M47" s="31">
        <f>'TUSD BE'!$M$47*'TUSD BE'!$M$58</f>
        <v>-3.0650909416479716E-2</v>
      </c>
      <c r="N47" s="31">
        <f ca="1">'TUSD BE'!$N$47*'TUSD BE'!$N$58</f>
        <v>-1.0364836133132152E-5</v>
      </c>
      <c r="O47" s="31">
        <f>'TUSD BE'!$O$47*'TUSD BE'!$O$58</f>
        <v>0</v>
      </c>
      <c r="P47" s="31">
        <f>'TUSD BE'!$P$47*'TUSD BE'!$P$58</f>
        <v>0</v>
      </c>
      <c r="Q47" s="31">
        <f>'TUSD BE'!$Q$47*'TUSD BE'!$Q$58</f>
        <v>-2.7343580102382514</v>
      </c>
      <c r="R47" s="31">
        <f>'TUSD BE'!$R$47*'TUSD BE'!$R$58</f>
        <v>-0.47097951775238756</v>
      </c>
      <c r="S47" s="31">
        <f>'TUSD BE'!$R$47*'TUSD BE'!$S$58</f>
        <v>0</v>
      </c>
      <c r="T47" s="31">
        <f ca="1">SUM($L$47:$S$47)</f>
        <v>-3.2359988022432518</v>
      </c>
      <c r="U47" s="31">
        <f>'TUSD BE'!$U$47*'TUSD BE'!$U$58</f>
        <v>0</v>
      </c>
      <c r="V47" s="31">
        <f>'TUSD BE'!$V$47*'TUSD BE'!$V$58</f>
        <v>0</v>
      </c>
      <c r="W47" s="31">
        <f>'TUSD BE'!$W$47*'TUSD BE'!$W$58</f>
        <v>0</v>
      </c>
      <c r="X47" s="31">
        <f>'TUSD BE'!$X$47*'TUSD BE'!$X$58</f>
        <v>0</v>
      </c>
      <c r="Y47" s="31">
        <f>'TUSD BE'!$Y$47*'TUSD BE'!$Y$58</f>
        <v>0.27874700736505281</v>
      </c>
      <c r="Z47" s="31">
        <f>'TUSD BE'!$Z$47*'TUSD BE'!$Z$58</f>
        <v>0</v>
      </c>
      <c r="AA47" s="31">
        <f>'TUSD BE'!$AA$47*'TUSD BE'!$AA$58</f>
        <v>0</v>
      </c>
      <c r="AB47" s="31">
        <f>SUM($U$47:$AA$47)</f>
        <v>0.27874700736505281</v>
      </c>
      <c r="AC47" s="31">
        <f>'TUSD BE'!$AC$47*'TUSD BE'!$AC$58</f>
        <v>-1.4690013079736899</v>
      </c>
      <c r="AD47" s="31">
        <f>SUM($AC$47:$AC$47)</f>
        <v>-1.4690013079736899</v>
      </c>
      <c r="AE47" s="31">
        <f ca="1">$AO$47*$AO$55</f>
        <v>0</v>
      </c>
      <c r="AF47" s="31">
        <f ca="1">$AP$47*$AP$55</f>
        <v>0</v>
      </c>
      <c r="AG47" s="31">
        <f ca="1">SUM($AE$47:$AF$47)</f>
        <v>0</v>
      </c>
      <c r="AH47" s="31">
        <f>'TUSD BE'!$AH$47*'TUSD BE'!$AH$58</f>
        <v>1.3126368552728811</v>
      </c>
      <c r="AI47" s="31">
        <f>'TUSD BE'!$AI$47*'TUSD BE'!$AI$58</f>
        <v>2.8399850394202356E-2</v>
      </c>
      <c r="AJ47" s="31">
        <f ca="1">'TUSD BE'!$AJ$47*'TUSD BE'!$AJ$58</f>
        <v>2.2743288755253759E-2</v>
      </c>
      <c r="AK47" s="31">
        <f ca="1">'TUSD BE'!$AK$47*'TUSD BE'!$AK$58</f>
        <v>3.7620352974175937E-2</v>
      </c>
      <c r="AL47" s="31">
        <f ca="1">SUM($AH$47:$AK$47)</f>
        <v>1.4014003473965131</v>
      </c>
      <c r="AM47" s="31">
        <f ca="1">SUMIF($L$4:$AL$4,"SUBTOTAL",$L$47:$AL$47)+AZ47</f>
        <v>-78.012798806539891</v>
      </c>
      <c r="AO47" s="59">
        <f ca="1">+'TUSD BE'!$T$47+'TUSD BE'!$AB$47+'TUSD BE'!$AD$47+'TUSD BE'!$AL$47</f>
        <v>315.07625965905987</v>
      </c>
      <c r="AP47" s="59">
        <f ca="1">+'TUSD BE'!$T$47+'TUSD BE'!$AB$47+'TUSD BE'!$AD$47+'TUSD BE'!$AL$47</f>
        <v>315.07625965905987</v>
      </c>
      <c r="AQ47" s="9" t="str">
        <f t="shared" si="0"/>
        <v>B3</v>
      </c>
      <c r="AR47" s="9" t="str">
        <f t="shared" si="1"/>
        <v>Branca</v>
      </c>
      <c r="AS47" s="9" t="str">
        <f t="shared" si="2"/>
        <v>Não se aplica</v>
      </c>
      <c r="AT47" s="9" t="str">
        <f t="shared" si="3"/>
        <v>Não se aplica</v>
      </c>
      <c r="AU47" s="9" t="str">
        <f t="shared" si="4"/>
        <v>Não se aplica</v>
      </c>
      <c r="AV47" s="9">
        <f t="shared" si="5"/>
        <v>1</v>
      </c>
      <c r="AW47" s="9">
        <f ca="1">TarifaMedia!$G$20</f>
        <v>1</v>
      </c>
      <c r="AX47" s="15">
        <f ca="1">'TUSD BE'!$AM47+'TUSD BF'!$AM47+'TUSD CVA'!$AM47</f>
        <v>336.3279460510845</v>
      </c>
      <c r="AY47" s="9">
        <v>261.33999999999997</v>
      </c>
      <c r="AZ47" s="9">
        <f t="shared" ca="1" si="6"/>
        <v>-74.987946051084521</v>
      </c>
      <c r="BC47" s="54" t="s">
        <v>1133</v>
      </c>
    </row>
    <row r="48" spans="1:55" ht="11.25" customHeight="1" x14ac:dyDescent="0.25">
      <c r="A48" s="149"/>
      <c r="B48" s="56" t="s">
        <v>23</v>
      </c>
      <c r="C48" s="56" t="s">
        <v>25</v>
      </c>
      <c r="D48" s="56" t="s">
        <v>25</v>
      </c>
      <c r="E48" s="56" t="s">
        <v>25</v>
      </c>
      <c r="F48" s="56" t="s">
        <v>25</v>
      </c>
      <c r="G48" s="57" t="s">
        <v>78</v>
      </c>
      <c r="H48" s="57" t="s">
        <v>74</v>
      </c>
      <c r="I48" s="57">
        <f>'MERCADO TUSD'!$U$45</f>
        <v>29180.755000000001</v>
      </c>
      <c r="J48" s="15"/>
      <c r="L48" s="31">
        <f>'TUSD BE'!$L$48*'TUSD BE'!$L$58</f>
        <v>0</v>
      </c>
      <c r="M48" s="31">
        <f>'TUSD BE'!$M$48*'TUSD BE'!$M$58</f>
        <v>-3.0650909416479716E-2</v>
      </c>
      <c r="N48" s="31">
        <f ca="1">'TUSD BE'!$N$48*'TUSD BE'!$N$58</f>
        <v>-1.3853118672125327E-5</v>
      </c>
      <c r="O48" s="31">
        <f>'TUSD BE'!$O$48*'TUSD BE'!$O$58</f>
        <v>0</v>
      </c>
      <c r="P48" s="31">
        <f>'TUSD BE'!$P$48*'TUSD BE'!$P$58</f>
        <v>0</v>
      </c>
      <c r="Q48" s="31">
        <f>'TUSD BE'!$Q$48*'TUSD BE'!$Q$58</f>
        <v>-2.7343580102382514</v>
      </c>
      <c r="R48" s="31">
        <f>'TUSD BE'!$R$48*'TUSD BE'!$R$58</f>
        <v>-0.47097951775238756</v>
      </c>
      <c r="S48" s="31">
        <f>'TUSD BE'!$R$48*'TUSD BE'!$S$58</f>
        <v>0</v>
      </c>
      <c r="T48" s="31">
        <f ca="1">SUM($L$48:$S$48)</f>
        <v>-3.2360022905257906</v>
      </c>
      <c r="U48" s="31">
        <f>'TUSD BE'!$U$48*'TUSD BE'!$U$58</f>
        <v>0</v>
      </c>
      <c r="V48" s="31">
        <f>'TUSD BE'!$V$48*'TUSD BE'!$V$58</f>
        <v>0</v>
      </c>
      <c r="W48" s="31">
        <f>'TUSD BE'!$W$48*'TUSD BE'!$W$58</f>
        <v>0</v>
      </c>
      <c r="X48" s="31">
        <f>'TUSD BE'!$X$48*'TUSD BE'!$X$58</f>
        <v>0</v>
      </c>
      <c r="Y48" s="31">
        <f>'TUSD BE'!$Y$48*'TUSD BE'!$Y$58</f>
        <v>0.39820982110424452</v>
      </c>
      <c r="Z48" s="31">
        <f>'TUSD BE'!$Z$48*'TUSD BE'!$Z$58</f>
        <v>0</v>
      </c>
      <c r="AA48" s="31">
        <f>'TUSD BE'!$AA$48*'TUSD BE'!$AA$58</f>
        <v>0</v>
      </c>
      <c r="AB48" s="31">
        <f>SUM($U$48:$AA$48)</f>
        <v>0.39820982110424452</v>
      </c>
      <c r="AC48" s="31">
        <f>'TUSD BE'!$AC$48*'TUSD BE'!$AC$58</f>
        <v>-2.0985725537422435</v>
      </c>
      <c r="AD48" s="31">
        <f>SUM($AC$48:$AC$48)</f>
        <v>-2.0985725537422435</v>
      </c>
      <c r="AE48" s="31">
        <f ca="1">$AO$48*$AO$55</f>
        <v>0</v>
      </c>
      <c r="AF48" s="31">
        <f ca="1">$AP$48*$AP$55</f>
        <v>0</v>
      </c>
      <c r="AG48" s="31">
        <f ca="1">SUM($AE$48:$AF$48)</f>
        <v>0</v>
      </c>
      <c r="AH48" s="31">
        <f>'TUSD BE'!$AH$48*'TUSD BE'!$AH$58</f>
        <v>1.3126368552728811</v>
      </c>
      <c r="AI48" s="31">
        <f>'TUSD BE'!$AI$48*'TUSD BE'!$AI$58</f>
        <v>2.8399850394202356E-2</v>
      </c>
      <c r="AJ48" s="31">
        <f ca="1">'TUSD BE'!$AJ$48*'TUSD BE'!$AJ$58</f>
        <v>2.2743288755253759E-2</v>
      </c>
      <c r="AK48" s="31">
        <f ca="1">'TUSD BE'!$AK$48*'TUSD BE'!$AK$58</f>
        <v>3.7620352974175937E-2</v>
      </c>
      <c r="AL48" s="31">
        <f ca="1">SUM($AH$48:$AK$48)</f>
        <v>1.4014003473965131</v>
      </c>
      <c r="AM48" s="31">
        <f ca="1">SUMIF($L$4:$AL$4,"SUBTOTAL",$L$48:$AL$48)+AZ48</f>
        <v>-110.63329353626264</v>
      </c>
      <c r="AO48" s="59">
        <f ca="1">+'TUSD BE'!$T$48+'TUSD BE'!$AB$48+'TUSD BE'!$AD$48+'TUSD BE'!$AL$48</f>
        <v>396.8467543887827</v>
      </c>
      <c r="AP48" s="59">
        <f ca="1">+'TUSD BE'!$T$48+'TUSD BE'!$AB$48+'TUSD BE'!$AD$48+'TUSD BE'!$AL$48</f>
        <v>396.8467543887827</v>
      </c>
      <c r="AQ48" s="9" t="str">
        <f t="shared" si="0"/>
        <v>B3</v>
      </c>
      <c r="AR48" s="9" t="str">
        <f t="shared" si="1"/>
        <v>Convencional</v>
      </c>
      <c r="AS48" s="9" t="str">
        <f t="shared" si="2"/>
        <v>Não se aplica</v>
      </c>
      <c r="AT48" s="9" t="str">
        <f t="shared" si="3"/>
        <v>Não se aplica</v>
      </c>
      <c r="AU48" s="9" t="str">
        <f t="shared" si="4"/>
        <v>Não se aplica</v>
      </c>
      <c r="AV48" s="9">
        <f t="shared" si="5"/>
        <v>1</v>
      </c>
      <c r="AW48" s="9">
        <f ca="1">TarifaMedia!$G$20</f>
        <v>1</v>
      </c>
      <c r="AX48" s="15">
        <f ca="1">'TUSD BE'!$AM48+'TUSD BF'!$AM48+'TUSD CVA'!$AM48</f>
        <v>417.58832886049538</v>
      </c>
      <c r="AY48" s="9">
        <v>310.49</v>
      </c>
      <c r="AZ48" s="9">
        <f t="shared" ca="1" si="6"/>
        <v>-107.09832886049537</v>
      </c>
      <c r="BC48" s="54" t="s">
        <v>1134</v>
      </c>
    </row>
    <row r="49" spans="1:55" ht="11.25" customHeight="1" x14ac:dyDescent="0.25">
      <c r="A49" s="149"/>
      <c r="B49" s="56" t="s">
        <v>89</v>
      </c>
      <c r="C49" s="56" t="s">
        <v>25</v>
      </c>
      <c r="D49" s="56" t="s">
        <v>25</v>
      </c>
      <c r="E49" s="56" t="s">
        <v>25</v>
      </c>
      <c r="F49" s="56" t="s">
        <v>25</v>
      </c>
      <c r="G49" s="57" t="s">
        <v>78</v>
      </c>
      <c r="H49" s="57" t="s">
        <v>74</v>
      </c>
      <c r="I49" s="57">
        <f>'MERCADO TUSD'!$U$46</f>
        <v>0</v>
      </c>
      <c r="J49" s="15"/>
      <c r="L49" s="31">
        <f>'TUSD BE'!$L$49*'TUSD BE'!$L$58</f>
        <v>0</v>
      </c>
      <c r="M49" s="31">
        <f>'TUSD BE'!$M$49*'TUSD BE'!$M$58</f>
        <v>-3.0650909416479716E-2</v>
      </c>
      <c r="N49" s="31">
        <f ca="1">'TUSD BE'!$N$49*'TUSD BE'!$N$58</f>
        <v>-1.3853118672125327E-5</v>
      </c>
      <c r="O49" s="31">
        <f>'TUSD BE'!$O$49*'TUSD BE'!$O$58</f>
        <v>0</v>
      </c>
      <c r="P49" s="31">
        <f>'TUSD BE'!$P$49*'TUSD BE'!$P$58</f>
        <v>0</v>
      </c>
      <c r="Q49" s="31">
        <f>'TUSD BE'!$Q$49*'TUSD BE'!$Q$58</f>
        <v>-2.7343580102382514</v>
      </c>
      <c r="R49" s="31">
        <f>'TUSD BE'!$R$49*'TUSD BE'!$R$58</f>
        <v>-0.47097951775238756</v>
      </c>
      <c r="S49" s="31">
        <f>'TUSD BE'!$R$49*'TUSD BE'!$S$58</f>
        <v>0</v>
      </c>
      <c r="T49" s="31">
        <f ca="1">SUM($L$49:$S$49)</f>
        <v>-3.2360022905257906</v>
      </c>
      <c r="U49" s="31">
        <f>'TUSD BE'!$U$49*'TUSD BE'!$U$58</f>
        <v>0</v>
      </c>
      <c r="V49" s="31">
        <f>'TUSD BE'!$V$49*'TUSD BE'!$V$58</f>
        <v>0</v>
      </c>
      <c r="W49" s="31">
        <f>'TUSD BE'!$W$49*'TUSD BE'!$W$58</f>
        <v>0</v>
      </c>
      <c r="X49" s="31">
        <f>'TUSD BE'!$X$49*'TUSD BE'!$X$58</f>
        <v>0</v>
      </c>
      <c r="Y49" s="31">
        <f>'TUSD BE'!$Y$49*'TUSD BE'!$Y$58</f>
        <v>0.39820982110424452</v>
      </c>
      <c r="Z49" s="31">
        <f>'TUSD BE'!$Z$49*'TUSD BE'!$Z$58</f>
        <v>0</v>
      </c>
      <c r="AA49" s="31">
        <f>'TUSD BE'!$AA$49*'TUSD BE'!$AA$58</f>
        <v>0</v>
      </c>
      <c r="AB49" s="31">
        <f>SUM($U$49:$AA$49)</f>
        <v>0.39820982110424452</v>
      </c>
      <c r="AC49" s="31">
        <f>'TUSD BE'!$AC$49*'TUSD BE'!$AC$58</f>
        <v>-2.0985725537422435</v>
      </c>
      <c r="AD49" s="31">
        <f>SUM($AC$49:$AC$49)</f>
        <v>-2.0985725537422435</v>
      </c>
      <c r="AE49" s="31">
        <f ca="1">$AO$49*$AO$55</f>
        <v>0</v>
      </c>
      <c r="AF49" s="31">
        <f ca="1">$AP$49*$AP$55</f>
        <v>0</v>
      </c>
      <c r="AG49" s="31">
        <f ca="1">SUM($AE$49:$AF$49)</f>
        <v>0</v>
      </c>
      <c r="AH49" s="31">
        <f>'TUSD BE'!$AH$49*'TUSD BE'!$AH$58</f>
        <v>1.3126368552728811</v>
      </c>
      <c r="AI49" s="31">
        <f>'TUSD BE'!$AI$49*'TUSD BE'!$AI$58</f>
        <v>2.8399850394202356E-2</v>
      </c>
      <c r="AJ49" s="31">
        <f ca="1">'TUSD BE'!$AJ$49*'TUSD BE'!$AJ$58</f>
        <v>2.2743288755253759E-2</v>
      </c>
      <c r="AK49" s="31">
        <f ca="1">'TUSD BE'!$AK$49*'TUSD BE'!$AK$58</f>
        <v>3.7620352974175937E-2</v>
      </c>
      <c r="AL49" s="31">
        <f ca="1">SUM($AH$49:$AK$49)</f>
        <v>1.4014003473965131</v>
      </c>
      <c r="AM49" s="31">
        <f ca="1">SUMIF($L$4:$AL$4,"SUBTOTAL",$L$49:$AL$49)+AZ49</f>
        <v>-110.63329353626264</v>
      </c>
      <c r="AO49" s="59">
        <f ca="1">+'TUSD BE'!$T$49+'TUSD BE'!$AB$49+'TUSD BE'!$AD$49+'TUSD BE'!$AL$49</f>
        <v>396.8467543887827</v>
      </c>
      <c r="AP49" s="59">
        <f ca="1">+'TUSD BE'!$T$49+'TUSD BE'!$AB$49+'TUSD BE'!$AD$49+'TUSD BE'!$AL$49</f>
        <v>396.8467543887827</v>
      </c>
      <c r="AQ49" s="9" t="str">
        <f t="shared" si="0"/>
        <v>B3</v>
      </c>
      <c r="AR49" s="9" t="str">
        <f t="shared" si="1"/>
        <v>Convencional pré-pagamento</v>
      </c>
      <c r="AS49" s="9" t="str">
        <f t="shared" si="2"/>
        <v>Não se aplica</v>
      </c>
      <c r="AT49" s="9" t="str">
        <f t="shared" si="3"/>
        <v>Não se aplica</v>
      </c>
      <c r="AU49" s="9" t="str">
        <f t="shared" si="4"/>
        <v>Não se aplica</v>
      </c>
      <c r="AV49" s="9">
        <f t="shared" si="5"/>
        <v>1</v>
      </c>
      <c r="AW49" s="9">
        <f ca="1">TarifaMedia!$G$20</f>
        <v>1</v>
      </c>
      <c r="AX49" s="15">
        <f ca="1">'TUSD BE'!$AM49+'TUSD BF'!$AM49+'TUSD CVA'!$AM49</f>
        <v>417.58832886049538</v>
      </c>
      <c r="AY49" s="9">
        <v>310.49</v>
      </c>
      <c r="AZ49" s="9">
        <f t="shared" ca="1" si="6"/>
        <v>-107.09832886049537</v>
      </c>
      <c r="BC49" s="54" t="s">
        <v>1135</v>
      </c>
    </row>
    <row r="50" spans="1:55" ht="11.25" customHeight="1" x14ac:dyDescent="0.25">
      <c r="A50" s="149" t="s">
        <v>44</v>
      </c>
      <c r="B50" s="149" t="s">
        <v>23</v>
      </c>
      <c r="C50" s="149" t="s">
        <v>45</v>
      </c>
      <c r="D50" s="56" t="s">
        <v>46</v>
      </c>
      <c r="E50" s="56" t="s">
        <v>25</v>
      </c>
      <c r="F50" s="56" t="s">
        <v>25</v>
      </c>
      <c r="G50" s="57" t="s">
        <v>78</v>
      </c>
      <c r="H50" s="57" t="s">
        <v>74</v>
      </c>
      <c r="I50" s="57">
        <f>'MERCADO TUSD'!$U$47</f>
        <v>11805.242</v>
      </c>
      <c r="J50" s="15"/>
      <c r="L50" s="31">
        <f>'TUSD BE'!$L$50*'TUSD BE'!$L$58</f>
        <v>0</v>
      </c>
      <c r="M50" s="31">
        <f>'TUSD BE'!$M$50*'TUSD BE'!$M$58</f>
        <v>-1.6858000179063845E-2</v>
      </c>
      <c r="N50" s="31">
        <f ca="1">'TUSD BE'!$N$50*'TUSD BE'!$N$58</f>
        <v>-7.6192152696689299E-6</v>
      </c>
      <c r="O50" s="31">
        <f>'TUSD BE'!$O$50*'TUSD BE'!$O$58</f>
        <v>0</v>
      </c>
      <c r="P50" s="31">
        <f>'TUSD BE'!$P$50*'TUSD BE'!$P$58</f>
        <v>0</v>
      </c>
      <c r="Q50" s="31">
        <f>'TUSD BE'!$Q$50*'TUSD BE'!$Q$58</f>
        <v>-1.5038969056310385</v>
      </c>
      <c r="R50" s="31">
        <f>'TUSD BE'!$R$50*'TUSD BE'!$R$58</f>
        <v>-0.25903873476381317</v>
      </c>
      <c r="S50" s="31">
        <f>'TUSD BE'!$R$50*'TUSD BE'!$S$58</f>
        <v>0</v>
      </c>
      <c r="T50" s="31">
        <f ca="1">SUM($L$50:$S$50)</f>
        <v>-1.7798012597891852</v>
      </c>
      <c r="U50" s="31">
        <f>'TUSD BE'!$U$50*'TUSD BE'!$U$58</f>
        <v>0</v>
      </c>
      <c r="V50" s="31">
        <f>'TUSD BE'!$V$50*'TUSD BE'!$V$58</f>
        <v>0</v>
      </c>
      <c r="W50" s="31">
        <f>'TUSD BE'!$W$50*'TUSD BE'!$W$58</f>
        <v>0</v>
      </c>
      <c r="X50" s="31">
        <f>'TUSD BE'!$X$50*'TUSD BE'!$X$58</f>
        <v>0</v>
      </c>
      <c r="Y50" s="31">
        <f>'TUSD BE'!$Y$50*'TUSD BE'!$Y$58</f>
        <v>0.21901540160733451</v>
      </c>
      <c r="Z50" s="31">
        <f>'TUSD BE'!$Z$50*'TUSD BE'!$Z$58</f>
        <v>0</v>
      </c>
      <c r="AA50" s="31">
        <f>'TUSD BE'!$AA$50*'TUSD BE'!$AA$58</f>
        <v>0</v>
      </c>
      <c r="AB50" s="31">
        <f>SUM($U$50:$AA$50)</f>
        <v>0.21901540160733451</v>
      </c>
      <c r="AC50" s="31">
        <f>'TUSD BE'!$AC$50*'TUSD BE'!$AC$58</f>
        <v>-1.1542149045582342</v>
      </c>
      <c r="AD50" s="31">
        <f>SUM($AC$50:$AC$50)</f>
        <v>-1.1542149045582342</v>
      </c>
      <c r="AE50" s="31">
        <f ca="1">$AO$50*$AO$55</f>
        <v>0</v>
      </c>
      <c r="AF50" s="31">
        <f ca="1">$AP$50*$AP$55</f>
        <v>0</v>
      </c>
      <c r="AG50" s="31">
        <f ca="1">SUM($AE$50:$AF$50)</f>
        <v>0</v>
      </c>
      <c r="AH50" s="31">
        <f>'TUSD BE'!$AH$50*'TUSD BE'!$AH$58</f>
        <v>0.72195027040008464</v>
      </c>
      <c r="AI50" s="31">
        <f>'TUSD BE'!$AI$50*'TUSD BE'!$AI$58</f>
        <v>1.5619917716811295E-2</v>
      </c>
      <c r="AJ50" s="31">
        <f ca="1">'TUSD BE'!$AJ$50*'TUSD BE'!$AJ$58</f>
        <v>1.250880881538957E-2</v>
      </c>
      <c r="AK50" s="31">
        <f ca="1">'TUSD BE'!$AK$50*'TUSD BE'!$AK$58</f>
        <v>2.0691194135796769E-2</v>
      </c>
      <c r="AL50" s="31">
        <f ca="1">SUM($AH$50:$AK$50)</f>
        <v>0.7707701910680822</v>
      </c>
      <c r="AM50" s="31">
        <f ca="1">SUMIF($L$4:$AL$4,"SUBTOTAL",$L$50:$AL$50)+AZ50</f>
        <v>-60.84781144494449</v>
      </c>
      <c r="AO50" s="59">
        <f ca="1">+'TUSD BE'!$T$50+'TUSD BE'!$AB$50+'TUSD BE'!$AD$50+'TUSD BE'!$AL$50</f>
        <v>218.26571491383052</v>
      </c>
      <c r="AP50" s="59">
        <f ca="1">+'TUSD BE'!$T$50+'TUSD BE'!$AB$50+'TUSD BE'!$AD$50+'TUSD BE'!$AL$50</f>
        <v>218.26571491383052</v>
      </c>
      <c r="AQ50" s="9" t="str">
        <f t="shared" si="0"/>
        <v>B4</v>
      </c>
      <c r="AR50" s="9" t="str">
        <f t="shared" si="1"/>
        <v>Convencional</v>
      </c>
      <c r="AS50" s="9" t="str">
        <f t="shared" si="2"/>
        <v>Iluminação pública</v>
      </c>
      <c r="AT50" s="9" t="str">
        <f t="shared" si="3"/>
        <v>Iluminação pública – B4a</v>
      </c>
      <c r="AU50" s="9" t="str">
        <f t="shared" si="4"/>
        <v>Não se aplica</v>
      </c>
      <c r="AV50" s="9">
        <f t="shared" si="5"/>
        <v>1</v>
      </c>
      <c r="AW50" s="9">
        <f ca="1">TarifaMedia!$G$20</f>
        <v>1</v>
      </c>
      <c r="AX50" s="15">
        <f ca="1">'TUSD BE'!$AM50+'TUSD BF'!$AM50+'TUSD CVA'!$AM50</f>
        <v>229.6735808732725</v>
      </c>
      <c r="AY50" s="9">
        <v>170.77</v>
      </c>
      <c r="AZ50" s="9">
        <f t="shared" ca="1" si="6"/>
        <v>-58.903580873272489</v>
      </c>
      <c r="BC50" s="54" t="s">
        <v>1136</v>
      </c>
    </row>
    <row r="51" spans="1:55" ht="11.25" customHeight="1" x14ac:dyDescent="0.25">
      <c r="A51" s="149"/>
      <c r="B51" s="149"/>
      <c r="C51" s="149"/>
      <c r="D51" s="57" t="s">
        <v>92</v>
      </c>
      <c r="E51" s="57" t="s">
        <v>25</v>
      </c>
      <c r="F51" s="57" t="s">
        <v>25</v>
      </c>
      <c r="G51" s="57" t="s">
        <v>78</v>
      </c>
      <c r="H51" s="57" t="s">
        <v>74</v>
      </c>
      <c r="I51" s="57">
        <f>'MERCADO TUSD'!$U$48</f>
        <v>0</v>
      </c>
      <c r="J51" s="15"/>
      <c r="L51" s="31">
        <f>'TUSD BE'!$L$51*'TUSD BE'!$L$58</f>
        <v>0</v>
      </c>
      <c r="M51" s="31">
        <f>'TUSD BE'!$M$51*'TUSD BE'!$M$58</f>
        <v>-1.8390545649887829E-2</v>
      </c>
      <c r="N51" s="31">
        <f ca="1">'TUSD BE'!$N$51*'TUSD BE'!$N$58</f>
        <v>-8.3118712032751966E-6</v>
      </c>
      <c r="O51" s="31">
        <f>'TUSD BE'!$O$51*'TUSD BE'!$O$58</f>
        <v>0</v>
      </c>
      <c r="P51" s="31">
        <f>'TUSD BE'!$P$51*'TUSD BE'!$P$58</f>
        <v>0</v>
      </c>
      <c r="Q51" s="31">
        <f>'TUSD BE'!$Q$51*'TUSD BE'!$Q$58</f>
        <v>-1.6406148061429509</v>
      </c>
      <c r="R51" s="31">
        <f>'TUSD BE'!$R$51*'TUSD BE'!$R$58</f>
        <v>-0.28258771065143251</v>
      </c>
      <c r="S51" s="31">
        <f>'TUSD BE'!$R$51*'TUSD BE'!$S$58</f>
        <v>0</v>
      </c>
      <c r="T51" s="31">
        <f ca="1">SUM($L$51:$S$51)</f>
        <v>-1.9416013743154745</v>
      </c>
      <c r="U51" s="31">
        <f>'TUSD BE'!$U$51*'TUSD BE'!$U$58</f>
        <v>0</v>
      </c>
      <c r="V51" s="31">
        <f>'TUSD BE'!$V$51*'TUSD BE'!$V$58</f>
        <v>0</v>
      </c>
      <c r="W51" s="31">
        <f>'TUSD BE'!$W$51*'TUSD BE'!$W$58</f>
        <v>0</v>
      </c>
      <c r="X51" s="31">
        <f>'TUSD BE'!$X$51*'TUSD BE'!$X$58</f>
        <v>0</v>
      </c>
      <c r="Y51" s="31">
        <f>'TUSD BE'!$Y$51*'TUSD BE'!$Y$58</f>
        <v>0.23892589266254671</v>
      </c>
      <c r="Z51" s="31">
        <f>'TUSD BE'!$Z$51*'TUSD BE'!$Z$58</f>
        <v>0</v>
      </c>
      <c r="AA51" s="31">
        <f>'TUSD BE'!$AA$51*'TUSD BE'!$AA$58</f>
        <v>0</v>
      </c>
      <c r="AB51" s="31">
        <f>SUM($U$51:$AA$51)</f>
        <v>0.23892589266254671</v>
      </c>
      <c r="AC51" s="31">
        <f>'TUSD BE'!$AC$51*'TUSD BE'!$AC$58</f>
        <v>-1.2591435322453461</v>
      </c>
      <c r="AD51" s="31">
        <f>SUM($AC$51:$AC$51)</f>
        <v>-1.2591435322453461</v>
      </c>
      <c r="AE51" s="31">
        <f ca="1">$AO$51*$AO$55</f>
        <v>0</v>
      </c>
      <c r="AF51" s="31">
        <f ca="1">$AP$51*$AP$55</f>
        <v>0</v>
      </c>
      <c r="AG51" s="31">
        <f ca="1">SUM($AE$51:$AF$51)</f>
        <v>0</v>
      </c>
      <c r="AH51" s="31">
        <f>'TUSD BE'!$AH$51*'TUSD BE'!$AH$58</f>
        <v>0.78758211316372861</v>
      </c>
      <c r="AI51" s="31">
        <f>'TUSD BE'!$AI$51*'TUSD BE'!$AI$58</f>
        <v>1.7039910236521412E-2</v>
      </c>
      <c r="AJ51" s="31">
        <f ca="1">'TUSD BE'!$AJ$51*'TUSD BE'!$AJ$58</f>
        <v>1.3645973253152255E-2</v>
      </c>
      <c r="AK51" s="31">
        <f ca="1">'TUSD BE'!$AK$51*'TUSD BE'!$AK$58</f>
        <v>2.2572211784505563E-2</v>
      </c>
      <c r="AL51" s="31">
        <f ca="1">SUM($AH$51:$AK$51)</f>
        <v>0.84084020843790785</v>
      </c>
      <c r="AM51" s="31">
        <f ca="1">SUMIF($L$4:$AL$4,"SUBTOTAL",$L$51:$AL$51)+AZ51</f>
        <v>-66.383976121757627</v>
      </c>
      <c r="AO51" s="59">
        <f ca="1">+'TUSD BE'!$T$51+'TUSD BE'!$AB$51+'TUSD BE'!$AD$51+'TUSD BE'!$AL$51</f>
        <v>238.10805263326964</v>
      </c>
      <c r="AP51" s="59">
        <f ca="1">+'TUSD BE'!$T$51+'TUSD BE'!$AB$51+'TUSD BE'!$AD$51+'TUSD BE'!$AL$51</f>
        <v>238.10805263326964</v>
      </c>
      <c r="AQ51" s="9" t="str">
        <f t="shared" si="0"/>
        <v>B4</v>
      </c>
      <c r="AR51" s="9" t="str">
        <f t="shared" si="1"/>
        <v>Convencional</v>
      </c>
      <c r="AS51" s="9" t="str">
        <f t="shared" si="2"/>
        <v>Iluminação pública</v>
      </c>
      <c r="AT51" s="9" t="str">
        <f t="shared" si="3"/>
        <v>Iluminação pública – B4b</v>
      </c>
      <c r="AU51" s="9" t="str">
        <f t="shared" si="4"/>
        <v>Não se aplica</v>
      </c>
      <c r="AV51" s="9">
        <f t="shared" si="5"/>
        <v>1</v>
      </c>
      <c r="AW51" s="9">
        <f ca="1">TarifaMedia!$G$20</f>
        <v>1</v>
      </c>
      <c r="AX51" s="15">
        <f ca="1">'TUSD BE'!$AM51+'TUSD BF'!$AM51+'TUSD CVA'!$AM51</f>
        <v>250.55299731629725</v>
      </c>
      <c r="AY51" s="9">
        <v>186.29</v>
      </c>
      <c r="AZ51" s="9">
        <f t="shared" ca="1" si="6"/>
        <v>-64.262997316297259</v>
      </c>
      <c r="BC51" s="54" t="s">
        <v>1137</v>
      </c>
    </row>
    <row r="53" spans="1:55" ht="11.25" customHeight="1" x14ac:dyDescent="0.25">
      <c r="K53" s="55" t="s">
        <v>570</v>
      </c>
      <c r="L53" s="31">
        <f>SUMPRODUCT($I$5:$I51,$L$5:$L51)</f>
        <v>0</v>
      </c>
      <c r="M53" s="31">
        <f>SUMPRODUCT($I$5:$I51,$M$5:$M51)</f>
        <v>-5095.3742162426397</v>
      </c>
      <c r="N53" s="31">
        <f ca="1">SUMPRODUCT($I$5:$I51,$N$5:$N51)</f>
        <v>-2.1461305651778178</v>
      </c>
      <c r="O53" s="31">
        <f>SUMPRODUCT($I$5:$I51,$O$5:$O51)</f>
        <v>0</v>
      </c>
      <c r="P53" s="31">
        <f>SUMPRODUCT($I$5:$I51,$P$5:$P51)</f>
        <v>0</v>
      </c>
      <c r="Q53" s="31">
        <f>SUMPRODUCT($I$5:$I51,$Q$5:$Q51)</f>
        <v>-606637.6309529962</v>
      </c>
      <c r="R53" s="31">
        <f>SUMPRODUCT($I$5:$I51,$R$5:$R51)</f>
        <v>-114045.21715739089</v>
      </c>
      <c r="S53" s="31">
        <f>SUMPRODUCT($I$5:$I51,$S$5:$S51)</f>
        <v>0</v>
      </c>
      <c r="T53" s="31">
        <f ca="1">SUMPRODUCT($I$5:$I51,$T$5:$T51)</f>
        <v>-725780.36845719512</v>
      </c>
      <c r="U53" s="31">
        <f>SUMPRODUCT($I$5:$I51,$U$5:$U51)</f>
        <v>0</v>
      </c>
      <c r="V53" s="31">
        <f>SUMPRODUCT($I$5:$I51,$V$5:$V51)</f>
        <v>0</v>
      </c>
      <c r="W53" s="31">
        <f>SUMPRODUCT($I$5:$I51,$W$5:$W51)</f>
        <v>0</v>
      </c>
      <c r="X53" s="31">
        <f>SUMPRODUCT($I$5:$I51,$X$5:$X51)</f>
        <v>0</v>
      </c>
      <c r="Y53" s="31">
        <f>SUMPRODUCT($I$5:$I51,$Y$5:$Y51)</f>
        <v>89260.421168354282</v>
      </c>
      <c r="Z53" s="31">
        <f>SUMPRODUCT($I$5:$I51,$Z$5:$Z51)</f>
        <v>0</v>
      </c>
      <c r="AA53" s="31">
        <f>SUMPRODUCT($I$5:$I51,$AA$5:$AA51)</f>
        <v>0</v>
      </c>
      <c r="AB53" s="31">
        <f>SUMPRODUCT($I$5:$I51,$AB$5:$AB51)</f>
        <v>89260.421168354282</v>
      </c>
      <c r="AC53" s="31">
        <f>SUMPRODUCT($I$5:$I51,$AC$5:$AC51)</f>
        <v>-348853.91761998093</v>
      </c>
      <c r="AD53" s="31">
        <f>SUMPRODUCT($I$5:$I51,$AD$5:$AD51)</f>
        <v>-348853.91761998093</v>
      </c>
      <c r="AE53" s="31">
        <f ca="1">SUMPRODUCT($I$5:$I51,$AE$5:$AE51)</f>
        <v>0</v>
      </c>
      <c r="AF53" s="31">
        <f ca="1">SUMPRODUCT($I$5:$I51,$AF$5:$AF51)</f>
        <v>0</v>
      </c>
      <c r="AG53" s="31">
        <f ca="1">SUMPRODUCT($I$5:$I51,$AG$5:$AG51)</f>
        <v>0</v>
      </c>
      <c r="AH53" s="31">
        <f>SUMPRODUCT($I$5:$I51,$AH$5:$AH51)</f>
        <v>233527.97964365163</v>
      </c>
      <c r="AI53" s="31">
        <f>SUMPRODUCT($I$5:$I51,$AI$5:$AI51)</f>
        <v>5052.5472129618784</v>
      </c>
      <c r="AJ53" s="31">
        <f ca="1">SUMPRODUCT($I$5:$I51,$AJ$5:$AJ51)</f>
        <v>4591.3605377627364</v>
      </c>
      <c r="AK53" s="31">
        <f ca="1">SUMPRODUCT($I$5:$I51,$AK$5:$AK51)</f>
        <v>7594.7065493083383</v>
      </c>
      <c r="AL53" s="31">
        <f ca="1">SUMPRODUCT($I$5:$I51,$AL$5:$AL51)</f>
        <v>250766.59394368457</v>
      </c>
      <c r="AM53" s="31">
        <f ca="1">SUMPRODUCT($I$5:$I51,$AM$5:$AM51)</f>
        <v>-18955147.057849403</v>
      </c>
      <c r="AO53" s="57">
        <f ca="1">SUMPRODUCT($I$5:$I51,$AO$5:$AO51)</f>
        <v>78148716.64811708</v>
      </c>
      <c r="AP53" s="57">
        <f ca="1">SUMPRODUCT($I$5:$I51,$AP$5:$AP51)</f>
        <v>78148716.64811708</v>
      </c>
    </row>
    <row r="54" spans="1:55" ht="11.25" customHeight="1" x14ac:dyDescent="0.25">
      <c r="K54" s="55" t="s">
        <v>502</v>
      </c>
      <c r="L54" s="31">
        <f>'TR TUSD'!$L$56</f>
        <v>0</v>
      </c>
      <c r="M54" s="31">
        <f>'TR TUSD'!$M$56</f>
        <v>132162.35381336641</v>
      </c>
      <c r="N54" s="31">
        <f>'TR TUSD'!$N$56</f>
        <v>624527.40973006445</v>
      </c>
      <c r="O54" s="31">
        <f>'TR TUSD'!$O$56</f>
        <v>0</v>
      </c>
      <c r="P54" s="31">
        <f>'TR TUSD'!$P$56</f>
        <v>0</v>
      </c>
      <c r="Q54" s="31">
        <f>'TR TUSD'!$Q$56</f>
        <v>19906891.243956644</v>
      </c>
      <c r="R54" s="31">
        <f>'TR TUSD'!$R$56</f>
        <v>3322148.6522549647</v>
      </c>
      <c r="S54" s="31">
        <f>'TR TUSD'!$S$56</f>
        <v>0</v>
      </c>
      <c r="T54" s="31">
        <f>'TR TUSD'!$T$56</f>
        <v>23985729.65975504</v>
      </c>
      <c r="U54" s="31">
        <f>'TR TUSD'!$U$56</f>
        <v>0</v>
      </c>
      <c r="V54" s="31">
        <f>'TR TUSD'!$V$56</f>
        <v>0</v>
      </c>
      <c r="W54" s="31">
        <f>'TR TUSD'!$W$56</f>
        <v>0</v>
      </c>
      <c r="X54" s="31">
        <f>'TR TUSD'!$X$56</f>
        <v>0</v>
      </c>
      <c r="Y54" s="31">
        <f>'TR TUSD'!$Y$56</f>
        <v>23028775.62164</v>
      </c>
      <c r="Z54" s="31">
        <f>'TR TUSD'!$Z$56</f>
        <v>0</v>
      </c>
      <c r="AA54" s="31">
        <f>'TR TUSD'!$AA$56</f>
        <v>0</v>
      </c>
      <c r="AB54" s="31">
        <f>'TR TUSD'!$AB$56</f>
        <v>23028775.62164</v>
      </c>
      <c r="AC54" s="31">
        <f>'TR TUSD'!$AC$56</f>
        <v>27669405.247148588</v>
      </c>
      <c r="AD54" s="31">
        <f>'TR TUSD'!$AD$56</f>
        <v>27669405.247148588</v>
      </c>
      <c r="AE54" s="31">
        <f>'TR TUSD'!$AE$56</f>
        <v>0</v>
      </c>
      <c r="AF54" s="31">
        <f>'TR TUSD'!$AF$56</f>
        <v>0</v>
      </c>
      <c r="AG54" s="31">
        <f>'TR TUSD'!$AG$56</f>
        <v>0</v>
      </c>
      <c r="AH54" s="31">
        <f>'TR TUSD'!$AH$56</f>
        <v>3262716.0429595937</v>
      </c>
      <c r="AI54" s="31">
        <f>'TR TUSD'!$AI$56</f>
        <v>70591.227974894384</v>
      </c>
      <c r="AJ54" s="31">
        <f>'TR TUSD'!$AJ$56</f>
        <v>64147.798085818387</v>
      </c>
      <c r="AK54" s="31">
        <f>'TR TUSD'!$AK$56</f>
        <v>67351.050553161942</v>
      </c>
      <c r="AL54" s="31">
        <f>'TR TUSD'!$AL$56</f>
        <v>3464806.1195734688</v>
      </c>
      <c r="AM54" s="31">
        <f>'TUSD BE'!$AM$54</f>
        <v>78148716.648117095</v>
      </c>
      <c r="AO54" s="57">
        <f>$AE$55</f>
        <v>0</v>
      </c>
      <c r="AP54" s="57">
        <f>$AF$55</f>
        <v>0</v>
      </c>
    </row>
    <row r="55" spans="1:55" ht="11.25" customHeight="1" x14ac:dyDescent="0.25">
      <c r="K55" s="55" t="s">
        <v>503</v>
      </c>
      <c r="L55" s="31">
        <f>CUSTOS!$E$2</f>
        <v>0</v>
      </c>
      <c r="M55" s="31">
        <f>CUSTOS!$E$3</f>
        <v>-5095.3742162426397</v>
      </c>
      <c r="N55" s="31">
        <f>CUSTOS!$E$4</f>
        <v>-2.1461305651778182</v>
      </c>
      <c r="O55" s="31">
        <f>CUSTOS!$E$5</f>
        <v>0</v>
      </c>
      <c r="P55" s="31">
        <f>CUSTOS!$E$6</f>
        <v>0</v>
      </c>
      <c r="Q55" s="31">
        <f>CUSTOS!$E$7</f>
        <v>-606637.6309529962</v>
      </c>
      <c r="R55" s="31">
        <f>CUSTOS!$E$8</f>
        <v>-114045.2171573909</v>
      </c>
      <c r="S55" s="31">
        <f>CUSTOS!$E$9</f>
        <v>0</v>
      </c>
      <c r="T55" s="31">
        <f>CUSTOS!$E$10</f>
        <v>-725780.36845719488</v>
      </c>
      <c r="U55" s="31">
        <f>CUSTOS!$E$11</f>
        <v>0</v>
      </c>
      <c r="V55" s="31">
        <f>CUSTOS!$E$12</f>
        <v>0</v>
      </c>
      <c r="W55" s="31">
        <f>CUSTOS!$E$13</f>
        <v>0</v>
      </c>
      <c r="X55" s="31">
        <f>CUSTOS!$E$14</f>
        <v>0</v>
      </c>
      <c r="Y55" s="31">
        <f>CUSTOS!$E$15</f>
        <v>89260.421168354311</v>
      </c>
      <c r="Z55" s="31">
        <f>CUSTOS!$E$16</f>
        <v>0</v>
      </c>
      <c r="AA55" s="31">
        <f>CUSTOS!$E$17</f>
        <v>0</v>
      </c>
      <c r="AB55" s="31">
        <f>CUSTOS!$E$18</f>
        <v>89260.421168354311</v>
      </c>
      <c r="AC55" s="31">
        <f>CUSTOS!$E$19</f>
        <v>-348853.91761998099</v>
      </c>
      <c r="AD55" s="31">
        <f>CUSTOS!$E$20</f>
        <v>-348853.91761998099</v>
      </c>
      <c r="AE55" s="31">
        <f>CUSTOS!$E$21</f>
        <v>0</v>
      </c>
      <c r="AF55" s="31">
        <f>CUSTOS!$E$22</f>
        <v>0</v>
      </c>
      <c r="AG55" s="31">
        <f>CUSTOS!$E$23</f>
        <v>0</v>
      </c>
      <c r="AH55" s="31">
        <f>CUSTOS!$E$24</f>
        <v>233527.97964365163</v>
      </c>
      <c r="AI55" s="31">
        <f>CUSTOS!$E$25</f>
        <v>5052.5472129618793</v>
      </c>
      <c r="AJ55" s="31">
        <f>CUSTOS!$E$26</f>
        <v>4591.3605377627373</v>
      </c>
      <c r="AK55" s="31">
        <f>CUSTOS!$E$27</f>
        <v>7594.7065493083364</v>
      </c>
      <c r="AL55" s="31">
        <f>CUSTOS!$E$28</f>
        <v>250766.59394368459</v>
      </c>
      <c r="AM55" s="31">
        <f>CUSTOS!$E$29</f>
        <v>-734607.27096513694</v>
      </c>
      <c r="AO55" s="57">
        <f ca="1">IF(AO53&lt;&gt;0,AO54/AO53,0)</f>
        <v>0</v>
      </c>
      <c r="AP55" s="57">
        <f ca="1">IF(AP53&lt;&gt;0,AP54/AP53,0)</f>
        <v>0</v>
      </c>
    </row>
    <row r="56" spans="1:55" ht="11.25" customHeight="1" x14ac:dyDescent="0.25">
      <c r="K56" s="55" t="s">
        <v>504</v>
      </c>
      <c r="L56" s="31">
        <f>CUSTOS!$F$2</f>
        <v>0</v>
      </c>
      <c r="M56" s="31">
        <f>CUSTOS!$F$3</f>
        <v>0</v>
      </c>
      <c r="N56" s="31">
        <f>CUSTOS!$F$4</f>
        <v>0</v>
      </c>
      <c r="O56" s="31">
        <f>CUSTOS!$F$5</f>
        <v>0</v>
      </c>
      <c r="P56" s="31">
        <f>CUSTOS!$F$6</f>
        <v>0</v>
      </c>
      <c r="Q56" s="31">
        <f>CUSTOS!$F$7</f>
        <v>4533213.0837000003</v>
      </c>
      <c r="R56" s="31">
        <f>CUSTOS!$F$8</f>
        <v>940817.59369999997</v>
      </c>
      <c r="S56" s="31">
        <f>CUSTOS!$F$9</f>
        <v>0</v>
      </c>
      <c r="T56" s="31">
        <f>CUSTOS!$F$10</f>
        <v>5474030.6774000004</v>
      </c>
      <c r="U56" s="31">
        <f>CUSTOS!$F$11</f>
        <v>0</v>
      </c>
      <c r="V56" s="31">
        <f>CUSTOS!$F$12</f>
        <v>0</v>
      </c>
      <c r="W56" s="31">
        <f>CUSTOS!$F$13</f>
        <v>0</v>
      </c>
      <c r="X56" s="31">
        <f>CUSTOS!$F$14</f>
        <v>0</v>
      </c>
      <c r="Y56" s="31">
        <f>CUSTOS!$F$15</f>
        <v>0</v>
      </c>
      <c r="Z56" s="31">
        <f>CUSTOS!$F$16</f>
        <v>0</v>
      </c>
      <c r="AA56" s="31">
        <f>CUSTOS!$F$17</f>
        <v>0</v>
      </c>
      <c r="AB56" s="31">
        <f>CUSTOS!$F$18</f>
        <v>0</v>
      </c>
      <c r="AC56" s="31">
        <f>CUSTOS!$F$19</f>
        <v>0</v>
      </c>
      <c r="AD56" s="31">
        <f>CUSTOS!$F$20</f>
        <v>0</v>
      </c>
      <c r="AE56" s="31">
        <f>CUSTOS!$F$21</f>
        <v>0</v>
      </c>
      <c r="AF56" s="31">
        <f>CUSTOS!$F$22</f>
        <v>0</v>
      </c>
      <c r="AG56" s="31">
        <f>CUSTOS!$F$23</f>
        <v>0</v>
      </c>
      <c r="AH56" s="31">
        <f>CUSTOS!$F$24</f>
        <v>-7160.0881097381116</v>
      </c>
      <c r="AI56" s="31">
        <f>CUSTOS!$F$25</f>
        <v>-154.91369932897135</v>
      </c>
      <c r="AJ56" s="31">
        <f>CUSTOS!$F$26</f>
        <v>-140.77347838199159</v>
      </c>
      <c r="AK56" s="31">
        <f>CUSTOS!$F$27</f>
        <v>0</v>
      </c>
      <c r="AL56" s="31">
        <f>CUSTOS!$F$28</f>
        <v>-7455.7752874490743</v>
      </c>
      <c r="AM56" s="31">
        <f>CUSTOS!$F$29</f>
        <v>5466574.902112551</v>
      </c>
    </row>
    <row r="57" spans="1:55" ht="11.25" customHeight="1" x14ac:dyDescent="0.25">
      <c r="K57" s="55" t="s">
        <v>567</v>
      </c>
      <c r="L57" s="31">
        <v>0</v>
      </c>
      <c r="M57" s="31">
        <v>0</v>
      </c>
      <c r="N57" s="31">
        <v>0</v>
      </c>
      <c r="O57" s="31">
        <v>0</v>
      </c>
      <c r="P57" s="31">
        <v>0</v>
      </c>
      <c r="Q57" s="31">
        <v>0</v>
      </c>
      <c r="R57" s="31">
        <v>0</v>
      </c>
      <c r="S57" s="31">
        <v>0</v>
      </c>
      <c r="T57" s="31">
        <f>SUM($L$57:$S$57)</f>
        <v>0</v>
      </c>
      <c r="U57" s="31">
        <v>0</v>
      </c>
      <c r="V57" s="31">
        <v>0</v>
      </c>
      <c r="W57" s="31">
        <v>0</v>
      </c>
      <c r="X57" s="31">
        <v>0</v>
      </c>
      <c r="Y57" s="31">
        <v>0</v>
      </c>
      <c r="Z57" s="31">
        <v>0</v>
      </c>
      <c r="AA57" s="31">
        <v>0</v>
      </c>
      <c r="AB57" s="31">
        <f>SUM($U$57:$AA$57)</f>
        <v>0</v>
      </c>
      <c r="AC57" s="31">
        <v>0</v>
      </c>
      <c r="AD57" s="31">
        <f>SUM($AC$57:$AC$57)</f>
        <v>0</v>
      </c>
      <c r="AE57" s="31">
        <v>0</v>
      </c>
      <c r="AF57" s="31">
        <v>0</v>
      </c>
      <c r="AG57" s="31">
        <f>SUM($AE$57:$AF$57)</f>
        <v>0</v>
      </c>
      <c r="AH57" s="31">
        <v>0</v>
      </c>
      <c r="AI57" s="31">
        <v>0</v>
      </c>
      <c r="AJ57" s="31">
        <v>0</v>
      </c>
      <c r="AK57" s="31">
        <v>0</v>
      </c>
      <c r="AL57" s="31">
        <f>SUM($AH$57:$AK$57)</f>
        <v>0</v>
      </c>
      <c r="AM57" s="31"/>
    </row>
    <row r="58" spans="1:55" ht="11.25" customHeight="1" x14ac:dyDescent="0.25">
      <c r="K58" s="55" t="s">
        <v>573</v>
      </c>
      <c r="L58" s="31">
        <f t="shared" ref="L58:R58" si="7">IF((L54-(0))&lt;&gt;0,(L56)/(L54-(0)),0)</f>
        <v>0</v>
      </c>
      <c r="M58" s="31">
        <f t="shared" si="7"/>
        <v>0</v>
      </c>
      <c r="N58" s="31">
        <f t="shared" si="7"/>
        <v>0</v>
      </c>
      <c r="O58" s="31">
        <f t="shared" si="7"/>
        <v>0</v>
      </c>
      <c r="P58" s="31">
        <f t="shared" si="7"/>
        <v>0</v>
      </c>
      <c r="Q58" s="31">
        <f t="shared" si="7"/>
        <v>0.22772079417855856</v>
      </c>
      <c r="R58" s="31">
        <f t="shared" si="7"/>
        <v>0.28319551356060002</v>
      </c>
      <c r="S58" s="31">
        <f>IF((R53-(0)&lt;&gt;0),(S55)/(R53-(0)),0)</f>
        <v>0</v>
      </c>
      <c r="T58" s="31"/>
      <c r="U58" s="31">
        <f t="shared" ref="U58:AA58" si="8">IF((U54-(0))&lt;&gt;0,(U56)/(U54-(0)),0)</f>
        <v>0</v>
      </c>
      <c r="V58" s="31">
        <f t="shared" si="8"/>
        <v>0</v>
      </c>
      <c r="W58" s="31">
        <f t="shared" si="8"/>
        <v>0</v>
      </c>
      <c r="X58" s="31">
        <f t="shared" si="8"/>
        <v>0</v>
      </c>
      <c r="Y58" s="31">
        <f t="shared" si="8"/>
        <v>0</v>
      </c>
      <c r="Z58" s="31">
        <f t="shared" si="8"/>
        <v>0</v>
      </c>
      <c r="AA58" s="31">
        <f t="shared" si="8"/>
        <v>0</v>
      </c>
      <c r="AB58" s="31"/>
      <c r="AC58" s="31">
        <f>IF((AC54-(0))&lt;&gt;0,(AC56)/(AC54-(0)),0)</f>
        <v>0</v>
      </c>
      <c r="AD58" s="31"/>
      <c r="AE58" s="31">
        <f ca="1">IF(($AM53-(0))&lt;&gt;0,(AE55)/($AM53-(0)),0)</f>
        <v>0</v>
      </c>
      <c r="AF58" s="31">
        <f ca="1">IF(($AM53-(0))&lt;&gt;0,(AF55)/($AM53-(0)),0)</f>
        <v>0</v>
      </c>
      <c r="AG58" s="31"/>
      <c r="AH58" s="31">
        <f>IF((AH54-(0))&lt;&gt;0,(AH56)/(AH54-(0)),0)</f>
        <v>-2.1945177010388043E-3</v>
      </c>
      <c r="AI58" s="31">
        <f>IF((AI54-(0))&lt;&gt;0,(AI56)/(AI54-(0)),0)</f>
        <v>-2.1945177010388043E-3</v>
      </c>
      <c r="AJ58" s="31">
        <f>IF((AJ54-(0))&lt;&gt;0,(AJ56)/(AJ54-(0)),0)</f>
        <v>-2.1945177010388047E-3</v>
      </c>
      <c r="AK58" s="31">
        <f>IF((AK54-(0))&lt;&gt;0,(AK56)/(AK54-(0)),0)</f>
        <v>0</v>
      </c>
      <c r="AL58" s="31"/>
      <c r="AM58" s="31"/>
    </row>
  </sheetData>
  <mergeCells count="84">
    <mergeCell ref="D1:D4"/>
    <mergeCell ref="E1:E4"/>
    <mergeCell ref="F1:F4"/>
    <mergeCell ref="J1:J4"/>
    <mergeCell ref="L1:AM1"/>
    <mergeCell ref="G1:G4"/>
    <mergeCell ref="H1:H4"/>
    <mergeCell ref="I1:I4"/>
    <mergeCell ref="AP1:AP4"/>
    <mergeCell ref="L2:AM2"/>
    <mergeCell ref="L3:T3"/>
    <mergeCell ref="U3:AB3"/>
    <mergeCell ref="AC3:AD3"/>
    <mergeCell ref="AE3:AG3"/>
    <mergeCell ref="AH3:AL3"/>
    <mergeCell ref="AM3:AM4"/>
    <mergeCell ref="A1:A4"/>
    <mergeCell ref="C10:C14"/>
    <mergeCell ref="D10:D14"/>
    <mergeCell ref="E10:E12"/>
    <mergeCell ref="F10:F12"/>
    <mergeCell ref="E13:E14"/>
    <mergeCell ref="F13:F14"/>
    <mergeCell ref="F5:F7"/>
    <mergeCell ref="B10:B14"/>
    <mergeCell ref="A5:A14"/>
    <mergeCell ref="B5:B8"/>
    <mergeCell ref="C5:C8"/>
    <mergeCell ref="D5:D8"/>
    <mergeCell ref="E5:E7"/>
    <mergeCell ref="B1:B4"/>
    <mergeCell ref="C1:C4"/>
    <mergeCell ref="A15:A16"/>
    <mergeCell ref="B15:B16"/>
    <mergeCell ref="C15:C16"/>
    <mergeCell ref="D15:D16"/>
    <mergeCell ref="A17:A29"/>
    <mergeCell ref="B17:B19"/>
    <mergeCell ref="C17:C19"/>
    <mergeCell ref="D17:D19"/>
    <mergeCell ref="E17:E19"/>
    <mergeCell ref="F17:F19"/>
    <mergeCell ref="B20:B24"/>
    <mergeCell ref="C20:C24"/>
    <mergeCell ref="B25:B29"/>
    <mergeCell ref="C25:C29"/>
    <mergeCell ref="D30:D32"/>
    <mergeCell ref="E30:E32"/>
    <mergeCell ref="F30:F32"/>
    <mergeCell ref="B34:B36"/>
    <mergeCell ref="C34:C36"/>
    <mergeCell ref="D34:D36"/>
    <mergeCell ref="E34:E36"/>
    <mergeCell ref="AQ1:AQ4"/>
    <mergeCell ref="B42:B44"/>
    <mergeCell ref="C42:C44"/>
    <mergeCell ref="A45:A49"/>
    <mergeCell ref="B45:B47"/>
    <mergeCell ref="C45:C47"/>
    <mergeCell ref="D45:D47"/>
    <mergeCell ref="F34:F36"/>
    <mergeCell ref="B38:B40"/>
    <mergeCell ref="C38:C40"/>
    <mergeCell ref="D38:D40"/>
    <mergeCell ref="E38:E40"/>
    <mergeCell ref="F38:F40"/>
    <mergeCell ref="A30:A44"/>
    <mergeCell ref="B30:B32"/>
    <mergeCell ref="C30:C32"/>
    <mergeCell ref="E45:E47"/>
    <mergeCell ref="F45:F47"/>
    <mergeCell ref="A50:A51"/>
    <mergeCell ref="B50:B51"/>
    <mergeCell ref="C50:C51"/>
    <mergeCell ref="AX1:AX4"/>
    <mergeCell ref="AY1:AY4"/>
    <mergeCell ref="AZ1:AZ4"/>
    <mergeCell ref="BC1:BC4"/>
    <mergeCell ref="AR1:AR4"/>
    <mergeCell ref="AS1:AS4"/>
    <mergeCell ref="AT1:AT4"/>
    <mergeCell ref="AU1:AU4"/>
    <mergeCell ref="AV1:AV4"/>
    <mergeCell ref="AW1:AW4"/>
  </mergeCells>
  <conditionalFormatting sqref="L53">
    <cfRule type="cellIs" dxfId="278" priority="55" operator="notEqual">
      <formula>$L$55</formula>
    </cfRule>
    <cfRule type="cellIs" dxfId="277" priority="56" operator="equal">
      <formula>$L$55</formula>
    </cfRule>
  </conditionalFormatting>
  <conditionalFormatting sqref="M53">
    <cfRule type="cellIs" dxfId="276" priority="53" operator="notEqual">
      <formula>$M$55</formula>
    </cfRule>
    <cfRule type="cellIs" dxfId="275" priority="54" operator="equal">
      <formula>$M$55</formula>
    </cfRule>
  </conditionalFormatting>
  <conditionalFormatting sqref="N53">
    <cfRule type="cellIs" dxfId="274" priority="51" operator="notEqual">
      <formula>$N$55</formula>
    </cfRule>
    <cfRule type="cellIs" dxfId="273" priority="52" operator="equal">
      <formula>$N$55</formula>
    </cfRule>
  </conditionalFormatting>
  <conditionalFormatting sqref="O53">
    <cfRule type="cellIs" dxfId="272" priority="49" operator="notEqual">
      <formula>$O$55</formula>
    </cfRule>
    <cfRule type="cellIs" dxfId="271" priority="50" operator="equal">
      <formula>$O$55</formula>
    </cfRule>
  </conditionalFormatting>
  <conditionalFormatting sqref="P53">
    <cfRule type="cellIs" dxfId="270" priority="47" operator="notEqual">
      <formula>$P$55</formula>
    </cfRule>
    <cfRule type="cellIs" dxfId="269" priority="48" operator="equal">
      <formula>$P$55</formula>
    </cfRule>
  </conditionalFormatting>
  <conditionalFormatting sqref="Q53">
    <cfRule type="cellIs" dxfId="268" priority="45" operator="notEqual">
      <formula>$Q$55</formula>
    </cfRule>
    <cfRule type="cellIs" dxfId="267" priority="46" operator="equal">
      <formula>$Q$55</formula>
    </cfRule>
  </conditionalFormatting>
  <conditionalFormatting sqref="R53">
    <cfRule type="cellIs" dxfId="266" priority="43" operator="notEqual">
      <formula>$R$55</formula>
    </cfRule>
    <cfRule type="cellIs" dxfId="265" priority="44" operator="equal">
      <formula>$R$55</formula>
    </cfRule>
  </conditionalFormatting>
  <conditionalFormatting sqref="S53">
    <cfRule type="cellIs" dxfId="264" priority="41" operator="notEqual">
      <formula>$S$55</formula>
    </cfRule>
    <cfRule type="cellIs" dxfId="263" priority="42" operator="equal">
      <formula>$S$55</formula>
    </cfRule>
  </conditionalFormatting>
  <conditionalFormatting sqref="T53">
    <cfRule type="cellIs" dxfId="262" priority="39" operator="notEqual">
      <formula>$T$55</formula>
    </cfRule>
    <cfRule type="cellIs" dxfId="261" priority="40" operator="equal">
      <formula>$T$55</formula>
    </cfRule>
  </conditionalFormatting>
  <conditionalFormatting sqref="U53">
    <cfRule type="cellIs" dxfId="260" priority="37" operator="notEqual">
      <formula>$U$55</formula>
    </cfRule>
    <cfRule type="cellIs" dxfId="259" priority="38" operator="equal">
      <formula>$U$55</formula>
    </cfRule>
  </conditionalFormatting>
  <conditionalFormatting sqref="V53">
    <cfRule type="cellIs" dxfId="258" priority="35" operator="notEqual">
      <formula>$V$55</formula>
    </cfRule>
    <cfRule type="cellIs" dxfId="257" priority="36" operator="equal">
      <formula>$V$55</formula>
    </cfRule>
  </conditionalFormatting>
  <conditionalFormatting sqref="W53">
    <cfRule type="cellIs" dxfId="256" priority="33" operator="notEqual">
      <formula>$W$55</formula>
    </cfRule>
    <cfRule type="cellIs" dxfId="255" priority="34" operator="equal">
      <formula>$W$55</formula>
    </cfRule>
  </conditionalFormatting>
  <conditionalFormatting sqref="X53">
    <cfRule type="cellIs" dxfId="254" priority="31" operator="notEqual">
      <formula>$X$55</formula>
    </cfRule>
    <cfRule type="cellIs" dxfId="253" priority="32" operator="equal">
      <formula>$X$55</formula>
    </cfRule>
  </conditionalFormatting>
  <conditionalFormatting sqref="Y53">
    <cfRule type="cellIs" dxfId="252" priority="29" operator="notEqual">
      <formula>$Y$55</formula>
    </cfRule>
    <cfRule type="cellIs" dxfId="251" priority="30" operator="equal">
      <formula>$Y$55</formula>
    </cfRule>
  </conditionalFormatting>
  <conditionalFormatting sqref="Z53">
    <cfRule type="cellIs" dxfId="250" priority="27" operator="notEqual">
      <formula>$Z$55</formula>
    </cfRule>
    <cfRule type="cellIs" dxfId="249" priority="28" operator="equal">
      <formula>$Z$55</formula>
    </cfRule>
  </conditionalFormatting>
  <conditionalFormatting sqref="AA53">
    <cfRule type="cellIs" dxfId="248" priority="25" operator="notEqual">
      <formula>$AA$55</formula>
    </cfRule>
    <cfRule type="cellIs" dxfId="247" priority="26" operator="equal">
      <formula>$AA$55</formula>
    </cfRule>
  </conditionalFormatting>
  <conditionalFormatting sqref="AB53">
    <cfRule type="cellIs" dxfId="246" priority="23" operator="notEqual">
      <formula>$AB$55</formula>
    </cfRule>
    <cfRule type="cellIs" dxfId="245" priority="24" operator="equal">
      <formula>$AB$55</formula>
    </cfRule>
  </conditionalFormatting>
  <conditionalFormatting sqref="AC53">
    <cfRule type="cellIs" dxfId="244" priority="21" operator="notEqual">
      <formula>$AC$55</formula>
    </cfRule>
    <cfRule type="cellIs" dxfId="243" priority="22" operator="equal">
      <formula>$AC$55</formula>
    </cfRule>
  </conditionalFormatting>
  <conditionalFormatting sqref="AD53">
    <cfRule type="cellIs" dxfId="242" priority="19" operator="notEqual">
      <formula>$AD$55</formula>
    </cfRule>
    <cfRule type="cellIs" dxfId="241" priority="20" operator="equal">
      <formula>$AD$55</formula>
    </cfRule>
  </conditionalFormatting>
  <conditionalFormatting sqref="AE53">
    <cfRule type="cellIs" dxfId="240" priority="17" operator="notEqual">
      <formula>$AE$55</formula>
    </cfRule>
    <cfRule type="cellIs" dxfId="239" priority="18" operator="equal">
      <formula>$AE$55</formula>
    </cfRule>
  </conditionalFormatting>
  <conditionalFormatting sqref="AF53">
    <cfRule type="cellIs" dxfId="238" priority="16" operator="equal">
      <formula>$AF$55</formula>
    </cfRule>
  </conditionalFormatting>
  <conditionalFormatting sqref="AF53">
    <cfRule type="cellIs" dxfId="237" priority="15" operator="notEqual">
      <formula>$AF$55</formula>
    </cfRule>
  </conditionalFormatting>
  <conditionalFormatting sqref="AG53">
    <cfRule type="cellIs" dxfId="236" priority="14" operator="equal">
      <formula>$AG$55</formula>
    </cfRule>
  </conditionalFormatting>
  <conditionalFormatting sqref="AG53">
    <cfRule type="cellIs" dxfId="235" priority="13" operator="notEqual">
      <formula>$AG$55</formula>
    </cfRule>
  </conditionalFormatting>
  <conditionalFormatting sqref="AH53">
    <cfRule type="cellIs" dxfId="234" priority="12" operator="equal">
      <formula>$AH$55</formula>
    </cfRule>
  </conditionalFormatting>
  <conditionalFormatting sqref="AH53">
    <cfRule type="cellIs" dxfId="233" priority="11" operator="notEqual">
      <formula>$AH$55</formula>
    </cfRule>
  </conditionalFormatting>
  <conditionalFormatting sqref="AI53">
    <cfRule type="cellIs" dxfId="232" priority="10" operator="equal">
      <formula>$AI$55</formula>
    </cfRule>
  </conditionalFormatting>
  <conditionalFormatting sqref="AI53">
    <cfRule type="cellIs" dxfId="231" priority="9" operator="notEqual">
      <formula>$AI$55</formula>
    </cfRule>
  </conditionalFormatting>
  <conditionalFormatting sqref="AJ53">
    <cfRule type="cellIs" dxfId="230" priority="8" operator="equal">
      <formula>$AJ$55</formula>
    </cfRule>
  </conditionalFormatting>
  <conditionalFormatting sqref="AJ53">
    <cfRule type="cellIs" dxfId="229" priority="7" operator="notEqual">
      <formula>$AJ$55</formula>
    </cfRule>
  </conditionalFormatting>
  <conditionalFormatting sqref="AK53">
    <cfRule type="cellIs" dxfId="228" priority="6" operator="equal">
      <formula>$AK$55</formula>
    </cfRule>
  </conditionalFormatting>
  <conditionalFormatting sqref="AK53">
    <cfRule type="cellIs" dxfId="227" priority="5" operator="notEqual">
      <formula>$AK$55</formula>
    </cfRule>
  </conditionalFormatting>
  <conditionalFormatting sqref="AL53">
    <cfRule type="cellIs" dxfId="226" priority="4" operator="equal">
      <formula>$AL$55</formula>
    </cfRule>
  </conditionalFormatting>
  <conditionalFormatting sqref="AL53">
    <cfRule type="cellIs" dxfId="225" priority="3" operator="notEqual">
      <formula>$AL$55</formula>
    </cfRule>
  </conditionalFormatting>
  <conditionalFormatting sqref="AM53">
    <cfRule type="cellIs" dxfId="224" priority="2" operator="equal">
      <formula>$AM$55</formula>
    </cfRule>
  </conditionalFormatting>
  <conditionalFormatting sqref="AM53">
    <cfRule type="cellIs" dxfId="223" priority="1" operator="notEqual">
      <formula>$AM$55</formula>
    </cfRule>
  </conditionalFormatting>
  <pageMargins left="0.511811024" right="0.511811024" top="0.78740157499999996" bottom="0.78740157499999996" header="0.31496062000000002" footer="0.3149606200000000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4551F-BD73-461F-B817-8C84DF621C34}">
  <sheetPr>
    <tabColor indexed="12" tint="-0.249977111117893"/>
  </sheetPr>
  <dimension ref="A1:AO50"/>
  <sheetViews>
    <sheetView showGridLines="0" topLeftCell="P26" workbookViewId="0">
      <selection activeCell="AB44" sqref="AB44"/>
    </sheetView>
  </sheetViews>
  <sheetFormatPr defaultColWidth="9.140625"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20" style="9" bestFit="1" customWidth="1"/>
    <col min="12" max="12" width="8.7109375" style="9" bestFit="1" customWidth="1"/>
    <col min="13" max="13" width="10.5703125" style="9" bestFit="1" customWidth="1"/>
    <col min="14" max="14" width="8.7109375" style="9" bestFit="1" customWidth="1"/>
    <col min="15" max="15" width="11.140625" style="9" bestFit="1" customWidth="1"/>
    <col min="16" max="17" width="10.5703125" style="9" bestFit="1" customWidth="1"/>
    <col min="18" max="18" width="15" style="9" bestFit="1" customWidth="1"/>
    <col min="19" max="19" width="10.85546875" style="9" bestFit="1" customWidth="1"/>
    <col min="20" max="20" width="8.7109375" style="9" bestFit="1" customWidth="1"/>
    <col min="21" max="21" width="10.42578125" style="9" bestFit="1" customWidth="1"/>
    <col min="22" max="22" width="8.7109375" style="9" bestFit="1" customWidth="1"/>
    <col min="23" max="23" width="10" style="9" bestFit="1" customWidth="1"/>
    <col min="24" max="24" width="8" style="9" bestFit="1" customWidth="1"/>
    <col min="25" max="25" width="9.28515625" style="9" bestFit="1" customWidth="1"/>
    <col min="26" max="26" width="11" style="9" bestFit="1" customWidth="1"/>
    <col min="27" max="27" width="9.28515625" style="9" bestFit="1" customWidth="1"/>
    <col min="28" max="28" width="10.85546875" style="9" bestFit="1" customWidth="1"/>
    <col min="29" max="16384" width="9.140625" style="9"/>
  </cols>
  <sheetData>
    <row r="1" spans="1:41" ht="11.25" customHeight="1" x14ac:dyDescent="0.25">
      <c r="A1" s="154" t="s">
        <v>64</v>
      </c>
      <c r="B1" s="154" t="s">
        <v>65</v>
      </c>
      <c r="C1" s="154" t="s">
        <v>66</v>
      </c>
      <c r="D1" s="154" t="s">
        <v>67</v>
      </c>
      <c r="E1" s="154" t="s">
        <v>68</v>
      </c>
      <c r="F1" s="154" t="s">
        <v>15</v>
      </c>
      <c r="G1" s="154" t="s">
        <v>70</v>
      </c>
      <c r="H1" s="154" t="s">
        <v>71</v>
      </c>
      <c r="I1" s="154" t="s">
        <v>561</v>
      </c>
      <c r="J1" s="141"/>
      <c r="L1" s="155" t="s">
        <v>582</v>
      </c>
      <c r="M1" s="155"/>
      <c r="N1" s="155"/>
      <c r="O1" s="155"/>
      <c r="P1" s="155"/>
      <c r="Q1" s="155"/>
      <c r="R1" s="155"/>
      <c r="S1" s="155"/>
      <c r="T1" s="155"/>
      <c r="U1" s="155"/>
      <c r="V1" s="155"/>
      <c r="W1" s="155"/>
      <c r="X1" s="155"/>
      <c r="Y1" s="155"/>
      <c r="Z1" s="155"/>
      <c r="AA1" s="155"/>
      <c r="AB1" s="155"/>
      <c r="AC1" s="166" t="s">
        <v>1</v>
      </c>
      <c r="AD1" s="164" t="s">
        <v>2</v>
      </c>
      <c r="AE1" s="164" t="s">
        <v>3</v>
      </c>
      <c r="AF1" s="164" t="s">
        <v>4</v>
      </c>
      <c r="AG1" s="164" t="s">
        <v>5</v>
      </c>
      <c r="AH1" s="164" t="s">
        <v>1103</v>
      </c>
      <c r="AI1" s="164" t="s">
        <v>1138</v>
      </c>
      <c r="AJ1" s="164" t="s">
        <v>1105</v>
      </c>
      <c r="AK1" s="164" t="s">
        <v>1106</v>
      </c>
      <c r="AL1" s="164" t="s">
        <v>1107</v>
      </c>
      <c r="AO1" s="164" t="s">
        <v>1108</v>
      </c>
    </row>
    <row r="2" spans="1:41" ht="11.25" customHeight="1" x14ac:dyDescent="0.25">
      <c r="A2" s="154"/>
      <c r="B2" s="154"/>
      <c r="C2" s="154"/>
      <c r="D2" s="154"/>
      <c r="E2" s="154"/>
      <c r="F2" s="154"/>
      <c r="G2" s="154"/>
      <c r="H2" s="154"/>
      <c r="I2" s="154"/>
      <c r="J2" s="141"/>
      <c r="L2" s="155" t="s">
        <v>488</v>
      </c>
      <c r="M2" s="155"/>
      <c r="N2" s="155"/>
      <c r="O2" s="155"/>
      <c r="P2" s="155"/>
      <c r="Q2" s="155"/>
      <c r="R2" s="155"/>
      <c r="S2" s="155"/>
      <c r="T2" s="155"/>
      <c r="U2" s="155"/>
      <c r="V2" s="155"/>
      <c r="W2" s="155"/>
      <c r="X2" s="155"/>
      <c r="Y2" s="155"/>
      <c r="Z2" s="155"/>
      <c r="AA2" s="155"/>
      <c r="AB2" s="155"/>
      <c r="AC2" s="167"/>
      <c r="AD2" s="165"/>
      <c r="AE2" s="165"/>
      <c r="AF2" s="165"/>
      <c r="AG2" s="165"/>
      <c r="AH2" s="165"/>
      <c r="AI2" s="165"/>
      <c r="AJ2" s="165"/>
      <c r="AK2" s="165"/>
      <c r="AL2" s="165"/>
      <c r="AO2" s="165"/>
    </row>
    <row r="3" spans="1:41" ht="11.25" customHeight="1" x14ac:dyDescent="0.25">
      <c r="A3" s="154"/>
      <c r="B3" s="154"/>
      <c r="C3" s="154"/>
      <c r="D3" s="154"/>
      <c r="E3" s="154"/>
      <c r="F3" s="154"/>
      <c r="G3" s="154"/>
      <c r="H3" s="154"/>
      <c r="I3" s="154"/>
      <c r="J3" s="141"/>
      <c r="L3" s="155" t="s">
        <v>461</v>
      </c>
      <c r="M3" s="155"/>
      <c r="N3" s="155"/>
      <c r="O3" s="155"/>
      <c r="P3" s="155"/>
      <c r="Q3" s="155"/>
      <c r="R3" s="155" t="s">
        <v>492</v>
      </c>
      <c r="S3" s="155"/>
      <c r="T3" s="155" t="s">
        <v>470</v>
      </c>
      <c r="U3" s="155"/>
      <c r="V3" s="155"/>
      <c r="W3" s="155"/>
      <c r="X3" s="155" t="s">
        <v>480</v>
      </c>
      <c r="Y3" s="155"/>
      <c r="Z3" s="155" t="s">
        <v>483</v>
      </c>
      <c r="AA3" s="155"/>
      <c r="AB3" s="155" t="s">
        <v>469</v>
      </c>
      <c r="AC3" s="167"/>
      <c r="AD3" s="165"/>
      <c r="AE3" s="165"/>
      <c r="AF3" s="165"/>
      <c r="AG3" s="165"/>
      <c r="AH3" s="165"/>
      <c r="AI3" s="165"/>
      <c r="AJ3" s="165"/>
      <c r="AK3" s="165"/>
      <c r="AL3" s="165"/>
      <c r="AO3" s="165"/>
    </row>
    <row r="4" spans="1:41" ht="11.25" customHeight="1" x14ac:dyDescent="0.25">
      <c r="A4" s="154"/>
      <c r="B4" s="154"/>
      <c r="C4" s="154"/>
      <c r="D4" s="154"/>
      <c r="E4" s="154"/>
      <c r="F4" s="154"/>
      <c r="G4" s="154"/>
      <c r="H4" s="154"/>
      <c r="I4" s="154"/>
      <c r="J4" s="141"/>
      <c r="L4" s="63" t="s">
        <v>463</v>
      </c>
      <c r="M4" s="63" t="s">
        <v>489</v>
      </c>
      <c r="N4" s="63" t="s">
        <v>490</v>
      </c>
      <c r="O4" s="63" t="s">
        <v>549</v>
      </c>
      <c r="P4" s="63" t="s">
        <v>491</v>
      </c>
      <c r="Q4" s="63" t="s">
        <v>469</v>
      </c>
      <c r="R4" s="63" t="s">
        <v>493</v>
      </c>
      <c r="S4" s="63" t="s">
        <v>469</v>
      </c>
      <c r="T4" s="63" t="s">
        <v>494</v>
      </c>
      <c r="U4" s="63" t="s">
        <v>495</v>
      </c>
      <c r="V4" s="63" t="s">
        <v>496</v>
      </c>
      <c r="W4" s="63" t="s">
        <v>469</v>
      </c>
      <c r="X4" s="63" t="s">
        <v>481</v>
      </c>
      <c r="Y4" s="63" t="s">
        <v>469</v>
      </c>
      <c r="Z4" s="63" t="s">
        <v>497</v>
      </c>
      <c r="AA4" s="63" t="s">
        <v>469</v>
      </c>
      <c r="AB4" s="156"/>
      <c r="AC4" s="167"/>
      <c r="AD4" s="165"/>
      <c r="AE4" s="165"/>
      <c r="AF4" s="165"/>
      <c r="AG4" s="165"/>
      <c r="AH4" s="165"/>
      <c r="AI4" s="165"/>
      <c r="AJ4" s="165"/>
      <c r="AK4" s="165"/>
      <c r="AL4" s="165"/>
      <c r="AO4" s="165"/>
    </row>
    <row r="5" spans="1:41" ht="11.25" customHeight="1" x14ac:dyDescent="0.25">
      <c r="A5" s="153" t="s">
        <v>35</v>
      </c>
      <c r="B5" s="153" t="s">
        <v>73</v>
      </c>
      <c r="C5" s="153" t="s">
        <v>25</v>
      </c>
      <c r="D5" s="153" t="s">
        <v>25</v>
      </c>
      <c r="E5" s="153" t="s">
        <v>25</v>
      </c>
      <c r="F5" s="153" t="s">
        <v>25</v>
      </c>
      <c r="G5" s="62" t="s">
        <v>75</v>
      </c>
      <c r="H5" s="62" t="s">
        <v>74</v>
      </c>
      <c r="I5" s="62">
        <f>'MERCADO TE'!$U$2</f>
        <v>3764.2840000000001</v>
      </c>
      <c r="J5" s="15"/>
      <c r="L5" s="59">
        <f>'TE BE'!$L$5*'TE BE'!$L$49</f>
        <v>-7.6531292448725331E-6</v>
      </c>
      <c r="M5" s="59">
        <f>'TE BE'!$M$5*'TE BE'!$M$49</f>
        <v>-6.1376449961527157</v>
      </c>
      <c r="N5" s="59">
        <f>'TE BE'!$N$5*'TE BE'!$N$49</f>
        <v>0</v>
      </c>
      <c r="O5" s="59">
        <f>'TE BE'!$O$5*'TE BE'!$O$49</f>
        <v>0</v>
      </c>
      <c r="P5" s="59">
        <f>'TE BE'!$P$5*'TE BE'!$P$49</f>
        <v>0</v>
      </c>
      <c r="Q5" s="59">
        <f>SUM($L$5:$P$5)</f>
        <v>-6.1376526492819607</v>
      </c>
      <c r="R5" s="59">
        <f>'TE BE'!$R$5*'TE BE'!$R$49</f>
        <v>22.342657551674552</v>
      </c>
      <c r="S5" s="59">
        <f>SUM($R$5:$R$5)</f>
        <v>22.342657551674552</v>
      </c>
      <c r="T5" s="59">
        <f>'TE BE'!$T$5*'TE BE'!$T$49</f>
        <v>0</v>
      </c>
      <c r="U5" s="59">
        <f>'TE BE'!$U$5*'TE BE'!$U$49</f>
        <v>0</v>
      </c>
      <c r="V5" s="59">
        <f>'TE BE'!$V$5*'TE BE'!$V$49</f>
        <v>0</v>
      </c>
      <c r="W5" s="59">
        <f>SUM($T$5:$V$5)</f>
        <v>0</v>
      </c>
      <c r="X5" s="59">
        <f>'TE BE'!$AB$5*'TE BE'!$X$49</f>
        <v>0</v>
      </c>
      <c r="Y5" s="59">
        <f>SUM($X$5:$X$5)</f>
        <v>0</v>
      </c>
      <c r="Z5" s="59">
        <f>'TE BE'!$Z$5*'TE BE'!$Z$49</f>
        <v>0.28920558248343675</v>
      </c>
      <c r="AA5" s="59">
        <f>SUM($Z$5:$Z$5)</f>
        <v>0.28920558248343675</v>
      </c>
      <c r="AB5" s="59">
        <f ca="1">SUMIF($L$4:$AA$4,"SUBTOTAL",$L$5:$AA$5)+AL5</f>
        <v>16.494210484876028</v>
      </c>
      <c r="AC5" s="9" t="str">
        <f t="shared" ref="AC5:AC42" si="0">IF($A5="",AC4,$A5)</f>
        <v>A4</v>
      </c>
      <c r="AD5" s="9" t="str">
        <f t="shared" ref="AD5:AD42" si="1">IF($B5="",AD4,$B5)</f>
        <v>Energia horária</v>
      </c>
      <c r="AE5" s="9" t="str">
        <f t="shared" ref="AE5:AE42" si="2">IF($C5="",AE4,$C5)</f>
        <v>Não se aplica</v>
      </c>
      <c r="AF5" s="9" t="str">
        <f t="shared" ref="AF5:AF42" si="3">IF($D5="",AF4,$D5)</f>
        <v>Não se aplica</v>
      </c>
      <c r="AG5" s="9" t="str">
        <f t="shared" ref="AG5:AG42" si="4">IF($E5="",AG4,$E5)</f>
        <v>Não se aplica</v>
      </c>
      <c r="AH5" s="9">
        <v>1</v>
      </c>
      <c r="AI5" s="9">
        <f ca="1">IFERROR(VLOOKUP(AC5,TarifaMedia!$C$18:$G$18,5,0),0)</f>
        <v>0</v>
      </c>
      <c r="AJ5" s="15">
        <f>'TE BE'!$AB5+'TE BF'!$AB5+'TE CVA'!$AB5</f>
        <v>362.73600214515886</v>
      </c>
      <c r="AK5" s="9">
        <v>399.84</v>
      </c>
      <c r="AL5" s="9">
        <f t="shared" ref="AL5:AL42" ca="1" si="5">(AK5-AJ5)*AI5*AH5</f>
        <v>0</v>
      </c>
      <c r="AO5" s="54" t="s">
        <v>1139</v>
      </c>
    </row>
    <row r="6" spans="1:41" ht="11.25" customHeight="1" x14ac:dyDescent="0.25">
      <c r="A6" s="153"/>
      <c r="B6" s="153"/>
      <c r="C6" s="153"/>
      <c r="D6" s="153"/>
      <c r="E6" s="153"/>
      <c r="F6" s="153"/>
      <c r="G6" s="62" t="s">
        <v>76</v>
      </c>
      <c r="H6" s="62" t="s">
        <v>74</v>
      </c>
      <c r="I6" s="62">
        <f>'MERCADO TE'!$U$3</f>
        <v>77059.703999999983</v>
      </c>
      <c r="J6" s="15"/>
      <c r="L6" s="59">
        <f>'TE BE'!$L$6*'TE BE'!$L$49</f>
        <v>-7.6531292448725331E-6</v>
      </c>
      <c r="M6" s="59">
        <f>'TE BE'!$M$6*'TE BE'!$M$49</f>
        <v>-6.1376449961527157</v>
      </c>
      <c r="N6" s="59">
        <f>'TE BE'!$N$6*'TE BE'!$N$49</f>
        <v>0</v>
      </c>
      <c r="O6" s="59">
        <f>'TE BE'!$O$6*'TE BE'!$O$49</f>
        <v>0</v>
      </c>
      <c r="P6" s="59">
        <f>'TE BE'!$P$6*'TE BE'!$P$49</f>
        <v>0</v>
      </c>
      <c r="Q6" s="59">
        <f>SUM($L$6:$P$6)</f>
        <v>-6.1376526492819607</v>
      </c>
      <c r="R6" s="59">
        <f>'TE BE'!$R$6*'TE BE'!$R$49</f>
        <v>12.989917181206136</v>
      </c>
      <c r="S6" s="59">
        <f>SUM($R$6:$R$6)</f>
        <v>12.989917181206136</v>
      </c>
      <c r="T6" s="59">
        <f>'TE BE'!$T$6*'TE BE'!$T$49</f>
        <v>0</v>
      </c>
      <c r="U6" s="59">
        <f>'TE BE'!$U$6*'TE BE'!$U$49</f>
        <v>0</v>
      </c>
      <c r="V6" s="59">
        <f>'TE BE'!$V$6*'TE BE'!$V$49</f>
        <v>0</v>
      </c>
      <c r="W6" s="59">
        <f>SUM($T$6:$V$6)</f>
        <v>0</v>
      </c>
      <c r="X6" s="59">
        <f>'TE BE'!$AB$6*'TE BE'!$X$49</f>
        <v>0</v>
      </c>
      <c r="Y6" s="59">
        <f>SUM($X$6:$X$6)</f>
        <v>0</v>
      </c>
      <c r="Z6" s="59">
        <f>'TE BE'!$Z$6*'TE BE'!$Z$49</f>
        <v>0.28920558248343675</v>
      </c>
      <c r="AA6" s="59">
        <f>SUM($Z$6:$Z$6)</f>
        <v>0.28920558248343675</v>
      </c>
      <c r="AB6" s="59">
        <f ca="1">SUMIF($L$4:$AA$4,"SUBTOTAL",$L$6:$AA$6)+AL6</f>
        <v>7.1414701144076123</v>
      </c>
      <c r="AC6" s="9" t="str">
        <f t="shared" si="0"/>
        <v>A4</v>
      </c>
      <c r="AD6" s="9" t="str">
        <f t="shared" si="1"/>
        <v>Energia horária</v>
      </c>
      <c r="AE6" s="9" t="str">
        <f t="shared" si="2"/>
        <v>Não se aplica</v>
      </c>
      <c r="AF6" s="9" t="str">
        <f t="shared" si="3"/>
        <v>Não se aplica</v>
      </c>
      <c r="AG6" s="9" t="str">
        <f t="shared" si="4"/>
        <v>Não se aplica</v>
      </c>
      <c r="AH6" s="9">
        <v>1</v>
      </c>
      <c r="AI6" s="9">
        <f ca="1">IFERROR(VLOOKUP(AC6,TarifaMedia!$C$18:$G$18,5,0),0)</f>
        <v>0</v>
      </c>
      <c r="AJ6" s="15">
        <f>'TE BE'!$AB6+'TE BF'!$AB6+'TE CVA'!$AB6</f>
        <v>222.99901551132911</v>
      </c>
      <c r="AK6" s="9">
        <v>250.04</v>
      </c>
      <c r="AL6" s="9">
        <f t="shared" ca="1" si="5"/>
        <v>0</v>
      </c>
      <c r="AO6" s="54" t="s">
        <v>1140</v>
      </c>
    </row>
    <row r="7" spans="1:41" ht="11.25" customHeight="1" x14ac:dyDescent="0.25">
      <c r="A7" s="153"/>
      <c r="B7" s="61" t="s">
        <v>77</v>
      </c>
      <c r="C7" s="61" t="s">
        <v>25</v>
      </c>
      <c r="D7" s="61" t="s">
        <v>25</v>
      </c>
      <c r="E7" s="61" t="s">
        <v>25</v>
      </c>
      <c r="F7" s="61" t="s">
        <v>25</v>
      </c>
      <c r="G7" s="62" t="s">
        <v>78</v>
      </c>
      <c r="H7" s="62" t="s">
        <v>74</v>
      </c>
      <c r="I7" s="62">
        <f>'MERCADO TE'!$U$4</f>
        <v>0</v>
      </c>
      <c r="J7" s="15"/>
      <c r="L7" s="59">
        <f>'TE BE'!$L$7*'TE BE'!$L$49</f>
        <v>-7.6531292448725331E-6</v>
      </c>
      <c r="M7" s="59">
        <f>'TE BE'!$M$7*'TE BE'!$M$49</f>
        <v>-6.1376449961527157</v>
      </c>
      <c r="N7" s="59">
        <f>'TE BE'!$N$7*'TE BE'!$N$49</f>
        <v>0</v>
      </c>
      <c r="O7" s="59">
        <f>'TE BE'!$O$7*'TE BE'!$O$49</f>
        <v>0</v>
      </c>
      <c r="P7" s="59">
        <f>'TE BE'!$P$7*'TE BE'!$P$49</f>
        <v>0</v>
      </c>
      <c r="Q7" s="59">
        <f>SUM($L$7:$P$7)</f>
        <v>-6.1376526492819607</v>
      </c>
      <c r="R7" s="59">
        <f>'TE BE'!$R$7*'TE BE'!$R$49</f>
        <v>13.769312212078505</v>
      </c>
      <c r="S7" s="59">
        <f>SUM($R$7:$R$7)</f>
        <v>13.769312212078505</v>
      </c>
      <c r="T7" s="59">
        <f>'TE BE'!$T$7*'TE BE'!$T$49</f>
        <v>0</v>
      </c>
      <c r="U7" s="59">
        <f>'TE BE'!$U$7*'TE BE'!$U$49</f>
        <v>0</v>
      </c>
      <c r="V7" s="59">
        <f>'TE BE'!$V$7*'TE BE'!$V$49</f>
        <v>0</v>
      </c>
      <c r="W7" s="59">
        <f>SUM($T$7:$V$7)</f>
        <v>0</v>
      </c>
      <c r="X7" s="59">
        <f>'TE BE'!$AB$7*'TE BE'!$X$49</f>
        <v>0</v>
      </c>
      <c r="Y7" s="59">
        <f>SUM($X$7:$X$7)</f>
        <v>0</v>
      </c>
      <c r="Z7" s="59">
        <f>'TE BE'!$Z$7*'TE BE'!$Z$49</f>
        <v>0.28920558248343675</v>
      </c>
      <c r="AA7" s="59">
        <f>SUM($Z$7:$Z$7)</f>
        <v>0.28920558248343675</v>
      </c>
      <c r="AB7" s="59">
        <f ca="1">SUMIF($L$4:$AA$4,"SUBTOTAL",$L$7:$AA$7)+AL7</f>
        <v>7.920865145279981</v>
      </c>
      <c r="AC7" s="9" t="str">
        <f t="shared" si="0"/>
        <v>A4</v>
      </c>
      <c r="AD7" s="9" t="str">
        <f t="shared" si="1"/>
        <v>Energia convencional</v>
      </c>
      <c r="AE7" s="9" t="str">
        <f t="shared" si="2"/>
        <v>Não se aplica</v>
      </c>
      <c r="AF7" s="9" t="str">
        <f t="shared" si="3"/>
        <v>Não se aplica</v>
      </c>
      <c r="AG7" s="9" t="str">
        <f t="shared" si="4"/>
        <v>Não se aplica</v>
      </c>
      <c r="AH7" s="9">
        <v>1</v>
      </c>
      <c r="AI7" s="9">
        <f ca="1">IFERROR(VLOOKUP(AC7,TarifaMedia!$C$18:$G$18,5,0),0)</f>
        <v>0</v>
      </c>
      <c r="AJ7" s="15">
        <f>'TE BE'!$AB7+'TE BF'!$AB7+'TE CVA'!$AB7</f>
        <v>234.64376439748159</v>
      </c>
      <c r="AK7" s="9">
        <v>0</v>
      </c>
      <c r="AL7" s="9">
        <f t="shared" ca="1" si="5"/>
        <v>0</v>
      </c>
      <c r="AO7" s="54" t="s">
        <v>1141</v>
      </c>
    </row>
    <row r="8" spans="1:41" ht="11.25" customHeight="1" x14ac:dyDescent="0.25">
      <c r="A8" s="153" t="s">
        <v>22</v>
      </c>
      <c r="B8" s="153" t="s">
        <v>73</v>
      </c>
      <c r="C8" s="153" t="s">
        <v>24</v>
      </c>
      <c r="D8" s="153" t="s">
        <v>24</v>
      </c>
      <c r="E8" s="153" t="s">
        <v>25</v>
      </c>
      <c r="F8" s="153" t="s">
        <v>25</v>
      </c>
      <c r="G8" s="62" t="s">
        <v>75</v>
      </c>
      <c r="H8" s="62" t="s">
        <v>74</v>
      </c>
      <c r="I8" s="62">
        <f>'MERCADO TE'!$U$5</f>
        <v>0</v>
      </c>
      <c r="J8" s="15"/>
      <c r="L8" s="59">
        <f>'TE BE'!$L$8*'TE BE'!$L$49</f>
        <v>-7.6531292448725331E-6</v>
      </c>
      <c r="M8" s="59">
        <f>'TE BE'!$M$8*'TE BE'!$M$49</f>
        <v>-6.1376449961527157</v>
      </c>
      <c r="N8" s="59">
        <f>'TE BE'!$N$8*'TE BE'!$N$49</f>
        <v>0</v>
      </c>
      <c r="O8" s="59">
        <f>'TE BE'!$O$8*'TE BE'!$O$49</f>
        <v>0</v>
      </c>
      <c r="P8" s="59">
        <f>'TE BE'!$P$8*'TE BE'!$P$49</f>
        <v>0</v>
      </c>
      <c r="Q8" s="59">
        <f>SUM($L$8:$P$8)</f>
        <v>-6.1376526492819607</v>
      </c>
      <c r="R8" s="59">
        <f>'TE BE'!$R$8*'TE BE'!$R$49</f>
        <v>22.342657551674552</v>
      </c>
      <c r="S8" s="59">
        <f>SUM($R$8:$R$8)</f>
        <v>22.342657551674552</v>
      </c>
      <c r="T8" s="59">
        <f>'TE BE'!$T$8*'TE BE'!$T$49</f>
        <v>0</v>
      </c>
      <c r="U8" s="59">
        <f>'TE BE'!$U$8*'TE BE'!$U$49</f>
        <v>0</v>
      </c>
      <c r="V8" s="59">
        <f>'TE BE'!$V$8*'TE BE'!$V$49</f>
        <v>0</v>
      </c>
      <c r="W8" s="59">
        <f>SUM($T$8:$V$8)</f>
        <v>0</v>
      </c>
      <c r="X8" s="59">
        <f>'TE BE'!$AB$8*'TE BE'!$X$49</f>
        <v>0</v>
      </c>
      <c r="Y8" s="59">
        <f>SUM($X$8:$X$8)</f>
        <v>0</v>
      </c>
      <c r="Z8" s="59">
        <f>'TE BE'!$Z$8*'TE BE'!$Z$49</f>
        <v>0.28920558248343675</v>
      </c>
      <c r="AA8" s="59">
        <f>SUM($Z$8:$Z$8)</f>
        <v>0.28920558248343675</v>
      </c>
      <c r="AB8" s="59">
        <f ca="1">SUMIF($L$4:$AA$4,"SUBTOTAL",$L$8:$AA$8)+AL8</f>
        <v>53.598208339717139</v>
      </c>
      <c r="AC8" s="9" t="str">
        <f t="shared" si="0"/>
        <v>B1</v>
      </c>
      <c r="AD8" s="9" t="str">
        <f t="shared" si="1"/>
        <v>Energia horária</v>
      </c>
      <c r="AE8" s="9" t="str">
        <f t="shared" si="2"/>
        <v>Residencial</v>
      </c>
      <c r="AF8" s="9" t="str">
        <f t="shared" si="3"/>
        <v>Residencial</v>
      </c>
      <c r="AG8" s="9" t="str">
        <f t="shared" si="4"/>
        <v>Não se aplica</v>
      </c>
      <c r="AH8" s="9">
        <v>1</v>
      </c>
      <c r="AI8" s="9">
        <f ca="1">TarifaMedia!$G$20</f>
        <v>1</v>
      </c>
      <c r="AJ8" s="15">
        <f>'TE BE'!$AB8+'TE BF'!$AB8+'TE CVA'!$AB8</f>
        <v>362.73600214515886</v>
      </c>
      <c r="AK8" s="9">
        <v>399.84</v>
      </c>
      <c r="AL8" s="9">
        <f t="shared" ca="1" si="5"/>
        <v>37.103997854841111</v>
      </c>
      <c r="AO8" s="54" t="s">
        <v>1142</v>
      </c>
    </row>
    <row r="9" spans="1:41" ht="11.25" customHeight="1" x14ac:dyDescent="0.25">
      <c r="A9" s="153"/>
      <c r="B9" s="153"/>
      <c r="C9" s="153"/>
      <c r="D9" s="153"/>
      <c r="E9" s="153"/>
      <c r="F9" s="153"/>
      <c r="G9" s="62" t="s">
        <v>87</v>
      </c>
      <c r="H9" s="62" t="s">
        <v>74</v>
      </c>
      <c r="I9" s="62">
        <f>'MERCADO TE'!$U$6</f>
        <v>0</v>
      </c>
      <c r="J9" s="15"/>
      <c r="L9" s="59">
        <f>'TE BE'!$L$9*'TE BE'!$L$49</f>
        <v>-7.6531292448725331E-6</v>
      </c>
      <c r="M9" s="59">
        <f>'TE BE'!$M$9*'TE BE'!$M$49</f>
        <v>-6.1376449961527157</v>
      </c>
      <c r="N9" s="59">
        <f>'TE BE'!$N$9*'TE BE'!$N$49</f>
        <v>0</v>
      </c>
      <c r="O9" s="59">
        <f>'TE BE'!$O$9*'TE BE'!$O$49</f>
        <v>0</v>
      </c>
      <c r="P9" s="59">
        <f>'TE BE'!$P$9*'TE BE'!$P$49</f>
        <v>0</v>
      </c>
      <c r="Q9" s="59">
        <f>SUM($L$9:$P$9)</f>
        <v>-6.1376526492819607</v>
      </c>
      <c r="R9" s="59">
        <f>'TE BE'!$R$9*'TE BE'!$R$49</f>
        <v>12.989917181206136</v>
      </c>
      <c r="S9" s="59">
        <f>SUM($R$9:$R$9)</f>
        <v>12.989917181206136</v>
      </c>
      <c r="T9" s="59">
        <f>'TE BE'!$T$9*'TE BE'!$T$49</f>
        <v>0</v>
      </c>
      <c r="U9" s="59">
        <f>'TE BE'!$U$9*'TE BE'!$U$49</f>
        <v>0</v>
      </c>
      <c r="V9" s="59">
        <f>'TE BE'!$V$9*'TE BE'!$V$49</f>
        <v>0</v>
      </c>
      <c r="W9" s="59">
        <f>SUM($T$9:$V$9)</f>
        <v>0</v>
      </c>
      <c r="X9" s="59">
        <f>'TE BE'!$AB$9*'TE BE'!$X$49</f>
        <v>0</v>
      </c>
      <c r="Y9" s="59">
        <f>SUM($X$9:$X$9)</f>
        <v>0</v>
      </c>
      <c r="Z9" s="59">
        <f>'TE BE'!$Z$9*'TE BE'!$Z$49</f>
        <v>0.28920558248343675</v>
      </c>
      <c r="AA9" s="59">
        <f>SUM($Z$9:$Z$9)</f>
        <v>0.28920558248343675</v>
      </c>
      <c r="AB9" s="59">
        <f ca="1">SUMIF($L$4:$AA$4,"SUBTOTAL",$L$9:$AA$9)+AL9</f>
        <v>34.182454603078497</v>
      </c>
      <c r="AC9" s="9" t="str">
        <f t="shared" si="0"/>
        <v>B1</v>
      </c>
      <c r="AD9" s="9" t="str">
        <f t="shared" si="1"/>
        <v>Energia horária</v>
      </c>
      <c r="AE9" s="9" t="str">
        <f t="shared" si="2"/>
        <v>Residencial</v>
      </c>
      <c r="AF9" s="9" t="str">
        <f t="shared" si="3"/>
        <v>Residencial</v>
      </c>
      <c r="AG9" s="9" t="str">
        <f t="shared" si="4"/>
        <v>Não se aplica</v>
      </c>
      <c r="AH9" s="9">
        <v>1</v>
      </c>
      <c r="AI9" s="9">
        <f ca="1">TarifaMedia!$G$20</f>
        <v>1</v>
      </c>
      <c r="AJ9" s="15">
        <f>'TE BE'!$AB9+'TE BF'!$AB9+'TE CVA'!$AB9</f>
        <v>222.99901551132911</v>
      </c>
      <c r="AK9" s="9">
        <v>250.04</v>
      </c>
      <c r="AL9" s="9">
        <f t="shared" ca="1" si="5"/>
        <v>27.040984488670887</v>
      </c>
      <c r="AO9" s="54" t="s">
        <v>1143</v>
      </c>
    </row>
    <row r="10" spans="1:41" ht="11.25" customHeight="1" x14ac:dyDescent="0.25">
      <c r="A10" s="153"/>
      <c r="B10" s="153"/>
      <c r="C10" s="153"/>
      <c r="D10" s="153"/>
      <c r="E10" s="153"/>
      <c r="F10" s="153"/>
      <c r="G10" s="62" t="s">
        <v>76</v>
      </c>
      <c r="H10" s="62" t="s">
        <v>74</v>
      </c>
      <c r="I10" s="62">
        <f>'MERCADO TE'!$U$7</f>
        <v>0</v>
      </c>
      <c r="J10" s="15"/>
      <c r="L10" s="59">
        <f>'TE BE'!$L$10*'TE BE'!$L$49</f>
        <v>-7.6531292448725331E-6</v>
      </c>
      <c r="M10" s="59">
        <f>'TE BE'!$M$10*'TE BE'!$M$49</f>
        <v>-6.1376449961527157</v>
      </c>
      <c r="N10" s="59">
        <f>'TE BE'!$N$10*'TE BE'!$N$49</f>
        <v>0</v>
      </c>
      <c r="O10" s="59">
        <f>'TE BE'!$O$10*'TE BE'!$O$49</f>
        <v>0</v>
      </c>
      <c r="P10" s="59">
        <f>'TE BE'!$P$10*'TE BE'!$P$49</f>
        <v>0</v>
      </c>
      <c r="Q10" s="59">
        <f>SUM($L$10:$P$10)</f>
        <v>-6.1376526492819607</v>
      </c>
      <c r="R10" s="59">
        <f>'TE BE'!$R$10*'TE BE'!$R$49</f>
        <v>12.989917181206136</v>
      </c>
      <c r="S10" s="59">
        <f>SUM($R$10:$R$10)</f>
        <v>12.989917181206136</v>
      </c>
      <c r="T10" s="59">
        <f>'TE BE'!$T$10*'TE BE'!$T$49</f>
        <v>0</v>
      </c>
      <c r="U10" s="59">
        <f>'TE BE'!$U$10*'TE BE'!$U$49</f>
        <v>0</v>
      </c>
      <c r="V10" s="59">
        <f>'TE BE'!$V$10*'TE BE'!$V$49</f>
        <v>0</v>
      </c>
      <c r="W10" s="59">
        <f>SUM($T$10:$V$10)</f>
        <v>0</v>
      </c>
      <c r="X10" s="59">
        <f>'TE BE'!$AB$10*'TE BE'!$X$49</f>
        <v>0</v>
      </c>
      <c r="Y10" s="59">
        <f>SUM($X$10:$X$10)</f>
        <v>0</v>
      </c>
      <c r="Z10" s="59">
        <f>'TE BE'!$Z$10*'TE BE'!$Z$49</f>
        <v>0.28920558248343675</v>
      </c>
      <c r="AA10" s="59">
        <f>SUM($Z$10:$Z$10)</f>
        <v>0.28920558248343675</v>
      </c>
      <c r="AB10" s="59">
        <f ca="1">SUMIF($L$4:$AA$4,"SUBTOTAL",$L$10:$AA$10)+AL10</f>
        <v>34.182454603078497</v>
      </c>
      <c r="AC10" s="9" t="str">
        <f t="shared" si="0"/>
        <v>B1</v>
      </c>
      <c r="AD10" s="9" t="str">
        <f t="shared" si="1"/>
        <v>Energia horária</v>
      </c>
      <c r="AE10" s="9" t="str">
        <f t="shared" si="2"/>
        <v>Residencial</v>
      </c>
      <c r="AF10" s="9" t="str">
        <f t="shared" si="3"/>
        <v>Residencial</v>
      </c>
      <c r="AG10" s="9" t="str">
        <f t="shared" si="4"/>
        <v>Não se aplica</v>
      </c>
      <c r="AH10" s="9">
        <v>1</v>
      </c>
      <c r="AI10" s="9">
        <f ca="1">TarifaMedia!$G$20</f>
        <v>1</v>
      </c>
      <c r="AJ10" s="15">
        <f>'TE BE'!$AB10+'TE BF'!$AB10+'TE CVA'!$AB10</f>
        <v>222.99901551132911</v>
      </c>
      <c r="AK10" s="9">
        <v>250.04</v>
      </c>
      <c r="AL10" s="9">
        <f t="shared" ca="1" si="5"/>
        <v>27.040984488670887</v>
      </c>
      <c r="AO10" s="54" t="s">
        <v>1144</v>
      </c>
    </row>
    <row r="11" spans="1:41" ht="11.25" customHeight="1" x14ac:dyDescent="0.25">
      <c r="A11" s="153"/>
      <c r="B11" s="153" t="s">
        <v>77</v>
      </c>
      <c r="C11" s="153" t="s">
        <v>24</v>
      </c>
      <c r="D11" s="61" t="s">
        <v>24</v>
      </c>
      <c r="E11" s="61" t="s">
        <v>25</v>
      </c>
      <c r="F11" s="61" t="s">
        <v>25</v>
      </c>
      <c r="G11" s="62" t="s">
        <v>78</v>
      </c>
      <c r="H11" s="62" t="s">
        <v>74</v>
      </c>
      <c r="I11" s="62">
        <f>'MERCADO TE'!$U$8</f>
        <v>67923.810000000012</v>
      </c>
      <c r="J11" s="15"/>
      <c r="L11" s="59">
        <f>'TE BE'!$L$11*'TE BE'!$L$49</f>
        <v>-7.6531292448725331E-6</v>
      </c>
      <c r="M11" s="59">
        <f>'TE BE'!$M$11*'TE BE'!$M$49</f>
        <v>-6.1376449961527157</v>
      </c>
      <c r="N11" s="59">
        <f>'TE BE'!$N$11*'TE BE'!$N$49</f>
        <v>0</v>
      </c>
      <c r="O11" s="59">
        <f>'TE BE'!$O$11*'TE BE'!$O$49</f>
        <v>0</v>
      </c>
      <c r="P11" s="59">
        <f>'TE BE'!$P$11*'TE BE'!$P$49</f>
        <v>0</v>
      </c>
      <c r="Q11" s="59">
        <f>SUM($L$11:$P$11)</f>
        <v>-6.1376526492819607</v>
      </c>
      <c r="R11" s="59">
        <f>'TE BE'!$R$11*'TE BE'!$R$49</f>
        <v>13.769312212078505</v>
      </c>
      <c r="S11" s="59">
        <f>SUM($R$11:$R$11)</f>
        <v>13.769312212078505</v>
      </c>
      <c r="T11" s="59">
        <f>'TE BE'!$T$11*'TE BE'!$T$49</f>
        <v>0</v>
      </c>
      <c r="U11" s="59">
        <f>'TE BE'!$U$11*'TE BE'!$U$49</f>
        <v>0</v>
      </c>
      <c r="V11" s="59">
        <f>'TE BE'!$V$11*'TE BE'!$V$49</f>
        <v>0</v>
      </c>
      <c r="W11" s="59">
        <f>SUM($T$11:$V$11)</f>
        <v>0</v>
      </c>
      <c r="X11" s="59">
        <f>'TE BE'!$AB$11*'TE BE'!$X$49</f>
        <v>0</v>
      </c>
      <c r="Y11" s="59">
        <f>SUM($X$11:$X$11)</f>
        <v>0</v>
      </c>
      <c r="Z11" s="59">
        <f>'TE BE'!$Z$11*'TE BE'!$Z$49</f>
        <v>0.28920558248343675</v>
      </c>
      <c r="AA11" s="59">
        <f>SUM($Z$11:$Z$11)</f>
        <v>0.28920558248343675</v>
      </c>
      <c r="AB11" s="59">
        <f ca="1">SUMIF($L$4:$AA$4,"SUBTOTAL",$L$11:$AA$11)+AL11</f>
        <v>35.807100747798366</v>
      </c>
      <c r="AC11" s="9" t="str">
        <f t="shared" si="0"/>
        <v>B1</v>
      </c>
      <c r="AD11" s="9" t="str">
        <f t="shared" si="1"/>
        <v>Energia convencional</v>
      </c>
      <c r="AE11" s="9" t="str">
        <f t="shared" si="2"/>
        <v>Residencial</v>
      </c>
      <c r="AF11" s="9" t="str">
        <f t="shared" si="3"/>
        <v>Residencial</v>
      </c>
      <c r="AG11" s="9" t="str">
        <f t="shared" si="4"/>
        <v>Não se aplica</v>
      </c>
      <c r="AH11" s="9">
        <v>1</v>
      </c>
      <c r="AI11" s="9">
        <f ca="1">TarifaMedia!$G$20</f>
        <v>1</v>
      </c>
      <c r="AJ11" s="15">
        <f>'TE BE'!$AB11+'TE BF'!$AB11+'TE CVA'!$AB11</f>
        <v>234.64376439748159</v>
      </c>
      <c r="AK11" s="9">
        <v>262.52999999999997</v>
      </c>
      <c r="AL11" s="9">
        <f t="shared" ca="1" si="5"/>
        <v>27.886235602518383</v>
      </c>
      <c r="AO11" s="54" t="s">
        <v>1145</v>
      </c>
    </row>
    <row r="12" spans="1:41" ht="11.25" customHeight="1" x14ac:dyDescent="0.25">
      <c r="A12" s="153"/>
      <c r="B12" s="153"/>
      <c r="C12" s="153"/>
      <c r="D12" s="61" t="s">
        <v>29</v>
      </c>
      <c r="E12" s="61" t="s">
        <v>25</v>
      </c>
      <c r="F12" s="61" t="s">
        <v>25</v>
      </c>
      <c r="G12" s="62" t="s">
        <v>78</v>
      </c>
      <c r="H12" s="62" t="s">
        <v>74</v>
      </c>
      <c r="I12" s="62">
        <f>'MERCADO TE'!$U$9</f>
        <v>515.52700000000004</v>
      </c>
      <c r="J12" s="15"/>
      <c r="L12" s="59">
        <f>'TE BE'!$L$12*'TE BE'!$L$49</f>
        <v>-7.6531292448725331E-6</v>
      </c>
      <c r="M12" s="59">
        <f>'TE BE'!$M$12*'TE BE'!$M$49</f>
        <v>-6.1376449961527157</v>
      </c>
      <c r="N12" s="59">
        <f>'TE BE'!$N$12*'TE BE'!$N$49</f>
        <v>0</v>
      </c>
      <c r="O12" s="59">
        <f>'TE BE'!$O$12*'TE BE'!$O$49</f>
        <v>0</v>
      </c>
      <c r="P12" s="59">
        <f>'TE BE'!$P$12*'TE BE'!$P$49</f>
        <v>0</v>
      </c>
      <c r="Q12" s="59">
        <f>SUM($L$12:$P$12)</f>
        <v>-6.1376526492819607</v>
      </c>
      <c r="R12" s="59">
        <f>'TE BE'!$R$12*'TE BE'!$R$49</f>
        <v>13.769312212078505</v>
      </c>
      <c r="S12" s="59">
        <f>SUM($R$12:$R$12)</f>
        <v>13.769312212078505</v>
      </c>
      <c r="T12" s="59">
        <f>'TE BE'!$T$12*'TE BE'!$T$49</f>
        <v>0</v>
      </c>
      <c r="U12" s="59">
        <f>'TE BE'!$U$12*'TE BE'!$U$49</f>
        <v>0</v>
      </c>
      <c r="V12" s="59">
        <f>'TE BE'!$V$12*'TE BE'!$V$49</f>
        <v>0</v>
      </c>
      <c r="W12" s="59">
        <f>SUM($T$12:$V$12)</f>
        <v>0</v>
      </c>
      <c r="X12" s="59">
        <f>'TE BE'!$AB$12*'TE BE'!$X$49</f>
        <v>0</v>
      </c>
      <c r="Y12" s="59">
        <f>SUM($X$12:$X$12)</f>
        <v>0</v>
      </c>
      <c r="Z12" s="59">
        <f>'TE BE'!$Z$12*'TE BE'!$Z$49</f>
        <v>0.28920558248343675</v>
      </c>
      <c r="AA12" s="59">
        <f>SUM($Z$12:$Z$12)</f>
        <v>0.28920558248343675</v>
      </c>
      <c r="AB12" s="59">
        <f ca="1">SUMIF($L$4:$AA$4,"SUBTOTAL",$L$12:$AA$12)+AL12</f>
        <v>35.807100747798366</v>
      </c>
      <c r="AC12" s="9" t="str">
        <f t="shared" si="0"/>
        <v>B1</v>
      </c>
      <c r="AD12" s="9" t="str">
        <f t="shared" si="1"/>
        <v>Energia convencional</v>
      </c>
      <c r="AE12" s="9" t="str">
        <f t="shared" si="2"/>
        <v>Residencial</v>
      </c>
      <c r="AF12" s="9" t="str">
        <f t="shared" si="3"/>
        <v>Residencial baixa renda – faixa 01</v>
      </c>
      <c r="AG12" s="9" t="str">
        <f t="shared" si="4"/>
        <v>Não se aplica</v>
      </c>
      <c r="AH12" s="9">
        <v>1</v>
      </c>
      <c r="AI12" s="9">
        <f ca="1">TarifaMedia!$G$20</f>
        <v>1</v>
      </c>
      <c r="AJ12" s="15">
        <f>'TE BE'!$AB12+'TE BF'!$AB12+'TE CVA'!$AB12</f>
        <v>234.64376439748159</v>
      </c>
      <c r="AK12" s="9">
        <v>262.52999999999997</v>
      </c>
      <c r="AL12" s="9">
        <f t="shared" ca="1" si="5"/>
        <v>27.886235602518383</v>
      </c>
      <c r="AO12" s="54" t="s">
        <v>1146</v>
      </c>
    </row>
    <row r="13" spans="1:41" ht="11.25" customHeight="1" x14ac:dyDescent="0.25">
      <c r="A13" s="153"/>
      <c r="B13" s="153"/>
      <c r="C13" s="153"/>
      <c r="D13" s="61" t="s">
        <v>30</v>
      </c>
      <c r="E13" s="61" t="s">
        <v>25</v>
      </c>
      <c r="F13" s="61" t="s">
        <v>25</v>
      </c>
      <c r="G13" s="62" t="s">
        <v>78</v>
      </c>
      <c r="H13" s="62" t="s">
        <v>74</v>
      </c>
      <c r="I13" s="62">
        <f>'MERCADO TE'!$U$10</f>
        <v>1078.232</v>
      </c>
      <c r="J13" s="15"/>
      <c r="L13" s="59">
        <f>'TE BE'!$L$13*'TE BE'!$L$49</f>
        <v>-7.6531292448725331E-6</v>
      </c>
      <c r="M13" s="59">
        <f>'TE BE'!$M$13*'TE BE'!$M$49</f>
        <v>-6.1376449961527157</v>
      </c>
      <c r="N13" s="59">
        <f>'TE BE'!$N$13*'TE BE'!$N$49</f>
        <v>0</v>
      </c>
      <c r="O13" s="59">
        <f>'TE BE'!$O$13*'TE BE'!$O$49</f>
        <v>0</v>
      </c>
      <c r="P13" s="59">
        <f>'TE BE'!$P$13*'TE BE'!$P$49</f>
        <v>0</v>
      </c>
      <c r="Q13" s="59">
        <f>SUM($L$13:$P$13)</f>
        <v>-6.1376526492819607</v>
      </c>
      <c r="R13" s="59">
        <f>'TE BE'!$R$13*'TE BE'!$R$49</f>
        <v>13.769312212078505</v>
      </c>
      <c r="S13" s="59">
        <f>SUM($R$13:$R$13)</f>
        <v>13.769312212078505</v>
      </c>
      <c r="T13" s="59">
        <f>'TE BE'!$T$13*'TE BE'!$T$49</f>
        <v>0</v>
      </c>
      <c r="U13" s="59">
        <f>'TE BE'!$U$13*'TE BE'!$U$49</f>
        <v>0</v>
      </c>
      <c r="V13" s="59">
        <f>'TE BE'!$V$13*'TE BE'!$V$49</f>
        <v>0</v>
      </c>
      <c r="W13" s="59">
        <f>SUM($T$13:$V$13)</f>
        <v>0</v>
      </c>
      <c r="X13" s="59">
        <f>'TE BE'!$AB$13*'TE BE'!$X$49</f>
        <v>0</v>
      </c>
      <c r="Y13" s="59">
        <f>SUM($X$13:$X$13)</f>
        <v>0</v>
      </c>
      <c r="Z13" s="59">
        <f>'TE BE'!$Z$13*'TE BE'!$Z$49</f>
        <v>0.28920558248343675</v>
      </c>
      <c r="AA13" s="59">
        <f>SUM($Z$13:$Z$13)</f>
        <v>0.28920558248343675</v>
      </c>
      <c r="AB13" s="59">
        <f ca="1">SUMIF($L$4:$AA$4,"SUBTOTAL",$L$13:$AA$13)+AL13</f>
        <v>35.807100747798366</v>
      </c>
      <c r="AC13" s="9" t="str">
        <f t="shared" si="0"/>
        <v>B1</v>
      </c>
      <c r="AD13" s="9" t="str">
        <f t="shared" si="1"/>
        <v>Energia convencional</v>
      </c>
      <c r="AE13" s="9" t="str">
        <f t="shared" si="2"/>
        <v>Residencial</v>
      </c>
      <c r="AF13" s="9" t="str">
        <f t="shared" si="3"/>
        <v>Residencial baixa renda – faixa 02</v>
      </c>
      <c r="AG13" s="9" t="str">
        <f t="shared" si="4"/>
        <v>Não se aplica</v>
      </c>
      <c r="AH13" s="9">
        <v>1</v>
      </c>
      <c r="AI13" s="9">
        <f ca="1">TarifaMedia!$G$20</f>
        <v>1</v>
      </c>
      <c r="AJ13" s="15">
        <f>'TE BE'!$AB13+'TE BF'!$AB13+'TE CVA'!$AB13</f>
        <v>234.64376439748159</v>
      </c>
      <c r="AK13" s="9">
        <v>262.52999999999997</v>
      </c>
      <c r="AL13" s="9">
        <f t="shared" ca="1" si="5"/>
        <v>27.886235602518383</v>
      </c>
      <c r="AO13" s="54" t="s">
        <v>1146</v>
      </c>
    </row>
    <row r="14" spans="1:41" ht="11.25" customHeight="1" x14ac:dyDescent="0.25">
      <c r="A14" s="153"/>
      <c r="B14" s="153"/>
      <c r="C14" s="153"/>
      <c r="D14" s="61" t="s">
        <v>31</v>
      </c>
      <c r="E14" s="61" t="s">
        <v>25</v>
      </c>
      <c r="F14" s="61" t="s">
        <v>25</v>
      </c>
      <c r="G14" s="62" t="s">
        <v>78</v>
      </c>
      <c r="H14" s="62" t="s">
        <v>74</v>
      </c>
      <c r="I14" s="62">
        <f>'MERCADO TE'!$U$11</f>
        <v>1111.8500000000001</v>
      </c>
      <c r="J14" s="15"/>
      <c r="L14" s="59">
        <f>'TE BE'!$L$14*'TE BE'!$L$49</f>
        <v>-7.6531292448725331E-6</v>
      </c>
      <c r="M14" s="59">
        <f>'TE BE'!$M$14*'TE BE'!$M$49</f>
        <v>-6.1376449961527157</v>
      </c>
      <c r="N14" s="59">
        <f>'TE BE'!$N$14*'TE BE'!$N$49</f>
        <v>0</v>
      </c>
      <c r="O14" s="59">
        <f>'TE BE'!$O$14*'TE BE'!$O$49</f>
        <v>0</v>
      </c>
      <c r="P14" s="59">
        <f>'TE BE'!$P$14*'TE BE'!$P$49</f>
        <v>0</v>
      </c>
      <c r="Q14" s="59">
        <f>SUM($L$14:$P$14)</f>
        <v>-6.1376526492819607</v>
      </c>
      <c r="R14" s="59">
        <f>'TE BE'!$R$14*'TE BE'!$R$49</f>
        <v>13.769312212078505</v>
      </c>
      <c r="S14" s="59">
        <f>SUM($R$14:$R$14)</f>
        <v>13.769312212078505</v>
      </c>
      <c r="T14" s="59">
        <f>'TE BE'!$T$14*'TE BE'!$T$49</f>
        <v>0</v>
      </c>
      <c r="U14" s="59">
        <f>'TE BE'!$U$14*'TE BE'!$U$49</f>
        <v>0</v>
      </c>
      <c r="V14" s="59">
        <f>'TE BE'!$V$14*'TE BE'!$V$49</f>
        <v>0</v>
      </c>
      <c r="W14" s="59">
        <f>SUM($T$14:$V$14)</f>
        <v>0</v>
      </c>
      <c r="X14" s="59">
        <f>'TE BE'!$AB$14*'TE BE'!$X$49</f>
        <v>0</v>
      </c>
      <c r="Y14" s="59">
        <f>SUM($X$14:$X$14)</f>
        <v>0</v>
      </c>
      <c r="Z14" s="59">
        <f>'TE BE'!$Z$14*'TE BE'!$Z$49</f>
        <v>0.28920558248343675</v>
      </c>
      <c r="AA14" s="59">
        <f>SUM($Z$14:$Z$14)</f>
        <v>0.28920558248343675</v>
      </c>
      <c r="AB14" s="59">
        <f ca="1">SUMIF($L$4:$AA$4,"SUBTOTAL",$L$14:$AA$14)+AL14</f>
        <v>35.807100747798366</v>
      </c>
      <c r="AC14" s="9" t="str">
        <f t="shared" si="0"/>
        <v>B1</v>
      </c>
      <c r="AD14" s="9" t="str">
        <f t="shared" si="1"/>
        <v>Energia convencional</v>
      </c>
      <c r="AE14" s="9" t="str">
        <f t="shared" si="2"/>
        <v>Residencial</v>
      </c>
      <c r="AF14" s="9" t="str">
        <f t="shared" si="3"/>
        <v>Residencial baixa renda – faixa 03</v>
      </c>
      <c r="AG14" s="9" t="str">
        <f t="shared" si="4"/>
        <v>Não se aplica</v>
      </c>
      <c r="AH14" s="9">
        <v>1</v>
      </c>
      <c r="AI14" s="9">
        <f ca="1">TarifaMedia!$G$20</f>
        <v>1</v>
      </c>
      <c r="AJ14" s="15">
        <f>'TE BE'!$AB14+'TE BF'!$AB14+'TE CVA'!$AB14</f>
        <v>234.64376439748159</v>
      </c>
      <c r="AK14" s="9">
        <v>262.52999999999997</v>
      </c>
      <c r="AL14" s="9">
        <f t="shared" ca="1" si="5"/>
        <v>27.886235602518383</v>
      </c>
      <c r="AO14" s="54" t="s">
        <v>1146</v>
      </c>
    </row>
    <row r="15" spans="1:41" ht="11.25" customHeight="1" x14ac:dyDescent="0.25">
      <c r="A15" s="153"/>
      <c r="B15" s="153"/>
      <c r="C15" s="153"/>
      <c r="D15" s="61" t="s">
        <v>32</v>
      </c>
      <c r="E15" s="61" t="s">
        <v>25</v>
      </c>
      <c r="F15" s="61" t="s">
        <v>25</v>
      </c>
      <c r="G15" s="62" t="s">
        <v>78</v>
      </c>
      <c r="H15" s="62" t="s">
        <v>74</v>
      </c>
      <c r="I15" s="62">
        <f>'MERCADO TE'!$U$12</f>
        <v>453.86500000000007</v>
      </c>
      <c r="J15" s="15"/>
      <c r="L15" s="59">
        <f>'TE BE'!$L$15*'TE BE'!$L$49</f>
        <v>-7.6531292448725331E-6</v>
      </c>
      <c r="M15" s="59">
        <f>'TE BE'!$M$15*'TE BE'!$M$49</f>
        <v>-6.1376449961527157</v>
      </c>
      <c r="N15" s="59">
        <f>'TE BE'!$N$15*'TE BE'!$N$49</f>
        <v>0</v>
      </c>
      <c r="O15" s="59">
        <f>'TE BE'!$O$15*'TE BE'!$O$49</f>
        <v>0</v>
      </c>
      <c r="P15" s="59">
        <f>'TE BE'!$P$15*'TE BE'!$P$49</f>
        <v>0</v>
      </c>
      <c r="Q15" s="59">
        <f>SUM($L$15:$P$15)</f>
        <v>-6.1376526492819607</v>
      </c>
      <c r="R15" s="59">
        <f>'TE BE'!$R$15*'TE BE'!$R$49</f>
        <v>13.769312212078505</v>
      </c>
      <c r="S15" s="59">
        <f>SUM($R$15:$R$15)</f>
        <v>13.769312212078505</v>
      </c>
      <c r="T15" s="59">
        <f>'TE BE'!$T$15*'TE BE'!$T$49</f>
        <v>0</v>
      </c>
      <c r="U15" s="59">
        <f>'TE BE'!$U$15*'TE BE'!$U$49</f>
        <v>0</v>
      </c>
      <c r="V15" s="59">
        <f>'TE BE'!$V$15*'TE BE'!$V$49</f>
        <v>0</v>
      </c>
      <c r="W15" s="59">
        <f>SUM($T$15:$V$15)</f>
        <v>0</v>
      </c>
      <c r="X15" s="59">
        <f>'TE BE'!$AB$15*'TE BE'!$X$49</f>
        <v>0</v>
      </c>
      <c r="Y15" s="59">
        <f>SUM($X$15:$X$15)</f>
        <v>0</v>
      </c>
      <c r="Z15" s="59">
        <f>'TE BE'!$Z$15*'TE BE'!$Z$49</f>
        <v>0.28920558248343675</v>
      </c>
      <c r="AA15" s="59">
        <f>SUM($Z$15:$Z$15)</f>
        <v>0.28920558248343675</v>
      </c>
      <c r="AB15" s="59">
        <f ca="1">SUMIF($L$4:$AA$4,"SUBTOTAL",$L$15:$AA$15)+AL15</f>
        <v>35.807100747798366</v>
      </c>
      <c r="AC15" s="9" t="str">
        <f t="shared" si="0"/>
        <v>B1</v>
      </c>
      <c r="AD15" s="9" t="str">
        <f t="shared" si="1"/>
        <v>Energia convencional</v>
      </c>
      <c r="AE15" s="9" t="str">
        <f t="shared" si="2"/>
        <v>Residencial</v>
      </c>
      <c r="AF15" s="9" t="str">
        <f t="shared" si="3"/>
        <v>Residencial baixa renda – faixa 04</v>
      </c>
      <c r="AG15" s="9" t="str">
        <f t="shared" si="4"/>
        <v>Não se aplica</v>
      </c>
      <c r="AH15" s="9">
        <v>1</v>
      </c>
      <c r="AI15" s="9">
        <f ca="1">TarifaMedia!$G$20</f>
        <v>1</v>
      </c>
      <c r="AJ15" s="15">
        <f>'TE BE'!$AB15+'TE BF'!$AB15+'TE CVA'!$AB15</f>
        <v>234.64376439748159</v>
      </c>
      <c r="AK15" s="9">
        <v>262.52999999999997</v>
      </c>
      <c r="AL15" s="9">
        <f t="shared" ca="1" si="5"/>
        <v>27.886235602518383</v>
      </c>
      <c r="AO15" s="54" t="s">
        <v>1146</v>
      </c>
    </row>
    <row r="16" spans="1:41" ht="11.25" customHeight="1" x14ac:dyDescent="0.25">
      <c r="A16" s="153"/>
      <c r="B16" s="153" t="s">
        <v>88</v>
      </c>
      <c r="C16" s="153" t="s">
        <v>24</v>
      </c>
      <c r="D16" s="61" t="s">
        <v>24</v>
      </c>
      <c r="E16" s="61" t="s">
        <v>25</v>
      </c>
      <c r="F16" s="61" t="s">
        <v>25</v>
      </c>
      <c r="G16" s="62" t="s">
        <v>78</v>
      </c>
      <c r="H16" s="62" t="s">
        <v>74</v>
      </c>
      <c r="I16" s="62">
        <f>'MERCADO TE'!$U$13</f>
        <v>0</v>
      </c>
      <c r="J16" s="15"/>
      <c r="L16" s="59">
        <f>'TE BE'!$L$16*'TE BE'!$L$49</f>
        <v>-7.6531292448725331E-6</v>
      </c>
      <c r="M16" s="59">
        <f>'TE BE'!$M$16*'TE BE'!$M$49</f>
        <v>-6.1376449961527157</v>
      </c>
      <c r="N16" s="59">
        <f>'TE BE'!$N$16*'TE BE'!$N$49</f>
        <v>0</v>
      </c>
      <c r="O16" s="59">
        <f>'TE BE'!$O$16*'TE BE'!$O$49</f>
        <v>0</v>
      </c>
      <c r="P16" s="59">
        <f>'TE BE'!$P$16*'TE BE'!$P$49</f>
        <v>0</v>
      </c>
      <c r="Q16" s="59">
        <f>SUM($L$16:$P$16)</f>
        <v>-6.1376526492819607</v>
      </c>
      <c r="R16" s="59">
        <f>'TE BE'!$R$16*'TE BE'!$R$49</f>
        <v>13.769312212078505</v>
      </c>
      <c r="S16" s="59">
        <f>SUM($R$16:$R$16)</f>
        <v>13.769312212078505</v>
      </c>
      <c r="T16" s="59">
        <f>'TE BE'!$T$16*'TE BE'!$T$49</f>
        <v>0</v>
      </c>
      <c r="U16" s="59">
        <f>'TE BE'!$U$16*'TE BE'!$U$49</f>
        <v>0</v>
      </c>
      <c r="V16" s="59">
        <f>'TE BE'!$V$16*'TE BE'!$V$49</f>
        <v>0</v>
      </c>
      <c r="W16" s="59">
        <f>SUM($T$16:$V$16)</f>
        <v>0</v>
      </c>
      <c r="X16" s="59">
        <f>'TE BE'!$AB$16*'TE BE'!$X$49</f>
        <v>0</v>
      </c>
      <c r="Y16" s="59">
        <f>SUM($X$16:$X$16)</f>
        <v>0</v>
      </c>
      <c r="Z16" s="59">
        <f>'TE BE'!$Z$16*'TE BE'!$Z$49</f>
        <v>0.28920558248343675</v>
      </c>
      <c r="AA16" s="59">
        <f>SUM($Z$16:$Z$16)</f>
        <v>0.28920558248343675</v>
      </c>
      <c r="AB16" s="59">
        <f ca="1">SUMIF($L$4:$AA$4,"SUBTOTAL",$L$16:$AA$16)+AL16</f>
        <v>35.807100747798366</v>
      </c>
      <c r="AC16" s="9" t="str">
        <f t="shared" si="0"/>
        <v>B1</v>
      </c>
      <c r="AD16" s="9" t="str">
        <f t="shared" si="1"/>
        <v>Energia convencional pré-pagamento</v>
      </c>
      <c r="AE16" s="9" t="str">
        <f t="shared" si="2"/>
        <v>Residencial</v>
      </c>
      <c r="AF16" s="9" t="str">
        <f t="shared" si="3"/>
        <v>Residencial</v>
      </c>
      <c r="AG16" s="9" t="str">
        <f t="shared" si="4"/>
        <v>Não se aplica</v>
      </c>
      <c r="AH16" s="9">
        <v>1</v>
      </c>
      <c r="AI16" s="9">
        <f ca="1">TarifaMedia!$G$20</f>
        <v>1</v>
      </c>
      <c r="AJ16" s="15">
        <f>'TE BE'!$AB16+'TE BF'!$AB16+'TE CVA'!$AB16</f>
        <v>234.64376439748159</v>
      </c>
      <c r="AK16" s="9">
        <v>262.52999999999997</v>
      </c>
      <c r="AL16" s="9">
        <f t="shared" ca="1" si="5"/>
        <v>27.886235602518383</v>
      </c>
      <c r="AO16" s="54" t="s">
        <v>1147</v>
      </c>
    </row>
    <row r="17" spans="1:41" ht="11.25" customHeight="1" x14ac:dyDescent="0.25">
      <c r="A17" s="153"/>
      <c r="B17" s="153"/>
      <c r="C17" s="153"/>
      <c r="D17" s="61" t="s">
        <v>29</v>
      </c>
      <c r="E17" s="61" t="s">
        <v>25</v>
      </c>
      <c r="F17" s="61" t="s">
        <v>25</v>
      </c>
      <c r="G17" s="62" t="s">
        <v>78</v>
      </c>
      <c r="H17" s="62" t="s">
        <v>74</v>
      </c>
      <c r="I17" s="62">
        <f>'MERCADO TE'!$U$14</f>
        <v>0</v>
      </c>
      <c r="J17" s="15"/>
      <c r="L17" s="59">
        <f>'TE BE'!$L$17*'TE BE'!$L$49</f>
        <v>-7.6531292448725331E-6</v>
      </c>
      <c r="M17" s="59">
        <f>'TE BE'!$M$17*'TE BE'!$M$49</f>
        <v>-6.1376449961527157</v>
      </c>
      <c r="N17" s="59">
        <f>'TE BE'!$N$17*'TE BE'!$N$49</f>
        <v>0</v>
      </c>
      <c r="O17" s="59">
        <f>'TE BE'!$O$17*'TE BE'!$O$49</f>
        <v>0</v>
      </c>
      <c r="P17" s="59">
        <f>'TE BE'!$P$17*'TE BE'!$P$49</f>
        <v>0</v>
      </c>
      <c r="Q17" s="59">
        <f>SUM($L$17:$P$17)</f>
        <v>-6.1376526492819607</v>
      </c>
      <c r="R17" s="59">
        <f>'TE BE'!$R$17*'TE BE'!$R$49</f>
        <v>13.769312212078505</v>
      </c>
      <c r="S17" s="59">
        <f>SUM($R$17:$R$17)</f>
        <v>13.769312212078505</v>
      </c>
      <c r="T17" s="59">
        <f>'TE BE'!$T$17*'TE BE'!$T$49</f>
        <v>0</v>
      </c>
      <c r="U17" s="59">
        <f>'TE BE'!$U$17*'TE BE'!$U$49</f>
        <v>0</v>
      </c>
      <c r="V17" s="59">
        <f>'TE BE'!$V$17*'TE BE'!$V$49</f>
        <v>0</v>
      </c>
      <c r="W17" s="59">
        <f>SUM($T$17:$V$17)</f>
        <v>0</v>
      </c>
      <c r="X17" s="59">
        <f>'TE BE'!$AB$17*'TE BE'!$X$49</f>
        <v>0</v>
      </c>
      <c r="Y17" s="59">
        <f>SUM($X$17:$X$17)</f>
        <v>0</v>
      </c>
      <c r="Z17" s="59">
        <f>'TE BE'!$Z$17*'TE BE'!$Z$49</f>
        <v>0.28920558248343675</v>
      </c>
      <c r="AA17" s="59">
        <f>SUM($Z$17:$Z$17)</f>
        <v>0.28920558248343675</v>
      </c>
      <c r="AB17" s="59">
        <f ca="1">SUMIF($L$4:$AA$4,"SUBTOTAL",$L$17:$AA$17)+AL17</f>
        <v>35.807100747798366</v>
      </c>
      <c r="AC17" s="9" t="str">
        <f t="shared" si="0"/>
        <v>B1</v>
      </c>
      <c r="AD17" s="9" t="str">
        <f t="shared" si="1"/>
        <v>Energia convencional pré-pagamento</v>
      </c>
      <c r="AE17" s="9" t="str">
        <f t="shared" si="2"/>
        <v>Residencial</v>
      </c>
      <c r="AF17" s="9" t="str">
        <f t="shared" si="3"/>
        <v>Residencial baixa renda – faixa 01</v>
      </c>
      <c r="AG17" s="9" t="str">
        <f t="shared" si="4"/>
        <v>Não se aplica</v>
      </c>
      <c r="AH17" s="9">
        <v>1</v>
      </c>
      <c r="AI17" s="9">
        <f ca="1">TarifaMedia!$G$20</f>
        <v>1</v>
      </c>
      <c r="AJ17" s="15">
        <f>'TE BE'!$AB17+'TE BF'!$AB17+'TE CVA'!$AB17</f>
        <v>234.64376439748159</v>
      </c>
      <c r="AK17" s="9">
        <v>262.52999999999997</v>
      </c>
      <c r="AL17" s="9">
        <f t="shared" ca="1" si="5"/>
        <v>27.886235602518383</v>
      </c>
      <c r="AO17" s="54" t="s">
        <v>1148</v>
      </c>
    </row>
    <row r="18" spans="1:41" ht="11.25" customHeight="1" x14ac:dyDescent="0.25">
      <c r="A18" s="153"/>
      <c r="B18" s="153"/>
      <c r="C18" s="153"/>
      <c r="D18" s="61" t="s">
        <v>30</v>
      </c>
      <c r="E18" s="61" t="s">
        <v>25</v>
      </c>
      <c r="F18" s="61" t="s">
        <v>25</v>
      </c>
      <c r="G18" s="62" t="s">
        <v>78</v>
      </c>
      <c r="H18" s="62" t="s">
        <v>74</v>
      </c>
      <c r="I18" s="62">
        <f>'MERCADO TE'!$U$15</f>
        <v>0</v>
      </c>
      <c r="J18" s="15"/>
      <c r="L18" s="59">
        <f>'TE BE'!$L$18*'TE BE'!$L$49</f>
        <v>-7.6531292448725331E-6</v>
      </c>
      <c r="M18" s="59">
        <f>'TE BE'!$M$18*'TE BE'!$M$49</f>
        <v>-6.1376449961527157</v>
      </c>
      <c r="N18" s="59">
        <f>'TE BE'!$N$18*'TE BE'!$N$49</f>
        <v>0</v>
      </c>
      <c r="O18" s="59">
        <f>'TE BE'!$O$18*'TE BE'!$O$49</f>
        <v>0</v>
      </c>
      <c r="P18" s="59">
        <f>'TE BE'!$P$18*'TE BE'!$P$49</f>
        <v>0</v>
      </c>
      <c r="Q18" s="59">
        <f>SUM($L$18:$P$18)</f>
        <v>-6.1376526492819607</v>
      </c>
      <c r="R18" s="59">
        <f>'TE BE'!$R$18*'TE BE'!$R$49</f>
        <v>13.769312212078505</v>
      </c>
      <c r="S18" s="59">
        <f>SUM($R$18:$R$18)</f>
        <v>13.769312212078505</v>
      </c>
      <c r="T18" s="59">
        <f>'TE BE'!$T$18*'TE BE'!$T$49</f>
        <v>0</v>
      </c>
      <c r="U18" s="59">
        <f>'TE BE'!$U$18*'TE BE'!$U$49</f>
        <v>0</v>
      </c>
      <c r="V18" s="59">
        <f>'TE BE'!$V$18*'TE BE'!$V$49</f>
        <v>0</v>
      </c>
      <c r="W18" s="59">
        <f>SUM($T$18:$V$18)</f>
        <v>0</v>
      </c>
      <c r="X18" s="59">
        <f>'TE BE'!$AB$18*'TE BE'!$X$49</f>
        <v>0</v>
      </c>
      <c r="Y18" s="59">
        <f>SUM($X$18:$X$18)</f>
        <v>0</v>
      </c>
      <c r="Z18" s="59">
        <f>'TE BE'!$Z$18*'TE BE'!$Z$49</f>
        <v>0.28920558248343675</v>
      </c>
      <c r="AA18" s="59">
        <f>SUM($Z$18:$Z$18)</f>
        <v>0.28920558248343675</v>
      </c>
      <c r="AB18" s="59">
        <f ca="1">SUMIF($L$4:$AA$4,"SUBTOTAL",$L$18:$AA$18)+AL18</f>
        <v>35.807100747798366</v>
      </c>
      <c r="AC18" s="9" t="str">
        <f t="shared" si="0"/>
        <v>B1</v>
      </c>
      <c r="AD18" s="9" t="str">
        <f t="shared" si="1"/>
        <v>Energia convencional pré-pagamento</v>
      </c>
      <c r="AE18" s="9" t="str">
        <f t="shared" si="2"/>
        <v>Residencial</v>
      </c>
      <c r="AF18" s="9" t="str">
        <f t="shared" si="3"/>
        <v>Residencial baixa renda – faixa 02</v>
      </c>
      <c r="AG18" s="9" t="str">
        <f t="shared" si="4"/>
        <v>Não se aplica</v>
      </c>
      <c r="AH18" s="9">
        <v>1</v>
      </c>
      <c r="AI18" s="9">
        <f ca="1">TarifaMedia!$G$20</f>
        <v>1</v>
      </c>
      <c r="AJ18" s="15">
        <f>'TE BE'!$AB18+'TE BF'!$AB18+'TE CVA'!$AB18</f>
        <v>234.64376439748159</v>
      </c>
      <c r="AK18" s="9">
        <v>262.52999999999997</v>
      </c>
      <c r="AL18" s="9">
        <f t="shared" ca="1" si="5"/>
        <v>27.886235602518383</v>
      </c>
      <c r="AO18" s="54" t="s">
        <v>1148</v>
      </c>
    </row>
    <row r="19" spans="1:41" ht="11.25" customHeight="1" x14ac:dyDescent="0.25">
      <c r="A19" s="153"/>
      <c r="B19" s="153"/>
      <c r="C19" s="153"/>
      <c r="D19" s="61" t="s">
        <v>31</v>
      </c>
      <c r="E19" s="61" t="s">
        <v>25</v>
      </c>
      <c r="F19" s="61" t="s">
        <v>25</v>
      </c>
      <c r="G19" s="62" t="s">
        <v>78</v>
      </c>
      <c r="H19" s="62" t="s">
        <v>74</v>
      </c>
      <c r="I19" s="62">
        <f>'MERCADO TE'!$U$16</f>
        <v>0</v>
      </c>
      <c r="J19" s="15"/>
      <c r="L19" s="59">
        <f>'TE BE'!$L$19*'TE BE'!$L$49</f>
        <v>-7.6531292448725331E-6</v>
      </c>
      <c r="M19" s="59">
        <f>'TE BE'!$M$19*'TE BE'!$M$49</f>
        <v>-6.1376449961527157</v>
      </c>
      <c r="N19" s="59">
        <f>'TE BE'!$N$19*'TE BE'!$N$49</f>
        <v>0</v>
      </c>
      <c r="O19" s="59">
        <f>'TE BE'!$O$19*'TE BE'!$O$49</f>
        <v>0</v>
      </c>
      <c r="P19" s="59">
        <f>'TE BE'!$P$19*'TE BE'!$P$49</f>
        <v>0</v>
      </c>
      <c r="Q19" s="59">
        <f>SUM($L$19:$P$19)</f>
        <v>-6.1376526492819607</v>
      </c>
      <c r="R19" s="59">
        <f>'TE BE'!$R$19*'TE BE'!$R$49</f>
        <v>13.769312212078505</v>
      </c>
      <c r="S19" s="59">
        <f>SUM($R$19:$R$19)</f>
        <v>13.769312212078505</v>
      </c>
      <c r="T19" s="59">
        <f>'TE BE'!$T$19*'TE BE'!$T$49</f>
        <v>0</v>
      </c>
      <c r="U19" s="59">
        <f>'TE BE'!$U$19*'TE BE'!$U$49</f>
        <v>0</v>
      </c>
      <c r="V19" s="59">
        <f>'TE BE'!$V$19*'TE BE'!$V$49</f>
        <v>0</v>
      </c>
      <c r="W19" s="59">
        <f>SUM($T$19:$V$19)</f>
        <v>0</v>
      </c>
      <c r="X19" s="59">
        <f>'TE BE'!$AB$19*'TE BE'!$X$49</f>
        <v>0</v>
      </c>
      <c r="Y19" s="59">
        <f>SUM($X$19:$X$19)</f>
        <v>0</v>
      </c>
      <c r="Z19" s="59">
        <f>'TE BE'!$Z$19*'TE BE'!$Z$49</f>
        <v>0.28920558248343675</v>
      </c>
      <c r="AA19" s="59">
        <f>SUM($Z$19:$Z$19)</f>
        <v>0.28920558248343675</v>
      </c>
      <c r="AB19" s="59">
        <f ca="1">SUMIF($L$4:$AA$4,"SUBTOTAL",$L$19:$AA$19)+AL19</f>
        <v>35.807100747798366</v>
      </c>
      <c r="AC19" s="9" t="str">
        <f t="shared" si="0"/>
        <v>B1</v>
      </c>
      <c r="AD19" s="9" t="str">
        <f t="shared" si="1"/>
        <v>Energia convencional pré-pagamento</v>
      </c>
      <c r="AE19" s="9" t="str">
        <f t="shared" si="2"/>
        <v>Residencial</v>
      </c>
      <c r="AF19" s="9" t="str">
        <f t="shared" si="3"/>
        <v>Residencial baixa renda – faixa 03</v>
      </c>
      <c r="AG19" s="9" t="str">
        <f t="shared" si="4"/>
        <v>Não se aplica</v>
      </c>
      <c r="AH19" s="9">
        <v>1</v>
      </c>
      <c r="AI19" s="9">
        <f ca="1">TarifaMedia!$G$20</f>
        <v>1</v>
      </c>
      <c r="AJ19" s="15">
        <f>'TE BE'!$AB19+'TE BF'!$AB19+'TE CVA'!$AB19</f>
        <v>234.64376439748159</v>
      </c>
      <c r="AK19" s="9">
        <v>262.52999999999997</v>
      </c>
      <c r="AL19" s="9">
        <f t="shared" ca="1" si="5"/>
        <v>27.886235602518383</v>
      </c>
      <c r="AO19" s="54" t="s">
        <v>1148</v>
      </c>
    </row>
    <row r="20" spans="1:41" ht="11.25" customHeight="1" x14ac:dyDescent="0.25">
      <c r="A20" s="153"/>
      <c r="B20" s="153"/>
      <c r="C20" s="153"/>
      <c r="D20" s="61" t="s">
        <v>32</v>
      </c>
      <c r="E20" s="61" t="s">
        <v>25</v>
      </c>
      <c r="F20" s="61" t="s">
        <v>25</v>
      </c>
      <c r="G20" s="62" t="s">
        <v>78</v>
      </c>
      <c r="H20" s="62" t="s">
        <v>74</v>
      </c>
      <c r="I20" s="62">
        <f>'MERCADO TE'!$U$17</f>
        <v>0</v>
      </c>
      <c r="J20" s="15"/>
      <c r="L20" s="59">
        <f>'TE BE'!$L$20*'TE BE'!$L$49</f>
        <v>-7.6531292448725331E-6</v>
      </c>
      <c r="M20" s="59">
        <f>'TE BE'!$M$20*'TE BE'!$M$49</f>
        <v>-6.1376449961527157</v>
      </c>
      <c r="N20" s="59">
        <f>'TE BE'!$N$20*'TE BE'!$N$49</f>
        <v>0</v>
      </c>
      <c r="O20" s="59">
        <f>'TE BE'!$O$20*'TE BE'!$O$49</f>
        <v>0</v>
      </c>
      <c r="P20" s="59">
        <f>'TE BE'!$P$20*'TE BE'!$P$49</f>
        <v>0</v>
      </c>
      <c r="Q20" s="59">
        <f>SUM($L$20:$P$20)</f>
        <v>-6.1376526492819607</v>
      </c>
      <c r="R20" s="59">
        <f>'TE BE'!$R$20*'TE BE'!$R$49</f>
        <v>13.769312212078505</v>
      </c>
      <c r="S20" s="59">
        <f>SUM($R$20:$R$20)</f>
        <v>13.769312212078505</v>
      </c>
      <c r="T20" s="59">
        <f>'TE BE'!$T$20*'TE BE'!$T$49</f>
        <v>0</v>
      </c>
      <c r="U20" s="59">
        <f>'TE BE'!$U$20*'TE BE'!$U$49</f>
        <v>0</v>
      </c>
      <c r="V20" s="59">
        <f>'TE BE'!$V$20*'TE BE'!$V$49</f>
        <v>0</v>
      </c>
      <c r="W20" s="59">
        <f>SUM($T$20:$V$20)</f>
        <v>0</v>
      </c>
      <c r="X20" s="59">
        <f>'TE BE'!$AB$20*'TE BE'!$X$49</f>
        <v>0</v>
      </c>
      <c r="Y20" s="59">
        <f>SUM($X$20:$X$20)</f>
        <v>0</v>
      </c>
      <c r="Z20" s="59">
        <f>'TE BE'!$Z$20*'TE BE'!$Z$49</f>
        <v>0.28920558248343675</v>
      </c>
      <c r="AA20" s="59">
        <f>SUM($Z$20:$Z$20)</f>
        <v>0.28920558248343675</v>
      </c>
      <c r="AB20" s="59">
        <f ca="1">SUMIF($L$4:$AA$4,"SUBTOTAL",$L$20:$AA$20)+AL20</f>
        <v>35.807100747798366</v>
      </c>
      <c r="AC20" s="9" t="str">
        <f t="shared" si="0"/>
        <v>B1</v>
      </c>
      <c r="AD20" s="9" t="str">
        <f t="shared" si="1"/>
        <v>Energia convencional pré-pagamento</v>
      </c>
      <c r="AE20" s="9" t="str">
        <f t="shared" si="2"/>
        <v>Residencial</v>
      </c>
      <c r="AF20" s="9" t="str">
        <f t="shared" si="3"/>
        <v>Residencial baixa renda – faixa 04</v>
      </c>
      <c r="AG20" s="9" t="str">
        <f t="shared" si="4"/>
        <v>Não se aplica</v>
      </c>
      <c r="AH20" s="9">
        <v>1</v>
      </c>
      <c r="AI20" s="9">
        <f ca="1">TarifaMedia!$G$20</f>
        <v>1</v>
      </c>
      <c r="AJ20" s="15">
        <f>'TE BE'!$AB20+'TE BF'!$AB20+'TE CVA'!$AB20</f>
        <v>234.64376439748159</v>
      </c>
      <c r="AK20" s="9">
        <v>262.52999999999997</v>
      </c>
      <c r="AL20" s="9">
        <f t="shared" ca="1" si="5"/>
        <v>27.886235602518383</v>
      </c>
      <c r="AO20" s="54" t="s">
        <v>1148</v>
      </c>
    </row>
    <row r="21" spans="1:41" ht="11.25" customHeight="1" x14ac:dyDescent="0.25">
      <c r="A21" s="153" t="s">
        <v>41</v>
      </c>
      <c r="B21" s="153" t="s">
        <v>73</v>
      </c>
      <c r="C21" s="153" t="s">
        <v>42</v>
      </c>
      <c r="D21" s="153" t="s">
        <v>25</v>
      </c>
      <c r="E21" s="153" t="s">
        <v>25</v>
      </c>
      <c r="F21" s="153" t="s">
        <v>25</v>
      </c>
      <c r="G21" s="62" t="s">
        <v>75</v>
      </c>
      <c r="H21" s="62" t="s">
        <v>74</v>
      </c>
      <c r="I21" s="62">
        <f>'MERCADO TE'!$U$18</f>
        <v>0</v>
      </c>
      <c r="J21" s="15"/>
      <c r="L21" s="59">
        <f>'TE BE'!$L$21*'TE BE'!$L$49</f>
        <v>-7.6531292448725331E-6</v>
      </c>
      <c r="M21" s="59">
        <f>'TE BE'!$M$21*'TE BE'!$M$49</f>
        <v>-6.1376449961527157</v>
      </c>
      <c r="N21" s="59">
        <f>'TE BE'!$N$21*'TE BE'!$N$49</f>
        <v>0</v>
      </c>
      <c r="O21" s="59">
        <f>'TE BE'!$O$21*'TE BE'!$O$49</f>
        <v>0</v>
      </c>
      <c r="P21" s="59">
        <f>'TE BE'!$P$21*'TE BE'!$P$49</f>
        <v>0</v>
      </c>
      <c r="Q21" s="59">
        <f>SUM($L$21:$P$21)</f>
        <v>-6.1376526492819607</v>
      </c>
      <c r="R21" s="59">
        <f>'TE BE'!$R$21*'TE BE'!$R$49</f>
        <v>22.342657551674552</v>
      </c>
      <c r="S21" s="59">
        <f>SUM($R$21:$R$21)</f>
        <v>22.342657551674552</v>
      </c>
      <c r="T21" s="59">
        <f>'TE BE'!$T$21*'TE BE'!$T$49</f>
        <v>0</v>
      </c>
      <c r="U21" s="59">
        <f>'TE BE'!$U$21*'TE BE'!$U$49</f>
        <v>0</v>
      </c>
      <c r="V21" s="59">
        <f>'TE BE'!$V$21*'TE BE'!$V$49</f>
        <v>0</v>
      </c>
      <c r="W21" s="59">
        <f>SUM($T$21:$V$21)</f>
        <v>0</v>
      </c>
      <c r="X21" s="59">
        <f>'TE BE'!$AB$21*'TE BE'!$X$49</f>
        <v>0</v>
      </c>
      <c r="Y21" s="59">
        <f>SUM($X$21:$X$21)</f>
        <v>0</v>
      </c>
      <c r="Z21" s="59">
        <f>'TE BE'!$Z$21*'TE BE'!$Z$49</f>
        <v>0.28920558248343675</v>
      </c>
      <c r="AA21" s="59">
        <f>SUM($Z$21:$Z$21)</f>
        <v>0.28920558248343675</v>
      </c>
      <c r="AB21" s="59">
        <f ca="1">SUMIF($L$4:$AA$4,"SUBTOTAL",$L$21:$AA$21)+AL21</f>
        <v>53.598208339717139</v>
      </c>
      <c r="AC21" s="9" t="str">
        <f t="shared" si="0"/>
        <v>B2</v>
      </c>
      <c r="AD21" s="9" t="str">
        <f t="shared" si="1"/>
        <v>Energia horária</v>
      </c>
      <c r="AE21" s="9" t="str">
        <f t="shared" si="2"/>
        <v>Rural</v>
      </c>
      <c r="AF21" s="9" t="str">
        <f t="shared" si="3"/>
        <v>Não se aplica</v>
      </c>
      <c r="AG21" s="9" t="str">
        <f t="shared" si="4"/>
        <v>Não se aplica</v>
      </c>
      <c r="AH21" s="9">
        <v>1</v>
      </c>
      <c r="AI21" s="9">
        <f ca="1">TarifaMedia!$G$20</f>
        <v>1</v>
      </c>
      <c r="AJ21" s="15">
        <f>'TE BE'!$AB21+'TE BF'!$AB21+'TE CVA'!$AB21</f>
        <v>362.73600214515886</v>
      </c>
      <c r="AK21" s="9">
        <f>ROUND(375.85/(1-CUSTOS!$M$38),2)</f>
        <v>399.84</v>
      </c>
      <c r="AL21" s="9">
        <f t="shared" ca="1" si="5"/>
        <v>37.103997854841111</v>
      </c>
      <c r="AO21" s="54" t="s">
        <v>1149</v>
      </c>
    </row>
    <row r="22" spans="1:41" ht="11.25" customHeight="1" x14ac:dyDescent="0.25">
      <c r="A22" s="153"/>
      <c r="B22" s="153"/>
      <c r="C22" s="153"/>
      <c r="D22" s="153"/>
      <c r="E22" s="153"/>
      <c r="F22" s="153"/>
      <c r="G22" s="62" t="s">
        <v>87</v>
      </c>
      <c r="H22" s="62" t="s">
        <v>74</v>
      </c>
      <c r="I22" s="62">
        <f>'MERCADO TE'!$U$19</f>
        <v>0</v>
      </c>
      <c r="J22" s="15"/>
      <c r="L22" s="59">
        <f>'TE BE'!$L$22*'TE BE'!$L$49</f>
        <v>-7.6531292448725331E-6</v>
      </c>
      <c r="M22" s="59">
        <f>'TE BE'!$M$22*'TE BE'!$M$49</f>
        <v>-6.1376449961527157</v>
      </c>
      <c r="N22" s="59">
        <f>'TE BE'!$N$22*'TE BE'!$N$49</f>
        <v>0</v>
      </c>
      <c r="O22" s="59">
        <f>'TE BE'!$O$22*'TE BE'!$O$49</f>
        <v>0</v>
      </c>
      <c r="P22" s="59">
        <f>'TE BE'!$P$22*'TE BE'!$P$49</f>
        <v>0</v>
      </c>
      <c r="Q22" s="59">
        <f>SUM($L$22:$P$22)</f>
        <v>-6.1376526492819607</v>
      </c>
      <c r="R22" s="59">
        <f>'TE BE'!$R$22*'TE BE'!$R$49</f>
        <v>12.989917181206136</v>
      </c>
      <c r="S22" s="59">
        <f>SUM($R$22:$R$22)</f>
        <v>12.989917181206136</v>
      </c>
      <c r="T22" s="59">
        <f>'TE BE'!$T$22*'TE BE'!$T$49</f>
        <v>0</v>
      </c>
      <c r="U22" s="59">
        <f>'TE BE'!$U$22*'TE BE'!$U$49</f>
        <v>0</v>
      </c>
      <c r="V22" s="59">
        <f>'TE BE'!$V$22*'TE BE'!$V$49</f>
        <v>0</v>
      </c>
      <c r="W22" s="59">
        <f>SUM($T$22:$V$22)</f>
        <v>0</v>
      </c>
      <c r="X22" s="59">
        <f>'TE BE'!$AB$22*'TE BE'!$X$49</f>
        <v>0</v>
      </c>
      <c r="Y22" s="59">
        <f>SUM($X$22:$X$22)</f>
        <v>0</v>
      </c>
      <c r="Z22" s="59">
        <f>'TE BE'!$Z$22*'TE BE'!$Z$49</f>
        <v>0.28920558248343675</v>
      </c>
      <c r="AA22" s="59">
        <f>SUM($Z$22:$Z$22)</f>
        <v>0.28920558248343675</v>
      </c>
      <c r="AB22" s="59">
        <f ca="1">SUMIF($L$4:$AA$4,"SUBTOTAL",$L$22:$AA$22)+AL22</f>
        <v>34.182454603078497</v>
      </c>
      <c r="AC22" s="9" t="str">
        <f t="shared" si="0"/>
        <v>B2</v>
      </c>
      <c r="AD22" s="9" t="str">
        <f t="shared" si="1"/>
        <v>Energia horária</v>
      </c>
      <c r="AE22" s="9" t="str">
        <f t="shared" si="2"/>
        <v>Rural</v>
      </c>
      <c r="AF22" s="9" t="str">
        <f t="shared" si="3"/>
        <v>Não se aplica</v>
      </c>
      <c r="AG22" s="9" t="str">
        <f t="shared" si="4"/>
        <v>Não se aplica</v>
      </c>
      <c r="AH22" s="9">
        <v>1</v>
      </c>
      <c r="AI22" s="9">
        <f ca="1">TarifaMedia!$G$20</f>
        <v>1</v>
      </c>
      <c r="AJ22" s="15">
        <f>'TE BE'!$AB22+'TE BF'!$AB22+'TE CVA'!$AB22</f>
        <v>222.99901551132911</v>
      </c>
      <c r="AK22" s="9">
        <f>ROUND(235.04/(1-CUSTOS!$M$38),2)</f>
        <v>250.04</v>
      </c>
      <c r="AL22" s="9">
        <f t="shared" ca="1" si="5"/>
        <v>27.040984488670887</v>
      </c>
      <c r="AO22" s="54" t="s">
        <v>1150</v>
      </c>
    </row>
    <row r="23" spans="1:41" ht="11.25" customHeight="1" x14ac:dyDescent="0.25">
      <c r="A23" s="153"/>
      <c r="B23" s="153"/>
      <c r="C23" s="153"/>
      <c r="D23" s="153"/>
      <c r="E23" s="153"/>
      <c r="F23" s="153"/>
      <c r="G23" s="62" t="s">
        <v>76</v>
      </c>
      <c r="H23" s="62" t="s">
        <v>74</v>
      </c>
      <c r="I23" s="62">
        <f>'MERCADO TE'!$U$20</f>
        <v>0</v>
      </c>
      <c r="J23" s="15"/>
      <c r="L23" s="59">
        <f>'TE BE'!$L$23*'TE BE'!$L$49</f>
        <v>-7.6531292448725331E-6</v>
      </c>
      <c r="M23" s="59">
        <f>'TE BE'!$M$23*'TE BE'!$M$49</f>
        <v>-6.1376449961527157</v>
      </c>
      <c r="N23" s="59">
        <f>'TE BE'!$N$23*'TE BE'!$N$49</f>
        <v>0</v>
      </c>
      <c r="O23" s="59">
        <f>'TE BE'!$O$23*'TE BE'!$O$49</f>
        <v>0</v>
      </c>
      <c r="P23" s="59">
        <f>'TE BE'!$P$23*'TE BE'!$P$49</f>
        <v>0</v>
      </c>
      <c r="Q23" s="59">
        <f>SUM($L$23:$P$23)</f>
        <v>-6.1376526492819607</v>
      </c>
      <c r="R23" s="59">
        <f>'TE BE'!$R$23*'TE BE'!$R$49</f>
        <v>12.989917181206136</v>
      </c>
      <c r="S23" s="59">
        <f>SUM($R$23:$R$23)</f>
        <v>12.989917181206136</v>
      </c>
      <c r="T23" s="59">
        <f>'TE BE'!$T$23*'TE BE'!$T$49</f>
        <v>0</v>
      </c>
      <c r="U23" s="59">
        <f>'TE BE'!$U$23*'TE BE'!$U$49</f>
        <v>0</v>
      </c>
      <c r="V23" s="59">
        <f>'TE BE'!$V$23*'TE BE'!$V$49</f>
        <v>0</v>
      </c>
      <c r="W23" s="59">
        <f>SUM($T$23:$V$23)</f>
        <v>0</v>
      </c>
      <c r="X23" s="59">
        <f>'TE BE'!$AB$23*'TE BE'!$X$49</f>
        <v>0</v>
      </c>
      <c r="Y23" s="59">
        <f>SUM($X$23:$X$23)</f>
        <v>0</v>
      </c>
      <c r="Z23" s="59">
        <f>'TE BE'!$Z$23*'TE BE'!$Z$49</f>
        <v>0.28920558248343675</v>
      </c>
      <c r="AA23" s="59">
        <f>SUM($Z$23:$Z$23)</f>
        <v>0.28920558248343675</v>
      </c>
      <c r="AB23" s="59">
        <f ca="1">SUMIF($L$4:$AA$4,"SUBTOTAL",$L$23:$AA$23)+AL23</f>
        <v>34.182454603078497</v>
      </c>
      <c r="AC23" s="9" t="str">
        <f t="shared" si="0"/>
        <v>B2</v>
      </c>
      <c r="AD23" s="9" t="str">
        <f t="shared" si="1"/>
        <v>Energia horária</v>
      </c>
      <c r="AE23" s="9" t="str">
        <f t="shared" si="2"/>
        <v>Rural</v>
      </c>
      <c r="AF23" s="9" t="str">
        <f t="shared" si="3"/>
        <v>Não se aplica</v>
      </c>
      <c r="AG23" s="9" t="str">
        <f t="shared" si="4"/>
        <v>Não se aplica</v>
      </c>
      <c r="AH23" s="9">
        <v>1</v>
      </c>
      <c r="AI23" s="9">
        <f ca="1">TarifaMedia!$G$20</f>
        <v>1</v>
      </c>
      <c r="AJ23" s="15">
        <f>'TE BE'!$AB23+'TE BF'!$AB23+'TE CVA'!$AB23</f>
        <v>222.99901551132911</v>
      </c>
      <c r="AK23" s="9">
        <f>ROUND(235.04/(1-CUSTOS!$M$38),2)</f>
        <v>250.04</v>
      </c>
      <c r="AL23" s="9">
        <f t="shared" ca="1" si="5"/>
        <v>27.040984488670887</v>
      </c>
      <c r="AO23" s="54" t="s">
        <v>1151</v>
      </c>
    </row>
    <row r="24" spans="1:41" ht="11.25" customHeight="1" x14ac:dyDescent="0.25">
      <c r="A24" s="153"/>
      <c r="B24" s="61" t="s">
        <v>77</v>
      </c>
      <c r="C24" s="61" t="s">
        <v>42</v>
      </c>
      <c r="D24" s="61" t="s">
        <v>25</v>
      </c>
      <c r="E24" s="61" t="s">
        <v>25</v>
      </c>
      <c r="F24" s="61" t="s">
        <v>25</v>
      </c>
      <c r="G24" s="62" t="s">
        <v>78</v>
      </c>
      <c r="H24" s="62" t="s">
        <v>74</v>
      </c>
      <c r="I24" s="62">
        <f>'MERCADO TE'!$U$21</f>
        <v>11721.666999999998</v>
      </c>
      <c r="J24" s="15"/>
      <c r="L24" s="59">
        <f>'TE BE'!$L$24*'TE BE'!$L$49</f>
        <v>-7.6531292448725331E-6</v>
      </c>
      <c r="M24" s="59">
        <f>'TE BE'!$M$24*'TE BE'!$M$49</f>
        <v>-6.1376449961527157</v>
      </c>
      <c r="N24" s="59">
        <f>'TE BE'!$N$24*'TE BE'!$N$49</f>
        <v>0</v>
      </c>
      <c r="O24" s="59">
        <f>'TE BE'!$O$24*'TE BE'!$O$49</f>
        <v>0</v>
      </c>
      <c r="P24" s="59">
        <f>'TE BE'!$P$24*'TE BE'!$P$49</f>
        <v>0</v>
      </c>
      <c r="Q24" s="59">
        <f>SUM($L$24:$P$24)</f>
        <v>-6.1376526492819607</v>
      </c>
      <c r="R24" s="59">
        <f>'TE BE'!$R$24*'TE BE'!$R$49</f>
        <v>13.769312212078505</v>
      </c>
      <c r="S24" s="59">
        <f>SUM($R$24:$R$24)</f>
        <v>13.769312212078505</v>
      </c>
      <c r="T24" s="59">
        <f>'TE BE'!$T$24*'TE BE'!$T$49</f>
        <v>0</v>
      </c>
      <c r="U24" s="59">
        <f>'TE BE'!$U$24*'TE BE'!$U$49</f>
        <v>0</v>
      </c>
      <c r="V24" s="59">
        <f>'TE BE'!$V$24*'TE BE'!$V$49</f>
        <v>0</v>
      </c>
      <c r="W24" s="59">
        <f>SUM($T$24:$V$24)</f>
        <v>0</v>
      </c>
      <c r="X24" s="59">
        <f>'TE BE'!$AB$24*'TE BE'!$X$49</f>
        <v>0</v>
      </c>
      <c r="Y24" s="59">
        <f>SUM($X$24:$X$24)</f>
        <v>0</v>
      </c>
      <c r="Z24" s="59">
        <f>'TE BE'!$Z$24*'TE BE'!$Z$49</f>
        <v>0.28920558248343675</v>
      </c>
      <c r="AA24" s="59">
        <f>SUM($Z$24:$Z$24)</f>
        <v>0.28920558248343675</v>
      </c>
      <c r="AB24" s="59">
        <f ca="1">SUMIF($L$4:$AA$4,"SUBTOTAL",$L$24:$AA$24)+AL24</f>
        <v>35.807100747798366</v>
      </c>
      <c r="AC24" s="9" t="str">
        <f t="shared" si="0"/>
        <v>B2</v>
      </c>
      <c r="AD24" s="9" t="str">
        <f t="shared" si="1"/>
        <v>Energia convencional</v>
      </c>
      <c r="AE24" s="9" t="str">
        <f t="shared" si="2"/>
        <v>Rural</v>
      </c>
      <c r="AF24" s="9" t="str">
        <f t="shared" si="3"/>
        <v>Não se aplica</v>
      </c>
      <c r="AG24" s="9" t="str">
        <f t="shared" si="4"/>
        <v>Não se aplica</v>
      </c>
      <c r="AH24" s="9">
        <v>1</v>
      </c>
      <c r="AI24" s="9">
        <f ca="1">TarifaMedia!$G$20</f>
        <v>1</v>
      </c>
      <c r="AJ24" s="15">
        <f>'TE BE'!$AB24+'TE BF'!$AB24+'TE CVA'!$AB24</f>
        <v>234.64376439748159</v>
      </c>
      <c r="AK24" s="9">
        <v>262.52999999999997</v>
      </c>
      <c r="AL24" s="9">
        <f t="shared" ca="1" si="5"/>
        <v>27.886235602518383</v>
      </c>
      <c r="AO24" s="54" t="s">
        <v>1145</v>
      </c>
    </row>
    <row r="25" spans="1:41" ht="11.25" customHeight="1" x14ac:dyDescent="0.25">
      <c r="A25" s="153"/>
      <c r="B25" s="153" t="s">
        <v>73</v>
      </c>
      <c r="C25" s="153" t="s">
        <v>42</v>
      </c>
      <c r="D25" s="153" t="s">
        <v>90</v>
      </c>
      <c r="E25" s="153" t="s">
        <v>25</v>
      </c>
      <c r="F25" s="153" t="s">
        <v>25</v>
      </c>
      <c r="G25" s="62" t="s">
        <v>75</v>
      </c>
      <c r="H25" s="62" t="s">
        <v>74</v>
      </c>
      <c r="I25" s="62">
        <f>'MERCADO TE'!$U$22</f>
        <v>0</v>
      </c>
      <c r="J25" s="15"/>
      <c r="L25" s="59">
        <f>'TE BE'!$L$25*'TE BE'!$L$49</f>
        <v>-7.6531292448725331E-6</v>
      </c>
      <c r="M25" s="59">
        <f>'TE BE'!$M$25*'TE BE'!$M$49</f>
        <v>-6.1376449961527157</v>
      </c>
      <c r="N25" s="59">
        <f>'TE BE'!$N$25*'TE BE'!$N$49</f>
        <v>0</v>
      </c>
      <c r="O25" s="59">
        <f>'TE BE'!$O$25*'TE BE'!$O$49</f>
        <v>0</v>
      </c>
      <c r="P25" s="59">
        <f>'TE BE'!$P$25*'TE BE'!$P$49</f>
        <v>0</v>
      </c>
      <c r="Q25" s="59">
        <f>SUM($L$25:$P$25)</f>
        <v>-6.1376526492819607</v>
      </c>
      <c r="R25" s="59">
        <f>'TE BE'!$R$25*'TE BE'!$R$49</f>
        <v>22.342657551674552</v>
      </c>
      <c r="S25" s="59">
        <f>SUM($R$25:$R$25)</f>
        <v>22.342657551674552</v>
      </c>
      <c r="T25" s="59">
        <f>'TE BE'!$T$25*'TE BE'!$T$49</f>
        <v>0</v>
      </c>
      <c r="U25" s="59">
        <f>'TE BE'!$U$25*'TE BE'!$U$49</f>
        <v>0</v>
      </c>
      <c r="V25" s="59">
        <f>'TE BE'!$V$25*'TE BE'!$V$49</f>
        <v>0</v>
      </c>
      <c r="W25" s="59">
        <f>SUM($T$25:$V$25)</f>
        <v>0</v>
      </c>
      <c r="X25" s="59">
        <f>'TE BE'!$AB$25*'TE BE'!$X$49</f>
        <v>0</v>
      </c>
      <c r="Y25" s="59">
        <f>SUM($X$25:$X$25)</f>
        <v>0</v>
      </c>
      <c r="Z25" s="59">
        <f>'TE BE'!$Z$25*'TE BE'!$Z$49</f>
        <v>0.28920558248343675</v>
      </c>
      <c r="AA25" s="59">
        <f>SUM($Z$25:$Z$25)</f>
        <v>0.28920558248343675</v>
      </c>
      <c r="AB25" s="59">
        <f ca="1">SUMIF($L$4:$AA$4,"SUBTOTAL",$L$25:$AA$25)+AL25</f>
        <v>53.598208339717139</v>
      </c>
      <c r="AC25" s="9" t="str">
        <f t="shared" si="0"/>
        <v>B2</v>
      </c>
      <c r="AD25" s="9" t="str">
        <f t="shared" si="1"/>
        <v>Energia horária</v>
      </c>
      <c r="AE25" s="9" t="str">
        <f t="shared" si="2"/>
        <v>Rural</v>
      </c>
      <c r="AF25" s="9" t="str">
        <f t="shared" si="3"/>
        <v>Cooperativa de eletrificação rural</v>
      </c>
      <c r="AG25" s="9" t="str">
        <f t="shared" si="4"/>
        <v>Não se aplica</v>
      </c>
      <c r="AH25" s="9">
        <v>1</v>
      </c>
      <c r="AI25" s="9">
        <f ca="1">TarifaMedia!$G$20</f>
        <v>1</v>
      </c>
      <c r="AJ25" s="15">
        <f>'TE BE'!$AB25+'TE BF'!$AB25+'TE CVA'!$AB25</f>
        <v>362.73600214515886</v>
      </c>
      <c r="AK25" s="9">
        <f>ROUND(375.85/(1-CUSTOS!$M$38),2)</f>
        <v>399.84</v>
      </c>
      <c r="AL25" s="9">
        <f t="shared" ca="1" si="5"/>
        <v>37.103997854841111</v>
      </c>
      <c r="AO25" s="54" t="s">
        <v>1149</v>
      </c>
    </row>
    <row r="26" spans="1:41" ht="11.25" customHeight="1" x14ac:dyDescent="0.25">
      <c r="A26" s="153"/>
      <c r="B26" s="153"/>
      <c r="C26" s="153"/>
      <c r="D26" s="153"/>
      <c r="E26" s="153"/>
      <c r="F26" s="153"/>
      <c r="G26" s="62" t="s">
        <v>87</v>
      </c>
      <c r="H26" s="62" t="s">
        <v>74</v>
      </c>
      <c r="I26" s="62">
        <f>'MERCADO TE'!$U$23</f>
        <v>0</v>
      </c>
      <c r="J26" s="15"/>
      <c r="L26" s="59">
        <f>'TE BE'!$L$26*'TE BE'!$L$49</f>
        <v>-7.6531292448725331E-6</v>
      </c>
      <c r="M26" s="59">
        <f>'TE BE'!$M$26*'TE BE'!$M$49</f>
        <v>-6.1376449961527157</v>
      </c>
      <c r="N26" s="59">
        <f>'TE BE'!$N$26*'TE BE'!$N$49</f>
        <v>0</v>
      </c>
      <c r="O26" s="59">
        <f>'TE BE'!$O$26*'TE BE'!$O$49</f>
        <v>0</v>
      </c>
      <c r="P26" s="59">
        <f>'TE BE'!$P$26*'TE BE'!$P$49</f>
        <v>0</v>
      </c>
      <c r="Q26" s="59">
        <f>SUM($L$26:$P$26)</f>
        <v>-6.1376526492819607</v>
      </c>
      <c r="R26" s="59">
        <f>'TE BE'!$R$26*'TE BE'!$R$49</f>
        <v>12.989917181206136</v>
      </c>
      <c r="S26" s="59">
        <f>SUM($R$26:$R$26)</f>
        <v>12.989917181206136</v>
      </c>
      <c r="T26" s="59">
        <f>'TE BE'!$T$26*'TE BE'!$T$49</f>
        <v>0</v>
      </c>
      <c r="U26" s="59">
        <f>'TE BE'!$U$26*'TE BE'!$U$49</f>
        <v>0</v>
      </c>
      <c r="V26" s="59">
        <f>'TE BE'!$V$26*'TE BE'!$V$49</f>
        <v>0</v>
      </c>
      <c r="W26" s="59">
        <f>SUM($T$26:$V$26)</f>
        <v>0</v>
      </c>
      <c r="X26" s="59">
        <f>'TE BE'!$AB$26*'TE BE'!$X$49</f>
        <v>0</v>
      </c>
      <c r="Y26" s="59">
        <f>SUM($X$26:$X$26)</f>
        <v>0</v>
      </c>
      <c r="Z26" s="59">
        <f>'TE BE'!$Z$26*'TE BE'!$Z$49</f>
        <v>0.28920558248343675</v>
      </c>
      <c r="AA26" s="59">
        <f>SUM($Z$26:$Z$26)</f>
        <v>0.28920558248343675</v>
      </c>
      <c r="AB26" s="59">
        <f ca="1">SUMIF($L$4:$AA$4,"SUBTOTAL",$L$26:$AA$26)+AL26</f>
        <v>34.182454603078497</v>
      </c>
      <c r="AC26" s="9" t="str">
        <f t="shared" si="0"/>
        <v>B2</v>
      </c>
      <c r="AD26" s="9" t="str">
        <f t="shared" si="1"/>
        <v>Energia horária</v>
      </c>
      <c r="AE26" s="9" t="str">
        <f t="shared" si="2"/>
        <v>Rural</v>
      </c>
      <c r="AF26" s="9" t="str">
        <f t="shared" si="3"/>
        <v>Cooperativa de eletrificação rural</v>
      </c>
      <c r="AG26" s="9" t="str">
        <f t="shared" si="4"/>
        <v>Não se aplica</v>
      </c>
      <c r="AH26" s="9">
        <v>1</v>
      </c>
      <c r="AI26" s="9">
        <f ca="1">TarifaMedia!$G$20</f>
        <v>1</v>
      </c>
      <c r="AJ26" s="15">
        <f>'TE BE'!$AB26+'TE BF'!$AB26+'TE CVA'!$AB26</f>
        <v>222.99901551132911</v>
      </c>
      <c r="AK26" s="9">
        <f>ROUND(235.04/(1-CUSTOS!$M$38),2)</f>
        <v>250.04</v>
      </c>
      <c r="AL26" s="9">
        <f t="shared" ca="1" si="5"/>
        <v>27.040984488670887</v>
      </c>
      <c r="AO26" s="54" t="s">
        <v>1150</v>
      </c>
    </row>
    <row r="27" spans="1:41" ht="11.25" customHeight="1" x14ac:dyDescent="0.25">
      <c r="A27" s="153"/>
      <c r="B27" s="153"/>
      <c r="C27" s="153"/>
      <c r="D27" s="153"/>
      <c r="E27" s="153"/>
      <c r="F27" s="153"/>
      <c r="G27" s="62" t="s">
        <v>76</v>
      </c>
      <c r="H27" s="62" t="s">
        <v>74</v>
      </c>
      <c r="I27" s="62">
        <f>'MERCADO TE'!$U$24</f>
        <v>0</v>
      </c>
      <c r="J27" s="15"/>
      <c r="L27" s="59">
        <f>'TE BE'!$L$27*'TE BE'!$L$49</f>
        <v>-7.6531292448725331E-6</v>
      </c>
      <c r="M27" s="59">
        <f>'TE BE'!$M$27*'TE BE'!$M$49</f>
        <v>-6.1376449961527157</v>
      </c>
      <c r="N27" s="59">
        <f>'TE BE'!$N$27*'TE BE'!$N$49</f>
        <v>0</v>
      </c>
      <c r="O27" s="59">
        <f>'TE BE'!$O$27*'TE BE'!$O$49</f>
        <v>0</v>
      </c>
      <c r="P27" s="59">
        <f>'TE BE'!$P$27*'TE BE'!$P$49</f>
        <v>0</v>
      </c>
      <c r="Q27" s="59">
        <f>SUM($L$27:$P$27)</f>
        <v>-6.1376526492819607</v>
      </c>
      <c r="R27" s="59">
        <f>'TE BE'!$R$27*'TE BE'!$R$49</f>
        <v>12.989917181206136</v>
      </c>
      <c r="S27" s="59">
        <f>SUM($R$27:$R$27)</f>
        <v>12.989917181206136</v>
      </c>
      <c r="T27" s="59">
        <f>'TE BE'!$T$27*'TE BE'!$T$49</f>
        <v>0</v>
      </c>
      <c r="U27" s="59">
        <f>'TE BE'!$U$27*'TE BE'!$U$49</f>
        <v>0</v>
      </c>
      <c r="V27" s="59">
        <f>'TE BE'!$V$27*'TE BE'!$V$49</f>
        <v>0</v>
      </c>
      <c r="W27" s="59">
        <f>SUM($T$27:$V$27)</f>
        <v>0</v>
      </c>
      <c r="X27" s="59">
        <f>'TE BE'!$AB$27*'TE BE'!$X$49</f>
        <v>0</v>
      </c>
      <c r="Y27" s="59">
        <f>SUM($X$27:$X$27)</f>
        <v>0</v>
      </c>
      <c r="Z27" s="59">
        <f>'TE BE'!$Z$27*'TE BE'!$Z$49</f>
        <v>0.28920558248343675</v>
      </c>
      <c r="AA27" s="59">
        <f>SUM($Z$27:$Z$27)</f>
        <v>0.28920558248343675</v>
      </c>
      <c r="AB27" s="59">
        <f ca="1">SUMIF($L$4:$AA$4,"SUBTOTAL",$L$27:$AA$27)+AL27</f>
        <v>34.182454603078497</v>
      </c>
      <c r="AC27" s="9" t="str">
        <f t="shared" si="0"/>
        <v>B2</v>
      </c>
      <c r="AD27" s="9" t="str">
        <f t="shared" si="1"/>
        <v>Energia horária</v>
      </c>
      <c r="AE27" s="9" t="str">
        <f t="shared" si="2"/>
        <v>Rural</v>
      </c>
      <c r="AF27" s="9" t="str">
        <f t="shared" si="3"/>
        <v>Cooperativa de eletrificação rural</v>
      </c>
      <c r="AG27" s="9" t="str">
        <f t="shared" si="4"/>
        <v>Não se aplica</v>
      </c>
      <c r="AH27" s="9">
        <v>1</v>
      </c>
      <c r="AI27" s="9">
        <f ca="1">TarifaMedia!$G$20</f>
        <v>1</v>
      </c>
      <c r="AJ27" s="15">
        <f>'TE BE'!$AB27+'TE BF'!$AB27+'TE CVA'!$AB27</f>
        <v>222.99901551132911</v>
      </c>
      <c r="AK27" s="9">
        <f>ROUND(235.04/(1-CUSTOS!$M$38),2)</f>
        <v>250.04</v>
      </c>
      <c r="AL27" s="9">
        <f t="shared" ca="1" si="5"/>
        <v>27.040984488670887</v>
      </c>
      <c r="AO27" s="54" t="s">
        <v>1151</v>
      </c>
    </row>
    <row r="28" spans="1:41" ht="11.25" customHeight="1" x14ac:dyDescent="0.25">
      <c r="A28" s="153"/>
      <c r="B28" s="61" t="s">
        <v>77</v>
      </c>
      <c r="C28" s="61" t="s">
        <v>42</v>
      </c>
      <c r="D28" s="61" t="s">
        <v>90</v>
      </c>
      <c r="E28" s="61" t="s">
        <v>25</v>
      </c>
      <c r="F28" s="61" t="s">
        <v>25</v>
      </c>
      <c r="G28" s="62" t="s">
        <v>78</v>
      </c>
      <c r="H28" s="62" t="s">
        <v>74</v>
      </c>
      <c r="I28" s="62">
        <f>'MERCADO TE'!$U$25</f>
        <v>0</v>
      </c>
      <c r="J28" s="15"/>
      <c r="L28" s="59">
        <f>'TE BE'!$L$28*'TE BE'!$L$49</f>
        <v>-7.6531292448725331E-6</v>
      </c>
      <c r="M28" s="59">
        <f>'TE BE'!$M$28*'TE BE'!$M$49</f>
        <v>-6.1376449961527157</v>
      </c>
      <c r="N28" s="59">
        <f>'TE BE'!$N$28*'TE BE'!$N$49</f>
        <v>0</v>
      </c>
      <c r="O28" s="59">
        <f>'TE BE'!$O$28*'TE BE'!$O$49</f>
        <v>0</v>
      </c>
      <c r="P28" s="59">
        <f>'TE BE'!$P$28*'TE BE'!$P$49</f>
        <v>0</v>
      </c>
      <c r="Q28" s="59">
        <f>SUM($L$28:$P$28)</f>
        <v>-6.1376526492819607</v>
      </c>
      <c r="R28" s="59">
        <f>'TE BE'!$R$28*'TE BE'!$R$49</f>
        <v>13.769312212078505</v>
      </c>
      <c r="S28" s="59">
        <f>SUM($R$28:$R$28)</f>
        <v>13.769312212078505</v>
      </c>
      <c r="T28" s="59">
        <f>'TE BE'!$T$28*'TE BE'!$T$49</f>
        <v>0</v>
      </c>
      <c r="U28" s="59">
        <f>'TE BE'!$U$28*'TE BE'!$U$49</f>
        <v>0</v>
      </c>
      <c r="V28" s="59">
        <f>'TE BE'!$V$28*'TE BE'!$V$49</f>
        <v>0</v>
      </c>
      <c r="W28" s="59">
        <f>SUM($T$28:$V$28)</f>
        <v>0</v>
      </c>
      <c r="X28" s="59">
        <f>'TE BE'!$AB$28*'TE BE'!$X$49</f>
        <v>0</v>
      </c>
      <c r="Y28" s="59">
        <f>SUM($X$28:$X$28)</f>
        <v>0</v>
      </c>
      <c r="Z28" s="59">
        <f>'TE BE'!$Z$28*'TE BE'!$Z$49</f>
        <v>0.28920558248343675</v>
      </c>
      <c r="AA28" s="59">
        <f>SUM($Z$28:$Z$28)</f>
        <v>0.28920558248343675</v>
      </c>
      <c r="AB28" s="59">
        <f ca="1">SUMIF($L$4:$AA$4,"SUBTOTAL",$L$28:$AA$28)+AL28</f>
        <v>35.807100747798366</v>
      </c>
      <c r="AC28" s="9" t="str">
        <f t="shared" si="0"/>
        <v>B2</v>
      </c>
      <c r="AD28" s="9" t="str">
        <f t="shared" si="1"/>
        <v>Energia convencional</v>
      </c>
      <c r="AE28" s="9" t="str">
        <f t="shared" si="2"/>
        <v>Rural</v>
      </c>
      <c r="AF28" s="9" t="str">
        <f t="shared" si="3"/>
        <v>Cooperativa de eletrificação rural</v>
      </c>
      <c r="AG28" s="9" t="str">
        <f t="shared" si="4"/>
        <v>Não se aplica</v>
      </c>
      <c r="AH28" s="9">
        <v>1</v>
      </c>
      <c r="AI28" s="9">
        <f ca="1">TarifaMedia!$G$20</f>
        <v>1</v>
      </c>
      <c r="AJ28" s="15">
        <f>'TE BE'!$AB28+'TE BF'!$AB28+'TE CVA'!$AB28</f>
        <v>234.64376439748159</v>
      </c>
      <c r="AK28" s="9">
        <v>262.52999999999997</v>
      </c>
      <c r="AL28" s="9">
        <f t="shared" ca="1" si="5"/>
        <v>27.886235602518383</v>
      </c>
      <c r="AO28" s="54" t="s">
        <v>1145</v>
      </c>
    </row>
    <row r="29" spans="1:41" ht="11.25" customHeight="1" x14ac:dyDescent="0.25">
      <c r="A29" s="153"/>
      <c r="B29" s="153" t="s">
        <v>73</v>
      </c>
      <c r="C29" s="153" t="s">
        <v>42</v>
      </c>
      <c r="D29" s="153" t="s">
        <v>91</v>
      </c>
      <c r="E29" s="153" t="s">
        <v>25</v>
      </c>
      <c r="F29" s="153" t="s">
        <v>25</v>
      </c>
      <c r="G29" s="62" t="s">
        <v>75</v>
      </c>
      <c r="H29" s="62" t="s">
        <v>74</v>
      </c>
      <c r="I29" s="62">
        <f>'MERCADO TE'!$U$26</f>
        <v>0</v>
      </c>
      <c r="J29" s="15"/>
      <c r="L29" s="59">
        <f>'TE BE'!$L$29*'TE BE'!$L$49</f>
        <v>-7.6531292448725331E-6</v>
      </c>
      <c r="M29" s="59">
        <f>'TE BE'!$M$29*'TE BE'!$M$49</f>
        <v>-6.1376449961527157</v>
      </c>
      <c r="N29" s="59">
        <f>'TE BE'!$N$29*'TE BE'!$N$49</f>
        <v>0</v>
      </c>
      <c r="O29" s="59">
        <f>'TE BE'!$O$29*'TE BE'!$O$49</f>
        <v>0</v>
      </c>
      <c r="P29" s="59">
        <f>'TE BE'!$P$29*'TE BE'!$P$49</f>
        <v>0</v>
      </c>
      <c r="Q29" s="59">
        <f>SUM($L$29:$P$29)</f>
        <v>-6.1376526492819607</v>
      </c>
      <c r="R29" s="59">
        <f>'TE BE'!$R$29*'TE BE'!$R$49</f>
        <v>22.342657551674552</v>
      </c>
      <c r="S29" s="59">
        <f>SUM($R$29:$R$29)</f>
        <v>22.342657551674552</v>
      </c>
      <c r="T29" s="59">
        <f>'TE BE'!$T$29*'TE BE'!$T$49</f>
        <v>0</v>
      </c>
      <c r="U29" s="59">
        <f>'TE BE'!$U$29*'TE BE'!$U$49</f>
        <v>0</v>
      </c>
      <c r="V29" s="59">
        <f>'TE BE'!$V$29*'TE BE'!$V$49</f>
        <v>0</v>
      </c>
      <c r="W29" s="59">
        <f>SUM($T$29:$V$29)</f>
        <v>0</v>
      </c>
      <c r="X29" s="59">
        <f>'TE BE'!$AB$29*'TE BE'!$X$49</f>
        <v>0</v>
      </c>
      <c r="Y29" s="59">
        <f>SUM($X$29:$X$29)</f>
        <v>0</v>
      </c>
      <c r="Z29" s="59">
        <f>'TE BE'!$Z$29*'TE BE'!$Z$49</f>
        <v>0.28920558248343675</v>
      </c>
      <c r="AA29" s="59">
        <f>SUM($Z$29:$Z$29)</f>
        <v>0.28920558248343675</v>
      </c>
      <c r="AB29" s="59">
        <f ca="1">SUMIF($L$4:$AA$4,"SUBTOTAL",$L$29:$AA$29)+AL29</f>
        <v>53.598208339717139</v>
      </c>
      <c r="AC29" s="9" t="str">
        <f t="shared" si="0"/>
        <v>B2</v>
      </c>
      <c r="AD29" s="9" t="str">
        <f t="shared" si="1"/>
        <v>Energia horária</v>
      </c>
      <c r="AE29" s="9" t="str">
        <f t="shared" si="2"/>
        <v>Rural</v>
      </c>
      <c r="AF29" s="9" t="str">
        <f t="shared" si="3"/>
        <v>Serviço público de irrigação rural</v>
      </c>
      <c r="AG29" s="9" t="str">
        <f t="shared" si="4"/>
        <v>Não se aplica</v>
      </c>
      <c r="AH29" s="9">
        <v>1</v>
      </c>
      <c r="AI29" s="9">
        <f ca="1">TarifaMedia!$G$20</f>
        <v>1</v>
      </c>
      <c r="AJ29" s="15">
        <f>'TE BE'!$AB29+'TE BF'!$AB29+'TE CVA'!$AB29</f>
        <v>362.73600214515886</v>
      </c>
      <c r="AK29" s="9">
        <f>ROUND(375.85/(1-CUSTOS!$M$38),2)</f>
        <v>399.84</v>
      </c>
      <c r="AL29" s="9">
        <f t="shared" ca="1" si="5"/>
        <v>37.103997854841111</v>
      </c>
      <c r="AO29" s="54" t="s">
        <v>1149</v>
      </c>
    </row>
    <row r="30" spans="1:41" ht="11.25" customHeight="1" x14ac:dyDescent="0.25">
      <c r="A30" s="153"/>
      <c r="B30" s="153"/>
      <c r="C30" s="153"/>
      <c r="D30" s="153"/>
      <c r="E30" s="153"/>
      <c r="F30" s="153"/>
      <c r="G30" s="62" t="s">
        <v>87</v>
      </c>
      <c r="H30" s="62" t="s">
        <v>74</v>
      </c>
      <c r="I30" s="62">
        <f>'MERCADO TE'!$U$27</f>
        <v>0</v>
      </c>
      <c r="J30" s="15"/>
      <c r="L30" s="59">
        <f>'TE BE'!$L$30*'TE BE'!$L$49</f>
        <v>-7.6531292448725331E-6</v>
      </c>
      <c r="M30" s="59">
        <f>'TE BE'!$M$30*'TE BE'!$M$49</f>
        <v>-6.1376449961527157</v>
      </c>
      <c r="N30" s="59">
        <f>'TE BE'!$N$30*'TE BE'!$N$49</f>
        <v>0</v>
      </c>
      <c r="O30" s="59">
        <f>'TE BE'!$O$30*'TE BE'!$O$49</f>
        <v>0</v>
      </c>
      <c r="P30" s="59">
        <f>'TE BE'!$P$30*'TE BE'!$P$49</f>
        <v>0</v>
      </c>
      <c r="Q30" s="59">
        <f>SUM($L$30:$P$30)</f>
        <v>-6.1376526492819607</v>
      </c>
      <c r="R30" s="59">
        <f>'TE BE'!$R$30*'TE BE'!$R$49</f>
        <v>12.989917181206136</v>
      </c>
      <c r="S30" s="59">
        <f>SUM($R$30:$R$30)</f>
        <v>12.989917181206136</v>
      </c>
      <c r="T30" s="59">
        <f>'TE BE'!$T$30*'TE BE'!$T$49</f>
        <v>0</v>
      </c>
      <c r="U30" s="59">
        <f>'TE BE'!$U$30*'TE BE'!$U$49</f>
        <v>0</v>
      </c>
      <c r="V30" s="59">
        <f>'TE BE'!$V$30*'TE BE'!$V$49</f>
        <v>0</v>
      </c>
      <c r="W30" s="59">
        <f>SUM($T$30:$V$30)</f>
        <v>0</v>
      </c>
      <c r="X30" s="59">
        <f>'TE BE'!$AB$30*'TE BE'!$X$49</f>
        <v>0</v>
      </c>
      <c r="Y30" s="59">
        <f>SUM($X$30:$X$30)</f>
        <v>0</v>
      </c>
      <c r="Z30" s="59">
        <f>'TE BE'!$Z$30*'TE BE'!$Z$49</f>
        <v>0.28920558248343675</v>
      </c>
      <c r="AA30" s="59">
        <f>SUM($Z$30:$Z$30)</f>
        <v>0.28920558248343675</v>
      </c>
      <c r="AB30" s="59">
        <f ca="1">SUMIF($L$4:$AA$4,"SUBTOTAL",$L$30:$AA$30)+AL30</f>
        <v>34.182454603078497</v>
      </c>
      <c r="AC30" s="9" t="str">
        <f t="shared" si="0"/>
        <v>B2</v>
      </c>
      <c r="AD30" s="9" t="str">
        <f t="shared" si="1"/>
        <v>Energia horária</v>
      </c>
      <c r="AE30" s="9" t="str">
        <f t="shared" si="2"/>
        <v>Rural</v>
      </c>
      <c r="AF30" s="9" t="str">
        <f t="shared" si="3"/>
        <v>Serviço público de irrigação rural</v>
      </c>
      <c r="AG30" s="9" t="str">
        <f t="shared" si="4"/>
        <v>Não se aplica</v>
      </c>
      <c r="AH30" s="9">
        <v>1</v>
      </c>
      <c r="AI30" s="9">
        <f ca="1">TarifaMedia!$G$20</f>
        <v>1</v>
      </c>
      <c r="AJ30" s="15">
        <f>'TE BE'!$AB30+'TE BF'!$AB30+'TE CVA'!$AB30</f>
        <v>222.99901551132911</v>
      </c>
      <c r="AK30" s="9">
        <f>ROUND(235.04/(1-CUSTOS!$M$38),2)</f>
        <v>250.04</v>
      </c>
      <c r="AL30" s="9">
        <f t="shared" ca="1" si="5"/>
        <v>27.040984488670887</v>
      </c>
      <c r="AO30" s="54" t="s">
        <v>1150</v>
      </c>
    </row>
    <row r="31" spans="1:41" ht="11.25" customHeight="1" x14ac:dyDescent="0.25">
      <c r="A31" s="153"/>
      <c r="B31" s="153"/>
      <c r="C31" s="153"/>
      <c r="D31" s="153"/>
      <c r="E31" s="153"/>
      <c r="F31" s="153"/>
      <c r="G31" s="62" t="s">
        <v>76</v>
      </c>
      <c r="H31" s="62" t="s">
        <v>74</v>
      </c>
      <c r="I31" s="62">
        <f>'MERCADO TE'!$U$28</f>
        <v>0</v>
      </c>
      <c r="J31" s="15"/>
      <c r="L31" s="59">
        <f>'TE BE'!$L$31*'TE BE'!$L$49</f>
        <v>-7.6531292448725331E-6</v>
      </c>
      <c r="M31" s="59">
        <f>'TE BE'!$M$31*'TE BE'!$M$49</f>
        <v>-6.1376449961527157</v>
      </c>
      <c r="N31" s="59">
        <f>'TE BE'!$N$31*'TE BE'!$N$49</f>
        <v>0</v>
      </c>
      <c r="O31" s="59">
        <f>'TE BE'!$O$31*'TE BE'!$O$49</f>
        <v>0</v>
      </c>
      <c r="P31" s="59">
        <f>'TE BE'!$P$31*'TE BE'!$P$49</f>
        <v>0</v>
      </c>
      <c r="Q31" s="59">
        <f>SUM($L$31:$P$31)</f>
        <v>-6.1376526492819607</v>
      </c>
      <c r="R31" s="59">
        <f>'TE BE'!$R$31*'TE BE'!$R$49</f>
        <v>12.989917181206136</v>
      </c>
      <c r="S31" s="59">
        <f>SUM($R$31:$R$31)</f>
        <v>12.989917181206136</v>
      </c>
      <c r="T31" s="59">
        <f>'TE BE'!$T$31*'TE BE'!$T$49</f>
        <v>0</v>
      </c>
      <c r="U31" s="59">
        <f>'TE BE'!$U$31*'TE BE'!$U$49</f>
        <v>0</v>
      </c>
      <c r="V31" s="59">
        <f>'TE BE'!$V$31*'TE BE'!$V$49</f>
        <v>0</v>
      </c>
      <c r="W31" s="59">
        <f>SUM($T$31:$V$31)</f>
        <v>0</v>
      </c>
      <c r="X31" s="59">
        <f>'TE BE'!$AB$31*'TE BE'!$X$49</f>
        <v>0</v>
      </c>
      <c r="Y31" s="59">
        <f>SUM($X$31:$X$31)</f>
        <v>0</v>
      </c>
      <c r="Z31" s="59">
        <f>'TE BE'!$Z$31*'TE BE'!$Z$49</f>
        <v>0.28920558248343675</v>
      </c>
      <c r="AA31" s="59">
        <f>SUM($Z$31:$Z$31)</f>
        <v>0.28920558248343675</v>
      </c>
      <c r="AB31" s="59">
        <f ca="1">SUMIF($L$4:$AA$4,"SUBTOTAL",$L$31:$AA$31)+AL31</f>
        <v>34.182454603078497</v>
      </c>
      <c r="AC31" s="9" t="str">
        <f t="shared" si="0"/>
        <v>B2</v>
      </c>
      <c r="AD31" s="9" t="str">
        <f t="shared" si="1"/>
        <v>Energia horária</v>
      </c>
      <c r="AE31" s="9" t="str">
        <f t="shared" si="2"/>
        <v>Rural</v>
      </c>
      <c r="AF31" s="9" t="str">
        <f t="shared" si="3"/>
        <v>Serviço público de irrigação rural</v>
      </c>
      <c r="AG31" s="9" t="str">
        <f t="shared" si="4"/>
        <v>Não se aplica</v>
      </c>
      <c r="AH31" s="9">
        <v>1</v>
      </c>
      <c r="AI31" s="9">
        <f ca="1">TarifaMedia!$G$20</f>
        <v>1</v>
      </c>
      <c r="AJ31" s="15">
        <f>'TE BE'!$AB31+'TE BF'!$AB31+'TE CVA'!$AB31</f>
        <v>222.99901551132911</v>
      </c>
      <c r="AK31" s="9">
        <f>ROUND(235.04/(1-CUSTOS!$M$38),2)</f>
        <v>250.04</v>
      </c>
      <c r="AL31" s="9">
        <f t="shared" ca="1" si="5"/>
        <v>27.040984488670887</v>
      </c>
      <c r="AO31" s="54" t="s">
        <v>1151</v>
      </c>
    </row>
    <row r="32" spans="1:41" ht="11.25" customHeight="1" x14ac:dyDescent="0.25">
      <c r="A32" s="153"/>
      <c r="B32" s="61" t="s">
        <v>77</v>
      </c>
      <c r="C32" s="61" t="s">
        <v>42</v>
      </c>
      <c r="D32" s="61" t="s">
        <v>91</v>
      </c>
      <c r="E32" s="61" t="s">
        <v>25</v>
      </c>
      <c r="F32" s="61" t="s">
        <v>25</v>
      </c>
      <c r="G32" s="62" t="s">
        <v>78</v>
      </c>
      <c r="H32" s="62" t="s">
        <v>74</v>
      </c>
      <c r="I32" s="62">
        <f>'MERCADO TE'!$U$29</f>
        <v>0</v>
      </c>
      <c r="J32" s="15"/>
      <c r="L32" s="59">
        <f>'TE BE'!$L$32*'TE BE'!$L$49</f>
        <v>-7.6531292448725331E-6</v>
      </c>
      <c r="M32" s="59">
        <f>'TE BE'!$M$32*'TE BE'!$M$49</f>
        <v>-6.1376449961527157</v>
      </c>
      <c r="N32" s="59">
        <f>'TE BE'!$N$32*'TE BE'!$N$49</f>
        <v>0</v>
      </c>
      <c r="O32" s="59">
        <f>'TE BE'!$O$32*'TE BE'!$O$49</f>
        <v>0</v>
      </c>
      <c r="P32" s="59">
        <f>'TE BE'!$P$32*'TE BE'!$P$49</f>
        <v>0</v>
      </c>
      <c r="Q32" s="59">
        <f>SUM($L$32:$P$32)</f>
        <v>-6.1376526492819607</v>
      </c>
      <c r="R32" s="59">
        <f>'TE BE'!$R$32*'TE BE'!$R$49</f>
        <v>13.769312212078505</v>
      </c>
      <c r="S32" s="59">
        <f>SUM($R$32:$R$32)</f>
        <v>13.769312212078505</v>
      </c>
      <c r="T32" s="59">
        <f>'TE BE'!$T$32*'TE BE'!$T$49</f>
        <v>0</v>
      </c>
      <c r="U32" s="59">
        <f>'TE BE'!$U$32*'TE BE'!$U$49</f>
        <v>0</v>
      </c>
      <c r="V32" s="59">
        <f>'TE BE'!$V$32*'TE BE'!$V$49</f>
        <v>0</v>
      </c>
      <c r="W32" s="59">
        <f>SUM($T$32:$V$32)</f>
        <v>0</v>
      </c>
      <c r="X32" s="59">
        <f>'TE BE'!$AB$32*'TE BE'!$X$49</f>
        <v>0</v>
      </c>
      <c r="Y32" s="59">
        <f>SUM($X$32:$X$32)</f>
        <v>0</v>
      </c>
      <c r="Z32" s="59">
        <f>'TE BE'!$Z$32*'TE BE'!$Z$49</f>
        <v>0.28920558248343675</v>
      </c>
      <c r="AA32" s="59">
        <f>SUM($Z$32:$Z$32)</f>
        <v>0.28920558248343675</v>
      </c>
      <c r="AB32" s="59">
        <f ca="1">SUMIF($L$4:$AA$4,"SUBTOTAL",$L$32:$AA$32)+AL32</f>
        <v>35.807100747798366</v>
      </c>
      <c r="AC32" s="9" t="str">
        <f t="shared" si="0"/>
        <v>B2</v>
      </c>
      <c r="AD32" s="9" t="str">
        <f t="shared" si="1"/>
        <v>Energia convencional</v>
      </c>
      <c r="AE32" s="9" t="str">
        <f t="shared" si="2"/>
        <v>Rural</v>
      </c>
      <c r="AF32" s="9" t="str">
        <f t="shared" si="3"/>
        <v>Serviço público de irrigação rural</v>
      </c>
      <c r="AG32" s="9" t="str">
        <f t="shared" si="4"/>
        <v>Não se aplica</v>
      </c>
      <c r="AH32" s="9">
        <v>1</v>
      </c>
      <c r="AI32" s="9">
        <f ca="1">TarifaMedia!$G$20</f>
        <v>1</v>
      </c>
      <c r="AJ32" s="15">
        <f>'TE BE'!$AB32+'TE BF'!$AB32+'TE CVA'!$AB32</f>
        <v>234.64376439748159</v>
      </c>
      <c r="AK32" s="9">
        <v>262.52999999999997</v>
      </c>
      <c r="AL32" s="9">
        <f t="shared" ca="1" si="5"/>
        <v>27.886235602518383</v>
      </c>
      <c r="AO32" s="54" t="s">
        <v>1145</v>
      </c>
    </row>
    <row r="33" spans="1:41" ht="11.25" customHeight="1" x14ac:dyDescent="0.25">
      <c r="A33" s="153"/>
      <c r="B33" s="153" t="s">
        <v>88</v>
      </c>
      <c r="C33" s="153" t="s">
        <v>42</v>
      </c>
      <c r="D33" s="61" t="s">
        <v>25</v>
      </c>
      <c r="E33" s="61" t="s">
        <v>25</v>
      </c>
      <c r="F33" s="61" t="s">
        <v>25</v>
      </c>
      <c r="G33" s="62" t="s">
        <v>78</v>
      </c>
      <c r="H33" s="62" t="s">
        <v>74</v>
      </c>
      <c r="I33" s="62">
        <f>'MERCADO TE'!$U$30</f>
        <v>0</v>
      </c>
      <c r="J33" s="15"/>
      <c r="L33" s="59">
        <f>'TE BE'!$L$33*'TE BE'!$L$49</f>
        <v>-7.6531292448725331E-6</v>
      </c>
      <c r="M33" s="59">
        <f>'TE BE'!$M$33*'TE BE'!$M$49</f>
        <v>-6.1376449961527157</v>
      </c>
      <c r="N33" s="59">
        <f>'TE BE'!$N$33*'TE BE'!$N$49</f>
        <v>0</v>
      </c>
      <c r="O33" s="59">
        <f>'TE BE'!$O$33*'TE BE'!$O$49</f>
        <v>0</v>
      </c>
      <c r="P33" s="59">
        <f>'TE BE'!$P$33*'TE BE'!$P$49</f>
        <v>0</v>
      </c>
      <c r="Q33" s="59">
        <f>SUM($L$33:$P$33)</f>
        <v>-6.1376526492819607</v>
      </c>
      <c r="R33" s="59">
        <f>'TE BE'!$R$33*'TE BE'!$R$49</f>
        <v>13.769312212078505</v>
      </c>
      <c r="S33" s="59">
        <f>SUM($R$33:$R$33)</f>
        <v>13.769312212078505</v>
      </c>
      <c r="T33" s="59">
        <f>'TE BE'!$T$33*'TE BE'!$T$49</f>
        <v>0</v>
      </c>
      <c r="U33" s="59">
        <f>'TE BE'!$U$33*'TE BE'!$U$49</f>
        <v>0</v>
      </c>
      <c r="V33" s="59">
        <f>'TE BE'!$V$33*'TE BE'!$V$49</f>
        <v>0</v>
      </c>
      <c r="W33" s="59">
        <f>SUM($T$33:$V$33)</f>
        <v>0</v>
      </c>
      <c r="X33" s="59">
        <f>'TE BE'!$AB$33*'TE BE'!$X$49</f>
        <v>0</v>
      </c>
      <c r="Y33" s="59">
        <f>SUM($X$33:$X$33)</f>
        <v>0</v>
      </c>
      <c r="Z33" s="59">
        <f>'TE BE'!$Z$33*'TE BE'!$Z$49</f>
        <v>0.28920558248343675</v>
      </c>
      <c r="AA33" s="59">
        <f>SUM($Z$33:$Z$33)</f>
        <v>0.28920558248343675</v>
      </c>
      <c r="AB33" s="59">
        <f ca="1">SUMIF($L$4:$AA$4,"SUBTOTAL",$L$33:$AA$33)+AL33</f>
        <v>35.807100747798366</v>
      </c>
      <c r="AC33" s="9" t="str">
        <f t="shared" si="0"/>
        <v>B2</v>
      </c>
      <c r="AD33" s="9" t="str">
        <f t="shared" si="1"/>
        <v>Energia convencional pré-pagamento</v>
      </c>
      <c r="AE33" s="9" t="str">
        <f t="shared" si="2"/>
        <v>Rural</v>
      </c>
      <c r="AF33" s="9" t="str">
        <f t="shared" si="3"/>
        <v>Não se aplica</v>
      </c>
      <c r="AG33" s="9" t="str">
        <f t="shared" si="4"/>
        <v>Não se aplica</v>
      </c>
      <c r="AH33" s="9">
        <v>1</v>
      </c>
      <c r="AI33" s="9">
        <f ca="1">TarifaMedia!$G$20</f>
        <v>1</v>
      </c>
      <c r="AJ33" s="15">
        <f>'TE BE'!$AB33+'TE BF'!$AB33+'TE CVA'!$AB33</f>
        <v>234.64376439748159</v>
      </c>
      <c r="AK33" s="9">
        <v>262.52999999999997</v>
      </c>
      <c r="AL33" s="9">
        <f t="shared" ca="1" si="5"/>
        <v>27.886235602518383</v>
      </c>
      <c r="AO33" s="54" t="s">
        <v>1145</v>
      </c>
    </row>
    <row r="34" spans="1:41" ht="11.25" customHeight="1" x14ac:dyDescent="0.25">
      <c r="A34" s="153"/>
      <c r="B34" s="153"/>
      <c r="C34" s="153"/>
      <c r="D34" s="61" t="s">
        <v>90</v>
      </c>
      <c r="E34" s="61" t="s">
        <v>25</v>
      </c>
      <c r="F34" s="61" t="s">
        <v>25</v>
      </c>
      <c r="G34" s="62" t="s">
        <v>78</v>
      </c>
      <c r="H34" s="62" t="s">
        <v>74</v>
      </c>
      <c r="I34" s="62">
        <f>'MERCADO TE'!$U$31</f>
        <v>0</v>
      </c>
      <c r="J34" s="15"/>
      <c r="L34" s="59">
        <f>'TE BE'!$L$34*'TE BE'!$L$49</f>
        <v>-7.6531292448725331E-6</v>
      </c>
      <c r="M34" s="59">
        <f>'TE BE'!$M$34*'TE BE'!$M$49</f>
        <v>-6.1376449961527157</v>
      </c>
      <c r="N34" s="59">
        <f>'TE BE'!$N$34*'TE BE'!$N$49</f>
        <v>0</v>
      </c>
      <c r="O34" s="59">
        <f>'TE BE'!$O$34*'TE BE'!$O$49</f>
        <v>0</v>
      </c>
      <c r="P34" s="59">
        <f>'TE BE'!$P$34*'TE BE'!$P$49</f>
        <v>0</v>
      </c>
      <c r="Q34" s="59">
        <f>SUM($L$34:$P$34)</f>
        <v>-6.1376526492819607</v>
      </c>
      <c r="R34" s="59">
        <f>'TE BE'!$R$34*'TE BE'!$R$49</f>
        <v>13.769312212078505</v>
      </c>
      <c r="S34" s="59">
        <f>SUM($R$34:$R$34)</f>
        <v>13.769312212078505</v>
      </c>
      <c r="T34" s="59">
        <f>'TE BE'!$T$34*'TE BE'!$T$49</f>
        <v>0</v>
      </c>
      <c r="U34" s="59">
        <f>'TE BE'!$U$34*'TE BE'!$U$49</f>
        <v>0</v>
      </c>
      <c r="V34" s="59">
        <f>'TE BE'!$V$34*'TE BE'!$V$49</f>
        <v>0</v>
      </c>
      <c r="W34" s="59">
        <f>SUM($T$34:$V$34)</f>
        <v>0</v>
      </c>
      <c r="X34" s="59">
        <f>'TE BE'!$AB$34*'TE BE'!$X$49</f>
        <v>0</v>
      </c>
      <c r="Y34" s="59">
        <f>SUM($X$34:$X$34)</f>
        <v>0</v>
      </c>
      <c r="Z34" s="59">
        <f>'TE BE'!$Z$34*'TE BE'!$Z$49</f>
        <v>0.28920558248343675</v>
      </c>
      <c r="AA34" s="59">
        <f>SUM($Z$34:$Z$34)</f>
        <v>0.28920558248343675</v>
      </c>
      <c r="AB34" s="59">
        <f ca="1">SUMIF($L$4:$AA$4,"SUBTOTAL",$L$34:$AA$34)+AL34</f>
        <v>35.807100747798366</v>
      </c>
      <c r="AC34" s="9" t="str">
        <f t="shared" si="0"/>
        <v>B2</v>
      </c>
      <c r="AD34" s="9" t="str">
        <f t="shared" si="1"/>
        <v>Energia convencional pré-pagamento</v>
      </c>
      <c r="AE34" s="9" t="str">
        <f t="shared" si="2"/>
        <v>Rural</v>
      </c>
      <c r="AF34" s="9" t="str">
        <f t="shared" si="3"/>
        <v>Cooperativa de eletrificação rural</v>
      </c>
      <c r="AG34" s="9" t="str">
        <f t="shared" si="4"/>
        <v>Não se aplica</v>
      </c>
      <c r="AH34" s="9">
        <v>1</v>
      </c>
      <c r="AI34" s="9">
        <f ca="1">TarifaMedia!$G$20</f>
        <v>1</v>
      </c>
      <c r="AJ34" s="15">
        <f>'TE BE'!$AB34+'TE BF'!$AB34+'TE CVA'!$AB34</f>
        <v>234.64376439748159</v>
      </c>
      <c r="AK34" s="9">
        <v>262.52999999999997</v>
      </c>
      <c r="AL34" s="9">
        <f t="shared" ca="1" si="5"/>
        <v>27.886235602518383</v>
      </c>
      <c r="AO34" s="54" t="s">
        <v>1145</v>
      </c>
    </row>
    <row r="35" spans="1:41" ht="11.25" customHeight="1" x14ac:dyDescent="0.25">
      <c r="A35" s="153"/>
      <c r="B35" s="153"/>
      <c r="C35" s="153"/>
      <c r="D35" s="61" t="s">
        <v>91</v>
      </c>
      <c r="E35" s="61" t="s">
        <v>25</v>
      </c>
      <c r="F35" s="61" t="s">
        <v>25</v>
      </c>
      <c r="G35" s="62" t="s">
        <v>78</v>
      </c>
      <c r="H35" s="62" t="s">
        <v>74</v>
      </c>
      <c r="I35" s="62">
        <f>'MERCADO TE'!$U$32</f>
        <v>0</v>
      </c>
      <c r="J35" s="15"/>
      <c r="L35" s="59">
        <f>'TE BE'!$L$35*'TE BE'!$L$49</f>
        <v>-7.6531292448725331E-6</v>
      </c>
      <c r="M35" s="59">
        <f>'TE BE'!$M$35*'TE BE'!$M$49</f>
        <v>-6.1376449961527157</v>
      </c>
      <c r="N35" s="59">
        <f>'TE BE'!$N$35*'TE BE'!$N$49</f>
        <v>0</v>
      </c>
      <c r="O35" s="59">
        <f>'TE BE'!$O$35*'TE BE'!$O$49</f>
        <v>0</v>
      </c>
      <c r="P35" s="59">
        <f>'TE BE'!$P$35*'TE BE'!$P$49</f>
        <v>0</v>
      </c>
      <c r="Q35" s="59">
        <f>SUM($L$35:$P$35)</f>
        <v>-6.1376526492819607</v>
      </c>
      <c r="R35" s="59">
        <f>'TE BE'!$R$35*'TE BE'!$R$49</f>
        <v>13.769312212078505</v>
      </c>
      <c r="S35" s="59">
        <f>SUM($R$35:$R$35)</f>
        <v>13.769312212078505</v>
      </c>
      <c r="T35" s="59">
        <f>'TE BE'!$T$35*'TE BE'!$T$49</f>
        <v>0</v>
      </c>
      <c r="U35" s="59">
        <f>'TE BE'!$U$35*'TE BE'!$U$49</f>
        <v>0</v>
      </c>
      <c r="V35" s="59">
        <f>'TE BE'!$V$35*'TE BE'!$V$49</f>
        <v>0</v>
      </c>
      <c r="W35" s="59">
        <f>SUM($T$35:$V$35)</f>
        <v>0</v>
      </c>
      <c r="X35" s="59">
        <f>'TE BE'!$AB$35*'TE BE'!$X$49</f>
        <v>0</v>
      </c>
      <c r="Y35" s="59">
        <f>SUM($X$35:$X$35)</f>
        <v>0</v>
      </c>
      <c r="Z35" s="59">
        <f>'TE BE'!$Z$35*'TE BE'!$Z$49</f>
        <v>0.28920558248343675</v>
      </c>
      <c r="AA35" s="59">
        <f>SUM($Z$35:$Z$35)</f>
        <v>0.28920558248343675</v>
      </c>
      <c r="AB35" s="59">
        <f ca="1">SUMIF($L$4:$AA$4,"SUBTOTAL",$L$35:$AA$35)+AL35</f>
        <v>35.807100747798366</v>
      </c>
      <c r="AC35" s="9" t="str">
        <f t="shared" si="0"/>
        <v>B2</v>
      </c>
      <c r="AD35" s="9" t="str">
        <f t="shared" si="1"/>
        <v>Energia convencional pré-pagamento</v>
      </c>
      <c r="AE35" s="9" t="str">
        <f t="shared" si="2"/>
        <v>Rural</v>
      </c>
      <c r="AF35" s="9" t="str">
        <f t="shared" si="3"/>
        <v>Serviço público de irrigação rural</v>
      </c>
      <c r="AG35" s="9" t="str">
        <f t="shared" si="4"/>
        <v>Não se aplica</v>
      </c>
      <c r="AH35" s="9">
        <v>1</v>
      </c>
      <c r="AI35" s="9">
        <f ca="1">TarifaMedia!$G$20</f>
        <v>1</v>
      </c>
      <c r="AJ35" s="15">
        <f>'TE BE'!$AB35+'TE BF'!$AB35+'TE CVA'!$AB35</f>
        <v>234.64376439748159</v>
      </c>
      <c r="AK35" s="9">
        <v>262.52999999999997</v>
      </c>
      <c r="AL35" s="9">
        <f t="shared" ca="1" si="5"/>
        <v>27.886235602518383</v>
      </c>
      <c r="AO35" s="54" t="s">
        <v>1145</v>
      </c>
    </row>
    <row r="36" spans="1:41" ht="11.25" customHeight="1" x14ac:dyDescent="0.25">
      <c r="A36" s="153" t="s">
        <v>33</v>
      </c>
      <c r="B36" s="153" t="s">
        <v>73</v>
      </c>
      <c r="C36" s="153" t="s">
        <v>25</v>
      </c>
      <c r="D36" s="153" t="s">
        <v>25</v>
      </c>
      <c r="E36" s="153" t="s">
        <v>25</v>
      </c>
      <c r="F36" s="153" t="s">
        <v>25</v>
      </c>
      <c r="G36" s="62" t="s">
        <v>75</v>
      </c>
      <c r="H36" s="62" t="s">
        <v>74</v>
      </c>
      <c r="I36" s="62">
        <f>'MERCADO TE'!$U$33</f>
        <v>1.1399999999999999</v>
      </c>
      <c r="J36" s="15"/>
      <c r="L36" s="59">
        <f>'TE BE'!$L$36*'TE BE'!$L$49</f>
        <v>-7.6531292448725331E-6</v>
      </c>
      <c r="M36" s="59">
        <f>'TE BE'!$M$36*'TE BE'!$M$49</f>
        <v>-6.1376449961527157</v>
      </c>
      <c r="N36" s="59">
        <f>'TE BE'!$N$36*'TE BE'!$N$49</f>
        <v>0</v>
      </c>
      <c r="O36" s="59">
        <f>'TE BE'!$O$36*'TE BE'!$O$49</f>
        <v>0</v>
      </c>
      <c r="P36" s="59">
        <f>'TE BE'!$P$36*'TE BE'!$P$49</f>
        <v>0</v>
      </c>
      <c r="Q36" s="59">
        <f>SUM($L$36:$P$36)</f>
        <v>-6.1376526492819607</v>
      </c>
      <c r="R36" s="59">
        <f>'TE BE'!$R$36*'TE BE'!$R$49</f>
        <v>22.342657551674552</v>
      </c>
      <c r="S36" s="59">
        <f>SUM($R$36:$R$36)</f>
        <v>22.342657551674552</v>
      </c>
      <c r="T36" s="59">
        <f>'TE BE'!$T$36*'TE BE'!$T$49</f>
        <v>0</v>
      </c>
      <c r="U36" s="59">
        <f>'TE BE'!$U$36*'TE BE'!$U$49</f>
        <v>0</v>
      </c>
      <c r="V36" s="59">
        <f>'TE BE'!$V$36*'TE BE'!$V$49</f>
        <v>0</v>
      </c>
      <c r="W36" s="59">
        <f>SUM($T$36:$V$36)</f>
        <v>0</v>
      </c>
      <c r="X36" s="59">
        <f>'TE BE'!$AB$36*'TE BE'!$X$49</f>
        <v>0</v>
      </c>
      <c r="Y36" s="59">
        <f>SUM($X$36:$X$36)</f>
        <v>0</v>
      </c>
      <c r="Z36" s="59">
        <f>'TE BE'!$Z$36*'TE BE'!$Z$49</f>
        <v>0.28920558248343675</v>
      </c>
      <c r="AA36" s="59">
        <f>SUM($Z$36:$Z$36)</f>
        <v>0.28920558248343675</v>
      </c>
      <c r="AB36" s="59">
        <f ca="1">SUMIF($L$4:$AA$4,"SUBTOTAL",$L$36:$AA$36)+AL36</f>
        <v>53.598208339717139</v>
      </c>
      <c r="AC36" s="9" t="str">
        <f t="shared" si="0"/>
        <v>B3</v>
      </c>
      <c r="AD36" s="9" t="str">
        <f t="shared" si="1"/>
        <v>Energia horária</v>
      </c>
      <c r="AE36" s="9" t="str">
        <f t="shared" si="2"/>
        <v>Não se aplica</v>
      </c>
      <c r="AF36" s="9" t="str">
        <f t="shared" si="3"/>
        <v>Não se aplica</v>
      </c>
      <c r="AG36" s="9" t="str">
        <f t="shared" si="4"/>
        <v>Não se aplica</v>
      </c>
      <c r="AH36" s="9">
        <v>1</v>
      </c>
      <c r="AI36" s="9">
        <f ca="1">TarifaMedia!$G$20</f>
        <v>1</v>
      </c>
      <c r="AJ36" s="15">
        <f>'TE BE'!$AB36+'TE BF'!$AB36+'TE CVA'!$AB36</f>
        <v>362.73600214515886</v>
      </c>
      <c r="AK36" s="9">
        <v>399.84</v>
      </c>
      <c r="AL36" s="9">
        <f t="shared" ca="1" si="5"/>
        <v>37.103997854841111</v>
      </c>
      <c r="AO36" s="54" t="s">
        <v>1152</v>
      </c>
    </row>
    <row r="37" spans="1:41" ht="11.25" customHeight="1" x14ac:dyDescent="0.25">
      <c r="A37" s="153"/>
      <c r="B37" s="153"/>
      <c r="C37" s="153"/>
      <c r="D37" s="153"/>
      <c r="E37" s="153"/>
      <c r="F37" s="153"/>
      <c r="G37" s="62" t="s">
        <v>87</v>
      </c>
      <c r="H37" s="62" t="s">
        <v>74</v>
      </c>
      <c r="I37" s="62">
        <f>'MERCADO TE'!$U$34</f>
        <v>1.5340000000000003</v>
      </c>
      <c r="J37" s="15"/>
      <c r="L37" s="59">
        <f>'TE BE'!$L$37*'TE BE'!$L$49</f>
        <v>-7.6531292448725331E-6</v>
      </c>
      <c r="M37" s="59">
        <f>'TE BE'!$M$37*'TE BE'!$M$49</f>
        <v>-6.1376449961527157</v>
      </c>
      <c r="N37" s="59">
        <f>'TE BE'!$N$37*'TE BE'!$N$49</f>
        <v>0</v>
      </c>
      <c r="O37" s="59">
        <f>'TE BE'!$O$37*'TE BE'!$O$49</f>
        <v>0</v>
      </c>
      <c r="P37" s="59">
        <f>'TE BE'!$P$37*'TE BE'!$P$49</f>
        <v>0</v>
      </c>
      <c r="Q37" s="59">
        <f>SUM($L$37:$P$37)</f>
        <v>-6.1376526492819607</v>
      </c>
      <c r="R37" s="59">
        <f>'TE BE'!$R$37*'TE BE'!$R$49</f>
        <v>12.989917181206136</v>
      </c>
      <c r="S37" s="59">
        <f>SUM($R$37:$R$37)</f>
        <v>12.989917181206136</v>
      </c>
      <c r="T37" s="59">
        <f>'TE BE'!$T$37*'TE BE'!$T$49</f>
        <v>0</v>
      </c>
      <c r="U37" s="59">
        <f>'TE BE'!$U$37*'TE BE'!$U$49</f>
        <v>0</v>
      </c>
      <c r="V37" s="59">
        <f>'TE BE'!$V$37*'TE BE'!$V$49</f>
        <v>0</v>
      </c>
      <c r="W37" s="59">
        <f>SUM($T$37:$V$37)</f>
        <v>0</v>
      </c>
      <c r="X37" s="59">
        <f>'TE BE'!$AB$37*'TE BE'!$X$49</f>
        <v>0</v>
      </c>
      <c r="Y37" s="59">
        <f>SUM($X$37:$X$37)</f>
        <v>0</v>
      </c>
      <c r="Z37" s="59">
        <f>'TE BE'!$Z$37*'TE BE'!$Z$49</f>
        <v>0.28920558248343675</v>
      </c>
      <c r="AA37" s="59">
        <f>SUM($Z$37:$Z$37)</f>
        <v>0.28920558248343675</v>
      </c>
      <c r="AB37" s="59">
        <f ca="1">SUMIF($L$4:$AA$4,"SUBTOTAL",$L$37:$AA$37)+AL37</f>
        <v>34.182454603078497</v>
      </c>
      <c r="AC37" s="9" t="str">
        <f t="shared" si="0"/>
        <v>B3</v>
      </c>
      <c r="AD37" s="9" t="str">
        <f t="shared" si="1"/>
        <v>Energia horária</v>
      </c>
      <c r="AE37" s="9" t="str">
        <f t="shared" si="2"/>
        <v>Não se aplica</v>
      </c>
      <c r="AF37" s="9" t="str">
        <f t="shared" si="3"/>
        <v>Não se aplica</v>
      </c>
      <c r="AG37" s="9" t="str">
        <f t="shared" si="4"/>
        <v>Não se aplica</v>
      </c>
      <c r="AH37" s="9">
        <v>1</v>
      </c>
      <c r="AI37" s="9">
        <f ca="1">TarifaMedia!$G$20</f>
        <v>1</v>
      </c>
      <c r="AJ37" s="15">
        <f>'TE BE'!$AB37+'TE BF'!$AB37+'TE CVA'!$AB37</f>
        <v>222.99901551132911</v>
      </c>
      <c r="AK37" s="9">
        <v>250.04</v>
      </c>
      <c r="AL37" s="9">
        <f t="shared" ca="1" si="5"/>
        <v>27.040984488670887</v>
      </c>
      <c r="AO37" s="54" t="s">
        <v>1153</v>
      </c>
    </row>
    <row r="38" spans="1:41" ht="11.25" customHeight="1" x14ac:dyDescent="0.25">
      <c r="A38" s="153"/>
      <c r="B38" s="153"/>
      <c r="C38" s="153"/>
      <c r="D38" s="153"/>
      <c r="E38" s="153"/>
      <c r="F38" s="153"/>
      <c r="G38" s="62" t="s">
        <v>76</v>
      </c>
      <c r="H38" s="62" t="s">
        <v>74</v>
      </c>
      <c r="I38" s="62">
        <f>'MERCADO TE'!$U$35</f>
        <v>27.193000000000005</v>
      </c>
      <c r="J38" s="15"/>
      <c r="L38" s="59">
        <f>'TE BE'!$L$38*'TE BE'!$L$49</f>
        <v>-7.6531292448725331E-6</v>
      </c>
      <c r="M38" s="59">
        <f>'TE BE'!$M$38*'TE BE'!$M$49</f>
        <v>-6.1376449961527157</v>
      </c>
      <c r="N38" s="59">
        <f>'TE BE'!$N$38*'TE BE'!$N$49</f>
        <v>0</v>
      </c>
      <c r="O38" s="59">
        <f>'TE BE'!$O$38*'TE BE'!$O$49</f>
        <v>0</v>
      </c>
      <c r="P38" s="59">
        <f>'TE BE'!$P$38*'TE BE'!$P$49</f>
        <v>0</v>
      </c>
      <c r="Q38" s="59">
        <f>SUM($L$38:$P$38)</f>
        <v>-6.1376526492819607</v>
      </c>
      <c r="R38" s="59">
        <f>'TE BE'!$R$38*'TE BE'!$R$49</f>
        <v>12.989917181206136</v>
      </c>
      <c r="S38" s="59">
        <f>SUM($R$38:$R$38)</f>
        <v>12.989917181206136</v>
      </c>
      <c r="T38" s="59">
        <f>'TE BE'!$T$38*'TE BE'!$T$49</f>
        <v>0</v>
      </c>
      <c r="U38" s="59">
        <f>'TE BE'!$U$38*'TE BE'!$U$49</f>
        <v>0</v>
      </c>
      <c r="V38" s="59">
        <f>'TE BE'!$V$38*'TE BE'!$V$49</f>
        <v>0</v>
      </c>
      <c r="W38" s="59">
        <f>SUM($T$38:$V$38)</f>
        <v>0</v>
      </c>
      <c r="X38" s="59">
        <f>'TE BE'!$AB$38*'TE BE'!$X$49</f>
        <v>0</v>
      </c>
      <c r="Y38" s="59">
        <f>SUM($X$38:$X$38)</f>
        <v>0</v>
      </c>
      <c r="Z38" s="59">
        <f>'TE BE'!$Z$38*'TE BE'!$Z$49</f>
        <v>0.28920558248343675</v>
      </c>
      <c r="AA38" s="59">
        <f>SUM($Z$38:$Z$38)</f>
        <v>0.28920558248343675</v>
      </c>
      <c r="AB38" s="59">
        <f ca="1">SUMIF($L$4:$AA$4,"SUBTOTAL",$L$38:$AA$38)+AL38</f>
        <v>34.182454603078497</v>
      </c>
      <c r="AC38" s="9" t="str">
        <f t="shared" si="0"/>
        <v>B3</v>
      </c>
      <c r="AD38" s="9" t="str">
        <f t="shared" si="1"/>
        <v>Energia horária</v>
      </c>
      <c r="AE38" s="9" t="str">
        <f t="shared" si="2"/>
        <v>Não se aplica</v>
      </c>
      <c r="AF38" s="9" t="str">
        <f t="shared" si="3"/>
        <v>Não se aplica</v>
      </c>
      <c r="AG38" s="9" t="str">
        <f t="shared" si="4"/>
        <v>Não se aplica</v>
      </c>
      <c r="AH38" s="9">
        <v>1</v>
      </c>
      <c r="AI38" s="9">
        <f ca="1">TarifaMedia!$G$20</f>
        <v>1</v>
      </c>
      <c r="AJ38" s="15">
        <f>'TE BE'!$AB38+'TE BF'!$AB38+'TE CVA'!$AB38</f>
        <v>222.99901551132911</v>
      </c>
      <c r="AK38" s="9">
        <v>250.04</v>
      </c>
      <c r="AL38" s="9">
        <f t="shared" ca="1" si="5"/>
        <v>27.040984488670887</v>
      </c>
      <c r="AO38" s="54" t="s">
        <v>1154</v>
      </c>
    </row>
    <row r="39" spans="1:41" ht="11.25" customHeight="1" x14ac:dyDescent="0.25">
      <c r="A39" s="153"/>
      <c r="B39" s="61" t="s">
        <v>77</v>
      </c>
      <c r="C39" s="61" t="s">
        <v>25</v>
      </c>
      <c r="D39" s="61" t="s">
        <v>25</v>
      </c>
      <c r="E39" s="61" t="s">
        <v>25</v>
      </c>
      <c r="F39" s="61" t="s">
        <v>25</v>
      </c>
      <c r="G39" s="62" t="s">
        <v>78</v>
      </c>
      <c r="H39" s="62" t="s">
        <v>74</v>
      </c>
      <c r="I39" s="62">
        <f>'MERCADO TE'!$U$36</f>
        <v>29180.755000000001</v>
      </c>
      <c r="J39" s="15"/>
      <c r="L39" s="59">
        <f>'TE BE'!$L$39*'TE BE'!$L$49</f>
        <v>-7.6531292448725331E-6</v>
      </c>
      <c r="M39" s="59">
        <f>'TE BE'!$M$39*'TE BE'!$M$49</f>
        <v>-6.1376449961527157</v>
      </c>
      <c r="N39" s="59">
        <f>'TE BE'!$N$39*'TE BE'!$N$49</f>
        <v>0</v>
      </c>
      <c r="O39" s="59">
        <f>'TE BE'!$O$39*'TE BE'!$O$49</f>
        <v>0</v>
      </c>
      <c r="P39" s="59">
        <f>'TE BE'!$P$39*'TE BE'!$P$49</f>
        <v>0</v>
      </c>
      <c r="Q39" s="59">
        <f>SUM($L$39:$P$39)</f>
        <v>-6.1376526492819607</v>
      </c>
      <c r="R39" s="59">
        <f>'TE BE'!$R$39*'TE BE'!$R$49</f>
        <v>13.769312212078505</v>
      </c>
      <c r="S39" s="59">
        <f>SUM($R$39:$R$39)</f>
        <v>13.769312212078505</v>
      </c>
      <c r="T39" s="59">
        <f>'TE BE'!$T$39*'TE BE'!$T$49</f>
        <v>0</v>
      </c>
      <c r="U39" s="59">
        <f>'TE BE'!$U$39*'TE BE'!$U$49</f>
        <v>0</v>
      </c>
      <c r="V39" s="59">
        <f>'TE BE'!$V$39*'TE BE'!$V$49</f>
        <v>0</v>
      </c>
      <c r="W39" s="59">
        <f>SUM($T$39:$V$39)</f>
        <v>0</v>
      </c>
      <c r="X39" s="59">
        <f>'TE BE'!$AB$39*'TE BE'!$X$49</f>
        <v>0</v>
      </c>
      <c r="Y39" s="59">
        <f>SUM($X$39:$X$39)</f>
        <v>0</v>
      </c>
      <c r="Z39" s="59">
        <f>'TE BE'!$Z$39*'TE BE'!$Z$49</f>
        <v>0.28920558248343675</v>
      </c>
      <c r="AA39" s="59">
        <f>SUM($Z$39:$Z$39)</f>
        <v>0.28920558248343675</v>
      </c>
      <c r="AB39" s="59">
        <f ca="1">SUMIF($L$4:$AA$4,"SUBTOTAL",$L$39:$AA$39)+AL39</f>
        <v>35.807100747798366</v>
      </c>
      <c r="AC39" s="9" t="str">
        <f t="shared" si="0"/>
        <v>B3</v>
      </c>
      <c r="AD39" s="9" t="str">
        <f t="shared" si="1"/>
        <v>Energia convencional</v>
      </c>
      <c r="AE39" s="9" t="str">
        <f t="shared" si="2"/>
        <v>Não se aplica</v>
      </c>
      <c r="AF39" s="9" t="str">
        <f t="shared" si="3"/>
        <v>Não se aplica</v>
      </c>
      <c r="AG39" s="9" t="str">
        <f t="shared" si="4"/>
        <v>Não se aplica</v>
      </c>
      <c r="AH39" s="9">
        <v>1</v>
      </c>
      <c r="AI39" s="9">
        <f ca="1">TarifaMedia!$G$20</f>
        <v>1</v>
      </c>
      <c r="AJ39" s="15">
        <f>'TE BE'!$AB39+'TE BF'!$AB39+'TE CVA'!$AB39</f>
        <v>234.64376439748159</v>
      </c>
      <c r="AK39" s="9">
        <v>262.52999999999997</v>
      </c>
      <c r="AL39" s="9">
        <f t="shared" ca="1" si="5"/>
        <v>27.886235602518383</v>
      </c>
      <c r="AO39" s="54" t="s">
        <v>1155</v>
      </c>
    </row>
    <row r="40" spans="1:41" ht="11.25" customHeight="1" x14ac:dyDescent="0.25">
      <c r="A40" s="153"/>
      <c r="B40" s="61" t="s">
        <v>88</v>
      </c>
      <c r="C40" s="61" t="s">
        <v>25</v>
      </c>
      <c r="D40" s="61" t="s">
        <v>25</v>
      </c>
      <c r="E40" s="61" t="s">
        <v>25</v>
      </c>
      <c r="F40" s="61" t="s">
        <v>25</v>
      </c>
      <c r="G40" s="62" t="s">
        <v>78</v>
      </c>
      <c r="H40" s="62" t="s">
        <v>74</v>
      </c>
      <c r="I40" s="62">
        <f>'MERCADO TE'!$U$37</f>
        <v>0</v>
      </c>
      <c r="J40" s="15"/>
      <c r="L40" s="59">
        <f>'TE BE'!$L$40*'TE BE'!$L$49</f>
        <v>-7.6531292448725331E-6</v>
      </c>
      <c r="M40" s="59">
        <f>'TE BE'!$M$40*'TE BE'!$M$49</f>
        <v>-6.1376449961527157</v>
      </c>
      <c r="N40" s="59">
        <f>'TE BE'!$N$40*'TE BE'!$N$49</f>
        <v>0</v>
      </c>
      <c r="O40" s="59">
        <f>'TE BE'!$O$40*'TE BE'!$O$49</f>
        <v>0</v>
      </c>
      <c r="P40" s="59">
        <f>'TE BE'!$P$40*'TE BE'!$P$49</f>
        <v>0</v>
      </c>
      <c r="Q40" s="59">
        <f>SUM($L$40:$P$40)</f>
        <v>-6.1376526492819607</v>
      </c>
      <c r="R40" s="59">
        <f>'TE BE'!$R$40*'TE BE'!$R$49</f>
        <v>13.769312212078505</v>
      </c>
      <c r="S40" s="59">
        <f>SUM($R$40:$R$40)</f>
        <v>13.769312212078505</v>
      </c>
      <c r="T40" s="59">
        <f>'TE BE'!$T$40*'TE BE'!$T$49</f>
        <v>0</v>
      </c>
      <c r="U40" s="59">
        <f>'TE BE'!$U$40*'TE BE'!$U$49</f>
        <v>0</v>
      </c>
      <c r="V40" s="59">
        <f>'TE BE'!$V$40*'TE BE'!$V$49</f>
        <v>0</v>
      </c>
      <c r="W40" s="59">
        <f>SUM($T$40:$V$40)</f>
        <v>0</v>
      </c>
      <c r="X40" s="59">
        <f>'TE BE'!$AB$40*'TE BE'!$X$49</f>
        <v>0</v>
      </c>
      <c r="Y40" s="59">
        <f>SUM($X$40:$X$40)</f>
        <v>0</v>
      </c>
      <c r="Z40" s="59">
        <f>'TE BE'!$Z$40*'TE BE'!$Z$49</f>
        <v>0.28920558248343675</v>
      </c>
      <c r="AA40" s="59">
        <f>SUM($Z$40:$Z$40)</f>
        <v>0.28920558248343675</v>
      </c>
      <c r="AB40" s="59">
        <f ca="1">SUMIF($L$4:$AA$4,"SUBTOTAL",$L$40:$AA$40)+AL40</f>
        <v>35.807100747798366</v>
      </c>
      <c r="AC40" s="9" t="str">
        <f t="shared" si="0"/>
        <v>B3</v>
      </c>
      <c r="AD40" s="9" t="str">
        <f t="shared" si="1"/>
        <v>Energia convencional pré-pagamento</v>
      </c>
      <c r="AE40" s="9" t="str">
        <f t="shared" si="2"/>
        <v>Não se aplica</v>
      </c>
      <c r="AF40" s="9" t="str">
        <f t="shared" si="3"/>
        <v>Não se aplica</v>
      </c>
      <c r="AG40" s="9" t="str">
        <f t="shared" si="4"/>
        <v>Não se aplica</v>
      </c>
      <c r="AH40" s="9">
        <v>1</v>
      </c>
      <c r="AI40" s="9">
        <f ca="1">TarifaMedia!$G$20</f>
        <v>1</v>
      </c>
      <c r="AJ40" s="15">
        <f>'TE BE'!$AB40+'TE BF'!$AB40+'TE CVA'!$AB40</f>
        <v>234.64376439748159</v>
      </c>
      <c r="AK40" s="9">
        <v>262.52999999999997</v>
      </c>
      <c r="AL40" s="9">
        <f t="shared" ca="1" si="5"/>
        <v>27.886235602518383</v>
      </c>
      <c r="AO40" s="54" t="s">
        <v>1156</v>
      </c>
    </row>
    <row r="41" spans="1:41" ht="11.25" customHeight="1" x14ac:dyDescent="0.25">
      <c r="A41" s="153" t="s">
        <v>44</v>
      </c>
      <c r="B41" s="153" t="s">
        <v>77</v>
      </c>
      <c r="C41" s="153" t="s">
        <v>45</v>
      </c>
      <c r="D41" s="61" t="s">
        <v>46</v>
      </c>
      <c r="E41" s="61" t="s">
        <v>25</v>
      </c>
      <c r="F41" s="61" t="s">
        <v>25</v>
      </c>
      <c r="G41" s="62" t="s">
        <v>78</v>
      </c>
      <c r="H41" s="62" t="s">
        <v>74</v>
      </c>
      <c r="I41" s="62">
        <f>'MERCADO TE'!$U$38</f>
        <v>11805.242</v>
      </c>
      <c r="J41" s="15"/>
      <c r="L41" s="59">
        <f>'TE BE'!$L$41*'TE BE'!$L$49</f>
        <v>-4.209221084679894E-6</v>
      </c>
      <c r="M41" s="59">
        <f>'TE BE'!$M$41*'TE BE'!$M$49</f>
        <v>-3.3757047478839941</v>
      </c>
      <c r="N41" s="59">
        <f>'TE BE'!$N$41*'TE BE'!$N$49</f>
        <v>0</v>
      </c>
      <c r="O41" s="59">
        <f>'TE BE'!$O$41*'TE BE'!$O$49</f>
        <v>0</v>
      </c>
      <c r="P41" s="59">
        <f>'TE BE'!$P$41*'TE BE'!$P$49</f>
        <v>0</v>
      </c>
      <c r="Q41" s="59">
        <f>SUM($L$41:$P$41)</f>
        <v>-3.3757089571050787</v>
      </c>
      <c r="R41" s="59">
        <f>'TE BE'!$R$41*'TE BE'!$R$49</f>
        <v>7.5731217166431781</v>
      </c>
      <c r="S41" s="59">
        <f>SUM($R$41:$R$41)</f>
        <v>7.5731217166431781</v>
      </c>
      <c r="T41" s="59">
        <f>'TE BE'!$T$41*'TE BE'!$T$49</f>
        <v>0</v>
      </c>
      <c r="U41" s="59">
        <f>'TE BE'!$U$41*'TE BE'!$U$49</f>
        <v>0</v>
      </c>
      <c r="V41" s="59">
        <f>'TE BE'!$V$41*'TE BE'!$V$49</f>
        <v>0</v>
      </c>
      <c r="W41" s="59">
        <f>SUM($T$41:$V$41)</f>
        <v>0</v>
      </c>
      <c r="X41" s="59">
        <f>'TE BE'!$AB$41*'TE BE'!$X$49</f>
        <v>0</v>
      </c>
      <c r="Y41" s="59">
        <f>SUM($X$41:$X$41)</f>
        <v>0</v>
      </c>
      <c r="Z41" s="59">
        <f>'TE BE'!$Z$41*'TE BE'!$Z$49</f>
        <v>0.15906307036589024</v>
      </c>
      <c r="AA41" s="59">
        <f>SUM($Z$41:$Z$41)</f>
        <v>0.15906307036589024</v>
      </c>
      <c r="AB41" s="59">
        <f ca="1">SUMIF($L$4:$AA$4,"SUBTOTAL",$L$41:$AA$41)+AL41</f>
        <v>19.692405411289094</v>
      </c>
      <c r="AC41" s="9" t="str">
        <f t="shared" si="0"/>
        <v>B4</v>
      </c>
      <c r="AD41" s="9" t="str">
        <f t="shared" si="1"/>
        <v>Energia convencional</v>
      </c>
      <c r="AE41" s="9" t="str">
        <f t="shared" si="2"/>
        <v>Iluminação pública</v>
      </c>
      <c r="AF41" s="9" t="str">
        <f t="shared" si="3"/>
        <v>Iluminação pública – B4a</v>
      </c>
      <c r="AG41" s="9" t="str">
        <f t="shared" si="4"/>
        <v>Não se aplica</v>
      </c>
      <c r="AH41" s="9">
        <v>1</v>
      </c>
      <c r="AI41" s="9">
        <f ca="1">TarifaMedia!$G$20</f>
        <v>1</v>
      </c>
      <c r="AJ41" s="15">
        <f>'TE BE'!$AB41+'TE BF'!$AB41+'TE CVA'!$AB41</f>
        <v>129.05407041861488</v>
      </c>
      <c r="AK41" s="9">
        <v>144.38999999999999</v>
      </c>
      <c r="AL41" s="9">
        <f t="shared" ca="1" si="5"/>
        <v>15.335929581385102</v>
      </c>
      <c r="AO41" s="54" t="s">
        <v>1157</v>
      </c>
    </row>
    <row r="42" spans="1:41" ht="11.25" customHeight="1" x14ac:dyDescent="0.25">
      <c r="A42" s="153"/>
      <c r="B42" s="153"/>
      <c r="C42" s="153"/>
      <c r="D42" s="62" t="s">
        <v>92</v>
      </c>
      <c r="E42" s="62" t="s">
        <v>25</v>
      </c>
      <c r="F42" s="62" t="s">
        <v>25</v>
      </c>
      <c r="G42" s="62" t="s">
        <v>78</v>
      </c>
      <c r="H42" s="62" t="s">
        <v>74</v>
      </c>
      <c r="I42" s="62">
        <f>'MERCADO TE'!$U$39</f>
        <v>0</v>
      </c>
      <c r="J42" s="15"/>
      <c r="L42" s="59">
        <f>'TE BE'!$L$42*'TE BE'!$L$49</f>
        <v>-4.5918775469235197E-6</v>
      </c>
      <c r="M42" s="59">
        <f>'TE BE'!$M$42*'TE BE'!$M$49</f>
        <v>-3.6825869976916294</v>
      </c>
      <c r="N42" s="59">
        <f>'TE BE'!$N$42*'TE BE'!$N$49</f>
        <v>0</v>
      </c>
      <c r="O42" s="59">
        <f>'TE BE'!$O$42*'TE BE'!$O$49</f>
        <v>0</v>
      </c>
      <c r="P42" s="59">
        <f>'TE BE'!$P$42*'TE BE'!$P$49</f>
        <v>0</v>
      </c>
      <c r="Q42" s="59">
        <f>SUM($L$42:$P$42)</f>
        <v>-3.6825915895691765</v>
      </c>
      <c r="R42" s="59">
        <f>'TE BE'!$R$42*'TE BE'!$R$49</f>
        <v>8.2615873272471028</v>
      </c>
      <c r="S42" s="59">
        <f>SUM($R$42:$R$42)</f>
        <v>8.2615873272471028</v>
      </c>
      <c r="T42" s="59">
        <f>'TE BE'!$T$42*'TE BE'!$T$49</f>
        <v>0</v>
      </c>
      <c r="U42" s="59">
        <f>'TE BE'!$U$42*'TE BE'!$U$49</f>
        <v>0</v>
      </c>
      <c r="V42" s="59">
        <f>'TE BE'!$V$42*'TE BE'!$V$49</f>
        <v>0</v>
      </c>
      <c r="W42" s="59">
        <f>SUM($T$42:$V$42)</f>
        <v>0</v>
      </c>
      <c r="X42" s="59">
        <f>'TE BE'!$AB$42*'TE BE'!$X$49</f>
        <v>0</v>
      </c>
      <c r="Y42" s="59">
        <f>SUM($X$42:$X$42)</f>
        <v>0</v>
      </c>
      <c r="Z42" s="59">
        <f>'TE BE'!$Z$42*'TE BE'!$Z$49</f>
        <v>0.17352334949006207</v>
      </c>
      <c r="AA42" s="59">
        <f>SUM($Z$42:$Z$42)</f>
        <v>0.17352334949006207</v>
      </c>
      <c r="AB42" s="59">
        <f ca="1">SUMIF($L$4:$AA$4,"SUBTOTAL",$L$42:$AA$42)+AL42</f>
        <v>21.486260448679012</v>
      </c>
      <c r="AC42" s="9" t="str">
        <f t="shared" si="0"/>
        <v>B4</v>
      </c>
      <c r="AD42" s="9" t="str">
        <f t="shared" si="1"/>
        <v>Energia convencional</v>
      </c>
      <c r="AE42" s="9" t="str">
        <f t="shared" si="2"/>
        <v>Iluminação pública</v>
      </c>
      <c r="AF42" s="9" t="str">
        <f t="shared" si="3"/>
        <v>Iluminação pública – B4b</v>
      </c>
      <c r="AG42" s="9" t="str">
        <f t="shared" si="4"/>
        <v>Não se aplica</v>
      </c>
      <c r="AH42" s="9">
        <v>1</v>
      </c>
      <c r="AI42" s="9">
        <f ca="1">TarifaMedia!$G$20</f>
        <v>1</v>
      </c>
      <c r="AJ42" s="15">
        <f>'TE BE'!$AB42+'TE BF'!$AB42+'TE CVA'!$AB42</f>
        <v>140.78625863848899</v>
      </c>
      <c r="AK42" s="9">
        <v>157.52000000000001</v>
      </c>
      <c r="AL42" s="9">
        <f t="shared" ca="1" si="5"/>
        <v>16.733741361511022</v>
      </c>
      <c r="AO42" s="54" t="s">
        <v>1158</v>
      </c>
    </row>
    <row r="44" spans="1:41" ht="11.25" customHeight="1" x14ac:dyDescent="0.25">
      <c r="K44" s="64" t="s">
        <v>577</v>
      </c>
      <c r="L44" s="59">
        <f t="shared" ref="L44:AB44" si="6">SUMPRODUCT($I$5:$I$42,L$5:L$42)</f>
        <v>-1.5255169573936294</v>
      </c>
      <c r="M44" s="59">
        <f t="shared" si="6"/>
        <v>-1223431.7781012559</v>
      </c>
      <c r="N44" s="59">
        <f t="shared" si="6"/>
        <v>0</v>
      </c>
      <c r="O44" s="59">
        <f t="shared" si="6"/>
        <v>0</v>
      </c>
      <c r="P44" s="59">
        <f t="shared" si="6"/>
        <v>0</v>
      </c>
      <c r="Q44" s="59">
        <f t="shared" si="6"/>
        <v>-1223433.3036182134</v>
      </c>
      <c r="R44" s="59">
        <f t="shared" si="6"/>
        <v>2716870.5970524419</v>
      </c>
      <c r="S44" s="59">
        <f t="shared" si="6"/>
        <v>2716870.5970524419</v>
      </c>
      <c r="T44" s="59">
        <f t="shared" si="6"/>
        <v>0</v>
      </c>
      <c r="U44" s="59">
        <f t="shared" si="6"/>
        <v>0</v>
      </c>
      <c r="V44" s="59">
        <f t="shared" si="6"/>
        <v>0</v>
      </c>
      <c r="W44" s="59">
        <f t="shared" si="6"/>
        <v>0</v>
      </c>
      <c r="X44" s="59">
        <f t="shared" si="6"/>
        <v>0</v>
      </c>
      <c r="Y44" s="59">
        <f t="shared" si="6"/>
        <v>0</v>
      </c>
      <c r="Z44" s="59">
        <f t="shared" si="6"/>
        <v>57648.055603787594</v>
      </c>
      <c r="AA44" s="59">
        <f t="shared" si="6"/>
        <v>57648.055603787594</v>
      </c>
      <c r="AB44" s="59">
        <f t="shared" ca="1" si="6"/>
        <v>4855808.5955905439</v>
      </c>
    </row>
    <row r="45" spans="1:41" ht="11.25" customHeight="1" x14ac:dyDescent="0.25">
      <c r="K45" s="64" t="s">
        <v>502</v>
      </c>
      <c r="L45" s="59">
        <f>CUSTOS!$D$30</f>
        <v>443927.86224606709</v>
      </c>
      <c r="M45" s="59">
        <f>CUSTOS!$D$31</f>
        <v>5567368.1052542813</v>
      </c>
      <c r="N45" s="59">
        <f>CUSTOS!$D$32</f>
        <v>0</v>
      </c>
      <c r="O45" s="59">
        <f>CUSTOS!$D$33</f>
        <v>0</v>
      </c>
      <c r="P45" s="59">
        <f>CUSTOS!$D$34</f>
        <v>-2509999.9999999995</v>
      </c>
      <c r="Q45" s="59">
        <f>CUSTOS!$D$35</f>
        <v>3501295.967500349</v>
      </c>
      <c r="R45" s="59">
        <f>CUSTOS!$D$36</f>
        <v>37958523.416229047</v>
      </c>
      <c r="S45" s="59">
        <f>CUSTOS!$D$37</f>
        <v>37958523.416229047</v>
      </c>
      <c r="T45" s="59">
        <f>CUSTOS!$D$38</f>
        <v>598524.71113621967</v>
      </c>
      <c r="U45" s="59">
        <f>CUSTOS!$D$39</f>
        <v>416696.1793310651</v>
      </c>
      <c r="V45" s="59">
        <f>CUSTOS!$D$40</f>
        <v>0</v>
      </c>
      <c r="W45" s="59">
        <f>CUSTOS!$D$41</f>
        <v>1015220.8904672847</v>
      </c>
      <c r="X45" s="59">
        <f>CUSTOS!$D$42</f>
        <v>0</v>
      </c>
      <c r="Y45" s="59">
        <f>CUSTOS!$D$43</f>
        <v>0</v>
      </c>
      <c r="Z45" s="59">
        <f>CUSTOS!$D$44</f>
        <v>805424.84095874231</v>
      </c>
      <c r="AA45" s="59">
        <f>CUSTOS!$D$45</f>
        <v>805424.84095874231</v>
      </c>
      <c r="AB45" s="59">
        <f>CUSTOS!$D$46</f>
        <v>43280465.115155429</v>
      </c>
    </row>
    <row r="46" spans="1:41" ht="11.25" customHeight="1" x14ac:dyDescent="0.25">
      <c r="K46" s="64" t="s">
        <v>503</v>
      </c>
      <c r="L46" s="59">
        <f>CUSTOS!$E$30</f>
        <v>-1.5255169573936296</v>
      </c>
      <c r="M46" s="59">
        <f>CUSTOS!$E$31</f>
        <v>-1223431.7781012561</v>
      </c>
      <c r="N46" s="59">
        <f>CUSTOS!$E$32</f>
        <v>0</v>
      </c>
      <c r="O46" s="59">
        <f>CUSTOS!$E$33</f>
        <v>-1.0710678681994937E-5</v>
      </c>
      <c r="P46" s="59">
        <f>CUSTOS!$E$34</f>
        <v>0</v>
      </c>
      <c r="Q46" s="59">
        <f>CUSTOS!$E$35</f>
        <v>-1223433.3036289241</v>
      </c>
      <c r="R46" s="59">
        <f>CUSTOS!$E$36</f>
        <v>2716870.5970524414</v>
      </c>
      <c r="S46" s="59">
        <f>CUSTOS!$E$37</f>
        <v>2716870.5970524414</v>
      </c>
      <c r="T46" s="59">
        <f>CUSTOS!$E$38</f>
        <v>0</v>
      </c>
      <c r="U46" s="59">
        <f>CUSTOS!$E$39</f>
        <v>0</v>
      </c>
      <c r="V46" s="59">
        <f>CUSTOS!$E$40</f>
        <v>0</v>
      </c>
      <c r="W46" s="59">
        <f>CUSTOS!$E$41</f>
        <v>0</v>
      </c>
      <c r="X46" s="59">
        <f>CUSTOS!$E$42</f>
        <v>0</v>
      </c>
      <c r="Y46" s="59">
        <f>CUSTOS!$E$43</f>
        <v>0</v>
      </c>
      <c r="Z46" s="59">
        <f>CUSTOS!$E$44</f>
        <v>57648.055603787601</v>
      </c>
      <c r="AA46" s="59">
        <f>CUSTOS!$E$45</f>
        <v>57648.055603787601</v>
      </c>
      <c r="AB46" s="59">
        <f>CUSTOS!$E$46</f>
        <v>1551085.3490273049</v>
      </c>
    </row>
    <row r="47" spans="1:41" ht="11.25" customHeight="1" x14ac:dyDescent="0.25">
      <c r="K47" s="64" t="s">
        <v>504</v>
      </c>
      <c r="L47" s="59">
        <f>CUSTOS!$F$30</f>
        <v>0</v>
      </c>
      <c r="M47" s="59">
        <f>CUSTOS!$F$31</f>
        <v>821097.77469999995</v>
      </c>
      <c r="N47" s="59">
        <f>CUSTOS!$F$32</f>
        <v>0</v>
      </c>
      <c r="O47" s="59">
        <f>CUSTOS!$F$33</f>
        <v>0</v>
      </c>
      <c r="P47" s="59">
        <f>CUSTOS!$F$34</f>
        <v>0</v>
      </c>
      <c r="Q47" s="59">
        <f>CUSTOS!$F$35</f>
        <v>821097.77469999995</v>
      </c>
      <c r="R47" s="59">
        <f>CUSTOS!$F$36</f>
        <v>-83300.651542210588</v>
      </c>
      <c r="S47" s="59">
        <f>CUSTOS!$F$37</f>
        <v>-83300.651542210588</v>
      </c>
      <c r="T47" s="59">
        <f>CUSTOS!$F$38</f>
        <v>436375.19709999999</v>
      </c>
      <c r="U47" s="59">
        <f>CUSTOS!$F$39</f>
        <v>352805.95</v>
      </c>
      <c r="V47" s="59">
        <f>CUSTOS!$F$40</f>
        <v>0</v>
      </c>
      <c r="W47" s="59">
        <f>CUSTOS!$F$41</f>
        <v>789181.14709999994</v>
      </c>
      <c r="X47" s="59">
        <f>CUSTOS!$F$42</f>
        <v>0</v>
      </c>
      <c r="Y47" s="59">
        <f>CUSTOS!$F$43</f>
        <v>0</v>
      </c>
      <c r="Z47" s="59">
        <f>CUSTOS!$F$44</f>
        <v>-1767.5190703403237</v>
      </c>
      <c r="AA47" s="59">
        <f>CUSTOS!$F$45</f>
        <v>-1767.5190703403237</v>
      </c>
      <c r="AB47" s="59">
        <f>CUSTOS!$F$46</f>
        <v>1525210.7511874489</v>
      </c>
    </row>
    <row r="48" spans="1:41" ht="11.25" customHeight="1" x14ac:dyDescent="0.25">
      <c r="K48" s="64" t="s">
        <v>578</v>
      </c>
      <c r="L48" s="59">
        <f>'TR TE'!$L$48*L49</f>
        <v>0</v>
      </c>
      <c r="M48" s="59">
        <f>'TR TE'!$M$48*M49</f>
        <v>4.1192379815905733</v>
      </c>
      <c r="N48" s="59">
        <f>'TR TE'!$N$48*N49</f>
        <v>0</v>
      </c>
      <c r="O48" s="59">
        <f>'TR TE'!$O$48*O49</f>
        <v>0</v>
      </c>
      <c r="P48" s="59">
        <f>'TR TE'!$P$48*P49</f>
        <v>0</v>
      </c>
      <c r="Q48" s="59"/>
      <c r="R48" s="59">
        <f>'TR TE'!$R$48*R49</f>
        <v>-0.4159513704264069</v>
      </c>
      <c r="S48" s="59"/>
      <c r="T48" s="59">
        <f>'TR TE'!$T$48*T49</f>
        <v>2.1891829956245439</v>
      </c>
      <c r="U48" s="59">
        <f>'TR TE'!$U$48*U49</f>
        <v>1.7699374108060713</v>
      </c>
      <c r="V48" s="59">
        <f>'TR TE'!$V$48*V49</f>
        <v>0</v>
      </c>
      <c r="W48" s="59"/>
      <c r="X48" s="59"/>
      <c r="Y48" s="59"/>
      <c r="Z48" s="59">
        <f>'TR TE'!$Z$48*Z49</f>
        <v>-8.8671920836610237E-3</v>
      </c>
      <c r="AA48" s="59"/>
      <c r="AB48" s="59"/>
    </row>
    <row r="49" spans="11:28" ht="11.25" customHeight="1" x14ac:dyDescent="0.25">
      <c r="K49" s="64" t="s">
        <v>573</v>
      </c>
      <c r="L49" s="59">
        <f>IF(L45&lt;&gt;0,L47/L45,0)</f>
        <v>0</v>
      </c>
      <c r="M49" s="59">
        <f>IF(M45&lt;&gt;0,M47/M45,0)</f>
        <v>0.14748401024984811</v>
      </c>
      <c r="N49" s="59">
        <f>IF(N45&lt;&gt;0,N47/N45,0)</f>
        <v>0</v>
      </c>
      <c r="O49" s="59">
        <f>IF(O45&lt;&gt;0,O47/O45,0)</f>
        <v>0</v>
      </c>
      <c r="P49" s="59">
        <f>IF(P45&lt;&gt;0,P47/P45,0)</f>
        <v>0</v>
      </c>
      <c r="Q49" s="59"/>
      <c r="R49" s="59">
        <f>IF(R45&lt;&gt;0,R47/R45,0)</f>
        <v>-2.1945177010388043E-3</v>
      </c>
      <c r="S49" s="59"/>
      <c r="T49" s="59">
        <f>IF(T45&lt;&gt;0,T47/T45,0)</f>
        <v>0.72908467934698906</v>
      </c>
      <c r="U49" s="59">
        <f>IF(U45&lt;&gt;0,U47/U45,0)</f>
        <v>0.84667430972458158</v>
      </c>
      <c r="V49" s="59">
        <f>IF(V45&lt;&gt;0,V47/V45,0)</f>
        <v>0</v>
      </c>
      <c r="W49" s="59"/>
      <c r="X49" s="59">
        <f>IF($AB45&lt;&gt;0,X47/($AB45-SUM('TR TE'!$L48:'TR TE'!$AA48)*0),0)</f>
        <v>0</v>
      </c>
      <c r="Y49" s="59"/>
      <c r="Z49" s="59">
        <f>IF(Z45&lt;&gt;0,Z47/Z45,0)</f>
        <v>-2.1945177010388043E-3</v>
      </c>
      <c r="AA49" s="59"/>
      <c r="AB49" s="59"/>
    </row>
    <row r="50" spans="11:28" ht="11.25" customHeight="1" x14ac:dyDescent="0.25"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</row>
  </sheetData>
  <mergeCells count="72">
    <mergeCell ref="T3:W3"/>
    <mergeCell ref="X3:Y3"/>
    <mergeCell ref="A1:A4"/>
    <mergeCell ref="B1:B4"/>
    <mergeCell ref="C1:C4"/>
    <mergeCell ref="D1:D4"/>
    <mergeCell ref="E1:E4"/>
    <mergeCell ref="F1:F4"/>
    <mergeCell ref="Z3:AA3"/>
    <mergeCell ref="AB3:AB4"/>
    <mergeCell ref="A5:A7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R3:S3"/>
    <mergeCell ref="F8:F10"/>
    <mergeCell ref="B11:B15"/>
    <mergeCell ref="C11:C15"/>
    <mergeCell ref="B16:B20"/>
    <mergeCell ref="C16:C20"/>
    <mergeCell ref="A8:A20"/>
    <mergeCell ref="B8:B10"/>
    <mergeCell ref="C8:C10"/>
    <mergeCell ref="D8:D10"/>
    <mergeCell ref="E8:E10"/>
    <mergeCell ref="D21:D23"/>
    <mergeCell ref="E21:E23"/>
    <mergeCell ref="F21:F23"/>
    <mergeCell ref="B25:B27"/>
    <mergeCell ref="C25:C27"/>
    <mergeCell ref="D25:D27"/>
    <mergeCell ref="E25:E27"/>
    <mergeCell ref="AC1:AC4"/>
    <mergeCell ref="B33:B35"/>
    <mergeCell ref="C33:C35"/>
    <mergeCell ref="A36:A40"/>
    <mergeCell ref="B36:B38"/>
    <mergeCell ref="C36:C38"/>
    <mergeCell ref="D36:D38"/>
    <mergeCell ref="F25:F27"/>
    <mergeCell ref="B29:B31"/>
    <mergeCell ref="C29:C31"/>
    <mergeCell ref="D29:D31"/>
    <mergeCell ref="E29:E31"/>
    <mergeCell ref="F29:F31"/>
    <mergeCell ref="A21:A35"/>
    <mergeCell ref="B21:B23"/>
    <mergeCell ref="C21:C23"/>
    <mergeCell ref="E36:E38"/>
    <mergeCell ref="F36:F38"/>
    <mergeCell ref="A41:A42"/>
    <mergeCell ref="B41:B42"/>
    <mergeCell ref="C41:C42"/>
    <mergeCell ref="AJ1:AJ4"/>
    <mergeCell ref="AK1:AK4"/>
    <mergeCell ref="AL1:AL4"/>
    <mergeCell ref="AO1:AO4"/>
    <mergeCell ref="AD1:AD4"/>
    <mergeCell ref="AE1:AE4"/>
    <mergeCell ref="AF1:AF4"/>
    <mergeCell ref="AG1:AG4"/>
    <mergeCell ref="AH1:AH4"/>
    <mergeCell ref="AI1:AI4"/>
  </mergeCells>
  <conditionalFormatting sqref="L44">
    <cfRule type="cellIs" dxfId="222" priority="33" operator="notEqual">
      <formula>$L$46</formula>
    </cfRule>
    <cfRule type="cellIs" dxfId="221" priority="34" operator="equal">
      <formula>$L$46</formula>
    </cfRule>
  </conditionalFormatting>
  <conditionalFormatting sqref="M44">
    <cfRule type="cellIs" dxfId="220" priority="31" operator="notEqual">
      <formula>$M$46</formula>
    </cfRule>
    <cfRule type="cellIs" dxfId="219" priority="32" operator="equal">
      <formula>$M$46</formula>
    </cfRule>
  </conditionalFormatting>
  <conditionalFormatting sqref="N44">
    <cfRule type="cellIs" dxfId="218" priority="29" operator="notEqual">
      <formula>$N$46</formula>
    </cfRule>
    <cfRule type="cellIs" dxfId="217" priority="30" operator="equal">
      <formula>$N$46</formula>
    </cfRule>
  </conditionalFormatting>
  <conditionalFormatting sqref="O44">
    <cfRule type="cellIs" dxfId="216" priority="27" operator="notEqual">
      <formula>$O$46</formula>
    </cfRule>
    <cfRule type="cellIs" dxfId="215" priority="28" operator="equal">
      <formula>$O$46</formula>
    </cfRule>
  </conditionalFormatting>
  <conditionalFormatting sqref="P44">
    <cfRule type="cellIs" dxfId="214" priority="25" operator="notEqual">
      <formula>$P$46</formula>
    </cfRule>
    <cfRule type="cellIs" dxfId="213" priority="26" operator="equal">
      <formula>$P$46</formula>
    </cfRule>
  </conditionalFormatting>
  <conditionalFormatting sqref="Q44">
    <cfRule type="cellIs" dxfId="212" priority="23" operator="notEqual">
      <formula>$Q$46</formula>
    </cfRule>
    <cfRule type="cellIs" dxfId="211" priority="24" operator="equal">
      <formula>$Q$46</formula>
    </cfRule>
  </conditionalFormatting>
  <conditionalFormatting sqref="R44">
    <cfRule type="cellIs" dxfId="210" priority="21" operator="notEqual">
      <formula>$R$46</formula>
    </cfRule>
    <cfRule type="cellIs" dxfId="209" priority="22" operator="equal">
      <formula>$R$46</formula>
    </cfRule>
  </conditionalFormatting>
  <conditionalFormatting sqref="S44">
    <cfRule type="cellIs" dxfId="208" priority="19" operator="notEqual">
      <formula>$S$46</formula>
    </cfRule>
    <cfRule type="cellIs" dxfId="207" priority="20" operator="equal">
      <formula>$S$46</formula>
    </cfRule>
  </conditionalFormatting>
  <conditionalFormatting sqref="T44">
    <cfRule type="cellIs" dxfId="206" priority="17" operator="notEqual">
      <formula>$T$46</formula>
    </cfRule>
    <cfRule type="cellIs" dxfId="205" priority="18" operator="equal">
      <formula>$T$46</formula>
    </cfRule>
  </conditionalFormatting>
  <conditionalFormatting sqref="U44">
    <cfRule type="cellIs" dxfId="204" priority="15" operator="notEqual">
      <formula>$U$46</formula>
    </cfRule>
    <cfRule type="cellIs" dxfId="203" priority="16" operator="equal">
      <formula>$U$46</formula>
    </cfRule>
  </conditionalFormatting>
  <conditionalFormatting sqref="V44">
    <cfRule type="cellIs" dxfId="202" priority="13" operator="notEqual">
      <formula>$V$46</formula>
    </cfRule>
    <cfRule type="cellIs" dxfId="201" priority="14" operator="equal">
      <formula>$V$46</formula>
    </cfRule>
  </conditionalFormatting>
  <conditionalFormatting sqref="W44">
    <cfRule type="cellIs" dxfId="200" priority="11" operator="notEqual">
      <formula>$W$46</formula>
    </cfRule>
    <cfRule type="cellIs" dxfId="199" priority="12" operator="equal">
      <formula>$W$46</formula>
    </cfRule>
  </conditionalFormatting>
  <conditionalFormatting sqref="X44">
    <cfRule type="cellIs" dxfId="198" priority="9" operator="notEqual">
      <formula>$X$46</formula>
    </cfRule>
    <cfRule type="cellIs" dxfId="197" priority="10" operator="equal">
      <formula>$X$46</formula>
    </cfRule>
  </conditionalFormatting>
  <conditionalFormatting sqref="Y44">
    <cfRule type="cellIs" dxfId="196" priority="7" operator="notEqual">
      <formula>$Y$46</formula>
    </cfRule>
    <cfRule type="cellIs" dxfId="195" priority="8" operator="equal">
      <formula>$Y$46</formula>
    </cfRule>
  </conditionalFormatting>
  <conditionalFormatting sqref="Z44">
    <cfRule type="cellIs" dxfId="194" priority="5" operator="notEqual">
      <formula>$Z$46</formula>
    </cfRule>
    <cfRule type="cellIs" dxfId="193" priority="6" operator="equal">
      <formula>$Z$46</formula>
    </cfRule>
  </conditionalFormatting>
  <conditionalFormatting sqref="AA44">
    <cfRule type="cellIs" dxfId="192" priority="3" operator="notEqual">
      <formula>$AA$46</formula>
    </cfRule>
    <cfRule type="cellIs" dxfId="191" priority="4" operator="equal">
      <formula>$AA$46</formula>
    </cfRule>
  </conditionalFormatting>
  <conditionalFormatting sqref="AB44">
    <cfRule type="cellIs" dxfId="190" priority="1" operator="notEqual">
      <formula>$AB$46</formula>
    </cfRule>
    <cfRule type="cellIs" dxfId="189" priority="2" operator="equal">
      <formula>$AB$46</formula>
    </cfRule>
  </conditionalFormatting>
  <pageMargins left="0.511811024" right="0.511811024" top="0.78740157499999996" bottom="0.78740157499999996" header="0.31496062000000002" footer="0.3149606200000000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A2A65-D938-41AA-B935-E69E259554A4}">
  <sheetPr>
    <tabColor indexed="12" tint="-0.249977111117893"/>
  </sheetPr>
  <dimension ref="A1:J584"/>
  <sheetViews>
    <sheetView workbookViewId="0"/>
  </sheetViews>
  <sheetFormatPr defaultRowHeight="15" x14ac:dyDescent="0.25"/>
  <cols>
    <col min="1" max="1" width="40.5703125" bestFit="1" customWidth="1"/>
    <col min="2" max="2" width="29.42578125" style="83" bestFit="1" customWidth="1"/>
    <col min="3" max="3" width="30.7109375" style="83" bestFit="1" customWidth="1"/>
    <col min="4" max="4" width="31.42578125" style="83" bestFit="1" customWidth="1"/>
    <col min="5" max="5" width="32.5703125" style="83" bestFit="1" customWidth="1"/>
    <col min="6" max="6" width="28.7109375" style="83" bestFit="1" customWidth="1"/>
    <col min="7" max="7" width="30" style="83" bestFit="1" customWidth="1"/>
    <col min="8" max="8" width="22" style="96" bestFit="1" customWidth="1"/>
    <col min="9" max="9" width="19.28515625" style="96" bestFit="1" customWidth="1"/>
    <col min="10" max="10" width="16.7109375" style="96" bestFit="1" customWidth="1"/>
  </cols>
  <sheetData>
    <row r="1" spans="1:10" x14ac:dyDescent="0.25">
      <c r="A1" s="86" t="s">
        <v>636</v>
      </c>
      <c r="B1" s="83" t="s">
        <v>637</v>
      </c>
      <c r="C1" s="83" t="s">
        <v>638</v>
      </c>
      <c r="D1" s="83" t="s">
        <v>639</v>
      </c>
      <c r="E1" s="83" t="s">
        <v>640</v>
      </c>
      <c r="F1" s="83" t="s">
        <v>641</v>
      </c>
      <c r="G1" s="83" t="s">
        <v>642</v>
      </c>
      <c r="H1" s="96" t="s">
        <v>643</v>
      </c>
      <c r="I1" s="96" t="s">
        <v>644</v>
      </c>
      <c r="J1" s="96" t="s">
        <v>645</v>
      </c>
    </row>
    <row r="2" spans="1:10" x14ac:dyDescent="0.25">
      <c r="A2" s="87" t="s">
        <v>35</v>
      </c>
      <c r="B2" s="83">
        <v>8747723.1492700037</v>
      </c>
      <c r="C2" s="83">
        <v>8292471.4891361063</v>
      </c>
      <c r="D2" s="83">
        <v>16377447.022171436</v>
      </c>
      <c r="E2" s="83">
        <v>21620160.581647459</v>
      </c>
      <c r="F2" s="83">
        <v>17637399.056862801</v>
      </c>
      <c r="G2" s="83">
        <v>18534224.758710392</v>
      </c>
      <c r="H2" s="96">
        <v>0.19054445668128484</v>
      </c>
      <c r="I2" s="96">
        <v>5.0847956603817579E-2</v>
      </c>
      <c r="J2" s="96">
        <v>0.1329267091236257</v>
      </c>
    </row>
    <row r="3" spans="1:10" x14ac:dyDescent="0.25">
      <c r="A3" s="88" t="s">
        <v>36</v>
      </c>
      <c r="B3" s="83">
        <v>527922.57999999984</v>
      </c>
      <c r="C3" s="83">
        <v>501126.02968450385</v>
      </c>
      <c r="D3" s="83">
        <v>883424.2323400001</v>
      </c>
      <c r="E3" s="83">
        <v>1422271.0140965369</v>
      </c>
      <c r="F3" s="83">
        <v>201895.27403999999</v>
      </c>
      <c r="G3" s="83">
        <v>211299.65053278001</v>
      </c>
      <c r="H3" s="96">
        <v>0.36280964180027886</v>
      </c>
      <c r="I3" s="96">
        <v>4.658046869842436E-2</v>
      </c>
      <c r="J3" s="96">
        <v>0.32323394754963775</v>
      </c>
    </row>
    <row r="4" spans="1:10" x14ac:dyDescent="0.25">
      <c r="A4" s="89" t="s">
        <v>26</v>
      </c>
      <c r="B4" s="83">
        <v>149221.94</v>
      </c>
      <c r="C4" s="83">
        <v>141685.80605974232</v>
      </c>
      <c r="D4" s="83">
        <v>65387.360479999996</v>
      </c>
      <c r="E4" s="83">
        <v>105270.54171091996</v>
      </c>
      <c r="F4" s="83">
        <v>201895.27403999999</v>
      </c>
      <c r="G4" s="83">
        <v>211299.65053278001</v>
      </c>
      <c r="H4" s="96">
        <v>0.15072528179493694</v>
      </c>
      <c r="I4" s="96">
        <v>4.658046869842436E-2</v>
      </c>
      <c r="J4" s="96">
        <v>0.10024241349944019</v>
      </c>
    </row>
    <row r="5" spans="1:10" x14ac:dyDescent="0.25">
      <c r="A5" s="90" t="s">
        <v>34</v>
      </c>
      <c r="B5" s="83">
        <v>149221.94</v>
      </c>
      <c r="C5" s="83">
        <v>141685.80605974232</v>
      </c>
      <c r="D5" s="83">
        <v>65387.360479999996</v>
      </c>
      <c r="E5" s="83">
        <v>105270.54171091996</v>
      </c>
      <c r="F5" s="83">
        <v>201895.27403999999</v>
      </c>
      <c r="G5" s="83">
        <v>211299.65053278001</v>
      </c>
      <c r="H5" s="96">
        <v>0.15072528179493694</v>
      </c>
      <c r="I5" s="96">
        <v>4.658046869842436E-2</v>
      </c>
      <c r="J5" s="96">
        <v>0.10024241349944019</v>
      </c>
    </row>
    <row r="6" spans="1:10" x14ac:dyDescent="0.25">
      <c r="A6" s="91" t="s">
        <v>25</v>
      </c>
      <c r="B6" s="83">
        <v>149221.94</v>
      </c>
      <c r="C6" s="83">
        <v>141685.80605974232</v>
      </c>
      <c r="D6" s="83">
        <v>65387.360479999996</v>
      </c>
      <c r="E6" s="83">
        <v>105270.54171091996</v>
      </c>
      <c r="F6" s="83">
        <v>201895.27403999999</v>
      </c>
      <c r="G6" s="83">
        <v>211299.65053278001</v>
      </c>
      <c r="H6" s="96">
        <v>0.15072528179493694</v>
      </c>
      <c r="I6" s="96">
        <v>4.658046869842436E-2</v>
      </c>
      <c r="J6" s="96">
        <v>0.10024241349944019</v>
      </c>
    </row>
    <row r="7" spans="1:10" x14ac:dyDescent="0.25">
      <c r="A7" s="92" t="s">
        <v>25</v>
      </c>
      <c r="B7" s="83">
        <v>149221.94</v>
      </c>
      <c r="C7" s="83">
        <v>141685.80605974232</v>
      </c>
      <c r="D7" s="83">
        <v>65387.360479999996</v>
      </c>
      <c r="E7" s="83">
        <v>105270.54171091996</v>
      </c>
      <c r="F7" s="83">
        <v>201895.27403999999</v>
      </c>
      <c r="G7" s="83">
        <v>211299.65053278001</v>
      </c>
      <c r="H7" s="96">
        <v>0.15072528179493694</v>
      </c>
      <c r="I7" s="96">
        <v>4.658046869842436E-2</v>
      </c>
      <c r="J7" s="96">
        <v>0.10024241349944019</v>
      </c>
    </row>
    <row r="8" spans="1:10" x14ac:dyDescent="0.25">
      <c r="A8" s="93" t="s">
        <v>25</v>
      </c>
      <c r="B8" s="83">
        <v>149221.94</v>
      </c>
      <c r="C8" s="83">
        <v>141685.80605974232</v>
      </c>
      <c r="D8" s="83">
        <v>65387.360479999996</v>
      </c>
      <c r="E8" s="83">
        <v>105270.54171091996</v>
      </c>
      <c r="F8" s="83">
        <v>201895.27403999999</v>
      </c>
      <c r="G8" s="83">
        <v>211299.65053278001</v>
      </c>
      <c r="H8" s="96">
        <v>0.15072528179493694</v>
      </c>
      <c r="I8" s="96">
        <v>4.658046869842436E-2</v>
      </c>
      <c r="J8" s="96">
        <v>0.10024241349944019</v>
      </c>
    </row>
    <row r="9" spans="1:10" x14ac:dyDescent="0.25">
      <c r="A9" s="94" t="s">
        <v>38</v>
      </c>
      <c r="B9" s="83">
        <v>52761.599999999991</v>
      </c>
      <c r="C9" s="83">
        <v>50074.518271905472</v>
      </c>
      <c r="D9" s="83">
        <v>59063.305339999999</v>
      </c>
      <c r="E9" s="83">
        <v>95089.113595295756</v>
      </c>
      <c r="F9" s="83">
        <v>170847.00606000001</v>
      </c>
      <c r="G9" s="83">
        <v>179957.08353142545</v>
      </c>
      <c r="H9" s="96">
        <v>0.29813328637154601</v>
      </c>
      <c r="I9" s="96">
        <v>5.3323015026824905E-2</v>
      </c>
      <c r="J9" s="96">
        <v>0.15016986933151188</v>
      </c>
    </row>
    <row r="10" spans="1:10" x14ac:dyDescent="0.25">
      <c r="A10" s="95">
        <v>44409</v>
      </c>
      <c r="B10" s="83">
        <v>4396.7999999999993</v>
      </c>
      <c r="C10" s="83">
        <v>4172.8765226587893</v>
      </c>
      <c r="D10" s="83">
        <v>5084.5824899999998</v>
      </c>
      <c r="E10" s="83">
        <v>8185.9360764360108</v>
      </c>
      <c r="F10" s="83">
        <v>14707.70541</v>
      </c>
      <c r="G10" s="83">
        <v>15491.964606587546</v>
      </c>
      <c r="H10" s="96">
        <v>0.30348212532609242</v>
      </c>
      <c r="I10" s="96">
        <v>5.3323015026824905E-2</v>
      </c>
      <c r="J10" s="96">
        <v>0.15137773366321716</v>
      </c>
    </row>
    <row r="11" spans="1:10" x14ac:dyDescent="0.25">
      <c r="A11" s="95">
        <v>44440</v>
      </c>
      <c r="B11" s="83">
        <v>4259.3999999999996</v>
      </c>
      <c r="C11" s="83">
        <v>4042.4741313257027</v>
      </c>
      <c r="D11" s="83">
        <v>4785.0890100000006</v>
      </c>
      <c r="E11" s="83">
        <v>7703.7658122282674</v>
      </c>
      <c r="F11" s="83">
        <v>13841.388090000002</v>
      </c>
      <c r="G11" s="83">
        <v>14579.452635115187</v>
      </c>
      <c r="H11" s="96">
        <v>0.29871791878643328</v>
      </c>
      <c r="I11" s="96">
        <v>5.3323015026824905E-2</v>
      </c>
      <c r="J11" s="96">
        <v>0.15030297784257307</v>
      </c>
    </row>
    <row r="12" spans="1:10" x14ac:dyDescent="0.25">
      <c r="A12" s="95">
        <v>44470</v>
      </c>
      <c r="B12" s="83">
        <v>4373.8999999999996</v>
      </c>
      <c r="C12" s="83">
        <v>4151.1427907699417</v>
      </c>
      <c r="D12" s="83">
        <v>5111.5896000000002</v>
      </c>
      <c r="E12" s="83">
        <v>8229.416239557384</v>
      </c>
      <c r="F12" s="83">
        <v>14785.826400000002</v>
      </c>
      <c r="G12" s="83">
        <v>15574.251243311226</v>
      </c>
      <c r="H12" s="96">
        <v>0.30521033203466108</v>
      </c>
      <c r="I12" s="96">
        <v>5.3323015026824905E-2</v>
      </c>
      <c r="J12" s="96">
        <v>0.15176326959933073</v>
      </c>
    </row>
    <row r="13" spans="1:10" x14ac:dyDescent="0.25">
      <c r="A13" s="95">
        <v>44501</v>
      </c>
      <c r="B13" s="83">
        <v>4259.3999999999996</v>
      </c>
      <c r="C13" s="83">
        <v>4042.4741313257027</v>
      </c>
      <c r="D13" s="83">
        <v>5037.3017499999996</v>
      </c>
      <c r="E13" s="83">
        <v>8109.8163328685132</v>
      </c>
      <c r="F13" s="83">
        <v>14570.940750000002</v>
      </c>
      <c r="G13" s="83">
        <v>15347.907242567226</v>
      </c>
      <c r="H13" s="96">
        <v>0.30716148489911643</v>
      </c>
      <c r="I13" s="96">
        <v>5.3323015026824905E-2</v>
      </c>
      <c r="J13" s="96">
        <v>0.15219581099228541</v>
      </c>
    </row>
    <row r="14" spans="1:10" x14ac:dyDescent="0.25">
      <c r="A14" s="95">
        <v>44531</v>
      </c>
      <c r="B14" s="83">
        <v>4305.2</v>
      </c>
      <c r="C14" s="83">
        <v>4085.9415951033984</v>
      </c>
      <c r="D14" s="83">
        <v>3951.0157699999995</v>
      </c>
      <c r="E14" s="83">
        <v>6360.9475495421848</v>
      </c>
      <c r="F14" s="83">
        <v>11428.74093</v>
      </c>
      <c r="G14" s="83">
        <v>12038.155854348079</v>
      </c>
      <c r="H14" s="96">
        <v>0.26533625521339599</v>
      </c>
      <c r="I14" s="96">
        <v>5.3323015026824905E-2</v>
      </c>
      <c r="J14" s="96">
        <v>0.14224508296701832</v>
      </c>
    </row>
    <row r="15" spans="1:10" x14ac:dyDescent="0.25">
      <c r="A15" s="95">
        <v>44562</v>
      </c>
      <c r="B15" s="83">
        <v>4419.7</v>
      </c>
      <c r="C15" s="83">
        <v>4194.6102545476379</v>
      </c>
      <c r="D15" s="83">
        <v>3865.3102799999997</v>
      </c>
      <c r="E15" s="83">
        <v>6222.9657852735472</v>
      </c>
      <c r="F15" s="83">
        <v>11180.828519999999</v>
      </c>
      <c r="G15" s="83">
        <v>11777.024007184313</v>
      </c>
      <c r="H15" s="96">
        <v>0.2574004965291592</v>
      </c>
      <c r="I15" s="96">
        <v>5.3323015026824905E-2</v>
      </c>
      <c r="J15" s="96">
        <v>0.14018205303362019</v>
      </c>
    </row>
    <row r="16" spans="1:10" x14ac:dyDescent="0.25">
      <c r="A16" s="95">
        <v>44593</v>
      </c>
      <c r="B16" s="83">
        <v>4442.5999999999995</v>
      </c>
      <c r="C16" s="83">
        <v>4216.3439864364855</v>
      </c>
      <c r="D16" s="83">
        <v>4712.1185800000003</v>
      </c>
      <c r="E16" s="83">
        <v>7586.2868891062926</v>
      </c>
      <c r="F16" s="83">
        <v>13630.313220000002</v>
      </c>
      <c r="G16" s="83">
        <v>14357.122616650391</v>
      </c>
      <c r="H16" s="96">
        <v>0.28924016313593515</v>
      </c>
      <c r="I16" s="96">
        <v>5.3323015026824905E-2</v>
      </c>
      <c r="J16" s="96">
        <v>0.14811134440431917</v>
      </c>
    </row>
    <row r="17" spans="1:10" x14ac:dyDescent="0.25">
      <c r="A17" s="95">
        <v>44621</v>
      </c>
      <c r="B17" s="83">
        <v>4557.0999999999995</v>
      </c>
      <c r="C17" s="83">
        <v>4325.0126458807244</v>
      </c>
      <c r="D17" s="83">
        <v>5412.1077399999995</v>
      </c>
      <c r="E17" s="83">
        <v>8713.23615765049</v>
      </c>
      <c r="F17" s="83">
        <v>15655.10766</v>
      </c>
      <c r="G17" s="83">
        <v>16489.885201000743</v>
      </c>
      <c r="H17" s="96">
        <v>0.30785205239701585</v>
      </c>
      <c r="I17" s="96">
        <v>5.3323015026825127E-2</v>
      </c>
      <c r="J17" s="96">
        <v>0.15234821081432526</v>
      </c>
    </row>
    <row r="18" spans="1:10" x14ac:dyDescent="0.25">
      <c r="A18" s="95">
        <v>44652</v>
      </c>
      <c r="B18" s="83">
        <v>4465.5</v>
      </c>
      <c r="C18" s="83">
        <v>4238.0777183253331</v>
      </c>
      <c r="D18" s="83">
        <v>5217.7882899999995</v>
      </c>
      <c r="E18" s="83">
        <v>8400.3910815332965</v>
      </c>
      <c r="F18" s="83">
        <v>15093.017610000001</v>
      </c>
      <c r="G18" s="83">
        <v>15897.822814818162</v>
      </c>
      <c r="H18" s="96">
        <v>0.30518357208371727</v>
      </c>
      <c r="I18" s="96">
        <v>5.3323015026824905E-2</v>
      </c>
      <c r="J18" s="96">
        <v>0.15175731724707164</v>
      </c>
    </row>
    <row r="19" spans="1:10" x14ac:dyDescent="0.25">
      <c r="A19" s="95">
        <v>44682</v>
      </c>
      <c r="B19" s="83">
        <v>4442.5999999999995</v>
      </c>
      <c r="C19" s="83">
        <v>4216.3439864364855</v>
      </c>
      <c r="D19" s="83">
        <v>5261.9950499999995</v>
      </c>
      <c r="E19" s="83">
        <v>8471.5618634447019</v>
      </c>
      <c r="F19" s="83">
        <v>15220.890449999999</v>
      </c>
      <c r="G19" s="83">
        <v>16032.514220187006</v>
      </c>
      <c r="H19" s="96">
        <v>0.30741218819647576</v>
      </c>
      <c r="I19" s="96">
        <v>5.3323015026824905E-2</v>
      </c>
      <c r="J19" s="96">
        <v>0.1522511796236905</v>
      </c>
    </row>
    <row r="20" spans="1:10" x14ac:dyDescent="0.25">
      <c r="A20" s="95">
        <v>44713</v>
      </c>
      <c r="B20" s="83">
        <v>4419.7</v>
      </c>
      <c r="C20" s="83">
        <v>4194.6102545476379</v>
      </c>
      <c r="D20" s="83">
        <v>5312.2033899999997</v>
      </c>
      <c r="E20" s="83">
        <v>8552.3949038275259</v>
      </c>
      <c r="F20" s="83">
        <v>15366.123510000001</v>
      </c>
      <c r="G20" s="83">
        <v>16185.491544827779</v>
      </c>
      <c r="H20" s="96">
        <v>0.30981624534757768</v>
      </c>
      <c r="I20" s="96">
        <v>5.3323015026824905E-2</v>
      </c>
      <c r="J20" s="96">
        <v>0.15277973119085875</v>
      </c>
    </row>
    <row r="21" spans="1:10" x14ac:dyDescent="0.25">
      <c r="A21" s="95">
        <v>44743</v>
      </c>
      <c r="B21" s="83">
        <v>4419.7</v>
      </c>
      <c r="C21" s="83">
        <v>4194.6102545476379</v>
      </c>
      <c r="D21" s="83">
        <v>5312.2033899999997</v>
      </c>
      <c r="E21" s="83">
        <v>8552.3949038275259</v>
      </c>
      <c r="F21" s="83">
        <v>15366.123510000001</v>
      </c>
      <c r="G21" s="83">
        <v>16185.491544827779</v>
      </c>
      <c r="H21" s="96">
        <v>0.30981624534757768</v>
      </c>
      <c r="I21" s="96">
        <v>5.3323015026824905E-2</v>
      </c>
      <c r="J21" s="96">
        <v>0.15277973119085875</v>
      </c>
    </row>
    <row r="22" spans="1:10" x14ac:dyDescent="0.25">
      <c r="A22" s="94" t="s">
        <v>37</v>
      </c>
      <c r="B22" s="83">
        <v>96460.34</v>
      </c>
      <c r="C22" s="83">
        <v>91611.28778783686</v>
      </c>
      <c r="D22" s="83">
        <v>6324.0551399999995</v>
      </c>
      <c r="E22" s="83">
        <v>10181.428115624218</v>
      </c>
      <c r="F22" s="83">
        <v>31048.267979999997</v>
      </c>
      <c r="G22" s="83">
        <v>31342.567001354593</v>
      </c>
      <c r="H22" s="96">
        <v>-9.6481497525784388E-3</v>
      </c>
      <c r="I22" s="96">
        <v>9.4787580918900272E-3</v>
      </c>
      <c r="J22" s="96">
        <v>-5.2108371672989762E-3</v>
      </c>
    </row>
    <row r="23" spans="1:10" x14ac:dyDescent="0.25">
      <c r="A23" s="95">
        <v>44409</v>
      </c>
      <c r="B23" s="83">
        <v>8087.92</v>
      </c>
      <c r="C23" s="83">
        <v>7681.3410229012425</v>
      </c>
      <c r="D23" s="83">
        <v>586.69103999999993</v>
      </c>
      <c r="E23" s="83">
        <v>944.54468179112234</v>
      </c>
      <c r="F23" s="83">
        <v>2880.3892799999999</v>
      </c>
      <c r="G23" s="83">
        <v>2907.6917931955936</v>
      </c>
      <c r="H23" s="96">
        <v>-5.6170051986141889E-3</v>
      </c>
      <c r="I23" s="96">
        <v>9.4787580918902492E-3</v>
      </c>
      <c r="J23" s="96">
        <v>-1.8539871500445892E-3</v>
      </c>
    </row>
    <row r="24" spans="1:10" x14ac:dyDescent="0.25">
      <c r="A24" s="95">
        <v>44440</v>
      </c>
      <c r="B24" s="83">
        <v>7731.0999999999995</v>
      </c>
      <c r="C24" s="83">
        <v>7342.458330714423</v>
      </c>
      <c r="D24" s="83">
        <v>523.30849999999998</v>
      </c>
      <c r="E24" s="83">
        <v>842.50180573933699</v>
      </c>
      <c r="F24" s="83">
        <v>2569.2094999999999</v>
      </c>
      <c r="G24" s="83">
        <v>2593.5624153378858</v>
      </c>
      <c r="H24" s="96">
        <v>-8.413487598322722E-3</v>
      </c>
      <c r="I24" s="96">
        <v>9.4787580918900272E-3</v>
      </c>
      <c r="J24" s="96">
        <v>-4.166393179097061E-3</v>
      </c>
    </row>
    <row r="25" spans="1:10" x14ac:dyDescent="0.25">
      <c r="A25" s="95">
        <v>44470</v>
      </c>
      <c r="B25" s="83">
        <v>8028.45</v>
      </c>
      <c r="C25" s="83">
        <v>7624.8605742034397</v>
      </c>
      <c r="D25" s="83">
        <v>523.16211999999996</v>
      </c>
      <c r="E25" s="83">
        <v>842.2661408985706</v>
      </c>
      <c r="F25" s="83">
        <v>2568.4908399999999</v>
      </c>
      <c r="G25" s="83">
        <v>2592.8369433335956</v>
      </c>
      <c r="H25" s="96">
        <v>-9.8794711116982903E-3</v>
      </c>
      <c r="I25" s="96">
        <v>9.4787580918900272E-3</v>
      </c>
      <c r="J25" s="96">
        <v>-5.4081604982183507E-3</v>
      </c>
    </row>
    <row r="26" spans="1:10" x14ac:dyDescent="0.25">
      <c r="A26" s="95">
        <v>44501</v>
      </c>
      <c r="B26" s="83">
        <v>7731.0999999999995</v>
      </c>
      <c r="C26" s="83">
        <v>7342.458330714423</v>
      </c>
      <c r="D26" s="83">
        <v>507.79221999999999</v>
      </c>
      <c r="E26" s="83">
        <v>817.52133261811457</v>
      </c>
      <c r="F26" s="83">
        <v>2493.0315399999999</v>
      </c>
      <c r="G26" s="83">
        <v>2516.6623828831121</v>
      </c>
      <c r="H26" s="96">
        <v>-9.5780542529614321E-3</v>
      </c>
      <c r="I26" s="96">
        <v>9.4787580918900272E-3</v>
      </c>
      <c r="J26" s="96">
        <v>-5.1511467114960796E-3</v>
      </c>
    </row>
    <row r="27" spans="1:10" x14ac:dyDescent="0.25">
      <c r="A27" s="95">
        <v>44531</v>
      </c>
      <c r="B27" s="83">
        <v>7968.98</v>
      </c>
      <c r="C27" s="83">
        <v>7568.380125505636</v>
      </c>
      <c r="D27" s="83">
        <v>432.40652</v>
      </c>
      <c r="E27" s="83">
        <v>696.15393962349685</v>
      </c>
      <c r="F27" s="83">
        <v>2122.92164</v>
      </c>
      <c r="G27" s="83">
        <v>2143.0443006735986</v>
      </c>
      <c r="H27" s="96">
        <v>-1.628927017523607E-2</v>
      </c>
      <c r="I27" s="96">
        <v>9.4787580918900272E-3</v>
      </c>
      <c r="J27" s="96">
        <v>-1.1091445862534299E-2</v>
      </c>
    </row>
    <row r="28" spans="1:10" x14ac:dyDescent="0.25">
      <c r="A28" s="95">
        <v>44562</v>
      </c>
      <c r="B28" s="83">
        <v>7909.51</v>
      </c>
      <c r="C28" s="83">
        <v>7511.8996768078332</v>
      </c>
      <c r="D28" s="83">
        <v>427.28321999999997</v>
      </c>
      <c r="E28" s="83">
        <v>687.90567019667822</v>
      </c>
      <c r="F28" s="83">
        <v>2097.76854</v>
      </c>
      <c r="G28" s="83">
        <v>2117.6527805234373</v>
      </c>
      <c r="H28" s="96">
        <v>-1.6431722531734971E-2</v>
      </c>
      <c r="I28" s="96">
        <v>9.4787580918900272E-3</v>
      </c>
      <c r="J28" s="96">
        <v>-1.1222668969286143E-2</v>
      </c>
    </row>
    <row r="29" spans="1:10" x14ac:dyDescent="0.25">
      <c r="A29" s="95">
        <v>44593</v>
      </c>
      <c r="B29" s="83">
        <v>8087.92</v>
      </c>
      <c r="C29" s="83">
        <v>7681.3410229012425</v>
      </c>
      <c r="D29" s="83">
        <v>530.18835999999999</v>
      </c>
      <c r="E29" s="83">
        <v>853.5780532553506</v>
      </c>
      <c r="F29" s="83">
        <v>2602.9865199999999</v>
      </c>
      <c r="G29" s="83">
        <v>2627.6595995395305</v>
      </c>
      <c r="H29" s="96">
        <v>-9.6528472802129839E-3</v>
      </c>
      <c r="I29" s="96">
        <v>9.4787580918900272E-3</v>
      </c>
      <c r="J29" s="96">
        <v>-5.2148390981144876E-3</v>
      </c>
    </row>
    <row r="30" spans="1:10" x14ac:dyDescent="0.25">
      <c r="A30" s="95">
        <v>44621</v>
      </c>
      <c r="B30" s="83">
        <v>8325.7999999999993</v>
      </c>
      <c r="C30" s="83">
        <v>7907.2628176924554</v>
      </c>
      <c r="D30" s="83">
        <v>602.42688999999996</v>
      </c>
      <c r="E30" s="83">
        <v>969.87865217349395</v>
      </c>
      <c r="F30" s="83">
        <v>2957.6452299999996</v>
      </c>
      <c r="G30" s="83">
        <v>2985.6800336568026</v>
      </c>
      <c r="H30" s="96">
        <v>-5.7217878491940821E-3</v>
      </c>
      <c r="I30" s="96">
        <v>9.4787580918902492E-3</v>
      </c>
      <c r="J30" s="96">
        <v>-1.9393289987076345E-3</v>
      </c>
    </row>
    <row r="31" spans="1:10" x14ac:dyDescent="0.25">
      <c r="A31" s="95">
        <v>44652</v>
      </c>
      <c r="B31" s="83">
        <v>8206.86</v>
      </c>
      <c r="C31" s="83">
        <v>7794.3019202968489</v>
      </c>
      <c r="D31" s="83">
        <v>500.47321999999997</v>
      </c>
      <c r="E31" s="83">
        <v>805.73809057980225</v>
      </c>
      <c r="F31" s="83">
        <v>2457.09854</v>
      </c>
      <c r="G31" s="83">
        <v>2480.3887826685964</v>
      </c>
      <c r="H31" s="96">
        <v>-1.232216643287587E-2</v>
      </c>
      <c r="I31" s="96">
        <v>9.4787580918900272E-3</v>
      </c>
      <c r="J31" s="96">
        <v>-7.5241596044069992E-3</v>
      </c>
    </row>
    <row r="32" spans="1:10" x14ac:dyDescent="0.25">
      <c r="A32" s="95">
        <v>44682</v>
      </c>
      <c r="B32" s="83">
        <v>8206.86</v>
      </c>
      <c r="C32" s="83">
        <v>7794.3019202968489</v>
      </c>
      <c r="D32" s="83">
        <v>577.39590999999996</v>
      </c>
      <c r="E32" s="83">
        <v>929.57996440246563</v>
      </c>
      <c r="F32" s="83">
        <v>2834.7543700000001</v>
      </c>
      <c r="G32" s="83">
        <v>2861.6243209231584</v>
      </c>
      <c r="H32" s="96">
        <v>-6.8729811516483608E-3</v>
      </c>
      <c r="I32" s="96">
        <v>9.4787580918900272E-3</v>
      </c>
      <c r="J32" s="96">
        <v>-2.883556651567698E-3</v>
      </c>
    </row>
    <row r="33" spans="1:10" x14ac:dyDescent="0.25">
      <c r="A33" s="95">
        <v>44713</v>
      </c>
      <c r="B33" s="83">
        <v>8087.92</v>
      </c>
      <c r="C33" s="83">
        <v>7681.3410229012425</v>
      </c>
      <c r="D33" s="83">
        <v>556.46357</v>
      </c>
      <c r="E33" s="83">
        <v>895.87989217289214</v>
      </c>
      <c r="F33" s="83">
        <v>2731.9859899999997</v>
      </c>
      <c r="G33" s="83">
        <v>2757.881824309643</v>
      </c>
      <c r="H33" s="96">
        <v>-7.7695135092050727E-3</v>
      </c>
      <c r="I33" s="96">
        <v>9.4787580918902492E-3</v>
      </c>
      <c r="J33" s="96">
        <v>-3.6274156178363048E-3</v>
      </c>
    </row>
    <row r="34" spans="1:10" x14ac:dyDescent="0.25">
      <c r="A34" s="95">
        <v>44743</v>
      </c>
      <c r="B34" s="83">
        <v>8087.92</v>
      </c>
      <c r="C34" s="83">
        <v>7681.3410229012425</v>
      </c>
      <c r="D34" s="83">
        <v>556.46357</v>
      </c>
      <c r="E34" s="83">
        <v>895.87989217289214</v>
      </c>
      <c r="F34" s="83">
        <v>2731.9859899999997</v>
      </c>
      <c r="G34" s="83">
        <v>2757.881824309643</v>
      </c>
      <c r="H34" s="96">
        <v>-7.7695135092050727E-3</v>
      </c>
      <c r="I34" s="96">
        <v>9.4787580918902492E-3</v>
      </c>
      <c r="J34" s="96">
        <v>-3.6274156178363048E-3</v>
      </c>
    </row>
    <row r="35" spans="1:10" x14ac:dyDescent="0.25">
      <c r="A35" s="89" t="s">
        <v>57</v>
      </c>
      <c r="B35" s="83">
        <v>378700.63999999978</v>
      </c>
      <c r="C35" s="83">
        <v>359440.22362476157</v>
      </c>
      <c r="D35" s="83">
        <v>818036.87186000007</v>
      </c>
      <c r="E35" s="83">
        <v>1317000.472385617</v>
      </c>
      <c r="F35" s="83">
        <v>0</v>
      </c>
      <c r="G35" s="83">
        <v>0</v>
      </c>
      <c r="H35" s="96">
        <v>0.40084243988041424</v>
      </c>
      <c r="I35" s="96">
        <v>0</v>
      </c>
      <c r="J35" s="96">
        <v>0.40084243988041424</v>
      </c>
    </row>
    <row r="36" spans="1:10" x14ac:dyDescent="0.25">
      <c r="A36" s="90" t="s">
        <v>34</v>
      </c>
      <c r="B36" s="83">
        <v>378700.63999999978</v>
      </c>
      <c r="C36" s="83">
        <v>359440.22362476157</v>
      </c>
      <c r="D36" s="83">
        <v>818036.87186000007</v>
      </c>
      <c r="E36" s="83">
        <v>1317000.472385617</v>
      </c>
      <c r="F36" s="83">
        <v>0</v>
      </c>
      <c r="G36" s="83">
        <v>0</v>
      </c>
      <c r="H36" s="96">
        <v>0.40084243988041424</v>
      </c>
      <c r="I36" s="96">
        <v>0</v>
      </c>
      <c r="J36" s="96">
        <v>0.40084243988041424</v>
      </c>
    </row>
    <row r="37" spans="1:10" x14ac:dyDescent="0.25">
      <c r="A37" s="91" t="s">
        <v>25</v>
      </c>
      <c r="B37" s="83">
        <v>378700.63999999978</v>
      </c>
      <c r="C37" s="83">
        <v>359440.22362476157</v>
      </c>
      <c r="D37" s="83">
        <v>818036.87186000007</v>
      </c>
      <c r="E37" s="83">
        <v>1317000.472385617</v>
      </c>
      <c r="F37" s="83">
        <v>0</v>
      </c>
      <c r="G37" s="83">
        <v>0</v>
      </c>
      <c r="H37" s="96">
        <v>0.40084243988041424</v>
      </c>
      <c r="I37" s="96">
        <v>0</v>
      </c>
      <c r="J37" s="96">
        <v>0.40084243988041424</v>
      </c>
    </row>
    <row r="38" spans="1:10" x14ac:dyDescent="0.25">
      <c r="A38" s="92" t="s">
        <v>56</v>
      </c>
      <c r="B38" s="83">
        <v>378700.63999999978</v>
      </c>
      <c r="C38" s="83">
        <v>359440.22362476157</v>
      </c>
      <c r="D38" s="83">
        <v>818036.87186000007</v>
      </c>
      <c r="E38" s="83">
        <v>1317000.472385617</v>
      </c>
      <c r="F38" s="83">
        <v>0</v>
      </c>
      <c r="G38" s="83">
        <v>0</v>
      </c>
      <c r="H38" s="96">
        <v>0.40084243988041424</v>
      </c>
      <c r="I38" s="96">
        <v>0</v>
      </c>
      <c r="J38" s="96">
        <v>0.40084243988041424</v>
      </c>
    </row>
    <row r="39" spans="1:10" x14ac:dyDescent="0.25">
      <c r="A39" s="93" t="s">
        <v>25</v>
      </c>
      <c r="B39" s="83">
        <v>378700.63999999978</v>
      </c>
      <c r="C39" s="83">
        <v>359440.22362476157</v>
      </c>
      <c r="D39" s="83">
        <v>818036.87186000007</v>
      </c>
      <c r="E39" s="83">
        <v>1317000.472385617</v>
      </c>
      <c r="F39" s="83">
        <v>0</v>
      </c>
      <c r="G39" s="83">
        <v>0</v>
      </c>
      <c r="H39" s="96">
        <v>0.40084243988041424</v>
      </c>
      <c r="I39" s="96">
        <v>0</v>
      </c>
      <c r="J39" s="96">
        <v>0.40084243988041424</v>
      </c>
    </row>
    <row r="40" spans="1:10" x14ac:dyDescent="0.25">
      <c r="A40" s="94" t="s">
        <v>38</v>
      </c>
      <c r="B40" s="83">
        <v>338736.8</v>
      </c>
      <c r="C40" s="83">
        <v>321485.36209983751</v>
      </c>
      <c r="D40" s="83">
        <v>0</v>
      </c>
      <c r="E40" s="83">
        <v>0</v>
      </c>
      <c r="F40" s="83">
        <v>0</v>
      </c>
      <c r="G40" s="83">
        <v>0</v>
      </c>
      <c r="H40" s="96">
        <v>-5.0928738478259405E-2</v>
      </c>
      <c r="I40" s="96">
        <v>0</v>
      </c>
      <c r="J40" s="96">
        <v>-5.0928738478259405E-2</v>
      </c>
    </row>
    <row r="41" spans="1:10" x14ac:dyDescent="0.25">
      <c r="A41" s="95">
        <v>44409</v>
      </c>
      <c r="B41" s="83">
        <v>28785.3</v>
      </c>
      <c r="C41" s="83">
        <v>27319.300984281763</v>
      </c>
      <c r="D41" s="83">
        <v>0</v>
      </c>
      <c r="E41" s="83">
        <v>0</v>
      </c>
      <c r="F41" s="83">
        <v>0</v>
      </c>
      <c r="G41" s="83">
        <v>0</v>
      </c>
      <c r="H41" s="96">
        <v>-5.0928738478259294E-2</v>
      </c>
      <c r="I41" s="96">
        <v>0</v>
      </c>
      <c r="J41" s="96">
        <v>-5.0928738478259294E-2</v>
      </c>
    </row>
    <row r="42" spans="1:10" x14ac:dyDescent="0.25">
      <c r="A42" s="95">
        <v>44440</v>
      </c>
      <c r="B42" s="83">
        <v>27846.399999999998</v>
      </c>
      <c r="C42" s="83">
        <v>26428.217976839001</v>
      </c>
      <c r="D42" s="83">
        <v>0</v>
      </c>
      <c r="E42" s="83">
        <v>0</v>
      </c>
      <c r="F42" s="83">
        <v>0</v>
      </c>
      <c r="G42" s="83">
        <v>0</v>
      </c>
      <c r="H42" s="96">
        <v>-5.0928738478259183E-2</v>
      </c>
      <c r="I42" s="96">
        <v>0</v>
      </c>
      <c r="J42" s="96">
        <v>-5.0928738478259183E-2</v>
      </c>
    </row>
    <row r="43" spans="1:10" x14ac:dyDescent="0.25">
      <c r="A43" s="95">
        <v>44470</v>
      </c>
      <c r="B43" s="83">
        <v>28625</v>
      </c>
      <c r="C43" s="83">
        <v>27167.164861059828</v>
      </c>
      <c r="D43" s="83">
        <v>0</v>
      </c>
      <c r="E43" s="83">
        <v>0</v>
      </c>
      <c r="F43" s="83">
        <v>0</v>
      </c>
      <c r="G43" s="83">
        <v>0</v>
      </c>
      <c r="H43" s="96">
        <v>-5.0928738478259294E-2</v>
      </c>
      <c r="I43" s="96">
        <v>0</v>
      </c>
      <c r="J43" s="96">
        <v>-5.0928738478259294E-2</v>
      </c>
    </row>
    <row r="44" spans="1:10" x14ac:dyDescent="0.25">
      <c r="A44" s="95">
        <v>44501</v>
      </c>
      <c r="B44" s="83">
        <v>30033.35</v>
      </c>
      <c r="C44" s="83">
        <v>28503.789372223971</v>
      </c>
      <c r="D44" s="83">
        <v>0</v>
      </c>
      <c r="E44" s="83">
        <v>0</v>
      </c>
      <c r="F44" s="83">
        <v>0</v>
      </c>
      <c r="G44" s="83">
        <v>0</v>
      </c>
      <c r="H44" s="96">
        <v>-5.0928738478259294E-2</v>
      </c>
      <c r="I44" s="96">
        <v>0</v>
      </c>
      <c r="J44" s="96">
        <v>-5.0928738478259294E-2</v>
      </c>
    </row>
    <row r="45" spans="1:10" x14ac:dyDescent="0.25">
      <c r="A45" s="95">
        <v>44531</v>
      </c>
      <c r="B45" s="83">
        <v>29002.85</v>
      </c>
      <c r="C45" s="83">
        <v>27525.77143722582</v>
      </c>
      <c r="D45" s="83">
        <v>0</v>
      </c>
      <c r="E45" s="83">
        <v>0</v>
      </c>
      <c r="F45" s="83">
        <v>0</v>
      </c>
      <c r="G45" s="83">
        <v>0</v>
      </c>
      <c r="H45" s="96">
        <v>-5.0928738478259183E-2</v>
      </c>
      <c r="I45" s="96">
        <v>0</v>
      </c>
      <c r="J45" s="96">
        <v>-5.0928738478259183E-2</v>
      </c>
    </row>
    <row r="46" spans="1:10" x14ac:dyDescent="0.25">
      <c r="A46" s="95">
        <v>44562</v>
      </c>
      <c r="B46" s="83">
        <v>28625</v>
      </c>
      <c r="C46" s="83">
        <v>27167.164861059828</v>
      </c>
      <c r="D46" s="83">
        <v>0</v>
      </c>
      <c r="E46" s="83">
        <v>0</v>
      </c>
      <c r="F46" s="83">
        <v>0</v>
      </c>
      <c r="G46" s="83">
        <v>0</v>
      </c>
      <c r="H46" s="96">
        <v>-5.0928738478259294E-2</v>
      </c>
      <c r="I46" s="96">
        <v>0</v>
      </c>
      <c r="J46" s="96">
        <v>-5.0928738478259294E-2</v>
      </c>
    </row>
    <row r="47" spans="1:10" x14ac:dyDescent="0.25">
      <c r="A47" s="95">
        <v>44593</v>
      </c>
      <c r="B47" s="83">
        <v>28625</v>
      </c>
      <c r="C47" s="83">
        <v>27167.164861059828</v>
      </c>
      <c r="D47" s="83">
        <v>0</v>
      </c>
      <c r="E47" s="83">
        <v>0</v>
      </c>
      <c r="F47" s="83">
        <v>0</v>
      </c>
      <c r="G47" s="83">
        <v>0</v>
      </c>
      <c r="H47" s="96">
        <v>-5.0928738478259294E-2</v>
      </c>
      <c r="I47" s="96">
        <v>0</v>
      </c>
      <c r="J47" s="96">
        <v>-5.0928738478259294E-2</v>
      </c>
    </row>
    <row r="48" spans="1:10" x14ac:dyDescent="0.25">
      <c r="A48" s="95">
        <v>44621</v>
      </c>
      <c r="B48" s="83">
        <v>23598.449999999997</v>
      </c>
      <c r="C48" s="83">
        <v>22396.610711457724</v>
      </c>
      <c r="D48" s="83">
        <v>0</v>
      </c>
      <c r="E48" s="83">
        <v>0</v>
      </c>
      <c r="F48" s="83">
        <v>0</v>
      </c>
      <c r="G48" s="83">
        <v>0</v>
      </c>
      <c r="H48" s="96">
        <v>-5.0928738478259072E-2</v>
      </c>
      <c r="I48" s="96">
        <v>0</v>
      </c>
      <c r="J48" s="96">
        <v>-5.0928738478259072E-2</v>
      </c>
    </row>
    <row r="49" spans="1:10" x14ac:dyDescent="0.25">
      <c r="A49" s="95">
        <v>44652</v>
      </c>
      <c r="B49" s="83">
        <v>27720.449999999997</v>
      </c>
      <c r="C49" s="83">
        <v>26308.682451450339</v>
      </c>
      <c r="D49" s="83">
        <v>0</v>
      </c>
      <c r="E49" s="83">
        <v>0</v>
      </c>
      <c r="F49" s="83">
        <v>0</v>
      </c>
      <c r="G49" s="83">
        <v>0</v>
      </c>
      <c r="H49" s="96">
        <v>-5.0928738478259183E-2</v>
      </c>
      <c r="I49" s="96">
        <v>0</v>
      </c>
      <c r="J49" s="96">
        <v>-5.0928738478259183E-2</v>
      </c>
    </row>
    <row r="50" spans="1:10" x14ac:dyDescent="0.25">
      <c r="A50" s="95">
        <v>44682</v>
      </c>
      <c r="B50" s="83">
        <v>28625</v>
      </c>
      <c r="C50" s="83">
        <v>27167.164861059828</v>
      </c>
      <c r="D50" s="83">
        <v>0</v>
      </c>
      <c r="E50" s="83">
        <v>0</v>
      </c>
      <c r="F50" s="83">
        <v>0</v>
      </c>
      <c r="G50" s="83">
        <v>0</v>
      </c>
      <c r="H50" s="96">
        <v>-5.0928738478259294E-2</v>
      </c>
      <c r="I50" s="96">
        <v>0</v>
      </c>
      <c r="J50" s="96">
        <v>-5.0928738478259294E-2</v>
      </c>
    </row>
    <row r="51" spans="1:10" x14ac:dyDescent="0.25">
      <c r="A51" s="95">
        <v>44713</v>
      </c>
      <c r="B51" s="83">
        <v>28625</v>
      </c>
      <c r="C51" s="83">
        <v>27167.164861059828</v>
      </c>
      <c r="D51" s="83">
        <v>0</v>
      </c>
      <c r="E51" s="83">
        <v>0</v>
      </c>
      <c r="F51" s="83">
        <v>0</v>
      </c>
      <c r="G51" s="83">
        <v>0</v>
      </c>
      <c r="H51" s="96">
        <v>-5.0928738478259294E-2</v>
      </c>
      <c r="I51" s="96">
        <v>0</v>
      </c>
      <c r="J51" s="96">
        <v>-5.0928738478259294E-2</v>
      </c>
    </row>
    <row r="52" spans="1:10" x14ac:dyDescent="0.25">
      <c r="A52" s="95">
        <v>44743</v>
      </c>
      <c r="B52" s="83">
        <v>28625</v>
      </c>
      <c r="C52" s="83">
        <v>27167.164861059828</v>
      </c>
      <c r="D52" s="83">
        <v>0</v>
      </c>
      <c r="E52" s="83">
        <v>0</v>
      </c>
      <c r="F52" s="83">
        <v>0</v>
      </c>
      <c r="G52" s="83">
        <v>0</v>
      </c>
      <c r="H52" s="96">
        <v>-5.0928738478259294E-2</v>
      </c>
      <c r="I52" s="96">
        <v>0</v>
      </c>
      <c r="J52" s="96">
        <v>-5.0928738478259294E-2</v>
      </c>
    </row>
    <row r="53" spans="1:10" x14ac:dyDescent="0.25">
      <c r="A53" s="94" t="s">
        <v>25</v>
      </c>
      <c r="B53" s="83">
        <v>0</v>
      </c>
      <c r="C53" s="83">
        <v>0</v>
      </c>
      <c r="D53" s="83">
        <v>818036.87186000007</v>
      </c>
      <c r="E53" s="83">
        <v>1317000.472385617</v>
      </c>
      <c r="F53" s="83">
        <v>0</v>
      </c>
      <c r="G53" s="83">
        <v>0</v>
      </c>
      <c r="H53" s="96">
        <v>0.60995245775548645</v>
      </c>
      <c r="I53" s="96">
        <v>0</v>
      </c>
      <c r="J53" s="96">
        <v>0.60995245775548645</v>
      </c>
    </row>
    <row r="54" spans="1:10" x14ac:dyDescent="0.25">
      <c r="A54" s="95">
        <v>44409</v>
      </c>
      <c r="B54" s="83">
        <v>0</v>
      </c>
      <c r="C54" s="83">
        <v>0</v>
      </c>
      <c r="D54" s="83">
        <v>76689.653040000005</v>
      </c>
      <c r="E54" s="83">
        <v>123466.69539616352</v>
      </c>
      <c r="F54" s="83">
        <v>0</v>
      </c>
      <c r="G54" s="83">
        <v>0</v>
      </c>
      <c r="H54" s="96">
        <v>0.60995245775548645</v>
      </c>
      <c r="I54" s="96">
        <v>0</v>
      </c>
      <c r="J54" s="96">
        <v>0.60995245775548645</v>
      </c>
    </row>
    <row r="55" spans="1:10" x14ac:dyDescent="0.25">
      <c r="A55" s="95">
        <v>44440</v>
      </c>
      <c r="B55" s="83">
        <v>0</v>
      </c>
      <c r="C55" s="83">
        <v>0</v>
      </c>
      <c r="D55" s="83">
        <v>80731.13165000001</v>
      </c>
      <c r="E55" s="83">
        <v>129973.28381729923</v>
      </c>
      <c r="F55" s="83">
        <v>0</v>
      </c>
      <c r="G55" s="83">
        <v>0</v>
      </c>
      <c r="H55" s="96">
        <v>0.60995245775548623</v>
      </c>
      <c r="I55" s="96">
        <v>0</v>
      </c>
      <c r="J55" s="96">
        <v>0.60995245775548623</v>
      </c>
    </row>
    <row r="56" spans="1:10" x14ac:dyDescent="0.25">
      <c r="A56" s="95">
        <v>44470</v>
      </c>
      <c r="B56" s="83">
        <v>0</v>
      </c>
      <c r="C56" s="83">
        <v>0</v>
      </c>
      <c r="D56" s="83">
        <v>60987.324059999999</v>
      </c>
      <c r="E56" s="83">
        <v>98186.692262327313</v>
      </c>
      <c r="F56" s="83">
        <v>0</v>
      </c>
      <c r="G56" s="83">
        <v>0</v>
      </c>
      <c r="H56" s="96">
        <v>0.60995245775548645</v>
      </c>
      <c r="I56" s="96">
        <v>0</v>
      </c>
      <c r="J56" s="96">
        <v>0.60995245775548645</v>
      </c>
    </row>
    <row r="57" spans="1:10" x14ac:dyDescent="0.25">
      <c r="A57" s="95">
        <v>44501</v>
      </c>
      <c r="B57" s="83">
        <v>0</v>
      </c>
      <c r="C57" s="83">
        <v>0</v>
      </c>
      <c r="D57" s="83">
        <v>83647.972719999991</v>
      </c>
      <c r="E57" s="83">
        <v>134669.25926682787</v>
      </c>
      <c r="F57" s="83">
        <v>0</v>
      </c>
      <c r="G57" s="83">
        <v>0</v>
      </c>
      <c r="H57" s="96">
        <v>0.60995245775548645</v>
      </c>
      <c r="I57" s="96">
        <v>0</v>
      </c>
      <c r="J57" s="96">
        <v>0.60995245775548645</v>
      </c>
    </row>
    <row r="58" spans="1:10" x14ac:dyDescent="0.25">
      <c r="A58" s="95">
        <v>44531</v>
      </c>
      <c r="B58" s="83">
        <v>0</v>
      </c>
      <c r="C58" s="83">
        <v>0</v>
      </c>
      <c r="D58" s="83">
        <v>70834.453039999993</v>
      </c>
      <c r="E58" s="83">
        <v>114040.10176551358</v>
      </c>
      <c r="F58" s="83">
        <v>0</v>
      </c>
      <c r="G58" s="83">
        <v>0</v>
      </c>
      <c r="H58" s="96">
        <v>0.60995245775548645</v>
      </c>
      <c r="I58" s="96">
        <v>0</v>
      </c>
      <c r="J58" s="96">
        <v>0.60995245775548645</v>
      </c>
    </row>
    <row r="59" spans="1:10" x14ac:dyDescent="0.25">
      <c r="A59" s="95">
        <v>44562</v>
      </c>
      <c r="B59" s="83">
        <v>0</v>
      </c>
      <c r="C59" s="83">
        <v>0</v>
      </c>
      <c r="D59" s="83">
        <v>60677.803549999997</v>
      </c>
      <c r="E59" s="83">
        <v>97688.378956527071</v>
      </c>
      <c r="F59" s="83">
        <v>0</v>
      </c>
      <c r="G59" s="83">
        <v>0</v>
      </c>
      <c r="H59" s="96">
        <v>0.60995245775548645</v>
      </c>
      <c r="I59" s="96">
        <v>0</v>
      </c>
      <c r="J59" s="96">
        <v>0.60995245775548645</v>
      </c>
    </row>
    <row r="60" spans="1:10" x14ac:dyDescent="0.25">
      <c r="A60" s="95">
        <v>44593</v>
      </c>
      <c r="B60" s="83">
        <v>0</v>
      </c>
      <c r="C60" s="83">
        <v>0</v>
      </c>
      <c r="D60" s="83">
        <v>56374.011979999996</v>
      </c>
      <c r="E60" s="83">
        <v>90759.479140738229</v>
      </c>
      <c r="F60" s="83">
        <v>0</v>
      </c>
      <c r="G60" s="83">
        <v>0</v>
      </c>
      <c r="H60" s="96">
        <v>0.60995245775548645</v>
      </c>
      <c r="I60" s="96">
        <v>0</v>
      </c>
      <c r="J60" s="96">
        <v>0.60995245775548645</v>
      </c>
    </row>
    <row r="61" spans="1:10" x14ac:dyDescent="0.25">
      <c r="A61" s="95">
        <v>44621</v>
      </c>
      <c r="B61" s="83">
        <v>0</v>
      </c>
      <c r="C61" s="83">
        <v>0</v>
      </c>
      <c r="D61" s="83">
        <v>57845.570119999997</v>
      </c>
      <c r="E61" s="83">
        <v>93128.617784961316</v>
      </c>
      <c r="F61" s="83">
        <v>0</v>
      </c>
      <c r="G61" s="83">
        <v>0</v>
      </c>
      <c r="H61" s="96">
        <v>0.60995245775548623</v>
      </c>
      <c r="I61" s="96">
        <v>0</v>
      </c>
      <c r="J61" s="96">
        <v>0.60995245775548623</v>
      </c>
    </row>
    <row r="62" spans="1:10" x14ac:dyDescent="0.25">
      <c r="A62" s="95">
        <v>44652</v>
      </c>
      <c r="B62" s="83">
        <v>0</v>
      </c>
      <c r="C62" s="83">
        <v>0</v>
      </c>
      <c r="D62" s="83">
        <v>69209.195900000006</v>
      </c>
      <c r="E62" s="83">
        <v>111423.51503848593</v>
      </c>
      <c r="F62" s="83">
        <v>0</v>
      </c>
      <c r="G62" s="83">
        <v>0</v>
      </c>
      <c r="H62" s="96">
        <v>0.60995245775548623</v>
      </c>
      <c r="I62" s="96">
        <v>0</v>
      </c>
      <c r="J62" s="96">
        <v>0.60995245775548623</v>
      </c>
    </row>
    <row r="63" spans="1:10" x14ac:dyDescent="0.25">
      <c r="A63" s="95">
        <v>44682</v>
      </c>
      <c r="B63" s="83">
        <v>0</v>
      </c>
      <c r="C63" s="83">
        <v>0</v>
      </c>
      <c r="D63" s="83">
        <v>78312.275340000007</v>
      </c>
      <c r="E63" s="83">
        <v>126079.04015605738</v>
      </c>
      <c r="F63" s="83">
        <v>0</v>
      </c>
      <c r="G63" s="83">
        <v>0</v>
      </c>
      <c r="H63" s="96">
        <v>0.60995245775548645</v>
      </c>
      <c r="I63" s="96">
        <v>0</v>
      </c>
      <c r="J63" s="96">
        <v>0.60995245775548645</v>
      </c>
    </row>
    <row r="64" spans="1:10" x14ac:dyDescent="0.25">
      <c r="A64" s="95">
        <v>44713</v>
      </c>
      <c r="B64" s="83">
        <v>0</v>
      </c>
      <c r="C64" s="83">
        <v>0</v>
      </c>
      <c r="D64" s="83">
        <v>61363.740230000003</v>
      </c>
      <c r="E64" s="83">
        <v>98792.704400357718</v>
      </c>
      <c r="F64" s="83">
        <v>0</v>
      </c>
      <c r="G64" s="83">
        <v>0</v>
      </c>
      <c r="H64" s="96">
        <v>0.60995245775548623</v>
      </c>
      <c r="I64" s="96">
        <v>0</v>
      </c>
      <c r="J64" s="96">
        <v>0.60995245775548623</v>
      </c>
    </row>
    <row r="65" spans="1:10" x14ac:dyDescent="0.25">
      <c r="A65" s="95">
        <v>44743</v>
      </c>
      <c r="B65" s="83">
        <v>0</v>
      </c>
      <c r="C65" s="83">
        <v>0</v>
      </c>
      <c r="D65" s="83">
        <v>61363.740230000003</v>
      </c>
      <c r="E65" s="83">
        <v>98792.704400357718</v>
      </c>
      <c r="F65" s="83">
        <v>0</v>
      </c>
      <c r="G65" s="83">
        <v>0</v>
      </c>
      <c r="H65" s="96">
        <v>0.60995245775548623</v>
      </c>
      <c r="I65" s="96">
        <v>0</v>
      </c>
      <c r="J65" s="96">
        <v>0.60995245775548623</v>
      </c>
    </row>
    <row r="66" spans="1:10" x14ac:dyDescent="0.25">
      <c r="A66" s="94" t="s">
        <v>37</v>
      </c>
      <c r="B66" s="83">
        <v>39963.839999999989</v>
      </c>
      <c r="C66" s="83">
        <v>37954.861524923792</v>
      </c>
      <c r="D66" s="83">
        <v>0</v>
      </c>
      <c r="E66" s="83">
        <v>0</v>
      </c>
      <c r="F66" s="83">
        <v>0</v>
      </c>
      <c r="G66" s="83">
        <v>0</v>
      </c>
      <c r="H66" s="96">
        <v>-5.0269905871813014E-2</v>
      </c>
      <c r="I66" s="96">
        <v>0</v>
      </c>
      <c r="J66" s="96">
        <v>-5.0269905871813014E-2</v>
      </c>
    </row>
    <row r="67" spans="1:10" x14ac:dyDescent="0.25">
      <c r="A67" s="95">
        <v>44409</v>
      </c>
      <c r="B67" s="83">
        <v>3597.9349999999999</v>
      </c>
      <c r="C67" s="83">
        <v>3417.0671462170967</v>
      </c>
      <c r="D67" s="83">
        <v>0</v>
      </c>
      <c r="E67" s="83">
        <v>0</v>
      </c>
      <c r="F67" s="83">
        <v>0</v>
      </c>
      <c r="G67" s="83">
        <v>0</v>
      </c>
      <c r="H67" s="96">
        <v>-5.0269905871813458E-2</v>
      </c>
      <c r="I67" s="96">
        <v>0</v>
      </c>
      <c r="J67" s="96">
        <v>-5.0269905871813458E-2</v>
      </c>
    </row>
    <row r="68" spans="1:10" x14ac:dyDescent="0.25">
      <c r="A68" s="95">
        <v>44440</v>
      </c>
      <c r="B68" s="83">
        <v>3657.4049999999997</v>
      </c>
      <c r="C68" s="83">
        <v>3473.5475949148999</v>
      </c>
      <c r="D68" s="83">
        <v>0</v>
      </c>
      <c r="E68" s="83">
        <v>0</v>
      </c>
      <c r="F68" s="83">
        <v>0</v>
      </c>
      <c r="G68" s="83">
        <v>0</v>
      </c>
      <c r="H68" s="96">
        <v>-5.0269905871813458E-2</v>
      </c>
      <c r="I68" s="96">
        <v>0</v>
      </c>
      <c r="J68" s="96">
        <v>-5.0269905871813458E-2</v>
      </c>
    </row>
    <row r="69" spans="1:10" x14ac:dyDescent="0.25">
      <c r="A69" s="95">
        <v>44470</v>
      </c>
      <c r="B69" s="83">
        <v>3270.85</v>
      </c>
      <c r="C69" s="83">
        <v>3106.4246783791791</v>
      </c>
      <c r="D69" s="83">
        <v>0</v>
      </c>
      <c r="E69" s="83">
        <v>0</v>
      </c>
      <c r="F69" s="83">
        <v>0</v>
      </c>
      <c r="G69" s="83">
        <v>0</v>
      </c>
      <c r="H69" s="96">
        <v>-5.0269905871813347E-2</v>
      </c>
      <c r="I69" s="96">
        <v>0</v>
      </c>
      <c r="J69" s="96">
        <v>-5.0269905871813347E-2</v>
      </c>
    </row>
    <row r="70" spans="1:10" x14ac:dyDescent="0.25">
      <c r="A70" s="95">
        <v>44501</v>
      </c>
      <c r="B70" s="83">
        <v>3270.85</v>
      </c>
      <c r="C70" s="83">
        <v>3106.4246783791791</v>
      </c>
      <c r="D70" s="83">
        <v>0</v>
      </c>
      <c r="E70" s="83">
        <v>0</v>
      </c>
      <c r="F70" s="83">
        <v>0</v>
      </c>
      <c r="G70" s="83">
        <v>0</v>
      </c>
      <c r="H70" s="96">
        <v>-5.0269905871813347E-2</v>
      </c>
      <c r="I70" s="96">
        <v>0</v>
      </c>
      <c r="J70" s="96">
        <v>-5.0269905871813347E-2</v>
      </c>
    </row>
    <row r="71" spans="1:10" x14ac:dyDescent="0.25">
      <c r="A71" s="95">
        <v>44531</v>
      </c>
      <c r="B71" s="83">
        <v>3270.85</v>
      </c>
      <c r="C71" s="83">
        <v>3106.4246783791791</v>
      </c>
      <c r="D71" s="83">
        <v>0</v>
      </c>
      <c r="E71" s="83">
        <v>0</v>
      </c>
      <c r="F71" s="83">
        <v>0</v>
      </c>
      <c r="G71" s="83">
        <v>0</v>
      </c>
      <c r="H71" s="96">
        <v>-5.0269905871813347E-2</v>
      </c>
      <c r="I71" s="96">
        <v>0</v>
      </c>
      <c r="J71" s="96">
        <v>-5.0269905871813347E-2</v>
      </c>
    </row>
    <row r="72" spans="1:10" x14ac:dyDescent="0.25">
      <c r="A72" s="95">
        <v>44562</v>
      </c>
      <c r="B72" s="83">
        <v>3270.85</v>
      </c>
      <c r="C72" s="83">
        <v>3106.4246783791791</v>
      </c>
      <c r="D72" s="83">
        <v>0</v>
      </c>
      <c r="E72" s="83">
        <v>0</v>
      </c>
      <c r="F72" s="83">
        <v>0</v>
      </c>
      <c r="G72" s="83">
        <v>0</v>
      </c>
      <c r="H72" s="96">
        <v>-5.0269905871813347E-2</v>
      </c>
      <c r="I72" s="96">
        <v>0</v>
      </c>
      <c r="J72" s="96">
        <v>-5.0269905871813347E-2</v>
      </c>
    </row>
    <row r="73" spans="1:10" x14ac:dyDescent="0.25">
      <c r="A73" s="95">
        <v>44593</v>
      </c>
      <c r="B73" s="83">
        <v>3270.85</v>
      </c>
      <c r="C73" s="83">
        <v>3106.4246783791791</v>
      </c>
      <c r="D73" s="83">
        <v>0</v>
      </c>
      <c r="E73" s="83">
        <v>0</v>
      </c>
      <c r="F73" s="83">
        <v>0</v>
      </c>
      <c r="G73" s="83">
        <v>0</v>
      </c>
      <c r="H73" s="96">
        <v>-5.0269905871813347E-2</v>
      </c>
      <c r="I73" s="96">
        <v>0</v>
      </c>
      <c r="J73" s="96">
        <v>-5.0269905871813347E-2</v>
      </c>
    </row>
    <row r="74" spans="1:10" x14ac:dyDescent="0.25">
      <c r="A74" s="95">
        <v>44621</v>
      </c>
      <c r="B74" s="83">
        <v>3270.85</v>
      </c>
      <c r="C74" s="83">
        <v>3106.4246783791791</v>
      </c>
      <c r="D74" s="83">
        <v>0</v>
      </c>
      <c r="E74" s="83">
        <v>0</v>
      </c>
      <c r="F74" s="83">
        <v>0</v>
      </c>
      <c r="G74" s="83">
        <v>0</v>
      </c>
      <c r="H74" s="96">
        <v>-5.0269905871813347E-2</v>
      </c>
      <c r="I74" s="96">
        <v>0</v>
      </c>
      <c r="J74" s="96">
        <v>-5.0269905871813347E-2</v>
      </c>
    </row>
    <row r="75" spans="1:10" x14ac:dyDescent="0.25">
      <c r="A75" s="95">
        <v>44652</v>
      </c>
      <c r="B75" s="83">
        <v>3270.85</v>
      </c>
      <c r="C75" s="83">
        <v>3106.4246783791791</v>
      </c>
      <c r="D75" s="83">
        <v>0</v>
      </c>
      <c r="E75" s="83">
        <v>0</v>
      </c>
      <c r="F75" s="83">
        <v>0</v>
      </c>
      <c r="G75" s="83">
        <v>0</v>
      </c>
      <c r="H75" s="96">
        <v>-5.0269905871813347E-2</v>
      </c>
      <c r="I75" s="96">
        <v>0</v>
      </c>
      <c r="J75" s="96">
        <v>-5.0269905871813347E-2</v>
      </c>
    </row>
    <row r="76" spans="1:10" x14ac:dyDescent="0.25">
      <c r="A76" s="95">
        <v>44682</v>
      </c>
      <c r="B76" s="83">
        <v>3270.85</v>
      </c>
      <c r="C76" s="83">
        <v>3106.4246783791791</v>
      </c>
      <c r="D76" s="83">
        <v>0</v>
      </c>
      <c r="E76" s="83">
        <v>0</v>
      </c>
      <c r="F76" s="83">
        <v>0</v>
      </c>
      <c r="G76" s="83">
        <v>0</v>
      </c>
      <c r="H76" s="96">
        <v>-5.0269905871813347E-2</v>
      </c>
      <c r="I76" s="96">
        <v>0</v>
      </c>
      <c r="J76" s="96">
        <v>-5.0269905871813347E-2</v>
      </c>
    </row>
    <row r="77" spans="1:10" x14ac:dyDescent="0.25">
      <c r="A77" s="95">
        <v>44713</v>
      </c>
      <c r="B77" s="83">
        <v>3270.85</v>
      </c>
      <c r="C77" s="83">
        <v>3106.4246783791791</v>
      </c>
      <c r="D77" s="83">
        <v>0</v>
      </c>
      <c r="E77" s="83">
        <v>0</v>
      </c>
      <c r="F77" s="83">
        <v>0</v>
      </c>
      <c r="G77" s="83">
        <v>0</v>
      </c>
      <c r="H77" s="96">
        <v>-5.0269905871813347E-2</v>
      </c>
      <c r="I77" s="96">
        <v>0</v>
      </c>
      <c r="J77" s="96">
        <v>-5.0269905871813347E-2</v>
      </c>
    </row>
    <row r="78" spans="1:10" x14ac:dyDescent="0.25">
      <c r="A78" s="95">
        <v>44743</v>
      </c>
      <c r="B78" s="83">
        <v>3270.85</v>
      </c>
      <c r="C78" s="83">
        <v>3106.4246783791791</v>
      </c>
      <c r="D78" s="83">
        <v>0</v>
      </c>
      <c r="E78" s="83">
        <v>0</v>
      </c>
      <c r="F78" s="83">
        <v>0</v>
      </c>
      <c r="G78" s="83">
        <v>0</v>
      </c>
      <c r="H78" s="96">
        <v>-5.0269905871813347E-2</v>
      </c>
      <c r="I78" s="96">
        <v>0</v>
      </c>
      <c r="J78" s="96">
        <v>-5.0269905871813347E-2</v>
      </c>
    </row>
    <row r="79" spans="1:10" x14ac:dyDescent="0.25">
      <c r="A79" s="88" t="s">
        <v>39</v>
      </c>
      <c r="B79" s="83">
        <v>8219800.5692700045</v>
      </c>
      <c r="C79" s="83">
        <v>7791345.4594516009</v>
      </c>
      <c r="D79" s="83">
        <v>15494022.789831435</v>
      </c>
      <c r="E79" s="83">
        <v>20197889.567550924</v>
      </c>
      <c r="F79" s="83">
        <v>17435503.782822803</v>
      </c>
      <c r="G79" s="83">
        <v>18322925.10817761</v>
      </c>
      <c r="H79" s="96">
        <v>0.18029195896241546</v>
      </c>
      <c r="I79" s="96">
        <v>5.0897372190018109E-2</v>
      </c>
      <c r="J79" s="96">
        <v>0.12546579377711953</v>
      </c>
    </row>
    <row r="80" spans="1:10" x14ac:dyDescent="0.25">
      <c r="A80" s="89" t="s">
        <v>26</v>
      </c>
      <c r="B80" s="83">
        <v>6839507.2760000033</v>
      </c>
      <c r="C80" s="83">
        <v>6481348.7623378439</v>
      </c>
      <c r="D80" s="83">
        <v>11139932.136837196</v>
      </c>
      <c r="E80" s="83">
        <v>14443512.556728495</v>
      </c>
      <c r="F80" s="83">
        <v>17435503.782822803</v>
      </c>
      <c r="G80" s="83">
        <v>18322925.10817761</v>
      </c>
      <c r="H80" s="96">
        <v>0.16382167644927415</v>
      </c>
      <c r="I80" s="96">
        <v>5.0897372190018109E-2</v>
      </c>
      <c r="J80" s="96">
        <v>0.10822672255630361</v>
      </c>
    </row>
    <row r="81" spans="1:10" x14ac:dyDescent="0.25">
      <c r="A81" s="90" t="s">
        <v>40</v>
      </c>
      <c r="B81" s="83">
        <v>2542220.6</v>
      </c>
      <c r="C81" s="83">
        <v>2412748.5119085568</v>
      </c>
      <c r="D81" s="83">
        <v>4625717.9488200005</v>
      </c>
      <c r="E81" s="83">
        <v>5846883.970375197</v>
      </c>
      <c r="F81" s="83">
        <v>6601956.6189800017</v>
      </c>
      <c r="G81" s="83">
        <v>6927523.0528619448</v>
      </c>
      <c r="H81" s="96">
        <v>0.15230235667177583</v>
      </c>
      <c r="I81" s="96">
        <v>4.9313628166833379E-2</v>
      </c>
      <c r="J81" s="96">
        <v>0.10292455752748708</v>
      </c>
    </row>
    <row r="82" spans="1:10" x14ac:dyDescent="0.25">
      <c r="A82" s="91" t="s">
        <v>25</v>
      </c>
      <c r="B82" s="83">
        <v>2542220.6</v>
      </c>
      <c r="C82" s="83">
        <v>2412748.5119085568</v>
      </c>
      <c r="D82" s="83">
        <v>4625717.9488200005</v>
      </c>
      <c r="E82" s="83">
        <v>5846883.970375197</v>
      </c>
      <c r="F82" s="83">
        <v>6601956.6189800017</v>
      </c>
      <c r="G82" s="83">
        <v>6927523.0528619448</v>
      </c>
      <c r="H82" s="96">
        <v>0.15230235667177583</v>
      </c>
      <c r="I82" s="96">
        <v>4.9313628166833379E-2</v>
      </c>
      <c r="J82" s="96">
        <v>0.10292455752748708</v>
      </c>
    </row>
    <row r="83" spans="1:10" x14ac:dyDescent="0.25">
      <c r="A83" s="92" t="s">
        <v>25</v>
      </c>
      <c r="B83" s="83">
        <v>2542220.6</v>
      </c>
      <c r="C83" s="83">
        <v>2412748.5119085568</v>
      </c>
      <c r="D83" s="83">
        <v>4625717.9488200005</v>
      </c>
      <c r="E83" s="83">
        <v>5846883.970375197</v>
      </c>
      <c r="F83" s="83">
        <v>6601956.6189800017</v>
      </c>
      <c r="G83" s="83">
        <v>6927523.0528619448</v>
      </c>
      <c r="H83" s="96">
        <v>0.15230235667177583</v>
      </c>
      <c r="I83" s="96">
        <v>4.9313628166833379E-2</v>
      </c>
      <c r="J83" s="96">
        <v>0.10292455752748708</v>
      </c>
    </row>
    <row r="84" spans="1:10" x14ac:dyDescent="0.25">
      <c r="A84" s="93" t="s">
        <v>25</v>
      </c>
      <c r="B84" s="83">
        <v>2542220.6</v>
      </c>
      <c r="C84" s="83">
        <v>2412748.5119085568</v>
      </c>
      <c r="D84" s="83">
        <v>4625717.9488200005</v>
      </c>
      <c r="E84" s="83">
        <v>5846883.970375197</v>
      </c>
      <c r="F84" s="83">
        <v>6601956.6189800017</v>
      </c>
      <c r="G84" s="83">
        <v>6927523.0528619448</v>
      </c>
      <c r="H84" s="96">
        <v>0.15230235667177583</v>
      </c>
      <c r="I84" s="96">
        <v>4.9313628166833379E-2</v>
      </c>
      <c r="J84" s="96">
        <v>0.10292455752748708</v>
      </c>
    </row>
    <row r="85" spans="1:10" x14ac:dyDescent="0.25">
      <c r="A85" s="94" t="s">
        <v>38</v>
      </c>
      <c r="B85" s="83">
        <v>0</v>
      </c>
      <c r="C85" s="83">
        <v>0</v>
      </c>
      <c r="D85" s="83">
        <v>2073641.7689</v>
      </c>
      <c r="E85" s="83">
        <v>3338464.6623449889</v>
      </c>
      <c r="F85" s="83">
        <v>5998233.3501000013</v>
      </c>
      <c r="G85" s="83">
        <v>6318077.2371617863</v>
      </c>
      <c r="H85" s="96">
        <v>0.60995245775548668</v>
      </c>
      <c r="I85" s="96">
        <v>5.3323015026825349E-2</v>
      </c>
      <c r="J85" s="96">
        <v>0.19631953630906729</v>
      </c>
    </row>
    <row r="86" spans="1:10" x14ac:dyDescent="0.25">
      <c r="A86" s="95">
        <v>44409</v>
      </c>
      <c r="B86" s="83">
        <v>0</v>
      </c>
      <c r="C86" s="83">
        <v>0</v>
      </c>
      <c r="D86" s="83">
        <v>148954.23868000001</v>
      </c>
      <c r="E86" s="83">
        <v>239809.24265596335</v>
      </c>
      <c r="F86" s="83">
        <v>430866.26412000001</v>
      </c>
      <c r="G86" s="83">
        <v>453841.3523962227</v>
      </c>
      <c r="H86" s="96">
        <v>0.60995245775548645</v>
      </c>
      <c r="I86" s="96">
        <v>5.3323015026824905E-2</v>
      </c>
      <c r="J86" s="96">
        <v>0.19631953630906684</v>
      </c>
    </row>
    <row r="87" spans="1:10" x14ac:dyDescent="0.25">
      <c r="A87" s="95">
        <v>44440</v>
      </c>
      <c r="B87" s="83">
        <v>0</v>
      </c>
      <c r="C87" s="83">
        <v>0</v>
      </c>
      <c r="D87" s="83">
        <v>161831.87279999998</v>
      </c>
      <c r="E87" s="83">
        <v>260541.62135753324</v>
      </c>
      <c r="F87" s="83">
        <v>468116.21519999998</v>
      </c>
      <c r="G87" s="83">
        <v>493077.58317741001</v>
      </c>
      <c r="H87" s="96">
        <v>0.60995245775548645</v>
      </c>
      <c r="I87" s="96">
        <v>5.3323015026824905E-2</v>
      </c>
      <c r="J87" s="96">
        <v>0.19631953630906684</v>
      </c>
    </row>
    <row r="88" spans="1:10" x14ac:dyDescent="0.25">
      <c r="A88" s="95">
        <v>44470</v>
      </c>
      <c r="B88" s="83">
        <v>0</v>
      </c>
      <c r="C88" s="83">
        <v>0</v>
      </c>
      <c r="D88" s="83">
        <v>157010.55473999999</v>
      </c>
      <c r="E88" s="83">
        <v>252779.52849721533</v>
      </c>
      <c r="F88" s="83">
        <v>454170.03066000005</v>
      </c>
      <c r="G88" s="83">
        <v>478387.74602961674</v>
      </c>
      <c r="H88" s="96">
        <v>0.60995245775548645</v>
      </c>
      <c r="I88" s="96">
        <v>5.3323015026824905E-2</v>
      </c>
      <c r="J88" s="96">
        <v>0.19631953630906684</v>
      </c>
    </row>
    <row r="89" spans="1:10" x14ac:dyDescent="0.25">
      <c r="A89" s="95">
        <v>44501</v>
      </c>
      <c r="B89" s="83">
        <v>0</v>
      </c>
      <c r="C89" s="83">
        <v>0</v>
      </c>
      <c r="D89" s="83">
        <v>179279.85647</v>
      </c>
      <c r="E89" s="83">
        <v>288632.04554992734</v>
      </c>
      <c r="F89" s="83">
        <v>518586.39723</v>
      </c>
      <c r="G89" s="83">
        <v>546238.98748220224</v>
      </c>
      <c r="H89" s="96">
        <v>0.60995245775548645</v>
      </c>
      <c r="I89" s="96">
        <v>5.3323015026824905E-2</v>
      </c>
      <c r="J89" s="96">
        <v>0.19631953630906662</v>
      </c>
    </row>
    <row r="90" spans="1:10" x14ac:dyDescent="0.25">
      <c r="A90" s="95">
        <v>44531</v>
      </c>
      <c r="B90" s="83">
        <v>0</v>
      </c>
      <c r="C90" s="83">
        <v>0</v>
      </c>
      <c r="D90" s="83">
        <v>204267.72756</v>
      </c>
      <c r="E90" s="83">
        <v>328861.33002535009</v>
      </c>
      <c r="F90" s="83">
        <v>590866.52003999997</v>
      </c>
      <c r="G90" s="83">
        <v>622373.30436694075</v>
      </c>
      <c r="H90" s="96">
        <v>0.60995245775548645</v>
      </c>
      <c r="I90" s="96">
        <v>5.3323015026825127E-2</v>
      </c>
      <c r="J90" s="96">
        <v>0.19631953630906707</v>
      </c>
    </row>
    <row r="91" spans="1:10" x14ac:dyDescent="0.25">
      <c r="A91" s="95">
        <v>44562</v>
      </c>
      <c r="B91" s="83">
        <v>0</v>
      </c>
      <c r="C91" s="83">
        <v>0</v>
      </c>
      <c r="D91" s="83">
        <v>202789.36275</v>
      </c>
      <c r="E91" s="83">
        <v>326481.23296603141</v>
      </c>
      <c r="F91" s="83">
        <v>586590.18975000002</v>
      </c>
      <c r="G91" s="83">
        <v>617868.94725262735</v>
      </c>
      <c r="H91" s="96">
        <v>0.60995245775548645</v>
      </c>
      <c r="I91" s="96">
        <v>5.3323015026824905E-2</v>
      </c>
      <c r="J91" s="96">
        <v>0.19631953630906684</v>
      </c>
    </row>
    <row r="92" spans="1:10" x14ac:dyDescent="0.25">
      <c r="A92" s="95">
        <v>44593</v>
      </c>
      <c r="B92" s="83">
        <v>0</v>
      </c>
      <c r="C92" s="83">
        <v>0</v>
      </c>
      <c r="D92" s="83">
        <v>194850.29707</v>
      </c>
      <c r="E92" s="83">
        <v>313699.71466223313</v>
      </c>
      <c r="F92" s="83">
        <v>563625.58263000008</v>
      </c>
      <c r="G92" s="83">
        <v>593679.79804208246</v>
      </c>
      <c r="H92" s="96">
        <v>0.60995245775548623</v>
      </c>
      <c r="I92" s="96">
        <v>5.3323015026824905E-2</v>
      </c>
      <c r="J92" s="96">
        <v>0.19631953630906684</v>
      </c>
    </row>
    <row r="93" spans="1:10" x14ac:dyDescent="0.25">
      <c r="A93" s="95">
        <v>44621</v>
      </c>
      <c r="B93" s="83">
        <v>0</v>
      </c>
      <c r="C93" s="83">
        <v>0</v>
      </c>
      <c r="D93" s="83">
        <v>206670.40887999997</v>
      </c>
      <c r="E93" s="83">
        <v>332729.53272168728</v>
      </c>
      <c r="F93" s="83">
        <v>597816.53591999994</v>
      </c>
      <c r="G93" s="83">
        <v>629693.91604814655</v>
      </c>
      <c r="H93" s="96">
        <v>0.60995245775548645</v>
      </c>
      <c r="I93" s="96">
        <v>5.3323015026824905E-2</v>
      </c>
      <c r="J93" s="96">
        <v>0.19631953630906707</v>
      </c>
    </row>
    <row r="94" spans="1:10" x14ac:dyDescent="0.25">
      <c r="A94" s="95">
        <v>44652</v>
      </c>
      <c r="B94" s="83">
        <v>0</v>
      </c>
      <c r="C94" s="83">
        <v>0</v>
      </c>
      <c r="D94" s="83">
        <v>167428.63891000001</v>
      </c>
      <c r="E94" s="83">
        <v>269552.14871181035</v>
      </c>
      <c r="F94" s="83">
        <v>484305.46719</v>
      </c>
      <c r="G94" s="83">
        <v>510130.09489454585</v>
      </c>
      <c r="H94" s="96">
        <v>0.60995245775548623</v>
      </c>
      <c r="I94" s="96">
        <v>5.3323015026824905E-2</v>
      </c>
      <c r="J94" s="96">
        <v>0.19631953630906684</v>
      </c>
    </row>
    <row r="95" spans="1:10" x14ac:dyDescent="0.25">
      <c r="A95" s="95">
        <v>44682</v>
      </c>
      <c r="B95" s="83">
        <v>0</v>
      </c>
      <c r="C95" s="83">
        <v>0</v>
      </c>
      <c r="D95" s="83">
        <v>155937.73572000003</v>
      </c>
      <c r="E95" s="83">
        <v>251052.34087923952</v>
      </c>
      <c r="F95" s="83">
        <v>451066.78548000008</v>
      </c>
      <c r="G95" s="83">
        <v>475119.02646025171</v>
      </c>
      <c r="H95" s="96">
        <v>0.60995245775548623</v>
      </c>
      <c r="I95" s="96">
        <v>5.3323015026824905E-2</v>
      </c>
      <c r="J95" s="96">
        <v>0.19631953630906684</v>
      </c>
    </row>
    <row r="96" spans="1:10" x14ac:dyDescent="0.25">
      <c r="A96" s="95">
        <v>44713</v>
      </c>
      <c r="B96" s="83">
        <v>0</v>
      </c>
      <c r="C96" s="83">
        <v>0</v>
      </c>
      <c r="D96" s="83">
        <v>147310.53766</v>
      </c>
      <c r="E96" s="83">
        <v>237162.96215899911</v>
      </c>
      <c r="F96" s="83">
        <v>426111.68094000005</v>
      </c>
      <c r="G96" s="83">
        <v>448833.24050586927</v>
      </c>
      <c r="H96" s="96">
        <v>0.60995245775548623</v>
      </c>
      <c r="I96" s="96">
        <v>5.3323015026824905E-2</v>
      </c>
      <c r="J96" s="96">
        <v>0.19631953630906684</v>
      </c>
    </row>
    <row r="97" spans="1:10" x14ac:dyDescent="0.25">
      <c r="A97" s="95">
        <v>44743</v>
      </c>
      <c r="B97" s="83">
        <v>0</v>
      </c>
      <c r="C97" s="83">
        <v>0</v>
      </c>
      <c r="D97" s="83">
        <v>147310.53766</v>
      </c>
      <c r="E97" s="83">
        <v>237162.96215899911</v>
      </c>
      <c r="F97" s="83">
        <v>426111.68094000005</v>
      </c>
      <c r="G97" s="83">
        <v>448833.24050586927</v>
      </c>
      <c r="H97" s="96">
        <v>0.60995245775548623</v>
      </c>
      <c r="I97" s="96">
        <v>5.3323015026824905E-2</v>
      </c>
      <c r="J97" s="96">
        <v>0.19631953630906684</v>
      </c>
    </row>
    <row r="98" spans="1:10" x14ac:dyDescent="0.25">
      <c r="A98" s="94" t="s">
        <v>25</v>
      </c>
      <c r="B98" s="83">
        <v>2542220.6</v>
      </c>
      <c r="C98" s="83">
        <v>2412748.5119085568</v>
      </c>
      <c r="D98" s="83">
        <v>0</v>
      </c>
      <c r="E98" s="83">
        <v>0</v>
      </c>
      <c r="F98" s="83">
        <v>0</v>
      </c>
      <c r="G98" s="83">
        <v>0</v>
      </c>
      <c r="H98" s="96">
        <v>-5.0928738478259072E-2</v>
      </c>
      <c r="I98" s="96">
        <v>0</v>
      </c>
      <c r="J98" s="96">
        <v>-5.0928738478259072E-2</v>
      </c>
    </row>
    <row r="99" spans="1:10" x14ac:dyDescent="0.25">
      <c r="A99" s="95">
        <v>44409</v>
      </c>
      <c r="B99" s="83">
        <v>191283.69999999998</v>
      </c>
      <c r="C99" s="83">
        <v>181541.86246754619</v>
      </c>
      <c r="D99" s="83">
        <v>0</v>
      </c>
      <c r="E99" s="83">
        <v>0</v>
      </c>
      <c r="F99" s="83">
        <v>0</v>
      </c>
      <c r="G99" s="83">
        <v>0</v>
      </c>
      <c r="H99" s="96">
        <v>-5.0928738478259183E-2</v>
      </c>
      <c r="I99" s="96">
        <v>0</v>
      </c>
      <c r="J99" s="96">
        <v>-5.0928738478259183E-2</v>
      </c>
    </row>
    <row r="100" spans="1:10" x14ac:dyDescent="0.25">
      <c r="A100" s="95">
        <v>44440</v>
      </c>
      <c r="B100" s="83">
        <v>194672.9</v>
      </c>
      <c r="C100" s="83">
        <v>184758.45478709569</v>
      </c>
      <c r="D100" s="83">
        <v>0</v>
      </c>
      <c r="E100" s="83">
        <v>0</v>
      </c>
      <c r="F100" s="83">
        <v>0</v>
      </c>
      <c r="G100" s="83">
        <v>0</v>
      </c>
      <c r="H100" s="96">
        <v>-5.0928738478259183E-2</v>
      </c>
      <c r="I100" s="96">
        <v>0</v>
      </c>
      <c r="J100" s="96">
        <v>-5.0928738478259183E-2</v>
      </c>
    </row>
    <row r="101" spans="1:10" x14ac:dyDescent="0.25">
      <c r="A101" s="95">
        <v>44470</v>
      </c>
      <c r="B101" s="83">
        <v>208344.19999999998</v>
      </c>
      <c r="C101" s="83">
        <v>197733.49272473785</v>
      </c>
      <c r="D101" s="83">
        <v>0</v>
      </c>
      <c r="E101" s="83">
        <v>0</v>
      </c>
      <c r="F101" s="83">
        <v>0</v>
      </c>
      <c r="G101" s="83">
        <v>0</v>
      </c>
      <c r="H101" s="96">
        <v>-5.0928738478259183E-2</v>
      </c>
      <c r="I101" s="96">
        <v>0</v>
      </c>
      <c r="J101" s="96">
        <v>-5.0928738478259183E-2</v>
      </c>
    </row>
    <row r="102" spans="1:10" x14ac:dyDescent="0.25">
      <c r="A102" s="95">
        <v>44501</v>
      </c>
      <c r="B102" s="83">
        <v>209878.5</v>
      </c>
      <c r="C102" s="83">
        <v>199189.65276129066</v>
      </c>
      <c r="D102" s="83">
        <v>0</v>
      </c>
      <c r="E102" s="83">
        <v>0</v>
      </c>
      <c r="F102" s="83">
        <v>0</v>
      </c>
      <c r="G102" s="83">
        <v>0</v>
      </c>
      <c r="H102" s="96">
        <v>-5.0928738478259294E-2</v>
      </c>
      <c r="I102" s="96">
        <v>0</v>
      </c>
      <c r="J102" s="96">
        <v>-5.0928738478259294E-2</v>
      </c>
    </row>
    <row r="103" spans="1:10" x14ac:dyDescent="0.25">
      <c r="A103" s="95">
        <v>44531</v>
      </c>
      <c r="B103" s="83">
        <v>216221.8</v>
      </c>
      <c r="C103" s="83">
        <v>205209.89649450153</v>
      </c>
      <c r="D103" s="83">
        <v>0</v>
      </c>
      <c r="E103" s="83">
        <v>0</v>
      </c>
      <c r="F103" s="83">
        <v>0</v>
      </c>
      <c r="G103" s="83">
        <v>0</v>
      </c>
      <c r="H103" s="96">
        <v>-5.0928738478259183E-2</v>
      </c>
      <c r="I103" s="96">
        <v>0</v>
      </c>
      <c r="J103" s="96">
        <v>-5.0928738478259183E-2</v>
      </c>
    </row>
    <row r="104" spans="1:10" x14ac:dyDescent="0.25">
      <c r="A104" s="95">
        <v>44562</v>
      </c>
      <c r="B104" s="83">
        <v>216153.09999999998</v>
      </c>
      <c r="C104" s="83">
        <v>205144.69529883499</v>
      </c>
      <c r="D104" s="83">
        <v>0</v>
      </c>
      <c r="E104" s="83">
        <v>0</v>
      </c>
      <c r="F104" s="83">
        <v>0</v>
      </c>
      <c r="G104" s="83">
        <v>0</v>
      </c>
      <c r="H104" s="96">
        <v>-5.0928738478259072E-2</v>
      </c>
      <c r="I104" s="96">
        <v>0</v>
      </c>
      <c r="J104" s="96">
        <v>-5.0928738478259072E-2</v>
      </c>
    </row>
    <row r="105" spans="1:10" x14ac:dyDescent="0.25">
      <c r="A105" s="95">
        <v>44593</v>
      </c>
      <c r="B105" s="83">
        <v>214801.99999999997</v>
      </c>
      <c r="C105" s="83">
        <v>203862.40511739295</v>
      </c>
      <c r="D105" s="83">
        <v>0</v>
      </c>
      <c r="E105" s="83">
        <v>0</v>
      </c>
      <c r="F105" s="83">
        <v>0</v>
      </c>
      <c r="G105" s="83">
        <v>0</v>
      </c>
      <c r="H105" s="96">
        <v>-5.0928738478259183E-2</v>
      </c>
      <c r="I105" s="96">
        <v>0</v>
      </c>
      <c r="J105" s="96">
        <v>-5.0928738478259183E-2</v>
      </c>
    </row>
    <row r="106" spans="1:10" x14ac:dyDescent="0.25">
      <c r="A106" s="95">
        <v>44621</v>
      </c>
      <c r="B106" s="83">
        <v>218695</v>
      </c>
      <c r="C106" s="83">
        <v>207557.13953849711</v>
      </c>
      <c r="D106" s="83">
        <v>0</v>
      </c>
      <c r="E106" s="83">
        <v>0</v>
      </c>
      <c r="F106" s="83">
        <v>0</v>
      </c>
      <c r="G106" s="83">
        <v>0</v>
      </c>
      <c r="H106" s="96">
        <v>-5.0928738478259183E-2</v>
      </c>
      <c r="I106" s="96">
        <v>0</v>
      </c>
      <c r="J106" s="96">
        <v>-5.0928738478259183E-2</v>
      </c>
    </row>
    <row r="107" spans="1:10" x14ac:dyDescent="0.25">
      <c r="A107" s="95">
        <v>44652</v>
      </c>
      <c r="B107" s="83">
        <v>214847.8</v>
      </c>
      <c r="C107" s="83">
        <v>203905.87258117067</v>
      </c>
      <c r="D107" s="83">
        <v>0</v>
      </c>
      <c r="E107" s="83">
        <v>0</v>
      </c>
      <c r="F107" s="83">
        <v>0</v>
      </c>
      <c r="G107" s="83">
        <v>0</v>
      </c>
      <c r="H107" s="96">
        <v>-5.0928738478259072E-2</v>
      </c>
      <c r="I107" s="96">
        <v>0</v>
      </c>
      <c r="J107" s="96">
        <v>-5.0928738478259072E-2</v>
      </c>
    </row>
    <row r="108" spans="1:10" x14ac:dyDescent="0.25">
      <c r="A108" s="95">
        <v>44682</v>
      </c>
      <c r="B108" s="83">
        <v>218878.19999999998</v>
      </c>
      <c r="C108" s="83">
        <v>207731.00939360788</v>
      </c>
      <c r="D108" s="83">
        <v>0</v>
      </c>
      <c r="E108" s="83">
        <v>0</v>
      </c>
      <c r="F108" s="83">
        <v>0</v>
      </c>
      <c r="G108" s="83">
        <v>0</v>
      </c>
      <c r="H108" s="96">
        <v>-5.0928738478259183E-2</v>
      </c>
      <c r="I108" s="96">
        <v>0</v>
      </c>
      <c r="J108" s="96">
        <v>-5.0928738478259183E-2</v>
      </c>
    </row>
    <row r="109" spans="1:10" x14ac:dyDescent="0.25">
      <c r="A109" s="95">
        <v>44713</v>
      </c>
      <c r="B109" s="83">
        <v>219221.69999999998</v>
      </c>
      <c r="C109" s="83">
        <v>208057.01537194059</v>
      </c>
      <c r="D109" s="83">
        <v>0</v>
      </c>
      <c r="E109" s="83">
        <v>0</v>
      </c>
      <c r="F109" s="83">
        <v>0</v>
      </c>
      <c r="G109" s="83">
        <v>0</v>
      </c>
      <c r="H109" s="96">
        <v>-5.0928738478259183E-2</v>
      </c>
      <c r="I109" s="96">
        <v>0</v>
      </c>
      <c r="J109" s="96">
        <v>-5.0928738478259183E-2</v>
      </c>
    </row>
    <row r="110" spans="1:10" x14ac:dyDescent="0.25">
      <c r="A110" s="95">
        <v>44743</v>
      </c>
      <c r="B110" s="83">
        <v>219221.69999999998</v>
      </c>
      <c r="C110" s="83">
        <v>208057.01537194059</v>
      </c>
      <c r="D110" s="83">
        <v>0</v>
      </c>
      <c r="E110" s="83">
        <v>0</v>
      </c>
      <c r="F110" s="83">
        <v>0</v>
      </c>
      <c r="G110" s="83">
        <v>0</v>
      </c>
      <c r="H110" s="96">
        <v>-5.0928738478259183E-2</v>
      </c>
      <c r="I110" s="96">
        <v>0</v>
      </c>
      <c r="J110" s="96">
        <v>-5.0928738478259183E-2</v>
      </c>
    </row>
    <row r="111" spans="1:10" x14ac:dyDescent="0.25">
      <c r="A111" s="94" t="s">
        <v>37</v>
      </c>
      <c r="B111" s="83">
        <v>0</v>
      </c>
      <c r="C111" s="83">
        <v>0</v>
      </c>
      <c r="D111" s="83">
        <v>2552076.1799199996</v>
      </c>
      <c r="E111" s="83">
        <v>2508419.3080302081</v>
      </c>
      <c r="F111" s="83">
        <v>603723.26887999987</v>
      </c>
      <c r="G111" s="83">
        <v>609445.81570015859</v>
      </c>
      <c r="H111" s="96">
        <v>-1.7106414077012522E-2</v>
      </c>
      <c r="I111" s="96">
        <v>9.4787580918902492E-3</v>
      </c>
      <c r="J111" s="96">
        <v>-1.2020511976468584E-2</v>
      </c>
    </row>
    <row r="112" spans="1:10" x14ac:dyDescent="0.25">
      <c r="A112" s="95">
        <v>44409</v>
      </c>
      <c r="B112" s="83">
        <v>0</v>
      </c>
      <c r="C112" s="83">
        <v>0</v>
      </c>
      <c r="D112" s="83">
        <v>168777.31361000001</v>
      </c>
      <c r="E112" s="83">
        <v>165890.13899658155</v>
      </c>
      <c r="F112" s="83">
        <v>39926.23429</v>
      </c>
      <c r="G112" s="83">
        <v>40304.685406355035</v>
      </c>
      <c r="H112" s="96">
        <v>-1.7106414077012522E-2</v>
      </c>
      <c r="I112" s="96">
        <v>9.4787580918900272E-3</v>
      </c>
      <c r="J112" s="96">
        <v>-1.2020511976468473E-2</v>
      </c>
    </row>
    <row r="113" spans="1:10" x14ac:dyDescent="0.25">
      <c r="A113" s="95">
        <v>44440</v>
      </c>
      <c r="B113" s="83">
        <v>0</v>
      </c>
      <c r="C113" s="83">
        <v>0</v>
      </c>
      <c r="D113" s="83">
        <v>210005.19735</v>
      </c>
      <c r="E113" s="83">
        <v>206412.76148580617</v>
      </c>
      <c r="F113" s="83">
        <v>49679.169149999994</v>
      </c>
      <c r="G113" s="83">
        <v>50150.065976578939</v>
      </c>
      <c r="H113" s="96">
        <v>-1.7106414077012522E-2</v>
      </c>
      <c r="I113" s="96">
        <v>9.4787580918902492E-3</v>
      </c>
      <c r="J113" s="96">
        <v>-1.2020511976468473E-2</v>
      </c>
    </row>
    <row r="114" spans="1:10" x14ac:dyDescent="0.25">
      <c r="A114" s="95">
        <v>44470</v>
      </c>
      <c r="B114" s="83">
        <v>0</v>
      </c>
      <c r="C114" s="83">
        <v>0</v>
      </c>
      <c r="D114" s="83">
        <v>207100.92671</v>
      </c>
      <c r="E114" s="83">
        <v>203558.17250196572</v>
      </c>
      <c r="F114" s="83">
        <v>48992.130189999996</v>
      </c>
      <c r="G114" s="83">
        <v>49456.514740477389</v>
      </c>
      <c r="H114" s="96">
        <v>-1.7106414077012522E-2</v>
      </c>
      <c r="I114" s="96">
        <v>9.4787580918900272E-3</v>
      </c>
      <c r="J114" s="96">
        <v>-1.2020511976468584E-2</v>
      </c>
    </row>
    <row r="115" spans="1:10" x14ac:dyDescent="0.25">
      <c r="A115" s="95">
        <v>44501</v>
      </c>
      <c r="B115" s="83">
        <v>0</v>
      </c>
      <c r="C115" s="83">
        <v>0</v>
      </c>
      <c r="D115" s="83">
        <v>253689.25558000003</v>
      </c>
      <c r="E115" s="83">
        <v>249349.54212715951</v>
      </c>
      <c r="F115" s="83">
        <v>60013.140619999998</v>
      </c>
      <c r="G115" s="83">
        <v>60581.990662271564</v>
      </c>
      <c r="H115" s="96">
        <v>-1.7106414077012411E-2</v>
      </c>
      <c r="I115" s="96">
        <v>9.4787580918902492E-3</v>
      </c>
      <c r="J115" s="96">
        <v>-1.2020511976468473E-2</v>
      </c>
    </row>
    <row r="116" spans="1:10" x14ac:dyDescent="0.25">
      <c r="A116" s="95">
        <v>44531</v>
      </c>
      <c r="B116" s="83">
        <v>0</v>
      </c>
      <c r="C116" s="83">
        <v>0</v>
      </c>
      <c r="D116" s="83">
        <v>335119.71831000003</v>
      </c>
      <c r="E116" s="83">
        <v>329387.02164321742</v>
      </c>
      <c r="F116" s="83">
        <v>79276.46259000001</v>
      </c>
      <c r="G116" s="83">
        <v>80027.9050012714</v>
      </c>
      <c r="H116" s="96">
        <v>-1.7106414077012411E-2</v>
      </c>
      <c r="I116" s="96">
        <v>9.4787580918902492E-3</v>
      </c>
      <c r="J116" s="96">
        <v>-1.2020511976468362E-2</v>
      </c>
    </row>
    <row r="117" spans="1:10" x14ac:dyDescent="0.25">
      <c r="A117" s="95">
        <v>44562</v>
      </c>
      <c r="B117" s="83">
        <v>0</v>
      </c>
      <c r="C117" s="83">
        <v>0</v>
      </c>
      <c r="D117" s="83">
        <v>253219.89384999999</v>
      </c>
      <c r="E117" s="83">
        <v>248888.20949326476</v>
      </c>
      <c r="F117" s="83">
        <v>59902.107649999991</v>
      </c>
      <c r="G117" s="83">
        <v>60469.905237608706</v>
      </c>
      <c r="H117" s="96">
        <v>-1.7106414077012411E-2</v>
      </c>
      <c r="I117" s="96">
        <v>9.4787580918902492E-3</v>
      </c>
      <c r="J117" s="96">
        <v>-1.2020511976468473E-2</v>
      </c>
    </row>
    <row r="118" spans="1:10" x14ac:dyDescent="0.25">
      <c r="A118" s="95">
        <v>44593</v>
      </c>
      <c r="B118" s="83">
        <v>0</v>
      </c>
      <c r="C118" s="83">
        <v>0</v>
      </c>
      <c r="D118" s="83">
        <v>211591.00203</v>
      </c>
      <c r="E118" s="83">
        <v>207971.43873430486</v>
      </c>
      <c r="F118" s="83">
        <v>50054.309669999995</v>
      </c>
      <c r="G118" s="83">
        <v>50528.762362818481</v>
      </c>
      <c r="H118" s="96">
        <v>-1.7106414077012411E-2</v>
      </c>
      <c r="I118" s="96">
        <v>9.4787580918900272E-3</v>
      </c>
      <c r="J118" s="96">
        <v>-1.2020511976468473E-2</v>
      </c>
    </row>
    <row r="119" spans="1:10" x14ac:dyDescent="0.25">
      <c r="A119" s="95">
        <v>44621</v>
      </c>
      <c r="B119" s="83">
        <v>0</v>
      </c>
      <c r="C119" s="83">
        <v>0</v>
      </c>
      <c r="D119" s="83">
        <v>253057.36405999999</v>
      </c>
      <c r="E119" s="83">
        <v>248728.46000515233</v>
      </c>
      <c r="F119" s="83">
        <v>59863.659339999991</v>
      </c>
      <c r="G119" s="83">
        <v>60431.092485379173</v>
      </c>
      <c r="H119" s="96">
        <v>-1.7106414077012522E-2</v>
      </c>
      <c r="I119" s="96">
        <v>9.4787580918902492E-3</v>
      </c>
      <c r="J119" s="96">
        <v>-1.2020511976468473E-2</v>
      </c>
    </row>
    <row r="120" spans="1:10" x14ac:dyDescent="0.25">
      <c r="A120" s="95">
        <v>44652</v>
      </c>
      <c r="B120" s="83">
        <v>0</v>
      </c>
      <c r="C120" s="83">
        <v>0</v>
      </c>
      <c r="D120" s="83">
        <v>168663.39086000001</v>
      </c>
      <c r="E120" s="83">
        <v>165778.16505631583</v>
      </c>
      <c r="F120" s="83">
        <v>39899.284539999993</v>
      </c>
      <c r="G120" s="83">
        <v>40277.480206194152</v>
      </c>
      <c r="H120" s="96">
        <v>-1.7106414077012633E-2</v>
      </c>
      <c r="I120" s="96">
        <v>9.4787580918902492E-3</v>
      </c>
      <c r="J120" s="96">
        <v>-1.2020511976468473E-2</v>
      </c>
    </row>
    <row r="121" spans="1:10" x14ac:dyDescent="0.25">
      <c r="A121" s="95">
        <v>44682</v>
      </c>
      <c r="B121" s="83">
        <v>0</v>
      </c>
      <c r="C121" s="83">
        <v>0</v>
      </c>
      <c r="D121" s="83">
        <v>176877.98062000002</v>
      </c>
      <c r="E121" s="83">
        <v>173852.23264240852</v>
      </c>
      <c r="F121" s="83">
        <v>41842.54118</v>
      </c>
      <c r="G121" s="83">
        <v>42239.156505795167</v>
      </c>
      <c r="H121" s="96">
        <v>-1.7106414077012411E-2</v>
      </c>
      <c r="I121" s="96">
        <v>9.4787580918900272E-3</v>
      </c>
      <c r="J121" s="96">
        <v>-1.2020511976468473E-2</v>
      </c>
    </row>
    <row r="122" spans="1:10" x14ac:dyDescent="0.25">
      <c r="A122" s="95">
        <v>44713</v>
      </c>
      <c r="B122" s="83">
        <v>0</v>
      </c>
      <c r="C122" s="83">
        <v>0</v>
      </c>
      <c r="D122" s="83">
        <v>156987.06847</v>
      </c>
      <c r="E122" s="83">
        <v>154301.58267201588</v>
      </c>
      <c r="F122" s="83">
        <v>37137.114830000006</v>
      </c>
      <c r="G122" s="83">
        <v>37489.128557704316</v>
      </c>
      <c r="H122" s="96">
        <v>-1.7106414077012411E-2</v>
      </c>
      <c r="I122" s="96">
        <v>9.4787580918900272E-3</v>
      </c>
      <c r="J122" s="96">
        <v>-1.2020511976468362E-2</v>
      </c>
    </row>
    <row r="123" spans="1:10" x14ac:dyDescent="0.25">
      <c r="A123" s="95">
        <v>44743</v>
      </c>
      <c r="B123" s="83">
        <v>0</v>
      </c>
      <c r="C123" s="83">
        <v>0</v>
      </c>
      <c r="D123" s="83">
        <v>156987.06847</v>
      </c>
      <c r="E123" s="83">
        <v>154301.58267201588</v>
      </c>
      <c r="F123" s="83">
        <v>37137.114830000006</v>
      </c>
      <c r="G123" s="83">
        <v>37489.128557704316</v>
      </c>
      <c r="H123" s="96">
        <v>-1.7106414077012411E-2</v>
      </c>
      <c r="I123" s="96">
        <v>9.4787580918900272E-3</v>
      </c>
      <c r="J123" s="96">
        <v>-1.2020511976468362E-2</v>
      </c>
    </row>
    <row r="124" spans="1:10" x14ac:dyDescent="0.25">
      <c r="A124" s="90" t="s">
        <v>34</v>
      </c>
      <c r="B124" s="83">
        <v>4128686.8</v>
      </c>
      <c r="C124" s="83">
        <v>3918417.9897041591</v>
      </c>
      <c r="D124" s="83">
        <v>6025735.3503899993</v>
      </c>
      <c r="E124" s="83">
        <v>8017008.7716644201</v>
      </c>
      <c r="F124" s="83">
        <v>10296549.834510004</v>
      </c>
      <c r="G124" s="83">
        <v>10817736.417602764</v>
      </c>
      <c r="H124" s="96">
        <v>0.17539201981179953</v>
      </c>
      <c r="I124" s="96">
        <v>5.0617594385446329E-2</v>
      </c>
      <c r="J124" s="96">
        <v>0.11257123601612506</v>
      </c>
    </row>
    <row r="125" spans="1:10" x14ac:dyDescent="0.25">
      <c r="A125" s="91" t="s">
        <v>25</v>
      </c>
      <c r="B125" s="83">
        <v>4128686.8</v>
      </c>
      <c r="C125" s="83">
        <v>3918417.9897041591</v>
      </c>
      <c r="D125" s="83">
        <v>6025735.3503899993</v>
      </c>
      <c r="E125" s="83">
        <v>8017008.7716644201</v>
      </c>
      <c r="F125" s="83">
        <v>10296549.834510004</v>
      </c>
      <c r="G125" s="83">
        <v>10817736.417602764</v>
      </c>
      <c r="H125" s="96">
        <v>0.17539201981179953</v>
      </c>
      <c r="I125" s="96">
        <v>5.0617594385446329E-2</v>
      </c>
      <c r="J125" s="96">
        <v>0.11257123601612506</v>
      </c>
    </row>
    <row r="126" spans="1:10" x14ac:dyDescent="0.25">
      <c r="A126" s="92" t="s">
        <v>25</v>
      </c>
      <c r="B126" s="83">
        <v>4128686.8</v>
      </c>
      <c r="C126" s="83">
        <v>3918417.9897041591</v>
      </c>
      <c r="D126" s="83">
        <v>6025735.3503899993</v>
      </c>
      <c r="E126" s="83">
        <v>8017008.7716644201</v>
      </c>
      <c r="F126" s="83">
        <v>10296549.834510004</v>
      </c>
      <c r="G126" s="83">
        <v>10817736.417602764</v>
      </c>
      <c r="H126" s="96">
        <v>0.17539201981179953</v>
      </c>
      <c r="I126" s="96">
        <v>5.0617594385446329E-2</v>
      </c>
      <c r="J126" s="96">
        <v>0.11257123601612506</v>
      </c>
    </row>
    <row r="127" spans="1:10" x14ac:dyDescent="0.25">
      <c r="A127" s="93" t="s">
        <v>25</v>
      </c>
      <c r="B127" s="83">
        <v>4128686.8</v>
      </c>
      <c r="C127" s="83">
        <v>3918417.9897041591</v>
      </c>
      <c r="D127" s="83">
        <v>6025735.3503899993</v>
      </c>
      <c r="E127" s="83">
        <v>8017008.7716644201</v>
      </c>
      <c r="F127" s="83">
        <v>10296549.834510004</v>
      </c>
      <c r="G127" s="83">
        <v>10817736.417602764</v>
      </c>
      <c r="H127" s="96">
        <v>0.17539201981179953</v>
      </c>
      <c r="I127" s="96">
        <v>5.0617594385446329E-2</v>
      </c>
      <c r="J127" s="96">
        <v>0.11257123601612506</v>
      </c>
    </row>
    <row r="128" spans="1:10" x14ac:dyDescent="0.25">
      <c r="A128" s="94" t="s">
        <v>38</v>
      </c>
      <c r="B128" s="83">
        <v>0</v>
      </c>
      <c r="C128" s="83">
        <v>0</v>
      </c>
      <c r="D128" s="83">
        <v>3339960.95004</v>
      </c>
      <c r="E128" s="83">
        <v>5377178.3403242482</v>
      </c>
      <c r="F128" s="83">
        <v>9661198.6983600017</v>
      </c>
      <c r="G128" s="83">
        <v>10176362.941729791</v>
      </c>
      <c r="H128" s="96">
        <v>0.60995245775548557</v>
      </c>
      <c r="I128" s="96">
        <v>5.3323015026824683E-2</v>
      </c>
      <c r="J128" s="96">
        <v>0.19631953630906662</v>
      </c>
    </row>
    <row r="129" spans="1:10" x14ac:dyDescent="0.25">
      <c r="A129" s="95">
        <v>44409</v>
      </c>
      <c r="B129" s="83">
        <v>0</v>
      </c>
      <c r="C129" s="83">
        <v>0</v>
      </c>
      <c r="D129" s="83">
        <v>283703.4694</v>
      </c>
      <c r="E129" s="83">
        <v>456749.09783428843</v>
      </c>
      <c r="F129" s="83">
        <v>820643.0046000001</v>
      </c>
      <c r="G129" s="83">
        <v>864402.1638659446</v>
      </c>
      <c r="H129" s="96">
        <v>0.60995245775548645</v>
      </c>
      <c r="I129" s="96">
        <v>5.3323015026824905E-2</v>
      </c>
      <c r="J129" s="96">
        <v>0.19631953630906662</v>
      </c>
    </row>
    <row r="130" spans="1:10" x14ac:dyDescent="0.25">
      <c r="A130" s="95">
        <v>44440</v>
      </c>
      <c r="B130" s="83">
        <v>0</v>
      </c>
      <c r="C130" s="83">
        <v>0</v>
      </c>
      <c r="D130" s="83">
        <v>270215.43067999999</v>
      </c>
      <c r="E130" s="83">
        <v>435033.99674672325</v>
      </c>
      <c r="F130" s="83">
        <v>781627.39211999997</v>
      </c>
      <c r="G130" s="83">
        <v>823306.12129539275</v>
      </c>
      <c r="H130" s="96">
        <v>0.60995245775548645</v>
      </c>
      <c r="I130" s="96">
        <v>5.3323015026824905E-2</v>
      </c>
      <c r="J130" s="96">
        <v>0.19631953630906707</v>
      </c>
    </row>
    <row r="131" spans="1:10" x14ac:dyDescent="0.25">
      <c r="A131" s="95">
        <v>44470</v>
      </c>
      <c r="B131" s="83">
        <v>0</v>
      </c>
      <c r="C131" s="83">
        <v>0</v>
      </c>
      <c r="D131" s="83">
        <v>274858.67747</v>
      </c>
      <c r="E131" s="83">
        <v>442509.40332824906</v>
      </c>
      <c r="F131" s="83">
        <v>795058.48623000004</v>
      </c>
      <c r="G131" s="83">
        <v>837453.40183844697</v>
      </c>
      <c r="H131" s="96">
        <v>0.60995245775548645</v>
      </c>
      <c r="I131" s="96">
        <v>5.3323015026824905E-2</v>
      </c>
      <c r="J131" s="96">
        <v>0.19631953630906684</v>
      </c>
    </row>
    <row r="132" spans="1:10" x14ac:dyDescent="0.25">
      <c r="A132" s="95">
        <v>44501</v>
      </c>
      <c r="B132" s="83">
        <v>0</v>
      </c>
      <c r="C132" s="83">
        <v>0</v>
      </c>
      <c r="D132" s="83">
        <v>286502.32818999997</v>
      </c>
      <c r="E132" s="83">
        <v>461255.12742215942</v>
      </c>
      <c r="F132" s="83">
        <v>828739.00670999999</v>
      </c>
      <c r="G132" s="83">
        <v>872929.86921811325</v>
      </c>
      <c r="H132" s="96">
        <v>0.60995245775548645</v>
      </c>
      <c r="I132" s="96">
        <v>5.3323015026824905E-2</v>
      </c>
      <c r="J132" s="96">
        <v>0.19631953630906684</v>
      </c>
    </row>
    <row r="133" spans="1:10" x14ac:dyDescent="0.25">
      <c r="A133" s="95">
        <v>44531</v>
      </c>
      <c r="B133" s="83">
        <v>0</v>
      </c>
      <c r="C133" s="83">
        <v>0</v>
      </c>
      <c r="D133" s="83">
        <v>262224.40009999997</v>
      </c>
      <c r="E133" s="83">
        <v>422168.81742445298</v>
      </c>
      <c r="F133" s="83">
        <v>758512.47090000007</v>
      </c>
      <c r="G133" s="83">
        <v>798958.64278383483</v>
      </c>
      <c r="H133" s="96">
        <v>0.60995245775548645</v>
      </c>
      <c r="I133" s="96">
        <v>5.3323015026824905E-2</v>
      </c>
      <c r="J133" s="96">
        <v>0.19631953630906684</v>
      </c>
    </row>
    <row r="134" spans="1:10" x14ac:dyDescent="0.25">
      <c r="A134" s="95">
        <v>44562</v>
      </c>
      <c r="B134" s="83">
        <v>0</v>
      </c>
      <c r="C134" s="83">
        <v>0</v>
      </c>
      <c r="D134" s="83">
        <v>272314.00754999998</v>
      </c>
      <c r="E134" s="83">
        <v>438412.60573636857</v>
      </c>
      <c r="F134" s="83">
        <v>787697.75294999999</v>
      </c>
      <c r="G134" s="83">
        <v>829700.17206714908</v>
      </c>
      <c r="H134" s="96">
        <v>0.60995245775548645</v>
      </c>
      <c r="I134" s="96">
        <v>5.3323015026824905E-2</v>
      </c>
      <c r="J134" s="96">
        <v>0.19631953630906707</v>
      </c>
    </row>
    <row r="135" spans="1:10" x14ac:dyDescent="0.25">
      <c r="A135" s="95">
        <v>44593</v>
      </c>
      <c r="B135" s="83">
        <v>0</v>
      </c>
      <c r="C135" s="83">
        <v>0</v>
      </c>
      <c r="D135" s="83">
        <v>267975.45072999998</v>
      </c>
      <c r="E135" s="83">
        <v>431427.73552089772</v>
      </c>
      <c r="F135" s="83">
        <v>775148.00757000002</v>
      </c>
      <c r="G135" s="83">
        <v>816481.23642566847</v>
      </c>
      <c r="H135" s="96">
        <v>0.60995245775548645</v>
      </c>
      <c r="I135" s="96">
        <v>5.3323015026824905E-2</v>
      </c>
      <c r="J135" s="96">
        <v>0.19631953630906662</v>
      </c>
    </row>
    <row r="136" spans="1:10" x14ac:dyDescent="0.25">
      <c r="A136" s="95">
        <v>44621</v>
      </c>
      <c r="B136" s="83">
        <v>0</v>
      </c>
      <c r="C136" s="83">
        <v>0</v>
      </c>
      <c r="D136" s="83">
        <v>301186.21831999999</v>
      </c>
      <c r="E136" s="83">
        <v>484895.49242636445</v>
      </c>
      <c r="F136" s="83">
        <v>871213.74888000009</v>
      </c>
      <c r="G136" s="83">
        <v>917669.49270310474</v>
      </c>
      <c r="H136" s="96">
        <v>0.60995245775548623</v>
      </c>
      <c r="I136" s="96">
        <v>5.3323015026824905E-2</v>
      </c>
      <c r="J136" s="96">
        <v>0.19631953630906662</v>
      </c>
    </row>
    <row r="137" spans="1:10" x14ac:dyDescent="0.25">
      <c r="A137" s="95">
        <v>44652</v>
      </c>
      <c r="B137" s="83">
        <v>0</v>
      </c>
      <c r="C137" s="83">
        <v>0</v>
      </c>
      <c r="D137" s="83">
        <v>272191.12153999996</v>
      </c>
      <c r="E137" s="83">
        <v>438214.76510254532</v>
      </c>
      <c r="F137" s="83">
        <v>787342.29186000011</v>
      </c>
      <c r="G137" s="83">
        <v>829325.75672010565</v>
      </c>
      <c r="H137" s="96">
        <v>0.60995245775548668</v>
      </c>
      <c r="I137" s="96">
        <v>5.3323015026824905E-2</v>
      </c>
      <c r="J137" s="96">
        <v>0.19631953630906707</v>
      </c>
    </row>
    <row r="138" spans="1:10" x14ac:dyDescent="0.25">
      <c r="A138" s="95">
        <v>44682</v>
      </c>
      <c r="B138" s="83">
        <v>0</v>
      </c>
      <c r="C138" s="83">
        <v>0</v>
      </c>
      <c r="D138" s="83">
        <v>290049.92068000004</v>
      </c>
      <c r="E138" s="83">
        <v>466966.58267054992</v>
      </c>
      <c r="F138" s="83">
        <v>839000.80212000012</v>
      </c>
      <c r="G138" s="83">
        <v>883738.85449896287</v>
      </c>
      <c r="H138" s="96">
        <v>0.60995245775548623</v>
      </c>
      <c r="I138" s="96">
        <v>5.3323015026824683E-2</v>
      </c>
      <c r="J138" s="96">
        <v>0.19631953630906662</v>
      </c>
    </row>
    <row r="139" spans="1:10" x14ac:dyDescent="0.25">
      <c r="A139" s="95">
        <v>44713</v>
      </c>
      <c r="B139" s="83">
        <v>0</v>
      </c>
      <c r="C139" s="83">
        <v>0</v>
      </c>
      <c r="D139" s="83">
        <v>279369.96268999996</v>
      </c>
      <c r="E139" s="83">
        <v>449772.35805582401</v>
      </c>
      <c r="F139" s="83">
        <v>808107.86720999994</v>
      </c>
      <c r="G139" s="83">
        <v>851198.61515653424</v>
      </c>
      <c r="H139" s="96">
        <v>0.60995245775548645</v>
      </c>
      <c r="I139" s="96">
        <v>5.3323015026824905E-2</v>
      </c>
      <c r="J139" s="96">
        <v>0.19631953630906707</v>
      </c>
    </row>
    <row r="140" spans="1:10" x14ac:dyDescent="0.25">
      <c r="A140" s="95">
        <v>44743</v>
      </c>
      <c r="B140" s="83">
        <v>0</v>
      </c>
      <c r="C140" s="83">
        <v>0</v>
      </c>
      <c r="D140" s="83">
        <v>279369.96268999996</v>
      </c>
      <c r="E140" s="83">
        <v>449772.35805582401</v>
      </c>
      <c r="F140" s="83">
        <v>808107.86720999994</v>
      </c>
      <c r="G140" s="83">
        <v>851198.61515653424</v>
      </c>
      <c r="H140" s="96">
        <v>0.60995245775548645</v>
      </c>
      <c r="I140" s="96">
        <v>5.3323015026824905E-2</v>
      </c>
      <c r="J140" s="96">
        <v>0.19631953630906707</v>
      </c>
    </row>
    <row r="141" spans="1:10" x14ac:dyDescent="0.25">
      <c r="A141" s="94" t="s">
        <v>25</v>
      </c>
      <c r="B141" s="83">
        <v>4128686.8</v>
      </c>
      <c r="C141" s="83">
        <v>3918417.9897041591</v>
      </c>
      <c r="D141" s="83">
        <v>0</v>
      </c>
      <c r="E141" s="83">
        <v>0</v>
      </c>
      <c r="F141" s="83">
        <v>0</v>
      </c>
      <c r="G141" s="83">
        <v>0</v>
      </c>
      <c r="H141" s="96">
        <v>-5.0928738478259183E-2</v>
      </c>
      <c r="I141" s="96">
        <v>0</v>
      </c>
      <c r="J141" s="96">
        <v>-5.0928738478259183E-2</v>
      </c>
    </row>
    <row r="142" spans="1:10" x14ac:dyDescent="0.25">
      <c r="A142" s="95">
        <v>44409</v>
      </c>
      <c r="B142" s="83">
        <v>334958.3</v>
      </c>
      <c r="C142" s="83">
        <v>317899.29633817769</v>
      </c>
      <c r="D142" s="83">
        <v>0</v>
      </c>
      <c r="E142" s="83">
        <v>0</v>
      </c>
      <c r="F142" s="83">
        <v>0</v>
      </c>
      <c r="G142" s="83">
        <v>0</v>
      </c>
      <c r="H142" s="96">
        <v>-5.0928738478259183E-2</v>
      </c>
      <c r="I142" s="96">
        <v>0</v>
      </c>
      <c r="J142" s="96">
        <v>-5.0928738478259183E-2</v>
      </c>
    </row>
    <row r="143" spans="1:10" x14ac:dyDescent="0.25">
      <c r="A143" s="95">
        <v>44440</v>
      </c>
      <c r="B143" s="83">
        <v>334912.49999999994</v>
      </c>
      <c r="C143" s="83">
        <v>317855.8288744</v>
      </c>
      <c r="D143" s="83">
        <v>0</v>
      </c>
      <c r="E143" s="83">
        <v>0</v>
      </c>
      <c r="F143" s="83">
        <v>0</v>
      </c>
      <c r="G143" s="83">
        <v>0</v>
      </c>
      <c r="H143" s="96">
        <v>-5.0928738478259072E-2</v>
      </c>
      <c r="I143" s="96">
        <v>0</v>
      </c>
      <c r="J143" s="96">
        <v>-5.0928738478259072E-2</v>
      </c>
    </row>
    <row r="144" spans="1:10" x14ac:dyDescent="0.25">
      <c r="A144" s="95">
        <v>44470</v>
      </c>
      <c r="B144" s="83">
        <v>340156.6</v>
      </c>
      <c r="C144" s="83">
        <v>322832.85347694613</v>
      </c>
      <c r="D144" s="83">
        <v>0</v>
      </c>
      <c r="E144" s="83">
        <v>0</v>
      </c>
      <c r="F144" s="83">
        <v>0</v>
      </c>
      <c r="G144" s="83">
        <v>0</v>
      </c>
      <c r="H144" s="96">
        <v>-5.0928738478259294E-2</v>
      </c>
      <c r="I144" s="96">
        <v>0</v>
      </c>
      <c r="J144" s="96">
        <v>-5.0928738478259294E-2</v>
      </c>
    </row>
    <row r="145" spans="1:10" x14ac:dyDescent="0.25">
      <c r="A145" s="95">
        <v>44501</v>
      </c>
      <c r="B145" s="83">
        <v>342881.69999999995</v>
      </c>
      <c r="C145" s="83">
        <v>325419.16757171904</v>
      </c>
      <c r="D145" s="83">
        <v>0</v>
      </c>
      <c r="E145" s="83">
        <v>0</v>
      </c>
      <c r="F145" s="83">
        <v>0</v>
      </c>
      <c r="G145" s="83">
        <v>0</v>
      </c>
      <c r="H145" s="96">
        <v>-5.0928738478259183E-2</v>
      </c>
      <c r="I145" s="96">
        <v>0</v>
      </c>
      <c r="J145" s="96">
        <v>-5.0928738478259183E-2</v>
      </c>
    </row>
    <row r="146" spans="1:10" x14ac:dyDescent="0.25">
      <c r="A146" s="95">
        <v>44531</v>
      </c>
      <c r="B146" s="83">
        <v>350965.39999999997</v>
      </c>
      <c r="C146" s="83">
        <v>333091.17492848233</v>
      </c>
      <c r="D146" s="83">
        <v>0</v>
      </c>
      <c r="E146" s="83">
        <v>0</v>
      </c>
      <c r="F146" s="83">
        <v>0</v>
      </c>
      <c r="G146" s="83">
        <v>0</v>
      </c>
      <c r="H146" s="96">
        <v>-5.0928738478259183E-2</v>
      </c>
      <c r="I146" s="96">
        <v>0</v>
      </c>
      <c r="J146" s="96">
        <v>-5.0928738478259183E-2</v>
      </c>
    </row>
    <row r="147" spans="1:10" x14ac:dyDescent="0.25">
      <c r="A147" s="95">
        <v>44562</v>
      </c>
      <c r="B147" s="83">
        <v>345789.99999999994</v>
      </c>
      <c r="C147" s="83">
        <v>328179.35152160277</v>
      </c>
      <c r="D147" s="83">
        <v>0</v>
      </c>
      <c r="E147" s="83">
        <v>0</v>
      </c>
      <c r="F147" s="83">
        <v>0</v>
      </c>
      <c r="G147" s="83">
        <v>0</v>
      </c>
      <c r="H147" s="96">
        <v>-5.0928738478258961E-2</v>
      </c>
      <c r="I147" s="96">
        <v>0</v>
      </c>
      <c r="J147" s="96">
        <v>-5.0928738478258961E-2</v>
      </c>
    </row>
    <row r="148" spans="1:10" x14ac:dyDescent="0.25">
      <c r="A148" s="95">
        <v>44593</v>
      </c>
      <c r="B148" s="83">
        <v>348217.4</v>
      </c>
      <c r="C148" s="83">
        <v>330483.1271018206</v>
      </c>
      <c r="D148" s="83">
        <v>0</v>
      </c>
      <c r="E148" s="83">
        <v>0</v>
      </c>
      <c r="F148" s="83">
        <v>0</v>
      </c>
      <c r="G148" s="83">
        <v>0</v>
      </c>
      <c r="H148" s="96">
        <v>-5.0928738478259294E-2</v>
      </c>
      <c r="I148" s="96">
        <v>0</v>
      </c>
      <c r="J148" s="96">
        <v>-5.0928738478259294E-2</v>
      </c>
    </row>
    <row r="149" spans="1:10" x14ac:dyDescent="0.25">
      <c r="A149" s="95">
        <v>44621</v>
      </c>
      <c r="B149" s="83">
        <v>345492.29999999993</v>
      </c>
      <c r="C149" s="83">
        <v>327896.81300704769</v>
      </c>
      <c r="D149" s="83">
        <v>0</v>
      </c>
      <c r="E149" s="83">
        <v>0</v>
      </c>
      <c r="F149" s="83">
        <v>0</v>
      </c>
      <c r="G149" s="83">
        <v>0</v>
      </c>
      <c r="H149" s="96">
        <v>-5.0928738478259072E-2</v>
      </c>
      <c r="I149" s="96">
        <v>0</v>
      </c>
      <c r="J149" s="96">
        <v>-5.0928738478259072E-2</v>
      </c>
    </row>
    <row r="150" spans="1:10" x14ac:dyDescent="0.25">
      <c r="A150" s="95">
        <v>44652</v>
      </c>
      <c r="B150" s="83">
        <v>344874</v>
      </c>
      <c r="C150" s="83">
        <v>327310.00224604883</v>
      </c>
      <c r="D150" s="83">
        <v>0</v>
      </c>
      <c r="E150" s="83">
        <v>0</v>
      </c>
      <c r="F150" s="83">
        <v>0</v>
      </c>
      <c r="G150" s="83">
        <v>0</v>
      </c>
      <c r="H150" s="96">
        <v>-5.0928738478259183E-2</v>
      </c>
      <c r="I150" s="96">
        <v>0</v>
      </c>
      <c r="J150" s="96">
        <v>-5.0928738478259183E-2</v>
      </c>
    </row>
    <row r="151" spans="1:10" x14ac:dyDescent="0.25">
      <c r="A151" s="95">
        <v>44682</v>
      </c>
      <c r="B151" s="83">
        <v>343179.39999999997</v>
      </c>
      <c r="C151" s="83">
        <v>325701.70608627406</v>
      </c>
      <c r="D151" s="83">
        <v>0</v>
      </c>
      <c r="E151" s="83">
        <v>0</v>
      </c>
      <c r="F151" s="83">
        <v>0</v>
      </c>
      <c r="G151" s="83">
        <v>0</v>
      </c>
      <c r="H151" s="96">
        <v>-5.0928738478259183E-2</v>
      </c>
      <c r="I151" s="96">
        <v>0</v>
      </c>
      <c r="J151" s="96">
        <v>-5.0928738478259183E-2</v>
      </c>
    </row>
    <row r="152" spans="1:10" x14ac:dyDescent="0.25">
      <c r="A152" s="95">
        <v>44713</v>
      </c>
      <c r="B152" s="83">
        <v>348629.6</v>
      </c>
      <c r="C152" s="83">
        <v>330874.33427581989</v>
      </c>
      <c r="D152" s="83">
        <v>0</v>
      </c>
      <c r="E152" s="83">
        <v>0</v>
      </c>
      <c r="F152" s="83">
        <v>0</v>
      </c>
      <c r="G152" s="83">
        <v>0</v>
      </c>
      <c r="H152" s="96">
        <v>-5.0928738478259183E-2</v>
      </c>
      <c r="I152" s="96">
        <v>0</v>
      </c>
      <c r="J152" s="96">
        <v>-5.0928738478259183E-2</v>
      </c>
    </row>
    <row r="153" spans="1:10" x14ac:dyDescent="0.25">
      <c r="A153" s="95">
        <v>44743</v>
      </c>
      <c r="B153" s="83">
        <v>348629.6</v>
      </c>
      <c r="C153" s="83">
        <v>330874.33427581989</v>
      </c>
      <c r="D153" s="83">
        <v>0</v>
      </c>
      <c r="E153" s="83">
        <v>0</v>
      </c>
      <c r="F153" s="83">
        <v>0</v>
      </c>
      <c r="G153" s="83">
        <v>0</v>
      </c>
      <c r="H153" s="96">
        <v>-5.0928738478259183E-2</v>
      </c>
      <c r="I153" s="96">
        <v>0</v>
      </c>
      <c r="J153" s="96">
        <v>-5.0928738478259183E-2</v>
      </c>
    </row>
    <row r="154" spans="1:10" x14ac:dyDescent="0.25">
      <c r="A154" s="94" t="s">
        <v>37</v>
      </c>
      <c r="B154" s="83">
        <v>0</v>
      </c>
      <c r="C154" s="83">
        <v>0</v>
      </c>
      <c r="D154" s="83">
        <v>2685774.4003500002</v>
      </c>
      <c r="E154" s="83">
        <v>2639830.4313401729</v>
      </c>
      <c r="F154" s="83">
        <v>635351.13614999992</v>
      </c>
      <c r="G154" s="83">
        <v>641373.47587297333</v>
      </c>
      <c r="H154" s="96">
        <v>-1.71064140770123E-2</v>
      </c>
      <c r="I154" s="96">
        <v>9.4787580918902492E-3</v>
      </c>
      <c r="J154" s="96">
        <v>-1.2020511976468362E-2</v>
      </c>
    </row>
    <row r="155" spans="1:10" x14ac:dyDescent="0.25">
      <c r="A155" s="95">
        <v>44409</v>
      </c>
      <c r="B155" s="83">
        <v>0</v>
      </c>
      <c r="C155" s="83">
        <v>0</v>
      </c>
      <c r="D155" s="83">
        <v>177822.77995999999</v>
      </c>
      <c r="E155" s="83">
        <v>174780.86985367877</v>
      </c>
      <c r="F155" s="83">
        <v>42066.044439999998</v>
      </c>
      <c r="G155" s="83">
        <v>42464.778299129459</v>
      </c>
      <c r="H155" s="96">
        <v>-1.7106414077012411E-2</v>
      </c>
      <c r="I155" s="96">
        <v>9.4787580918902492E-3</v>
      </c>
      <c r="J155" s="96">
        <v>-1.2020511976468473E-2</v>
      </c>
    </row>
    <row r="156" spans="1:10" x14ac:dyDescent="0.25">
      <c r="A156" s="95">
        <v>44440</v>
      </c>
      <c r="B156" s="83">
        <v>0</v>
      </c>
      <c r="C156" s="83">
        <v>0</v>
      </c>
      <c r="D156" s="83">
        <v>187086.97799000001</v>
      </c>
      <c r="E156" s="83">
        <v>183886.59067608614</v>
      </c>
      <c r="F156" s="83">
        <v>44257.598110000006</v>
      </c>
      <c r="G156" s="83">
        <v>44677.105176212783</v>
      </c>
      <c r="H156" s="96">
        <v>-1.7106414077012522E-2</v>
      </c>
      <c r="I156" s="96">
        <v>9.4787580918900272E-3</v>
      </c>
      <c r="J156" s="96">
        <v>-1.2020511976468473E-2</v>
      </c>
    </row>
    <row r="157" spans="1:10" x14ac:dyDescent="0.25">
      <c r="A157" s="95">
        <v>44470</v>
      </c>
      <c r="B157" s="83">
        <v>0</v>
      </c>
      <c r="C157" s="83">
        <v>0</v>
      </c>
      <c r="D157" s="83">
        <v>154158.74632999999</v>
      </c>
      <c r="E157" s="83">
        <v>151521.6429816859</v>
      </c>
      <c r="F157" s="83">
        <v>36468.042369999996</v>
      </c>
      <c r="G157" s="83">
        <v>36813.714121710029</v>
      </c>
      <c r="H157" s="96">
        <v>-1.7106414077012411E-2</v>
      </c>
      <c r="I157" s="96">
        <v>9.4787580918902492E-3</v>
      </c>
      <c r="J157" s="96">
        <v>-1.2020511976468362E-2</v>
      </c>
    </row>
    <row r="158" spans="1:10" x14ac:dyDescent="0.25">
      <c r="A158" s="95">
        <v>44501</v>
      </c>
      <c r="B158" s="83">
        <v>0</v>
      </c>
      <c r="C158" s="83">
        <v>0</v>
      </c>
      <c r="D158" s="83">
        <v>184844.97826999999</v>
      </c>
      <c r="E158" s="83">
        <v>181682.94353165702</v>
      </c>
      <c r="F158" s="83">
        <v>43727.227029999995</v>
      </c>
      <c r="G158" s="83">
        <v>44141.706837046528</v>
      </c>
      <c r="H158" s="96">
        <v>-1.7106414077012411E-2</v>
      </c>
      <c r="I158" s="96">
        <v>9.4787580918902492E-3</v>
      </c>
      <c r="J158" s="96">
        <v>-1.2020511976468362E-2</v>
      </c>
    </row>
    <row r="159" spans="1:10" x14ac:dyDescent="0.25">
      <c r="A159" s="95">
        <v>44531</v>
      </c>
      <c r="B159" s="83">
        <v>0</v>
      </c>
      <c r="C159" s="83">
        <v>0</v>
      </c>
      <c r="D159" s="83">
        <v>206396.12463000001</v>
      </c>
      <c r="E159" s="83">
        <v>202865.42705818856</v>
      </c>
      <c r="F159" s="83">
        <v>48825.401069999993</v>
      </c>
      <c r="G159" s="83">
        <v>49288.205235482041</v>
      </c>
      <c r="H159" s="96">
        <v>-1.7106414077012411E-2</v>
      </c>
      <c r="I159" s="96">
        <v>9.4787580918902492E-3</v>
      </c>
      <c r="J159" s="96">
        <v>-1.2020511976468362E-2</v>
      </c>
    </row>
    <row r="160" spans="1:10" x14ac:dyDescent="0.25">
      <c r="A160" s="95">
        <v>44562</v>
      </c>
      <c r="B160" s="83">
        <v>0</v>
      </c>
      <c r="C160" s="83">
        <v>0</v>
      </c>
      <c r="D160" s="83">
        <v>215496.2739</v>
      </c>
      <c r="E160" s="83">
        <v>211809.90540661331</v>
      </c>
      <c r="F160" s="83">
        <v>50978.147099999995</v>
      </c>
      <c r="G160" s="83">
        <v>51461.35662433369</v>
      </c>
      <c r="H160" s="96">
        <v>-1.7106414077012411E-2</v>
      </c>
      <c r="I160" s="96">
        <v>9.4787580918902492E-3</v>
      </c>
      <c r="J160" s="96">
        <v>-1.2020511976468251E-2</v>
      </c>
    </row>
    <row r="161" spans="1:10" x14ac:dyDescent="0.25">
      <c r="A161" s="95">
        <v>44593</v>
      </c>
      <c r="B161" s="83">
        <v>0</v>
      </c>
      <c r="C161" s="83">
        <v>0</v>
      </c>
      <c r="D161" s="83">
        <v>241024.08372</v>
      </c>
      <c r="E161" s="83">
        <v>236901.02594135317</v>
      </c>
      <c r="F161" s="83">
        <v>57017.047079999997</v>
      </c>
      <c r="G161" s="83">
        <v>57557.497876385227</v>
      </c>
      <c r="H161" s="96">
        <v>-1.7106414077012411E-2</v>
      </c>
      <c r="I161" s="96">
        <v>9.4787580918900272E-3</v>
      </c>
      <c r="J161" s="96">
        <v>-1.2020511976468362E-2</v>
      </c>
    </row>
    <row r="162" spans="1:10" x14ac:dyDescent="0.25">
      <c r="A162" s="95">
        <v>44621</v>
      </c>
      <c r="B162" s="83">
        <v>0</v>
      </c>
      <c r="C162" s="83">
        <v>0</v>
      </c>
      <c r="D162" s="83">
        <v>264542.29623000004</v>
      </c>
      <c r="E162" s="83">
        <v>260016.92616980593</v>
      </c>
      <c r="F162" s="83">
        <v>62580.553469999999</v>
      </c>
      <c r="G162" s="83">
        <v>63173.739397598722</v>
      </c>
      <c r="H162" s="96">
        <v>-1.7106414077012633E-2</v>
      </c>
      <c r="I162" s="96">
        <v>9.4787580918900272E-3</v>
      </c>
      <c r="J162" s="96">
        <v>-1.2020511976468584E-2</v>
      </c>
    </row>
    <row r="163" spans="1:10" x14ac:dyDescent="0.25">
      <c r="A163" s="95">
        <v>44652</v>
      </c>
      <c r="B163" s="83">
        <v>0</v>
      </c>
      <c r="C163" s="83">
        <v>0</v>
      </c>
      <c r="D163" s="83">
        <v>233948.72146</v>
      </c>
      <c r="E163" s="83">
        <v>229946.6977579176</v>
      </c>
      <c r="F163" s="83">
        <v>55343.287939999995</v>
      </c>
      <c r="G163" s="83">
        <v>55867.873578393075</v>
      </c>
      <c r="H163" s="96">
        <v>-1.7106414077012411E-2</v>
      </c>
      <c r="I163" s="96">
        <v>9.4787580918900272E-3</v>
      </c>
      <c r="J163" s="96">
        <v>-1.2020511976468251E-2</v>
      </c>
    </row>
    <row r="164" spans="1:10" x14ac:dyDescent="0.25">
      <c r="A164" s="95">
        <v>44682</v>
      </c>
      <c r="B164" s="83">
        <v>0</v>
      </c>
      <c r="C164" s="83">
        <v>0</v>
      </c>
      <c r="D164" s="83">
        <v>267991.87709999998</v>
      </c>
      <c r="E164" s="83">
        <v>263407.49708105158</v>
      </c>
      <c r="F164" s="83">
        <v>63396.591899999992</v>
      </c>
      <c r="G164" s="83">
        <v>63997.512858470378</v>
      </c>
      <c r="H164" s="96">
        <v>-1.71064140770123E-2</v>
      </c>
      <c r="I164" s="96">
        <v>9.4787580918902492E-3</v>
      </c>
      <c r="J164" s="96">
        <v>-1.2020511976468362E-2</v>
      </c>
    </row>
    <row r="165" spans="1:10" x14ac:dyDescent="0.25">
      <c r="A165" s="95">
        <v>44713</v>
      </c>
      <c r="B165" s="83">
        <v>0</v>
      </c>
      <c r="C165" s="83">
        <v>0</v>
      </c>
      <c r="D165" s="83">
        <v>276230.77038</v>
      </c>
      <c r="E165" s="83">
        <v>271505.45244106755</v>
      </c>
      <c r="F165" s="83">
        <v>65345.597819999995</v>
      </c>
      <c r="G165" s="83">
        <v>65964.992934105714</v>
      </c>
      <c r="H165" s="96">
        <v>-1.7106414077012522E-2</v>
      </c>
      <c r="I165" s="96">
        <v>9.4787580918900272E-3</v>
      </c>
      <c r="J165" s="96">
        <v>-1.2020511976468695E-2</v>
      </c>
    </row>
    <row r="166" spans="1:10" x14ac:dyDescent="0.25">
      <c r="A166" s="95">
        <v>44743</v>
      </c>
      <c r="B166" s="83">
        <v>0</v>
      </c>
      <c r="C166" s="83">
        <v>0</v>
      </c>
      <c r="D166" s="83">
        <v>276230.77038</v>
      </c>
      <c r="E166" s="83">
        <v>271505.45244106755</v>
      </c>
      <c r="F166" s="83">
        <v>65345.597819999995</v>
      </c>
      <c r="G166" s="83">
        <v>65964.992934105714</v>
      </c>
      <c r="H166" s="96">
        <v>-1.7106414077012522E-2</v>
      </c>
      <c r="I166" s="96">
        <v>9.4787580918900272E-3</v>
      </c>
      <c r="J166" s="96">
        <v>-1.2020511976468695E-2</v>
      </c>
    </row>
    <row r="167" spans="1:10" x14ac:dyDescent="0.25">
      <c r="A167" s="90" t="s">
        <v>43</v>
      </c>
      <c r="B167" s="83">
        <v>60410.2</v>
      </c>
      <c r="C167" s="83">
        <v>57333.584722780666</v>
      </c>
      <c r="D167" s="83">
        <v>56225.489490000007</v>
      </c>
      <c r="E167" s="83">
        <v>69675.261088560685</v>
      </c>
      <c r="F167" s="83">
        <v>74344.264410000003</v>
      </c>
      <c r="G167" s="83">
        <v>77963.736261752289</v>
      </c>
      <c r="H167" s="96">
        <v>8.8936382737555553E-2</v>
      </c>
      <c r="I167" s="96">
        <v>4.8685287028887192E-2</v>
      </c>
      <c r="J167" s="96">
        <v>7.3267523042865657E-2</v>
      </c>
    </row>
    <row r="168" spans="1:10" x14ac:dyDescent="0.25">
      <c r="A168" s="91" t="s">
        <v>25</v>
      </c>
      <c r="B168" s="83">
        <v>60410.2</v>
      </c>
      <c r="C168" s="83">
        <v>57333.584722780666</v>
      </c>
      <c r="D168" s="83">
        <v>56225.489490000007</v>
      </c>
      <c r="E168" s="83">
        <v>69675.261088560685</v>
      </c>
      <c r="F168" s="83">
        <v>74344.264410000003</v>
      </c>
      <c r="G168" s="83">
        <v>77963.736261752289</v>
      </c>
      <c r="H168" s="96">
        <v>8.8936382737555553E-2</v>
      </c>
      <c r="I168" s="96">
        <v>4.8685287028887192E-2</v>
      </c>
      <c r="J168" s="96">
        <v>7.3267523042865657E-2</v>
      </c>
    </row>
    <row r="169" spans="1:10" x14ac:dyDescent="0.25">
      <c r="A169" s="92" t="s">
        <v>25</v>
      </c>
      <c r="B169" s="83">
        <v>60410.2</v>
      </c>
      <c r="C169" s="83">
        <v>57333.584722780666</v>
      </c>
      <c r="D169" s="83">
        <v>56225.489490000007</v>
      </c>
      <c r="E169" s="83">
        <v>69675.261088560685</v>
      </c>
      <c r="F169" s="83">
        <v>74344.264410000003</v>
      </c>
      <c r="G169" s="83">
        <v>77963.736261752289</v>
      </c>
      <c r="H169" s="96">
        <v>8.8936382737555553E-2</v>
      </c>
      <c r="I169" s="96">
        <v>4.8685287028887192E-2</v>
      </c>
      <c r="J169" s="96">
        <v>7.3267523042865657E-2</v>
      </c>
    </row>
    <row r="170" spans="1:10" x14ac:dyDescent="0.25">
      <c r="A170" s="93" t="s">
        <v>25</v>
      </c>
      <c r="B170" s="83">
        <v>60410.2</v>
      </c>
      <c r="C170" s="83">
        <v>57333.584722780666</v>
      </c>
      <c r="D170" s="83">
        <v>56225.489490000007</v>
      </c>
      <c r="E170" s="83">
        <v>69675.261088560685</v>
      </c>
      <c r="F170" s="83">
        <v>74344.264410000003</v>
      </c>
      <c r="G170" s="83">
        <v>77963.736261752289</v>
      </c>
      <c r="H170" s="96">
        <v>8.8936382737555553E-2</v>
      </c>
      <c r="I170" s="96">
        <v>4.8685287028887192E-2</v>
      </c>
      <c r="J170" s="96">
        <v>7.3267523042865657E-2</v>
      </c>
    </row>
    <row r="171" spans="1:10" x14ac:dyDescent="0.25">
      <c r="A171" s="94" t="s">
        <v>38</v>
      </c>
      <c r="B171" s="83">
        <v>0</v>
      </c>
      <c r="C171" s="83">
        <v>0</v>
      </c>
      <c r="D171" s="83">
        <v>22982.831040000005</v>
      </c>
      <c r="E171" s="83">
        <v>37001.265319027072</v>
      </c>
      <c r="F171" s="83">
        <v>66480.327359999996</v>
      </c>
      <c r="G171" s="83">
        <v>70025.258854805521</v>
      </c>
      <c r="H171" s="96">
        <v>0.60995245775548645</v>
      </c>
      <c r="I171" s="96">
        <v>5.3323015026824683E-2</v>
      </c>
      <c r="J171" s="96">
        <v>0.19631953630906684</v>
      </c>
    </row>
    <row r="172" spans="1:10" x14ac:dyDescent="0.25">
      <c r="A172" s="95">
        <v>44409</v>
      </c>
      <c r="B172" s="83">
        <v>0</v>
      </c>
      <c r="C172" s="83">
        <v>0</v>
      </c>
      <c r="D172" s="83">
        <v>1619.3287499999999</v>
      </c>
      <c r="E172" s="83">
        <v>2607.0423009766196</v>
      </c>
      <c r="F172" s="83">
        <v>4684.0837499999998</v>
      </c>
      <c r="G172" s="83">
        <v>4933.8532181881565</v>
      </c>
      <c r="H172" s="96">
        <v>0.60995245775548645</v>
      </c>
      <c r="I172" s="96">
        <v>5.3323015026824905E-2</v>
      </c>
      <c r="J172" s="96">
        <v>0.19631953630906707</v>
      </c>
    </row>
    <row r="173" spans="1:10" x14ac:dyDescent="0.25">
      <c r="A173" s="95">
        <v>44440</v>
      </c>
      <c r="B173" s="83">
        <v>0</v>
      </c>
      <c r="C173" s="83">
        <v>0</v>
      </c>
      <c r="D173" s="83">
        <v>1870.2972599999998</v>
      </c>
      <c r="E173" s="83">
        <v>3011.0896704703518</v>
      </c>
      <c r="F173" s="83">
        <v>5410.0373399999999</v>
      </c>
      <c r="G173" s="83">
        <v>5698.5168423765035</v>
      </c>
      <c r="H173" s="96">
        <v>0.60995245775548645</v>
      </c>
      <c r="I173" s="96">
        <v>5.3323015026824905E-2</v>
      </c>
      <c r="J173" s="96">
        <v>0.19631953630906662</v>
      </c>
    </row>
    <row r="174" spans="1:10" x14ac:dyDescent="0.25">
      <c r="A174" s="95">
        <v>44470</v>
      </c>
      <c r="B174" s="83">
        <v>0</v>
      </c>
      <c r="C174" s="83">
        <v>0</v>
      </c>
      <c r="D174" s="83">
        <v>2253.9592399999997</v>
      </c>
      <c r="E174" s="83">
        <v>3628.7672181186881</v>
      </c>
      <c r="F174" s="83">
        <v>6519.8211600000004</v>
      </c>
      <c r="G174" s="83">
        <v>6867.4776816868907</v>
      </c>
      <c r="H174" s="96">
        <v>0.60995245775548668</v>
      </c>
      <c r="I174" s="96">
        <v>5.3323015026824905E-2</v>
      </c>
      <c r="J174" s="96">
        <v>0.19631953630906684</v>
      </c>
    </row>
    <row r="175" spans="1:10" x14ac:dyDescent="0.25">
      <c r="A175" s="95">
        <v>44501</v>
      </c>
      <c r="B175" s="83">
        <v>0</v>
      </c>
      <c r="C175" s="83">
        <v>0</v>
      </c>
      <c r="D175" s="83">
        <v>2600.5138899999997</v>
      </c>
      <c r="E175" s="83">
        <v>4186.7037286327804</v>
      </c>
      <c r="F175" s="83">
        <v>7522.2680099999998</v>
      </c>
      <c r="G175" s="83">
        <v>7923.3780201330346</v>
      </c>
      <c r="H175" s="96">
        <v>0.60995245775548645</v>
      </c>
      <c r="I175" s="96">
        <v>5.3323015026824905E-2</v>
      </c>
      <c r="J175" s="96">
        <v>0.19631953630906684</v>
      </c>
    </row>
    <row r="176" spans="1:10" x14ac:dyDescent="0.25">
      <c r="A176" s="95">
        <v>44531</v>
      </c>
      <c r="B176" s="83">
        <v>0</v>
      </c>
      <c r="C176" s="83">
        <v>0</v>
      </c>
      <c r="D176" s="83">
        <v>2140.2951699999999</v>
      </c>
      <c r="E176" s="83">
        <v>3445.7734692636964</v>
      </c>
      <c r="F176" s="83">
        <v>6191.0355300000001</v>
      </c>
      <c r="G176" s="83">
        <v>6521.1602105977963</v>
      </c>
      <c r="H176" s="96">
        <v>0.60995245775548645</v>
      </c>
      <c r="I176" s="96">
        <v>5.3323015026824905E-2</v>
      </c>
      <c r="J176" s="96">
        <v>0.19631953630906684</v>
      </c>
    </row>
    <row r="177" spans="1:10" x14ac:dyDescent="0.25">
      <c r="A177" s="95">
        <v>44562</v>
      </c>
      <c r="B177" s="83">
        <v>0</v>
      </c>
      <c r="C177" s="83">
        <v>0</v>
      </c>
      <c r="D177" s="83">
        <v>2495.9253799999997</v>
      </c>
      <c r="E177" s="83">
        <v>4018.321199905296</v>
      </c>
      <c r="F177" s="83">
        <v>7219.7344199999998</v>
      </c>
      <c r="G177" s="83">
        <v>7604.7124269673459</v>
      </c>
      <c r="H177" s="96">
        <v>0.60995245775548645</v>
      </c>
      <c r="I177" s="96">
        <v>5.3323015026825127E-2</v>
      </c>
      <c r="J177" s="96">
        <v>0.19631953630906707</v>
      </c>
    </row>
    <row r="178" spans="1:10" x14ac:dyDescent="0.25">
      <c r="A178" s="95">
        <v>44593</v>
      </c>
      <c r="B178" s="83">
        <v>0</v>
      </c>
      <c r="C178" s="83">
        <v>0</v>
      </c>
      <c r="D178" s="83">
        <v>2258.71659</v>
      </c>
      <c r="E178" s="83">
        <v>3636.4263254435914</v>
      </c>
      <c r="F178" s="83">
        <v>6533.5823100000007</v>
      </c>
      <c r="G178" s="83">
        <v>6881.9726176951281</v>
      </c>
      <c r="H178" s="96">
        <v>0.60995245775548645</v>
      </c>
      <c r="I178" s="96">
        <v>5.3323015026824905E-2</v>
      </c>
      <c r="J178" s="96">
        <v>0.19631953630906684</v>
      </c>
    </row>
    <row r="179" spans="1:10" x14ac:dyDescent="0.25">
      <c r="A179" s="95">
        <v>44621</v>
      </c>
      <c r="B179" s="83">
        <v>0</v>
      </c>
      <c r="C179" s="83">
        <v>0</v>
      </c>
      <c r="D179" s="83">
        <v>2326.3441499999999</v>
      </c>
      <c r="E179" s="83">
        <v>3745.3034818775977</v>
      </c>
      <c r="F179" s="83">
        <v>6729.2023500000005</v>
      </c>
      <c r="G179" s="83">
        <v>7088.0237080275947</v>
      </c>
      <c r="H179" s="96">
        <v>0.60995245775548645</v>
      </c>
      <c r="I179" s="96">
        <v>5.3323015026824683E-2</v>
      </c>
      <c r="J179" s="96">
        <v>0.19631953630906662</v>
      </c>
    </row>
    <row r="180" spans="1:10" x14ac:dyDescent="0.25">
      <c r="A180" s="95">
        <v>44652</v>
      </c>
      <c r="B180" s="83">
        <v>0</v>
      </c>
      <c r="C180" s="83">
        <v>0</v>
      </c>
      <c r="D180" s="83">
        <v>1603.5929000000001</v>
      </c>
      <c r="E180" s="83">
        <v>2581.7083305942479</v>
      </c>
      <c r="F180" s="83">
        <v>4638.5661</v>
      </c>
      <c r="G180" s="83">
        <v>4885.9084298532207</v>
      </c>
      <c r="H180" s="96">
        <v>0.60995245775548623</v>
      </c>
      <c r="I180" s="96">
        <v>5.3323015026824905E-2</v>
      </c>
      <c r="J180" s="96">
        <v>0.19631953630906684</v>
      </c>
    </row>
    <row r="181" spans="1:10" x14ac:dyDescent="0.25">
      <c r="A181" s="95">
        <v>44682</v>
      </c>
      <c r="B181" s="83">
        <v>0</v>
      </c>
      <c r="C181" s="83">
        <v>0</v>
      </c>
      <c r="D181" s="83">
        <v>1357.3085499999997</v>
      </c>
      <c r="E181" s="83">
        <v>2185.202236005035</v>
      </c>
      <c r="F181" s="83">
        <v>3926.1619500000002</v>
      </c>
      <c r="G181" s="83">
        <v>4135.5167426575981</v>
      </c>
      <c r="H181" s="96">
        <v>0.60995245775548645</v>
      </c>
      <c r="I181" s="96">
        <v>5.3323015026824905E-2</v>
      </c>
      <c r="J181" s="96">
        <v>0.19631953630906684</v>
      </c>
    </row>
    <row r="182" spans="1:10" x14ac:dyDescent="0.25">
      <c r="A182" s="95">
        <v>44713</v>
      </c>
      <c r="B182" s="83">
        <v>0</v>
      </c>
      <c r="C182" s="83">
        <v>0</v>
      </c>
      <c r="D182" s="83">
        <v>1228.27458</v>
      </c>
      <c r="E182" s="83">
        <v>1977.4636788695877</v>
      </c>
      <c r="F182" s="83">
        <v>3552.9172200000003</v>
      </c>
      <c r="G182" s="83">
        <v>3742.369478311125</v>
      </c>
      <c r="H182" s="96">
        <v>0.60995245775548623</v>
      </c>
      <c r="I182" s="96">
        <v>5.3323015026824905E-2</v>
      </c>
      <c r="J182" s="96">
        <v>0.19631953630906684</v>
      </c>
    </row>
    <row r="183" spans="1:10" x14ac:dyDescent="0.25">
      <c r="A183" s="95">
        <v>44743</v>
      </c>
      <c r="B183" s="83">
        <v>0</v>
      </c>
      <c r="C183" s="83">
        <v>0</v>
      </c>
      <c r="D183" s="83">
        <v>1228.27458</v>
      </c>
      <c r="E183" s="83">
        <v>1977.4636788695877</v>
      </c>
      <c r="F183" s="83">
        <v>3552.9172200000003</v>
      </c>
      <c r="G183" s="83">
        <v>3742.369478311125</v>
      </c>
      <c r="H183" s="96">
        <v>0.60995245775548623</v>
      </c>
      <c r="I183" s="96">
        <v>5.3323015026824905E-2</v>
      </c>
      <c r="J183" s="96">
        <v>0.19631953630906684</v>
      </c>
    </row>
    <row r="184" spans="1:10" x14ac:dyDescent="0.25">
      <c r="A184" s="94" t="s">
        <v>25</v>
      </c>
      <c r="B184" s="83">
        <v>60410.2</v>
      </c>
      <c r="C184" s="83">
        <v>57333.584722780666</v>
      </c>
      <c r="D184" s="83">
        <v>0</v>
      </c>
      <c r="E184" s="83">
        <v>0</v>
      </c>
      <c r="F184" s="83">
        <v>0</v>
      </c>
      <c r="G184" s="83">
        <v>0</v>
      </c>
      <c r="H184" s="96">
        <v>-5.0928738478259294E-2</v>
      </c>
      <c r="I184" s="96">
        <v>0</v>
      </c>
      <c r="J184" s="96">
        <v>-5.0928738478259294E-2</v>
      </c>
    </row>
    <row r="185" spans="1:10" x14ac:dyDescent="0.25">
      <c r="A185" s="95">
        <v>44409</v>
      </c>
      <c r="B185" s="83">
        <v>5198.2999999999993</v>
      </c>
      <c r="C185" s="83">
        <v>4933.5571387684649</v>
      </c>
      <c r="D185" s="83">
        <v>0</v>
      </c>
      <c r="E185" s="83">
        <v>0</v>
      </c>
      <c r="F185" s="83">
        <v>0</v>
      </c>
      <c r="G185" s="83">
        <v>0</v>
      </c>
      <c r="H185" s="96">
        <v>-5.0928738478259072E-2</v>
      </c>
      <c r="I185" s="96">
        <v>0</v>
      </c>
      <c r="J185" s="96">
        <v>-5.0928738478259072E-2</v>
      </c>
    </row>
    <row r="186" spans="1:10" x14ac:dyDescent="0.25">
      <c r="A186" s="95">
        <v>44440</v>
      </c>
      <c r="B186" s="83">
        <v>4786.0999999999995</v>
      </c>
      <c r="C186" s="83">
        <v>4542.3499647692033</v>
      </c>
      <c r="D186" s="83">
        <v>0</v>
      </c>
      <c r="E186" s="83">
        <v>0</v>
      </c>
      <c r="F186" s="83">
        <v>0</v>
      </c>
      <c r="G186" s="83">
        <v>0</v>
      </c>
      <c r="H186" s="96">
        <v>-5.0928738478259183E-2</v>
      </c>
      <c r="I186" s="96">
        <v>0</v>
      </c>
      <c r="J186" s="96">
        <v>-5.0928738478259183E-2</v>
      </c>
    </row>
    <row r="187" spans="1:10" x14ac:dyDescent="0.25">
      <c r="A187" s="95">
        <v>44470</v>
      </c>
      <c r="B187" s="83">
        <v>4969.2999999999993</v>
      </c>
      <c r="C187" s="83">
        <v>4716.2198198799861</v>
      </c>
      <c r="D187" s="83">
        <v>0</v>
      </c>
      <c r="E187" s="83">
        <v>0</v>
      </c>
      <c r="F187" s="83">
        <v>0</v>
      </c>
      <c r="G187" s="83">
        <v>0</v>
      </c>
      <c r="H187" s="96">
        <v>-5.0928738478259183E-2</v>
      </c>
      <c r="I187" s="96">
        <v>0</v>
      </c>
      <c r="J187" s="96">
        <v>-5.0928738478259183E-2</v>
      </c>
    </row>
    <row r="188" spans="1:10" x14ac:dyDescent="0.25">
      <c r="A188" s="95">
        <v>44501</v>
      </c>
      <c r="B188" s="83">
        <v>5839.5</v>
      </c>
      <c r="C188" s="83">
        <v>5542.1016316562054</v>
      </c>
      <c r="D188" s="83">
        <v>0</v>
      </c>
      <c r="E188" s="83">
        <v>0</v>
      </c>
      <c r="F188" s="83">
        <v>0</v>
      </c>
      <c r="G188" s="83">
        <v>0</v>
      </c>
      <c r="H188" s="96">
        <v>-5.0928738478259183E-2</v>
      </c>
      <c r="I188" s="96">
        <v>0</v>
      </c>
      <c r="J188" s="96">
        <v>-5.0928738478259183E-2</v>
      </c>
    </row>
    <row r="189" spans="1:10" x14ac:dyDescent="0.25">
      <c r="A189" s="95">
        <v>44531</v>
      </c>
      <c r="B189" s="83">
        <v>5381.5</v>
      </c>
      <c r="C189" s="83">
        <v>5107.4269938792477</v>
      </c>
      <c r="D189" s="83">
        <v>0</v>
      </c>
      <c r="E189" s="83">
        <v>0</v>
      </c>
      <c r="F189" s="83">
        <v>0</v>
      </c>
      <c r="G189" s="83">
        <v>0</v>
      </c>
      <c r="H189" s="96">
        <v>-5.0928738478259294E-2</v>
      </c>
      <c r="I189" s="96">
        <v>0</v>
      </c>
      <c r="J189" s="96">
        <v>-5.0928738478259294E-2</v>
      </c>
    </row>
    <row r="190" spans="1:10" x14ac:dyDescent="0.25">
      <c r="A190" s="95">
        <v>44562</v>
      </c>
      <c r="B190" s="83">
        <v>5679.2</v>
      </c>
      <c r="C190" s="83">
        <v>5389.9655084342703</v>
      </c>
      <c r="D190" s="83">
        <v>0</v>
      </c>
      <c r="E190" s="83">
        <v>0</v>
      </c>
      <c r="F190" s="83">
        <v>0</v>
      </c>
      <c r="G190" s="83">
        <v>0</v>
      </c>
      <c r="H190" s="96">
        <v>-5.0928738478259183E-2</v>
      </c>
      <c r="I190" s="96">
        <v>0</v>
      </c>
      <c r="J190" s="96">
        <v>-5.0928738478259183E-2</v>
      </c>
    </row>
    <row r="191" spans="1:10" x14ac:dyDescent="0.25">
      <c r="A191" s="95">
        <v>44593</v>
      </c>
      <c r="B191" s="83">
        <v>5587.5999999999995</v>
      </c>
      <c r="C191" s="83">
        <v>5303.0305808788789</v>
      </c>
      <c r="D191" s="83">
        <v>0</v>
      </c>
      <c r="E191" s="83">
        <v>0</v>
      </c>
      <c r="F191" s="83">
        <v>0</v>
      </c>
      <c r="G191" s="83">
        <v>0</v>
      </c>
      <c r="H191" s="96">
        <v>-5.0928738478259072E-2</v>
      </c>
      <c r="I191" s="96">
        <v>0</v>
      </c>
      <c r="J191" s="96">
        <v>-5.0928738478259072E-2</v>
      </c>
    </row>
    <row r="192" spans="1:10" x14ac:dyDescent="0.25">
      <c r="A192" s="95">
        <v>44621</v>
      </c>
      <c r="B192" s="83">
        <v>6412</v>
      </c>
      <c r="C192" s="83">
        <v>6085.4449288774013</v>
      </c>
      <c r="D192" s="83">
        <v>0</v>
      </c>
      <c r="E192" s="83">
        <v>0</v>
      </c>
      <c r="F192" s="83">
        <v>0</v>
      </c>
      <c r="G192" s="83">
        <v>0</v>
      </c>
      <c r="H192" s="96">
        <v>-5.0928738478259294E-2</v>
      </c>
      <c r="I192" s="96">
        <v>0</v>
      </c>
      <c r="J192" s="96">
        <v>-5.0928738478259294E-2</v>
      </c>
    </row>
    <row r="193" spans="1:10" x14ac:dyDescent="0.25">
      <c r="A193" s="95">
        <v>44652</v>
      </c>
      <c r="B193" s="83">
        <v>5564.7</v>
      </c>
      <c r="C193" s="83">
        <v>5281.2968489900304</v>
      </c>
      <c r="D193" s="83">
        <v>0</v>
      </c>
      <c r="E193" s="83">
        <v>0</v>
      </c>
      <c r="F193" s="83">
        <v>0</v>
      </c>
      <c r="G193" s="83">
        <v>0</v>
      </c>
      <c r="H193" s="96">
        <v>-5.0928738478259294E-2</v>
      </c>
      <c r="I193" s="96">
        <v>0</v>
      </c>
      <c r="J193" s="96">
        <v>-5.0928738478259294E-2</v>
      </c>
    </row>
    <row r="194" spans="1:10" x14ac:dyDescent="0.25">
      <c r="A194" s="95">
        <v>44682</v>
      </c>
      <c r="B194" s="83">
        <v>3664</v>
      </c>
      <c r="C194" s="83">
        <v>3477.3971022156584</v>
      </c>
      <c r="D194" s="83">
        <v>0</v>
      </c>
      <c r="E194" s="83">
        <v>0</v>
      </c>
      <c r="F194" s="83">
        <v>0</v>
      </c>
      <c r="G194" s="83">
        <v>0</v>
      </c>
      <c r="H194" s="96">
        <v>-5.0928738478259183E-2</v>
      </c>
      <c r="I194" s="96">
        <v>0</v>
      </c>
      <c r="J194" s="96">
        <v>-5.0928738478259183E-2</v>
      </c>
    </row>
    <row r="195" spans="1:10" x14ac:dyDescent="0.25">
      <c r="A195" s="95">
        <v>44713</v>
      </c>
      <c r="B195" s="83">
        <v>3664</v>
      </c>
      <c r="C195" s="83">
        <v>3477.3971022156584</v>
      </c>
      <c r="D195" s="83">
        <v>0</v>
      </c>
      <c r="E195" s="83">
        <v>0</v>
      </c>
      <c r="F195" s="83">
        <v>0</v>
      </c>
      <c r="G195" s="83">
        <v>0</v>
      </c>
      <c r="H195" s="96">
        <v>-5.0928738478259183E-2</v>
      </c>
      <c r="I195" s="96">
        <v>0</v>
      </c>
      <c r="J195" s="96">
        <v>-5.0928738478259183E-2</v>
      </c>
    </row>
    <row r="196" spans="1:10" x14ac:dyDescent="0.25">
      <c r="A196" s="95">
        <v>44743</v>
      </c>
      <c r="B196" s="83">
        <v>3664</v>
      </c>
      <c r="C196" s="83">
        <v>3477.3971022156584</v>
      </c>
      <c r="D196" s="83">
        <v>0</v>
      </c>
      <c r="E196" s="83">
        <v>0</v>
      </c>
      <c r="F196" s="83">
        <v>0</v>
      </c>
      <c r="G196" s="83">
        <v>0</v>
      </c>
      <c r="H196" s="96">
        <v>-5.0928738478259183E-2</v>
      </c>
      <c r="I196" s="96">
        <v>0</v>
      </c>
      <c r="J196" s="96">
        <v>-5.0928738478259183E-2</v>
      </c>
    </row>
    <row r="197" spans="1:10" x14ac:dyDescent="0.25">
      <c r="A197" s="94" t="s">
        <v>37</v>
      </c>
      <c r="B197" s="83">
        <v>0</v>
      </c>
      <c r="C197" s="83">
        <v>0</v>
      </c>
      <c r="D197" s="83">
        <v>33242.658450000003</v>
      </c>
      <c r="E197" s="83">
        <v>32673.995769533609</v>
      </c>
      <c r="F197" s="83">
        <v>7863.9370499999995</v>
      </c>
      <c r="G197" s="83">
        <v>7938.4774069468021</v>
      </c>
      <c r="H197" s="96">
        <v>-1.7106414077012411E-2</v>
      </c>
      <c r="I197" s="96">
        <v>9.4787580918900272E-3</v>
      </c>
      <c r="J197" s="96">
        <v>-1.2020511976468473E-2</v>
      </c>
    </row>
    <row r="198" spans="1:10" x14ac:dyDescent="0.25">
      <c r="A198" s="95">
        <v>44409</v>
      </c>
      <c r="B198" s="83">
        <v>0</v>
      </c>
      <c r="C198" s="83">
        <v>0</v>
      </c>
      <c r="D198" s="83">
        <v>2535.16093</v>
      </c>
      <c r="E198" s="83">
        <v>2491.7934173795561</v>
      </c>
      <c r="F198" s="83">
        <v>599.72176999999999</v>
      </c>
      <c r="G198" s="83">
        <v>605.40638758027012</v>
      </c>
      <c r="H198" s="96">
        <v>-1.7106414077012411E-2</v>
      </c>
      <c r="I198" s="96">
        <v>9.4787580918900272E-3</v>
      </c>
      <c r="J198" s="96">
        <v>-1.2020511976468584E-2</v>
      </c>
    </row>
    <row r="199" spans="1:10" x14ac:dyDescent="0.25">
      <c r="A199" s="95">
        <v>44440</v>
      </c>
      <c r="B199" s="83">
        <v>0</v>
      </c>
      <c r="C199" s="83">
        <v>0</v>
      </c>
      <c r="D199" s="83">
        <v>2688.5769</v>
      </c>
      <c r="E199" s="83">
        <v>2642.5849902707096</v>
      </c>
      <c r="F199" s="83">
        <v>636.01409999999998</v>
      </c>
      <c r="G199" s="83">
        <v>642.04272379693123</v>
      </c>
      <c r="H199" s="96">
        <v>-1.7106414077012411E-2</v>
      </c>
      <c r="I199" s="96">
        <v>9.4787580918902492E-3</v>
      </c>
      <c r="J199" s="96">
        <v>-1.2020511976468473E-2</v>
      </c>
    </row>
    <row r="200" spans="1:10" x14ac:dyDescent="0.25">
      <c r="A200" s="95">
        <v>44470</v>
      </c>
      <c r="B200" s="83">
        <v>0</v>
      </c>
      <c r="C200" s="83">
        <v>0</v>
      </c>
      <c r="D200" s="83">
        <v>2390.85878</v>
      </c>
      <c r="E200" s="83">
        <v>2349.9597597096595</v>
      </c>
      <c r="F200" s="83">
        <v>565.58542</v>
      </c>
      <c r="G200" s="83">
        <v>570.94646737648009</v>
      </c>
      <c r="H200" s="96">
        <v>-1.71064140770123E-2</v>
      </c>
      <c r="I200" s="96">
        <v>9.4787580918902492E-3</v>
      </c>
      <c r="J200" s="96">
        <v>-1.2020511976468362E-2</v>
      </c>
    </row>
    <row r="201" spans="1:10" x14ac:dyDescent="0.25">
      <c r="A201" s="95">
        <v>44501</v>
      </c>
      <c r="B201" s="83">
        <v>0</v>
      </c>
      <c r="C201" s="83">
        <v>0</v>
      </c>
      <c r="D201" s="83">
        <v>2811.6134700000002</v>
      </c>
      <c r="E201" s="83">
        <v>2763.5168457576742</v>
      </c>
      <c r="F201" s="83">
        <v>665.11982999999998</v>
      </c>
      <c r="G201" s="83">
        <v>671.42433997068906</v>
      </c>
      <c r="H201" s="96">
        <v>-1.7106414077012522E-2</v>
      </c>
      <c r="I201" s="96">
        <v>9.4787580918900272E-3</v>
      </c>
      <c r="J201" s="96">
        <v>-1.2020511976468584E-2</v>
      </c>
    </row>
    <row r="202" spans="1:10" x14ac:dyDescent="0.25">
      <c r="A202" s="95">
        <v>44531</v>
      </c>
      <c r="B202" s="83">
        <v>0</v>
      </c>
      <c r="C202" s="83">
        <v>0</v>
      </c>
      <c r="D202" s="83">
        <v>3238.4440399999999</v>
      </c>
      <c r="E202" s="83">
        <v>3183.045875286527</v>
      </c>
      <c r="F202" s="83">
        <v>766.09155999999996</v>
      </c>
      <c r="G202" s="83">
        <v>773.35315657347871</v>
      </c>
      <c r="H202" s="96">
        <v>-1.7106414077012411E-2</v>
      </c>
      <c r="I202" s="96">
        <v>9.4787580918902492E-3</v>
      </c>
      <c r="J202" s="96">
        <v>-1.2020511976468362E-2</v>
      </c>
    </row>
    <row r="203" spans="1:10" x14ac:dyDescent="0.25">
      <c r="A203" s="95">
        <v>44562</v>
      </c>
      <c r="B203" s="83">
        <v>0</v>
      </c>
      <c r="C203" s="83">
        <v>0</v>
      </c>
      <c r="D203" s="83">
        <v>2778.1961300000003</v>
      </c>
      <c r="E203" s="83">
        <v>2730.6711566130666</v>
      </c>
      <c r="F203" s="83">
        <v>657.21456999999998</v>
      </c>
      <c r="G203" s="83">
        <v>663.44414792349551</v>
      </c>
      <c r="H203" s="96">
        <v>-1.7106414077012522E-2</v>
      </c>
      <c r="I203" s="96">
        <v>9.4787580918900272E-3</v>
      </c>
      <c r="J203" s="96">
        <v>-1.2020511976468473E-2</v>
      </c>
    </row>
    <row r="204" spans="1:10" x14ac:dyDescent="0.25">
      <c r="A204" s="95">
        <v>44593</v>
      </c>
      <c r="B204" s="83">
        <v>0</v>
      </c>
      <c r="C204" s="83">
        <v>0</v>
      </c>
      <c r="D204" s="83">
        <v>3185.2800900000002</v>
      </c>
      <c r="E204" s="83">
        <v>3130.7913698291964</v>
      </c>
      <c r="F204" s="83">
        <v>753.51501000000007</v>
      </c>
      <c r="G204" s="83">
        <v>760.65739649839816</v>
      </c>
      <c r="H204" s="96">
        <v>-1.7106414077012522E-2</v>
      </c>
      <c r="I204" s="96">
        <v>9.4787580918900272E-3</v>
      </c>
      <c r="J204" s="96">
        <v>-1.2020511976468584E-2</v>
      </c>
    </row>
    <row r="205" spans="1:10" x14ac:dyDescent="0.25">
      <c r="A205" s="95">
        <v>44621</v>
      </c>
      <c r="B205" s="83">
        <v>0</v>
      </c>
      <c r="C205" s="83">
        <v>0</v>
      </c>
      <c r="D205" s="83">
        <v>2808.5755300000001</v>
      </c>
      <c r="E205" s="83">
        <v>2760.5308740172554</v>
      </c>
      <c r="F205" s="83">
        <v>664.40116999999998</v>
      </c>
      <c r="G205" s="83">
        <v>670.69886796639878</v>
      </c>
      <c r="H205" s="96">
        <v>-1.7106414077012411E-2</v>
      </c>
      <c r="I205" s="96">
        <v>9.4787580918902492E-3</v>
      </c>
      <c r="J205" s="96">
        <v>-1.2020511976468473E-2</v>
      </c>
    </row>
    <row r="206" spans="1:10" x14ac:dyDescent="0.25">
      <c r="A206" s="95">
        <v>44652</v>
      </c>
      <c r="B206" s="83">
        <v>0</v>
      </c>
      <c r="C206" s="83">
        <v>0</v>
      </c>
      <c r="D206" s="83">
        <v>2601.9956099999999</v>
      </c>
      <c r="E206" s="83">
        <v>2557.4847956687718</v>
      </c>
      <c r="F206" s="83">
        <v>615.53228999999999</v>
      </c>
      <c r="G206" s="83">
        <v>621.36677167465723</v>
      </c>
      <c r="H206" s="96">
        <v>-1.71064140770123E-2</v>
      </c>
      <c r="I206" s="96">
        <v>9.4787580918902492E-3</v>
      </c>
      <c r="J206" s="96">
        <v>-1.2020511976468362E-2</v>
      </c>
    </row>
    <row r="207" spans="1:10" x14ac:dyDescent="0.25">
      <c r="A207" s="95">
        <v>44682</v>
      </c>
      <c r="B207" s="83">
        <v>0</v>
      </c>
      <c r="C207" s="83">
        <v>0</v>
      </c>
      <c r="D207" s="83">
        <v>2793.3858300000002</v>
      </c>
      <c r="E207" s="83">
        <v>2745.601015315161</v>
      </c>
      <c r="F207" s="83">
        <v>660.80786999999998</v>
      </c>
      <c r="G207" s="83">
        <v>667.07150794494714</v>
      </c>
      <c r="H207" s="96">
        <v>-1.7106414077012411E-2</v>
      </c>
      <c r="I207" s="96">
        <v>9.4787580918900272E-3</v>
      </c>
      <c r="J207" s="96">
        <v>-1.2020511976468473E-2</v>
      </c>
    </row>
    <row r="208" spans="1:10" x14ac:dyDescent="0.25">
      <c r="A208" s="95">
        <v>44713</v>
      </c>
      <c r="B208" s="83">
        <v>0</v>
      </c>
      <c r="C208" s="83">
        <v>0</v>
      </c>
      <c r="D208" s="83">
        <v>2705.28557</v>
      </c>
      <c r="E208" s="83">
        <v>2659.0078348430134</v>
      </c>
      <c r="F208" s="83">
        <v>639.96672999999998</v>
      </c>
      <c r="G208" s="83">
        <v>646.03281982052795</v>
      </c>
      <c r="H208" s="96">
        <v>-1.7106414077012411E-2</v>
      </c>
      <c r="I208" s="96">
        <v>9.4787580918900272E-3</v>
      </c>
      <c r="J208" s="96">
        <v>-1.2020511976468473E-2</v>
      </c>
    </row>
    <row r="209" spans="1:10" x14ac:dyDescent="0.25">
      <c r="A209" s="95">
        <v>44743</v>
      </c>
      <c r="B209" s="83">
        <v>0</v>
      </c>
      <c r="C209" s="83">
        <v>0</v>
      </c>
      <c r="D209" s="83">
        <v>2705.28557</v>
      </c>
      <c r="E209" s="83">
        <v>2659.0078348430134</v>
      </c>
      <c r="F209" s="83">
        <v>639.96672999999998</v>
      </c>
      <c r="G209" s="83">
        <v>646.03281982052795</v>
      </c>
      <c r="H209" s="96">
        <v>-1.7106414077012411E-2</v>
      </c>
      <c r="I209" s="96">
        <v>9.4787580918900272E-3</v>
      </c>
      <c r="J209" s="96">
        <v>-1.2020511976468473E-2</v>
      </c>
    </row>
    <row r="210" spans="1:10" x14ac:dyDescent="0.25">
      <c r="A210" s="90" t="s">
        <v>47</v>
      </c>
      <c r="B210" s="83">
        <v>108189.67599999996</v>
      </c>
      <c r="C210" s="83">
        <v>92848.67600234694</v>
      </c>
      <c r="D210" s="83">
        <v>432253.34813719994</v>
      </c>
      <c r="E210" s="83">
        <v>509944.55360032024</v>
      </c>
      <c r="F210" s="83">
        <v>462653.06492280005</v>
      </c>
      <c r="G210" s="83">
        <v>499701.90145115071</v>
      </c>
      <c r="H210" s="96">
        <v>0.11536869324015675</v>
      </c>
      <c r="I210" s="96">
        <v>8.0079090223973193E-2</v>
      </c>
      <c r="J210" s="96">
        <v>9.9092243582531214E-2</v>
      </c>
    </row>
    <row r="211" spans="1:10" x14ac:dyDescent="0.25">
      <c r="A211" s="91" t="s">
        <v>48</v>
      </c>
      <c r="B211" s="83">
        <v>108189.67599999996</v>
      </c>
      <c r="C211" s="83">
        <v>92848.67600234694</v>
      </c>
      <c r="D211" s="83">
        <v>432253.34813719994</v>
      </c>
      <c r="E211" s="83">
        <v>509944.55360032024</v>
      </c>
      <c r="F211" s="83">
        <v>462653.06492280005</v>
      </c>
      <c r="G211" s="83">
        <v>499701.90145115071</v>
      </c>
      <c r="H211" s="96">
        <v>0.11536869324015675</v>
      </c>
      <c r="I211" s="96">
        <v>8.0079090223973193E-2</v>
      </c>
      <c r="J211" s="96">
        <v>9.9092243582531214E-2</v>
      </c>
    </row>
    <row r="212" spans="1:10" x14ac:dyDescent="0.25">
      <c r="A212" s="92" t="s">
        <v>25</v>
      </c>
      <c r="B212" s="83">
        <v>108189.67599999996</v>
      </c>
      <c r="C212" s="83">
        <v>92848.67600234694</v>
      </c>
      <c r="D212" s="83">
        <v>432253.34813719994</v>
      </c>
      <c r="E212" s="83">
        <v>509944.55360032024</v>
      </c>
      <c r="F212" s="83">
        <v>462653.06492280005</v>
      </c>
      <c r="G212" s="83">
        <v>499701.90145115071</v>
      </c>
      <c r="H212" s="96">
        <v>0.11536869324015675</v>
      </c>
      <c r="I212" s="96">
        <v>8.0079090223973193E-2</v>
      </c>
      <c r="J212" s="96">
        <v>9.9092243582531214E-2</v>
      </c>
    </row>
    <row r="213" spans="1:10" x14ac:dyDescent="0.25">
      <c r="A213" s="93" t="s">
        <v>25</v>
      </c>
      <c r="B213" s="83">
        <v>108189.67599999996</v>
      </c>
      <c r="C213" s="83">
        <v>92848.67600234694</v>
      </c>
      <c r="D213" s="83">
        <v>432253.34813719994</v>
      </c>
      <c r="E213" s="83">
        <v>509944.55360032024</v>
      </c>
      <c r="F213" s="83">
        <v>462653.06492280005</v>
      </c>
      <c r="G213" s="83">
        <v>499701.90145115071</v>
      </c>
      <c r="H213" s="96">
        <v>0.11536869324015675</v>
      </c>
      <c r="I213" s="96">
        <v>8.0079090223973193E-2</v>
      </c>
      <c r="J213" s="96">
        <v>9.9092243582531214E-2</v>
      </c>
    </row>
    <row r="214" spans="1:10" x14ac:dyDescent="0.25">
      <c r="A214" s="94" t="s">
        <v>38</v>
      </c>
      <c r="B214" s="83">
        <v>0</v>
      </c>
      <c r="C214" s="83">
        <v>0</v>
      </c>
      <c r="D214" s="83">
        <v>135689.82761360001</v>
      </c>
      <c r="E214" s="83">
        <v>218454.17145893362</v>
      </c>
      <c r="F214" s="83">
        <v>392497.51884240005</v>
      </c>
      <c r="G214" s="83">
        <v>426621.13812712359</v>
      </c>
      <c r="H214" s="96">
        <v>0.60995245775548668</v>
      </c>
      <c r="I214" s="96">
        <v>8.6939706995766253E-2</v>
      </c>
      <c r="J214" s="96">
        <v>0.22130019568689963</v>
      </c>
    </row>
    <row r="215" spans="1:10" x14ac:dyDescent="0.25">
      <c r="A215" s="95">
        <v>44409</v>
      </c>
      <c r="B215" s="83">
        <v>0</v>
      </c>
      <c r="C215" s="83">
        <v>0</v>
      </c>
      <c r="D215" s="83">
        <v>9953.2998577999988</v>
      </c>
      <c r="E215" s="83">
        <v>16024.339568842441</v>
      </c>
      <c r="F215" s="83">
        <v>28790.997580199997</v>
      </c>
      <c r="G215" s="83">
        <v>31294.0784739384</v>
      </c>
      <c r="H215" s="96">
        <v>0.60995245775548623</v>
      </c>
      <c r="I215" s="96">
        <v>8.6939706995766253E-2</v>
      </c>
      <c r="J215" s="96">
        <v>0.22130019568689963</v>
      </c>
    </row>
    <row r="216" spans="1:10" x14ac:dyDescent="0.25">
      <c r="A216" s="95">
        <v>44440</v>
      </c>
      <c r="B216" s="83">
        <v>0</v>
      </c>
      <c r="C216" s="83">
        <v>0</v>
      </c>
      <c r="D216" s="83">
        <v>9558.2582965999991</v>
      </c>
      <c r="E216" s="83">
        <v>15388.341436472936</v>
      </c>
      <c r="F216" s="83">
        <v>27648.297089399999</v>
      </c>
      <c r="G216" s="83">
        <v>30052.03193728433</v>
      </c>
      <c r="H216" s="96">
        <v>0.60995245775548623</v>
      </c>
      <c r="I216" s="96">
        <v>8.6939706995766253E-2</v>
      </c>
      <c r="J216" s="96">
        <v>0.2213001956868994</v>
      </c>
    </row>
    <row r="217" spans="1:10" x14ac:dyDescent="0.25">
      <c r="A217" s="95">
        <v>44470</v>
      </c>
      <c r="B217" s="83">
        <v>0</v>
      </c>
      <c r="C217" s="83">
        <v>0</v>
      </c>
      <c r="D217" s="83">
        <v>10124.1267816</v>
      </c>
      <c r="E217" s="83">
        <v>16299.362794665061</v>
      </c>
      <c r="F217" s="83">
        <v>29285.1329544</v>
      </c>
      <c r="G217" s="83">
        <v>31831.17383278759</v>
      </c>
      <c r="H217" s="96">
        <v>0.60995245775548623</v>
      </c>
      <c r="I217" s="96">
        <v>8.6939706995766031E-2</v>
      </c>
      <c r="J217" s="96">
        <v>0.22130019568689963</v>
      </c>
    </row>
    <row r="218" spans="1:10" x14ac:dyDescent="0.25">
      <c r="A218" s="95">
        <v>44501</v>
      </c>
      <c r="B218" s="83">
        <v>0</v>
      </c>
      <c r="C218" s="83">
        <v>0</v>
      </c>
      <c r="D218" s="83">
        <v>10338.778413599999</v>
      </c>
      <c r="E218" s="83">
        <v>16644.941717164689</v>
      </c>
      <c r="F218" s="83">
        <v>29906.036042399999</v>
      </c>
      <c r="G218" s="83">
        <v>32506.058053331079</v>
      </c>
      <c r="H218" s="96">
        <v>0.60995245775548668</v>
      </c>
      <c r="I218" s="96">
        <v>8.6939706995766253E-2</v>
      </c>
      <c r="J218" s="96">
        <v>0.22130019568689963</v>
      </c>
    </row>
    <row r="219" spans="1:10" x14ac:dyDescent="0.25">
      <c r="A219" s="95">
        <v>44531</v>
      </c>
      <c r="B219" s="83">
        <v>0</v>
      </c>
      <c r="C219" s="83">
        <v>0</v>
      </c>
      <c r="D219" s="83">
        <v>12319.5589062</v>
      </c>
      <c r="E219" s="83">
        <v>19833.90413950018</v>
      </c>
      <c r="F219" s="83">
        <v>35635.658095799998</v>
      </c>
      <c r="G219" s="83">
        <v>38733.811769250155</v>
      </c>
      <c r="H219" s="96">
        <v>0.60995245775548623</v>
      </c>
      <c r="I219" s="96">
        <v>8.6939706995766253E-2</v>
      </c>
      <c r="J219" s="96">
        <v>0.22130019568689985</v>
      </c>
    </row>
    <row r="220" spans="1:10" x14ac:dyDescent="0.25">
      <c r="A220" s="95">
        <v>44562</v>
      </c>
      <c r="B220" s="83">
        <v>0</v>
      </c>
      <c r="C220" s="83">
        <v>0</v>
      </c>
      <c r="D220" s="83">
        <v>15103.219060799998</v>
      </c>
      <c r="E220" s="83">
        <v>24315.464646954468</v>
      </c>
      <c r="F220" s="83">
        <v>43687.696507199995</v>
      </c>
      <c r="G220" s="83">
        <v>47485.892040855921</v>
      </c>
      <c r="H220" s="96">
        <v>0.60995245775548645</v>
      </c>
      <c r="I220" s="96">
        <v>8.6939706995766253E-2</v>
      </c>
      <c r="J220" s="96">
        <v>0.22130019568689963</v>
      </c>
    </row>
    <row r="221" spans="1:10" x14ac:dyDescent="0.25">
      <c r="A221" s="95">
        <v>44593</v>
      </c>
      <c r="B221" s="83">
        <v>0</v>
      </c>
      <c r="C221" s="83">
        <v>0</v>
      </c>
      <c r="D221" s="83">
        <v>12216.498603399998</v>
      </c>
      <c r="E221" s="83">
        <v>19667.981951710295</v>
      </c>
      <c r="F221" s="83">
        <v>35337.545010599999</v>
      </c>
      <c r="G221" s="83">
        <v>38409.780819771258</v>
      </c>
      <c r="H221" s="96">
        <v>0.60995245775548645</v>
      </c>
      <c r="I221" s="96">
        <v>8.6939706995766031E-2</v>
      </c>
      <c r="J221" s="96">
        <v>0.22130019568689963</v>
      </c>
    </row>
    <row r="222" spans="1:10" x14ac:dyDescent="0.25">
      <c r="A222" s="95">
        <v>44621</v>
      </c>
      <c r="B222" s="83">
        <v>0</v>
      </c>
      <c r="C222" s="83">
        <v>0</v>
      </c>
      <c r="D222" s="83">
        <v>11738.4859306</v>
      </c>
      <c r="E222" s="83">
        <v>18898.404274297667</v>
      </c>
      <c r="F222" s="83">
        <v>33954.841595400001</v>
      </c>
      <c r="G222" s="83">
        <v>36906.865574791729</v>
      </c>
      <c r="H222" s="96">
        <v>0.60995245775548645</v>
      </c>
      <c r="I222" s="96">
        <v>8.6939706995766031E-2</v>
      </c>
      <c r="J222" s="96">
        <v>0.22130019568689963</v>
      </c>
    </row>
    <row r="223" spans="1:10" x14ac:dyDescent="0.25">
      <c r="A223" s="95">
        <v>44652</v>
      </c>
      <c r="B223" s="83">
        <v>0</v>
      </c>
      <c r="C223" s="83">
        <v>0</v>
      </c>
      <c r="D223" s="83">
        <v>11300.307647199999</v>
      </c>
      <c r="E223" s="83">
        <v>18192.958070002758</v>
      </c>
      <c r="F223" s="83">
        <v>32687.363464800001</v>
      </c>
      <c r="G223" s="83">
        <v>35529.193266893824</v>
      </c>
      <c r="H223" s="96">
        <v>0.60995245775548645</v>
      </c>
      <c r="I223" s="96">
        <v>8.6939706995766253E-2</v>
      </c>
      <c r="J223" s="96">
        <v>0.22130019568689985</v>
      </c>
    </row>
    <row r="224" spans="1:10" x14ac:dyDescent="0.25">
      <c r="A224" s="95">
        <v>44682</v>
      </c>
      <c r="B224" s="83">
        <v>0</v>
      </c>
      <c r="C224" s="83">
        <v>0</v>
      </c>
      <c r="D224" s="83">
        <v>11018.164588599999</v>
      </c>
      <c r="E224" s="83">
        <v>17738.721159371038</v>
      </c>
      <c r="F224" s="83">
        <v>31871.234117399999</v>
      </c>
      <c r="G224" s="83">
        <v>34642.109873160225</v>
      </c>
      <c r="H224" s="96">
        <v>0.60995245775548668</v>
      </c>
      <c r="I224" s="96">
        <v>8.6939706995766253E-2</v>
      </c>
      <c r="J224" s="96">
        <v>0.22130019568689963</v>
      </c>
    </row>
    <row r="225" spans="1:10" x14ac:dyDescent="0.25">
      <c r="A225" s="95">
        <v>44713</v>
      </c>
      <c r="B225" s="83">
        <v>0</v>
      </c>
      <c r="C225" s="83">
        <v>0</v>
      </c>
      <c r="D225" s="83">
        <v>11009.564763599999</v>
      </c>
      <c r="E225" s="83">
        <v>17724.875849976019</v>
      </c>
      <c r="F225" s="83">
        <v>31846.358192399999</v>
      </c>
      <c r="G225" s="83">
        <v>34615.071242529477</v>
      </c>
      <c r="H225" s="96">
        <v>0.60995245775548623</v>
      </c>
      <c r="I225" s="96">
        <v>8.6939706995766253E-2</v>
      </c>
      <c r="J225" s="96">
        <v>0.22130019568689963</v>
      </c>
    </row>
    <row r="226" spans="1:10" x14ac:dyDescent="0.25">
      <c r="A226" s="95">
        <v>44743</v>
      </c>
      <c r="B226" s="83">
        <v>0</v>
      </c>
      <c r="C226" s="83">
        <v>0</v>
      </c>
      <c r="D226" s="83">
        <v>11009.564763599999</v>
      </c>
      <c r="E226" s="83">
        <v>17724.875849976019</v>
      </c>
      <c r="F226" s="83">
        <v>31846.358192399999</v>
      </c>
      <c r="G226" s="83">
        <v>34615.071242529477</v>
      </c>
      <c r="H226" s="96">
        <v>0.60995245775548623</v>
      </c>
      <c r="I226" s="96">
        <v>8.6939706995766253E-2</v>
      </c>
      <c r="J226" s="96">
        <v>0.22130019568689963</v>
      </c>
    </row>
    <row r="227" spans="1:10" x14ac:dyDescent="0.25">
      <c r="A227" s="94" t="s">
        <v>25</v>
      </c>
      <c r="B227" s="83">
        <v>108189.67599999996</v>
      </c>
      <c r="C227" s="83">
        <v>92848.67600234694</v>
      </c>
      <c r="D227" s="83">
        <v>0</v>
      </c>
      <c r="E227" s="83">
        <v>0</v>
      </c>
      <c r="F227" s="83">
        <v>0</v>
      </c>
      <c r="G227" s="83">
        <v>0</v>
      </c>
      <c r="H227" s="96">
        <v>-0.14179726351757471</v>
      </c>
      <c r="I227" s="96">
        <v>0</v>
      </c>
      <c r="J227" s="96">
        <v>-0.14179726351757471</v>
      </c>
    </row>
    <row r="228" spans="1:10" x14ac:dyDescent="0.25">
      <c r="A228" s="95">
        <v>44409</v>
      </c>
      <c r="B228" s="83">
        <v>8610.3999999999978</v>
      </c>
      <c r="C228" s="83">
        <v>7389.4688422082736</v>
      </c>
      <c r="D228" s="83">
        <v>0</v>
      </c>
      <c r="E228" s="83">
        <v>0</v>
      </c>
      <c r="F228" s="83">
        <v>0</v>
      </c>
      <c r="G228" s="83">
        <v>0</v>
      </c>
      <c r="H228" s="96">
        <v>-0.1417972635175746</v>
      </c>
      <c r="I228" s="96">
        <v>0</v>
      </c>
      <c r="J228" s="96">
        <v>-0.1417972635175746</v>
      </c>
    </row>
    <row r="229" spans="1:10" x14ac:dyDescent="0.25">
      <c r="A229" s="95">
        <v>44440</v>
      </c>
      <c r="B229" s="83">
        <v>8610.3999999999978</v>
      </c>
      <c r="C229" s="83">
        <v>7389.4688422082736</v>
      </c>
      <c r="D229" s="83">
        <v>0</v>
      </c>
      <c r="E229" s="83">
        <v>0</v>
      </c>
      <c r="F229" s="83">
        <v>0</v>
      </c>
      <c r="G229" s="83">
        <v>0</v>
      </c>
      <c r="H229" s="96">
        <v>-0.1417972635175746</v>
      </c>
      <c r="I229" s="96">
        <v>0</v>
      </c>
      <c r="J229" s="96">
        <v>-0.1417972635175746</v>
      </c>
    </row>
    <row r="230" spans="1:10" x14ac:dyDescent="0.25">
      <c r="A230" s="95">
        <v>44470</v>
      </c>
      <c r="B230" s="83">
        <v>8610.3999999999978</v>
      </c>
      <c r="C230" s="83">
        <v>7389.4688422082736</v>
      </c>
      <c r="D230" s="83">
        <v>0</v>
      </c>
      <c r="E230" s="83">
        <v>0</v>
      </c>
      <c r="F230" s="83">
        <v>0</v>
      </c>
      <c r="G230" s="83">
        <v>0</v>
      </c>
      <c r="H230" s="96">
        <v>-0.1417972635175746</v>
      </c>
      <c r="I230" s="96">
        <v>0</v>
      </c>
      <c r="J230" s="96">
        <v>-0.1417972635175746</v>
      </c>
    </row>
    <row r="231" spans="1:10" x14ac:dyDescent="0.25">
      <c r="A231" s="95">
        <v>44501</v>
      </c>
      <c r="B231" s="83">
        <v>8610.3999999999978</v>
      </c>
      <c r="C231" s="83">
        <v>7389.4688422082736</v>
      </c>
      <c r="D231" s="83">
        <v>0</v>
      </c>
      <c r="E231" s="83">
        <v>0</v>
      </c>
      <c r="F231" s="83">
        <v>0</v>
      </c>
      <c r="G231" s="83">
        <v>0</v>
      </c>
      <c r="H231" s="96">
        <v>-0.1417972635175746</v>
      </c>
      <c r="I231" s="96">
        <v>0</v>
      </c>
      <c r="J231" s="96">
        <v>-0.1417972635175746</v>
      </c>
    </row>
    <row r="232" spans="1:10" x14ac:dyDescent="0.25">
      <c r="A232" s="95">
        <v>44531</v>
      </c>
      <c r="B232" s="83">
        <v>10418.583999999999</v>
      </c>
      <c r="C232" s="83">
        <v>8941.2572990720109</v>
      </c>
      <c r="D232" s="83">
        <v>0</v>
      </c>
      <c r="E232" s="83">
        <v>0</v>
      </c>
      <c r="F232" s="83">
        <v>0</v>
      </c>
      <c r="G232" s="83">
        <v>0</v>
      </c>
      <c r="H232" s="96">
        <v>-0.14179726351757471</v>
      </c>
      <c r="I232" s="96">
        <v>0</v>
      </c>
      <c r="J232" s="96">
        <v>-0.14179726351757471</v>
      </c>
    </row>
    <row r="233" spans="1:10" x14ac:dyDescent="0.25">
      <c r="A233" s="95">
        <v>44562</v>
      </c>
      <c r="B233" s="83">
        <v>10547.739999999998</v>
      </c>
      <c r="C233" s="83">
        <v>9052.0993317051343</v>
      </c>
      <c r="D233" s="83">
        <v>0</v>
      </c>
      <c r="E233" s="83">
        <v>0</v>
      </c>
      <c r="F233" s="83">
        <v>0</v>
      </c>
      <c r="G233" s="83">
        <v>0</v>
      </c>
      <c r="H233" s="96">
        <v>-0.14179726351757471</v>
      </c>
      <c r="I233" s="96">
        <v>0</v>
      </c>
      <c r="J233" s="96">
        <v>-0.14179726351757471</v>
      </c>
    </row>
    <row r="234" spans="1:10" x14ac:dyDescent="0.25">
      <c r="A234" s="95">
        <v>44593</v>
      </c>
      <c r="B234" s="83">
        <v>9062.4459999999981</v>
      </c>
      <c r="C234" s="83">
        <v>7777.4159564242073</v>
      </c>
      <c r="D234" s="83">
        <v>0</v>
      </c>
      <c r="E234" s="83">
        <v>0</v>
      </c>
      <c r="F234" s="83">
        <v>0</v>
      </c>
      <c r="G234" s="83">
        <v>0</v>
      </c>
      <c r="H234" s="96">
        <v>-0.14179726351757471</v>
      </c>
      <c r="I234" s="96">
        <v>0</v>
      </c>
      <c r="J234" s="96">
        <v>-0.14179726351757471</v>
      </c>
    </row>
    <row r="235" spans="1:10" x14ac:dyDescent="0.25">
      <c r="A235" s="95">
        <v>44621</v>
      </c>
      <c r="B235" s="83">
        <v>9170.0759999999991</v>
      </c>
      <c r="C235" s="83">
        <v>7869.784316951811</v>
      </c>
      <c r="D235" s="83">
        <v>0</v>
      </c>
      <c r="E235" s="83">
        <v>0</v>
      </c>
      <c r="F235" s="83">
        <v>0</v>
      </c>
      <c r="G235" s="83">
        <v>0</v>
      </c>
      <c r="H235" s="96">
        <v>-0.14179726351757482</v>
      </c>
      <c r="I235" s="96">
        <v>0</v>
      </c>
      <c r="J235" s="96">
        <v>-0.14179726351757482</v>
      </c>
    </row>
    <row r="236" spans="1:10" x14ac:dyDescent="0.25">
      <c r="A236" s="95">
        <v>44652</v>
      </c>
      <c r="B236" s="83">
        <v>8718.0299999999988</v>
      </c>
      <c r="C236" s="83">
        <v>7481.8372027358773</v>
      </c>
      <c r="D236" s="83">
        <v>0</v>
      </c>
      <c r="E236" s="83">
        <v>0</v>
      </c>
      <c r="F236" s="83">
        <v>0</v>
      </c>
      <c r="G236" s="83">
        <v>0</v>
      </c>
      <c r="H236" s="96">
        <v>-0.14179726351757471</v>
      </c>
      <c r="I236" s="96">
        <v>0</v>
      </c>
      <c r="J236" s="96">
        <v>-0.14179726351757471</v>
      </c>
    </row>
    <row r="237" spans="1:10" x14ac:dyDescent="0.25">
      <c r="A237" s="95">
        <v>44682</v>
      </c>
      <c r="B237" s="83">
        <v>8610.3999999999978</v>
      </c>
      <c r="C237" s="83">
        <v>7389.4688422082736</v>
      </c>
      <c r="D237" s="83">
        <v>0</v>
      </c>
      <c r="E237" s="83">
        <v>0</v>
      </c>
      <c r="F237" s="83">
        <v>0</v>
      </c>
      <c r="G237" s="83">
        <v>0</v>
      </c>
      <c r="H237" s="96">
        <v>-0.1417972635175746</v>
      </c>
      <c r="I237" s="96">
        <v>0</v>
      </c>
      <c r="J237" s="96">
        <v>-0.1417972635175746</v>
      </c>
    </row>
    <row r="238" spans="1:10" x14ac:dyDescent="0.25">
      <c r="A238" s="95">
        <v>44713</v>
      </c>
      <c r="B238" s="83">
        <v>8610.3999999999978</v>
      </c>
      <c r="C238" s="83">
        <v>7389.4688422082736</v>
      </c>
      <c r="D238" s="83">
        <v>0</v>
      </c>
      <c r="E238" s="83">
        <v>0</v>
      </c>
      <c r="F238" s="83">
        <v>0</v>
      </c>
      <c r="G238" s="83">
        <v>0</v>
      </c>
      <c r="H238" s="96">
        <v>-0.1417972635175746</v>
      </c>
      <c r="I238" s="96">
        <v>0</v>
      </c>
      <c r="J238" s="96">
        <v>-0.1417972635175746</v>
      </c>
    </row>
    <row r="239" spans="1:10" x14ac:dyDescent="0.25">
      <c r="A239" s="95">
        <v>44743</v>
      </c>
      <c r="B239" s="83">
        <v>8610.3999999999978</v>
      </c>
      <c r="C239" s="83">
        <v>7389.4688422082736</v>
      </c>
      <c r="D239" s="83">
        <v>0</v>
      </c>
      <c r="E239" s="83">
        <v>0</v>
      </c>
      <c r="F239" s="83">
        <v>0</v>
      </c>
      <c r="G239" s="83">
        <v>0</v>
      </c>
      <c r="H239" s="96">
        <v>-0.1417972635175746</v>
      </c>
      <c r="I239" s="96">
        <v>0</v>
      </c>
      <c r="J239" s="96">
        <v>-0.1417972635175746</v>
      </c>
    </row>
    <row r="240" spans="1:10" x14ac:dyDescent="0.25">
      <c r="A240" s="94" t="s">
        <v>37</v>
      </c>
      <c r="B240" s="83">
        <v>0</v>
      </c>
      <c r="C240" s="83">
        <v>0</v>
      </c>
      <c r="D240" s="83">
        <v>296563.52052359993</v>
      </c>
      <c r="E240" s="83">
        <v>291490.38214138674</v>
      </c>
      <c r="F240" s="83">
        <v>70155.546080400003</v>
      </c>
      <c r="G240" s="83">
        <v>73080.763324027183</v>
      </c>
      <c r="H240" s="96">
        <v>-1.7106414077012189E-2</v>
      </c>
      <c r="I240" s="96">
        <v>4.1696165265035612E-2</v>
      </c>
      <c r="J240" s="96">
        <v>-5.8571297055176608E-3</v>
      </c>
    </row>
    <row r="241" spans="1:10" x14ac:dyDescent="0.25">
      <c r="A241" s="95">
        <v>44409</v>
      </c>
      <c r="B241" s="83">
        <v>0</v>
      </c>
      <c r="C241" s="83">
        <v>0</v>
      </c>
      <c r="D241" s="83">
        <v>20603.612873999999</v>
      </c>
      <c r="E241" s="83">
        <v>20251.158940694891</v>
      </c>
      <c r="F241" s="83">
        <v>4874.0239860000001</v>
      </c>
      <c r="G241" s="83">
        <v>5077.2520956260023</v>
      </c>
      <c r="H241" s="96">
        <v>-1.7106414077012411E-2</v>
      </c>
      <c r="I241" s="96">
        <v>4.169616526503539E-2</v>
      </c>
      <c r="J241" s="96">
        <v>-5.8571297055179938E-3</v>
      </c>
    </row>
    <row r="242" spans="1:10" x14ac:dyDescent="0.25">
      <c r="A242" s="95">
        <v>44440</v>
      </c>
      <c r="B242" s="83">
        <v>0</v>
      </c>
      <c r="C242" s="83">
        <v>0</v>
      </c>
      <c r="D242" s="83">
        <v>19671.238708599998</v>
      </c>
      <c r="E242" s="83">
        <v>19334.734353842934</v>
      </c>
      <c r="F242" s="83">
        <v>4653.4600453999992</v>
      </c>
      <c r="G242" s="83">
        <v>4847.4914845072371</v>
      </c>
      <c r="H242" s="96">
        <v>-1.71064140770123E-2</v>
      </c>
      <c r="I242" s="96">
        <v>4.169616526503539E-2</v>
      </c>
      <c r="J242" s="96">
        <v>-5.8571297055177718E-3</v>
      </c>
    </row>
    <row r="243" spans="1:10" x14ac:dyDescent="0.25">
      <c r="A243" s="95">
        <v>44470</v>
      </c>
      <c r="B243" s="83">
        <v>0</v>
      </c>
      <c r="C243" s="83">
        <v>0</v>
      </c>
      <c r="D243" s="83">
        <v>18548.962913799998</v>
      </c>
      <c r="E243" s="83">
        <v>18231.656673497389</v>
      </c>
      <c r="F243" s="83">
        <v>4387.9726682</v>
      </c>
      <c r="G243" s="83">
        <v>4570.9343017517258</v>
      </c>
      <c r="H243" s="96">
        <v>-1.7106414077012411E-2</v>
      </c>
      <c r="I243" s="96">
        <v>4.169616526503539E-2</v>
      </c>
      <c r="J243" s="96">
        <v>-5.8571297055179938E-3</v>
      </c>
    </row>
    <row r="244" spans="1:10" x14ac:dyDescent="0.25">
      <c r="A244" s="95">
        <v>44501</v>
      </c>
      <c r="B244" s="83">
        <v>0</v>
      </c>
      <c r="C244" s="83">
        <v>0</v>
      </c>
      <c r="D244" s="83">
        <v>20056.753294599999</v>
      </c>
      <c r="E244" s="83">
        <v>19713.654167702087</v>
      </c>
      <c r="F244" s="83">
        <v>4744.6579994000003</v>
      </c>
      <c r="G244" s="83">
        <v>4942.4920434690548</v>
      </c>
      <c r="H244" s="96">
        <v>-1.7106414077012522E-2</v>
      </c>
      <c r="I244" s="96">
        <v>4.169616526503539E-2</v>
      </c>
      <c r="J244" s="96">
        <v>-5.8571297055179938E-3</v>
      </c>
    </row>
    <row r="245" spans="1:10" x14ac:dyDescent="0.25">
      <c r="A245" s="95">
        <v>44531</v>
      </c>
      <c r="B245" s="83">
        <v>0</v>
      </c>
      <c r="C245" s="83">
        <v>0</v>
      </c>
      <c r="D245" s="83">
        <v>30421.3843308</v>
      </c>
      <c r="E245" s="83">
        <v>29900.9835336414</v>
      </c>
      <c r="F245" s="83">
        <v>7196.5318812000005</v>
      </c>
      <c r="G245" s="83">
        <v>7496.5996638536117</v>
      </c>
      <c r="H245" s="96">
        <v>-1.71064140770123E-2</v>
      </c>
      <c r="I245" s="96">
        <v>4.169616526503539E-2</v>
      </c>
      <c r="J245" s="96">
        <v>-5.8571297055177718E-3</v>
      </c>
    </row>
    <row r="246" spans="1:10" x14ac:dyDescent="0.25">
      <c r="A246" s="95">
        <v>44562</v>
      </c>
      <c r="B246" s="83">
        <v>0</v>
      </c>
      <c r="C246" s="83">
        <v>0</v>
      </c>
      <c r="D246" s="83">
        <v>32493.1682726</v>
      </c>
      <c r="E246" s="83">
        <v>31937.326681454862</v>
      </c>
      <c r="F246" s="83">
        <v>7686.6364414</v>
      </c>
      <c r="G246" s="83">
        <v>8007.1397047928585</v>
      </c>
      <c r="H246" s="96">
        <v>-1.7106414077012411E-2</v>
      </c>
      <c r="I246" s="96">
        <v>4.169616526503539E-2</v>
      </c>
      <c r="J246" s="96">
        <v>-5.8571297055179938E-3</v>
      </c>
    </row>
    <row r="247" spans="1:10" x14ac:dyDescent="0.25">
      <c r="A247" s="95">
        <v>44593</v>
      </c>
      <c r="B247" s="83">
        <v>0</v>
      </c>
      <c r="C247" s="83">
        <v>0</v>
      </c>
      <c r="D247" s="83">
        <v>27006.010665199999</v>
      </c>
      <c r="E247" s="83">
        <v>26544.034664192877</v>
      </c>
      <c r="F247" s="83">
        <v>6388.5855627999999</v>
      </c>
      <c r="G247" s="83">
        <v>6654.9650822363283</v>
      </c>
      <c r="H247" s="96">
        <v>-1.71064140770123E-2</v>
      </c>
      <c r="I247" s="96">
        <v>4.169616526503539E-2</v>
      </c>
      <c r="J247" s="96">
        <v>-5.8571297055179938E-3</v>
      </c>
    </row>
    <row r="248" spans="1:10" x14ac:dyDescent="0.25">
      <c r="A248" s="95">
        <v>44621</v>
      </c>
      <c r="B248" s="83">
        <v>0</v>
      </c>
      <c r="C248" s="83">
        <v>0</v>
      </c>
      <c r="D248" s="83">
        <v>27245.886407599999</v>
      </c>
      <c r="E248" s="83">
        <v>26779.806992816353</v>
      </c>
      <c r="F248" s="83">
        <v>6445.3309564000001</v>
      </c>
      <c r="G248" s="83">
        <v>6714.0765411459033</v>
      </c>
      <c r="H248" s="96">
        <v>-1.71064140770123E-2</v>
      </c>
      <c r="I248" s="96">
        <v>4.169616526503539E-2</v>
      </c>
      <c r="J248" s="96">
        <v>-5.8571297055176608E-3</v>
      </c>
    </row>
    <row r="249" spans="1:10" x14ac:dyDescent="0.25">
      <c r="A249" s="95">
        <v>44652</v>
      </c>
      <c r="B249" s="83">
        <v>0</v>
      </c>
      <c r="C249" s="83">
        <v>0</v>
      </c>
      <c r="D249" s="83">
        <v>23502.111428</v>
      </c>
      <c r="E249" s="83">
        <v>23100.074578228548</v>
      </c>
      <c r="F249" s="83">
        <v>5559.6974920000002</v>
      </c>
      <c r="G249" s="83">
        <v>5791.515557450035</v>
      </c>
      <c r="H249" s="96">
        <v>-1.71064140770123E-2</v>
      </c>
      <c r="I249" s="96">
        <v>4.169616526503539E-2</v>
      </c>
      <c r="J249" s="96">
        <v>-5.8571297055178828E-3</v>
      </c>
    </row>
    <row r="250" spans="1:10" x14ac:dyDescent="0.25">
      <c r="A250" s="95">
        <v>44682</v>
      </c>
      <c r="B250" s="83">
        <v>0</v>
      </c>
      <c r="C250" s="83">
        <v>0</v>
      </c>
      <c r="D250" s="83">
        <v>25609.5911648</v>
      </c>
      <c r="E250" s="83">
        <v>25171.502893991932</v>
      </c>
      <c r="F250" s="83">
        <v>6058.2463072</v>
      </c>
      <c r="G250" s="83">
        <v>6310.8519464413021</v>
      </c>
      <c r="H250" s="96">
        <v>-1.7106414077012411E-2</v>
      </c>
      <c r="I250" s="96">
        <v>4.169616526503539E-2</v>
      </c>
      <c r="J250" s="96">
        <v>-5.8571297055179938E-3</v>
      </c>
    </row>
    <row r="251" spans="1:10" x14ac:dyDescent="0.25">
      <c r="A251" s="95">
        <v>44713</v>
      </c>
      <c r="B251" s="83">
        <v>0</v>
      </c>
      <c r="C251" s="83">
        <v>0</v>
      </c>
      <c r="D251" s="83">
        <v>25702.400231800002</v>
      </c>
      <c r="E251" s="83">
        <v>25262.724330661731</v>
      </c>
      <c r="F251" s="83">
        <v>6080.2013702000004</v>
      </c>
      <c r="G251" s="83">
        <v>6333.7224513765541</v>
      </c>
      <c r="H251" s="96">
        <v>-1.7106414077012411E-2</v>
      </c>
      <c r="I251" s="96">
        <v>4.169616526503539E-2</v>
      </c>
      <c r="J251" s="96">
        <v>-5.8571297055179938E-3</v>
      </c>
    </row>
    <row r="252" spans="1:10" x14ac:dyDescent="0.25">
      <c r="A252" s="95">
        <v>44743</v>
      </c>
      <c r="B252" s="83">
        <v>0</v>
      </c>
      <c r="C252" s="83">
        <v>0</v>
      </c>
      <c r="D252" s="83">
        <v>25702.400231800002</v>
      </c>
      <c r="E252" s="83">
        <v>25262.724330661731</v>
      </c>
      <c r="F252" s="83">
        <v>6080.2013702000004</v>
      </c>
      <c r="G252" s="83">
        <v>6333.7224513765541</v>
      </c>
      <c r="H252" s="96">
        <v>-1.7106414077012411E-2</v>
      </c>
      <c r="I252" s="96">
        <v>4.169616526503539E-2</v>
      </c>
      <c r="J252" s="96">
        <v>-5.8571297055179938E-3</v>
      </c>
    </row>
    <row r="253" spans="1:10" x14ac:dyDescent="0.25">
      <c r="A253" s="89" t="s">
        <v>57</v>
      </c>
      <c r="B253" s="83">
        <v>1380293.2932699998</v>
      </c>
      <c r="C253" s="83">
        <v>1309996.697113757</v>
      </c>
      <c r="D253" s="83">
        <v>4354090.6529942378</v>
      </c>
      <c r="E253" s="83">
        <v>5754377.0108224172</v>
      </c>
      <c r="F253" s="83">
        <v>0</v>
      </c>
      <c r="G253" s="83">
        <v>0</v>
      </c>
      <c r="H253" s="96">
        <v>0.23193245763363679</v>
      </c>
      <c r="I253" s="96">
        <v>0</v>
      </c>
      <c r="J253" s="96">
        <v>0.23193245763363679</v>
      </c>
    </row>
    <row r="254" spans="1:10" x14ac:dyDescent="0.25">
      <c r="A254" s="90" t="s">
        <v>34</v>
      </c>
      <c r="B254" s="83">
        <v>1380293.2932699998</v>
      </c>
      <c r="C254" s="83">
        <v>1309996.697113757</v>
      </c>
      <c r="D254" s="83">
        <v>4354090.6529942378</v>
      </c>
      <c r="E254" s="83">
        <v>5754377.0108224172</v>
      </c>
      <c r="F254" s="83">
        <v>0</v>
      </c>
      <c r="G254" s="83">
        <v>0</v>
      </c>
      <c r="H254" s="96">
        <v>0.23193245763363679</v>
      </c>
      <c r="I254" s="96">
        <v>0</v>
      </c>
      <c r="J254" s="96">
        <v>0.23193245763363679</v>
      </c>
    </row>
    <row r="255" spans="1:10" x14ac:dyDescent="0.25">
      <c r="A255" s="91" t="s">
        <v>25</v>
      </c>
      <c r="B255" s="83">
        <v>1380293.2932699998</v>
      </c>
      <c r="C255" s="83">
        <v>1309996.697113757</v>
      </c>
      <c r="D255" s="83">
        <v>4354090.6529942378</v>
      </c>
      <c r="E255" s="83">
        <v>5754377.0108224172</v>
      </c>
      <c r="F255" s="83">
        <v>0</v>
      </c>
      <c r="G255" s="83">
        <v>0</v>
      </c>
      <c r="H255" s="96">
        <v>0.23193245763363679</v>
      </c>
      <c r="I255" s="96">
        <v>0</v>
      </c>
      <c r="J255" s="96">
        <v>0.23193245763363679</v>
      </c>
    </row>
    <row r="256" spans="1:10" x14ac:dyDescent="0.25">
      <c r="A256" s="92" t="s">
        <v>56</v>
      </c>
      <c r="B256" s="83">
        <v>1380293.2932699998</v>
      </c>
      <c r="C256" s="83">
        <v>1309996.697113757</v>
      </c>
      <c r="D256" s="83">
        <v>4354090.6529942378</v>
      </c>
      <c r="E256" s="83">
        <v>5754377.0108224172</v>
      </c>
      <c r="F256" s="83">
        <v>0</v>
      </c>
      <c r="G256" s="83">
        <v>0</v>
      </c>
      <c r="H256" s="96">
        <v>0.23193245763363679</v>
      </c>
      <c r="I256" s="96">
        <v>0</v>
      </c>
      <c r="J256" s="96">
        <v>0.23193245763363679</v>
      </c>
    </row>
    <row r="257" spans="1:10" x14ac:dyDescent="0.25">
      <c r="A257" s="93" t="s">
        <v>25</v>
      </c>
      <c r="B257" s="83">
        <v>1380293.2932699998</v>
      </c>
      <c r="C257" s="83">
        <v>1309996.697113757</v>
      </c>
      <c r="D257" s="83">
        <v>4354090.6529942378</v>
      </c>
      <c r="E257" s="83">
        <v>5754377.0108224172</v>
      </c>
      <c r="F257" s="83">
        <v>0</v>
      </c>
      <c r="G257" s="83">
        <v>0</v>
      </c>
      <c r="H257" s="96">
        <v>0.23193245763363679</v>
      </c>
      <c r="I257" s="96">
        <v>0</v>
      </c>
      <c r="J257" s="96">
        <v>0.23193245763363679</v>
      </c>
    </row>
    <row r="258" spans="1:10" x14ac:dyDescent="0.25">
      <c r="A258" s="94" t="s">
        <v>38</v>
      </c>
      <c r="B258" s="83">
        <v>0</v>
      </c>
      <c r="C258" s="83">
        <v>0</v>
      </c>
      <c r="D258" s="83">
        <v>2351883.2149799997</v>
      </c>
      <c r="E258" s="83">
        <v>3786420.1623109258</v>
      </c>
      <c r="F258" s="83">
        <v>0</v>
      </c>
      <c r="G258" s="83">
        <v>0</v>
      </c>
      <c r="H258" s="96">
        <v>0.60995245775548645</v>
      </c>
      <c r="I258" s="96">
        <v>0</v>
      </c>
      <c r="J258" s="96">
        <v>0.60995245775548645</v>
      </c>
    </row>
    <row r="259" spans="1:10" x14ac:dyDescent="0.25">
      <c r="A259" s="95">
        <v>44409</v>
      </c>
      <c r="B259" s="83">
        <v>0</v>
      </c>
      <c r="C259" s="83">
        <v>0</v>
      </c>
      <c r="D259" s="83">
        <v>196552.03775999998</v>
      </c>
      <c r="E259" s="83">
        <v>316439.43626856117</v>
      </c>
      <c r="F259" s="83">
        <v>0</v>
      </c>
      <c r="G259" s="83">
        <v>0</v>
      </c>
      <c r="H259" s="96">
        <v>0.60995245775548668</v>
      </c>
      <c r="I259" s="96">
        <v>0</v>
      </c>
      <c r="J259" s="96">
        <v>0.60995245775548668</v>
      </c>
    </row>
    <row r="260" spans="1:10" x14ac:dyDescent="0.25">
      <c r="A260" s="95">
        <v>44440</v>
      </c>
      <c r="B260" s="83">
        <v>0</v>
      </c>
      <c r="C260" s="83">
        <v>0</v>
      </c>
      <c r="D260" s="83">
        <v>200062.23015999998</v>
      </c>
      <c r="E260" s="83">
        <v>322090.67915013578</v>
      </c>
      <c r="F260" s="83">
        <v>0</v>
      </c>
      <c r="G260" s="83">
        <v>0</v>
      </c>
      <c r="H260" s="96">
        <v>0.60995245775548645</v>
      </c>
      <c r="I260" s="96">
        <v>0</v>
      </c>
      <c r="J260" s="96">
        <v>0.60995245775548645</v>
      </c>
    </row>
    <row r="261" spans="1:10" x14ac:dyDescent="0.25">
      <c r="A261" s="95">
        <v>44470</v>
      </c>
      <c r="B261" s="83">
        <v>0</v>
      </c>
      <c r="C261" s="83">
        <v>0</v>
      </c>
      <c r="D261" s="83">
        <v>198551.36898999999</v>
      </c>
      <c r="E261" s="83">
        <v>319658.26449616696</v>
      </c>
      <c r="F261" s="83">
        <v>0</v>
      </c>
      <c r="G261" s="83">
        <v>0</v>
      </c>
      <c r="H261" s="96">
        <v>0.60995245775548645</v>
      </c>
      <c r="I261" s="96">
        <v>0</v>
      </c>
      <c r="J261" s="96">
        <v>0.60995245775548645</v>
      </c>
    </row>
    <row r="262" spans="1:10" x14ac:dyDescent="0.25">
      <c r="A262" s="95">
        <v>44501</v>
      </c>
      <c r="B262" s="83">
        <v>0</v>
      </c>
      <c r="C262" s="83">
        <v>0</v>
      </c>
      <c r="D262" s="83">
        <v>197949.08848000001</v>
      </c>
      <c r="E262" s="83">
        <v>318688.62150883424</v>
      </c>
      <c r="F262" s="83">
        <v>0</v>
      </c>
      <c r="G262" s="83">
        <v>0</v>
      </c>
      <c r="H262" s="96">
        <v>0.60995245775548645</v>
      </c>
      <c r="I262" s="96">
        <v>0</v>
      </c>
      <c r="J262" s="96">
        <v>0.60995245775548645</v>
      </c>
    </row>
    <row r="263" spans="1:10" x14ac:dyDescent="0.25">
      <c r="A263" s="95">
        <v>44531</v>
      </c>
      <c r="B263" s="83">
        <v>0</v>
      </c>
      <c r="C263" s="83">
        <v>0</v>
      </c>
      <c r="D263" s="83">
        <v>194456.24210999999</v>
      </c>
      <c r="E263" s="83">
        <v>313065.30491089041</v>
      </c>
      <c r="F263" s="83">
        <v>0</v>
      </c>
      <c r="G263" s="83">
        <v>0</v>
      </c>
      <c r="H263" s="96">
        <v>0.60995245775548645</v>
      </c>
      <c r="I263" s="96">
        <v>0</v>
      </c>
      <c r="J263" s="96">
        <v>0.60995245775548645</v>
      </c>
    </row>
    <row r="264" spans="1:10" x14ac:dyDescent="0.25">
      <c r="A264" s="95">
        <v>44562</v>
      </c>
      <c r="B264" s="83">
        <v>0</v>
      </c>
      <c r="C264" s="83">
        <v>0</v>
      </c>
      <c r="D264" s="83">
        <v>192855.50362</v>
      </c>
      <c r="E264" s="83">
        <v>310488.19204469112</v>
      </c>
      <c r="F264" s="83">
        <v>0</v>
      </c>
      <c r="G264" s="83">
        <v>0</v>
      </c>
      <c r="H264" s="96">
        <v>0.60995245775548645</v>
      </c>
      <c r="I264" s="96">
        <v>0</v>
      </c>
      <c r="J264" s="96">
        <v>0.60995245775548645</v>
      </c>
    </row>
    <row r="265" spans="1:10" x14ac:dyDescent="0.25">
      <c r="A265" s="95">
        <v>44593</v>
      </c>
      <c r="B265" s="83">
        <v>0</v>
      </c>
      <c r="C265" s="83">
        <v>0</v>
      </c>
      <c r="D265" s="83">
        <v>178362.27343999999</v>
      </c>
      <c r="E265" s="83">
        <v>287154.78049558413</v>
      </c>
      <c r="F265" s="83">
        <v>0</v>
      </c>
      <c r="G265" s="83">
        <v>0</v>
      </c>
      <c r="H265" s="96">
        <v>0.60995245775548668</v>
      </c>
      <c r="I265" s="96">
        <v>0</v>
      </c>
      <c r="J265" s="96">
        <v>0.60995245775548668</v>
      </c>
    </row>
    <row r="266" spans="1:10" x14ac:dyDescent="0.25">
      <c r="A266" s="95">
        <v>44621</v>
      </c>
      <c r="B266" s="83">
        <v>0</v>
      </c>
      <c r="C266" s="83">
        <v>0</v>
      </c>
      <c r="D266" s="83">
        <v>207993.83045999997</v>
      </c>
      <c r="E266" s="83">
        <v>334860.17854705494</v>
      </c>
      <c r="F266" s="83">
        <v>0</v>
      </c>
      <c r="G266" s="83">
        <v>0</v>
      </c>
      <c r="H266" s="96">
        <v>0.60995245775548668</v>
      </c>
      <c r="I266" s="96">
        <v>0</v>
      </c>
      <c r="J266" s="96">
        <v>0.60995245775548668</v>
      </c>
    </row>
    <row r="267" spans="1:10" x14ac:dyDescent="0.25">
      <c r="A267" s="95">
        <v>44652</v>
      </c>
      <c r="B267" s="83">
        <v>0</v>
      </c>
      <c r="C267" s="83">
        <v>0</v>
      </c>
      <c r="D267" s="83">
        <v>186160.81431999998</v>
      </c>
      <c r="E267" s="83">
        <v>299710.06055224669</v>
      </c>
      <c r="F267" s="83">
        <v>0</v>
      </c>
      <c r="G267" s="83">
        <v>0</v>
      </c>
      <c r="H267" s="96">
        <v>0.60995245775548623</v>
      </c>
      <c r="I267" s="96">
        <v>0</v>
      </c>
      <c r="J267" s="96">
        <v>0.60995245775548623</v>
      </c>
    </row>
    <row r="268" spans="1:10" x14ac:dyDescent="0.25">
      <c r="A268" s="95">
        <v>44682</v>
      </c>
      <c r="B268" s="83">
        <v>0</v>
      </c>
      <c r="C268" s="83">
        <v>0</v>
      </c>
      <c r="D268" s="83">
        <v>200785.20097999999</v>
      </c>
      <c r="E268" s="83">
        <v>323254.62779868027</v>
      </c>
      <c r="F268" s="83">
        <v>0</v>
      </c>
      <c r="G268" s="83">
        <v>0</v>
      </c>
      <c r="H268" s="96">
        <v>0.60995245775548623</v>
      </c>
      <c r="I268" s="96">
        <v>0</v>
      </c>
      <c r="J268" s="96">
        <v>0.60995245775548623</v>
      </c>
    </row>
    <row r="269" spans="1:10" x14ac:dyDescent="0.25">
      <c r="A269" s="95">
        <v>44713</v>
      </c>
      <c r="B269" s="83">
        <v>0</v>
      </c>
      <c r="C269" s="83">
        <v>0</v>
      </c>
      <c r="D269" s="83">
        <v>199077.31232999999</v>
      </c>
      <c r="E269" s="83">
        <v>320505.00826904009</v>
      </c>
      <c r="F269" s="83">
        <v>0</v>
      </c>
      <c r="G269" s="83">
        <v>0</v>
      </c>
      <c r="H269" s="96">
        <v>0.60995245775548645</v>
      </c>
      <c r="I269" s="96">
        <v>0</v>
      </c>
      <c r="J269" s="96">
        <v>0.60995245775548645</v>
      </c>
    </row>
    <row r="270" spans="1:10" x14ac:dyDescent="0.25">
      <c r="A270" s="95">
        <v>44743</v>
      </c>
      <c r="B270" s="83">
        <v>0</v>
      </c>
      <c r="C270" s="83">
        <v>0</v>
      </c>
      <c r="D270" s="83">
        <v>199077.31232999999</v>
      </c>
      <c r="E270" s="83">
        <v>320505.00826904009</v>
      </c>
      <c r="F270" s="83">
        <v>0</v>
      </c>
      <c r="G270" s="83">
        <v>0</v>
      </c>
      <c r="H270" s="96">
        <v>0.60995245775548645</v>
      </c>
      <c r="I270" s="96">
        <v>0</v>
      </c>
      <c r="J270" s="96">
        <v>0.60995245775548645</v>
      </c>
    </row>
    <row r="271" spans="1:10" x14ac:dyDescent="0.25">
      <c r="A271" s="94" t="s">
        <v>25</v>
      </c>
      <c r="B271" s="83">
        <v>1380293.2932699998</v>
      </c>
      <c r="C271" s="83">
        <v>1309996.697113757</v>
      </c>
      <c r="D271" s="83">
        <v>0</v>
      </c>
      <c r="E271" s="83">
        <v>0</v>
      </c>
      <c r="F271" s="83">
        <v>0</v>
      </c>
      <c r="G271" s="83">
        <v>0</v>
      </c>
      <c r="H271" s="96">
        <v>-5.0928738478259072E-2</v>
      </c>
      <c r="I271" s="96">
        <v>0</v>
      </c>
      <c r="J271" s="96">
        <v>-5.0928738478259072E-2</v>
      </c>
    </row>
    <row r="272" spans="1:10" x14ac:dyDescent="0.25">
      <c r="A272" s="95">
        <v>44409</v>
      </c>
      <c r="B272" s="83">
        <v>101309.81068000001</v>
      </c>
      <c r="C272" s="83">
        <v>96150.229826596333</v>
      </c>
      <c r="D272" s="83">
        <v>0</v>
      </c>
      <c r="E272" s="83">
        <v>0</v>
      </c>
      <c r="F272" s="83">
        <v>0</v>
      </c>
      <c r="G272" s="83">
        <v>0</v>
      </c>
      <c r="H272" s="96">
        <v>-5.0928738478259294E-2</v>
      </c>
      <c r="I272" s="96">
        <v>0</v>
      </c>
      <c r="J272" s="96">
        <v>-5.0928738478259294E-2</v>
      </c>
    </row>
    <row r="273" spans="1:10" x14ac:dyDescent="0.25">
      <c r="A273" s="95">
        <v>44440</v>
      </c>
      <c r="B273" s="83">
        <v>112268.72017999999</v>
      </c>
      <c r="C273" s="83">
        <v>106551.01589066391</v>
      </c>
      <c r="D273" s="83">
        <v>0</v>
      </c>
      <c r="E273" s="83">
        <v>0</v>
      </c>
      <c r="F273" s="83">
        <v>0</v>
      </c>
      <c r="G273" s="83">
        <v>0</v>
      </c>
      <c r="H273" s="96">
        <v>-5.0928738478259183E-2</v>
      </c>
      <c r="I273" s="96">
        <v>0</v>
      </c>
      <c r="J273" s="96">
        <v>-5.0928738478259183E-2</v>
      </c>
    </row>
    <row r="274" spans="1:10" x14ac:dyDescent="0.25">
      <c r="A274" s="95">
        <v>44470</v>
      </c>
      <c r="B274" s="83">
        <v>112433.96657999999</v>
      </c>
      <c r="C274" s="83">
        <v>106707.84649997385</v>
      </c>
      <c r="D274" s="83">
        <v>0</v>
      </c>
      <c r="E274" s="83">
        <v>0</v>
      </c>
      <c r="F274" s="83">
        <v>0</v>
      </c>
      <c r="G274" s="83">
        <v>0</v>
      </c>
      <c r="H274" s="96">
        <v>-5.0928738478259072E-2</v>
      </c>
      <c r="I274" s="96">
        <v>0</v>
      </c>
      <c r="J274" s="96">
        <v>-5.0928738478259072E-2</v>
      </c>
    </row>
    <row r="275" spans="1:10" x14ac:dyDescent="0.25">
      <c r="A275" s="95">
        <v>44501</v>
      </c>
      <c r="B275" s="83">
        <v>112706.36207999999</v>
      </c>
      <c r="C275" s="83">
        <v>106966.36924079168</v>
      </c>
      <c r="D275" s="83">
        <v>0</v>
      </c>
      <c r="E275" s="83">
        <v>0</v>
      </c>
      <c r="F275" s="83">
        <v>0</v>
      </c>
      <c r="G275" s="83">
        <v>0</v>
      </c>
      <c r="H275" s="96">
        <v>-5.0928738478259183E-2</v>
      </c>
      <c r="I275" s="96">
        <v>0</v>
      </c>
      <c r="J275" s="96">
        <v>-5.0928738478259183E-2</v>
      </c>
    </row>
    <row r="276" spans="1:10" x14ac:dyDescent="0.25">
      <c r="A276" s="95">
        <v>44531</v>
      </c>
      <c r="B276" s="83">
        <v>112739.04953999999</v>
      </c>
      <c r="C276" s="83">
        <v>106997.39196968984</v>
      </c>
      <c r="D276" s="83">
        <v>0</v>
      </c>
      <c r="E276" s="83">
        <v>0</v>
      </c>
      <c r="F276" s="83">
        <v>0</v>
      </c>
      <c r="G276" s="83">
        <v>0</v>
      </c>
      <c r="H276" s="96">
        <v>-5.0928738478259072E-2</v>
      </c>
      <c r="I276" s="96">
        <v>0</v>
      </c>
      <c r="J276" s="96">
        <v>-5.0928738478259072E-2</v>
      </c>
    </row>
    <row r="277" spans="1:10" x14ac:dyDescent="0.25">
      <c r="A277" s="95">
        <v>44562</v>
      </c>
      <c r="B277" s="83">
        <v>112684.57044</v>
      </c>
      <c r="C277" s="83">
        <v>106945.68742152627</v>
      </c>
      <c r="D277" s="83">
        <v>0</v>
      </c>
      <c r="E277" s="83">
        <v>0</v>
      </c>
      <c r="F277" s="83">
        <v>0</v>
      </c>
      <c r="G277" s="83">
        <v>0</v>
      </c>
      <c r="H277" s="96">
        <v>-5.0928738478259183E-2</v>
      </c>
      <c r="I277" s="96">
        <v>0</v>
      </c>
      <c r="J277" s="96">
        <v>-5.0928738478259183E-2</v>
      </c>
    </row>
    <row r="278" spans="1:10" x14ac:dyDescent="0.25">
      <c r="A278" s="95">
        <v>44593</v>
      </c>
      <c r="B278" s="83">
        <v>116726.7273</v>
      </c>
      <c r="C278" s="83">
        <v>110781.98233191522</v>
      </c>
      <c r="D278" s="83">
        <v>0</v>
      </c>
      <c r="E278" s="83">
        <v>0</v>
      </c>
      <c r="F278" s="83">
        <v>0</v>
      </c>
      <c r="G278" s="83">
        <v>0</v>
      </c>
      <c r="H278" s="96">
        <v>-5.0928738478259183E-2</v>
      </c>
      <c r="I278" s="96">
        <v>0</v>
      </c>
      <c r="J278" s="96">
        <v>-5.0928738478259183E-2</v>
      </c>
    </row>
    <row r="279" spans="1:10" x14ac:dyDescent="0.25">
      <c r="A279" s="95">
        <v>44621</v>
      </c>
      <c r="B279" s="83">
        <v>119220.03808</v>
      </c>
      <c r="C279" s="83">
        <v>113148.31193925558</v>
      </c>
      <c r="D279" s="83">
        <v>0</v>
      </c>
      <c r="E279" s="83">
        <v>0</v>
      </c>
      <c r="F279" s="83">
        <v>0</v>
      </c>
      <c r="G279" s="83">
        <v>0</v>
      </c>
      <c r="H279" s="96">
        <v>-5.0928738478259183E-2</v>
      </c>
      <c r="I279" s="96">
        <v>0</v>
      </c>
      <c r="J279" s="96">
        <v>-5.0928738478259183E-2</v>
      </c>
    </row>
    <row r="280" spans="1:10" x14ac:dyDescent="0.25">
      <c r="A280" s="95">
        <v>44652</v>
      </c>
      <c r="B280" s="83">
        <v>120559.77509999998</v>
      </c>
      <c r="C280" s="83">
        <v>114419.81784293434</v>
      </c>
      <c r="D280" s="83">
        <v>0</v>
      </c>
      <c r="E280" s="83">
        <v>0</v>
      </c>
      <c r="F280" s="83">
        <v>0</v>
      </c>
      <c r="G280" s="83">
        <v>0</v>
      </c>
      <c r="H280" s="96">
        <v>-5.0928738478259183E-2</v>
      </c>
      <c r="I280" s="96">
        <v>0</v>
      </c>
      <c r="J280" s="96">
        <v>-5.0928738478259183E-2</v>
      </c>
    </row>
    <row r="281" spans="1:10" x14ac:dyDescent="0.25">
      <c r="A281" s="95">
        <v>44682</v>
      </c>
      <c r="B281" s="83">
        <v>119471.32664999999</v>
      </c>
      <c r="C281" s="83">
        <v>113386.80269939147</v>
      </c>
      <c r="D281" s="83">
        <v>0</v>
      </c>
      <c r="E281" s="83">
        <v>0</v>
      </c>
      <c r="F281" s="83">
        <v>0</v>
      </c>
      <c r="G281" s="83">
        <v>0</v>
      </c>
      <c r="H281" s="96">
        <v>-5.0928738478259183E-2</v>
      </c>
      <c r="I281" s="96">
        <v>0</v>
      </c>
      <c r="J281" s="96">
        <v>-5.0928738478259183E-2</v>
      </c>
    </row>
    <row r="282" spans="1:10" x14ac:dyDescent="0.25">
      <c r="A282" s="95">
        <v>44713</v>
      </c>
      <c r="B282" s="83">
        <v>120086.47331999999</v>
      </c>
      <c r="C282" s="83">
        <v>113970.62072550926</v>
      </c>
      <c r="D282" s="83">
        <v>0</v>
      </c>
      <c r="E282" s="83">
        <v>0</v>
      </c>
      <c r="F282" s="83">
        <v>0</v>
      </c>
      <c r="G282" s="83">
        <v>0</v>
      </c>
      <c r="H282" s="96">
        <v>-5.0928738478259183E-2</v>
      </c>
      <c r="I282" s="96">
        <v>0</v>
      </c>
      <c r="J282" s="96">
        <v>-5.0928738478259183E-2</v>
      </c>
    </row>
    <row r="283" spans="1:10" x14ac:dyDescent="0.25">
      <c r="A283" s="95">
        <v>44743</v>
      </c>
      <c r="B283" s="83">
        <v>120086.47331999999</v>
      </c>
      <c r="C283" s="83">
        <v>113970.62072550926</v>
      </c>
      <c r="D283" s="83">
        <v>0</v>
      </c>
      <c r="E283" s="83">
        <v>0</v>
      </c>
      <c r="F283" s="83">
        <v>0</v>
      </c>
      <c r="G283" s="83">
        <v>0</v>
      </c>
      <c r="H283" s="96">
        <v>-5.0928738478259183E-2</v>
      </c>
      <c r="I283" s="96">
        <v>0</v>
      </c>
      <c r="J283" s="96">
        <v>-5.0928738478259183E-2</v>
      </c>
    </row>
    <row r="284" spans="1:10" x14ac:dyDescent="0.25">
      <c r="A284" s="94" t="s">
        <v>37</v>
      </c>
      <c r="B284" s="83">
        <v>0</v>
      </c>
      <c r="C284" s="83">
        <v>0</v>
      </c>
      <c r="D284" s="83">
        <v>2002207.4380142379</v>
      </c>
      <c r="E284" s="83">
        <v>1967956.8485114921</v>
      </c>
      <c r="F284" s="83">
        <v>0</v>
      </c>
      <c r="G284" s="83">
        <v>0</v>
      </c>
      <c r="H284" s="96">
        <v>-1.7106414077012411E-2</v>
      </c>
      <c r="I284" s="96">
        <v>0</v>
      </c>
      <c r="J284" s="96">
        <v>-1.7106414077012411E-2</v>
      </c>
    </row>
    <row r="285" spans="1:10" x14ac:dyDescent="0.25">
      <c r="A285" s="95">
        <v>44409</v>
      </c>
      <c r="B285" s="83">
        <v>0</v>
      </c>
      <c r="C285" s="83">
        <v>0</v>
      </c>
      <c r="D285" s="83">
        <v>144246.88409931402</v>
      </c>
      <c r="E285" s="83">
        <v>141779.33717059233</v>
      </c>
      <c r="F285" s="83">
        <v>0</v>
      </c>
      <c r="G285" s="83">
        <v>0</v>
      </c>
      <c r="H285" s="96">
        <v>-1.7106414077012411E-2</v>
      </c>
      <c r="I285" s="96">
        <v>0</v>
      </c>
      <c r="J285" s="96">
        <v>-1.7106414077012411E-2</v>
      </c>
    </row>
    <row r="286" spans="1:10" x14ac:dyDescent="0.25">
      <c r="A286" s="95">
        <v>44440</v>
      </c>
      <c r="B286" s="83">
        <v>0</v>
      </c>
      <c r="C286" s="83">
        <v>0</v>
      </c>
      <c r="D286" s="83">
        <v>176479.66415484002</v>
      </c>
      <c r="E286" s="83">
        <v>173460.72994363523</v>
      </c>
      <c r="F286" s="83">
        <v>0</v>
      </c>
      <c r="G286" s="83">
        <v>0</v>
      </c>
      <c r="H286" s="96">
        <v>-1.7106414077012522E-2</v>
      </c>
      <c r="I286" s="96">
        <v>0</v>
      </c>
      <c r="J286" s="96">
        <v>-1.7106414077012522E-2</v>
      </c>
    </row>
    <row r="287" spans="1:10" x14ac:dyDescent="0.25">
      <c r="A287" s="95">
        <v>44470</v>
      </c>
      <c r="B287" s="83">
        <v>0</v>
      </c>
      <c r="C287" s="83">
        <v>0</v>
      </c>
      <c r="D287" s="83">
        <v>170300.49844795599</v>
      </c>
      <c r="E287" s="83">
        <v>167387.26760398364</v>
      </c>
      <c r="F287" s="83">
        <v>0</v>
      </c>
      <c r="G287" s="83">
        <v>0</v>
      </c>
      <c r="H287" s="96">
        <v>-1.7106414077012522E-2</v>
      </c>
      <c r="I287" s="96">
        <v>0</v>
      </c>
      <c r="J287" s="96">
        <v>-1.7106414077012522E-2</v>
      </c>
    </row>
    <row r="288" spans="1:10" x14ac:dyDescent="0.25">
      <c r="A288" s="95">
        <v>44501</v>
      </c>
      <c r="B288" s="83">
        <v>0</v>
      </c>
      <c r="C288" s="83">
        <v>0</v>
      </c>
      <c r="D288" s="83">
        <v>172782.658109643</v>
      </c>
      <c r="E288" s="83">
        <v>169826.96641469258</v>
      </c>
      <c r="F288" s="83">
        <v>0</v>
      </c>
      <c r="G288" s="83">
        <v>0</v>
      </c>
      <c r="H288" s="96">
        <v>-1.7106414077012411E-2</v>
      </c>
      <c r="I288" s="96">
        <v>0</v>
      </c>
      <c r="J288" s="96">
        <v>-1.7106414077012411E-2</v>
      </c>
    </row>
    <row r="289" spans="1:10" x14ac:dyDescent="0.25">
      <c r="A289" s="95">
        <v>44531</v>
      </c>
      <c r="B289" s="83">
        <v>0</v>
      </c>
      <c r="C289" s="83">
        <v>0</v>
      </c>
      <c r="D289" s="83">
        <v>187256.57099050001</v>
      </c>
      <c r="E289" s="83">
        <v>184053.28254849504</v>
      </c>
      <c r="F289" s="83">
        <v>0</v>
      </c>
      <c r="G289" s="83">
        <v>0</v>
      </c>
      <c r="H289" s="96">
        <v>-1.7106414077012411E-2</v>
      </c>
      <c r="I289" s="96">
        <v>0</v>
      </c>
      <c r="J289" s="96">
        <v>-1.7106414077012411E-2</v>
      </c>
    </row>
    <row r="290" spans="1:10" x14ac:dyDescent="0.25">
      <c r="A290" s="95">
        <v>44562</v>
      </c>
      <c r="B290" s="83">
        <v>0</v>
      </c>
      <c r="C290" s="83">
        <v>0</v>
      </c>
      <c r="D290" s="83">
        <v>174254.79234056</v>
      </c>
      <c r="E290" s="83">
        <v>171273.91770787857</v>
      </c>
      <c r="F290" s="83">
        <v>0</v>
      </c>
      <c r="G290" s="83">
        <v>0</v>
      </c>
      <c r="H290" s="96">
        <v>-1.7106414077012411E-2</v>
      </c>
      <c r="I290" s="96">
        <v>0</v>
      </c>
      <c r="J290" s="96">
        <v>-1.7106414077012411E-2</v>
      </c>
    </row>
    <row r="291" spans="1:10" x14ac:dyDescent="0.25">
      <c r="A291" s="95">
        <v>44593</v>
      </c>
      <c r="B291" s="83">
        <v>0</v>
      </c>
      <c r="C291" s="83">
        <v>0</v>
      </c>
      <c r="D291" s="83">
        <v>163102.65434579999</v>
      </c>
      <c r="E291" s="83">
        <v>160312.5528035009</v>
      </c>
      <c r="F291" s="83">
        <v>0</v>
      </c>
      <c r="G291" s="83">
        <v>0</v>
      </c>
      <c r="H291" s="96">
        <v>-1.7106414077012411E-2</v>
      </c>
      <c r="I291" s="96">
        <v>0</v>
      </c>
      <c r="J291" s="96">
        <v>-1.7106414077012411E-2</v>
      </c>
    </row>
    <row r="292" spans="1:10" x14ac:dyDescent="0.25">
      <c r="A292" s="95">
        <v>44621</v>
      </c>
      <c r="B292" s="83">
        <v>0</v>
      </c>
      <c r="C292" s="83">
        <v>0</v>
      </c>
      <c r="D292" s="83">
        <v>172188.75375088802</v>
      </c>
      <c r="E292" s="83">
        <v>169243.22162982059</v>
      </c>
      <c r="F292" s="83">
        <v>0</v>
      </c>
      <c r="G292" s="83">
        <v>0</v>
      </c>
      <c r="H292" s="96">
        <v>-1.7106414077012522E-2</v>
      </c>
      <c r="I292" s="96">
        <v>0</v>
      </c>
      <c r="J292" s="96">
        <v>-1.7106414077012522E-2</v>
      </c>
    </row>
    <row r="293" spans="1:10" x14ac:dyDescent="0.25">
      <c r="A293" s="95">
        <v>44652</v>
      </c>
      <c r="B293" s="83">
        <v>0</v>
      </c>
      <c r="C293" s="83">
        <v>0</v>
      </c>
      <c r="D293" s="83">
        <v>152583.504719277</v>
      </c>
      <c r="E293" s="83">
        <v>149973.34810622726</v>
      </c>
      <c r="F293" s="83">
        <v>0</v>
      </c>
      <c r="G293" s="83">
        <v>0</v>
      </c>
      <c r="H293" s="96">
        <v>-1.7106414077012411E-2</v>
      </c>
      <c r="I293" s="96">
        <v>0</v>
      </c>
      <c r="J293" s="96">
        <v>-1.7106414077012411E-2</v>
      </c>
    </row>
    <row r="294" spans="1:10" x14ac:dyDescent="0.25">
      <c r="A294" s="95">
        <v>44682</v>
      </c>
      <c r="B294" s="83">
        <v>0</v>
      </c>
      <c r="C294" s="83">
        <v>0</v>
      </c>
      <c r="D294" s="83">
        <v>168306.04405368</v>
      </c>
      <c r="E294" s="83">
        <v>165426.93117243386</v>
      </c>
      <c r="F294" s="83">
        <v>0</v>
      </c>
      <c r="G294" s="83">
        <v>0</v>
      </c>
      <c r="H294" s="96">
        <v>-1.7106414077012411E-2</v>
      </c>
      <c r="I294" s="96">
        <v>0</v>
      </c>
      <c r="J294" s="96">
        <v>-1.7106414077012411E-2</v>
      </c>
    </row>
    <row r="295" spans="1:10" x14ac:dyDescent="0.25">
      <c r="A295" s="95">
        <v>44713</v>
      </c>
      <c r="B295" s="83">
        <v>0</v>
      </c>
      <c r="C295" s="83">
        <v>0</v>
      </c>
      <c r="D295" s="83">
        <v>160352.70650089</v>
      </c>
      <c r="E295" s="83">
        <v>157609.64670511615</v>
      </c>
      <c r="F295" s="83">
        <v>0</v>
      </c>
      <c r="G295" s="83">
        <v>0</v>
      </c>
      <c r="H295" s="96">
        <v>-1.71064140770123E-2</v>
      </c>
      <c r="I295" s="96">
        <v>0</v>
      </c>
      <c r="J295" s="96">
        <v>-1.71064140770123E-2</v>
      </c>
    </row>
    <row r="296" spans="1:10" x14ac:dyDescent="0.25">
      <c r="A296" s="95">
        <v>44743</v>
      </c>
      <c r="B296" s="83">
        <v>0</v>
      </c>
      <c r="C296" s="83">
        <v>0</v>
      </c>
      <c r="D296" s="83">
        <v>160352.70650089</v>
      </c>
      <c r="E296" s="83">
        <v>157609.64670511615</v>
      </c>
      <c r="F296" s="83">
        <v>0</v>
      </c>
      <c r="G296" s="83">
        <v>0</v>
      </c>
      <c r="H296" s="96">
        <v>-1.71064140770123E-2</v>
      </c>
      <c r="I296" s="96">
        <v>0</v>
      </c>
      <c r="J296" s="96">
        <v>-1.71064140770123E-2</v>
      </c>
    </row>
    <row r="297" spans="1:10" x14ac:dyDescent="0.25">
      <c r="A297" s="87" t="s">
        <v>22</v>
      </c>
      <c r="B297" s="83">
        <v>0</v>
      </c>
      <c r="C297" s="83">
        <v>0</v>
      </c>
      <c r="D297" s="83">
        <v>23609288.987567976</v>
      </c>
      <c r="E297" s="83">
        <v>29032799.78388593</v>
      </c>
      <c r="F297" s="83">
        <v>15726759.511889996</v>
      </c>
      <c r="G297" s="83">
        <v>16473316.967885928</v>
      </c>
      <c r="H297" s="96">
        <v>0.2297193616958908</v>
      </c>
      <c r="I297" s="96">
        <v>4.7470520257623106E-2</v>
      </c>
      <c r="J297" s="96">
        <v>0.15685531434096389</v>
      </c>
    </row>
    <row r="298" spans="1:10" x14ac:dyDescent="0.25">
      <c r="A298" s="88" t="s">
        <v>23</v>
      </c>
      <c r="B298" s="83">
        <v>0</v>
      </c>
      <c r="C298" s="83">
        <v>0</v>
      </c>
      <c r="D298" s="83">
        <v>23609288.987567976</v>
      </c>
      <c r="E298" s="83">
        <v>29032799.78388593</v>
      </c>
      <c r="F298" s="83">
        <v>15726759.511889996</v>
      </c>
      <c r="G298" s="83">
        <v>16473316.967885928</v>
      </c>
      <c r="H298" s="96">
        <v>0.2297193616958908</v>
      </c>
      <c r="I298" s="96">
        <v>4.7470520257623106E-2</v>
      </c>
      <c r="J298" s="96">
        <v>0.15685531434096389</v>
      </c>
    </row>
    <row r="299" spans="1:10" x14ac:dyDescent="0.25">
      <c r="A299" s="89" t="s">
        <v>26</v>
      </c>
      <c r="B299" s="83">
        <v>0</v>
      </c>
      <c r="C299" s="83">
        <v>0</v>
      </c>
      <c r="D299" s="83">
        <v>23609288.987567976</v>
      </c>
      <c r="E299" s="83">
        <v>29032799.78388593</v>
      </c>
      <c r="F299" s="83">
        <v>15726759.511889996</v>
      </c>
      <c r="G299" s="83">
        <v>16473316.967885928</v>
      </c>
      <c r="H299" s="96">
        <v>0.2297193616958908</v>
      </c>
      <c r="I299" s="96">
        <v>4.7470520257623106E-2</v>
      </c>
      <c r="J299" s="96">
        <v>0.15685531434096389</v>
      </c>
    </row>
    <row r="300" spans="1:10" x14ac:dyDescent="0.25">
      <c r="A300" s="90" t="s">
        <v>24</v>
      </c>
      <c r="B300" s="83">
        <v>0</v>
      </c>
      <c r="C300" s="83">
        <v>0</v>
      </c>
      <c r="D300" s="83">
        <v>23609288.987567976</v>
      </c>
      <c r="E300" s="83">
        <v>29032799.78388593</v>
      </c>
      <c r="F300" s="83">
        <v>15726759.511889996</v>
      </c>
      <c r="G300" s="83">
        <v>16473316.967885928</v>
      </c>
      <c r="H300" s="96">
        <v>0.2297193616958908</v>
      </c>
      <c r="I300" s="96">
        <v>4.7470520257623106E-2</v>
      </c>
      <c r="J300" s="96">
        <v>0.15685531434096389</v>
      </c>
    </row>
    <row r="301" spans="1:10" x14ac:dyDescent="0.25">
      <c r="A301" s="91" t="s">
        <v>24</v>
      </c>
      <c r="B301" s="83">
        <v>0</v>
      </c>
      <c r="C301" s="83">
        <v>0</v>
      </c>
      <c r="D301" s="83">
        <v>22992888.923099995</v>
      </c>
      <c r="E301" s="83">
        <v>28364190.307737809</v>
      </c>
      <c r="F301" s="83">
        <v>15215612.678100003</v>
      </c>
      <c r="G301" s="83">
        <v>15937898.470619304</v>
      </c>
      <c r="H301" s="96">
        <v>0.2336070688029761</v>
      </c>
      <c r="I301" s="96">
        <v>4.747004329039628E-2</v>
      </c>
      <c r="J301" s="96">
        <v>0.15948249530323744</v>
      </c>
    </row>
    <row r="302" spans="1:10" x14ac:dyDescent="0.25">
      <c r="A302" s="92" t="s">
        <v>25</v>
      </c>
      <c r="B302" s="83">
        <v>0</v>
      </c>
      <c r="C302" s="83">
        <v>0</v>
      </c>
      <c r="D302" s="83">
        <v>22992888.923099995</v>
      </c>
      <c r="E302" s="83">
        <v>28364190.307737809</v>
      </c>
      <c r="F302" s="83">
        <v>15215612.678100003</v>
      </c>
      <c r="G302" s="83">
        <v>15937898.470619304</v>
      </c>
      <c r="H302" s="96">
        <v>0.2336070688029761</v>
      </c>
      <c r="I302" s="96">
        <v>4.747004329039628E-2</v>
      </c>
      <c r="J302" s="96">
        <v>0.15948249530323744</v>
      </c>
    </row>
    <row r="303" spans="1:10" x14ac:dyDescent="0.25">
      <c r="A303" s="93" t="s">
        <v>25</v>
      </c>
      <c r="B303" s="83">
        <v>0</v>
      </c>
      <c r="C303" s="83">
        <v>0</v>
      </c>
      <c r="D303" s="83">
        <v>22992888.923099995</v>
      </c>
      <c r="E303" s="83">
        <v>28364190.307737809</v>
      </c>
      <c r="F303" s="83">
        <v>15215612.678100003</v>
      </c>
      <c r="G303" s="83">
        <v>15937898.470619304</v>
      </c>
      <c r="H303" s="96">
        <v>0.2336070688029761</v>
      </c>
      <c r="I303" s="96">
        <v>4.747004329039628E-2</v>
      </c>
      <c r="J303" s="96">
        <v>0.15948249530323744</v>
      </c>
    </row>
    <row r="304" spans="1:10" x14ac:dyDescent="0.25">
      <c r="A304" s="94" t="s">
        <v>25</v>
      </c>
      <c r="B304" s="83">
        <v>0</v>
      </c>
      <c r="C304" s="83">
        <v>0</v>
      </c>
      <c r="D304" s="83">
        <v>22992888.923099995</v>
      </c>
      <c r="E304" s="83">
        <v>28364190.307737809</v>
      </c>
      <c r="F304" s="83">
        <v>15215612.678100003</v>
      </c>
      <c r="G304" s="83">
        <v>15937898.470619304</v>
      </c>
      <c r="H304" s="96">
        <v>0.2336070688029761</v>
      </c>
      <c r="I304" s="96">
        <v>4.747004329039628E-2</v>
      </c>
      <c r="J304" s="96">
        <v>0.15948249530323744</v>
      </c>
    </row>
    <row r="305" spans="1:10" x14ac:dyDescent="0.25">
      <c r="A305" s="95">
        <v>44409</v>
      </c>
      <c r="B305" s="83">
        <v>0</v>
      </c>
      <c r="C305" s="83">
        <v>0</v>
      </c>
      <c r="D305" s="83">
        <v>1670869.4500299997</v>
      </c>
      <c r="E305" s="83">
        <v>2061196.3646039485</v>
      </c>
      <c r="F305" s="83">
        <v>1105702.8315299999</v>
      </c>
      <c r="G305" s="83">
        <v>1158190.5928090424</v>
      </c>
      <c r="H305" s="96">
        <v>0.2336070688029761</v>
      </c>
      <c r="I305" s="96">
        <v>4.7470043290396058E-2</v>
      </c>
      <c r="J305" s="96">
        <v>0.15948249530323722</v>
      </c>
    </row>
    <row r="306" spans="1:10" x14ac:dyDescent="0.25">
      <c r="A306" s="95">
        <v>44440</v>
      </c>
      <c r="B306" s="83">
        <v>0</v>
      </c>
      <c r="C306" s="83">
        <v>0</v>
      </c>
      <c r="D306" s="83">
        <v>1767364.7721199999</v>
      </c>
      <c r="E306" s="83">
        <v>2180233.6760405931</v>
      </c>
      <c r="F306" s="83">
        <v>1169558.89812</v>
      </c>
      <c r="G306" s="83">
        <v>1225077.9096444242</v>
      </c>
      <c r="H306" s="96">
        <v>0.23360706880297633</v>
      </c>
      <c r="I306" s="96">
        <v>4.7470043290396058E-2</v>
      </c>
      <c r="J306" s="96">
        <v>0.15948249530323744</v>
      </c>
    </row>
    <row r="307" spans="1:10" x14ac:dyDescent="0.25">
      <c r="A307" s="95">
        <v>44470</v>
      </c>
      <c r="B307" s="83">
        <v>0</v>
      </c>
      <c r="C307" s="83">
        <v>0</v>
      </c>
      <c r="D307" s="83">
        <v>1671207.62152</v>
      </c>
      <c r="E307" s="83">
        <v>2061613.5353444803</v>
      </c>
      <c r="F307" s="83">
        <v>1105926.6175200001</v>
      </c>
      <c r="G307" s="83">
        <v>1158425.0019296757</v>
      </c>
      <c r="H307" s="96">
        <v>0.23360706880297588</v>
      </c>
      <c r="I307" s="96">
        <v>4.7470043290396058E-2</v>
      </c>
      <c r="J307" s="96">
        <v>0.15948249530323699</v>
      </c>
    </row>
    <row r="308" spans="1:10" x14ac:dyDescent="0.25">
      <c r="A308" s="95">
        <v>44501</v>
      </c>
      <c r="B308" s="83">
        <v>0</v>
      </c>
      <c r="C308" s="83">
        <v>0</v>
      </c>
      <c r="D308" s="83">
        <v>1737748.1937099998</v>
      </c>
      <c r="E308" s="83">
        <v>2143698.4555602591</v>
      </c>
      <c r="F308" s="83">
        <v>1149960.0392100001</v>
      </c>
      <c r="G308" s="83">
        <v>1204548.6920535241</v>
      </c>
      <c r="H308" s="96">
        <v>0.2336070688029761</v>
      </c>
      <c r="I308" s="96">
        <v>4.7470043290395836E-2</v>
      </c>
      <c r="J308" s="96">
        <v>0.15948249530323722</v>
      </c>
    </row>
    <row r="309" spans="1:10" x14ac:dyDescent="0.25">
      <c r="A309" s="95">
        <v>44531</v>
      </c>
      <c r="B309" s="83">
        <v>0</v>
      </c>
      <c r="C309" s="83">
        <v>0</v>
      </c>
      <c r="D309" s="83">
        <v>1774108.2298300001</v>
      </c>
      <c r="E309" s="83">
        <v>2188552.4531398225</v>
      </c>
      <c r="F309" s="83">
        <v>1174021.4013299998</v>
      </c>
      <c r="G309" s="83">
        <v>1229752.2480749865</v>
      </c>
      <c r="H309" s="96">
        <v>0.23360706880297588</v>
      </c>
      <c r="I309" s="96">
        <v>4.747004329039628E-2</v>
      </c>
      <c r="J309" s="96">
        <v>0.15948249530323722</v>
      </c>
    </row>
    <row r="310" spans="1:10" x14ac:dyDescent="0.25">
      <c r="A310" s="95">
        <v>44562</v>
      </c>
      <c r="B310" s="83">
        <v>0</v>
      </c>
      <c r="C310" s="83">
        <v>0</v>
      </c>
      <c r="D310" s="83">
        <v>2662063.2891099998</v>
      </c>
      <c r="E310" s="83">
        <v>3283940.0910469959</v>
      </c>
      <c r="F310" s="83">
        <v>1761628.30461</v>
      </c>
      <c r="G310" s="83">
        <v>1845252.8764914235</v>
      </c>
      <c r="H310" s="96">
        <v>0.23360706880297588</v>
      </c>
      <c r="I310" s="96">
        <v>4.7470043290395836E-2</v>
      </c>
      <c r="J310" s="96">
        <v>0.15948249530323699</v>
      </c>
    </row>
    <row r="311" spans="1:10" x14ac:dyDescent="0.25">
      <c r="A311" s="95">
        <v>44593</v>
      </c>
      <c r="B311" s="83">
        <v>0</v>
      </c>
      <c r="C311" s="83">
        <v>0</v>
      </c>
      <c r="D311" s="83">
        <v>2539161.81745</v>
      </c>
      <c r="E311" s="83">
        <v>3132327.9668409317</v>
      </c>
      <c r="F311" s="83">
        <v>1680297.88995</v>
      </c>
      <c r="G311" s="83">
        <v>1760061.7035266876</v>
      </c>
      <c r="H311" s="96">
        <v>0.23360706880297588</v>
      </c>
      <c r="I311" s="96">
        <v>4.7470043290396058E-2</v>
      </c>
      <c r="J311" s="96">
        <v>0.15948249530323722</v>
      </c>
    </row>
    <row r="312" spans="1:10" x14ac:dyDescent="0.25">
      <c r="A312" s="95">
        <v>44621</v>
      </c>
      <c r="B312" s="83">
        <v>0</v>
      </c>
      <c r="C312" s="83">
        <v>0</v>
      </c>
      <c r="D312" s="83">
        <v>2243966.5415199995</v>
      </c>
      <c r="E312" s="83">
        <v>2768172.9877764382</v>
      </c>
      <c r="F312" s="83">
        <v>1484951.53752</v>
      </c>
      <c r="G312" s="83">
        <v>1555442.2512902145</v>
      </c>
      <c r="H312" s="96">
        <v>0.2336070688029761</v>
      </c>
      <c r="I312" s="96">
        <v>4.7470043290396058E-2</v>
      </c>
      <c r="J312" s="96">
        <v>0.15948249530323744</v>
      </c>
    </row>
    <row r="313" spans="1:10" x14ac:dyDescent="0.25">
      <c r="A313" s="95">
        <v>44652</v>
      </c>
      <c r="B313" s="83">
        <v>0</v>
      </c>
      <c r="C313" s="83">
        <v>0</v>
      </c>
      <c r="D313" s="83">
        <v>1937319.1337799998</v>
      </c>
      <c r="E313" s="83">
        <v>2389890.5779582663</v>
      </c>
      <c r="F313" s="83">
        <v>1282026.7027799999</v>
      </c>
      <c r="G313" s="83">
        <v>1342884.56586041</v>
      </c>
      <c r="H313" s="96">
        <v>0.2336070688029761</v>
      </c>
      <c r="I313" s="96">
        <v>4.7470043290395836E-2</v>
      </c>
      <c r="J313" s="96">
        <v>0.15948249530323722</v>
      </c>
    </row>
    <row r="314" spans="1:10" x14ac:dyDescent="0.25">
      <c r="A314" s="95">
        <v>44682</v>
      </c>
      <c r="B314" s="83">
        <v>0</v>
      </c>
      <c r="C314" s="83">
        <v>0</v>
      </c>
      <c r="D314" s="83">
        <v>1801596.5958699996</v>
      </c>
      <c r="E314" s="83">
        <v>2222462.2957966099</v>
      </c>
      <c r="F314" s="83">
        <v>1192211.9093699998</v>
      </c>
      <c r="G314" s="83">
        <v>1248806.2603191193</v>
      </c>
      <c r="H314" s="96">
        <v>0.2336070688029761</v>
      </c>
      <c r="I314" s="96">
        <v>4.7470043290396058E-2</v>
      </c>
      <c r="J314" s="96">
        <v>0.15948249530323722</v>
      </c>
    </row>
    <row r="315" spans="1:10" x14ac:dyDescent="0.25">
      <c r="A315" s="95">
        <v>44713</v>
      </c>
      <c r="B315" s="83">
        <v>0</v>
      </c>
      <c r="C315" s="83">
        <v>0</v>
      </c>
      <c r="D315" s="83">
        <v>1593741.6390799999</v>
      </c>
      <c r="E315" s="83">
        <v>1966050.9518147293</v>
      </c>
      <c r="F315" s="83">
        <v>1054663.27308</v>
      </c>
      <c r="G315" s="83">
        <v>1104728.1843098984</v>
      </c>
      <c r="H315" s="96">
        <v>0.2336070688029761</v>
      </c>
      <c r="I315" s="96">
        <v>4.7470043290396058E-2</v>
      </c>
      <c r="J315" s="96">
        <v>0.15948249530323722</v>
      </c>
    </row>
    <row r="316" spans="1:10" x14ac:dyDescent="0.25">
      <c r="A316" s="95">
        <v>44743</v>
      </c>
      <c r="B316" s="83">
        <v>0</v>
      </c>
      <c r="C316" s="83">
        <v>0</v>
      </c>
      <c r="D316" s="83">
        <v>1593741.6390799999</v>
      </c>
      <c r="E316" s="83">
        <v>1966050.9518147293</v>
      </c>
      <c r="F316" s="83">
        <v>1054663.27308</v>
      </c>
      <c r="G316" s="83">
        <v>1104728.1843098984</v>
      </c>
      <c r="H316" s="96">
        <v>0.2336070688029761</v>
      </c>
      <c r="I316" s="96">
        <v>4.7470043290396058E-2</v>
      </c>
      <c r="J316" s="96">
        <v>0.15948249530323722</v>
      </c>
    </row>
    <row r="317" spans="1:10" x14ac:dyDescent="0.25">
      <c r="A317" s="91" t="s">
        <v>29</v>
      </c>
      <c r="B317" s="83">
        <v>0</v>
      </c>
      <c r="C317" s="83">
        <v>0</v>
      </c>
      <c r="D317" s="83">
        <v>48728.328050000004</v>
      </c>
      <c r="E317" s="83">
        <v>52853.797393483546</v>
      </c>
      <c r="F317" s="83">
        <v>40405.0864</v>
      </c>
      <c r="G317" s="83">
        <v>42325.007025453066</v>
      </c>
      <c r="H317" s="96">
        <v>8.4662649193512296E-2</v>
      </c>
      <c r="I317" s="96">
        <v>4.7516805345900082E-2</v>
      </c>
      <c r="J317" s="96">
        <v>6.7824059094334421E-2</v>
      </c>
    </row>
    <row r="318" spans="1:10" x14ac:dyDescent="0.25">
      <c r="A318" s="92" t="s">
        <v>25</v>
      </c>
      <c r="B318" s="83">
        <v>0</v>
      </c>
      <c r="C318" s="83">
        <v>0</v>
      </c>
      <c r="D318" s="83">
        <v>48728.328050000004</v>
      </c>
      <c r="E318" s="83">
        <v>52853.797393483546</v>
      </c>
      <c r="F318" s="83">
        <v>40405.0864</v>
      </c>
      <c r="G318" s="83">
        <v>42325.007025453066</v>
      </c>
      <c r="H318" s="96">
        <v>8.4662649193512296E-2</v>
      </c>
      <c r="I318" s="96">
        <v>4.7516805345900082E-2</v>
      </c>
      <c r="J318" s="96">
        <v>6.7824059094334421E-2</v>
      </c>
    </row>
    <row r="319" spans="1:10" x14ac:dyDescent="0.25">
      <c r="A319" s="93" t="s">
        <v>25</v>
      </c>
      <c r="B319" s="83">
        <v>0</v>
      </c>
      <c r="C319" s="83">
        <v>0</v>
      </c>
      <c r="D319" s="83">
        <v>48728.328050000004</v>
      </c>
      <c r="E319" s="83">
        <v>52853.797393483546</v>
      </c>
      <c r="F319" s="83">
        <v>40405.0864</v>
      </c>
      <c r="G319" s="83">
        <v>42325.007025453066</v>
      </c>
      <c r="H319" s="96">
        <v>8.4662649193512296E-2</v>
      </c>
      <c r="I319" s="96">
        <v>4.7516805345900082E-2</v>
      </c>
      <c r="J319" s="96">
        <v>6.7824059094334421E-2</v>
      </c>
    </row>
    <row r="320" spans="1:10" x14ac:dyDescent="0.25">
      <c r="A320" s="94" t="s">
        <v>25</v>
      </c>
      <c r="B320" s="83">
        <v>0</v>
      </c>
      <c r="C320" s="83">
        <v>0</v>
      </c>
      <c r="D320" s="83">
        <v>48728.328050000004</v>
      </c>
      <c r="E320" s="83">
        <v>52853.797393483546</v>
      </c>
      <c r="F320" s="83">
        <v>40405.0864</v>
      </c>
      <c r="G320" s="83">
        <v>42325.007025453066</v>
      </c>
      <c r="H320" s="96">
        <v>8.4662649193512296E-2</v>
      </c>
      <c r="I320" s="96">
        <v>4.7516805345900082E-2</v>
      </c>
      <c r="J320" s="96">
        <v>6.7824059094334421E-2</v>
      </c>
    </row>
    <row r="321" spans="1:10" x14ac:dyDescent="0.25">
      <c r="A321" s="95">
        <v>44409</v>
      </c>
      <c r="B321" s="83">
        <v>0</v>
      </c>
      <c r="C321" s="83">
        <v>0</v>
      </c>
      <c r="D321" s="83">
        <v>3748.5293000000001</v>
      </c>
      <c r="E321" s="83">
        <v>4065.8897211175026</v>
      </c>
      <c r="F321" s="83">
        <v>3108.2464000000004</v>
      </c>
      <c r="G321" s="83">
        <v>3255.9403391558944</v>
      </c>
      <c r="H321" s="96">
        <v>8.4662649193512296E-2</v>
      </c>
      <c r="I321" s="96">
        <v>4.751680534589986E-2</v>
      </c>
      <c r="J321" s="96">
        <v>6.7824059094334421E-2</v>
      </c>
    </row>
    <row r="322" spans="1:10" x14ac:dyDescent="0.25">
      <c r="A322" s="95">
        <v>44440</v>
      </c>
      <c r="B322" s="83">
        <v>0</v>
      </c>
      <c r="C322" s="83">
        <v>0</v>
      </c>
      <c r="D322" s="83">
        <v>3784.3637499999995</v>
      </c>
      <c r="E322" s="83">
        <v>4104.7580105868947</v>
      </c>
      <c r="F322" s="83">
        <v>3137.96</v>
      </c>
      <c r="G322" s="83">
        <v>3287.0658345032202</v>
      </c>
      <c r="H322" s="96">
        <v>8.4662649193512518E-2</v>
      </c>
      <c r="I322" s="96">
        <v>4.751680534589986E-2</v>
      </c>
      <c r="J322" s="96">
        <v>6.7824059094334643E-2</v>
      </c>
    </row>
    <row r="323" spans="1:10" x14ac:dyDescent="0.25">
      <c r="A323" s="95">
        <v>44470</v>
      </c>
      <c r="B323" s="83">
        <v>0</v>
      </c>
      <c r="C323" s="83">
        <v>0</v>
      </c>
      <c r="D323" s="83">
        <v>3843.5520500000002</v>
      </c>
      <c r="E323" s="83">
        <v>4168.9573488661554</v>
      </c>
      <c r="F323" s="83">
        <v>3187.0384000000004</v>
      </c>
      <c r="G323" s="83">
        <v>3338.4762832827087</v>
      </c>
      <c r="H323" s="96">
        <v>8.4662649193512296E-2</v>
      </c>
      <c r="I323" s="96">
        <v>4.751680534589986E-2</v>
      </c>
      <c r="J323" s="96">
        <v>6.7824059094334421E-2</v>
      </c>
    </row>
    <row r="324" spans="1:10" x14ac:dyDescent="0.25">
      <c r="A324" s="95">
        <v>44501</v>
      </c>
      <c r="B324" s="83">
        <v>0</v>
      </c>
      <c r="C324" s="83">
        <v>0</v>
      </c>
      <c r="D324" s="83">
        <v>3857.6399999999994</v>
      </c>
      <c r="E324" s="83">
        <v>4184.2380220348605</v>
      </c>
      <c r="F324" s="83">
        <v>3198.72</v>
      </c>
      <c r="G324" s="83">
        <v>3350.7129555960369</v>
      </c>
      <c r="H324" s="96">
        <v>8.4662649193512296E-2</v>
      </c>
      <c r="I324" s="96">
        <v>4.751680534589986E-2</v>
      </c>
      <c r="J324" s="96">
        <v>6.7824059094334421E-2</v>
      </c>
    </row>
    <row r="325" spans="1:10" x14ac:dyDescent="0.25">
      <c r="A325" s="95">
        <v>44531</v>
      </c>
      <c r="B325" s="83">
        <v>0</v>
      </c>
      <c r="C325" s="83">
        <v>0</v>
      </c>
      <c r="D325" s="83">
        <v>3895.3654499999998</v>
      </c>
      <c r="E325" s="83">
        <v>4225.1574085738785</v>
      </c>
      <c r="F325" s="83">
        <v>3230.0016000000001</v>
      </c>
      <c r="G325" s="83">
        <v>3383.4809572941454</v>
      </c>
      <c r="H325" s="96">
        <v>8.4662649193512518E-2</v>
      </c>
      <c r="I325" s="96">
        <v>4.751680534589986E-2</v>
      </c>
      <c r="J325" s="96">
        <v>6.7824059094334643E-2</v>
      </c>
    </row>
    <row r="326" spans="1:10" x14ac:dyDescent="0.25">
      <c r="A326" s="95">
        <v>44562</v>
      </c>
      <c r="B326" s="83">
        <v>0</v>
      </c>
      <c r="C326" s="83">
        <v>0</v>
      </c>
      <c r="D326" s="83">
        <v>3885.4376999999999</v>
      </c>
      <c r="E326" s="83">
        <v>4214.3891489583475</v>
      </c>
      <c r="F326" s="83">
        <v>3221.7696000000005</v>
      </c>
      <c r="G326" s="83">
        <v>3374.8577989525379</v>
      </c>
      <c r="H326" s="96">
        <v>8.4662649193512296E-2</v>
      </c>
      <c r="I326" s="96">
        <v>4.751680534589986E-2</v>
      </c>
      <c r="J326" s="96">
        <v>6.7824059094334643E-2</v>
      </c>
    </row>
    <row r="327" spans="1:10" x14ac:dyDescent="0.25">
      <c r="A327" s="95">
        <v>44593</v>
      </c>
      <c r="B327" s="83">
        <v>0</v>
      </c>
      <c r="C327" s="83">
        <v>0</v>
      </c>
      <c r="D327" s="83">
        <v>3959.0921499999995</v>
      </c>
      <c r="E327" s="83">
        <v>4294.2793798202383</v>
      </c>
      <c r="F327" s="83">
        <v>3282.8432000000003</v>
      </c>
      <c r="G327" s="83">
        <v>3438.8334213155113</v>
      </c>
      <c r="H327" s="96">
        <v>8.4662649193512518E-2</v>
      </c>
      <c r="I327" s="96">
        <v>4.751680534589986E-2</v>
      </c>
      <c r="J327" s="96">
        <v>6.7824059094334421E-2</v>
      </c>
    </row>
    <row r="328" spans="1:10" x14ac:dyDescent="0.25">
      <c r="A328" s="95">
        <v>44621</v>
      </c>
      <c r="B328" s="83">
        <v>0</v>
      </c>
      <c r="C328" s="83">
        <v>0</v>
      </c>
      <c r="D328" s="83">
        <v>4016.9567499999998</v>
      </c>
      <c r="E328" s="83">
        <v>4357.0429501507615</v>
      </c>
      <c r="F328" s="83">
        <v>3330.8240000000001</v>
      </c>
      <c r="G328" s="83">
        <v>3489.0941156494519</v>
      </c>
      <c r="H328" s="96">
        <v>8.4662649193512296E-2</v>
      </c>
      <c r="I328" s="96">
        <v>4.751680534589986E-2</v>
      </c>
      <c r="J328" s="96">
        <v>6.7824059094334421E-2</v>
      </c>
    </row>
    <row r="329" spans="1:10" x14ac:dyDescent="0.25">
      <c r="A329" s="95">
        <v>44652</v>
      </c>
      <c r="B329" s="83">
        <v>0</v>
      </c>
      <c r="C329" s="83">
        <v>0</v>
      </c>
      <c r="D329" s="83">
        <v>4064.7990499999996</v>
      </c>
      <c r="E329" s="83">
        <v>4408.935706012272</v>
      </c>
      <c r="F329" s="83">
        <v>3370.4944</v>
      </c>
      <c r="G329" s="83">
        <v>3530.6495263242459</v>
      </c>
      <c r="H329" s="96">
        <v>8.4662649193512296E-2</v>
      </c>
      <c r="I329" s="96">
        <v>4.751680534589986E-2</v>
      </c>
      <c r="J329" s="96">
        <v>6.7824059094334643E-2</v>
      </c>
    </row>
    <row r="330" spans="1:10" x14ac:dyDescent="0.25">
      <c r="A330" s="95">
        <v>44682</v>
      </c>
      <c r="B330" s="83">
        <v>0</v>
      </c>
      <c r="C330" s="83">
        <v>0</v>
      </c>
      <c r="D330" s="83">
        <v>4236.1236499999995</v>
      </c>
      <c r="E330" s="83">
        <v>4594.7651005202906</v>
      </c>
      <c r="F330" s="83">
        <v>3512.5552000000002</v>
      </c>
      <c r="G330" s="83">
        <v>3679.4606017051283</v>
      </c>
      <c r="H330" s="96">
        <v>8.4662649193512296E-2</v>
      </c>
      <c r="I330" s="96">
        <v>4.751680534589986E-2</v>
      </c>
      <c r="J330" s="96">
        <v>6.7824059094334421E-2</v>
      </c>
    </row>
    <row r="331" spans="1:10" x14ac:dyDescent="0.25">
      <c r="A331" s="95">
        <v>44713</v>
      </c>
      <c r="B331" s="83">
        <v>0</v>
      </c>
      <c r="C331" s="83">
        <v>0</v>
      </c>
      <c r="D331" s="83">
        <v>4718.2340999999997</v>
      </c>
      <c r="E331" s="83">
        <v>5117.6922984211678</v>
      </c>
      <c r="F331" s="83">
        <v>3912.3168000000005</v>
      </c>
      <c r="G331" s="83">
        <v>4098.2175958370944</v>
      </c>
      <c r="H331" s="96">
        <v>8.4662649193512518E-2</v>
      </c>
      <c r="I331" s="96">
        <v>4.751680534589986E-2</v>
      </c>
      <c r="J331" s="96">
        <v>6.7824059094334643E-2</v>
      </c>
    </row>
    <row r="332" spans="1:10" x14ac:dyDescent="0.25">
      <c r="A332" s="95">
        <v>44743</v>
      </c>
      <c r="B332" s="83">
        <v>0</v>
      </c>
      <c r="C332" s="83">
        <v>0</v>
      </c>
      <c r="D332" s="83">
        <v>4718.2340999999997</v>
      </c>
      <c r="E332" s="83">
        <v>5117.6922984211678</v>
      </c>
      <c r="F332" s="83">
        <v>3912.3168000000005</v>
      </c>
      <c r="G332" s="83">
        <v>4098.2175958370944</v>
      </c>
      <c r="H332" s="96">
        <v>8.4662649193512518E-2</v>
      </c>
      <c r="I332" s="96">
        <v>4.751680534589986E-2</v>
      </c>
      <c r="J332" s="96">
        <v>6.7824059094334643E-2</v>
      </c>
    </row>
    <row r="333" spans="1:10" x14ac:dyDescent="0.25">
      <c r="A333" s="91" t="s">
        <v>30</v>
      </c>
      <c r="B333" s="83">
        <v>0</v>
      </c>
      <c r="C333" s="83">
        <v>0</v>
      </c>
      <c r="D333" s="83">
        <v>174756.21196799999</v>
      </c>
      <c r="E333" s="83">
        <v>189558.21865726885</v>
      </c>
      <c r="F333" s="83">
        <v>144911.37024000002</v>
      </c>
      <c r="G333" s="83">
        <v>151797.09561210175</v>
      </c>
      <c r="H333" s="96">
        <v>8.4700890014595132E-2</v>
      </c>
      <c r="I333" s="96">
        <v>4.7516805345899416E-2</v>
      </c>
      <c r="J333" s="96">
        <v>6.7844640083831953E-2</v>
      </c>
    </row>
    <row r="334" spans="1:10" x14ac:dyDescent="0.25">
      <c r="A334" s="92" t="s">
        <v>25</v>
      </c>
      <c r="B334" s="83">
        <v>0</v>
      </c>
      <c r="C334" s="83">
        <v>0</v>
      </c>
      <c r="D334" s="83">
        <v>174756.21196799999</v>
      </c>
      <c r="E334" s="83">
        <v>189558.21865726885</v>
      </c>
      <c r="F334" s="83">
        <v>144911.37024000002</v>
      </c>
      <c r="G334" s="83">
        <v>151797.09561210175</v>
      </c>
      <c r="H334" s="96">
        <v>8.4700890014595132E-2</v>
      </c>
      <c r="I334" s="96">
        <v>4.7516805345899416E-2</v>
      </c>
      <c r="J334" s="96">
        <v>6.7844640083831953E-2</v>
      </c>
    </row>
    <row r="335" spans="1:10" x14ac:dyDescent="0.25">
      <c r="A335" s="93" t="s">
        <v>25</v>
      </c>
      <c r="B335" s="83">
        <v>0</v>
      </c>
      <c r="C335" s="83">
        <v>0</v>
      </c>
      <c r="D335" s="83">
        <v>174756.21196799999</v>
      </c>
      <c r="E335" s="83">
        <v>189558.21865726885</v>
      </c>
      <c r="F335" s="83">
        <v>144911.37024000002</v>
      </c>
      <c r="G335" s="83">
        <v>151797.09561210175</v>
      </c>
      <c r="H335" s="96">
        <v>8.4700890014595132E-2</v>
      </c>
      <c r="I335" s="96">
        <v>4.7516805345899416E-2</v>
      </c>
      <c r="J335" s="96">
        <v>6.7844640083831953E-2</v>
      </c>
    </row>
    <row r="336" spans="1:10" x14ac:dyDescent="0.25">
      <c r="A336" s="94" t="s">
        <v>25</v>
      </c>
      <c r="B336" s="83">
        <v>0</v>
      </c>
      <c r="C336" s="83">
        <v>0</v>
      </c>
      <c r="D336" s="83">
        <v>174756.21196799999</v>
      </c>
      <c r="E336" s="83">
        <v>189558.21865726885</v>
      </c>
      <c r="F336" s="83">
        <v>144911.37024000002</v>
      </c>
      <c r="G336" s="83">
        <v>151797.09561210175</v>
      </c>
      <c r="H336" s="96">
        <v>8.4700890014595132E-2</v>
      </c>
      <c r="I336" s="96">
        <v>4.7516805345899416E-2</v>
      </c>
      <c r="J336" s="96">
        <v>6.7844640083831953E-2</v>
      </c>
    </row>
    <row r="337" spans="1:10" x14ac:dyDescent="0.25">
      <c r="A337" s="95">
        <v>44409</v>
      </c>
      <c r="B337" s="83">
        <v>0</v>
      </c>
      <c r="C337" s="83">
        <v>0</v>
      </c>
      <c r="D337" s="83">
        <v>12966.075840000001</v>
      </c>
      <c r="E337" s="83">
        <v>14064.314003644742</v>
      </c>
      <c r="F337" s="83">
        <v>10751.731200000002</v>
      </c>
      <c r="G337" s="83">
        <v>11262.619118561841</v>
      </c>
      <c r="H337" s="96">
        <v>8.4700890014595354E-2</v>
      </c>
      <c r="I337" s="96">
        <v>4.751680534589986E-2</v>
      </c>
      <c r="J337" s="96">
        <v>6.7844640083831953E-2</v>
      </c>
    </row>
    <row r="338" spans="1:10" x14ac:dyDescent="0.25">
      <c r="A338" s="95">
        <v>44440</v>
      </c>
      <c r="B338" s="83">
        <v>0</v>
      </c>
      <c r="C338" s="83">
        <v>0</v>
      </c>
      <c r="D338" s="83">
        <v>13520.227360000001</v>
      </c>
      <c r="E338" s="83">
        <v>14665.402650591681</v>
      </c>
      <c r="F338" s="83">
        <v>11211.2448</v>
      </c>
      <c r="G338" s="83">
        <v>11743.967336846834</v>
      </c>
      <c r="H338" s="96">
        <v>8.4700890014595132E-2</v>
      </c>
      <c r="I338" s="96">
        <v>4.7516805345900082E-2</v>
      </c>
      <c r="J338" s="96">
        <v>6.7844640083831953E-2</v>
      </c>
    </row>
    <row r="339" spans="1:10" x14ac:dyDescent="0.25">
      <c r="A339" s="95">
        <v>44470</v>
      </c>
      <c r="B339" s="83">
        <v>0</v>
      </c>
      <c r="C339" s="83">
        <v>0</v>
      </c>
      <c r="D339" s="83">
        <v>13493.48416</v>
      </c>
      <c r="E339" s="83">
        <v>14636.394277749843</v>
      </c>
      <c r="F339" s="83">
        <v>11189.068799999999</v>
      </c>
      <c r="G339" s="83">
        <v>11720.737604171482</v>
      </c>
      <c r="H339" s="96">
        <v>8.4700890014595354E-2</v>
      </c>
      <c r="I339" s="96">
        <v>4.751680534589986E-2</v>
      </c>
      <c r="J339" s="96">
        <v>6.7844640083832175E-2</v>
      </c>
    </row>
    <row r="340" spans="1:10" x14ac:dyDescent="0.25">
      <c r="A340" s="95">
        <v>44501</v>
      </c>
      <c r="B340" s="83">
        <v>0</v>
      </c>
      <c r="C340" s="83">
        <v>0</v>
      </c>
      <c r="D340" s="83">
        <v>13696.24624</v>
      </c>
      <c r="E340" s="83">
        <v>14856.330486387054</v>
      </c>
      <c r="F340" s="83">
        <v>11357.2032</v>
      </c>
      <c r="G340" s="83">
        <v>11896.861213728233</v>
      </c>
      <c r="H340" s="96">
        <v>8.4700890014595354E-2</v>
      </c>
      <c r="I340" s="96">
        <v>4.7516805345900082E-2</v>
      </c>
      <c r="J340" s="96">
        <v>6.7844640083832175E-2</v>
      </c>
    </row>
    <row r="341" spans="1:10" x14ac:dyDescent="0.25">
      <c r="A341" s="95">
        <v>44531</v>
      </c>
      <c r="B341" s="83">
        <v>0</v>
      </c>
      <c r="C341" s="83">
        <v>0</v>
      </c>
      <c r="D341" s="83">
        <v>13896.577120000002</v>
      </c>
      <c r="E341" s="83">
        <v>15073.629570220461</v>
      </c>
      <c r="F341" s="83">
        <v>11523.321600000001</v>
      </c>
      <c r="G341" s="83">
        <v>12070.873029405404</v>
      </c>
      <c r="H341" s="96">
        <v>8.4700890014595132E-2</v>
      </c>
      <c r="I341" s="96">
        <v>4.751680534589986E-2</v>
      </c>
      <c r="J341" s="96">
        <v>6.7844640083831953E-2</v>
      </c>
    </row>
    <row r="342" spans="1:10" x14ac:dyDescent="0.25">
      <c r="A342" s="95">
        <v>44562</v>
      </c>
      <c r="B342" s="83">
        <v>0</v>
      </c>
      <c r="C342" s="83">
        <v>0</v>
      </c>
      <c r="D342" s="83">
        <v>14441.814240000002</v>
      </c>
      <c r="E342" s="83">
        <v>15665.048759553456</v>
      </c>
      <c r="F342" s="83">
        <v>11975.443200000002</v>
      </c>
      <c r="G342" s="83">
        <v>12544.478003465283</v>
      </c>
      <c r="H342" s="96">
        <v>8.4700890014595132E-2</v>
      </c>
      <c r="I342" s="96">
        <v>4.7516805345900082E-2</v>
      </c>
      <c r="J342" s="96">
        <v>6.7844640083832175E-2</v>
      </c>
    </row>
    <row r="343" spans="1:10" x14ac:dyDescent="0.25">
      <c r="A343" s="95">
        <v>44593</v>
      </c>
      <c r="B343" s="83">
        <v>0</v>
      </c>
      <c r="C343" s="83">
        <v>0</v>
      </c>
      <c r="D343" s="83">
        <v>14688.175840000002</v>
      </c>
      <c r="E343" s="83">
        <v>15932.277406338875</v>
      </c>
      <c r="F343" s="83">
        <v>12179.731200000002</v>
      </c>
      <c r="G343" s="83">
        <v>12758.473116595786</v>
      </c>
      <c r="H343" s="96">
        <v>8.4700890014595132E-2</v>
      </c>
      <c r="I343" s="96">
        <v>4.751680534589986E-2</v>
      </c>
      <c r="J343" s="96">
        <v>6.7844640083831953E-2</v>
      </c>
    </row>
    <row r="344" spans="1:10" x14ac:dyDescent="0.25">
      <c r="A344" s="95">
        <v>44621</v>
      </c>
      <c r="B344" s="83">
        <v>0</v>
      </c>
      <c r="C344" s="83">
        <v>0</v>
      </c>
      <c r="D344" s="83">
        <v>14874.729920000002</v>
      </c>
      <c r="E344" s="83">
        <v>16134.63278295073</v>
      </c>
      <c r="F344" s="83">
        <v>12334.4256</v>
      </c>
      <c r="G344" s="83">
        <v>12920.518100288686</v>
      </c>
      <c r="H344" s="96">
        <v>8.4700890014595132E-2</v>
      </c>
      <c r="I344" s="96">
        <v>4.751680534589986E-2</v>
      </c>
      <c r="J344" s="96">
        <v>6.7844640083832175E-2</v>
      </c>
    </row>
    <row r="345" spans="1:10" x14ac:dyDescent="0.25">
      <c r="A345" s="95">
        <v>44652</v>
      </c>
      <c r="B345" s="83">
        <v>0</v>
      </c>
      <c r="C345" s="83">
        <v>0</v>
      </c>
      <c r="D345" s="83">
        <v>14973.11248</v>
      </c>
      <c r="E345" s="83">
        <v>16241.348433344641</v>
      </c>
      <c r="F345" s="83">
        <v>12416.0064</v>
      </c>
      <c r="G345" s="83">
        <v>13005.975359282247</v>
      </c>
      <c r="H345" s="96">
        <v>8.4700890014595132E-2</v>
      </c>
      <c r="I345" s="96">
        <v>4.751680534589986E-2</v>
      </c>
      <c r="J345" s="96">
        <v>6.7844640083831953E-2</v>
      </c>
    </row>
    <row r="346" spans="1:10" x14ac:dyDescent="0.25">
      <c r="A346" s="95">
        <v>44682</v>
      </c>
      <c r="B346" s="83">
        <v>0</v>
      </c>
      <c r="C346" s="83">
        <v>0</v>
      </c>
      <c r="D346" s="83">
        <v>15172.957120000003</v>
      </c>
      <c r="E346" s="83">
        <v>16458.12009221729</v>
      </c>
      <c r="F346" s="83">
        <v>12581.721600000001</v>
      </c>
      <c r="G346" s="83">
        <v>13179.564816183505</v>
      </c>
      <c r="H346" s="96">
        <v>8.4700890014595132E-2</v>
      </c>
      <c r="I346" s="96">
        <v>4.751680534589986E-2</v>
      </c>
      <c r="J346" s="96">
        <v>6.7844640083831953E-2</v>
      </c>
    </row>
    <row r="347" spans="1:10" x14ac:dyDescent="0.25">
      <c r="A347" s="95">
        <v>44713</v>
      </c>
      <c r="B347" s="83">
        <v>0</v>
      </c>
      <c r="C347" s="83">
        <v>0</v>
      </c>
      <c r="D347" s="83">
        <v>16516.405824000001</v>
      </c>
      <c r="E347" s="83">
        <v>17915.360097135046</v>
      </c>
      <c r="F347" s="83">
        <v>13695.73632</v>
      </c>
      <c r="G347" s="83">
        <v>14346.513956786213</v>
      </c>
      <c r="H347" s="96">
        <v>8.4700890014595354E-2</v>
      </c>
      <c r="I347" s="96">
        <v>4.7516805345900082E-2</v>
      </c>
      <c r="J347" s="96">
        <v>6.7844640083832175E-2</v>
      </c>
    </row>
    <row r="348" spans="1:10" x14ac:dyDescent="0.25">
      <c r="A348" s="95">
        <v>44743</v>
      </c>
      <c r="B348" s="83">
        <v>0</v>
      </c>
      <c r="C348" s="83">
        <v>0</v>
      </c>
      <c r="D348" s="83">
        <v>16516.405824000001</v>
      </c>
      <c r="E348" s="83">
        <v>17915.360097135046</v>
      </c>
      <c r="F348" s="83">
        <v>13695.73632</v>
      </c>
      <c r="G348" s="83">
        <v>14346.513956786213</v>
      </c>
      <c r="H348" s="96">
        <v>8.4700890014595354E-2</v>
      </c>
      <c r="I348" s="96">
        <v>4.7516805345900082E-2</v>
      </c>
      <c r="J348" s="96">
        <v>6.7844640083832175E-2</v>
      </c>
    </row>
    <row r="349" spans="1:10" x14ac:dyDescent="0.25">
      <c r="A349" s="91" t="s">
        <v>31</v>
      </c>
      <c r="B349" s="83">
        <v>0</v>
      </c>
      <c r="C349" s="83">
        <v>0</v>
      </c>
      <c r="D349" s="83">
        <v>270312.97200000001</v>
      </c>
      <c r="E349" s="83">
        <v>293208.72131089045</v>
      </c>
      <c r="F349" s="83">
        <v>224160.0785</v>
      </c>
      <c r="G349" s="83">
        <v>234799.80250080593</v>
      </c>
      <c r="H349" s="96">
        <v>8.4700890014595576E-2</v>
      </c>
      <c r="I349" s="96">
        <v>4.7464847764165707E-2</v>
      </c>
      <c r="J349" s="96">
        <v>6.7820629006547728E-2</v>
      </c>
    </row>
    <row r="350" spans="1:10" x14ac:dyDescent="0.25">
      <c r="A350" s="92" t="s">
        <v>25</v>
      </c>
      <c r="B350" s="83">
        <v>0</v>
      </c>
      <c r="C350" s="83">
        <v>0</v>
      </c>
      <c r="D350" s="83">
        <v>270312.97200000001</v>
      </c>
      <c r="E350" s="83">
        <v>293208.72131089045</v>
      </c>
      <c r="F350" s="83">
        <v>224160.0785</v>
      </c>
      <c r="G350" s="83">
        <v>234799.80250080593</v>
      </c>
      <c r="H350" s="96">
        <v>8.4700890014595576E-2</v>
      </c>
      <c r="I350" s="96">
        <v>4.7464847764165707E-2</v>
      </c>
      <c r="J350" s="96">
        <v>6.7820629006547728E-2</v>
      </c>
    </row>
    <row r="351" spans="1:10" x14ac:dyDescent="0.25">
      <c r="A351" s="93" t="s">
        <v>25</v>
      </c>
      <c r="B351" s="83">
        <v>0</v>
      </c>
      <c r="C351" s="83">
        <v>0</v>
      </c>
      <c r="D351" s="83">
        <v>270312.97200000001</v>
      </c>
      <c r="E351" s="83">
        <v>293208.72131089045</v>
      </c>
      <c r="F351" s="83">
        <v>224160.0785</v>
      </c>
      <c r="G351" s="83">
        <v>234799.80250080593</v>
      </c>
      <c r="H351" s="96">
        <v>8.4700890014595576E-2</v>
      </c>
      <c r="I351" s="96">
        <v>4.7464847764165707E-2</v>
      </c>
      <c r="J351" s="96">
        <v>6.7820629006547728E-2</v>
      </c>
    </row>
    <row r="352" spans="1:10" x14ac:dyDescent="0.25">
      <c r="A352" s="94" t="s">
        <v>25</v>
      </c>
      <c r="B352" s="83">
        <v>0</v>
      </c>
      <c r="C352" s="83">
        <v>0</v>
      </c>
      <c r="D352" s="83">
        <v>270312.97200000001</v>
      </c>
      <c r="E352" s="83">
        <v>293208.72131089045</v>
      </c>
      <c r="F352" s="83">
        <v>224160.0785</v>
      </c>
      <c r="G352" s="83">
        <v>234799.80250080593</v>
      </c>
      <c r="H352" s="96">
        <v>8.4700890014595576E-2</v>
      </c>
      <c r="I352" s="96">
        <v>4.7464847764165707E-2</v>
      </c>
      <c r="J352" s="96">
        <v>6.7820629006547728E-2</v>
      </c>
    </row>
    <row r="353" spans="1:10" x14ac:dyDescent="0.25">
      <c r="A353" s="95">
        <v>44409</v>
      </c>
      <c r="B353" s="83">
        <v>0</v>
      </c>
      <c r="C353" s="83">
        <v>0</v>
      </c>
      <c r="D353" s="83">
        <v>18711.00144</v>
      </c>
      <c r="E353" s="83">
        <v>20295.839915032378</v>
      </c>
      <c r="F353" s="83">
        <v>15516.30882</v>
      </c>
      <c r="G353" s="83">
        <v>16252.788056003081</v>
      </c>
      <c r="H353" s="96">
        <v>8.4700890014595576E-2</v>
      </c>
      <c r="I353" s="96">
        <v>4.7464847764165707E-2</v>
      </c>
      <c r="J353" s="96">
        <v>6.7820629006547506E-2</v>
      </c>
    </row>
    <row r="354" spans="1:10" x14ac:dyDescent="0.25">
      <c r="A354" s="95">
        <v>44440</v>
      </c>
      <c r="B354" s="83">
        <v>0</v>
      </c>
      <c r="C354" s="83">
        <v>0</v>
      </c>
      <c r="D354" s="83">
        <v>20681.48904</v>
      </c>
      <c r="E354" s="83">
        <v>22433.2295685151</v>
      </c>
      <c r="F354" s="83">
        <v>17150.357870000003</v>
      </c>
      <c r="G354" s="83">
        <v>17964.396995400508</v>
      </c>
      <c r="H354" s="96">
        <v>8.4700890014595354E-2</v>
      </c>
      <c r="I354" s="96">
        <v>4.7464847764165263E-2</v>
      </c>
      <c r="J354" s="96">
        <v>6.7820629006547062E-2</v>
      </c>
    </row>
    <row r="355" spans="1:10" x14ac:dyDescent="0.25">
      <c r="A355" s="95">
        <v>44470</v>
      </c>
      <c r="B355" s="83">
        <v>0</v>
      </c>
      <c r="C355" s="83">
        <v>0</v>
      </c>
      <c r="D355" s="83">
        <v>19327.067520000001</v>
      </c>
      <c r="E355" s="83">
        <v>20964.087340316182</v>
      </c>
      <c r="F355" s="83">
        <v>16027.188560000002</v>
      </c>
      <c r="G355" s="83">
        <v>16787.916625087979</v>
      </c>
      <c r="H355" s="96">
        <v>8.4700890014595576E-2</v>
      </c>
      <c r="I355" s="96">
        <v>4.7464847764165707E-2</v>
      </c>
      <c r="J355" s="96">
        <v>6.7820629006547506E-2</v>
      </c>
    </row>
    <row r="356" spans="1:10" x14ac:dyDescent="0.25">
      <c r="A356" s="95">
        <v>44501</v>
      </c>
      <c r="B356" s="83">
        <v>0</v>
      </c>
      <c r="C356" s="83">
        <v>0</v>
      </c>
      <c r="D356" s="83">
        <v>20110.400160000001</v>
      </c>
      <c r="E356" s="83">
        <v>21813.768952101662</v>
      </c>
      <c r="F356" s="83">
        <v>16676.775980000002</v>
      </c>
      <c r="G356" s="83">
        <v>17468.336613087795</v>
      </c>
      <c r="H356" s="96">
        <v>8.4700890014595354E-2</v>
      </c>
      <c r="I356" s="96">
        <v>4.7464847764165485E-2</v>
      </c>
      <c r="J356" s="96">
        <v>6.7820629006547506E-2</v>
      </c>
    </row>
    <row r="357" spans="1:10" x14ac:dyDescent="0.25">
      <c r="A357" s="95">
        <v>44531</v>
      </c>
      <c r="B357" s="83">
        <v>0</v>
      </c>
      <c r="C357" s="83">
        <v>0</v>
      </c>
      <c r="D357" s="83">
        <v>19999.294320000001</v>
      </c>
      <c r="E357" s="83">
        <v>21693.252348567843</v>
      </c>
      <c r="F357" s="83">
        <v>16584.640210000001</v>
      </c>
      <c r="G357" s="83">
        <v>17371.827632791112</v>
      </c>
      <c r="H357" s="96">
        <v>8.4700890014595354E-2</v>
      </c>
      <c r="I357" s="96">
        <v>4.7464847764165707E-2</v>
      </c>
      <c r="J357" s="96">
        <v>6.7820629006547506E-2</v>
      </c>
    </row>
    <row r="358" spans="1:10" x14ac:dyDescent="0.25">
      <c r="A358" s="95">
        <v>44562</v>
      </c>
      <c r="B358" s="83">
        <v>0</v>
      </c>
      <c r="C358" s="83">
        <v>0</v>
      </c>
      <c r="D358" s="83">
        <v>25365.682079999999</v>
      </c>
      <c r="E358" s="83">
        <v>27514.177928003275</v>
      </c>
      <c r="F358" s="83">
        <v>21034.777739999998</v>
      </c>
      <c r="G358" s="83">
        <v>22033.190263182161</v>
      </c>
      <c r="H358" s="96">
        <v>8.4700890014595576E-2</v>
      </c>
      <c r="I358" s="96">
        <v>4.7464847764165707E-2</v>
      </c>
      <c r="J358" s="96">
        <v>6.7820629006547728E-2</v>
      </c>
    </row>
    <row r="359" spans="1:10" x14ac:dyDescent="0.25">
      <c r="A359" s="95">
        <v>44593</v>
      </c>
      <c r="B359" s="83">
        <v>0</v>
      </c>
      <c r="C359" s="83">
        <v>0</v>
      </c>
      <c r="D359" s="83">
        <v>25749.082320000001</v>
      </c>
      <c r="E359" s="83">
        <v>27930.052509563084</v>
      </c>
      <c r="F359" s="83">
        <v>21352.716710000001</v>
      </c>
      <c r="G359" s="83">
        <v>22366.220157991505</v>
      </c>
      <c r="H359" s="96">
        <v>8.4700890014595354E-2</v>
      </c>
      <c r="I359" s="96">
        <v>4.7464847764165485E-2</v>
      </c>
      <c r="J359" s="96">
        <v>6.7820629006547284E-2</v>
      </c>
    </row>
    <row r="360" spans="1:10" x14ac:dyDescent="0.25">
      <c r="A360" s="95">
        <v>44621</v>
      </c>
      <c r="B360" s="83">
        <v>0</v>
      </c>
      <c r="C360" s="83">
        <v>0</v>
      </c>
      <c r="D360" s="83">
        <v>25208.86968</v>
      </c>
      <c r="E360" s="83">
        <v>27344.083378157953</v>
      </c>
      <c r="F360" s="83">
        <v>20904.739290000001</v>
      </c>
      <c r="G360" s="83">
        <v>21896.97955794942</v>
      </c>
      <c r="H360" s="96">
        <v>8.4700890014595576E-2</v>
      </c>
      <c r="I360" s="96">
        <v>4.7464847764165485E-2</v>
      </c>
      <c r="J360" s="96">
        <v>6.7820629006547506E-2</v>
      </c>
    </row>
    <row r="361" spans="1:10" x14ac:dyDescent="0.25">
      <c r="A361" s="95">
        <v>44652</v>
      </c>
      <c r="B361" s="83">
        <v>0</v>
      </c>
      <c r="C361" s="83">
        <v>0</v>
      </c>
      <c r="D361" s="83">
        <v>24574.812720000002</v>
      </c>
      <c r="E361" s="83">
        <v>26656.321229326004</v>
      </c>
      <c r="F361" s="83">
        <v>20378.940410000003</v>
      </c>
      <c r="G361" s="83">
        <v>21346.223714155658</v>
      </c>
      <c r="H361" s="96">
        <v>8.4700890014595576E-2</v>
      </c>
      <c r="I361" s="96">
        <v>4.7464847764165707E-2</v>
      </c>
      <c r="J361" s="96">
        <v>6.7820629006547506E-2</v>
      </c>
    </row>
    <row r="362" spans="1:10" x14ac:dyDescent="0.25">
      <c r="A362" s="95">
        <v>44682</v>
      </c>
      <c r="B362" s="83">
        <v>0</v>
      </c>
      <c r="C362" s="83">
        <v>0</v>
      </c>
      <c r="D362" s="83">
        <v>22130.484240000002</v>
      </c>
      <c r="E362" s="83">
        <v>24004.955951581978</v>
      </c>
      <c r="F362" s="83">
        <v>18351.95347</v>
      </c>
      <c r="G362" s="83">
        <v>19223.026147628603</v>
      </c>
      <c r="H362" s="96">
        <v>8.4700890014595354E-2</v>
      </c>
      <c r="I362" s="96">
        <v>4.7464847764165707E-2</v>
      </c>
      <c r="J362" s="96">
        <v>6.7820629006547728E-2</v>
      </c>
    </row>
    <row r="363" spans="1:10" x14ac:dyDescent="0.25">
      <c r="A363" s="95">
        <v>44713</v>
      </c>
      <c r="B363" s="83">
        <v>0</v>
      </c>
      <c r="C363" s="83">
        <v>0</v>
      </c>
      <c r="D363" s="83">
        <v>24227.394240000001</v>
      </c>
      <c r="E363" s="83">
        <v>26279.476094862483</v>
      </c>
      <c r="F363" s="83">
        <v>20090.83972</v>
      </c>
      <c r="G363" s="83">
        <v>21044.448368764053</v>
      </c>
      <c r="H363" s="96">
        <v>8.4700890014595354E-2</v>
      </c>
      <c r="I363" s="96">
        <v>4.7464847764165707E-2</v>
      </c>
      <c r="J363" s="96">
        <v>6.7820629006547506E-2</v>
      </c>
    </row>
    <row r="364" spans="1:10" x14ac:dyDescent="0.25">
      <c r="A364" s="95">
        <v>44743</v>
      </c>
      <c r="B364" s="83">
        <v>0</v>
      </c>
      <c r="C364" s="83">
        <v>0</v>
      </c>
      <c r="D364" s="83">
        <v>24227.394240000001</v>
      </c>
      <c r="E364" s="83">
        <v>26279.476094862483</v>
      </c>
      <c r="F364" s="83">
        <v>20090.83972</v>
      </c>
      <c r="G364" s="83">
        <v>21044.448368764053</v>
      </c>
      <c r="H364" s="96">
        <v>8.4700890014595354E-2</v>
      </c>
      <c r="I364" s="96">
        <v>4.7464847764165707E-2</v>
      </c>
      <c r="J364" s="96">
        <v>6.7820629006547506E-2</v>
      </c>
    </row>
    <row r="365" spans="1:10" x14ac:dyDescent="0.25">
      <c r="A365" s="91" t="s">
        <v>32</v>
      </c>
      <c r="B365" s="83">
        <v>0</v>
      </c>
      <c r="C365" s="83">
        <v>0</v>
      </c>
      <c r="D365" s="83">
        <v>122602.55245</v>
      </c>
      <c r="E365" s="83">
        <v>132988.73878647425</v>
      </c>
      <c r="F365" s="83">
        <v>101670.29864999998</v>
      </c>
      <c r="G365" s="83">
        <v>106496.59212826297</v>
      </c>
      <c r="H365" s="96">
        <v>8.4714274939014622E-2</v>
      </c>
      <c r="I365" s="96">
        <v>4.7470043290396058E-2</v>
      </c>
      <c r="J365" s="96">
        <v>6.7830233307883736E-2</v>
      </c>
    </row>
    <row r="366" spans="1:10" x14ac:dyDescent="0.25">
      <c r="A366" s="92" t="s">
        <v>25</v>
      </c>
      <c r="B366" s="83">
        <v>0</v>
      </c>
      <c r="C366" s="83">
        <v>0</v>
      </c>
      <c r="D366" s="83">
        <v>122602.55245</v>
      </c>
      <c r="E366" s="83">
        <v>132988.73878647425</v>
      </c>
      <c r="F366" s="83">
        <v>101670.29864999998</v>
      </c>
      <c r="G366" s="83">
        <v>106496.59212826297</v>
      </c>
      <c r="H366" s="96">
        <v>8.4714274939014622E-2</v>
      </c>
      <c r="I366" s="96">
        <v>4.7470043290396058E-2</v>
      </c>
      <c r="J366" s="96">
        <v>6.7830233307883736E-2</v>
      </c>
    </row>
    <row r="367" spans="1:10" x14ac:dyDescent="0.25">
      <c r="A367" s="93" t="s">
        <v>25</v>
      </c>
      <c r="B367" s="83">
        <v>0</v>
      </c>
      <c r="C367" s="83">
        <v>0</v>
      </c>
      <c r="D367" s="83">
        <v>122602.55245</v>
      </c>
      <c r="E367" s="83">
        <v>132988.73878647425</v>
      </c>
      <c r="F367" s="83">
        <v>101670.29864999998</v>
      </c>
      <c r="G367" s="83">
        <v>106496.59212826297</v>
      </c>
      <c r="H367" s="96">
        <v>8.4714274939014622E-2</v>
      </c>
      <c r="I367" s="96">
        <v>4.7470043290396058E-2</v>
      </c>
      <c r="J367" s="96">
        <v>6.7830233307883736E-2</v>
      </c>
    </row>
    <row r="368" spans="1:10" x14ac:dyDescent="0.25">
      <c r="A368" s="94" t="s">
        <v>25</v>
      </c>
      <c r="B368" s="83">
        <v>0</v>
      </c>
      <c r="C368" s="83">
        <v>0</v>
      </c>
      <c r="D368" s="83">
        <v>122602.55245</v>
      </c>
      <c r="E368" s="83">
        <v>132988.73878647425</v>
      </c>
      <c r="F368" s="83">
        <v>101670.29864999998</v>
      </c>
      <c r="G368" s="83">
        <v>106496.59212826297</v>
      </c>
      <c r="H368" s="96">
        <v>8.4714274939014622E-2</v>
      </c>
      <c r="I368" s="96">
        <v>4.7470043290396058E-2</v>
      </c>
      <c r="J368" s="96">
        <v>6.7830233307883736E-2</v>
      </c>
    </row>
    <row r="369" spans="1:10" x14ac:dyDescent="0.25">
      <c r="A369" s="95">
        <v>44409</v>
      </c>
      <c r="B369" s="83">
        <v>0</v>
      </c>
      <c r="C369" s="83">
        <v>0</v>
      </c>
      <c r="D369" s="83">
        <v>6900.7409799999996</v>
      </c>
      <c r="E369" s="83">
        <v>7485.3322486626439</v>
      </c>
      <c r="F369" s="83">
        <v>5722.5594599999986</v>
      </c>
      <c r="G369" s="83">
        <v>5994.2096052980642</v>
      </c>
      <c r="H369" s="96">
        <v>8.47142749390144E-2</v>
      </c>
      <c r="I369" s="96">
        <v>4.7470043290396058E-2</v>
      </c>
      <c r="J369" s="96">
        <v>6.7830233307883514E-2</v>
      </c>
    </row>
    <row r="370" spans="1:10" x14ac:dyDescent="0.25">
      <c r="A370" s="95">
        <v>44440</v>
      </c>
      <c r="B370" s="83">
        <v>0</v>
      </c>
      <c r="C370" s="83">
        <v>0</v>
      </c>
      <c r="D370" s="83">
        <v>8930.4977999999992</v>
      </c>
      <c r="E370" s="83">
        <v>9687.0384459714624</v>
      </c>
      <c r="F370" s="83">
        <v>7405.7705999999989</v>
      </c>
      <c r="G370" s="83">
        <v>7757.3228509807404</v>
      </c>
      <c r="H370" s="96">
        <v>8.47142749390144E-2</v>
      </c>
      <c r="I370" s="96">
        <v>4.7470043290396058E-2</v>
      </c>
      <c r="J370" s="96">
        <v>6.7830233307883514E-2</v>
      </c>
    </row>
    <row r="371" spans="1:10" x14ac:dyDescent="0.25">
      <c r="A371" s="95">
        <v>44470</v>
      </c>
      <c r="B371" s="83">
        <v>0</v>
      </c>
      <c r="C371" s="83">
        <v>0</v>
      </c>
      <c r="D371" s="83">
        <v>6821.0526299999992</v>
      </c>
      <c r="E371" s="83">
        <v>7398.8931578713082</v>
      </c>
      <c r="F371" s="83">
        <v>5656.4765099999995</v>
      </c>
      <c r="G371" s="83">
        <v>5924.9896948008072</v>
      </c>
      <c r="H371" s="96">
        <v>8.4714274939014622E-2</v>
      </c>
      <c r="I371" s="96">
        <v>4.7470043290395836E-2</v>
      </c>
      <c r="J371" s="96">
        <v>6.7830233307883736E-2</v>
      </c>
    </row>
    <row r="372" spans="1:10" x14ac:dyDescent="0.25">
      <c r="A372" s="95">
        <v>44501</v>
      </c>
      <c r="B372" s="83">
        <v>0</v>
      </c>
      <c r="C372" s="83">
        <v>0</v>
      </c>
      <c r="D372" s="83">
        <v>6745.9564899999996</v>
      </c>
      <c r="E372" s="83">
        <v>7317.4353028204905</v>
      </c>
      <c r="F372" s="83">
        <v>5594.2017299999998</v>
      </c>
      <c r="G372" s="83">
        <v>5859.7587282983077</v>
      </c>
      <c r="H372" s="96">
        <v>8.4714274939014844E-2</v>
      </c>
      <c r="I372" s="96">
        <v>4.7470043290396058E-2</v>
      </c>
      <c r="J372" s="96">
        <v>6.7830233307883736E-2</v>
      </c>
    </row>
    <row r="373" spans="1:10" x14ac:dyDescent="0.25">
      <c r="A373" s="95">
        <v>44531</v>
      </c>
      <c r="B373" s="83">
        <v>0</v>
      </c>
      <c r="C373" s="83">
        <v>0</v>
      </c>
      <c r="D373" s="83">
        <v>6480.6888300000001</v>
      </c>
      <c r="E373" s="83">
        <v>7029.695685338821</v>
      </c>
      <c r="F373" s="83">
        <v>5374.2239099999997</v>
      </c>
      <c r="G373" s="83">
        <v>5629.3385516599801</v>
      </c>
      <c r="H373" s="96">
        <v>8.4714274939014622E-2</v>
      </c>
      <c r="I373" s="96">
        <v>4.7470043290395836E-2</v>
      </c>
      <c r="J373" s="96">
        <v>6.7830233307883514E-2</v>
      </c>
    </row>
    <row r="374" spans="1:10" x14ac:dyDescent="0.25">
      <c r="A374" s="95">
        <v>44562</v>
      </c>
      <c r="B374" s="83">
        <v>0</v>
      </c>
      <c r="C374" s="83">
        <v>0</v>
      </c>
      <c r="D374" s="83">
        <v>14626.188849999999</v>
      </c>
      <c r="E374" s="83">
        <v>15865.23583354885</v>
      </c>
      <c r="F374" s="83">
        <v>12129.021449999998</v>
      </c>
      <c r="G374" s="83">
        <v>12704.786623301641</v>
      </c>
      <c r="H374" s="96">
        <v>8.4714274939014622E-2</v>
      </c>
      <c r="I374" s="96">
        <v>4.7470043290396058E-2</v>
      </c>
      <c r="J374" s="96">
        <v>6.7830233307883736E-2</v>
      </c>
    </row>
    <row r="375" spans="1:10" x14ac:dyDescent="0.25">
      <c r="A375" s="95">
        <v>44593</v>
      </c>
      <c r="B375" s="83">
        <v>0</v>
      </c>
      <c r="C375" s="83">
        <v>0</v>
      </c>
      <c r="D375" s="83">
        <v>17164.600460000001</v>
      </c>
      <c r="E375" s="83">
        <v>18618.687142586776</v>
      </c>
      <c r="F375" s="83">
        <v>14234.04342</v>
      </c>
      <c r="G375" s="83">
        <v>14909.734077344776</v>
      </c>
      <c r="H375" s="96">
        <v>8.47142749390144E-2</v>
      </c>
      <c r="I375" s="96">
        <v>4.7470043290396058E-2</v>
      </c>
      <c r="J375" s="96">
        <v>6.7830233307883514E-2</v>
      </c>
    </row>
    <row r="376" spans="1:10" x14ac:dyDescent="0.25">
      <c r="A376" s="95">
        <v>44621</v>
      </c>
      <c r="B376" s="83">
        <v>0</v>
      </c>
      <c r="C376" s="83">
        <v>0</v>
      </c>
      <c r="D376" s="83">
        <v>14882.001960000001</v>
      </c>
      <c r="E376" s="83">
        <v>16142.719965682396</v>
      </c>
      <c r="F376" s="83">
        <v>12341.15892</v>
      </c>
      <c r="G376" s="83">
        <v>12926.994268186058</v>
      </c>
      <c r="H376" s="96">
        <v>8.4714274939014622E-2</v>
      </c>
      <c r="I376" s="96">
        <v>4.7470043290396058E-2</v>
      </c>
      <c r="J376" s="96">
        <v>6.7830233307883514E-2</v>
      </c>
    </row>
    <row r="377" spans="1:10" x14ac:dyDescent="0.25">
      <c r="A377" s="95">
        <v>44652</v>
      </c>
      <c r="B377" s="83">
        <v>0</v>
      </c>
      <c r="C377" s="83">
        <v>0</v>
      </c>
      <c r="D377" s="83">
        <v>11276.84698</v>
      </c>
      <c r="E377" s="83">
        <v>12232.156895508917</v>
      </c>
      <c r="F377" s="83">
        <v>9351.5214599999999</v>
      </c>
      <c r="G377" s="83">
        <v>9795.4385885372667</v>
      </c>
      <c r="H377" s="96">
        <v>8.4714274939014622E-2</v>
      </c>
      <c r="I377" s="96">
        <v>4.7470043290396058E-2</v>
      </c>
      <c r="J377" s="96">
        <v>6.7830233307883736E-2</v>
      </c>
    </row>
    <row r="378" spans="1:10" x14ac:dyDescent="0.25">
      <c r="A378" s="95">
        <v>44682</v>
      </c>
      <c r="B378" s="83">
        <v>0</v>
      </c>
      <c r="C378" s="83">
        <v>0</v>
      </c>
      <c r="D378" s="83">
        <v>7852.4089699999995</v>
      </c>
      <c r="E378" s="83">
        <v>8517.6201024181646</v>
      </c>
      <c r="F378" s="83">
        <v>6511.7466899999999</v>
      </c>
      <c r="G378" s="83">
        <v>6820.8595872703918</v>
      </c>
      <c r="H378" s="96">
        <v>8.4714274939014622E-2</v>
      </c>
      <c r="I378" s="96">
        <v>4.7470043290395836E-2</v>
      </c>
      <c r="J378" s="96">
        <v>6.7830233307883514E-2</v>
      </c>
    </row>
    <row r="379" spans="1:10" x14ac:dyDescent="0.25">
      <c r="A379" s="95">
        <v>44713</v>
      </c>
      <c r="B379" s="83">
        <v>0</v>
      </c>
      <c r="C379" s="83">
        <v>0</v>
      </c>
      <c r="D379" s="83">
        <v>10460.784250000001</v>
      </c>
      <c r="E379" s="83">
        <v>11346.962003032213</v>
      </c>
      <c r="F379" s="83">
        <v>8674.7872499999994</v>
      </c>
      <c r="G379" s="83">
        <v>9086.5797762924758</v>
      </c>
      <c r="H379" s="96">
        <v>8.47142749390144E-2</v>
      </c>
      <c r="I379" s="96">
        <v>4.7470043290396058E-2</v>
      </c>
      <c r="J379" s="96">
        <v>6.7830233307883736E-2</v>
      </c>
    </row>
    <row r="380" spans="1:10" x14ac:dyDescent="0.25">
      <c r="A380" s="95">
        <v>44743</v>
      </c>
      <c r="B380" s="83">
        <v>0</v>
      </c>
      <c r="C380" s="83">
        <v>0</v>
      </c>
      <c r="D380" s="83">
        <v>10460.784250000001</v>
      </c>
      <c r="E380" s="83">
        <v>11346.962003032213</v>
      </c>
      <c r="F380" s="83">
        <v>8674.7872499999994</v>
      </c>
      <c r="G380" s="83">
        <v>9086.5797762924758</v>
      </c>
      <c r="H380" s="96">
        <v>8.47142749390144E-2</v>
      </c>
      <c r="I380" s="96">
        <v>4.7470043290396058E-2</v>
      </c>
      <c r="J380" s="96">
        <v>6.7830233307883736E-2</v>
      </c>
    </row>
    <row r="381" spans="1:10" x14ac:dyDescent="0.25">
      <c r="A381" s="87" t="s">
        <v>41</v>
      </c>
      <c r="B381" s="83">
        <v>0</v>
      </c>
      <c r="C381" s="83">
        <v>0</v>
      </c>
      <c r="D381" s="83">
        <v>3489104.4247639994</v>
      </c>
      <c r="E381" s="83">
        <v>4597632.4441892682</v>
      </c>
      <c r="F381" s="83">
        <v>2308929.9917879999</v>
      </c>
      <c r="G381" s="83">
        <v>2583419.3857007031</v>
      </c>
      <c r="H381" s="96">
        <v>0.31771133347499259</v>
      </c>
      <c r="I381" s="96">
        <v>0.11888164426334225</v>
      </c>
      <c r="J381" s="96">
        <v>0.23853211519231188</v>
      </c>
    </row>
    <row r="382" spans="1:10" x14ac:dyDescent="0.25">
      <c r="A382" s="88" t="s">
        <v>23</v>
      </c>
      <c r="B382" s="83">
        <v>0</v>
      </c>
      <c r="C382" s="83">
        <v>0</v>
      </c>
      <c r="D382" s="83">
        <v>3489104.4247639994</v>
      </c>
      <c r="E382" s="83">
        <v>4597632.4441892682</v>
      </c>
      <c r="F382" s="83">
        <v>2308929.9917879999</v>
      </c>
      <c r="G382" s="83">
        <v>2583419.3857007031</v>
      </c>
      <c r="H382" s="96">
        <v>0.31771133347499259</v>
      </c>
      <c r="I382" s="96">
        <v>0.11888164426334225</v>
      </c>
      <c r="J382" s="96">
        <v>0.23853211519231188</v>
      </c>
    </row>
    <row r="383" spans="1:10" x14ac:dyDescent="0.25">
      <c r="A383" s="89" t="s">
        <v>26</v>
      </c>
      <c r="B383" s="83">
        <v>0</v>
      </c>
      <c r="C383" s="83">
        <v>0</v>
      </c>
      <c r="D383" s="83">
        <v>3489104.4247639994</v>
      </c>
      <c r="E383" s="83">
        <v>4597632.4441892682</v>
      </c>
      <c r="F383" s="83">
        <v>2308929.9917879999</v>
      </c>
      <c r="G383" s="83">
        <v>2583419.3857007031</v>
      </c>
      <c r="H383" s="96">
        <v>0.31771133347499259</v>
      </c>
      <c r="I383" s="96">
        <v>0.11888164426334225</v>
      </c>
      <c r="J383" s="96">
        <v>0.23853211519231188</v>
      </c>
    </row>
    <row r="384" spans="1:10" x14ac:dyDescent="0.25">
      <c r="A384" s="90" t="s">
        <v>42</v>
      </c>
      <c r="B384" s="83">
        <v>0</v>
      </c>
      <c r="C384" s="83">
        <v>0</v>
      </c>
      <c r="D384" s="83">
        <v>3489104.4247639994</v>
      </c>
      <c r="E384" s="83">
        <v>4597632.4441892682</v>
      </c>
      <c r="F384" s="83">
        <v>2308929.9917879999</v>
      </c>
      <c r="G384" s="83">
        <v>2583419.3857007031</v>
      </c>
      <c r="H384" s="96">
        <v>0.31771133347499259</v>
      </c>
      <c r="I384" s="96">
        <v>0.11888164426334225</v>
      </c>
      <c r="J384" s="96">
        <v>0.23853211519231188</v>
      </c>
    </row>
    <row r="385" spans="1:10" x14ac:dyDescent="0.25">
      <c r="A385" s="91" t="s">
        <v>52</v>
      </c>
      <c r="B385" s="83">
        <v>0</v>
      </c>
      <c r="C385" s="83">
        <v>0</v>
      </c>
      <c r="D385" s="83">
        <v>9939.8743639999993</v>
      </c>
      <c r="E385" s="83">
        <v>13097.885102760334</v>
      </c>
      <c r="F385" s="83">
        <v>6577.7549879999979</v>
      </c>
      <c r="G385" s="83">
        <v>7359.729316534841</v>
      </c>
      <c r="H385" s="96">
        <v>0.31771133347499303</v>
      </c>
      <c r="I385" s="96">
        <v>0.11888164426334269</v>
      </c>
      <c r="J385" s="96">
        <v>0.2385321151923121</v>
      </c>
    </row>
    <row r="386" spans="1:10" x14ac:dyDescent="0.25">
      <c r="A386" s="92" t="s">
        <v>53</v>
      </c>
      <c r="B386" s="83">
        <v>0</v>
      </c>
      <c r="C386" s="83">
        <v>0</v>
      </c>
      <c r="D386" s="83">
        <v>8164.5691200000001</v>
      </c>
      <c r="E386" s="83">
        <v>10758.545262363948</v>
      </c>
      <c r="F386" s="83">
        <v>5402.9390399999993</v>
      </c>
      <c r="G386" s="83">
        <v>6045.2493169298041</v>
      </c>
      <c r="H386" s="96">
        <v>0.31771133347499325</v>
      </c>
      <c r="I386" s="96">
        <v>0.11888164426334247</v>
      </c>
      <c r="J386" s="96">
        <v>0.23853211519231232</v>
      </c>
    </row>
    <row r="387" spans="1:10" x14ac:dyDescent="0.25">
      <c r="A387" s="93" t="s">
        <v>25</v>
      </c>
      <c r="B387" s="83">
        <v>0</v>
      </c>
      <c r="C387" s="83">
        <v>0</v>
      </c>
      <c r="D387" s="83">
        <v>8164.5691200000001</v>
      </c>
      <c r="E387" s="83">
        <v>10758.545262363948</v>
      </c>
      <c r="F387" s="83">
        <v>5402.9390399999993</v>
      </c>
      <c r="G387" s="83">
        <v>6045.2493169298041</v>
      </c>
      <c r="H387" s="96">
        <v>0.31771133347499325</v>
      </c>
      <c r="I387" s="96">
        <v>0.11888164426334247</v>
      </c>
      <c r="J387" s="96">
        <v>0.23853211519231232</v>
      </c>
    </row>
    <row r="388" spans="1:10" x14ac:dyDescent="0.25">
      <c r="A388" s="94" t="s">
        <v>25</v>
      </c>
      <c r="B388" s="83">
        <v>0</v>
      </c>
      <c r="C388" s="83">
        <v>0</v>
      </c>
      <c r="D388" s="83">
        <v>8164.5691200000001</v>
      </c>
      <c r="E388" s="83">
        <v>10758.545262363948</v>
      </c>
      <c r="F388" s="83">
        <v>5402.9390399999993</v>
      </c>
      <c r="G388" s="83">
        <v>6045.2493169298041</v>
      </c>
      <c r="H388" s="96">
        <v>0.31771133347499325</v>
      </c>
      <c r="I388" s="96">
        <v>0.11888164426334247</v>
      </c>
      <c r="J388" s="96">
        <v>0.23853211519231232</v>
      </c>
    </row>
    <row r="389" spans="1:10" x14ac:dyDescent="0.25">
      <c r="A389" s="95">
        <v>44409</v>
      </c>
      <c r="B389" s="83">
        <v>0</v>
      </c>
      <c r="C389" s="83">
        <v>0</v>
      </c>
      <c r="D389" s="83">
        <v>736.38407999999993</v>
      </c>
      <c r="E389" s="83">
        <v>970.34164800655583</v>
      </c>
      <c r="F389" s="83">
        <v>487.30536000000001</v>
      </c>
      <c r="G389" s="83">
        <v>545.23702245513994</v>
      </c>
      <c r="H389" s="96">
        <v>0.31771133347499303</v>
      </c>
      <c r="I389" s="96">
        <v>0.11888164426334225</v>
      </c>
      <c r="J389" s="96">
        <v>0.2385321151923121</v>
      </c>
    </row>
    <row r="390" spans="1:10" x14ac:dyDescent="0.25">
      <c r="A390" s="95">
        <v>44440</v>
      </c>
      <c r="B390" s="83">
        <v>0</v>
      </c>
      <c r="C390" s="83">
        <v>0</v>
      </c>
      <c r="D390" s="83">
        <v>1098.9162099999999</v>
      </c>
      <c r="E390" s="83">
        <v>1448.0543444563853</v>
      </c>
      <c r="F390" s="83">
        <v>727.21257000000003</v>
      </c>
      <c r="G390" s="83">
        <v>813.664796050571</v>
      </c>
      <c r="H390" s="96">
        <v>0.31771133347499303</v>
      </c>
      <c r="I390" s="96">
        <v>0.11888164426334247</v>
      </c>
      <c r="J390" s="96">
        <v>0.23853211519231188</v>
      </c>
    </row>
    <row r="391" spans="1:10" x14ac:dyDescent="0.25">
      <c r="A391" s="95">
        <v>44470</v>
      </c>
      <c r="B391" s="83">
        <v>0</v>
      </c>
      <c r="C391" s="83">
        <v>0</v>
      </c>
      <c r="D391" s="83">
        <v>458.15481999999997</v>
      </c>
      <c r="E391" s="83">
        <v>603.71579880019533</v>
      </c>
      <c r="F391" s="83">
        <v>303.18594000000002</v>
      </c>
      <c r="G391" s="83">
        <v>339.22918306472707</v>
      </c>
      <c r="H391" s="96">
        <v>0.31771133347499303</v>
      </c>
      <c r="I391" s="96">
        <v>0.11888164426334225</v>
      </c>
      <c r="J391" s="96">
        <v>0.23853211519231188</v>
      </c>
    </row>
    <row r="392" spans="1:10" x14ac:dyDescent="0.25">
      <c r="A392" s="95">
        <v>44501</v>
      </c>
      <c r="B392" s="83">
        <v>0</v>
      </c>
      <c r="C392" s="83">
        <v>0</v>
      </c>
      <c r="D392" s="83">
        <v>812.34602999999993</v>
      </c>
      <c r="E392" s="83">
        <v>1070.4375704344166</v>
      </c>
      <c r="F392" s="83">
        <v>537.57350999999994</v>
      </c>
      <c r="G392" s="83">
        <v>601.48113278121627</v>
      </c>
      <c r="H392" s="96">
        <v>0.31771133347499303</v>
      </c>
      <c r="I392" s="96">
        <v>0.11888164426334247</v>
      </c>
      <c r="J392" s="96">
        <v>0.2385321151923121</v>
      </c>
    </row>
    <row r="393" spans="1:10" x14ac:dyDescent="0.25">
      <c r="A393" s="95">
        <v>44531</v>
      </c>
      <c r="B393" s="83">
        <v>0</v>
      </c>
      <c r="C393" s="83">
        <v>0</v>
      </c>
      <c r="D393" s="83">
        <v>2192.76829</v>
      </c>
      <c r="E393" s="83">
        <v>2889.4356274175802</v>
      </c>
      <c r="F393" s="83">
        <v>1451.07393</v>
      </c>
      <c r="G393" s="83">
        <v>1623.5799847460701</v>
      </c>
      <c r="H393" s="96">
        <v>0.31771133347499303</v>
      </c>
      <c r="I393" s="96">
        <v>0.11888164426334225</v>
      </c>
      <c r="J393" s="96">
        <v>0.2385321151923121</v>
      </c>
    </row>
    <row r="394" spans="1:10" x14ac:dyDescent="0.25">
      <c r="A394" s="95">
        <v>44562</v>
      </c>
      <c r="B394" s="83">
        <v>0</v>
      </c>
      <c r="C394" s="83">
        <v>0</v>
      </c>
      <c r="D394" s="83">
        <v>737.27774999999997</v>
      </c>
      <c r="E394" s="83">
        <v>971.51924709394257</v>
      </c>
      <c r="F394" s="83">
        <v>487.89675</v>
      </c>
      <c r="G394" s="83">
        <v>545.89871787074082</v>
      </c>
      <c r="H394" s="96">
        <v>0.31771133347499303</v>
      </c>
      <c r="I394" s="96">
        <v>0.11888164426334225</v>
      </c>
      <c r="J394" s="96">
        <v>0.2385321151923121</v>
      </c>
    </row>
    <row r="395" spans="1:10" x14ac:dyDescent="0.25">
      <c r="A395" s="95">
        <v>44593</v>
      </c>
      <c r="B395" s="83">
        <v>0</v>
      </c>
      <c r="C395" s="83">
        <v>0</v>
      </c>
      <c r="D395" s="83">
        <v>1226.4131299999999</v>
      </c>
      <c r="E395" s="83">
        <v>1616.0584809235397</v>
      </c>
      <c r="F395" s="83">
        <v>811.58420999999998</v>
      </c>
      <c r="G395" s="83">
        <v>908.06667534296571</v>
      </c>
      <c r="H395" s="96">
        <v>0.31771133347499281</v>
      </c>
      <c r="I395" s="96">
        <v>0.11888164426334225</v>
      </c>
      <c r="J395" s="96">
        <v>0.2385321151923121</v>
      </c>
    </row>
    <row r="396" spans="1:10" x14ac:dyDescent="0.25">
      <c r="A396" s="95">
        <v>44621</v>
      </c>
      <c r="B396" s="83">
        <v>0</v>
      </c>
      <c r="C396" s="83">
        <v>0</v>
      </c>
      <c r="D396" s="83">
        <v>462.02738999999997</v>
      </c>
      <c r="E396" s="83">
        <v>608.81872817887051</v>
      </c>
      <c r="F396" s="83">
        <v>305.74862999999999</v>
      </c>
      <c r="G396" s="83">
        <v>342.09652986566425</v>
      </c>
      <c r="H396" s="96">
        <v>0.31771133347499281</v>
      </c>
      <c r="I396" s="96">
        <v>0.11888164426334225</v>
      </c>
      <c r="J396" s="96">
        <v>0.23853211519231188</v>
      </c>
    </row>
    <row r="397" spans="1:10" x14ac:dyDescent="0.25">
      <c r="A397" s="95">
        <v>44652</v>
      </c>
      <c r="B397" s="83">
        <v>0</v>
      </c>
      <c r="C397" s="83">
        <v>0</v>
      </c>
      <c r="D397" s="83">
        <v>353.59543000000002</v>
      </c>
      <c r="E397" s="83">
        <v>465.93670557596352</v>
      </c>
      <c r="F397" s="83">
        <v>233.99331000000001</v>
      </c>
      <c r="G397" s="83">
        <v>261.810819439422</v>
      </c>
      <c r="H397" s="96">
        <v>0.31771133347499281</v>
      </c>
      <c r="I397" s="96">
        <v>0.11888164426334247</v>
      </c>
      <c r="J397" s="96">
        <v>0.23853211519231188</v>
      </c>
    </row>
    <row r="398" spans="1:10" x14ac:dyDescent="0.25">
      <c r="A398" s="95">
        <v>44682</v>
      </c>
      <c r="B398" s="83">
        <v>0</v>
      </c>
      <c r="C398" s="83">
        <v>0</v>
      </c>
      <c r="D398" s="83">
        <v>-18.767070000000004</v>
      </c>
      <c r="E398" s="83">
        <v>-24.72958083511854</v>
      </c>
      <c r="F398" s="83">
        <v>-12.41919</v>
      </c>
      <c r="G398" s="83">
        <v>-13.895603727618862</v>
      </c>
      <c r="H398" s="96">
        <v>0.31771133347499281</v>
      </c>
      <c r="I398" s="96">
        <v>0.11888164426334269</v>
      </c>
      <c r="J398" s="96">
        <v>0.2385321151923121</v>
      </c>
    </row>
    <row r="399" spans="1:10" x14ac:dyDescent="0.25">
      <c r="A399" s="95">
        <v>44713</v>
      </c>
      <c r="B399" s="83">
        <v>0</v>
      </c>
      <c r="C399" s="83">
        <v>0</v>
      </c>
      <c r="D399" s="83">
        <v>52.726529999999997</v>
      </c>
      <c r="E399" s="83">
        <v>69.478346155809206</v>
      </c>
      <c r="F399" s="83">
        <v>34.892009999999999</v>
      </c>
      <c r="G399" s="83">
        <v>39.040029520452983</v>
      </c>
      <c r="H399" s="96">
        <v>0.31771133347499281</v>
      </c>
      <c r="I399" s="96">
        <v>0.11888164426334225</v>
      </c>
      <c r="J399" s="96">
        <v>0.2385321151923121</v>
      </c>
    </row>
    <row r="400" spans="1:10" x14ac:dyDescent="0.25">
      <c r="A400" s="95">
        <v>44743</v>
      </c>
      <c r="B400" s="83">
        <v>0</v>
      </c>
      <c r="C400" s="83">
        <v>0</v>
      </c>
      <c r="D400" s="83">
        <v>52.726529999999997</v>
      </c>
      <c r="E400" s="83">
        <v>69.478346155809206</v>
      </c>
      <c r="F400" s="83">
        <v>34.892009999999999</v>
      </c>
      <c r="G400" s="83">
        <v>39.040029520452983</v>
      </c>
      <c r="H400" s="96">
        <v>0.31771133347499281</v>
      </c>
      <c r="I400" s="96">
        <v>0.11888164426334225</v>
      </c>
      <c r="J400" s="96">
        <v>0.2385321151923121</v>
      </c>
    </row>
    <row r="401" spans="1:10" x14ac:dyDescent="0.25">
      <c r="A401" s="92" t="s">
        <v>54</v>
      </c>
      <c r="B401" s="83">
        <v>0</v>
      </c>
      <c r="C401" s="83">
        <v>0</v>
      </c>
      <c r="D401" s="83">
        <v>1775.3052439999997</v>
      </c>
      <c r="E401" s="83">
        <v>2339.3398403963874</v>
      </c>
      <c r="F401" s="83">
        <v>1174.8159479999999</v>
      </c>
      <c r="G401" s="83">
        <v>1314.4799996050374</v>
      </c>
      <c r="H401" s="96">
        <v>0.31771133347499303</v>
      </c>
      <c r="I401" s="96">
        <v>0.11888164426334225</v>
      </c>
      <c r="J401" s="96">
        <v>0.2385321151923121</v>
      </c>
    </row>
    <row r="402" spans="1:10" x14ac:dyDescent="0.25">
      <c r="A402" s="93" t="s">
        <v>25</v>
      </c>
      <c r="B402" s="83">
        <v>0</v>
      </c>
      <c r="C402" s="83">
        <v>0</v>
      </c>
      <c r="D402" s="83">
        <v>1775.3052439999997</v>
      </c>
      <c r="E402" s="83">
        <v>2339.3398403963874</v>
      </c>
      <c r="F402" s="83">
        <v>1174.8159479999999</v>
      </c>
      <c r="G402" s="83">
        <v>1314.4799996050374</v>
      </c>
      <c r="H402" s="96">
        <v>0.31771133347499303</v>
      </c>
      <c r="I402" s="96">
        <v>0.11888164426334225</v>
      </c>
      <c r="J402" s="96">
        <v>0.2385321151923121</v>
      </c>
    </row>
    <row r="403" spans="1:10" x14ac:dyDescent="0.25">
      <c r="A403" s="94" t="s">
        <v>25</v>
      </c>
      <c r="B403" s="83">
        <v>0</v>
      </c>
      <c r="C403" s="83">
        <v>0</v>
      </c>
      <c r="D403" s="83">
        <v>1775.3052439999997</v>
      </c>
      <c r="E403" s="83">
        <v>2339.3398403963874</v>
      </c>
      <c r="F403" s="83">
        <v>1174.8159479999999</v>
      </c>
      <c r="G403" s="83">
        <v>1314.4799996050374</v>
      </c>
      <c r="H403" s="96">
        <v>0.31771133347499303</v>
      </c>
      <c r="I403" s="96">
        <v>0.11888164426334225</v>
      </c>
      <c r="J403" s="96">
        <v>0.2385321151923121</v>
      </c>
    </row>
    <row r="404" spans="1:10" x14ac:dyDescent="0.25">
      <c r="A404" s="95">
        <v>44409</v>
      </c>
      <c r="B404" s="83">
        <v>0</v>
      </c>
      <c r="C404" s="83">
        <v>0</v>
      </c>
      <c r="D404" s="83">
        <v>156.45182800000001</v>
      </c>
      <c r="E404" s="83">
        <v>206.15834689848023</v>
      </c>
      <c r="F404" s="83">
        <v>103.532676</v>
      </c>
      <c r="G404" s="83">
        <v>115.84081075786388</v>
      </c>
      <c r="H404" s="96">
        <v>0.31771133347499281</v>
      </c>
      <c r="I404" s="96">
        <v>0.11888164426334247</v>
      </c>
      <c r="J404" s="96">
        <v>0.23853211519231188</v>
      </c>
    </row>
    <row r="405" spans="1:10" x14ac:dyDescent="0.25">
      <c r="A405" s="95">
        <v>44440</v>
      </c>
      <c r="B405" s="83">
        <v>0</v>
      </c>
      <c r="C405" s="83">
        <v>0</v>
      </c>
      <c r="D405" s="83">
        <v>209.83371600000001</v>
      </c>
      <c r="E405" s="83">
        <v>276.50026571837293</v>
      </c>
      <c r="F405" s="83">
        <v>138.858372</v>
      </c>
      <c r="G405" s="83">
        <v>155.36608358309087</v>
      </c>
      <c r="H405" s="96">
        <v>0.31771133347499281</v>
      </c>
      <c r="I405" s="96">
        <v>0.11888164426334247</v>
      </c>
      <c r="J405" s="96">
        <v>0.23853211519231188</v>
      </c>
    </row>
    <row r="406" spans="1:10" x14ac:dyDescent="0.25">
      <c r="A406" s="95">
        <v>44470</v>
      </c>
      <c r="B406" s="83">
        <v>0</v>
      </c>
      <c r="C406" s="83">
        <v>0</v>
      </c>
      <c r="D406" s="83">
        <v>98.42285600000001</v>
      </c>
      <c r="E406" s="83">
        <v>129.6929128241772</v>
      </c>
      <c r="F406" s="83">
        <v>65.131752000000006</v>
      </c>
      <c r="G406" s="83">
        <v>72.874721771512242</v>
      </c>
      <c r="H406" s="96">
        <v>0.31771133347499281</v>
      </c>
      <c r="I406" s="96">
        <v>0.11888164426334225</v>
      </c>
      <c r="J406" s="96">
        <v>0.23853211519231188</v>
      </c>
    </row>
    <row r="407" spans="1:10" x14ac:dyDescent="0.25">
      <c r="A407" s="95">
        <v>44501</v>
      </c>
      <c r="B407" s="83">
        <v>0</v>
      </c>
      <c r="C407" s="83">
        <v>0</v>
      </c>
      <c r="D407" s="83">
        <v>188.147324</v>
      </c>
      <c r="E407" s="83">
        <v>247.92386119779155</v>
      </c>
      <c r="F407" s="83">
        <v>124.50730800000001</v>
      </c>
      <c r="G407" s="83">
        <v>139.3089414978424</v>
      </c>
      <c r="H407" s="96">
        <v>0.31771133347499303</v>
      </c>
      <c r="I407" s="96">
        <v>0.11888164426334225</v>
      </c>
      <c r="J407" s="96">
        <v>0.2385321151923121</v>
      </c>
    </row>
    <row r="408" spans="1:10" x14ac:dyDescent="0.25">
      <c r="A408" s="95">
        <v>44531</v>
      </c>
      <c r="B408" s="83">
        <v>0</v>
      </c>
      <c r="C408" s="83">
        <v>0</v>
      </c>
      <c r="D408" s="83">
        <v>391.06999200000001</v>
      </c>
      <c r="E408" s="83">
        <v>515.31736064037477</v>
      </c>
      <c r="F408" s="83">
        <v>258.79226399999999</v>
      </c>
      <c r="G408" s="83">
        <v>289.55791386695296</v>
      </c>
      <c r="H408" s="96">
        <v>0.31771133347499281</v>
      </c>
      <c r="I408" s="96">
        <v>0.11888164426334225</v>
      </c>
      <c r="J408" s="96">
        <v>0.23853211519231188</v>
      </c>
    </row>
    <row r="409" spans="1:10" x14ac:dyDescent="0.25">
      <c r="A409" s="95">
        <v>44562</v>
      </c>
      <c r="B409" s="83">
        <v>0</v>
      </c>
      <c r="C409" s="83">
        <v>0</v>
      </c>
      <c r="D409" s="83">
        <v>359.25533999999999</v>
      </c>
      <c r="E409" s="83">
        <v>473.39483312941195</v>
      </c>
      <c r="F409" s="83">
        <v>237.73877999999999</v>
      </c>
      <c r="G409" s="83">
        <v>266.00155707156102</v>
      </c>
      <c r="H409" s="96">
        <v>0.31771133347499303</v>
      </c>
      <c r="I409" s="96">
        <v>0.11888164426334247</v>
      </c>
      <c r="J409" s="96">
        <v>0.2385321151923121</v>
      </c>
    </row>
    <row r="410" spans="1:10" x14ac:dyDescent="0.25">
      <c r="A410" s="95">
        <v>44593</v>
      </c>
      <c r="B410" s="83">
        <v>0</v>
      </c>
      <c r="C410" s="83">
        <v>0</v>
      </c>
      <c r="D410" s="83">
        <v>305.87345199999999</v>
      </c>
      <c r="E410" s="83">
        <v>403.05291430951917</v>
      </c>
      <c r="F410" s="83">
        <v>202.41308399999997</v>
      </c>
      <c r="G410" s="83">
        <v>226.47628424633402</v>
      </c>
      <c r="H410" s="96">
        <v>0.31771133347499281</v>
      </c>
      <c r="I410" s="96">
        <v>0.11888164426334247</v>
      </c>
      <c r="J410" s="96">
        <v>0.2385321151923121</v>
      </c>
    </row>
    <row r="411" spans="1:10" x14ac:dyDescent="0.25">
      <c r="A411" s="95">
        <v>44621</v>
      </c>
      <c r="B411" s="83">
        <v>0</v>
      </c>
      <c r="C411" s="83">
        <v>0</v>
      </c>
      <c r="D411" s="83">
        <v>43.372784000000003</v>
      </c>
      <c r="E411" s="83">
        <v>57.15280904116284</v>
      </c>
      <c r="F411" s="83">
        <v>28.702128000000002</v>
      </c>
      <c r="G411" s="83">
        <v>32.114284170496923</v>
      </c>
      <c r="H411" s="96">
        <v>0.31771133347499281</v>
      </c>
      <c r="I411" s="96">
        <v>0.11888164426334247</v>
      </c>
      <c r="J411" s="96">
        <v>0.23853211519231188</v>
      </c>
    </row>
    <row r="412" spans="1:10" x14ac:dyDescent="0.25">
      <c r="A412" s="95">
        <v>44652</v>
      </c>
      <c r="B412" s="83">
        <v>0</v>
      </c>
      <c r="C412" s="83">
        <v>0</v>
      </c>
      <c r="D412" s="83">
        <v>3.4555239999999996</v>
      </c>
      <c r="E412" s="83">
        <v>4.5533831378948406</v>
      </c>
      <c r="F412" s="83">
        <v>2.286708</v>
      </c>
      <c r="G412" s="83">
        <v>2.5585556069901387</v>
      </c>
      <c r="H412" s="96">
        <v>0.31771133347499281</v>
      </c>
      <c r="I412" s="96">
        <v>0.11888164426334225</v>
      </c>
      <c r="J412" s="96">
        <v>0.23853211519231188</v>
      </c>
    </row>
    <row r="413" spans="1:10" x14ac:dyDescent="0.25">
      <c r="A413" s="95">
        <v>44682</v>
      </c>
      <c r="B413" s="83">
        <v>0</v>
      </c>
      <c r="C413" s="83">
        <v>0</v>
      </c>
      <c r="D413" s="83">
        <v>13.941251999999999</v>
      </c>
      <c r="E413" s="83">
        <v>18.370545763230911</v>
      </c>
      <c r="F413" s="83">
        <v>9.2256839999999993</v>
      </c>
      <c r="G413" s="83">
        <v>10.322448483374009</v>
      </c>
      <c r="H413" s="96">
        <v>0.31771133347499303</v>
      </c>
      <c r="I413" s="96">
        <v>0.11888164426334247</v>
      </c>
      <c r="J413" s="96">
        <v>0.23853211519231188</v>
      </c>
    </row>
    <row r="414" spans="1:10" x14ac:dyDescent="0.25">
      <c r="A414" s="95">
        <v>44713</v>
      </c>
      <c r="B414" s="83">
        <v>0</v>
      </c>
      <c r="C414" s="83">
        <v>0</v>
      </c>
      <c r="D414" s="83">
        <v>2.7405879999999998</v>
      </c>
      <c r="E414" s="83">
        <v>3.6113038679855638</v>
      </c>
      <c r="F414" s="83">
        <v>1.813596</v>
      </c>
      <c r="G414" s="83">
        <v>2.0291992745094207</v>
      </c>
      <c r="H414" s="96">
        <v>0.31771133347499303</v>
      </c>
      <c r="I414" s="96">
        <v>0.11888164426334247</v>
      </c>
      <c r="J414" s="96">
        <v>0.23853211519231232</v>
      </c>
    </row>
    <row r="415" spans="1:10" x14ac:dyDescent="0.25">
      <c r="A415" s="95">
        <v>44743</v>
      </c>
      <c r="B415" s="83">
        <v>0</v>
      </c>
      <c r="C415" s="83">
        <v>0</v>
      </c>
      <c r="D415" s="83">
        <v>2.7405879999999998</v>
      </c>
      <c r="E415" s="83">
        <v>3.6113038679855638</v>
      </c>
      <c r="F415" s="83">
        <v>1.813596</v>
      </c>
      <c r="G415" s="83">
        <v>2.0291992745094207</v>
      </c>
      <c r="H415" s="96">
        <v>0.31771133347499303</v>
      </c>
      <c r="I415" s="96">
        <v>0.11888164426334247</v>
      </c>
      <c r="J415" s="96">
        <v>0.23853211519231232</v>
      </c>
    </row>
    <row r="416" spans="1:10" x14ac:dyDescent="0.25">
      <c r="A416" s="91" t="s">
        <v>25</v>
      </c>
      <c r="B416" s="83">
        <v>0</v>
      </c>
      <c r="C416" s="83">
        <v>0</v>
      </c>
      <c r="D416" s="83">
        <v>3479164.5503999996</v>
      </c>
      <c r="E416" s="83">
        <v>4584534.5590865081</v>
      </c>
      <c r="F416" s="83">
        <v>2302352.2368000001</v>
      </c>
      <c r="G416" s="83">
        <v>2576059.6563841687</v>
      </c>
      <c r="H416" s="96">
        <v>0.31771133347499259</v>
      </c>
      <c r="I416" s="96">
        <v>0.11888164426334202</v>
      </c>
      <c r="J416" s="96">
        <v>0.23853211519231188</v>
      </c>
    </row>
    <row r="417" spans="1:10" x14ac:dyDescent="0.25">
      <c r="A417" s="92" t="s">
        <v>25</v>
      </c>
      <c r="B417" s="83">
        <v>0</v>
      </c>
      <c r="C417" s="83">
        <v>0</v>
      </c>
      <c r="D417" s="83">
        <v>3479164.5503999996</v>
      </c>
      <c r="E417" s="83">
        <v>4584534.5590865081</v>
      </c>
      <c r="F417" s="83">
        <v>2302352.2368000001</v>
      </c>
      <c r="G417" s="83">
        <v>2576059.6563841687</v>
      </c>
      <c r="H417" s="96">
        <v>0.31771133347499259</v>
      </c>
      <c r="I417" s="96">
        <v>0.11888164426334202</v>
      </c>
      <c r="J417" s="96">
        <v>0.23853211519231188</v>
      </c>
    </row>
    <row r="418" spans="1:10" x14ac:dyDescent="0.25">
      <c r="A418" s="93" t="s">
        <v>25</v>
      </c>
      <c r="B418" s="83">
        <v>0</v>
      </c>
      <c r="C418" s="83">
        <v>0</v>
      </c>
      <c r="D418" s="83">
        <v>3479164.5503999996</v>
      </c>
      <c r="E418" s="83">
        <v>4584534.5590865081</v>
      </c>
      <c r="F418" s="83">
        <v>2302352.2368000001</v>
      </c>
      <c r="G418" s="83">
        <v>2576059.6563841687</v>
      </c>
      <c r="H418" s="96">
        <v>0.31771133347499259</v>
      </c>
      <c r="I418" s="96">
        <v>0.11888164426334202</v>
      </c>
      <c r="J418" s="96">
        <v>0.23853211519231188</v>
      </c>
    </row>
    <row r="419" spans="1:10" x14ac:dyDescent="0.25">
      <c r="A419" s="94" t="s">
        <v>25</v>
      </c>
      <c r="B419" s="83">
        <v>0</v>
      </c>
      <c r="C419" s="83">
        <v>0</v>
      </c>
      <c r="D419" s="83">
        <v>3479164.5503999996</v>
      </c>
      <c r="E419" s="83">
        <v>4584534.5590865081</v>
      </c>
      <c r="F419" s="83">
        <v>2302352.2368000001</v>
      </c>
      <c r="G419" s="83">
        <v>2576059.6563841687</v>
      </c>
      <c r="H419" s="96">
        <v>0.31771133347499259</v>
      </c>
      <c r="I419" s="96">
        <v>0.11888164426334202</v>
      </c>
      <c r="J419" s="96">
        <v>0.23853211519231188</v>
      </c>
    </row>
    <row r="420" spans="1:10" x14ac:dyDescent="0.25">
      <c r="A420" s="95">
        <v>44409</v>
      </c>
      <c r="B420" s="83">
        <v>0</v>
      </c>
      <c r="C420" s="83">
        <v>0</v>
      </c>
      <c r="D420" s="83">
        <v>225259.05598</v>
      </c>
      <c r="E420" s="83">
        <v>296826.4110327239</v>
      </c>
      <c r="F420" s="83">
        <v>149066.15766</v>
      </c>
      <c r="G420" s="83">
        <v>166787.38758663944</v>
      </c>
      <c r="H420" s="96">
        <v>0.31771133347499303</v>
      </c>
      <c r="I420" s="96">
        <v>0.11888164426334247</v>
      </c>
      <c r="J420" s="96">
        <v>0.23853211519231232</v>
      </c>
    </row>
    <row r="421" spans="1:10" x14ac:dyDescent="0.25">
      <c r="A421" s="95">
        <v>44440</v>
      </c>
      <c r="B421" s="83">
        <v>0</v>
      </c>
      <c r="C421" s="83">
        <v>0</v>
      </c>
      <c r="D421" s="83">
        <v>277113.66194999998</v>
      </c>
      <c r="E421" s="83">
        <v>365155.81301227288</v>
      </c>
      <c r="F421" s="83">
        <v>183381.16815000001</v>
      </c>
      <c r="G421" s="83">
        <v>205181.82294660446</v>
      </c>
      <c r="H421" s="96">
        <v>0.31771133347499281</v>
      </c>
      <c r="I421" s="96">
        <v>0.11888164426334225</v>
      </c>
      <c r="J421" s="96">
        <v>0.2385321151923121</v>
      </c>
    </row>
    <row r="422" spans="1:10" x14ac:dyDescent="0.25">
      <c r="A422" s="95">
        <v>44470</v>
      </c>
      <c r="B422" s="83">
        <v>0</v>
      </c>
      <c r="C422" s="83">
        <v>0</v>
      </c>
      <c r="D422" s="83">
        <v>347246.50042999996</v>
      </c>
      <c r="E422" s="83">
        <v>457570.64912613994</v>
      </c>
      <c r="F422" s="83">
        <v>229791.87830999997</v>
      </c>
      <c r="G422" s="83">
        <v>257109.91464185464</v>
      </c>
      <c r="H422" s="96">
        <v>0.31771133347499281</v>
      </c>
      <c r="I422" s="96">
        <v>0.11888164426334247</v>
      </c>
      <c r="J422" s="96">
        <v>0.23853211519231188</v>
      </c>
    </row>
    <row r="423" spans="1:10" x14ac:dyDescent="0.25">
      <c r="A423" s="95">
        <v>44501</v>
      </c>
      <c r="B423" s="83">
        <v>0</v>
      </c>
      <c r="C423" s="83">
        <v>0</v>
      </c>
      <c r="D423" s="83">
        <v>452067.73573999992</v>
      </c>
      <c r="E423" s="83">
        <v>595694.77888297592</v>
      </c>
      <c r="F423" s="83">
        <v>299157.78557999997</v>
      </c>
      <c r="G423" s="83">
        <v>334722.15502393083</v>
      </c>
      <c r="H423" s="96">
        <v>0.31771133347499281</v>
      </c>
      <c r="I423" s="96">
        <v>0.11888164426334247</v>
      </c>
      <c r="J423" s="96">
        <v>0.2385321151923121</v>
      </c>
    </row>
    <row r="424" spans="1:10" x14ac:dyDescent="0.25">
      <c r="A424" s="95">
        <v>44531</v>
      </c>
      <c r="B424" s="83">
        <v>0</v>
      </c>
      <c r="C424" s="83">
        <v>0</v>
      </c>
      <c r="D424" s="83">
        <v>426545.11631999997</v>
      </c>
      <c r="E424" s="83">
        <v>562063.33401327312</v>
      </c>
      <c r="F424" s="83">
        <v>282268.08144000004</v>
      </c>
      <c r="G424" s="83">
        <v>315824.57508464629</v>
      </c>
      <c r="H424" s="96">
        <v>0.31771133347499281</v>
      </c>
      <c r="I424" s="96">
        <v>0.11888164426334247</v>
      </c>
      <c r="J424" s="96">
        <v>0.2385321151923121</v>
      </c>
    </row>
    <row r="425" spans="1:10" x14ac:dyDescent="0.25">
      <c r="A425" s="95">
        <v>44562</v>
      </c>
      <c r="B425" s="83">
        <v>0</v>
      </c>
      <c r="C425" s="83">
        <v>0</v>
      </c>
      <c r="D425" s="83">
        <v>308999.21176999999</v>
      </c>
      <c r="E425" s="83">
        <v>407171.76338416839</v>
      </c>
      <c r="F425" s="83">
        <v>204481.56909</v>
      </c>
      <c r="G425" s="83">
        <v>228790.67424496743</v>
      </c>
      <c r="H425" s="96">
        <v>0.31771133347499281</v>
      </c>
      <c r="I425" s="96">
        <v>0.11888164426334225</v>
      </c>
      <c r="J425" s="96">
        <v>0.23853211519231188</v>
      </c>
    </row>
    <row r="426" spans="1:10" x14ac:dyDescent="0.25">
      <c r="A426" s="95">
        <v>44593</v>
      </c>
      <c r="B426" s="83">
        <v>0</v>
      </c>
      <c r="C426" s="83">
        <v>0</v>
      </c>
      <c r="D426" s="83">
        <v>302849.57060999994</v>
      </c>
      <c r="E426" s="83">
        <v>399068.31153083214</v>
      </c>
      <c r="F426" s="83">
        <v>200412.01736999999</v>
      </c>
      <c r="G426" s="83">
        <v>224237.3275250791</v>
      </c>
      <c r="H426" s="96">
        <v>0.31771133347499325</v>
      </c>
      <c r="I426" s="96">
        <v>0.11888164426334225</v>
      </c>
      <c r="J426" s="96">
        <v>0.2385321151923121</v>
      </c>
    </row>
    <row r="427" spans="1:10" x14ac:dyDescent="0.25">
      <c r="A427" s="95">
        <v>44621</v>
      </c>
      <c r="B427" s="83">
        <v>0</v>
      </c>
      <c r="C427" s="83">
        <v>0</v>
      </c>
      <c r="D427" s="83">
        <v>262345.76520000002</v>
      </c>
      <c r="E427" s="83">
        <v>345695.98809320939</v>
      </c>
      <c r="F427" s="83">
        <v>173608.44839999999</v>
      </c>
      <c r="G427" s="83">
        <v>194247.30620379964</v>
      </c>
      <c r="H427" s="96">
        <v>0.31771133347499281</v>
      </c>
      <c r="I427" s="96">
        <v>0.11888164426334247</v>
      </c>
      <c r="J427" s="96">
        <v>0.2385321151923121</v>
      </c>
    </row>
    <row r="428" spans="1:10" x14ac:dyDescent="0.25">
      <c r="A428" s="95">
        <v>44652</v>
      </c>
      <c r="B428" s="83">
        <v>0</v>
      </c>
      <c r="C428" s="83">
        <v>0</v>
      </c>
      <c r="D428" s="83">
        <v>231305.62719999999</v>
      </c>
      <c r="E428" s="83">
        <v>304794.04645798157</v>
      </c>
      <c r="F428" s="83">
        <v>153067.5024</v>
      </c>
      <c r="G428" s="83">
        <v>171264.41876859509</v>
      </c>
      <c r="H428" s="96">
        <v>0.31771133347499281</v>
      </c>
      <c r="I428" s="96">
        <v>0.11888164426334225</v>
      </c>
      <c r="J428" s="96">
        <v>0.2385321151923121</v>
      </c>
    </row>
    <row r="429" spans="1:10" x14ac:dyDescent="0.25">
      <c r="A429" s="95">
        <v>44682</v>
      </c>
      <c r="B429" s="83">
        <v>0</v>
      </c>
      <c r="C429" s="83">
        <v>0</v>
      </c>
      <c r="D429" s="83">
        <v>229900.77796000001</v>
      </c>
      <c r="E429" s="83">
        <v>302942.8606926098</v>
      </c>
      <c r="F429" s="83">
        <v>152137.83731999999</v>
      </c>
      <c r="G429" s="83">
        <v>170224.23357527051</v>
      </c>
      <c r="H429" s="96">
        <v>0.31771133347499259</v>
      </c>
      <c r="I429" s="96">
        <v>0.11888164426334247</v>
      </c>
      <c r="J429" s="96">
        <v>0.23853211519231188</v>
      </c>
    </row>
    <row r="430" spans="1:10" x14ac:dyDescent="0.25">
      <c r="A430" s="95">
        <v>44713</v>
      </c>
      <c r="B430" s="83">
        <v>0</v>
      </c>
      <c r="C430" s="83">
        <v>0</v>
      </c>
      <c r="D430" s="83">
        <v>207765.76361999998</v>
      </c>
      <c r="E430" s="83">
        <v>273775.3014301603</v>
      </c>
      <c r="F430" s="83">
        <v>137489.89554</v>
      </c>
      <c r="G430" s="83">
        <v>153834.92039139036</v>
      </c>
      <c r="H430" s="96">
        <v>0.31771133347499259</v>
      </c>
      <c r="I430" s="96">
        <v>0.11888164426334225</v>
      </c>
      <c r="J430" s="96">
        <v>0.23853211519231188</v>
      </c>
    </row>
    <row r="431" spans="1:10" x14ac:dyDescent="0.25">
      <c r="A431" s="95">
        <v>44743</v>
      </c>
      <c r="B431" s="83">
        <v>0</v>
      </c>
      <c r="C431" s="83">
        <v>0</v>
      </c>
      <c r="D431" s="83">
        <v>207765.76361999998</v>
      </c>
      <c r="E431" s="83">
        <v>273775.3014301603</v>
      </c>
      <c r="F431" s="83">
        <v>137489.89554</v>
      </c>
      <c r="G431" s="83">
        <v>153834.92039139036</v>
      </c>
      <c r="H431" s="96">
        <v>0.31771133347499259</v>
      </c>
      <c r="I431" s="96">
        <v>0.11888164426334225</v>
      </c>
      <c r="J431" s="96">
        <v>0.23853211519231188</v>
      </c>
    </row>
    <row r="432" spans="1:10" x14ac:dyDescent="0.25">
      <c r="A432" s="87" t="s">
        <v>33</v>
      </c>
      <c r="B432" s="83">
        <v>0</v>
      </c>
      <c r="C432" s="83">
        <v>0</v>
      </c>
      <c r="D432" s="83">
        <v>9875419.4038323946</v>
      </c>
      <c r="E432" s="83">
        <v>12182044.916941399</v>
      </c>
      <c r="F432" s="83">
        <v>6535231.5717324009</v>
      </c>
      <c r="G432" s="83">
        <v>6849690.5721174022</v>
      </c>
      <c r="H432" s="96">
        <v>0.23357241032354148</v>
      </c>
      <c r="I432" s="96">
        <v>4.8117499270441622E-2</v>
      </c>
      <c r="J432" s="96">
        <v>0.15971849729768528</v>
      </c>
    </row>
    <row r="433" spans="1:10" x14ac:dyDescent="0.25">
      <c r="A433" s="88" t="s">
        <v>50</v>
      </c>
      <c r="B433" s="83">
        <v>0</v>
      </c>
      <c r="C433" s="83">
        <v>0</v>
      </c>
      <c r="D433" s="83">
        <v>9592.7639899999976</v>
      </c>
      <c r="E433" s="83">
        <v>11491.434447098862</v>
      </c>
      <c r="F433" s="83">
        <v>6491.4293700000007</v>
      </c>
      <c r="G433" s="83">
        <v>6819.6117610394331</v>
      </c>
      <c r="H433" s="96">
        <v>0.197927360568668</v>
      </c>
      <c r="I433" s="96">
        <v>5.055626000586555E-2</v>
      </c>
      <c r="J433" s="96">
        <v>0.13844976855825974</v>
      </c>
    </row>
    <row r="434" spans="1:10" x14ac:dyDescent="0.25">
      <c r="A434" s="89" t="s">
        <v>26</v>
      </c>
      <c r="B434" s="83">
        <v>0</v>
      </c>
      <c r="C434" s="83">
        <v>0</v>
      </c>
      <c r="D434" s="83">
        <v>9592.7639899999976</v>
      </c>
      <c r="E434" s="83">
        <v>11491.434447098862</v>
      </c>
      <c r="F434" s="83">
        <v>6491.4293700000007</v>
      </c>
      <c r="G434" s="83">
        <v>6819.6117610394331</v>
      </c>
      <c r="H434" s="96">
        <v>0.197927360568668</v>
      </c>
      <c r="I434" s="96">
        <v>5.055626000586555E-2</v>
      </c>
      <c r="J434" s="96">
        <v>0.13844976855825974</v>
      </c>
    </row>
    <row r="435" spans="1:10" x14ac:dyDescent="0.25">
      <c r="A435" s="90" t="s">
        <v>49</v>
      </c>
      <c r="B435" s="83">
        <v>0</v>
      </c>
      <c r="C435" s="83">
        <v>0</v>
      </c>
      <c r="D435" s="83">
        <v>9592.7639899999976</v>
      </c>
      <c r="E435" s="83">
        <v>11491.434447098862</v>
      </c>
      <c r="F435" s="83">
        <v>6491.4293700000007</v>
      </c>
      <c r="G435" s="83">
        <v>6819.6117610394331</v>
      </c>
      <c r="H435" s="96">
        <v>0.197927360568668</v>
      </c>
      <c r="I435" s="96">
        <v>5.055626000586555E-2</v>
      </c>
      <c r="J435" s="96">
        <v>0.13844976855825974</v>
      </c>
    </row>
    <row r="436" spans="1:10" x14ac:dyDescent="0.25">
      <c r="A436" s="91" t="s">
        <v>25</v>
      </c>
      <c r="B436" s="83">
        <v>0</v>
      </c>
      <c r="C436" s="83">
        <v>0</v>
      </c>
      <c r="D436" s="83">
        <v>9592.7639899999976</v>
      </c>
      <c r="E436" s="83">
        <v>11491.434447098862</v>
      </c>
      <c r="F436" s="83">
        <v>6491.4293700000007</v>
      </c>
      <c r="G436" s="83">
        <v>6819.6117610394331</v>
      </c>
      <c r="H436" s="96">
        <v>0.197927360568668</v>
      </c>
      <c r="I436" s="96">
        <v>5.055626000586555E-2</v>
      </c>
      <c r="J436" s="96">
        <v>0.13844976855825974</v>
      </c>
    </row>
    <row r="437" spans="1:10" x14ac:dyDescent="0.25">
      <c r="A437" s="92" t="s">
        <v>25</v>
      </c>
      <c r="B437" s="83">
        <v>0</v>
      </c>
      <c r="C437" s="83">
        <v>0</v>
      </c>
      <c r="D437" s="83">
        <v>9592.7639899999976</v>
      </c>
      <c r="E437" s="83">
        <v>11491.434447098862</v>
      </c>
      <c r="F437" s="83">
        <v>6491.4293700000007</v>
      </c>
      <c r="G437" s="83">
        <v>6819.6117610394331</v>
      </c>
      <c r="H437" s="96">
        <v>0.197927360568668</v>
      </c>
      <c r="I437" s="96">
        <v>5.055626000586555E-2</v>
      </c>
      <c r="J437" s="96">
        <v>0.13844976855825974</v>
      </c>
    </row>
    <row r="438" spans="1:10" x14ac:dyDescent="0.25">
      <c r="A438" s="93" t="s">
        <v>25</v>
      </c>
      <c r="B438" s="83">
        <v>0</v>
      </c>
      <c r="C438" s="83">
        <v>0</v>
      </c>
      <c r="D438" s="83">
        <v>9592.7639899999976</v>
      </c>
      <c r="E438" s="83">
        <v>11491.434447098862</v>
      </c>
      <c r="F438" s="83">
        <v>6491.4293700000007</v>
      </c>
      <c r="G438" s="83">
        <v>6819.6117610394331</v>
      </c>
      <c r="H438" s="96">
        <v>0.197927360568668</v>
      </c>
      <c r="I438" s="96">
        <v>5.055626000586555E-2</v>
      </c>
      <c r="J438" s="96">
        <v>0.13844976855825974</v>
      </c>
    </row>
    <row r="439" spans="1:10" x14ac:dyDescent="0.25">
      <c r="A439" s="94" t="s">
        <v>38</v>
      </c>
      <c r="B439" s="83">
        <v>0</v>
      </c>
      <c r="C439" s="83">
        <v>0</v>
      </c>
      <c r="D439" s="83">
        <v>7479.4346500000011</v>
      </c>
      <c r="E439" s="83">
        <v>9145.7658369671408</v>
      </c>
      <c r="F439" s="83">
        <v>5757.030029999999</v>
      </c>
      <c r="G439" s="83">
        <v>6064.0122287995728</v>
      </c>
      <c r="H439" s="96">
        <v>0.22278838775162502</v>
      </c>
      <c r="I439" s="96">
        <v>5.3323015026825127E-2</v>
      </c>
      <c r="J439" s="96">
        <v>0.14908160399871306</v>
      </c>
    </row>
    <row r="440" spans="1:10" x14ac:dyDescent="0.25">
      <c r="A440" s="95">
        <v>44409</v>
      </c>
      <c r="B440" s="83">
        <v>0</v>
      </c>
      <c r="C440" s="83">
        <v>0</v>
      </c>
      <c r="D440" s="83">
        <v>368.56700000000006</v>
      </c>
      <c r="E440" s="83">
        <v>450.67944770845327</v>
      </c>
      <c r="F440" s="83">
        <v>283.69140000000004</v>
      </c>
      <c r="G440" s="83">
        <v>298.81868078518102</v>
      </c>
      <c r="H440" s="96">
        <v>0.22278838775162502</v>
      </c>
      <c r="I440" s="96">
        <v>5.3323015026824905E-2</v>
      </c>
      <c r="J440" s="96">
        <v>0.14908160399871306</v>
      </c>
    </row>
    <row r="441" spans="1:10" x14ac:dyDescent="0.25">
      <c r="A441" s="95">
        <v>44440</v>
      </c>
      <c r="B441" s="83">
        <v>0</v>
      </c>
      <c r="C441" s="83">
        <v>0</v>
      </c>
      <c r="D441" s="83">
        <v>408.17419999999998</v>
      </c>
      <c r="E441" s="83">
        <v>499.11067193980938</v>
      </c>
      <c r="F441" s="83">
        <v>314.17764</v>
      </c>
      <c r="G441" s="83">
        <v>330.9305390188124</v>
      </c>
      <c r="H441" s="96">
        <v>0.22278838775162524</v>
      </c>
      <c r="I441" s="96">
        <v>5.3323015026824905E-2</v>
      </c>
      <c r="J441" s="96">
        <v>0.14908160399871306</v>
      </c>
    </row>
    <row r="442" spans="1:10" x14ac:dyDescent="0.25">
      <c r="A442" s="95">
        <v>44470</v>
      </c>
      <c r="B442" s="83">
        <v>0</v>
      </c>
      <c r="C442" s="83">
        <v>0</v>
      </c>
      <c r="D442" s="83">
        <v>380.66919999999999</v>
      </c>
      <c r="E442" s="83">
        <v>465.47787733470091</v>
      </c>
      <c r="F442" s="83">
        <v>293.00664</v>
      </c>
      <c r="G442" s="83">
        <v>308.63063746767943</v>
      </c>
      <c r="H442" s="96">
        <v>0.22278838775162502</v>
      </c>
      <c r="I442" s="96">
        <v>5.3323015026824683E-2</v>
      </c>
      <c r="J442" s="96">
        <v>0.14908160399871306</v>
      </c>
    </row>
    <row r="443" spans="1:10" x14ac:dyDescent="0.25">
      <c r="A443" s="95">
        <v>44501</v>
      </c>
      <c r="B443" s="83">
        <v>0</v>
      </c>
      <c r="C443" s="83">
        <v>0</v>
      </c>
      <c r="D443" s="83">
        <v>439.25485000000003</v>
      </c>
      <c r="E443" s="83">
        <v>537.1157298435819</v>
      </c>
      <c r="F443" s="83">
        <v>338.10086999999999</v>
      </c>
      <c r="G443" s="83">
        <v>356.12942777159259</v>
      </c>
      <c r="H443" s="96">
        <v>0.22278838775162502</v>
      </c>
      <c r="I443" s="96">
        <v>5.3323015026824905E-2</v>
      </c>
      <c r="J443" s="96">
        <v>0.14908160399871306</v>
      </c>
    </row>
    <row r="444" spans="1:10" x14ac:dyDescent="0.25">
      <c r="A444" s="95">
        <v>44531</v>
      </c>
      <c r="B444" s="83">
        <v>0</v>
      </c>
      <c r="C444" s="83">
        <v>0</v>
      </c>
      <c r="D444" s="83">
        <v>622.71319999999992</v>
      </c>
      <c r="E444" s="83">
        <v>761.44646985965528</v>
      </c>
      <c r="F444" s="83">
        <v>479.31143999999995</v>
      </c>
      <c r="G444" s="83">
        <v>504.86977111764907</v>
      </c>
      <c r="H444" s="96">
        <v>0.22278838775162524</v>
      </c>
      <c r="I444" s="96">
        <v>5.3323015026824905E-2</v>
      </c>
      <c r="J444" s="96">
        <v>0.14908160399871329</v>
      </c>
    </row>
    <row r="445" spans="1:10" x14ac:dyDescent="0.25">
      <c r="A445" s="95">
        <v>44562</v>
      </c>
      <c r="B445" s="83">
        <v>0</v>
      </c>
      <c r="C445" s="83">
        <v>0</v>
      </c>
      <c r="D445" s="83">
        <v>891.16200000000015</v>
      </c>
      <c r="E445" s="83">
        <v>1089.7025452055138</v>
      </c>
      <c r="F445" s="83">
        <v>685.94040000000007</v>
      </c>
      <c r="G445" s="83">
        <v>722.51681025670632</v>
      </c>
      <c r="H445" s="96">
        <v>0.22278838775162502</v>
      </c>
      <c r="I445" s="96">
        <v>5.3323015026824905E-2</v>
      </c>
      <c r="J445" s="96">
        <v>0.14908160399871306</v>
      </c>
    </row>
    <row r="446" spans="1:10" x14ac:dyDescent="0.25">
      <c r="A446" s="95">
        <v>44593</v>
      </c>
      <c r="B446" s="83">
        <v>0</v>
      </c>
      <c r="C446" s="83">
        <v>0</v>
      </c>
      <c r="D446" s="83">
        <v>1315.8391999999999</v>
      </c>
      <c r="E446" s="83">
        <v>1608.9928939083882</v>
      </c>
      <c r="F446" s="83">
        <v>1012.82064</v>
      </c>
      <c r="G446" s="83">
        <v>1066.8272902061983</v>
      </c>
      <c r="H446" s="96">
        <v>0.22278838775162524</v>
      </c>
      <c r="I446" s="96">
        <v>5.3323015026824683E-2</v>
      </c>
      <c r="J446" s="96">
        <v>0.14908160399871306</v>
      </c>
    </row>
    <row r="447" spans="1:10" x14ac:dyDescent="0.25">
      <c r="A447" s="95">
        <v>44621</v>
      </c>
      <c r="B447" s="83">
        <v>0</v>
      </c>
      <c r="C447" s="83">
        <v>0</v>
      </c>
      <c r="D447" s="83">
        <v>940.94605000000001</v>
      </c>
      <c r="E447" s="83">
        <v>1150.5779034407601</v>
      </c>
      <c r="F447" s="83">
        <v>724.25990999999999</v>
      </c>
      <c r="G447" s="83">
        <v>762.87963206425684</v>
      </c>
      <c r="H447" s="96">
        <v>0.22278838775162524</v>
      </c>
      <c r="I447" s="96">
        <v>5.3323015026824905E-2</v>
      </c>
      <c r="J447" s="96">
        <v>0.14908160399871306</v>
      </c>
    </row>
    <row r="448" spans="1:10" x14ac:dyDescent="0.25">
      <c r="A448" s="95">
        <v>44652</v>
      </c>
      <c r="B448" s="83">
        <v>0</v>
      </c>
      <c r="C448" s="83">
        <v>0</v>
      </c>
      <c r="D448" s="83">
        <v>863.93205</v>
      </c>
      <c r="E448" s="83">
        <v>1056.4060785464565</v>
      </c>
      <c r="F448" s="83">
        <v>664.98111000000006</v>
      </c>
      <c r="G448" s="83">
        <v>700.43990772108475</v>
      </c>
      <c r="H448" s="96">
        <v>0.22278838775162524</v>
      </c>
      <c r="I448" s="96">
        <v>5.3323015026824905E-2</v>
      </c>
      <c r="J448" s="96">
        <v>0.14908160399871329</v>
      </c>
    </row>
    <row r="449" spans="1:10" x14ac:dyDescent="0.25">
      <c r="A449" s="95">
        <v>44682</v>
      </c>
      <c r="B449" s="83">
        <v>0</v>
      </c>
      <c r="C449" s="83">
        <v>0</v>
      </c>
      <c r="D449" s="83">
        <v>512.1431</v>
      </c>
      <c r="E449" s="83">
        <v>626.24263554711933</v>
      </c>
      <c r="F449" s="83">
        <v>394.20402000000001</v>
      </c>
      <c r="G449" s="83">
        <v>415.22416688209483</v>
      </c>
      <c r="H449" s="96">
        <v>0.22278838775162524</v>
      </c>
      <c r="I449" s="96">
        <v>5.3323015026824905E-2</v>
      </c>
      <c r="J449" s="96">
        <v>0.14908160399871306</v>
      </c>
    </row>
    <row r="450" spans="1:10" x14ac:dyDescent="0.25">
      <c r="A450" s="95">
        <v>44713</v>
      </c>
      <c r="B450" s="83">
        <v>0</v>
      </c>
      <c r="C450" s="83">
        <v>0</v>
      </c>
      <c r="D450" s="83">
        <v>368.01690000000002</v>
      </c>
      <c r="E450" s="83">
        <v>450.0067918163511</v>
      </c>
      <c r="F450" s="83">
        <v>283.26798000000002</v>
      </c>
      <c r="G450" s="83">
        <v>298.37268275415835</v>
      </c>
      <c r="H450" s="96">
        <v>0.22278838775162524</v>
      </c>
      <c r="I450" s="96">
        <v>5.3323015026824905E-2</v>
      </c>
      <c r="J450" s="96">
        <v>0.14908160399871329</v>
      </c>
    </row>
    <row r="451" spans="1:10" x14ac:dyDescent="0.25">
      <c r="A451" s="95">
        <v>44743</v>
      </c>
      <c r="B451" s="83">
        <v>0</v>
      </c>
      <c r="C451" s="83">
        <v>0</v>
      </c>
      <c r="D451" s="83">
        <v>368.01690000000002</v>
      </c>
      <c r="E451" s="83">
        <v>450.0067918163511</v>
      </c>
      <c r="F451" s="83">
        <v>283.26798000000002</v>
      </c>
      <c r="G451" s="83">
        <v>298.37268275415835</v>
      </c>
      <c r="H451" s="96">
        <v>0.22278838775162524</v>
      </c>
      <c r="I451" s="96">
        <v>5.3323015026824905E-2</v>
      </c>
      <c r="J451" s="96">
        <v>0.14908160399871329</v>
      </c>
    </row>
    <row r="452" spans="1:10" x14ac:dyDescent="0.25">
      <c r="A452" s="94" t="s">
        <v>51</v>
      </c>
      <c r="B452" s="83">
        <v>0</v>
      </c>
      <c r="C452" s="83">
        <v>0</v>
      </c>
      <c r="D452" s="83">
        <v>976.09953999999993</v>
      </c>
      <c r="E452" s="83">
        <v>1097.6435045523926</v>
      </c>
      <c r="F452" s="83">
        <v>324.76313999999996</v>
      </c>
      <c r="G452" s="83">
        <v>342.08048979437888</v>
      </c>
      <c r="H452" s="96">
        <v>0.12452005105175301</v>
      </c>
      <c r="I452" s="96">
        <v>5.3323015026825127E-2</v>
      </c>
      <c r="J452" s="96">
        <v>0.1067455592982125</v>
      </c>
    </row>
    <row r="453" spans="1:10" x14ac:dyDescent="0.25">
      <c r="A453" s="95">
        <v>44409</v>
      </c>
      <c r="B453" s="83">
        <v>0</v>
      </c>
      <c r="C453" s="83">
        <v>0</v>
      </c>
      <c r="D453" s="83">
        <v>55.995279999999994</v>
      </c>
      <c r="E453" s="83">
        <v>62.967815124257193</v>
      </c>
      <c r="F453" s="83">
        <v>18.630479999999999</v>
      </c>
      <c r="G453" s="83">
        <v>19.623913364996959</v>
      </c>
      <c r="H453" s="96">
        <v>0.12452005105175301</v>
      </c>
      <c r="I453" s="96">
        <v>5.3323015026824905E-2</v>
      </c>
      <c r="J453" s="96">
        <v>0.1067455592982125</v>
      </c>
    </row>
    <row r="454" spans="1:10" x14ac:dyDescent="0.25">
      <c r="A454" s="95">
        <v>44440</v>
      </c>
      <c r="B454" s="83">
        <v>0</v>
      </c>
      <c r="C454" s="83">
        <v>0</v>
      </c>
      <c r="D454" s="83">
        <v>64.267309999999995</v>
      </c>
      <c r="E454" s="83">
        <v>72.269878722158836</v>
      </c>
      <c r="F454" s="83">
        <v>21.382710000000003</v>
      </c>
      <c r="G454" s="83">
        <v>22.522900566644243</v>
      </c>
      <c r="H454" s="96">
        <v>0.12452005105175301</v>
      </c>
      <c r="I454" s="96">
        <v>5.3323015026824905E-2</v>
      </c>
      <c r="J454" s="96">
        <v>0.1067455592982125</v>
      </c>
    </row>
    <row r="455" spans="1:10" x14ac:dyDescent="0.25">
      <c r="A455" s="95">
        <v>44470</v>
      </c>
      <c r="B455" s="83">
        <v>0</v>
      </c>
      <c r="C455" s="83">
        <v>0</v>
      </c>
      <c r="D455" s="83">
        <v>57.904209999999992</v>
      </c>
      <c r="E455" s="83">
        <v>65.114445185311411</v>
      </c>
      <c r="F455" s="83">
        <v>19.265609999999999</v>
      </c>
      <c r="G455" s="83">
        <v>20.292910411530947</v>
      </c>
      <c r="H455" s="96">
        <v>0.12452005105175279</v>
      </c>
      <c r="I455" s="96">
        <v>5.3323015026824905E-2</v>
      </c>
      <c r="J455" s="96">
        <v>0.1067455592982125</v>
      </c>
    </row>
    <row r="456" spans="1:10" x14ac:dyDescent="0.25">
      <c r="A456" s="95">
        <v>44501</v>
      </c>
      <c r="B456" s="83">
        <v>0</v>
      </c>
      <c r="C456" s="83">
        <v>0</v>
      </c>
      <c r="D456" s="83">
        <v>62.358379999999997</v>
      </c>
      <c r="E456" s="83">
        <v>70.123248661104611</v>
      </c>
      <c r="F456" s="83">
        <v>20.747580000000003</v>
      </c>
      <c r="G456" s="83">
        <v>21.853903520110254</v>
      </c>
      <c r="H456" s="96">
        <v>0.12452005105175301</v>
      </c>
      <c r="I456" s="96">
        <v>5.3323015026824905E-2</v>
      </c>
      <c r="J456" s="96">
        <v>0.10674555929821228</v>
      </c>
    </row>
    <row r="457" spans="1:10" x14ac:dyDescent="0.25">
      <c r="A457" s="95">
        <v>44531</v>
      </c>
      <c r="B457" s="83">
        <v>0</v>
      </c>
      <c r="C457" s="83">
        <v>0</v>
      </c>
      <c r="D457" s="83">
        <v>68.085169999999991</v>
      </c>
      <c r="E457" s="83">
        <v>76.563138844267272</v>
      </c>
      <c r="F457" s="83">
        <v>22.65297</v>
      </c>
      <c r="G457" s="83">
        <v>23.860894659712212</v>
      </c>
      <c r="H457" s="96">
        <v>0.12452005105175301</v>
      </c>
      <c r="I457" s="96">
        <v>5.3323015026824905E-2</v>
      </c>
      <c r="J457" s="96">
        <v>0.1067455592982125</v>
      </c>
    </row>
    <row r="458" spans="1:10" x14ac:dyDescent="0.25">
      <c r="A458" s="95">
        <v>44562</v>
      </c>
      <c r="B458" s="83">
        <v>0</v>
      </c>
      <c r="C458" s="83">
        <v>0</v>
      </c>
      <c r="D458" s="83">
        <v>102.44591</v>
      </c>
      <c r="E458" s="83">
        <v>115.20247994324328</v>
      </c>
      <c r="F458" s="83">
        <v>34.08531</v>
      </c>
      <c r="G458" s="83">
        <v>35.90284149732399</v>
      </c>
      <c r="H458" s="96">
        <v>0.12452005105175279</v>
      </c>
      <c r="I458" s="96">
        <v>5.3323015026825127E-2</v>
      </c>
      <c r="J458" s="96">
        <v>0.10674555929821228</v>
      </c>
    </row>
    <row r="459" spans="1:10" x14ac:dyDescent="0.25">
      <c r="A459" s="95">
        <v>44593</v>
      </c>
      <c r="B459" s="83">
        <v>0</v>
      </c>
      <c r="C459" s="83">
        <v>0</v>
      </c>
      <c r="D459" s="83">
        <v>144.44236999999998</v>
      </c>
      <c r="E459" s="83">
        <v>162.42834128643617</v>
      </c>
      <c r="F459" s="83">
        <v>48.058170000000004</v>
      </c>
      <c r="G459" s="83">
        <v>50.620776521071711</v>
      </c>
      <c r="H459" s="96">
        <v>0.12452005105175301</v>
      </c>
      <c r="I459" s="96">
        <v>5.3323015026824905E-2</v>
      </c>
      <c r="J459" s="96">
        <v>0.10674555929821228</v>
      </c>
    </row>
    <row r="460" spans="1:10" x14ac:dyDescent="0.25">
      <c r="A460" s="95">
        <v>44621</v>
      </c>
      <c r="B460" s="83">
        <v>0</v>
      </c>
      <c r="C460" s="83">
        <v>0</v>
      </c>
      <c r="D460" s="83">
        <v>113.89948999999999</v>
      </c>
      <c r="E460" s="83">
        <v>128.0822603095686</v>
      </c>
      <c r="F460" s="83">
        <v>37.896090000000001</v>
      </c>
      <c r="G460" s="83">
        <v>39.916823776527906</v>
      </c>
      <c r="H460" s="96">
        <v>0.12452005105175279</v>
      </c>
      <c r="I460" s="96">
        <v>5.3323015026824905E-2</v>
      </c>
      <c r="J460" s="96">
        <v>0.10674555929821228</v>
      </c>
    </row>
    <row r="461" spans="1:10" x14ac:dyDescent="0.25">
      <c r="A461" s="95">
        <v>44652</v>
      </c>
      <c r="B461" s="83">
        <v>0</v>
      </c>
      <c r="C461" s="83">
        <v>0</v>
      </c>
      <c r="D461" s="83">
        <v>120.8989</v>
      </c>
      <c r="E461" s="83">
        <v>135.95323720010077</v>
      </c>
      <c r="F461" s="83">
        <v>40.224900000000005</v>
      </c>
      <c r="G461" s="83">
        <v>42.369812947152532</v>
      </c>
      <c r="H461" s="96">
        <v>0.12452005105175301</v>
      </c>
      <c r="I461" s="96">
        <v>5.3323015026824905E-2</v>
      </c>
      <c r="J461" s="96">
        <v>0.10674555929821228</v>
      </c>
    </row>
    <row r="462" spans="1:10" x14ac:dyDescent="0.25">
      <c r="A462" s="95">
        <v>44682</v>
      </c>
      <c r="B462" s="83">
        <v>0</v>
      </c>
      <c r="C462" s="83">
        <v>0</v>
      </c>
      <c r="D462" s="83">
        <v>73.811959999999999</v>
      </c>
      <c r="E462" s="83">
        <v>83.003029027429946</v>
      </c>
      <c r="F462" s="83">
        <v>24.55836</v>
      </c>
      <c r="G462" s="83">
        <v>25.867885799314177</v>
      </c>
      <c r="H462" s="96">
        <v>0.12452005105175301</v>
      </c>
      <c r="I462" s="96">
        <v>5.3323015026824905E-2</v>
      </c>
      <c r="J462" s="96">
        <v>0.1067455592982125</v>
      </c>
    </row>
    <row r="463" spans="1:10" x14ac:dyDescent="0.25">
      <c r="A463" s="95">
        <v>44713</v>
      </c>
      <c r="B463" s="83">
        <v>0</v>
      </c>
      <c r="C463" s="83">
        <v>0</v>
      </c>
      <c r="D463" s="83">
        <v>55.995279999999994</v>
      </c>
      <c r="E463" s="83">
        <v>62.967815124257193</v>
      </c>
      <c r="F463" s="83">
        <v>18.630479999999999</v>
      </c>
      <c r="G463" s="83">
        <v>19.623913364996959</v>
      </c>
      <c r="H463" s="96">
        <v>0.12452005105175301</v>
      </c>
      <c r="I463" s="96">
        <v>5.3323015026824905E-2</v>
      </c>
      <c r="J463" s="96">
        <v>0.1067455592982125</v>
      </c>
    </row>
    <row r="464" spans="1:10" x14ac:dyDescent="0.25">
      <c r="A464" s="95">
        <v>44743</v>
      </c>
      <c r="B464" s="83">
        <v>0</v>
      </c>
      <c r="C464" s="83">
        <v>0</v>
      </c>
      <c r="D464" s="83">
        <v>55.995279999999994</v>
      </c>
      <c r="E464" s="83">
        <v>62.967815124257193</v>
      </c>
      <c r="F464" s="83">
        <v>18.630479999999999</v>
      </c>
      <c r="G464" s="83">
        <v>19.623913364996959</v>
      </c>
      <c r="H464" s="96">
        <v>0.12452005105175301</v>
      </c>
      <c r="I464" s="96">
        <v>5.3323015026824905E-2</v>
      </c>
      <c r="J464" s="96">
        <v>0.1067455592982125</v>
      </c>
    </row>
    <row r="465" spans="1:10" x14ac:dyDescent="0.25">
      <c r="A465" s="94" t="s">
        <v>37</v>
      </c>
      <c r="B465" s="83">
        <v>0</v>
      </c>
      <c r="C465" s="83">
        <v>0</v>
      </c>
      <c r="D465" s="83">
        <v>1137.2297999999998</v>
      </c>
      <c r="E465" s="83">
        <v>1248.025105579329</v>
      </c>
      <c r="F465" s="83">
        <v>409.63619999999992</v>
      </c>
      <c r="G465" s="83">
        <v>413.51904244548103</v>
      </c>
      <c r="H465" s="96">
        <v>9.7425608772588657E-2</v>
      </c>
      <c r="I465" s="96">
        <v>9.4787580918900272E-3</v>
      </c>
      <c r="J465" s="96">
        <v>7.4135799755641552E-2</v>
      </c>
    </row>
    <row r="466" spans="1:10" x14ac:dyDescent="0.25">
      <c r="A466" s="95">
        <v>44409</v>
      </c>
      <c r="B466" s="83">
        <v>0</v>
      </c>
      <c r="C466" s="83">
        <v>0</v>
      </c>
      <c r="D466" s="83">
        <v>70.827469999999991</v>
      </c>
      <c r="E466" s="83">
        <v>77.727879382572226</v>
      </c>
      <c r="F466" s="83">
        <v>25.512429999999995</v>
      </c>
      <c r="G466" s="83">
        <v>25.754256152306276</v>
      </c>
      <c r="H466" s="96">
        <v>9.7425608772588213E-2</v>
      </c>
      <c r="I466" s="96">
        <v>9.4787580918902492E-3</v>
      </c>
      <c r="J466" s="96">
        <v>7.413579975564133E-2</v>
      </c>
    </row>
    <row r="467" spans="1:10" x14ac:dyDescent="0.25">
      <c r="A467" s="95">
        <v>44440</v>
      </c>
      <c r="B467" s="83">
        <v>0</v>
      </c>
      <c r="C467" s="83">
        <v>0</v>
      </c>
      <c r="D467" s="83">
        <v>85.791020000000003</v>
      </c>
      <c r="E467" s="83">
        <v>94.149262350721287</v>
      </c>
      <c r="F467" s="83">
        <v>30.902379999999997</v>
      </c>
      <c r="G467" s="83">
        <v>31.195296184483659</v>
      </c>
      <c r="H467" s="96">
        <v>9.7425608772588213E-2</v>
      </c>
      <c r="I467" s="96">
        <v>9.4787580918900272E-3</v>
      </c>
      <c r="J467" s="96">
        <v>7.413579975564133E-2</v>
      </c>
    </row>
    <row r="468" spans="1:10" x14ac:dyDescent="0.25">
      <c r="A468" s="95">
        <v>44470</v>
      </c>
      <c r="B468" s="83">
        <v>0</v>
      </c>
      <c r="C468" s="83">
        <v>0</v>
      </c>
      <c r="D468" s="83">
        <v>87.786159999999995</v>
      </c>
      <c r="E468" s="83">
        <v>96.338780079807833</v>
      </c>
      <c r="F468" s="83">
        <v>31.621039999999997</v>
      </c>
      <c r="G468" s="83">
        <v>31.920768188773977</v>
      </c>
      <c r="H468" s="96">
        <v>9.7425608772588213E-2</v>
      </c>
      <c r="I468" s="96">
        <v>9.4787580918900272E-3</v>
      </c>
      <c r="J468" s="96">
        <v>7.413579975564133E-2</v>
      </c>
    </row>
    <row r="469" spans="1:10" x14ac:dyDescent="0.25">
      <c r="A469" s="95">
        <v>44501</v>
      </c>
      <c r="B469" s="83">
        <v>0</v>
      </c>
      <c r="C469" s="83">
        <v>0</v>
      </c>
      <c r="D469" s="83">
        <v>63.844480000000004</v>
      </c>
      <c r="E469" s="83">
        <v>70.064567330769336</v>
      </c>
      <c r="F469" s="83">
        <v>22.997119999999999</v>
      </c>
      <c r="G469" s="83">
        <v>23.215104137290169</v>
      </c>
      <c r="H469" s="96">
        <v>9.7425608772588213E-2</v>
      </c>
      <c r="I469" s="96">
        <v>9.4787580918902492E-3</v>
      </c>
      <c r="J469" s="96">
        <v>7.413579975564133E-2</v>
      </c>
    </row>
    <row r="470" spans="1:10" x14ac:dyDescent="0.25">
      <c r="A470" s="95">
        <v>44531</v>
      </c>
      <c r="B470" s="83">
        <v>0</v>
      </c>
      <c r="C470" s="83">
        <v>0</v>
      </c>
      <c r="D470" s="83">
        <v>71.825040000000001</v>
      </c>
      <c r="E470" s="83">
        <v>78.822638247115492</v>
      </c>
      <c r="F470" s="83">
        <v>25.871759999999998</v>
      </c>
      <c r="G470" s="83">
        <v>26.116992154451435</v>
      </c>
      <c r="H470" s="96">
        <v>9.742560877258799E-2</v>
      </c>
      <c r="I470" s="96">
        <v>9.4787580918900272E-3</v>
      </c>
      <c r="J470" s="96">
        <v>7.413579975564133E-2</v>
      </c>
    </row>
    <row r="471" spans="1:10" x14ac:dyDescent="0.25">
      <c r="A471" s="95">
        <v>44562</v>
      </c>
      <c r="B471" s="83">
        <v>0</v>
      </c>
      <c r="C471" s="83">
        <v>0</v>
      </c>
      <c r="D471" s="83">
        <v>134.67195000000001</v>
      </c>
      <c r="E471" s="83">
        <v>147.79244671334158</v>
      </c>
      <c r="F471" s="83">
        <v>48.509550000000004</v>
      </c>
      <c r="G471" s="83">
        <v>48.969360289596452</v>
      </c>
      <c r="H471" s="96">
        <v>9.7425608772588213E-2</v>
      </c>
      <c r="I471" s="96">
        <v>9.4787580918900272E-3</v>
      </c>
      <c r="J471" s="96">
        <v>7.413579975564133E-2</v>
      </c>
    </row>
    <row r="472" spans="1:10" x14ac:dyDescent="0.25">
      <c r="A472" s="95">
        <v>44593</v>
      </c>
      <c r="B472" s="83">
        <v>0</v>
      </c>
      <c r="C472" s="83">
        <v>0</v>
      </c>
      <c r="D472" s="83">
        <v>106.73999000000001</v>
      </c>
      <c r="E472" s="83">
        <v>117.13919850612999</v>
      </c>
      <c r="F472" s="83">
        <v>38.448309999999999</v>
      </c>
      <c r="G472" s="83">
        <v>38.812752229531995</v>
      </c>
      <c r="H472" s="96">
        <v>9.7425608772588213E-2</v>
      </c>
      <c r="I472" s="96">
        <v>9.4787580918900272E-3</v>
      </c>
      <c r="J472" s="96">
        <v>7.413579975564133E-2</v>
      </c>
    </row>
    <row r="473" spans="1:10" x14ac:dyDescent="0.25">
      <c r="A473" s="95">
        <v>44621</v>
      </c>
      <c r="B473" s="83">
        <v>0</v>
      </c>
      <c r="C473" s="83">
        <v>0</v>
      </c>
      <c r="D473" s="83">
        <v>121.70354</v>
      </c>
      <c r="E473" s="83">
        <v>133.56058147427905</v>
      </c>
      <c r="F473" s="83">
        <v>43.838259999999998</v>
      </c>
      <c r="G473" s="83">
        <v>44.253792261709378</v>
      </c>
      <c r="H473" s="96">
        <v>9.7425608772588213E-2</v>
      </c>
      <c r="I473" s="96">
        <v>9.4787580918900272E-3</v>
      </c>
      <c r="J473" s="96">
        <v>7.413579975564133E-2</v>
      </c>
    </row>
    <row r="474" spans="1:10" x14ac:dyDescent="0.25">
      <c r="A474" s="95">
        <v>44652</v>
      </c>
      <c r="B474" s="83">
        <v>0</v>
      </c>
      <c r="C474" s="83">
        <v>0</v>
      </c>
      <c r="D474" s="83">
        <v>148.63793000000001</v>
      </c>
      <c r="E474" s="83">
        <v>163.11907081694736</v>
      </c>
      <c r="F474" s="83">
        <v>53.540169999999996</v>
      </c>
      <c r="G474" s="83">
        <v>54.047664319628666</v>
      </c>
      <c r="H474" s="96">
        <v>9.7425608772588213E-2</v>
      </c>
      <c r="I474" s="96">
        <v>9.4787580918900272E-3</v>
      </c>
      <c r="J474" s="96">
        <v>7.413579975564133E-2</v>
      </c>
    </row>
    <row r="475" spans="1:10" x14ac:dyDescent="0.25">
      <c r="A475" s="95">
        <v>44682</v>
      </c>
      <c r="B475" s="83">
        <v>0</v>
      </c>
      <c r="C475" s="83">
        <v>0</v>
      </c>
      <c r="D475" s="83">
        <v>91.776440000000008</v>
      </c>
      <c r="E475" s="83">
        <v>100.71781553798093</v>
      </c>
      <c r="F475" s="83">
        <v>33.05836</v>
      </c>
      <c r="G475" s="83">
        <v>33.371712197354611</v>
      </c>
      <c r="H475" s="96">
        <v>9.7425608772588213E-2</v>
      </c>
      <c r="I475" s="96">
        <v>9.4787580918900272E-3</v>
      </c>
      <c r="J475" s="96">
        <v>7.413579975564133E-2</v>
      </c>
    </row>
    <row r="476" spans="1:10" x14ac:dyDescent="0.25">
      <c r="A476" s="95">
        <v>44713</v>
      </c>
      <c r="B476" s="83">
        <v>0</v>
      </c>
      <c r="C476" s="83">
        <v>0</v>
      </c>
      <c r="D476" s="83">
        <v>76.812889999999996</v>
      </c>
      <c r="E476" s="83">
        <v>84.29643256983185</v>
      </c>
      <c r="F476" s="83">
        <v>27.668409999999998</v>
      </c>
      <c r="G476" s="83">
        <v>27.930672165177231</v>
      </c>
      <c r="H476" s="96">
        <v>9.7425608772588213E-2</v>
      </c>
      <c r="I476" s="96">
        <v>9.4787580918900272E-3</v>
      </c>
      <c r="J476" s="96">
        <v>7.413579975564133E-2</v>
      </c>
    </row>
    <row r="477" spans="1:10" x14ac:dyDescent="0.25">
      <c r="A477" s="95">
        <v>44743</v>
      </c>
      <c r="B477" s="83">
        <v>0</v>
      </c>
      <c r="C477" s="83">
        <v>0</v>
      </c>
      <c r="D477" s="83">
        <v>76.812889999999996</v>
      </c>
      <c r="E477" s="83">
        <v>84.29643256983185</v>
      </c>
      <c r="F477" s="83">
        <v>27.668409999999998</v>
      </c>
      <c r="G477" s="83">
        <v>27.930672165177231</v>
      </c>
      <c r="H477" s="96">
        <v>9.7425608772588213E-2</v>
      </c>
      <c r="I477" s="96">
        <v>9.4787580918900272E-3</v>
      </c>
      <c r="J477" s="96">
        <v>7.413579975564133E-2</v>
      </c>
    </row>
    <row r="478" spans="1:10" x14ac:dyDescent="0.25">
      <c r="A478" s="88" t="s">
        <v>23</v>
      </c>
      <c r="B478" s="83">
        <v>0</v>
      </c>
      <c r="C478" s="83">
        <v>0</v>
      </c>
      <c r="D478" s="83">
        <v>9865826.6398423947</v>
      </c>
      <c r="E478" s="83">
        <v>12170553.482494298</v>
      </c>
      <c r="F478" s="83">
        <v>6528740.1423624009</v>
      </c>
      <c r="G478" s="83">
        <v>6842870.9603563631</v>
      </c>
      <c r="H478" s="96">
        <v>0.23360706880297699</v>
      </c>
      <c r="I478" s="96">
        <v>4.8115074446858808E-2</v>
      </c>
      <c r="J478" s="96">
        <v>0.15973936337790051</v>
      </c>
    </row>
    <row r="479" spans="1:10" x14ac:dyDescent="0.25">
      <c r="A479" s="89" t="s">
        <v>26</v>
      </c>
      <c r="B479" s="83">
        <v>0</v>
      </c>
      <c r="C479" s="83">
        <v>0</v>
      </c>
      <c r="D479" s="83">
        <v>9865826.6398423947</v>
      </c>
      <c r="E479" s="83">
        <v>12170553.482494298</v>
      </c>
      <c r="F479" s="83">
        <v>6528740.1423624009</v>
      </c>
      <c r="G479" s="83">
        <v>6842870.9603563631</v>
      </c>
      <c r="H479" s="96">
        <v>0.23360706880297699</v>
      </c>
      <c r="I479" s="96">
        <v>4.8115074446858808E-2</v>
      </c>
      <c r="J479" s="96">
        <v>0.15973936337790051</v>
      </c>
    </row>
    <row r="480" spans="1:10" x14ac:dyDescent="0.25">
      <c r="A480" s="90" t="s">
        <v>40</v>
      </c>
      <c r="B480" s="83">
        <v>0</v>
      </c>
      <c r="C480" s="83">
        <v>0</v>
      </c>
      <c r="D480" s="83">
        <v>7901790.8615799984</v>
      </c>
      <c r="E480" s="83">
        <v>9747705.0630478431</v>
      </c>
      <c r="F480" s="83">
        <v>5229033.6205799989</v>
      </c>
      <c r="G480" s="83">
        <v>5477256.0729158688</v>
      </c>
      <c r="H480" s="96">
        <v>0.23360706880297633</v>
      </c>
      <c r="I480" s="96">
        <v>4.747004329039628E-2</v>
      </c>
      <c r="J480" s="96">
        <v>0.15948249530323766</v>
      </c>
    </row>
    <row r="481" spans="1:10" x14ac:dyDescent="0.25">
      <c r="A481" s="91" t="s">
        <v>25</v>
      </c>
      <c r="B481" s="83">
        <v>0</v>
      </c>
      <c r="C481" s="83">
        <v>0</v>
      </c>
      <c r="D481" s="83">
        <v>7901790.8615799984</v>
      </c>
      <c r="E481" s="83">
        <v>9747705.0630478431</v>
      </c>
      <c r="F481" s="83">
        <v>5229033.6205799989</v>
      </c>
      <c r="G481" s="83">
        <v>5477256.0729158688</v>
      </c>
      <c r="H481" s="96">
        <v>0.23360706880297633</v>
      </c>
      <c r="I481" s="96">
        <v>4.747004329039628E-2</v>
      </c>
      <c r="J481" s="96">
        <v>0.15948249530323766</v>
      </c>
    </row>
    <row r="482" spans="1:10" x14ac:dyDescent="0.25">
      <c r="A482" s="92" t="s">
        <v>25</v>
      </c>
      <c r="B482" s="83">
        <v>0</v>
      </c>
      <c r="C482" s="83">
        <v>0</v>
      </c>
      <c r="D482" s="83">
        <v>7901790.8615799984</v>
      </c>
      <c r="E482" s="83">
        <v>9747705.0630478431</v>
      </c>
      <c r="F482" s="83">
        <v>5229033.6205799989</v>
      </c>
      <c r="G482" s="83">
        <v>5477256.0729158688</v>
      </c>
      <c r="H482" s="96">
        <v>0.23360706880297633</v>
      </c>
      <c r="I482" s="96">
        <v>4.747004329039628E-2</v>
      </c>
      <c r="J482" s="96">
        <v>0.15948249530323766</v>
      </c>
    </row>
    <row r="483" spans="1:10" x14ac:dyDescent="0.25">
      <c r="A483" s="93" t="s">
        <v>25</v>
      </c>
      <c r="B483" s="83">
        <v>0</v>
      </c>
      <c r="C483" s="83">
        <v>0</v>
      </c>
      <c r="D483" s="83">
        <v>7901790.8615799984</v>
      </c>
      <c r="E483" s="83">
        <v>9747705.0630478431</v>
      </c>
      <c r="F483" s="83">
        <v>5229033.6205799989</v>
      </c>
      <c r="G483" s="83">
        <v>5477256.0729158688</v>
      </c>
      <c r="H483" s="96">
        <v>0.23360706880297633</v>
      </c>
      <c r="I483" s="96">
        <v>4.747004329039628E-2</v>
      </c>
      <c r="J483" s="96">
        <v>0.15948249530323766</v>
      </c>
    </row>
    <row r="484" spans="1:10" x14ac:dyDescent="0.25">
      <c r="A484" s="94" t="s">
        <v>25</v>
      </c>
      <c r="B484" s="83">
        <v>0</v>
      </c>
      <c r="C484" s="83">
        <v>0</v>
      </c>
      <c r="D484" s="83">
        <v>7901790.8615799984</v>
      </c>
      <c r="E484" s="83">
        <v>9747705.0630478431</v>
      </c>
      <c r="F484" s="83">
        <v>5229033.6205799989</v>
      </c>
      <c r="G484" s="83">
        <v>5477256.0729158688</v>
      </c>
      <c r="H484" s="96">
        <v>0.23360706880297633</v>
      </c>
      <c r="I484" s="96">
        <v>4.747004329039628E-2</v>
      </c>
      <c r="J484" s="96">
        <v>0.15948249530323766</v>
      </c>
    </row>
    <row r="485" spans="1:10" x14ac:dyDescent="0.25">
      <c r="A485" s="95">
        <v>44409</v>
      </c>
      <c r="B485" s="83">
        <v>0</v>
      </c>
      <c r="C485" s="83">
        <v>0</v>
      </c>
      <c r="D485" s="83">
        <v>511664.29668999999</v>
      </c>
      <c r="E485" s="83">
        <v>631192.6932508871</v>
      </c>
      <c r="F485" s="83">
        <v>338595.37118999998</v>
      </c>
      <c r="G485" s="83">
        <v>354668.508118317</v>
      </c>
      <c r="H485" s="96">
        <v>0.23360706880297588</v>
      </c>
      <c r="I485" s="96">
        <v>4.7470043290396058E-2</v>
      </c>
      <c r="J485" s="96">
        <v>0.15948249530323722</v>
      </c>
    </row>
    <row r="486" spans="1:10" x14ac:dyDescent="0.25">
      <c r="A486" s="95">
        <v>44440</v>
      </c>
      <c r="B486" s="83">
        <v>0</v>
      </c>
      <c r="C486" s="83">
        <v>0</v>
      </c>
      <c r="D486" s="83">
        <v>574742.25008999999</v>
      </c>
      <c r="E486" s="83">
        <v>709006.1024507517</v>
      </c>
      <c r="F486" s="83">
        <v>380337.39458999998</v>
      </c>
      <c r="G486" s="83">
        <v>398392.02717614366</v>
      </c>
      <c r="H486" s="96">
        <v>0.23360706880297566</v>
      </c>
      <c r="I486" s="96">
        <v>4.7470043290395836E-2</v>
      </c>
      <c r="J486" s="96">
        <v>0.15948249530323699</v>
      </c>
    </row>
    <row r="487" spans="1:10" x14ac:dyDescent="0.25">
      <c r="A487" s="95">
        <v>44470</v>
      </c>
      <c r="B487" s="83">
        <v>0</v>
      </c>
      <c r="C487" s="83">
        <v>0</v>
      </c>
      <c r="D487" s="83">
        <v>545373.46100000001</v>
      </c>
      <c r="E487" s="83">
        <v>672776.55662714411</v>
      </c>
      <c r="F487" s="83">
        <v>360902.511</v>
      </c>
      <c r="G487" s="83">
        <v>378034.56882078259</v>
      </c>
      <c r="H487" s="96">
        <v>0.23360706880297588</v>
      </c>
      <c r="I487" s="96">
        <v>4.7470043290395836E-2</v>
      </c>
      <c r="J487" s="96">
        <v>0.15948249530323699</v>
      </c>
    </row>
    <row r="488" spans="1:10" x14ac:dyDescent="0.25">
      <c r="A488" s="95">
        <v>44501</v>
      </c>
      <c r="B488" s="83">
        <v>0</v>
      </c>
      <c r="C488" s="83">
        <v>0</v>
      </c>
      <c r="D488" s="83">
        <v>667079.31533999997</v>
      </c>
      <c r="E488" s="83">
        <v>822913.75885567337</v>
      </c>
      <c r="F488" s="83">
        <v>441441.72233999998</v>
      </c>
      <c r="G488" s="83">
        <v>462396.9800096667</v>
      </c>
      <c r="H488" s="96">
        <v>0.23360706880297588</v>
      </c>
      <c r="I488" s="96">
        <v>4.7470043290395836E-2</v>
      </c>
      <c r="J488" s="96">
        <v>0.15948249530323699</v>
      </c>
    </row>
    <row r="489" spans="1:10" x14ac:dyDescent="0.25">
      <c r="A489" s="95">
        <v>44531</v>
      </c>
      <c r="B489" s="83">
        <v>0</v>
      </c>
      <c r="C489" s="83">
        <v>0</v>
      </c>
      <c r="D489" s="83">
        <v>669506.77055000002</v>
      </c>
      <c r="E489" s="83">
        <v>825908.2847619321</v>
      </c>
      <c r="F489" s="83">
        <v>443048.09804999997</v>
      </c>
      <c r="G489" s="83">
        <v>464079.61044416111</v>
      </c>
      <c r="H489" s="96">
        <v>0.23360706880297588</v>
      </c>
      <c r="I489" s="96">
        <v>4.7470043290396058E-2</v>
      </c>
      <c r="J489" s="96">
        <v>0.15948249530323744</v>
      </c>
    </row>
    <row r="490" spans="1:10" x14ac:dyDescent="0.25">
      <c r="A490" s="95">
        <v>44562</v>
      </c>
      <c r="B490" s="83">
        <v>0</v>
      </c>
      <c r="C490" s="83">
        <v>0</v>
      </c>
      <c r="D490" s="83">
        <v>821784.47852000012</v>
      </c>
      <c r="E490" s="83">
        <v>1013759.1417348394</v>
      </c>
      <c r="F490" s="83">
        <v>543818.32452000002</v>
      </c>
      <c r="G490" s="83">
        <v>569633.40392707498</v>
      </c>
      <c r="H490" s="96">
        <v>0.23360706880297588</v>
      </c>
      <c r="I490" s="96">
        <v>4.7470043290395836E-2</v>
      </c>
      <c r="J490" s="96">
        <v>0.15948249530323722</v>
      </c>
    </row>
    <row r="491" spans="1:10" x14ac:dyDescent="0.25">
      <c r="A491" s="95">
        <v>44593</v>
      </c>
      <c r="B491" s="83">
        <v>0</v>
      </c>
      <c r="C491" s="83">
        <v>0</v>
      </c>
      <c r="D491" s="83">
        <v>854387.05363999994</v>
      </c>
      <c r="E491" s="83">
        <v>1053977.9088640513</v>
      </c>
      <c r="F491" s="83">
        <v>565393.17563999991</v>
      </c>
      <c r="G491" s="83">
        <v>592232.41416372522</v>
      </c>
      <c r="H491" s="96">
        <v>0.23360706880297588</v>
      </c>
      <c r="I491" s="96">
        <v>4.7470043290396058E-2</v>
      </c>
      <c r="J491" s="96">
        <v>0.15948249530323722</v>
      </c>
    </row>
    <row r="492" spans="1:10" x14ac:dyDescent="0.25">
      <c r="A492" s="95">
        <v>44621</v>
      </c>
      <c r="B492" s="83">
        <v>0</v>
      </c>
      <c r="C492" s="83">
        <v>0</v>
      </c>
      <c r="D492" s="83">
        <v>790308.80318999989</v>
      </c>
      <c r="E492" s="83">
        <v>974930.52615240379</v>
      </c>
      <c r="F492" s="83">
        <v>522989.20268999995</v>
      </c>
      <c r="G492" s="83">
        <v>547815.52278210386</v>
      </c>
      <c r="H492" s="96">
        <v>0.23360706880297588</v>
      </c>
      <c r="I492" s="96">
        <v>4.7470043290395836E-2</v>
      </c>
      <c r="J492" s="96">
        <v>0.15948249530323722</v>
      </c>
    </row>
    <row r="493" spans="1:10" x14ac:dyDescent="0.25">
      <c r="A493" s="95">
        <v>44652</v>
      </c>
      <c r="B493" s="83">
        <v>0</v>
      </c>
      <c r="C493" s="83">
        <v>0</v>
      </c>
      <c r="D493" s="83">
        <v>718559.91613999999</v>
      </c>
      <c r="E493" s="83">
        <v>886420.5919087776</v>
      </c>
      <c r="F493" s="83">
        <v>475509.16314000002</v>
      </c>
      <c r="G493" s="83">
        <v>498081.60369923571</v>
      </c>
      <c r="H493" s="96">
        <v>0.23360706880297588</v>
      </c>
      <c r="I493" s="96">
        <v>4.7470043290395836E-2</v>
      </c>
      <c r="J493" s="96">
        <v>0.15948249530323722</v>
      </c>
    </row>
    <row r="494" spans="1:10" x14ac:dyDescent="0.25">
      <c r="A494" s="95">
        <v>44682</v>
      </c>
      <c r="B494" s="83">
        <v>0</v>
      </c>
      <c r="C494" s="83">
        <v>0</v>
      </c>
      <c r="D494" s="83">
        <v>611957.70097999997</v>
      </c>
      <c r="E494" s="83">
        <v>754915.34573734575</v>
      </c>
      <c r="F494" s="83">
        <v>404964.82998000004</v>
      </c>
      <c r="G494" s="83">
        <v>424188.52799023845</v>
      </c>
      <c r="H494" s="96">
        <v>0.23360706880297588</v>
      </c>
      <c r="I494" s="96">
        <v>4.7470043290395836E-2</v>
      </c>
      <c r="J494" s="96">
        <v>0.15948249530323722</v>
      </c>
    </row>
    <row r="495" spans="1:10" x14ac:dyDescent="0.25">
      <c r="A495" s="95">
        <v>44713</v>
      </c>
      <c r="B495" s="83">
        <v>0</v>
      </c>
      <c r="C495" s="83">
        <v>0</v>
      </c>
      <c r="D495" s="83">
        <v>568213.4077199999</v>
      </c>
      <c r="E495" s="83">
        <v>700952.07635201945</v>
      </c>
      <c r="F495" s="83">
        <v>376016.91371999995</v>
      </c>
      <c r="G495" s="83">
        <v>393866.45289220946</v>
      </c>
      <c r="H495" s="96">
        <v>0.2336070688029761</v>
      </c>
      <c r="I495" s="96">
        <v>4.7470043290396058E-2</v>
      </c>
      <c r="J495" s="96">
        <v>0.15948249530323744</v>
      </c>
    </row>
    <row r="496" spans="1:10" x14ac:dyDescent="0.25">
      <c r="A496" s="95">
        <v>44743</v>
      </c>
      <c r="B496" s="83">
        <v>0</v>
      </c>
      <c r="C496" s="83">
        <v>0</v>
      </c>
      <c r="D496" s="83">
        <v>568213.4077199999</v>
      </c>
      <c r="E496" s="83">
        <v>700952.07635201945</v>
      </c>
      <c r="F496" s="83">
        <v>376016.91371999995</v>
      </c>
      <c r="G496" s="83">
        <v>393866.45289220946</v>
      </c>
      <c r="H496" s="96">
        <v>0.2336070688029761</v>
      </c>
      <c r="I496" s="96">
        <v>4.7470043290396058E-2</v>
      </c>
      <c r="J496" s="96">
        <v>0.15948249530323744</v>
      </c>
    </row>
    <row r="497" spans="1:10" x14ac:dyDescent="0.25">
      <c r="A497" s="90" t="s">
        <v>49</v>
      </c>
      <c r="B497" s="83">
        <v>0</v>
      </c>
      <c r="C497" s="83">
        <v>0</v>
      </c>
      <c r="D497" s="83">
        <v>30360.623390000001</v>
      </c>
      <c r="E497" s="83">
        <v>37453.079627168961</v>
      </c>
      <c r="F497" s="83">
        <v>20091.232889999996</v>
      </c>
      <c r="G497" s="83">
        <v>21044.964585045724</v>
      </c>
      <c r="H497" s="96">
        <v>0.23360706880297566</v>
      </c>
      <c r="I497" s="96">
        <v>4.7470043290396058E-2</v>
      </c>
      <c r="J497" s="96">
        <v>0.15948249530323722</v>
      </c>
    </row>
    <row r="498" spans="1:10" x14ac:dyDescent="0.25">
      <c r="A498" s="91" t="s">
        <v>25</v>
      </c>
      <c r="B498" s="83">
        <v>0</v>
      </c>
      <c r="C498" s="83">
        <v>0</v>
      </c>
      <c r="D498" s="83">
        <v>30360.623390000001</v>
      </c>
      <c r="E498" s="83">
        <v>37453.079627168961</v>
      </c>
      <c r="F498" s="83">
        <v>20091.232889999996</v>
      </c>
      <c r="G498" s="83">
        <v>21044.964585045724</v>
      </c>
      <c r="H498" s="96">
        <v>0.23360706880297566</v>
      </c>
      <c r="I498" s="96">
        <v>4.7470043290396058E-2</v>
      </c>
      <c r="J498" s="96">
        <v>0.15948249530323722</v>
      </c>
    </row>
    <row r="499" spans="1:10" x14ac:dyDescent="0.25">
      <c r="A499" s="92" t="s">
        <v>25</v>
      </c>
      <c r="B499" s="83">
        <v>0</v>
      </c>
      <c r="C499" s="83">
        <v>0</v>
      </c>
      <c r="D499" s="83">
        <v>30360.623390000001</v>
      </c>
      <c r="E499" s="83">
        <v>37453.079627168961</v>
      </c>
      <c r="F499" s="83">
        <v>20091.232889999996</v>
      </c>
      <c r="G499" s="83">
        <v>21044.964585045724</v>
      </c>
      <c r="H499" s="96">
        <v>0.23360706880297566</v>
      </c>
      <c r="I499" s="96">
        <v>4.7470043290396058E-2</v>
      </c>
      <c r="J499" s="96">
        <v>0.15948249530323722</v>
      </c>
    </row>
    <row r="500" spans="1:10" x14ac:dyDescent="0.25">
      <c r="A500" s="93" t="s">
        <v>25</v>
      </c>
      <c r="B500" s="83">
        <v>0</v>
      </c>
      <c r="C500" s="83">
        <v>0</v>
      </c>
      <c r="D500" s="83">
        <v>30360.623390000001</v>
      </c>
      <c r="E500" s="83">
        <v>37453.079627168961</v>
      </c>
      <c r="F500" s="83">
        <v>20091.232889999996</v>
      </c>
      <c r="G500" s="83">
        <v>21044.964585045724</v>
      </c>
      <c r="H500" s="96">
        <v>0.23360706880297566</v>
      </c>
      <c r="I500" s="96">
        <v>4.7470043290396058E-2</v>
      </c>
      <c r="J500" s="96">
        <v>0.15948249530323722</v>
      </c>
    </row>
    <row r="501" spans="1:10" x14ac:dyDescent="0.25">
      <c r="A501" s="94" t="s">
        <v>25</v>
      </c>
      <c r="B501" s="83">
        <v>0</v>
      </c>
      <c r="C501" s="83">
        <v>0</v>
      </c>
      <c r="D501" s="83">
        <v>30360.623390000001</v>
      </c>
      <c r="E501" s="83">
        <v>37453.079627168961</v>
      </c>
      <c r="F501" s="83">
        <v>20091.232889999996</v>
      </c>
      <c r="G501" s="83">
        <v>21044.964585045724</v>
      </c>
      <c r="H501" s="96">
        <v>0.23360706880297566</v>
      </c>
      <c r="I501" s="96">
        <v>4.7470043290396058E-2</v>
      </c>
      <c r="J501" s="96">
        <v>0.15948249530323722</v>
      </c>
    </row>
    <row r="502" spans="1:10" x14ac:dyDescent="0.25">
      <c r="A502" s="95">
        <v>44409</v>
      </c>
      <c r="B502" s="83">
        <v>0</v>
      </c>
      <c r="C502" s="83">
        <v>0</v>
      </c>
      <c r="D502" s="83">
        <v>1880.4230499999999</v>
      </c>
      <c r="E502" s="83">
        <v>2319.7031668200516</v>
      </c>
      <c r="F502" s="83">
        <v>1244.37555</v>
      </c>
      <c r="G502" s="83">
        <v>1303.4461112280101</v>
      </c>
      <c r="H502" s="96">
        <v>0.23360706880297588</v>
      </c>
      <c r="I502" s="96">
        <v>4.7470043290395836E-2</v>
      </c>
      <c r="J502" s="96">
        <v>0.15948249530323699</v>
      </c>
    </row>
    <row r="503" spans="1:10" x14ac:dyDescent="0.25">
      <c r="A503" s="95">
        <v>44440</v>
      </c>
      <c r="B503" s="83">
        <v>0</v>
      </c>
      <c r="C503" s="83">
        <v>0</v>
      </c>
      <c r="D503" s="83">
        <v>1928.4914699999999</v>
      </c>
      <c r="E503" s="83">
        <v>2379.0007095182423</v>
      </c>
      <c r="F503" s="83">
        <v>1276.18497</v>
      </c>
      <c r="G503" s="83">
        <v>1336.7655257724525</v>
      </c>
      <c r="H503" s="96">
        <v>0.2336070688029761</v>
      </c>
      <c r="I503" s="96">
        <v>4.7470043290395836E-2</v>
      </c>
      <c r="J503" s="96">
        <v>0.15948249530323699</v>
      </c>
    </row>
    <row r="504" spans="1:10" x14ac:dyDescent="0.25">
      <c r="A504" s="95">
        <v>44470</v>
      </c>
      <c r="B504" s="83">
        <v>0</v>
      </c>
      <c r="C504" s="83">
        <v>0</v>
      </c>
      <c r="D504" s="83">
        <v>1955.9107799999997</v>
      </c>
      <c r="E504" s="83">
        <v>2412.8253641559422</v>
      </c>
      <c r="F504" s="83">
        <v>1294.3297799999998</v>
      </c>
      <c r="G504" s="83">
        <v>1355.7716706886486</v>
      </c>
      <c r="H504" s="96">
        <v>0.2336070688029761</v>
      </c>
      <c r="I504" s="96">
        <v>4.7470043290396058E-2</v>
      </c>
      <c r="J504" s="96">
        <v>0.15948249530323744</v>
      </c>
    </row>
    <row r="505" spans="1:10" x14ac:dyDescent="0.25">
      <c r="A505" s="95">
        <v>44501</v>
      </c>
      <c r="B505" s="83">
        <v>0</v>
      </c>
      <c r="C505" s="83">
        <v>0</v>
      </c>
      <c r="D505" s="83">
        <v>2116.7030300000001</v>
      </c>
      <c r="E505" s="83">
        <v>2611.1798203646777</v>
      </c>
      <c r="F505" s="83">
        <v>1400.7345299999999</v>
      </c>
      <c r="G505" s="83">
        <v>1467.2274587774525</v>
      </c>
      <c r="H505" s="96">
        <v>0.23360706880297588</v>
      </c>
      <c r="I505" s="96">
        <v>4.7470043290396058E-2</v>
      </c>
      <c r="J505" s="96">
        <v>0.15948249530323722</v>
      </c>
    </row>
    <row r="506" spans="1:10" x14ac:dyDescent="0.25">
      <c r="A506" s="95">
        <v>44531</v>
      </c>
      <c r="B506" s="83">
        <v>0</v>
      </c>
      <c r="C506" s="83">
        <v>0</v>
      </c>
      <c r="D506" s="83">
        <v>2427.1167</v>
      </c>
      <c r="E506" s="83">
        <v>2994.108317929752</v>
      </c>
      <c r="F506" s="83">
        <v>1606.1516999999999</v>
      </c>
      <c r="G506" s="83">
        <v>1682.395790729943</v>
      </c>
      <c r="H506" s="96">
        <v>0.23360706880297588</v>
      </c>
      <c r="I506" s="96">
        <v>4.7470043290396058E-2</v>
      </c>
      <c r="J506" s="96">
        <v>0.15948249530323722</v>
      </c>
    </row>
    <row r="507" spans="1:10" x14ac:dyDescent="0.25">
      <c r="A507" s="95">
        <v>44562</v>
      </c>
      <c r="B507" s="83">
        <v>0</v>
      </c>
      <c r="C507" s="83">
        <v>0</v>
      </c>
      <c r="D507" s="83">
        <v>3420.6435500000002</v>
      </c>
      <c r="E507" s="83">
        <v>4219.7300631353064</v>
      </c>
      <c r="F507" s="83">
        <v>2263.6210500000002</v>
      </c>
      <c r="G507" s="83">
        <v>2371.0752392365516</v>
      </c>
      <c r="H507" s="96">
        <v>0.2336070688029761</v>
      </c>
      <c r="I507" s="96">
        <v>4.7470043290395836E-2</v>
      </c>
      <c r="J507" s="96">
        <v>0.15948249530323722</v>
      </c>
    </row>
    <row r="508" spans="1:10" x14ac:dyDescent="0.25">
      <c r="A508" s="95">
        <v>44593</v>
      </c>
      <c r="B508" s="83">
        <v>0</v>
      </c>
      <c r="C508" s="83">
        <v>0</v>
      </c>
      <c r="D508" s="83">
        <v>3892.5264900000002</v>
      </c>
      <c r="E508" s="83">
        <v>4801.8481935668369</v>
      </c>
      <c r="F508" s="83">
        <v>2575.8909899999999</v>
      </c>
      <c r="G508" s="83">
        <v>2698.1686468066409</v>
      </c>
      <c r="H508" s="96">
        <v>0.2336070688029761</v>
      </c>
      <c r="I508" s="96">
        <v>4.7470043290396058E-2</v>
      </c>
      <c r="J508" s="96">
        <v>0.15948249530323722</v>
      </c>
    </row>
    <row r="509" spans="1:10" x14ac:dyDescent="0.25">
      <c r="A509" s="95">
        <v>44621</v>
      </c>
      <c r="B509" s="83">
        <v>0</v>
      </c>
      <c r="C509" s="83">
        <v>0</v>
      </c>
      <c r="D509" s="83">
        <v>3798.0822000000003</v>
      </c>
      <c r="E509" s="83">
        <v>4685.3410498147587</v>
      </c>
      <c r="F509" s="83">
        <v>2513.3922000000002</v>
      </c>
      <c r="G509" s="83">
        <v>2632.7030365397436</v>
      </c>
      <c r="H509" s="96">
        <v>0.23360706880297588</v>
      </c>
      <c r="I509" s="96">
        <v>4.7470043290395836E-2</v>
      </c>
      <c r="J509" s="96">
        <v>0.15948249530323722</v>
      </c>
    </row>
    <row r="510" spans="1:10" x14ac:dyDescent="0.25">
      <c r="A510" s="95">
        <v>44652</v>
      </c>
      <c r="B510" s="83">
        <v>0</v>
      </c>
      <c r="C510" s="83">
        <v>0</v>
      </c>
      <c r="D510" s="83">
        <v>3168.4535999999998</v>
      </c>
      <c r="E510" s="83">
        <v>3908.6267581342363</v>
      </c>
      <c r="F510" s="83">
        <v>2096.7335999999996</v>
      </c>
      <c r="G510" s="83">
        <v>2196.2656347604275</v>
      </c>
      <c r="H510" s="96">
        <v>0.23360706880297588</v>
      </c>
      <c r="I510" s="96">
        <v>4.7470043290396058E-2</v>
      </c>
      <c r="J510" s="96">
        <v>0.15948249530323722</v>
      </c>
    </row>
    <row r="511" spans="1:10" x14ac:dyDescent="0.25">
      <c r="A511" s="95">
        <v>44682</v>
      </c>
      <c r="B511" s="83">
        <v>0</v>
      </c>
      <c r="C511" s="83">
        <v>0</v>
      </c>
      <c r="D511" s="83">
        <v>2134.6440600000001</v>
      </c>
      <c r="E511" s="83">
        <v>2633.3120017942838</v>
      </c>
      <c r="F511" s="83">
        <v>1412.60706</v>
      </c>
      <c r="G511" s="83">
        <v>1479.6635782905189</v>
      </c>
      <c r="H511" s="96">
        <v>0.23360706880297588</v>
      </c>
      <c r="I511" s="96">
        <v>4.7470043290395836E-2</v>
      </c>
      <c r="J511" s="96">
        <v>0.15948249530323722</v>
      </c>
    </row>
    <row r="512" spans="1:10" x14ac:dyDescent="0.25">
      <c r="A512" s="95">
        <v>44713</v>
      </c>
      <c r="B512" s="83">
        <v>0</v>
      </c>
      <c r="C512" s="83">
        <v>0</v>
      </c>
      <c r="D512" s="83">
        <v>1818.81423</v>
      </c>
      <c r="E512" s="83">
        <v>2243.7020909674416</v>
      </c>
      <c r="F512" s="83">
        <v>1203.60573</v>
      </c>
      <c r="G512" s="83">
        <v>1260.7409461076686</v>
      </c>
      <c r="H512" s="96">
        <v>0.23360706880297588</v>
      </c>
      <c r="I512" s="96">
        <v>4.7470043290395836E-2</v>
      </c>
      <c r="J512" s="96">
        <v>0.15948249530323699</v>
      </c>
    </row>
    <row r="513" spans="1:10" x14ac:dyDescent="0.25">
      <c r="A513" s="95">
        <v>44743</v>
      </c>
      <c r="B513" s="83">
        <v>0</v>
      </c>
      <c r="C513" s="83">
        <v>0</v>
      </c>
      <c r="D513" s="83">
        <v>1818.81423</v>
      </c>
      <c r="E513" s="83">
        <v>2243.7020909674416</v>
      </c>
      <c r="F513" s="83">
        <v>1203.60573</v>
      </c>
      <c r="G513" s="83">
        <v>1260.7409461076686</v>
      </c>
      <c r="H513" s="96">
        <v>0.23360706880297588</v>
      </c>
      <c r="I513" s="96">
        <v>4.7470043290395836E-2</v>
      </c>
      <c r="J513" s="96">
        <v>0.15948249530323699</v>
      </c>
    </row>
    <row r="514" spans="1:10" x14ac:dyDescent="0.25">
      <c r="A514" s="90" t="s">
        <v>34</v>
      </c>
      <c r="B514" s="83">
        <v>0</v>
      </c>
      <c r="C514" s="83">
        <v>0</v>
      </c>
      <c r="D514" s="83">
        <v>1193654.3005099997</v>
      </c>
      <c r="E514" s="83">
        <v>1472500.3828162078</v>
      </c>
      <c r="F514" s="83">
        <v>789904.28601000004</v>
      </c>
      <c r="G514" s="83">
        <v>827401.07666216407</v>
      </c>
      <c r="H514" s="96">
        <v>0.23360706880297588</v>
      </c>
      <c r="I514" s="96">
        <v>4.7470043290396058E-2</v>
      </c>
      <c r="J514" s="96">
        <v>0.15948249530323722</v>
      </c>
    </row>
    <row r="515" spans="1:10" x14ac:dyDescent="0.25">
      <c r="A515" s="91" t="s">
        <v>25</v>
      </c>
      <c r="B515" s="83">
        <v>0</v>
      </c>
      <c r="C515" s="83">
        <v>0</v>
      </c>
      <c r="D515" s="83">
        <v>1193654.3005099997</v>
      </c>
      <c r="E515" s="83">
        <v>1472500.3828162078</v>
      </c>
      <c r="F515" s="83">
        <v>789904.28601000004</v>
      </c>
      <c r="G515" s="83">
        <v>827401.07666216407</v>
      </c>
      <c r="H515" s="96">
        <v>0.23360706880297588</v>
      </c>
      <c r="I515" s="96">
        <v>4.7470043290396058E-2</v>
      </c>
      <c r="J515" s="96">
        <v>0.15948249530323722</v>
      </c>
    </row>
    <row r="516" spans="1:10" x14ac:dyDescent="0.25">
      <c r="A516" s="92" t="s">
        <v>25</v>
      </c>
      <c r="B516" s="83">
        <v>0</v>
      </c>
      <c r="C516" s="83">
        <v>0</v>
      </c>
      <c r="D516" s="83">
        <v>1193654.3005099997</v>
      </c>
      <c r="E516" s="83">
        <v>1472500.3828162078</v>
      </c>
      <c r="F516" s="83">
        <v>789904.28601000004</v>
      </c>
      <c r="G516" s="83">
        <v>827401.07666216407</v>
      </c>
      <c r="H516" s="96">
        <v>0.23360706880297588</v>
      </c>
      <c r="I516" s="96">
        <v>4.7470043290396058E-2</v>
      </c>
      <c r="J516" s="96">
        <v>0.15948249530323722</v>
      </c>
    </row>
    <row r="517" spans="1:10" x14ac:dyDescent="0.25">
      <c r="A517" s="93" t="s">
        <v>25</v>
      </c>
      <c r="B517" s="83">
        <v>0</v>
      </c>
      <c r="C517" s="83">
        <v>0</v>
      </c>
      <c r="D517" s="83">
        <v>1193654.3005099997</v>
      </c>
      <c r="E517" s="83">
        <v>1472500.3828162078</v>
      </c>
      <c r="F517" s="83">
        <v>789904.28601000004</v>
      </c>
      <c r="G517" s="83">
        <v>827401.07666216407</v>
      </c>
      <c r="H517" s="96">
        <v>0.23360706880297588</v>
      </c>
      <c r="I517" s="96">
        <v>4.7470043290396058E-2</v>
      </c>
      <c r="J517" s="96">
        <v>0.15948249530323722</v>
      </c>
    </row>
    <row r="518" spans="1:10" x14ac:dyDescent="0.25">
      <c r="A518" s="94" t="s">
        <v>25</v>
      </c>
      <c r="B518" s="83">
        <v>0</v>
      </c>
      <c r="C518" s="83">
        <v>0</v>
      </c>
      <c r="D518" s="83">
        <v>1193654.3005099997</v>
      </c>
      <c r="E518" s="83">
        <v>1472500.3828162078</v>
      </c>
      <c r="F518" s="83">
        <v>789904.28601000004</v>
      </c>
      <c r="G518" s="83">
        <v>827401.07666216407</v>
      </c>
      <c r="H518" s="96">
        <v>0.23360706880297588</v>
      </c>
      <c r="I518" s="96">
        <v>4.7470043290396058E-2</v>
      </c>
      <c r="J518" s="96">
        <v>0.15948249530323722</v>
      </c>
    </row>
    <row r="519" spans="1:10" x14ac:dyDescent="0.25">
      <c r="A519" s="95">
        <v>44409</v>
      </c>
      <c r="B519" s="83">
        <v>0</v>
      </c>
      <c r="C519" s="83">
        <v>0</v>
      </c>
      <c r="D519" s="83">
        <v>103826.43315999999</v>
      </c>
      <c r="E519" s="83">
        <v>128081.02187477569</v>
      </c>
      <c r="F519" s="83">
        <v>68707.451159999997</v>
      </c>
      <c r="G519" s="83">
        <v>71968.996840937965</v>
      </c>
      <c r="H519" s="96">
        <v>0.23360706880297588</v>
      </c>
      <c r="I519" s="96">
        <v>4.7470043290396058E-2</v>
      </c>
      <c r="J519" s="96">
        <v>0.15948249530323722</v>
      </c>
    </row>
    <row r="520" spans="1:10" x14ac:dyDescent="0.25">
      <c r="A520" s="95">
        <v>44440</v>
      </c>
      <c r="B520" s="83">
        <v>0</v>
      </c>
      <c r="C520" s="83">
        <v>0</v>
      </c>
      <c r="D520" s="83">
        <v>112275.64275999999</v>
      </c>
      <c r="E520" s="83">
        <v>138504.02656313364</v>
      </c>
      <c r="F520" s="83">
        <v>74298.740759999986</v>
      </c>
      <c r="G520" s="83">
        <v>77825.705200299097</v>
      </c>
      <c r="H520" s="96">
        <v>0.23360706880297588</v>
      </c>
      <c r="I520" s="96">
        <v>4.7470043290396058E-2</v>
      </c>
      <c r="J520" s="96">
        <v>0.15948249530323722</v>
      </c>
    </row>
    <row r="521" spans="1:10" x14ac:dyDescent="0.25">
      <c r="A521" s="95">
        <v>44470</v>
      </c>
      <c r="B521" s="83">
        <v>0</v>
      </c>
      <c r="C521" s="83">
        <v>0</v>
      </c>
      <c r="D521" s="83">
        <v>102744.89371</v>
      </c>
      <c r="E521" s="83">
        <v>126746.82716406642</v>
      </c>
      <c r="F521" s="83">
        <v>67991.73921</v>
      </c>
      <c r="G521" s="83">
        <v>71219.310013688009</v>
      </c>
      <c r="H521" s="96">
        <v>0.23360706880297588</v>
      </c>
      <c r="I521" s="96">
        <v>4.7470043290395836E-2</v>
      </c>
      <c r="J521" s="96">
        <v>0.15948249530323722</v>
      </c>
    </row>
    <row r="522" spans="1:10" x14ac:dyDescent="0.25">
      <c r="A522" s="95">
        <v>44501</v>
      </c>
      <c r="B522" s="83">
        <v>0</v>
      </c>
      <c r="C522" s="83">
        <v>0</v>
      </c>
      <c r="D522" s="83">
        <v>103951.34335000001</v>
      </c>
      <c r="E522" s="83">
        <v>128235.11196812523</v>
      </c>
      <c r="F522" s="83">
        <v>68790.110849999997</v>
      </c>
      <c r="G522" s="83">
        <v>72055.580390000643</v>
      </c>
      <c r="H522" s="96">
        <v>0.23360706880297588</v>
      </c>
      <c r="I522" s="96">
        <v>4.7470043290396058E-2</v>
      </c>
      <c r="J522" s="96">
        <v>0.15948249530323722</v>
      </c>
    </row>
    <row r="523" spans="1:10" x14ac:dyDescent="0.25">
      <c r="A523" s="95">
        <v>44531</v>
      </c>
      <c r="B523" s="83">
        <v>0</v>
      </c>
      <c r="C523" s="83">
        <v>0</v>
      </c>
      <c r="D523" s="83">
        <v>98444.124160000007</v>
      </c>
      <c r="E523" s="83">
        <v>121441.36744589383</v>
      </c>
      <c r="F523" s="83">
        <v>65145.692160000006</v>
      </c>
      <c r="G523" s="83">
        <v>68238.160987018011</v>
      </c>
      <c r="H523" s="96">
        <v>0.23360706880297588</v>
      </c>
      <c r="I523" s="96">
        <v>4.7470043290395836E-2</v>
      </c>
      <c r="J523" s="96">
        <v>0.15948249530323722</v>
      </c>
    </row>
    <row r="524" spans="1:10" x14ac:dyDescent="0.25">
      <c r="A524" s="95">
        <v>44562</v>
      </c>
      <c r="B524" s="83">
        <v>0</v>
      </c>
      <c r="C524" s="83">
        <v>0</v>
      </c>
      <c r="D524" s="83">
        <v>89892.346030000001</v>
      </c>
      <c r="E524" s="83">
        <v>110891.83349389113</v>
      </c>
      <c r="F524" s="83">
        <v>59486.527529999999</v>
      </c>
      <c r="G524" s="83">
        <v>62310.355567044433</v>
      </c>
      <c r="H524" s="96">
        <v>0.23360706880297588</v>
      </c>
      <c r="I524" s="96">
        <v>4.7470043290396058E-2</v>
      </c>
      <c r="J524" s="96">
        <v>0.15948249530323722</v>
      </c>
    </row>
    <row r="525" spans="1:10" x14ac:dyDescent="0.25">
      <c r="A525" s="95">
        <v>44593</v>
      </c>
      <c r="B525" s="83">
        <v>0</v>
      </c>
      <c r="C525" s="83">
        <v>0</v>
      </c>
      <c r="D525" s="83">
        <v>106689.88924999999</v>
      </c>
      <c r="E525" s="83">
        <v>131613.40154860663</v>
      </c>
      <c r="F525" s="83">
        <v>70602.351750000002</v>
      </c>
      <c r="G525" s="83">
        <v>73953.848443976269</v>
      </c>
      <c r="H525" s="96">
        <v>0.2336070688029761</v>
      </c>
      <c r="I525" s="96">
        <v>4.7470043290396058E-2</v>
      </c>
      <c r="J525" s="96">
        <v>0.15948249530323722</v>
      </c>
    </row>
    <row r="526" spans="1:10" x14ac:dyDescent="0.25">
      <c r="A526" s="95">
        <v>44621</v>
      </c>
      <c r="B526" s="83">
        <v>0</v>
      </c>
      <c r="C526" s="83">
        <v>0</v>
      </c>
      <c r="D526" s="83">
        <v>103177.848</v>
      </c>
      <c r="E526" s="83">
        <v>127280.922636679</v>
      </c>
      <c r="F526" s="83">
        <v>68278.248000000007</v>
      </c>
      <c r="G526" s="83">
        <v>71519.419388352399</v>
      </c>
      <c r="H526" s="96">
        <v>0.23360706880297588</v>
      </c>
      <c r="I526" s="96">
        <v>4.7470043290396058E-2</v>
      </c>
      <c r="J526" s="96">
        <v>0.15948249530323722</v>
      </c>
    </row>
    <row r="527" spans="1:10" x14ac:dyDescent="0.25">
      <c r="A527" s="95">
        <v>44652</v>
      </c>
      <c r="B527" s="83">
        <v>0</v>
      </c>
      <c r="C527" s="83">
        <v>0</v>
      </c>
      <c r="D527" s="83">
        <v>99638.387440000006</v>
      </c>
      <c r="E527" s="83">
        <v>122914.61907011365</v>
      </c>
      <c r="F527" s="83">
        <v>65935.99944</v>
      </c>
      <c r="G527" s="83">
        <v>69065.984187812326</v>
      </c>
      <c r="H527" s="96">
        <v>0.23360706880297588</v>
      </c>
      <c r="I527" s="96">
        <v>4.7470043290396058E-2</v>
      </c>
      <c r="J527" s="96">
        <v>0.15948249530323722</v>
      </c>
    </row>
    <row r="528" spans="1:10" x14ac:dyDescent="0.25">
      <c r="A528" s="95">
        <v>44682</v>
      </c>
      <c r="B528" s="83">
        <v>0</v>
      </c>
      <c r="C528" s="83">
        <v>0</v>
      </c>
      <c r="D528" s="83">
        <v>96370.073390000005</v>
      </c>
      <c r="E528" s="83">
        <v>118882.80375496559</v>
      </c>
      <c r="F528" s="83">
        <v>63773.182890000004</v>
      </c>
      <c r="G528" s="83">
        <v>66800.498642554638</v>
      </c>
      <c r="H528" s="96">
        <v>0.2336070688029761</v>
      </c>
      <c r="I528" s="96">
        <v>4.7470043290395836E-2</v>
      </c>
      <c r="J528" s="96">
        <v>0.15948249530323722</v>
      </c>
    </row>
    <row r="529" spans="1:10" x14ac:dyDescent="0.25">
      <c r="A529" s="95">
        <v>44713</v>
      </c>
      <c r="B529" s="83">
        <v>0</v>
      </c>
      <c r="C529" s="83">
        <v>0</v>
      </c>
      <c r="D529" s="83">
        <v>88321.659629999995</v>
      </c>
      <c r="E529" s="83">
        <v>108954.22364797843</v>
      </c>
      <c r="F529" s="83">
        <v>58447.12113</v>
      </c>
      <c r="G529" s="83">
        <v>61221.608500240116</v>
      </c>
      <c r="H529" s="96">
        <v>0.2336070688029761</v>
      </c>
      <c r="I529" s="96">
        <v>4.7470043290396058E-2</v>
      </c>
      <c r="J529" s="96">
        <v>0.15948249530323722</v>
      </c>
    </row>
    <row r="530" spans="1:10" x14ac:dyDescent="0.25">
      <c r="A530" s="95">
        <v>44743</v>
      </c>
      <c r="B530" s="83">
        <v>0</v>
      </c>
      <c r="C530" s="83">
        <v>0</v>
      </c>
      <c r="D530" s="83">
        <v>88321.659629999995</v>
      </c>
      <c r="E530" s="83">
        <v>108954.22364797843</v>
      </c>
      <c r="F530" s="83">
        <v>58447.12113</v>
      </c>
      <c r="G530" s="83">
        <v>61221.608500240116</v>
      </c>
      <c r="H530" s="96">
        <v>0.2336070688029761</v>
      </c>
      <c r="I530" s="96">
        <v>4.7470043290396058E-2</v>
      </c>
      <c r="J530" s="96">
        <v>0.15948249530323722</v>
      </c>
    </row>
    <row r="531" spans="1:10" x14ac:dyDescent="0.25">
      <c r="A531" s="90" t="s">
        <v>43</v>
      </c>
      <c r="B531" s="83">
        <v>0</v>
      </c>
      <c r="C531" s="83">
        <v>0</v>
      </c>
      <c r="D531" s="83">
        <v>549659.33611000003</v>
      </c>
      <c r="E531" s="83">
        <v>678063.64245884691</v>
      </c>
      <c r="F531" s="83">
        <v>363738.70160999999</v>
      </c>
      <c r="G531" s="83">
        <v>381005.39352181909</v>
      </c>
      <c r="H531" s="96">
        <v>0.23360706880297588</v>
      </c>
      <c r="I531" s="96">
        <v>4.7470043290395836E-2</v>
      </c>
      <c r="J531" s="96">
        <v>0.15948249530323722</v>
      </c>
    </row>
    <row r="532" spans="1:10" x14ac:dyDescent="0.25">
      <c r="A532" s="91" t="s">
        <v>25</v>
      </c>
      <c r="B532" s="83">
        <v>0</v>
      </c>
      <c r="C532" s="83">
        <v>0</v>
      </c>
      <c r="D532" s="83">
        <v>549659.33611000003</v>
      </c>
      <c r="E532" s="83">
        <v>678063.64245884691</v>
      </c>
      <c r="F532" s="83">
        <v>363738.70160999999</v>
      </c>
      <c r="G532" s="83">
        <v>381005.39352181909</v>
      </c>
      <c r="H532" s="96">
        <v>0.23360706880297588</v>
      </c>
      <c r="I532" s="96">
        <v>4.7470043290395836E-2</v>
      </c>
      <c r="J532" s="96">
        <v>0.15948249530323722</v>
      </c>
    </row>
    <row r="533" spans="1:10" x14ac:dyDescent="0.25">
      <c r="A533" s="92" t="s">
        <v>25</v>
      </c>
      <c r="B533" s="83">
        <v>0</v>
      </c>
      <c r="C533" s="83">
        <v>0</v>
      </c>
      <c r="D533" s="83">
        <v>549659.33611000003</v>
      </c>
      <c r="E533" s="83">
        <v>678063.64245884691</v>
      </c>
      <c r="F533" s="83">
        <v>363738.70160999999</v>
      </c>
      <c r="G533" s="83">
        <v>381005.39352181909</v>
      </c>
      <c r="H533" s="96">
        <v>0.23360706880297588</v>
      </c>
      <c r="I533" s="96">
        <v>4.7470043290395836E-2</v>
      </c>
      <c r="J533" s="96">
        <v>0.15948249530323722</v>
      </c>
    </row>
    <row r="534" spans="1:10" x14ac:dyDescent="0.25">
      <c r="A534" s="93" t="s">
        <v>25</v>
      </c>
      <c r="B534" s="83">
        <v>0</v>
      </c>
      <c r="C534" s="83">
        <v>0</v>
      </c>
      <c r="D534" s="83">
        <v>549659.33611000003</v>
      </c>
      <c r="E534" s="83">
        <v>678063.64245884691</v>
      </c>
      <c r="F534" s="83">
        <v>363738.70160999999</v>
      </c>
      <c r="G534" s="83">
        <v>381005.39352181909</v>
      </c>
      <c r="H534" s="96">
        <v>0.23360706880297588</v>
      </c>
      <c r="I534" s="96">
        <v>4.7470043290395836E-2</v>
      </c>
      <c r="J534" s="96">
        <v>0.15948249530323722</v>
      </c>
    </row>
    <row r="535" spans="1:10" x14ac:dyDescent="0.25">
      <c r="A535" s="94" t="s">
        <v>25</v>
      </c>
      <c r="B535" s="83">
        <v>0</v>
      </c>
      <c r="C535" s="83">
        <v>0</v>
      </c>
      <c r="D535" s="83">
        <v>549659.33611000003</v>
      </c>
      <c r="E535" s="83">
        <v>678063.64245884691</v>
      </c>
      <c r="F535" s="83">
        <v>363738.70160999999</v>
      </c>
      <c r="G535" s="83">
        <v>381005.39352181909</v>
      </c>
      <c r="H535" s="96">
        <v>0.23360706880297588</v>
      </c>
      <c r="I535" s="96">
        <v>4.7470043290395836E-2</v>
      </c>
      <c r="J535" s="96">
        <v>0.15948249530323722</v>
      </c>
    </row>
    <row r="536" spans="1:10" x14ac:dyDescent="0.25">
      <c r="A536" s="95">
        <v>44409</v>
      </c>
      <c r="B536" s="83">
        <v>0</v>
      </c>
      <c r="C536" s="83">
        <v>0</v>
      </c>
      <c r="D536" s="83">
        <v>30773.267079999998</v>
      </c>
      <c r="E536" s="83">
        <v>37962.119800049913</v>
      </c>
      <c r="F536" s="83">
        <v>20364.301079999997</v>
      </c>
      <c r="G536" s="83">
        <v>21330.995333846255</v>
      </c>
      <c r="H536" s="96">
        <v>0.2336070688029761</v>
      </c>
      <c r="I536" s="96">
        <v>4.7470043290396058E-2</v>
      </c>
      <c r="J536" s="96">
        <v>0.15948249530323722</v>
      </c>
    </row>
    <row r="537" spans="1:10" x14ac:dyDescent="0.25">
      <c r="A537" s="95">
        <v>44440</v>
      </c>
      <c r="B537" s="83">
        <v>0</v>
      </c>
      <c r="C537" s="83">
        <v>0</v>
      </c>
      <c r="D537" s="83">
        <v>36776.403419999995</v>
      </c>
      <c r="E537" s="83">
        <v>45367.631224061937</v>
      </c>
      <c r="F537" s="83">
        <v>24336.894419999997</v>
      </c>
      <c r="G537" s="83">
        <v>25492.167851671195</v>
      </c>
      <c r="H537" s="96">
        <v>0.2336070688029761</v>
      </c>
      <c r="I537" s="96">
        <v>4.7470043290396058E-2</v>
      </c>
      <c r="J537" s="96">
        <v>0.15948249530323722</v>
      </c>
    </row>
    <row r="538" spans="1:10" x14ac:dyDescent="0.25">
      <c r="A538" s="95">
        <v>44470</v>
      </c>
      <c r="B538" s="83">
        <v>0</v>
      </c>
      <c r="C538" s="83">
        <v>0</v>
      </c>
      <c r="D538" s="83">
        <v>34261.274120000002</v>
      </c>
      <c r="E538" s="83">
        <v>42264.949940628459</v>
      </c>
      <c r="F538" s="83">
        <v>22672.500120000001</v>
      </c>
      <c r="G538" s="83">
        <v>23748.764682197907</v>
      </c>
      <c r="H538" s="96">
        <v>0.23360706880297588</v>
      </c>
      <c r="I538" s="96">
        <v>4.7470043290395836E-2</v>
      </c>
      <c r="J538" s="96">
        <v>0.15948249530323744</v>
      </c>
    </row>
    <row r="539" spans="1:10" x14ac:dyDescent="0.25">
      <c r="A539" s="95">
        <v>44501</v>
      </c>
      <c r="B539" s="83">
        <v>0</v>
      </c>
      <c r="C539" s="83">
        <v>0</v>
      </c>
      <c r="D539" s="83">
        <v>41085.297209999997</v>
      </c>
      <c r="E539" s="83">
        <v>50683.11306212718</v>
      </c>
      <c r="F539" s="83">
        <v>27188.317709999999</v>
      </c>
      <c r="G539" s="83">
        <v>28478.948328686736</v>
      </c>
      <c r="H539" s="96">
        <v>0.23360706880297588</v>
      </c>
      <c r="I539" s="96">
        <v>4.7470043290395836E-2</v>
      </c>
      <c r="J539" s="96">
        <v>0.15948249530323722</v>
      </c>
    </row>
    <row r="540" spans="1:10" x14ac:dyDescent="0.25">
      <c r="A540" s="95">
        <v>44531</v>
      </c>
      <c r="B540" s="83">
        <v>0</v>
      </c>
      <c r="C540" s="83">
        <v>0</v>
      </c>
      <c r="D540" s="83">
        <v>48088.392090000001</v>
      </c>
      <c r="E540" s="83">
        <v>59322.180409593115</v>
      </c>
      <c r="F540" s="83">
        <v>31822.636589999998</v>
      </c>
      <c r="G540" s="83">
        <v>33333.258526541838</v>
      </c>
      <c r="H540" s="96">
        <v>0.23360706880297588</v>
      </c>
      <c r="I540" s="96">
        <v>4.7470043290396058E-2</v>
      </c>
      <c r="J540" s="96">
        <v>0.15948249530323699</v>
      </c>
    </row>
    <row r="541" spans="1:10" x14ac:dyDescent="0.25">
      <c r="A541" s="95">
        <v>44562</v>
      </c>
      <c r="B541" s="83">
        <v>0</v>
      </c>
      <c r="C541" s="83">
        <v>0</v>
      </c>
      <c r="D541" s="83">
        <v>45339.690889999998</v>
      </c>
      <c r="E541" s="83">
        <v>55931.363179245891</v>
      </c>
      <c r="F541" s="83">
        <v>30003.675389999997</v>
      </c>
      <c r="G541" s="83">
        <v>31427.951159634285</v>
      </c>
      <c r="H541" s="96">
        <v>0.23360706880297588</v>
      </c>
      <c r="I541" s="96">
        <v>4.7470043290396058E-2</v>
      </c>
      <c r="J541" s="96">
        <v>0.15948249530323744</v>
      </c>
    </row>
    <row r="542" spans="1:10" x14ac:dyDescent="0.25">
      <c r="A542" s="95">
        <v>44593</v>
      </c>
      <c r="B542" s="83">
        <v>0</v>
      </c>
      <c r="C542" s="83">
        <v>0</v>
      </c>
      <c r="D542" s="83">
        <v>53738.801010000003</v>
      </c>
      <c r="E542" s="83">
        <v>66292.564794932507</v>
      </c>
      <c r="F542" s="83">
        <v>35561.81151</v>
      </c>
      <c r="G542" s="83">
        <v>37249.932241864604</v>
      </c>
      <c r="H542" s="96">
        <v>0.23360706880297588</v>
      </c>
      <c r="I542" s="96">
        <v>4.7470043290396058E-2</v>
      </c>
      <c r="J542" s="96">
        <v>0.15948249530323744</v>
      </c>
    </row>
    <row r="543" spans="1:10" x14ac:dyDescent="0.25">
      <c r="A543" s="95">
        <v>44621</v>
      </c>
      <c r="B543" s="83">
        <v>0</v>
      </c>
      <c r="C543" s="83">
        <v>0</v>
      </c>
      <c r="D543" s="83">
        <v>76921.658360000001</v>
      </c>
      <c r="E543" s="83">
        <v>94891.10149694352</v>
      </c>
      <c r="F543" s="83">
        <v>50903.136359999997</v>
      </c>
      <c r="G543" s="83">
        <v>53319.510446626125</v>
      </c>
      <c r="H543" s="96">
        <v>0.23360706880297588</v>
      </c>
      <c r="I543" s="96">
        <v>4.7470043290396058E-2</v>
      </c>
      <c r="J543" s="96">
        <v>0.15948249530323699</v>
      </c>
    </row>
    <row r="544" spans="1:10" x14ac:dyDescent="0.25">
      <c r="A544" s="95">
        <v>44652</v>
      </c>
      <c r="B544" s="83">
        <v>0</v>
      </c>
      <c r="C544" s="83">
        <v>0</v>
      </c>
      <c r="D544" s="83">
        <v>61466.645800000006</v>
      </c>
      <c r="E544" s="83">
        <v>75825.688754488758</v>
      </c>
      <c r="F544" s="83">
        <v>40675.735800000002</v>
      </c>
      <c r="G544" s="83">
        <v>42606.61473929471</v>
      </c>
      <c r="H544" s="96">
        <v>0.23360706880297588</v>
      </c>
      <c r="I544" s="96">
        <v>4.7470043290395836E-2</v>
      </c>
      <c r="J544" s="96">
        <v>0.15948249530323699</v>
      </c>
    </row>
    <row r="545" spans="1:10" x14ac:dyDescent="0.25">
      <c r="A545" s="95">
        <v>44682</v>
      </c>
      <c r="B545" s="83">
        <v>0</v>
      </c>
      <c r="C545" s="83">
        <v>0</v>
      </c>
      <c r="D545" s="83">
        <v>44022.886989999999</v>
      </c>
      <c r="E545" s="83">
        <v>54306.944579978568</v>
      </c>
      <c r="F545" s="83">
        <v>29132.27649</v>
      </c>
      <c r="G545" s="83">
        <v>30515.186916128085</v>
      </c>
      <c r="H545" s="96">
        <v>0.2336070688029761</v>
      </c>
      <c r="I545" s="96">
        <v>4.7470043290396058E-2</v>
      </c>
      <c r="J545" s="96">
        <v>0.15948249530323722</v>
      </c>
    </row>
    <row r="546" spans="1:10" x14ac:dyDescent="0.25">
      <c r="A546" s="95">
        <v>44713</v>
      </c>
      <c r="B546" s="83">
        <v>0</v>
      </c>
      <c r="C546" s="83">
        <v>0</v>
      </c>
      <c r="D546" s="83">
        <v>38592.509570000002</v>
      </c>
      <c r="E546" s="83">
        <v>47607.992608398497</v>
      </c>
      <c r="F546" s="83">
        <v>25538.708070000001</v>
      </c>
      <c r="G546" s="83">
        <v>26751.031647663684</v>
      </c>
      <c r="H546" s="96">
        <v>0.23360706880297588</v>
      </c>
      <c r="I546" s="96">
        <v>4.7470043290395836E-2</v>
      </c>
      <c r="J546" s="96">
        <v>0.15948249530323722</v>
      </c>
    </row>
    <row r="547" spans="1:10" x14ac:dyDescent="0.25">
      <c r="A547" s="95">
        <v>44743</v>
      </c>
      <c r="B547" s="83">
        <v>0</v>
      </c>
      <c r="C547" s="83">
        <v>0</v>
      </c>
      <c r="D547" s="83">
        <v>38592.509570000002</v>
      </c>
      <c r="E547" s="83">
        <v>47607.992608398497</v>
      </c>
      <c r="F547" s="83">
        <v>25538.708070000001</v>
      </c>
      <c r="G547" s="83">
        <v>26751.031647663684</v>
      </c>
      <c r="H547" s="96">
        <v>0.23360706880297588</v>
      </c>
      <c r="I547" s="96">
        <v>4.7470043290395836E-2</v>
      </c>
      <c r="J547" s="96">
        <v>0.15948249530323722</v>
      </c>
    </row>
    <row r="548" spans="1:10" x14ac:dyDescent="0.25">
      <c r="A548" s="90" t="s">
        <v>47</v>
      </c>
      <c r="B548" s="83">
        <v>0</v>
      </c>
      <c r="C548" s="83">
        <v>0</v>
      </c>
      <c r="D548" s="83">
        <v>190361.51825239995</v>
      </c>
      <c r="E548" s="83">
        <v>234831.31454422735</v>
      </c>
      <c r="F548" s="83">
        <v>125972.30127239999</v>
      </c>
      <c r="G548" s="83">
        <v>136163.45267146369</v>
      </c>
      <c r="H548" s="96">
        <v>0.2336070688029761</v>
      </c>
      <c r="I548" s="96">
        <v>8.0899938289025641E-2</v>
      </c>
      <c r="J548" s="96">
        <v>0.17279514334889434</v>
      </c>
    </row>
    <row r="549" spans="1:10" x14ac:dyDescent="0.25">
      <c r="A549" s="91" t="s">
        <v>48</v>
      </c>
      <c r="B549" s="83">
        <v>0</v>
      </c>
      <c r="C549" s="83">
        <v>0</v>
      </c>
      <c r="D549" s="83">
        <v>190361.51825239995</v>
      </c>
      <c r="E549" s="83">
        <v>234831.31454422735</v>
      </c>
      <c r="F549" s="83">
        <v>125972.30127239999</v>
      </c>
      <c r="G549" s="83">
        <v>136163.45267146369</v>
      </c>
      <c r="H549" s="96">
        <v>0.2336070688029761</v>
      </c>
      <c r="I549" s="96">
        <v>8.0899938289025641E-2</v>
      </c>
      <c r="J549" s="96">
        <v>0.17279514334889434</v>
      </c>
    </row>
    <row r="550" spans="1:10" x14ac:dyDescent="0.25">
      <c r="A550" s="92" t="s">
        <v>25</v>
      </c>
      <c r="B550" s="83">
        <v>0</v>
      </c>
      <c r="C550" s="83">
        <v>0</v>
      </c>
      <c r="D550" s="83">
        <v>190361.51825239995</v>
      </c>
      <c r="E550" s="83">
        <v>234831.31454422735</v>
      </c>
      <c r="F550" s="83">
        <v>125972.30127239999</v>
      </c>
      <c r="G550" s="83">
        <v>136163.45267146369</v>
      </c>
      <c r="H550" s="96">
        <v>0.2336070688029761</v>
      </c>
      <c r="I550" s="96">
        <v>8.0899938289025641E-2</v>
      </c>
      <c r="J550" s="96">
        <v>0.17279514334889434</v>
      </c>
    </row>
    <row r="551" spans="1:10" x14ac:dyDescent="0.25">
      <c r="A551" s="93" t="s">
        <v>25</v>
      </c>
      <c r="B551" s="83">
        <v>0</v>
      </c>
      <c r="C551" s="83">
        <v>0</v>
      </c>
      <c r="D551" s="83">
        <v>190361.51825239995</v>
      </c>
      <c r="E551" s="83">
        <v>234831.31454422735</v>
      </c>
      <c r="F551" s="83">
        <v>125972.30127239999</v>
      </c>
      <c r="G551" s="83">
        <v>136163.45267146369</v>
      </c>
      <c r="H551" s="96">
        <v>0.2336070688029761</v>
      </c>
      <c r="I551" s="96">
        <v>8.0899938289025641E-2</v>
      </c>
      <c r="J551" s="96">
        <v>0.17279514334889434</v>
      </c>
    </row>
    <row r="552" spans="1:10" x14ac:dyDescent="0.25">
      <c r="A552" s="94" t="s">
        <v>25</v>
      </c>
      <c r="B552" s="83">
        <v>0</v>
      </c>
      <c r="C552" s="83">
        <v>0</v>
      </c>
      <c r="D552" s="83">
        <v>190361.51825239995</v>
      </c>
      <c r="E552" s="83">
        <v>234831.31454422735</v>
      </c>
      <c r="F552" s="83">
        <v>125972.30127239999</v>
      </c>
      <c r="G552" s="83">
        <v>136163.45267146369</v>
      </c>
      <c r="H552" s="96">
        <v>0.2336070688029761</v>
      </c>
      <c r="I552" s="96">
        <v>8.0899938289025641E-2</v>
      </c>
      <c r="J552" s="96">
        <v>0.17279514334889434</v>
      </c>
    </row>
    <row r="553" spans="1:10" x14ac:dyDescent="0.25">
      <c r="A553" s="95">
        <v>44409</v>
      </c>
      <c r="B553" s="83">
        <v>0</v>
      </c>
      <c r="C553" s="83">
        <v>0</v>
      </c>
      <c r="D553" s="83">
        <v>14908.278288799998</v>
      </c>
      <c r="E553" s="83">
        <v>18390.957480745612</v>
      </c>
      <c r="F553" s="83">
        <v>9865.5975287999972</v>
      </c>
      <c r="G553" s="83">
        <v>10663.723760064282</v>
      </c>
      <c r="H553" s="96">
        <v>0.23360706880297588</v>
      </c>
      <c r="I553" s="96">
        <v>8.0899938289025863E-2</v>
      </c>
      <c r="J553" s="96">
        <v>0.17279514334889412</v>
      </c>
    </row>
    <row r="554" spans="1:10" x14ac:dyDescent="0.25">
      <c r="A554" s="95">
        <v>44440</v>
      </c>
      <c r="B554" s="83">
        <v>0</v>
      </c>
      <c r="C554" s="83">
        <v>0</v>
      </c>
      <c r="D554" s="83">
        <v>15686.275821799998</v>
      </c>
      <c r="E554" s="83">
        <v>19350.700736965686</v>
      </c>
      <c r="F554" s="83">
        <v>10380.439711799998</v>
      </c>
      <c r="G554" s="83">
        <v>11220.216643897569</v>
      </c>
      <c r="H554" s="96">
        <v>0.23360706880297588</v>
      </c>
      <c r="I554" s="96">
        <v>8.0899938289025641E-2</v>
      </c>
      <c r="J554" s="96">
        <v>0.17279514334889412</v>
      </c>
    </row>
    <row r="555" spans="1:10" x14ac:dyDescent="0.25">
      <c r="A555" s="95">
        <v>44470</v>
      </c>
      <c r="B555" s="83">
        <v>0</v>
      </c>
      <c r="C555" s="83">
        <v>0</v>
      </c>
      <c r="D555" s="83">
        <v>14498.1192622</v>
      </c>
      <c r="E555" s="83">
        <v>17884.982406198505</v>
      </c>
      <c r="F555" s="83">
        <v>9594.1735721999994</v>
      </c>
      <c r="G555" s="83">
        <v>10370.341622125181</v>
      </c>
      <c r="H555" s="96">
        <v>0.23360706880297588</v>
      </c>
      <c r="I555" s="96">
        <v>8.0899938289025641E-2</v>
      </c>
      <c r="J555" s="96">
        <v>0.17279514334889434</v>
      </c>
    </row>
    <row r="556" spans="1:10" x14ac:dyDescent="0.25">
      <c r="A556" s="95">
        <v>44501</v>
      </c>
      <c r="B556" s="83">
        <v>0</v>
      </c>
      <c r="C556" s="83">
        <v>0</v>
      </c>
      <c r="D556" s="83">
        <v>15090.288345599998</v>
      </c>
      <c r="E556" s="83">
        <v>18615.486373407326</v>
      </c>
      <c r="F556" s="83">
        <v>9986.0432255999986</v>
      </c>
      <c r="G556" s="83">
        <v>10793.913506302581</v>
      </c>
      <c r="H556" s="96">
        <v>0.2336070688029761</v>
      </c>
      <c r="I556" s="96">
        <v>8.0899938289025641E-2</v>
      </c>
      <c r="J556" s="96">
        <v>0.17279514334889434</v>
      </c>
    </row>
    <row r="557" spans="1:10" x14ac:dyDescent="0.25">
      <c r="A557" s="95">
        <v>44531</v>
      </c>
      <c r="B557" s="83">
        <v>0</v>
      </c>
      <c r="C557" s="83">
        <v>0</v>
      </c>
      <c r="D557" s="83">
        <v>13986.772826399998</v>
      </c>
      <c r="E557" s="83">
        <v>17254.181828388417</v>
      </c>
      <c r="F557" s="83">
        <v>9255.7885463999974</v>
      </c>
      <c r="G557" s="83">
        <v>10004.581268620028</v>
      </c>
      <c r="H557" s="96">
        <v>0.23360706880297588</v>
      </c>
      <c r="I557" s="96">
        <v>8.0899938289025641E-2</v>
      </c>
      <c r="J557" s="96">
        <v>0.17279514334889434</v>
      </c>
    </row>
    <row r="558" spans="1:10" x14ac:dyDescent="0.25">
      <c r="A558" s="95">
        <v>44562</v>
      </c>
      <c r="B558" s="83">
        <v>0</v>
      </c>
      <c r="C558" s="83">
        <v>0</v>
      </c>
      <c r="D558" s="83">
        <v>19284.7928364</v>
      </c>
      <c r="E558" s="83">
        <v>23789.856763384032</v>
      </c>
      <c r="F558" s="83">
        <v>12761.769056399999</v>
      </c>
      <c r="G558" s="83">
        <v>13794.195385521556</v>
      </c>
      <c r="H558" s="96">
        <v>0.23360706880297588</v>
      </c>
      <c r="I558" s="96">
        <v>8.0899938289025641E-2</v>
      </c>
      <c r="J558" s="96">
        <v>0.17279514334889434</v>
      </c>
    </row>
    <row r="559" spans="1:10" x14ac:dyDescent="0.25">
      <c r="A559" s="95">
        <v>44593</v>
      </c>
      <c r="B559" s="83">
        <v>0</v>
      </c>
      <c r="C559" s="83">
        <v>0</v>
      </c>
      <c r="D559" s="83">
        <v>15236.978268999997</v>
      </c>
      <c r="E559" s="83">
        <v>18796.444099835731</v>
      </c>
      <c r="F559" s="83">
        <v>10083.115718999998</v>
      </c>
      <c r="G559" s="83">
        <v>10898.839158428204</v>
      </c>
      <c r="H559" s="96">
        <v>0.2336070688029761</v>
      </c>
      <c r="I559" s="96">
        <v>8.0899938289025863E-2</v>
      </c>
      <c r="J559" s="96">
        <v>0.17279514334889456</v>
      </c>
    </row>
    <row r="560" spans="1:10" x14ac:dyDescent="0.25">
      <c r="A560" s="95">
        <v>44621</v>
      </c>
      <c r="B560" s="83">
        <v>0</v>
      </c>
      <c r="C560" s="83">
        <v>0</v>
      </c>
      <c r="D560" s="83">
        <v>21003.387795800001</v>
      </c>
      <c r="E560" s="83">
        <v>25909.927653709034</v>
      </c>
      <c r="F560" s="83">
        <v>13899.0543858</v>
      </c>
      <c r="G560" s="83">
        <v>15023.487027887031</v>
      </c>
      <c r="H560" s="96">
        <v>0.23360706880297566</v>
      </c>
      <c r="I560" s="96">
        <v>8.0899938289025641E-2</v>
      </c>
      <c r="J560" s="96">
        <v>0.17279514334889412</v>
      </c>
    </row>
    <row r="561" spans="1:10" x14ac:dyDescent="0.25">
      <c r="A561" s="95">
        <v>44652</v>
      </c>
      <c r="B561" s="83">
        <v>0</v>
      </c>
      <c r="C561" s="83">
        <v>0</v>
      </c>
      <c r="D561" s="83">
        <v>15886.741443799998</v>
      </c>
      <c r="E561" s="83">
        <v>19597.996545316873</v>
      </c>
      <c r="F561" s="83">
        <v>10513.098433799998</v>
      </c>
      <c r="G561" s="83">
        <v>11363.60744832087</v>
      </c>
      <c r="H561" s="96">
        <v>0.23360706880297588</v>
      </c>
      <c r="I561" s="96">
        <v>8.0899938289025641E-2</v>
      </c>
      <c r="J561" s="96">
        <v>0.17279514334889434</v>
      </c>
    </row>
    <row r="562" spans="1:10" x14ac:dyDescent="0.25">
      <c r="A562" s="95">
        <v>44682</v>
      </c>
      <c r="B562" s="83">
        <v>0</v>
      </c>
      <c r="C562" s="83">
        <v>0</v>
      </c>
      <c r="D562" s="83">
        <v>16021.021590599998</v>
      </c>
      <c r="E562" s="83">
        <v>19763.645483609256</v>
      </c>
      <c r="F562" s="83">
        <v>10601.958720599998</v>
      </c>
      <c r="G562" s="83">
        <v>11459.656526839335</v>
      </c>
      <c r="H562" s="96">
        <v>0.2336070688029761</v>
      </c>
      <c r="I562" s="96">
        <v>8.0899938289025641E-2</v>
      </c>
      <c r="J562" s="96">
        <v>0.17279514334889456</v>
      </c>
    </row>
    <row r="563" spans="1:10" x14ac:dyDescent="0.25">
      <c r="A563" s="95">
        <v>44713</v>
      </c>
      <c r="B563" s="83">
        <v>0</v>
      </c>
      <c r="C563" s="83">
        <v>0</v>
      </c>
      <c r="D563" s="83">
        <v>14379.430885999998</v>
      </c>
      <c r="E563" s="83">
        <v>17738.56758633344</v>
      </c>
      <c r="F563" s="83">
        <v>9515.6311859999987</v>
      </c>
      <c r="G563" s="83">
        <v>10285.445161728527</v>
      </c>
      <c r="H563" s="96">
        <v>0.2336070688029761</v>
      </c>
      <c r="I563" s="96">
        <v>8.0899938289025641E-2</v>
      </c>
      <c r="J563" s="96">
        <v>0.17279514334889434</v>
      </c>
    </row>
    <row r="564" spans="1:10" x14ac:dyDescent="0.25">
      <c r="A564" s="95">
        <v>44743</v>
      </c>
      <c r="B564" s="83">
        <v>0</v>
      </c>
      <c r="C564" s="83">
        <v>0</v>
      </c>
      <c r="D564" s="83">
        <v>14379.430885999998</v>
      </c>
      <c r="E564" s="83">
        <v>17738.56758633344</v>
      </c>
      <c r="F564" s="83">
        <v>9515.6311859999987</v>
      </c>
      <c r="G564" s="83">
        <v>10285.445161728527</v>
      </c>
      <c r="H564" s="96">
        <v>0.2336070688029761</v>
      </c>
      <c r="I564" s="96">
        <v>8.0899938289025641E-2</v>
      </c>
      <c r="J564" s="96">
        <v>0.17279514334889434</v>
      </c>
    </row>
    <row r="565" spans="1:10" x14ac:dyDescent="0.25">
      <c r="A565" s="87" t="s">
        <v>44</v>
      </c>
      <c r="B565" s="83">
        <v>0</v>
      </c>
      <c r="C565" s="83">
        <v>0</v>
      </c>
      <c r="D565" s="83">
        <v>2197899.9555600001</v>
      </c>
      <c r="E565" s="83">
        <v>2711352.203215553</v>
      </c>
      <c r="F565" s="83">
        <v>1454405.8144</v>
      </c>
      <c r="G565" s="83">
        <v>1523514.5323767902</v>
      </c>
      <c r="H565" s="96">
        <v>0.23361038174493753</v>
      </c>
      <c r="I565" s="96">
        <v>4.7516805345900082E-2</v>
      </c>
      <c r="J565" s="96">
        <v>0.15950498187306006</v>
      </c>
    </row>
    <row r="566" spans="1:10" x14ac:dyDescent="0.25">
      <c r="A566" s="88" t="s">
        <v>23</v>
      </c>
      <c r="B566" s="83">
        <v>0</v>
      </c>
      <c r="C566" s="83">
        <v>0</v>
      </c>
      <c r="D566" s="83">
        <v>2197899.9555600001</v>
      </c>
      <c r="E566" s="83">
        <v>2711352.203215553</v>
      </c>
      <c r="F566" s="83">
        <v>1454405.8144</v>
      </c>
      <c r="G566" s="83">
        <v>1523514.5323767902</v>
      </c>
      <c r="H566" s="96">
        <v>0.23361038174493753</v>
      </c>
      <c r="I566" s="96">
        <v>4.7516805345900082E-2</v>
      </c>
      <c r="J566" s="96">
        <v>0.15950498187306006</v>
      </c>
    </row>
    <row r="567" spans="1:10" x14ac:dyDescent="0.25">
      <c r="A567" s="89" t="s">
        <v>26</v>
      </c>
      <c r="B567" s="83">
        <v>0</v>
      </c>
      <c r="C567" s="83">
        <v>0</v>
      </c>
      <c r="D567" s="83">
        <v>2197899.9555600001</v>
      </c>
      <c r="E567" s="83">
        <v>2711352.203215553</v>
      </c>
      <c r="F567" s="83">
        <v>1454405.8144</v>
      </c>
      <c r="G567" s="83">
        <v>1523514.5323767902</v>
      </c>
      <c r="H567" s="96">
        <v>0.23361038174493753</v>
      </c>
      <c r="I567" s="96">
        <v>4.7516805345900082E-2</v>
      </c>
      <c r="J567" s="96">
        <v>0.15950498187306006</v>
      </c>
    </row>
    <row r="568" spans="1:10" x14ac:dyDescent="0.25">
      <c r="A568" s="90" t="s">
        <v>45</v>
      </c>
      <c r="B568" s="83">
        <v>0</v>
      </c>
      <c r="C568" s="83">
        <v>0</v>
      </c>
      <c r="D568" s="83">
        <v>2197899.9555600001</v>
      </c>
      <c r="E568" s="83">
        <v>2711352.203215553</v>
      </c>
      <c r="F568" s="83">
        <v>1454405.8144</v>
      </c>
      <c r="G568" s="83">
        <v>1523514.5323767902</v>
      </c>
      <c r="H568" s="96">
        <v>0.23361038174493753</v>
      </c>
      <c r="I568" s="96">
        <v>4.7516805345900082E-2</v>
      </c>
      <c r="J568" s="96">
        <v>0.15950498187306006</v>
      </c>
    </row>
    <row r="569" spans="1:10" x14ac:dyDescent="0.25">
      <c r="A569" s="91" t="s">
        <v>46</v>
      </c>
      <c r="B569" s="83">
        <v>0</v>
      </c>
      <c r="C569" s="83">
        <v>0</v>
      </c>
      <c r="D569" s="83">
        <v>2197899.9555600001</v>
      </c>
      <c r="E569" s="83">
        <v>2711352.203215553</v>
      </c>
      <c r="F569" s="83">
        <v>1454405.8144</v>
      </c>
      <c r="G569" s="83">
        <v>1523514.5323767902</v>
      </c>
      <c r="H569" s="96">
        <v>0.23361038174493753</v>
      </c>
      <c r="I569" s="96">
        <v>4.7516805345900082E-2</v>
      </c>
      <c r="J569" s="96">
        <v>0.15950498187306006</v>
      </c>
    </row>
    <row r="570" spans="1:10" x14ac:dyDescent="0.25">
      <c r="A570" s="92" t="s">
        <v>25</v>
      </c>
      <c r="B570" s="83">
        <v>0</v>
      </c>
      <c r="C570" s="83">
        <v>0</v>
      </c>
      <c r="D570" s="83">
        <v>2197899.9555600001</v>
      </c>
      <c r="E570" s="83">
        <v>2711352.203215553</v>
      </c>
      <c r="F570" s="83">
        <v>1454405.8144</v>
      </c>
      <c r="G570" s="83">
        <v>1523514.5323767902</v>
      </c>
      <c r="H570" s="96">
        <v>0.23361038174493753</v>
      </c>
      <c r="I570" s="96">
        <v>4.7516805345900082E-2</v>
      </c>
      <c r="J570" s="96">
        <v>0.15950498187306006</v>
      </c>
    </row>
    <row r="571" spans="1:10" x14ac:dyDescent="0.25">
      <c r="A571" s="93" t="s">
        <v>25</v>
      </c>
      <c r="B571" s="83">
        <v>0</v>
      </c>
      <c r="C571" s="83">
        <v>0</v>
      </c>
      <c r="D571" s="83">
        <v>2197899.9555600001</v>
      </c>
      <c r="E571" s="83">
        <v>2711352.203215553</v>
      </c>
      <c r="F571" s="83">
        <v>1454405.8144</v>
      </c>
      <c r="G571" s="83">
        <v>1523514.5323767902</v>
      </c>
      <c r="H571" s="96">
        <v>0.23361038174493753</v>
      </c>
      <c r="I571" s="96">
        <v>4.7516805345900082E-2</v>
      </c>
      <c r="J571" s="96">
        <v>0.15950498187306006</v>
      </c>
    </row>
    <row r="572" spans="1:10" x14ac:dyDescent="0.25">
      <c r="A572" s="94" t="s">
        <v>25</v>
      </c>
      <c r="B572" s="83">
        <v>0</v>
      </c>
      <c r="C572" s="83">
        <v>0</v>
      </c>
      <c r="D572" s="83">
        <v>2197899.9555600001</v>
      </c>
      <c r="E572" s="83">
        <v>2711352.203215553</v>
      </c>
      <c r="F572" s="83">
        <v>1454405.8144</v>
      </c>
      <c r="G572" s="83">
        <v>1523514.5323767902</v>
      </c>
      <c r="H572" s="96">
        <v>0.23361038174493753</v>
      </c>
      <c r="I572" s="96">
        <v>4.7516805345900082E-2</v>
      </c>
      <c r="J572" s="96">
        <v>0.15950498187306006</v>
      </c>
    </row>
    <row r="573" spans="1:10" x14ac:dyDescent="0.25">
      <c r="A573" s="95">
        <v>44409</v>
      </c>
      <c r="B573" s="83">
        <v>0</v>
      </c>
      <c r="C573" s="83">
        <v>0</v>
      </c>
      <c r="D573" s="83">
        <v>207036.06977999999</v>
      </c>
      <c r="E573" s="83">
        <v>255401.84507627736</v>
      </c>
      <c r="F573" s="83">
        <v>137000.9872</v>
      </c>
      <c r="G573" s="83">
        <v>143510.83644097854</v>
      </c>
      <c r="H573" s="96">
        <v>0.23361038174493776</v>
      </c>
      <c r="I573" s="96">
        <v>4.7516805345900082E-2</v>
      </c>
      <c r="J573" s="96">
        <v>0.15950498187306028</v>
      </c>
    </row>
    <row r="574" spans="1:10" x14ac:dyDescent="0.25">
      <c r="A574" s="95">
        <v>44440</v>
      </c>
      <c r="B574" s="83">
        <v>0</v>
      </c>
      <c r="C574" s="83">
        <v>0</v>
      </c>
      <c r="D574" s="83">
        <v>188781.86550000001</v>
      </c>
      <c r="E574" s="83">
        <v>232883.2691659765</v>
      </c>
      <c r="F574" s="83">
        <v>124921.72</v>
      </c>
      <c r="G574" s="83">
        <v>130857.60105271504</v>
      </c>
      <c r="H574" s="96">
        <v>0.23361038174493776</v>
      </c>
      <c r="I574" s="96">
        <v>4.7516805345900082E-2</v>
      </c>
      <c r="J574" s="96">
        <v>0.15950498187306006</v>
      </c>
    </row>
    <row r="575" spans="1:10" x14ac:dyDescent="0.25">
      <c r="A575" s="95">
        <v>44470</v>
      </c>
      <c r="B575" s="83">
        <v>0</v>
      </c>
      <c r="C575" s="83">
        <v>0</v>
      </c>
      <c r="D575" s="83">
        <v>179634.09738000002</v>
      </c>
      <c r="E575" s="83">
        <v>221598.48744334912</v>
      </c>
      <c r="F575" s="83">
        <v>118868.4112</v>
      </c>
      <c r="G575" s="83">
        <v>124516.6583567668</v>
      </c>
      <c r="H575" s="96">
        <v>0.23361038174493753</v>
      </c>
      <c r="I575" s="96">
        <v>4.7516805345900082E-2</v>
      </c>
      <c r="J575" s="96">
        <v>0.15950498187306006</v>
      </c>
    </row>
    <row r="576" spans="1:10" x14ac:dyDescent="0.25">
      <c r="A576" s="95">
        <v>44501</v>
      </c>
      <c r="B576" s="83">
        <v>0</v>
      </c>
      <c r="C576" s="83">
        <v>0</v>
      </c>
      <c r="D576" s="83">
        <v>165782.30538000001</v>
      </c>
      <c r="E576" s="83">
        <v>204510.77302637763</v>
      </c>
      <c r="F576" s="83">
        <v>109702.3312</v>
      </c>
      <c r="G576" s="83">
        <v>114915.03551762186</v>
      </c>
      <c r="H576" s="96">
        <v>0.23361038174493753</v>
      </c>
      <c r="I576" s="96">
        <v>4.7516805345900082E-2</v>
      </c>
      <c r="J576" s="96">
        <v>0.15950498187306028</v>
      </c>
    </row>
    <row r="577" spans="1:10" x14ac:dyDescent="0.25">
      <c r="A577" s="95">
        <v>44531</v>
      </c>
      <c r="B577" s="83">
        <v>0</v>
      </c>
      <c r="C577" s="83">
        <v>0</v>
      </c>
      <c r="D577" s="83">
        <v>169432.17809999999</v>
      </c>
      <c r="E577" s="83">
        <v>209013.29390581726</v>
      </c>
      <c r="F577" s="83">
        <v>112117.54399999999</v>
      </c>
      <c r="G577" s="83">
        <v>117445.01151410838</v>
      </c>
      <c r="H577" s="96">
        <v>0.23361038174493776</v>
      </c>
      <c r="I577" s="96">
        <v>4.7516805345900082E-2</v>
      </c>
      <c r="J577" s="96">
        <v>0.15950498187306028</v>
      </c>
    </row>
    <row r="578" spans="1:10" x14ac:dyDescent="0.25">
      <c r="A578" s="95">
        <v>44562</v>
      </c>
      <c r="B578" s="83">
        <v>0</v>
      </c>
      <c r="C578" s="83">
        <v>0</v>
      </c>
      <c r="D578" s="83">
        <v>169154.39754000001</v>
      </c>
      <c r="E578" s="83">
        <v>208670.62092315435</v>
      </c>
      <c r="F578" s="83">
        <v>111933.72960000001</v>
      </c>
      <c r="G578" s="83">
        <v>117252.4628410438</v>
      </c>
      <c r="H578" s="96">
        <v>0.23361038174493753</v>
      </c>
      <c r="I578" s="96">
        <v>4.751680534589986E-2</v>
      </c>
      <c r="J578" s="96">
        <v>0.15950498187306006</v>
      </c>
    </row>
    <row r="579" spans="1:10" x14ac:dyDescent="0.25">
      <c r="A579" s="95">
        <v>44593</v>
      </c>
      <c r="B579" s="83">
        <v>0</v>
      </c>
      <c r="C579" s="83">
        <v>0</v>
      </c>
      <c r="D579" s="83">
        <v>160835.31660000002</v>
      </c>
      <c r="E579" s="83">
        <v>198408.11630899392</v>
      </c>
      <c r="F579" s="83">
        <v>106428.784</v>
      </c>
      <c r="G579" s="83">
        <v>111485.93981252884</v>
      </c>
      <c r="H579" s="96">
        <v>0.23361038174493753</v>
      </c>
      <c r="I579" s="96">
        <v>4.7516805345900082E-2</v>
      </c>
      <c r="J579" s="96">
        <v>0.15950498187306028</v>
      </c>
    </row>
    <row r="580" spans="1:10" x14ac:dyDescent="0.25">
      <c r="A580" s="95">
        <v>44621</v>
      </c>
      <c r="B580" s="83">
        <v>0</v>
      </c>
      <c r="C580" s="83">
        <v>0</v>
      </c>
      <c r="D580" s="83">
        <v>175667.71866000001</v>
      </c>
      <c r="E580" s="83">
        <v>216705.52147642491</v>
      </c>
      <c r="F580" s="83">
        <v>116243.75840000001</v>
      </c>
      <c r="G580" s="83">
        <v>121767.29044056864</v>
      </c>
      <c r="H580" s="96">
        <v>0.23361038174493753</v>
      </c>
      <c r="I580" s="96">
        <v>4.7516805345900082E-2</v>
      </c>
      <c r="J580" s="96">
        <v>0.15950498187306028</v>
      </c>
    </row>
    <row r="581" spans="1:10" x14ac:dyDescent="0.25">
      <c r="A581" s="95">
        <v>44652</v>
      </c>
      <c r="B581" s="83">
        <v>0</v>
      </c>
      <c r="C581" s="83">
        <v>0</v>
      </c>
      <c r="D581" s="83">
        <v>183328.28094</v>
      </c>
      <c r="E581" s="83">
        <v>226155.67063503657</v>
      </c>
      <c r="F581" s="83">
        <v>121312.94560000001</v>
      </c>
      <c r="G581" s="83">
        <v>127077.34922201296</v>
      </c>
      <c r="H581" s="96">
        <v>0.23361038174493753</v>
      </c>
      <c r="I581" s="96">
        <v>4.751680534589986E-2</v>
      </c>
      <c r="J581" s="96">
        <v>0.15950498187306006</v>
      </c>
    </row>
    <row r="582" spans="1:10" x14ac:dyDescent="0.25">
      <c r="A582" s="95">
        <v>44682</v>
      </c>
      <c r="B582" s="83">
        <v>0</v>
      </c>
      <c r="C582" s="83">
        <v>0</v>
      </c>
      <c r="D582" s="83">
        <v>200370.63960000002</v>
      </c>
      <c r="E582" s="83">
        <v>247179.30120743334</v>
      </c>
      <c r="F582" s="83">
        <v>132590.304</v>
      </c>
      <c r="G582" s="83">
        <v>138890.57166592171</v>
      </c>
      <c r="H582" s="96">
        <v>0.23361038174493753</v>
      </c>
      <c r="I582" s="96">
        <v>4.7516805345900082E-2</v>
      </c>
      <c r="J582" s="96">
        <v>0.15950498187306028</v>
      </c>
    </row>
    <row r="583" spans="1:10" x14ac:dyDescent="0.25">
      <c r="A583" s="95">
        <v>44713</v>
      </c>
      <c r="B583" s="83">
        <v>0</v>
      </c>
      <c r="C583" s="83">
        <v>0</v>
      </c>
      <c r="D583" s="83">
        <v>198938.54304000002</v>
      </c>
      <c r="E583" s="83">
        <v>245412.65202335612</v>
      </c>
      <c r="F583" s="83">
        <v>131642.6496</v>
      </c>
      <c r="G583" s="83">
        <v>137897.88775626174</v>
      </c>
      <c r="H583" s="96">
        <v>0.23361038174493753</v>
      </c>
      <c r="I583" s="96">
        <v>4.7516805345900082E-2</v>
      </c>
      <c r="J583" s="96">
        <v>0.15950498187306028</v>
      </c>
    </row>
    <row r="584" spans="1:10" x14ac:dyDescent="0.25">
      <c r="A584" s="95">
        <v>44743</v>
      </c>
      <c r="B584" s="83">
        <v>0</v>
      </c>
      <c r="C584" s="83">
        <v>0</v>
      </c>
      <c r="D584" s="83">
        <v>198938.54304000002</v>
      </c>
      <c r="E584" s="83">
        <v>245412.65202335612</v>
      </c>
      <c r="F584" s="83">
        <v>131642.6496</v>
      </c>
      <c r="G584" s="83">
        <v>137897.88775626174</v>
      </c>
      <c r="H584" s="96">
        <v>0.23361038174493753</v>
      </c>
      <c r="I584" s="96">
        <v>4.7516805345900082E-2</v>
      </c>
      <c r="J584" s="96">
        <v>0.15950498187306028</v>
      </c>
    </row>
  </sheetData>
  <pageMargins left="0.511811024" right="0.511811024" top="0.78740157499999996" bottom="0.78740157499999996" header="0.31496062000000002" footer="0.3149606200000000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DAB04-7969-4153-938F-66FC7F4E16EF}">
  <sheetPr>
    <tabColor indexed="12" tint="-0.249977111117893"/>
  </sheetPr>
  <dimension ref="A1:AV641"/>
  <sheetViews>
    <sheetView showGridLines="0" workbookViewId="0">
      <selection sqref="A1:AG641"/>
    </sheetView>
  </sheetViews>
  <sheetFormatPr defaultColWidth="9.140625" defaultRowHeight="11.25" customHeight="1" x14ac:dyDescent="0.25"/>
  <cols>
    <col min="1" max="1" width="19.140625" style="4" bestFit="1" customWidth="1"/>
    <col min="2" max="2" width="13.28515625" style="4" bestFit="1" customWidth="1"/>
    <col min="3" max="3" width="14.5703125" style="4" bestFit="1" customWidth="1"/>
    <col min="4" max="4" width="13.5703125" style="4" bestFit="1" customWidth="1"/>
    <col min="5" max="5" width="25.140625" style="4" bestFit="1" customWidth="1"/>
    <col min="6" max="6" width="13.28515625" style="4" bestFit="1" customWidth="1"/>
    <col min="7" max="7" width="11.28515625" style="4" bestFit="1" customWidth="1"/>
    <col min="8" max="8" width="10.28515625" style="4" bestFit="1" customWidth="1"/>
    <col min="9" max="9" width="12.140625" style="5" bestFit="1" customWidth="1"/>
    <col min="10" max="11" width="7.85546875" style="6" bestFit="1" customWidth="1"/>
    <col min="12" max="12" width="11.28515625" style="6" bestFit="1" customWidth="1"/>
    <col min="13" max="13" width="12.5703125" style="6" bestFit="1" customWidth="1"/>
    <col min="14" max="14" width="9.140625" style="6" bestFit="1" customWidth="1"/>
    <col min="15" max="15" width="10.42578125" style="6" bestFit="1" customWidth="1"/>
    <col min="16" max="16" width="7.85546875" style="6" bestFit="1" customWidth="1"/>
    <col min="17" max="17" width="11.140625" style="4" bestFit="1" customWidth="1"/>
    <col min="18" max="18" width="13.140625" style="4" bestFit="1" customWidth="1"/>
    <col min="19" max="19" width="23" style="4" bestFit="1" customWidth="1"/>
    <col min="20" max="20" width="24.42578125" style="4" bestFit="1" customWidth="1"/>
    <col min="21" max="21" width="22.28515625" style="4" bestFit="1" customWidth="1"/>
    <col min="22" max="22" width="15.85546875" style="4" bestFit="1" customWidth="1"/>
    <col min="23" max="23" width="17.28515625" style="4" bestFit="1" customWidth="1"/>
    <col min="24" max="24" width="15.140625" style="4" bestFit="1" customWidth="1"/>
    <col min="25" max="25" width="20.85546875" style="4" bestFit="1" customWidth="1"/>
    <col min="26" max="26" width="22.42578125" style="4" bestFit="1" customWidth="1"/>
    <col min="27" max="27" width="20.140625" style="4" bestFit="1" customWidth="1"/>
    <col min="28" max="28" width="23.28515625" style="4" bestFit="1" customWidth="1"/>
    <col min="29" max="29" width="24.7109375" style="4" bestFit="1" customWidth="1"/>
    <col min="30" max="30" width="22.5703125" style="4" bestFit="1" customWidth="1"/>
    <col min="31" max="31" width="24.140625" style="4" bestFit="1" customWidth="1"/>
    <col min="32" max="32" width="25.5703125" style="4" bestFit="1" customWidth="1"/>
    <col min="33" max="33" width="23.42578125" style="4" bestFit="1" customWidth="1"/>
    <col min="34" max="34" width="9.140625" style="4"/>
    <col min="35" max="35" width="9.28515625" style="4" bestFit="1" customWidth="1"/>
    <col min="36" max="36" width="14.5703125" style="4" bestFit="1" customWidth="1"/>
    <col min="37" max="37" width="15.42578125" style="4" bestFit="1" customWidth="1"/>
    <col min="38" max="38" width="9.28515625" style="4" bestFit="1" customWidth="1"/>
    <col min="39" max="39" width="9.140625" style="4"/>
    <col min="40" max="40" width="9.28515625" style="4" bestFit="1" customWidth="1"/>
    <col min="41" max="41" width="12.28515625" style="4" bestFit="1" customWidth="1"/>
    <col min="42" max="42" width="13.28515625" style="4" bestFit="1" customWidth="1"/>
    <col min="43" max="43" width="9.28515625" style="4" bestFit="1" customWidth="1"/>
    <col min="44" max="44" width="9.140625" style="4"/>
    <col min="45" max="45" width="9.28515625" style="4" bestFit="1" customWidth="1"/>
    <col min="46" max="47" width="11.7109375" style="4" bestFit="1" customWidth="1"/>
    <col min="48" max="48" width="9.28515625" style="4" bestFit="1" customWidth="1"/>
    <col min="49" max="16384" width="9.140625" style="4"/>
  </cols>
  <sheetData>
    <row r="1" spans="1:48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603</v>
      </c>
      <c r="W1" s="1" t="s">
        <v>604</v>
      </c>
      <c r="X1" s="1" t="s">
        <v>605</v>
      </c>
      <c r="Y1" s="1" t="s">
        <v>606</v>
      </c>
      <c r="Z1" s="1" t="s">
        <v>607</v>
      </c>
      <c r="AA1" s="1" t="s">
        <v>608</v>
      </c>
      <c r="AB1" s="1" t="s">
        <v>621</v>
      </c>
      <c r="AC1" s="1" t="s">
        <v>622</v>
      </c>
      <c r="AD1" s="1" t="s">
        <v>623</v>
      </c>
      <c r="AE1" s="1" t="s">
        <v>624</v>
      </c>
      <c r="AF1" s="1" t="s">
        <v>625</v>
      </c>
      <c r="AG1" s="1" t="s">
        <v>626</v>
      </c>
      <c r="AI1" s="73" t="s">
        <v>64</v>
      </c>
      <c r="AJ1" s="73" t="s">
        <v>627</v>
      </c>
      <c r="AK1" s="73" t="s">
        <v>628</v>
      </c>
      <c r="AL1" s="73" t="s">
        <v>629</v>
      </c>
      <c r="AN1" s="73" t="s">
        <v>64</v>
      </c>
      <c r="AO1" s="73" t="s">
        <v>630</v>
      </c>
      <c r="AP1" s="73" t="s">
        <v>631</v>
      </c>
      <c r="AQ1" s="73" t="s">
        <v>629</v>
      </c>
      <c r="AS1" s="73" t="s">
        <v>64</v>
      </c>
      <c r="AT1" s="73" t="s">
        <v>632</v>
      </c>
      <c r="AU1" s="73" t="s">
        <v>633</v>
      </c>
      <c r="AV1" s="73" t="s">
        <v>629</v>
      </c>
    </row>
    <row r="2" spans="1:48" ht="11.25" customHeight="1" x14ac:dyDescent="0.25">
      <c r="A2" s="4" t="s">
        <v>21</v>
      </c>
      <c r="B2" s="4" t="s">
        <v>35</v>
      </c>
      <c r="C2" s="4" t="s">
        <v>36</v>
      </c>
      <c r="D2" s="4" t="s">
        <v>34</v>
      </c>
      <c r="E2" s="4" t="s">
        <v>25</v>
      </c>
      <c r="F2" s="4" t="s">
        <v>56</v>
      </c>
      <c r="G2" s="4" t="s">
        <v>25</v>
      </c>
      <c r="H2" s="4" t="s">
        <v>38</v>
      </c>
      <c r="I2" s="5">
        <v>44409</v>
      </c>
      <c r="J2" s="6">
        <v>2514</v>
      </c>
      <c r="K2" s="6">
        <v>1257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4" t="s">
        <v>57</v>
      </c>
      <c r="R2" s="4">
        <v>0</v>
      </c>
      <c r="S2" s="6">
        <v>1</v>
      </c>
      <c r="T2" s="6">
        <v>0</v>
      </c>
      <c r="U2" s="6">
        <v>0</v>
      </c>
      <c r="V2" s="6">
        <f>IF(ISERROR(VLOOKUP($S$2,'TAR FIN'!$A$1:$O$86,15,0)),0,VLOOKUP($S$2,'TAR FIN'!$A$1:$O$86,15,0))</f>
        <v>22.9</v>
      </c>
      <c r="W2" s="6">
        <f>IF(ISERROR(VLOOKUP($T$2,'TAR FIN'!$A$1:$O$86,15,0)),0,VLOOKUP($T$2,'TAR FIN'!$A$1:$O$86,15,0))</f>
        <v>0</v>
      </c>
      <c r="X2" s="6">
        <f>IF(ISERROR(VLOOKUP($U$2,'TAR FIN'!$A$1:$O$86,15,0)),0,VLOOKUP($U$2,'TAR FIN'!$A$1:$O$86,15,0))</f>
        <v>0</v>
      </c>
      <c r="Y2" s="6">
        <f ca="1">('TUSD BE'!$AM$6+'TUSD BF_350'!$AM$6+'TUSD CVA'!$AM$6)*1</f>
        <v>15.64</v>
      </c>
      <c r="Z2" s="6">
        <f ca="1">('TUSD BE'!$AM$7+'TUSD BF_350'!$AM$7+'TUSD CVA'!$AM$7)*1</f>
        <v>126.25</v>
      </c>
      <c r="AA2" s="6"/>
      <c r="AB2" s="6">
        <f>$K$2*$V$2</f>
        <v>28785.3</v>
      </c>
      <c r="AC2" s="6">
        <f>$M$2*$W$2</f>
        <v>0</v>
      </c>
      <c r="AD2" s="6">
        <f>$O$2*$X$2</f>
        <v>0</v>
      </c>
      <c r="AE2" s="6">
        <f ca="1">$K$2*$Y$2</f>
        <v>19659.48</v>
      </c>
      <c r="AF2" s="6">
        <f ca="1">$M$2*$Z$2</f>
        <v>0</v>
      </c>
      <c r="AG2" s="6">
        <f>$O$2*$AA$2</f>
        <v>0</v>
      </c>
      <c r="AI2" s="74" t="s">
        <v>35</v>
      </c>
      <c r="AJ2" s="75">
        <f>SUMIF($B$2:$B$641,AI2,$AB$2:$AB$641)+SUMIF($B$2:$B$641,AI2,$AC$2:$AC$641)</f>
        <v>25125170.171441432</v>
      </c>
      <c r="AK2" s="75">
        <f ca="1">SUMIF($B$2:$B$641,AI2,$AE$2:$AE$641)+SUMIF($B$2:$B$641,AI2,$AF$2:$AF$641)</f>
        <v>25707925.219265129</v>
      </c>
      <c r="AL2" s="76">
        <f t="shared" ref="AL2:AL9" ca="1" si="0">IF(AJ2&lt;&gt;0,AK2/AJ2-1,0)</f>
        <v>2.3194073665860682E-2</v>
      </c>
      <c r="AN2" s="74" t="s">
        <v>35</v>
      </c>
      <c r="AO2" s="75">
        <f>SUMIF($B$2:$B$641,AN2,$AD$2:$AD$641)</f>
        <v>17637399.056862801</v>
      </c>
      <c r="AP2" s="75">
        <f ca="1">SUMIF($B$2:$B$641,AN2,$AG$2:$AG$641)</f>
        <v>18534224.758710373</v>
      </c>
      <c r="AQ2" s="76">
        <f t="shared" ref="AQ2:AQ9" ca="1" si="1">IF(AO2&lt;&gt;0,AP2/AO2-1,0)</f>
        <v>5.0847956603817579E-2</v>
      </c>
      <c r="AS2" s="74" t="s">
        <v>35</v>
      </c>
      <c r="AT2" s="75">
        <f>SUMIF($B$2:$B$641,AS2,$AB$2:$AB$641)+SUMIF($B$2:$B$641,AS2,$AC$2:$AC$641)+SUMIF($B$2:$B$641,AS2,$AD$2:$AD$641)</f>
        <v>42762569.228304237</v>
      </c>
      <c r="AU2" s="75">
        <f ca="1">SUMIF($B$2:$B$641,AS2,$AE$2:$AE$641)+SUMIF($B$2:$B$641,AS2,$AF$2:$AF$641)+SUMIF($B$2:$B$641,AS2,$AG$2:$AG$641)</f>
        <v>44242149.977975503</v>
      </c>
      <c r="AV2" s="76">
        <f t="shared" ref="AV2:AV9" ca="1" si="2">IF(AT2&lt;&gt;0,AU2/AT2-1,0)</f>
        <v>3.4599903054747694E-2</v>
      </c>
    </row>
    <row r="3" spans="1:48" ht="11.25" customHeight="1" x14ac:dyDescent="0.25">
      <c r="A3" s="4" t="s">
        <v>21</v>
      </c>
      <c r="B3" s="4" t="s">
        <v>35</v>
      </c>
      <c r="C3" s="4" t="s">
        <v>36</v>
      </c>
      <c r="D3" s="4" t="s">
        <v>34</v>
      </c>
      <c r="E3" s="4" t="s">
        <v>25</v>
      </c>
      <c r="F3" s="4" t="s">
        <v>56</v>
      </c>
      <c r="G3" s="4" t="s">
        <v>25</v>
      </c>
      <c r="H3" s="4" t="s">
        <v>38</v>
      </c>
      <c r="I3" s="5">
        <v>44440</v>
      </c>
      <c r="J3" s="6">
        <v>2432</v>
      </c>
      <c r="K3" s="6">
        <v>1216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4" t="s">
        <v>57</v>
      </c>
      <c r="R3" s="4">
        <v>0</v>
      </c>
      <c r="S3" s="6">
        <v>1</v>
      </c>
      <c r="T3" s="6">
        <v>0</v>
      </c>
      <c r="U3" s="6">
        <v>0</v>
      </c>
      <c r="V3" s="6">
        <f>IF(ISERROR(VLOOKUP($S$3,'TAR FIN'!$A$1:$O$86,15,0)),0,VLOOKUP($S$3,'TAR FIN'!$A$1:$O$86,15,0))</f>
        <v>22.9</v>
      </c>
      <c r="W3" s="6">
        <f>IF(ISERROR(VLOOKUP($T$3,'TAR FIN'!$A$1:$O$86,15,0)),0,VLOOKUP($T$3,'TAR FIN'!$A$1:$O$86,15,0))</f>
        <v>0</v>
      </c>
      <c r="X3" s="6">
        <f>IF(ISERROR(VLOOKUP($U$3,'TAR FIN'!$A$1:$O$86,15,0)),0,VLOOKUP($U$3,'TAR FIN'!$A$1:$O$86,15,0))</f>
        <v>0</v>
      </c>
      <c r="Y3" s="6">
        <f ca="1">('TUSD BE'!$AM$6+'TUSD BF_350'!$AM$6+'TUSD CVA'!$AM$6)*1</f>
        <v>15.64</v>
      </c>
      <c r="Z3" s="6">
        <f ca="1">('TUSD BE'!$AM$7+'TUSD BF_350'!$AM$7+'TUSD CVA'!$AM$7)*1</f>
        <v>126.25</v>
      </c>
      <c r="AA3" s="6"/>
      <c r="AB3" s="6">
        <f>$K$3*$V$3</f>
        <v>27846.399999999998</v>
      </c>
      <c r="AC3" s="6">
        <f>$M$3*$W$3</f>
        <v>0</v>
      </c>
      <c r="AD3" s="6">
        <f>$O$3*$X$3</f>
        <v>0</v>
      </c>
      <c r="AE3" s="6">
        <f ca="1">$K$3*$Y$3</f>
        <v>19018.240000000002</v>
      </c>
      <c r="AF3" s="6">
        <f ca="1">$M$3*$Z$3</f>
        <v>0</v>
      </c>
      <c r="AG3" s="6">
        <f>$O$3*$AA$3</f>
        <v>0</v>
      </c>
      <c r="AI3" s="74" t="s">
        <v>22</v>
      </c>
      <c r="AJ3" s="75">
        <f>SUMIF($B$2:$B$641,AI3,$AB$2:$AB$641)+SUMIF($B$2:$B$641,AI3,$AC$2:$AC$641)</f>
        <v>23609288.987567984</v>
      </c>
      <c r="AK3" s="75">
        <f ca="1">SUMIF($B$2:$B$641,AI3,$AE$2:$AE$641)+SUMIF($B$2:$B$641,AI3,$AF$2:$AF$641)</f>
        <v>21518146.857745796</v>
      </c>
      <c r="AL3" s="76">
        <f t="shared" ca="1" si="0"/>
        <v>-8.85728549861593E-2</v>
      </c>
      <c r="AN3" s="74" t="s">
        <v>22</v>
      </c>
      <c r="AO3" s="75">
        <f>SUMIF($B$2:$B$641,AN3,$AD$2:$AD$641)</f>
        <v>15726759.511889992</v>
      </c>
      <c r="AP3" s="75">
        <f ca="1">SUMIF($B$2:$B$641,AN3,$AG$2:$AG$641)</f>
        <v>18431088.141993292</v>
      </c>
      <c r="AQ3" s="76">
        <f t="shared" ca="1" si="1"/>
        <v>0.17195714273234297</v>
      </c>
      <c r="AS3" s="74" t="s">
        <v>22</v>
      </c>
      <c r="AT3" s="75">
        <f>SUMIF($B$2:$B$641,AS3,$AB$2:$AB$641)+SUMIF($B$2:$B$641,AS3,$AC$2:$AC$641)+SUMIF($B$2:$B$641,AS3,$AD$2:$AD$641)</f>
        <v>39336048.499457978</v>
      </c>
      <c r="AU3" s="75">
        <f ca="1">SUMIF($B$2:$B$641,AS3,$AE$2:$AE$641)+SUMIF($B$2:$B$641,AS3,$AF$2:$AF$641)+SUMIF($B$2:$B$641,AS3,$AG$2:$AG$641)</f>
        <v>39949234.999739088</v>
      </c>
      <c r="AV3" s="76">
        <f t="shared" ca="1" si="2"/>
        <v>1.5588411232754007E-2</v>
      </c>
    </row>
    <row r="4" spans="1:48" ht="11.25" customHeight="1" x14ac:dyDescent="0.25">
      <c r="A4" s="4" t="s">
        <v>21</v>
      </c>
      <c r="B4" s="4" t="s">
        <v>35</v>
      </c>
      <c r="C4" s="4" t="s">
        <v>36</v>
      </c>
      <c r="D4" s="4" t="s">
        <v>34</v>
      </c>
      <c r="E4" s="4" t="s">
        <v>25</v>
      </c>
      <c r="F4" s="4" t="s">
        <v>56</v>
      </c>
      <c r="G4" s="4" t="s">
        <v>25</v>
      </c>
      <c r="H4" s="4" t="s">
        <v>38</v>
      </c>
      <c r="I4" s="5">
        <v>44470</v>
      </c>
      <c r="J4" s="6">
        <v>2500</v>
      </c>
      <c r="K4" s="6">
        <v>1250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4" t="s">
        <v>57</v>
      </c>
      <c r="R4" s="4">
        <v>0</v>
      </c>
      <c r="S4" s="6">
        <v>1</v>
      </c>
      <c r="T4" s="6">
        <v>0</v>
      </c>
      <c r="U4" s="6">
        <v>0</v>
      </c>
      <c r="V4" s="6">
        <f>IF(ISERROR(VLOOKUP($S$4,'TAR FIN'!$A$1:$O$86,15,0)),0,VLOOKUP($S$4,'TAR FIN'!$A$1:$O$86,15,0))</f>
        <v>22.9</v>
      </c>
      <c r="W4" s="6">
        <f>IF(ISERROR(VLOOKUP($T$4,'TAR FIN'!$A$1:$O$86,15,0)),0,VLOOKUP($T$4,'TAR FIN'!$A$1:$O$86,15,0))</f>
        <v>0</v>
      </c>
      <c r="X4" s="6">
        <f>IF(ISERROR(VLOOKUP($U$4,'TAR FIN'!$A$1:$O$86,15,0)),0,VLOOKUP($U$4,'TAR FIN'!$A$1:$O$86,15,0))</f>
        <v>0</v>
      </c>
      <c r="Y4" s="6">
        <f ca="1">('TUSD BE'!$AM$6+'TUSD BF_350'!$AM$6+'TUSD CVA'!$AM$6)*1</f>
        <v>15.64</v>
      </c>
      <c r="Z4" s="6">
        <f ca="1">('TUSD BE'!$AM$7+'TUSD BF_350'!$AM$7+'TUSD CVA'!$AM$7)*1</f>
        <v>126.25</v>
      </c>
      <c r="AA4" s="6"/>
      <c r="AB4" s="6">
        <f>$K$4*$V$4</f>
        <v>28625</v>
      </c>
      <c r="AC4" s="6">
        <f>$M$4*$W$4</f>
        <v>0</v>
      </c>
      <c r="AD4" s="6">
        <f>$O$4*$X$4</f>
        <v>0</v>
      </c>
      <c r="AE4" s="6">
        <f ca="1">$K$4*$Y$4</f>
        <v>19550</v>
      </c>
      <c r="AF4" s="6">
        <f ca="1">$M$4*$Z$4</f>
        <v>0</v>
      </c>
      <c r="AG4" s="6">
        <f>$O$4*$AA$4</f>
        <v>0</v>
      </c>
      <c r="AI4" s="74" t="s">
        <v>41</v>
      </c>
      <c r="AJ4" s="75">
        <f>SUMIF($B$2:$B$641,AI4,$AB$2:$AB$641)+SUMIF($B$2:$B$641,AI4,$AC$2:$AC$641)</f>
        <v>3489104.4247639999</v>
      </c>
      <c r="AK4" s="75">
        <f ca="1">SUMIF($B$2:$B$641,AI4,$AE$2:$AE$641)+SUMIF($B$2:$B$641,AI4,$AF$2:$AF$641)</f>
        <v>3418483.7049725605</v>
      </c>
      <c r="AL4" s="76">
        <f t="shared" ca="1" si="0"/>
        <v>-2.024035717882422E-2</v>
      </c>
      <c r="AN4" s="74" t="s">
        <v>41</v>
      </c>
      <c r="AO4" s="75">
        <f>SUMIF($B$2:$B$641,AN4,$AD$2:$AD$641)</f>
        <v>2308929.9917880003</v>
      </c>
      <c r="AP4" s="75">
        <f ca="1">SUMIF($B$2:$B$641,AN4,$AG$2:$AG$641)</f>
        <v>2890445.8342183195</v>
      </c>
      <c r="AQ4" s="76">
        <f t="shared" ca="1" si="1"/>
        <v>0.25185512098615082</v>
      </c>
      <c r="AS4" s="74" t="s">
        <v>41</v>
      </c>
      <c r="AT4" s="75">
        <f>SUMIF($B$2:$B$641,AS4,$AB$2:$AB$641)+SUMIF($B$2:$B$641,AS4,$AC$2:$AC$641)+SUMIF($B$2:$B$641,AS4,$AD$2:$AD$641)</f>
        <v>5798034.4165519997</v>
      </c>
      <c r="AU4" s="75">
        <f ca="1">SUMIF($B$2:$B$641,AS4,$AE$2:$AE$641)+SUMIF($B$2:$B$641,AS4,$AF$2:$AF$641)+SUMIF($B$2:$B$641,AS4,$AG$2:$AG$641)</f>
        <v>6308929.53919088</v>
      </c>
      <c r="AV4" s="76">
        <f t="shared" ca="1" si="2"/>
        <v>8.8115227667568963E-2</v>
      </c>
    </row>
    <row r="5" spans="1:48" ht="11.25" customHeight="1" x14ac:dyDescent="0.25">
      <c r="A5" s="4" t="s">
        <v>21</v>
      </c>
      <c r="B5" s="4" t="s">
        <v>35</v>
      </c>
      <c r="C5" s="4" t="s">
        <v>36</v>
      </c>
      <c r="D5" s="4" t="s">
        <v>34</v>
      </c>
      <c r="E5" s="4" t="s">
        <v>25</v>
      </c>
      <c r="F5" s="4" t="s">
        <v>56</v>
      </c>
      <c r="G5" s="4" t="s">
        <v>25</v>
      </c>
      <c r="H5" s="4" t="s">
        <v>38</v>
      </c>
      <c r="I5" s="5">
        <v>44501</v>
      </c>
      <c r="J5" s="6">
        <v>2623</v>
      </c>
      <c r="K5" s="6">
        <v>1311.5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4" t="s">
        <v>57</v>
      </c>
      <c r="R5" s="4">
        <v>0</v>
      </c>
      <c r="S5" s="6">
        <v>1</v>
      </c>
      <c r="T5" s="6">
        <v>0</v>
      </c>
      <c r="U5" s="6">
        <v>0</v>
      </c>
      <c r="V5" s="6">
        <f>IF(ISERROR(VLOOKUP($S$5,'TAR FIN'!$A$1:$O$86,15,0)),0,VLOOKUP($S$5,'TAR FIN'!$A$1:$O$86,15,0))</f>
        <v>22.9</v>
      </c>
      <c r="W5" s="6">
        <f>IF(ISERROR(VLOOKUP($T$5,'TAR FIN'!$A$1:$O$86,15,0)),0,VLOOKUP($T$5,'TAR FIN'!$A$1:$O$86,15,0))</f>
        <v>0</v>
      </c>
      <c r="X5" s="6">
        <f>IF(ISERROR(VLOOKUP($U$5,'TAR FIN'!$A$1:$O$86,15,0)),0,VLOOKUP($U$5,'TAR FIN'!$A$1:$O$86,15,0))</f>
        <v>0</v>
      </c>
      <c r="Y5" s="6">
        <f ca="1">('TUSD BE'!$AM$6+'TUSD BF_350'!$AM$6+'TUSD CVA'!$AM$6)*1</f>
        <v>15.64</v>
      </c>
      <c r="Z5" s="6">
        <f ca="1">('TUSD BE'!$AM$7+'TUSD BF_350'!$AM$7+'TUSD CVA'!$AM$7)*1</f>
        <v>126.25</v>
      </c>
      <c r="AA5" s="6"/>
      <c r="AB5" s="6">
        <f>$K$5*$V$5</f>
        <v>30033.35</v>
      </c>
      <c r="AC5" s="6">
        <f>$M$5*$W$5</f>
        <v>0</v>
      </c>
      <c r="AD5" s="6">
        <f>$O$5*$X$5</f>
        <v>0</v>
      </c>
      <c r="AE5" s="6">
        <f ca="1">$K$5*$Y$5</f>
        <v>20511.86</v>
      </c>
      <c r="AF5" s="6">
        <f ca="1">$M$5*$Z$5</f>
        <v>0</v>
      </c>
      <c r="AG5" s="6">
        <f>$O$5*$AA$5</f>
        <v>0</v>
      </c>
      <c r="AI5" s="74" t="s">
        <v>33</v>
      </c>
      <c r="AJ5" s="75">
        <f>SUMIF($B$2:$B$641,AI5,$AB$2:$AB$641)+SUMIF($B$2:$B$641,AI5,$AC$2:$AC$641)</f>
        <v>9875419.4038323984</v>
      </c>
      <c r="AK5" s="75">
        <f ca="1">SUMIF($B$2:$B$641,AI5,$AE$2:$AE$641)+SUMIF($B$2:$B$641,AI5,$AF$2:$AF$641)</f>
        <v>9063362.2594338078</v>
      </c>
      <c r="AL5" s="76">
        <f t="shared" ca="1" si="0"/>
        <v>-8.2230142456881539E-2</v>
      </c>
      <c r="AN5" s="74" t="s">
        <v>33</v>
      </c>
      <c r="AO5" s="75">
        <f>SUMIF($B$2:$B$641,AN5,$AD$2:$AD$641)</f>
        <v>6535231.5717324009</v>
      </c>
      <c r="AP5" s="75">
        <f ca="1">SUMIF($B$2:$B$641,AN5,$AG$2:$AG$641)</f>
        <v>7663750.6011585966</v>
      </c>
      <c r="AQ5" s="76">
        <f t="shared" ca="1" si="1"/>
        <v>0.17268233222331553</v>
      </c>
      <c r="AS5" s="74" t="s">
        <v>33</v>
      </c>
      <c r="AT5" s="75">
        <f>SUMIF($B$2:$B$641,AS5,$AB$2:$AB$641)+SUMIF($B$2:$B$641,AS5,$AC$2:$AC$641)+SUMIF($B$2:$B$641,AS5,$AD$2:$AD$641)</f>
        <v>16410650.9755648</v>
      </c>
      <c r="AU5" s="75">
        <f ca="1">SUMIF($B$2:$B$641,AS5,$AE$2:$AE$641)+SUMIF($B$2:$B$641,AS5,$AF$2:$AF$641)+SUMIF($B$2:$B$641,AS5,$AG$2:$AG$641)</f>
        <v>16727112.860592404</v>
      </c>
      <c r="AV5" s="76">
        <f t="shared" ca="1" si="2"/>
        <v>1.9283932459401631E-2</v>
      </c>
    </row>
    <row r="6" spans="1:48" ht="11.25" customHeight="1" x14ac:dyDescent="0.25">
      <c r="A6" s="4" t="s">
        <v>21</v>
      </c>
      <c r="B6" s="4" t="s">
        <v>35</v>
      </c>
      <c r="C6" s="4" t="s">
        <v>36</v>
      </c>
      <c r="D6" s="4" t="s">
        <v>34</v>
      </c>
      <c r="E6" s="4" t="s">
        <v>25</v>
      </c>
      <c r="F6" s="4" t="s">
        <v>56</v>
      </c>
      <c r="G6" s="4" t="s">
        <v>25</v>
      </c>
      <c r="H6" s="4" t="s">
        <v>38</v>
      </c>
      <c r="I6" s="5">
        <v>44531</v>
      </c>
      <c r="J6" s="6">
        <v>2533</v>
      </c>
      <c r="K6" s="6">
        <v>1266.5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4" t="s">
        <v>57</v>
      </c>
      <c r="R6" s="4">
        <v>0</v>
      </c>
      <c r="S6" s="6">
        <v>1</v>
      </c>
      <c r="T6" s="6">
        <v>0</v>
      </c>
      <c r="U6" s="6">
        <v>0</v>
      </c>
      <c r="V6" s="6">
        <f>IF(ISERROR(VLOOKUP($S$6,'TAR FIN'!$A$1:$O$86,15,0)),0,VLOOKUP($S$6,'TAR FIN'!$A$1:$O$86,15,0))</f>
        <v>22.9</v>
      </c>
      <c r="W6" s="6">
        <f>IF(ISERROR(VLOOKUP($T$6,'TAR FIN'!$A$1:$O$86,15,0)),0,VLOOKUP($T$6,'TAR FIN'!$A$1:$O$86,15,0))</f>
        <v>0</v>
      </c>
      <c r="X6" s="6">
        <f>IF(ISERROR(VLOOKUP($U$6,'TAR FIN'!$A$1:$O$86,15,0)),0,VLOOKUP($U$6,'TAR FIN'!$A$1:$O$86,15,0))</f>
        <v>0</v>
      </c>
      <c r="Y6" s="6">
        <f ca="1">('TUSD BE'!$AM$6+'TUSD BF_350'!$AM$6+'TUSD CVA'!$AM$6)*1</f>
        <v>15.64</v>
      </c>
      <c r="Z6" s="6">
        <f ca="1">('TUSD BE'!$AM$7+'TUSD BF_350'!$AM$7+'TUSD CVA'!$AM$7)*1</f>
        <v>126.25</v>
      </c>
      <c r="AA6" s="6"/>
      <c r="AB6" s="6">
        <f>$K$6*$V$6</f>
        <v>29002.85</v>
      </c>
      <c r="AC6" s="6">
        <f>$M$6*$W$6</f>
        <v>0</v>
      </c>
      <c r="AD6" s="6">
        <f>$O$6*$X$6</f>
        <v>0</v>
      </c>
      <c r="AE6" s="6">
        <f ca="1">$K$6*$Y$6</f>
        <v>19808.060000000001</v>
      </c>
      <c r="AF6" s="6">
        <f ca="1">$M$6*$Z$6</f>
        <v>0</v>
      </c>
      <c r="AG6" s="6">
        <f>$O$6*$AA$6</f>
        <v>0</v>
      </c>
      <c r="AI6" s="74" t="s">
        <v>44</v>
      </c>
      <c r="AJ6" s="75">
        <f>SUMIF($B$2:$B$641,AI6,$AB$2:$AB$641)+SUMIF($B$2:$B$641,AI6,$AC$2:$AC$641)</f>
        <v>2197899.9555600001</v>
      </c>
      <c r="AK6" s="75">
        <f ca="1">SUMIF($B$2:$B$641,AI6,$AE$2:$AE$641)+SUMIF($B$2:$B$641,AI6,$AF$2:$AF$641)</f>
        <v>2015981.1763400002</v>
      </c>
      <c r="AL6" s="76">
        <f t="shared" ca="1" si="0"/>
        <v>-8.2769362982060279E-2</v>
      </c>
      <c r="AN6" s="74" t="s">
        <v>44</v>
      </c>
      <c r="AO6" s="75">
        <f>SUMIF($B$2:$B$641,AN6,$AD$2:$AD$641)</f>
        <v>1454405.8144</v>
      </c>
      <c r="AP6" s="75">
        <f ca="1">SUMIF($B$2:$B$641,AN6,$AG$2:$AG$641)</f>
        <v>1704558.8923800001</v>
      </c>
      <c r="AQ6" s="76">
        <f t="shared" ca="1" si="1"/>
        <v>0.17199675324675323</v>
      </c>
      <c r="AS6" s="74" t="s">
        <v>44</v>
      </c>
      <c r="AT6" s="75">
        <f>SUMIF($B$2:$B$641,AS6,$AB$2:$AB$641)+SUMIF($B$2:$B$641,AS6,$AC$2:$AC$641)+SUMIF($B$2:$B$641,AS6,$AD$2:$AD$641)</f>
        <v>3652305.7699600002</v>
      </c>
      <c r="AU6" s="75">
        <f ca="1">SUMIF($B$2:$B$641,AS6,$AE$2:$AE$641)+SUMIF($B$2:$B$641,AS6,$AF$2:$AF$641)+SUMIF($B$2:$B$641,AS6,$AG$2:$AG$641)</f>
        <v>3720540.0687200003</v>
      </c>
      <c r="AV6" s="76">
        <f t="shared" ca="1" si="2"/>
        <v>1.8682526343008599E-2</v>
      </c>
    </row>
    <row r="7" spans="1:48" ht="11.25" customHeight="1" x14ac:dyDescent="0.25">
      <c r="A7" s="4" t="s">
        <v>21</v>
      </c>
      <c r="B7" s="4" t="s">
        <v>35</v>
      </c>
      <c r="C7" s="4" t="s">
        <v>36</v>
      </c>
      <c r="D7" s="4" t="s">
        <v>34</v>
      </c>
      <c r="E7" s="4" t="s">
        <v>25</v>
      </c>
      <c r="F7" s="4" t="s">
        <v>56</v>
      </c>
      <c r="G7" s="4" t="s">
        <v>25</v>
      </c>
      <c r="H7" s="4" t="s">
        <v>38</v>
      </c>
      <c r="I7" s="5">
        <v>44562</v>
      </c>
      <c r="J7" s="6">
        <v>2500</v>
      </c>
      <c r="K7" s="6">
        <v>1250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4" t="s">
        <v>57</v>
      </c>
      <c r="R7" s="4">
        <v>0</v>
      </c>
      <c r="S7" s="6">
        <v>1</v>
      </c>
      <c r="T7" s="6">
        <v>0</v>
      </c>
      <c r="U7" s="6">
        <v>0</v>
      </c>
      <c r="V7" s="6">
        <f>IF(ISERROR(VLOOKUP($S$7,'TAR FIN'!$A$1:$O$86,15,0)),0,VLOOKUP($S$7,'TAR FIN'!$A$1:$O$86,15,0))</f>
        <v>22.9</v>
      </c>
      <c r="W7" s="6">
        <f>IF(ISERROR(VLOOKUP($T$7,'TAR FIN'!$A$1:$O$86,15,0)),0,VLOOKUP($T$7,'TAR FIN'!$A$1:$O$86,15,0))</f>
        <v>0</v>
      </c>
      <c r="X7" s="6">
        <f>IF(ISERROR(VLOOKUP($U$7,'TAR FIN'!$A$1:$O$86,15,0)),0,VLOOKUP($U$7,'TAR FIN'!$A$1:$O$86,15,0))</f>
        <v>0</v>
      </c>
      <c r="Y7" s="6">
        <f ca="1">('TUSD BE'!$AM$6+'TUSD BF_350'!$AM$6+'TUSD CVA'!$AM$6)*1</f>
        <v>15.64</v>
      </c>
      <c r="Z7" s="6">
        <f ca="1">('TUSD BE'!$AM$7+'TUSD BF_350'!$AM$7+'TUSD CVA'!$AM$7)*1</f>
        <v>126.25</v>
      </c>
      <c r="AA7" s="6"/>
      <c r="AB7" s="6">
        <f>$K$7*$V$7</f>
        <v>28625</v>
      </c>
      <c r="AC7" s="6">
        <f>$M$7*$W$7</f>
        <v>0</v>
      </c>
      <c r="AD7" s="6">
        <f>$O$7*$X$7</f>
        <v>0</v>
      </c>
      <c r="AE7" s="6">
        <f ca="1">$K$7*$Y$7</f>
        <v>19550</v>
      </c>
      <c r="AF7" s="6">
        <f ca="1">$M$7*$Z$7</f>
        <v>0</v>
      </c>
      <c r="AG7" s="6">
        <f>$O$7*$AA$7</f>
        <v>0</v>
      </c>
      <c r="AI7" s="74" t="s">
        <v>634</v>
      </c>
      <c r="AJ7" s="75">
        <f>+$AJ$2</f>
        <v>25125170.171441432</v>
      </c>
      <c r="AK7" s="75">
        <f ca="1">+$AK$2</f>
        <v>25707925.219265129</v>
      </c>
      <c r="AL7" s="76">
        <f t="shared" ca="1" si="0"/>
        <v>2.3194073665860682E-2</v>
      </c>
      <c r="AN7" s="74" t="s">
        <v>634</v>
      </c>
      <c r="AO7" s="75">
        <f>+$AO$2</f>
        <v>17637399.056862801</v>
      </c>
      <c r="AP7" s="75">
        <f ca="1">+$AP$2</f>
        <v>18534224.758710373</v>
      </c>
      <c r="AQ7" s="76">
        <f t="shared" ca="1" si="1"/>
        <v>5.0847956603817579E-2</v>
      </c>
      <c r="AS7" s="74" t="s">
        <v>634</v>
      </c>
      <c r="AT7" s="75">
        <f>+$AT$2</f>
        <v>42762569.228304237</v>
      </c>
      <c r="AU7" s="75">
        <f ca="1">+$AU$2</f>
        <v>44242149.977975503</v>
      </c>
      <c r="AV7" s="76">
        <f t="shared" ca="1" si="2"/>
        <v>3.4599903054747694E-2</v>
      </c>
    </row>
    <row r="8" spans="1:48" ht="11.25" customHeight="1" x14ac:dyDescent="0.25">
      <c r="A8" s="4" t="s">
        <v>21</v>
      </c>
      <c r="B8" s="4" t="s">
        <v>35</v>
      </c>
      <c r="C8" s="4" t="s">
        <v>36</v>
      </c>
      <c r="D8" s="4" t="s">
        <v>34</v>
      </c>
      <c r="E8" s="4" t="s">
        <v>25</v>
      </c>
      <c r="F8" s="4" t="s">
        <v>56</v>
      </c>
      <c r="G8" s="4" t="s">
        <v>25</v>
      </c>
      <c r="H8" s="4" t="s">
        <v>38</v>
      </c>
      <c r="I8" s="5">
        <v>44593</v>
      </c>
      <c r="J8" s="6">
        <v>2500</v>
      </c>
      <c r="K8" s="6">
        <v>1250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4" t="s">
        <v>57</v>
      </c>
      <c r="R8" s="4">
        <v>0</v>
      </c>
      <c r="S8" s="6">
        <v>1</v>
      </c>
      <c r="T8" s="6">
        <v>0</v>
      </c>
      <c r="U8" s="6">
        <v>0</v>
      </c>
      <c r="V8" s="6">
        <f>IF(ISERROR(VLOOKUP($S$8,'TAR FIN'!$A$1:$O$86,15,0)),0,VLOOKUP($S$8,'TAR FIN'!$A$1:$O$86,15,0))</f>
        <v>22.9</v>
      </c>
      <c r="W8" s="6">
        <f>IF(ISERROR(VLOOKUP($T$8,'TAR FIN'!$A$1:$O$86,15,0)),0,VLOOKUP($T$8,'TAR FIN'!$A$1:$O$86,15,0))</f>
        <v>0</v>
      </c>
      <c r="X8" s="6">
        <f>IF(ISERROR(VLOOKUP($U$8,'TAR FIN'!$A$1:$O$86,15,0)),0,VLOOKUP($U$8,'TAR FIN'!$A$1:$O$86,15,0))</f>
        <v>0</v>
      </c>
      <c r="Y8" s="6">
        <f ca="1">('TUSD BE'!$AM$6+'TUSD BF_350'!$AM$6+'TUSD CVA'!$AM$6)*1</f>
        <v>15.64</v>
      </c>
      <c r="Z8" s="6">
        <f ca="1">('TUSD BE'!$AM$7+'TUSD BF_350'!$AM$7+'TUSD CVA'!$AM$7)*1</f>
        <v>126.25</v>
      </c>
      <c r="AA8" s="6"/>
      <c r="AB8" s="6">
        <f>$K$8*$V$8</f>
        <v>28625</v>
      </c>
      <c r="AC8" s="6">
        <f>$M$8*$W$8</f>
        <v>0</v>
      </c>
      <c r="AD8" s="6">
        <f>$O$8*$X$8</f>
        <v>0</v>
      </c>
      <c r="AE8" s="6">
        <f ca="1">$K$8*$Y$8</f>
        <v>19550</v>
      </c>
      <c r="AF8" s="6">
        <f ca="1">$M$8*$Z$8</f>
        <v>0</v>
      </c>
      <c r="AG8" s="6">
        <f>$O$8*$AA$8</f>
        <v>0</v>
      </c>
      <c r="AI8" s="74" t="s">
        <v>84</v>
      </c>
      <c r="AJ8" s="75">
        <f>+$AJ$3+$AJ$4+$AJ$5+$AJ$6</f>
        <v>39171712.771724381</v>
      </c>
      <c r="AK8" s="75">
        <f ca="1">+$AK$3+$AK$4+$AK$5+$AK$6</f>
        <v>36015973.998492166</v>
      </c>
      <c r="AL8" s="76">
        <f t="shared" ca="1" si="0"/>
        <v>-8.056167448236129E-2</v>
      </c>
      <c r="AN8" s="74" t="s">
        <v>84</v>
      </c>
      <c r="AO8" s="75">
        <f>+$AO$3+$AO$4+$AO$5+$AO$6</f>
        <v>26025326.889810394</v>
      </c>
      <c r="AP8" s="75">
        <f ca="1">+$AP$3+$AP$4+$AP$5+$AP$6</f>
        <v>30689843.469750207</v>
      </c>
      <c r="AQ8" s="76">
        <f t="shared" ca="1" si="1"/>
        <v>0.17922989400629175</v>
      </c>
      <c r="AS8" s="74" t="s">
        <v>84</v>
      </c>
      <c r="AT8" s="75">
        <f>+$AT$3+$AT$4+$AT$5+$AT$6</f>
        <v>65197039.661534779</v>
      </c>
      <c r="AU8" s="75">
        <f ca="1">+$AU$3+$AU$4+$AU$5+$AU$6</f>
        <v>66705817.46824237</v>
      </c>
      <c r="AV8" s="76">
        <f t="shared" ca="1" si="2"/>
        <v>2.3141814636681302E-2</v>
      </c>
    </row>
    <row r="9" spans="1:48" ht="11.25" customHeight="1" x14ac:dyDescent="0.25">
      <c r="A9" s="4" t="s">
        <v>21</v>
      </c>
      <c r="B9" s="4" t="s">
        <v>35</v>
      </c>
      <c r="C9" s="4" t="s">
        <v>36</v>
      </c>
      <c r="D9" s="4" t="s">
        <v>34</v>
      </c>
      <c r="E9" s="4" t="s">
        <v>25</v>
      </c>
      <c r="F9" s="4" t="s">
        <v>56</v>
      </c>
      <c r="G9" s="4" t="s">
        <v>25</v>
      </c>
      <c r="H9" s="4" t="s">
        <v>38</v>
      </c>
      <c r="I9" s="5">
        <v>44621</v>
      </c>
      <c r="J9" s="6">
        <v>2061</v>
      </c>
      <c r="K9" s="6">
        <v>1030.5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4" t="s">
        <v>57</v>
      </c>
      <c r="R9" s="4">
        <v>0</v>
      </c>
      <c r="S9" s="6">
        <v>1</v>
      </c>
      <c r="T9" s="6">
        <v>0</v>
      </c>
      <c r="U9" s="6">
        <v>0</v>
      </c>
      <c r="V9" s="6">
        <f>IF(ISERROR(VLOOKUP($S$9,'TAR FIN'!$A$1:$O$86,15,0)),0,VLOOKUP($S$9,'TAR FIN'!$A$1:$O$86,15,0))</f>
        <v>22.9</v>
      </c>
      <c r="W9" s="6">
        <f>IF(ISERROR(VLOOKUP($T$9,'TAR FIN'!$A$1:$O$86,15,0)),0,VLOOKUP($T$9,'TAR FIN'!$A$1:$O$86,15,0))</f>
        <v>0</v>
      </c>
      <c r="X9" s="6">
        <f>IF(ISERROR(VLOOKUP($U$9,'TAR FIN'!$A$1:$O$86,15,0)),0,VLOOKUP($U$9,'TAR FIN'!$A$1:$O$86,15,0))</f>
        <v>0</v>
      </c>
      <c r="Y9" s="6">
        <f ca="1">('TUSD BE'!$AM$6+'TUSD BF_350'!$AM$6+'TUSD CVA'!$AM$6)*1</f>
        <v>15.64</v>
      </c>
      <c r="Z9" s="6">
        <f ca="1">('TUSD BE'!$AM$7+'TUSD BF_350'!$AM$7+'TUSD CVA'!$AM$7)*1</f>
        <v>126.25</v>
      </c>
      <c r="AA9" s="6"/>
      <c r="AB9" s="6">
        <f>$K$9*$V$9</f>
        <v>23598.449999999997</v>
      </c>
      <c r="AC9" s="6">
        <f>$M$9*$W$9</f>
        <v>0</v>
      </c>
      <c r="AD9" s="6">
        <f>$O$9*$X$9</f>
        <v>0</v>
      </c>
      <c r="AE9" s="6">
        <f ca="1">$K$9*$Y$9</f>
        <v>16117.02</v>
      </c>
      <c r="AF9" s="6">
        <f ca="1">$M$9*$Z$9</f>
        <v>0</v>
      </c>
      <c r="AG9" s="6">
        <f>$O$9*$AA$9</f>
        <v>0</v>
      </c>
      <c r="AI9" s="74" t="s">
        <v>635</v>
      </c>
      <c r="AJ9" s="75">
        <f>AJ8+AJ7</f>
        <v>64296882.943165809</v>
      </c>
      <c r="AK9" s="75">
        <f ca="1">AK8+AK7</f>
        <v>61723899.2177573</v>
      </c>
      <c r="AL9" s="76">
        <f t="shared" ca="1" si="0"/>
        <v>-4.0017238902278596E-2</v>
      </c>
      <c r="AN9" s="74" t="s">
        <v>635</v>
      </c>
      <c r="AO9" s="75">
        <f>AO8+AO7</f>
        <v>43662725.9466732</v>
      </c>
      <c r="AP9" s="75">
        <f ca="1">AP8+AP7</f>
        <v>49224068.22846058</v>
      </c>
      <c r="AQ9" s="76">
        <f t="shared" ca="1" si="1"/>
        <v>0.12737047816436475</v>
      </c>
      <c r="AS9" s="74" t="s">
        <v>635</v>
      </c>
      <c r="AT9" s="75">
        <f>AT8+AT7</f>
        <v>107959608.88983902</v>
      </c>
      <c r="AU9" s="75">
        <f ca="1">AU8+AU7</f>
        <v>110947967.44621786</v>
      </c>
      <c r="AV9" s="76">
        <f t="shared" ca="1" si="2"/>
        <v>2.7680338851802766E-2</v>
      </c>
    </row>
    <row r="10" spans="1:48" ht="11.25" customHeight="1" x14ac:dyDescent="0.25">
      <c r="A10" s="4" t="s">
        <v>21</v>
      </c>
      <c r="B10" s="4" t="s">
        <v>35</v>
      </c>
      <c r="C10" s="4" t="s">
        <v>36</v>
      </c>
      <c r="D10" s="4" t="s">
        <v>34</v>
      </c>
      <c r="E10" s="4" t="s">
        <v>25</v>
      </c>
      <c r="F10" s="4" t="s">
        <v>56</v>
      </c>
      <c r="G10" s="4" t="s">
        <v>25</v>
      </c>
      <c r="H10" s="4" t="s">
        <v>38</v>
      </c>
      <c r="I10" s="5">
        <v>44652</v>
      </c>
      <c r="J10" s="6">
        <v>2421</v>
      </c>
      <c r="K10" s="6">
        <v>1210.5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4" t="s">
        <v>57</v>
      </c>
      <c r="R10" s="4">
        <v>0</v>
      </c>
      <c r="S10" s="6">
        <v>1</v>
      </c>
      <c r="T10" s="6">
        <v>0</v>
      </c>
      <c r="U10" s="6">
        <v>0</v>
      </c>
      <c r="V10" s="6">
        <f>IF(ISERROR(VLOOKUP($S$10,'TAR FIN'!$A$1:$O$86,15,0)),0,VLOOKUP($S$10,'TAR FIN'!$A$1:$O$86,15,0))</f>
        <v>22.9</v>
      </c>
      <c r="W10" s="6">
        <f>IF(ISERROR(VLOOKUP($T$10,'TAR FIN'!$A$1:$O$86,15,0)),0,VLOOKUP($T$10,'TAR FIN'!$A$1:$O$86,15,0))</f>
        <v>0</v>
      </c>
      <c r="X10" s="6">
        <f>IF(ISERROR(VLOOKUP($U$10,'TAR FIN'!$A$1:$O$86,15,0)),0,VLOOKUP($U$10,'TAR FIN'!$A$1:$O$86,15,0))</f>
        <v>0</v>
      </c>
      <c r="Y10" s="6">
        <f ca="1">('TUSD BE'!$AM$6+'TUSD BF_350'!$AM$6+'TUSD CVA'!$AM$6)*1</f>
        <v>15.64</v>
      </c>
      <c r="Z10" s="6">
        <f ca="1">('TUSD BE'!$AM$7+'TUSD BF_350'!$AM$7+'TUSD CVA'!$AM$7)*1</f>
        <v>126.25</v>
      </c>
      <c r="AA10" s="6"/>
      <c r="AB10" s="6">
        <f>$K$10*$V$10</f>
        <v>27720.449999999997</v>
      </c>
      <c r="AC10" s="6">
        <f>$M$10*$W$10</f>
        <v>0</v>
      </c>
      <c r="AD10" s="6">
        <f>$O$10*$X$10</f>
        <v>0</v>
      </c>
      <c r="AE10" s="6">
        <f ca="1">$K$10*$Y$10</f>
        <v>18932.22</v>
      </c>
      <c r="AF10" s="6">
        <f ca="1">$M$10*$Z$10</f>
        <v>0</v>
      </c>
      <c r="AG10" s="6">
        <f>$O$10*$AA$10</f>
        <v>0</v>
      </c>
    </row>
    <row r="11" spans="1:48" ht="11.25" customHeight="1" x14ac:dyDescent="0.25">
      <c r="A11" s="4" t="s">
        <v>21</v>
      </c>
      <c r="B11" s="4" t="s">
        <v>35</v>
      </c>
      <c r="C11" s="4" t="s">
        <v>36</v>
      </c>
      <c r="D11" s="4" t="s">
        <v>34</v>
      </c>
      <c r="E11" s="4" t="s">
        <v>25</v>
      </c>
      <c r="F11" s="4" t="s">
        <v>56</v>
      </c>
      <c r="G11" s="4" t="s">
        <v>25</v>
      </c>
      <c r="H11" s="4" t="s">
        <v>38</v>
      </c>
      <c r="I11" s="5">
        <v>44682</v>
      </c>
      <c r="J11" s="6">
        <v>2500</v>
      </c>
      <c r="K11" s="6">
        <v>1250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4" t="s">
        <v>57</v>
      </c>
      <c r="R11" s="4">
        <v>0</v>
      </c>
      <c r="S11" s="6">
        <v>1</v>
      </c>
      <c r="T11" s="6">
        <v>0</v>
      </c>
      <c r="U11" s="6">
        <v>0</v>
      </c>
      <c r="V11" s="6">
        <f>IF(ISERROR(VLOOKUP($S$11,'TAR FIN'!$A$1:$O$86,15,0)),0,VLOOKUP($S$11,'TAR FIN'!$A$1:$O$86,15,0))</f>
        <v>22.9</v>
      </c>
      <c r="W11" s="6">
        <f>IF(ISERROR(VLOOKUP($T$11,'TAR FIN'!$A$1:$O$86,15,0)),0,VLOOKUP($T$11,'TAR FIN'!$A$1:$O$86,15,0))</f>
        <v>0</v>
      </c>
      <c r="X11" s="6">
        <f>IF(ISERROR(VLOOKUP($U$11,'TAR FIN'!$A$1:$O$86,15,0)),0,VLOOKUP($U$11,'TAR FIN'!$A$1:$O$86,15,0))</f>
        <v>0</v>
      </c>
      <c r="Y11" s="6">
        <f ca="1">('TUSD BE'!$AM$6+'TUSD BF_350'!$AM$6+'TUSD CVA'!$AM$6)*1</f>
        <v>15.64</v>
      </c>
      <c r="Z11" s="6">
        <f ca="1">('TUSD BE'!$AM$7+'TUSD BF_350'!$AM$7+'TUSD CVA'!$AM$7)*1</f>
        <v>126.25</v>
      </c>
      <c r="AA11" s="6"/>
      <c r="AB11" s="6">
        <f>$K$11*$V$11</f>
        <v>28625</v>
      </c>
      <c r="AC11" s="6">
        <f>$M$11*$W$11</f>
        <v>0</v>
      </c>
      <c r="AD11" s="6">
        <f>$O$11*$X$11</f>
        <v>0</v>
      </c>
      <c r="AE11" s="6">
        <f ca="1">$K$11*$Y$11</f>
        <v>19550</v>
      </c>
      <c r="AF11" s="6">
        <f ca="1">$M$11*$Z$11</f>
        <v>0</v>
      </c>
      <c r="AG11" s="6">
        <f>$O$11*$AA$11</f>
        <v>0</v>
      </c>
    </row>
    <row r="12" spans="1:48" ht="11.25" customHeight="1" x14ac:dyDescent="0.25">
      <c r="A12" s="4" t="s">
        <v>21</v>
      </c>
      <c r="B12" s="4" t="s">
        <v>35</v>
      </c>
      <c r="C12" s="4" t="s">
        <v>36</v>
      </c>
      <c r="D12" s="4" t="s">
        <v>34</v>
      </c>
      <c r="E12" s="4" t="s">
        <v>25</v>
      </c>
      <c r="F12" s="4" t="s">
        <v>56</v>
      </c>
      <c r="G12" s="4" t="s">
        <v>25</v>
      </c>
      <c r="H12" s="4" t="s">
        <v>38</v>
      </c>
      <c r="I12" s="5">
        <v>44713</v>
      </c>
      <c r="J12" s="6">
        <v>2500</v>
      </c>
      <c r="K12" s="6">
        <v>1250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4" t="s">
        <v>57</v>
      </c>
      <c r="R12" s="4">
        <v>0</v>
      </c>
      <c r="S12" s="6">
        <v>1</v>
      </c>
      <c r="T12" s="6">
        <v>0</v>
      </c>
      <c r="U12" s="6">
        <v>0</v>
      </c>
      <c r="V12" s="6">
        <f>IF(ISERROR(VLOOKUP($S$12,'TAR FIN'!$A$1:$O$86,15,0)),0,VLOOKUP($S$12,'TAR FIN'!$A$1:$O$86,15,0))</f>
        <v>22.9</v>
      </c>
      <c r="W12" s="6">
        <f>IF(ISERROR(VLOOKUP($T$12,'TAR FIN'!$A$1:$O$86,15,0)),0,VLOOKUP($T$12,'TAR FIN'!$A$1:$O$86,15,0))</f>
        <v>0</v>
      </c>
      <c r="X12" s="6">
        <f>IF(ISERROR(VLOOKUP($U$12,'TAR FIN'!$A$1:$O$86,15,0)),0,VLOOKUP($U$12,'TAR FIN'!$A$1:$O$86,15,0))</f>
        <v>0</v>
      </c>
      <c r="Y12" s="6">
        <f ca="1">('TUSD BE'!$AM$6+'TUSD BF_350'!$AM$6+'TUSD CVA'!$AM$6)*1</f>
        <v>15.64</v>
      </c>
      <c r="Z12" s="6">
        <f ca="1">('TUSD BE'!$AM$7+'TUSD BF_350'!$AM$7+'TUSD CVA'!$AM$7)*1</f>
        <v>126.25</v>
      </c>
      <c r="AA12" s="6"/>
      <c r="AB12" s="6">
        <f>$K$12*$V$12</f>
        <v>28625</v>
      </c>
      <c r="AC12" s="6">
        <f>$M$12*$W$12</f>
        <v>0</v>
      </c>
      <c r="AD12" s="6">
        <f>$O$12*$X$12</f>
        <v>0</v>
      </c>
      <c r="AE12" s="6">
        <f ca="1">$K$12*$Y$12</f>
        <v>19550</v>
      </c>
      <c r="AF12" s="6">
        <f ca="1">$M$12*$Z$12</f>
        <v>0</v>
      </c>
      <c r="AG12" s="6">
        <f>$O$12*$AA$12</f>
        <v>0</v>
      </c>
    </row>
    <row r="13" spans="1:48" ht="11.25" customHeight="1" x14ac:dyDescent="0.25">
      <c r="A13" s="4" t="s">
        <v>55</v>
      </c>
      <c r="B13" s="4" t="s">
        <v>35</v>
      </c>
      <c r="C13" s="4" t="s">
        <v>36</v>
      </c>
      <c r="D13" s="4" t="s">
        <v>34</v>
      </c>
      <c r="E13" s="4" t="s">
        <v>25</v>
      </c>
      <c r="F13" s="4" t="s">
        <v>56</v>
      </c>
      <c r="G13" s="4" t="s">
        <v>25</v>
      </c>
      <c r="H13" s="4" t="s">
        <v>38</v>
      </c>
      <c r="I13" s="5">
        <v>44743</v>
      </c>
      <c r="J13" s="6">
        <v>2500</v>
      </c>
      <c r="K13" s="6">
        <v>1250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4" t="s">
        <v>57</v>
      </c>
      <c r="R13" s="4">
        <v>0</v>
      </c>
      <c r="S13" s="6">
        <v>1</v>
      </c>
      <c r="T13" s="6">
        <v>0</v>
      </c>
      <c r="U13" s="6">
        <v>0</v>
      </c>
      <c r="V13" s="6">
        <f>IF(ISERROR(VLOOKUP($S$13,'TAR FIN'!$A$1:$O$86,15,0)),0,VLOOKUP($S$13,'TAR FIN'!$A$1:$O$86,15,0))</f>
        <v>22.9</v>
      </c>
      <c r="W13" s="6">
        <f>IF(ISERROR(VLOOKUP($T$13,'TAR FIN'!$A$1:$O$86,15,0)),0,VLOOKUP($T$13,'TAR FIN'!$A$1:$O$86,15,0))</f>
        <v>0</v>
      </c>
      <c r="X13" s="6">
        <f>IF(ISERROR(VLOOKUP($U$13,'TAR FIN'!$A$1:$O$86,15,0)),0,VLOOKUP($U$13,'TAR FIN'!$A$1:$O$86,15,0))</f>
        <v>0</v>
      </c>
      <c r="Y13" s="6">
        <f ca="1">('TUSD BE'!$AM$6+'TUSD BF_350'!$AM$6+'TUSD CVA'!$AM$6)*1</f>
        <v>15.64</v>
      </c>
      <c r="Z13" s="6">
        <f ca="1">('TUSD BE'!$AM$7+'TUSD BF_350'!$AM$7+'TUSD CVA'!$AM$7)*1</f>
        <v>126.25</v>
      </c>
      <c r="AA13" s="6"/>
      <c r="AB13" s="6">
        <f>$K$13*$V$13</f>
        <v>28625</v>
      </c>
      <c r="AC13" s="6">
        <f>$M$13*$W$13</f>
        <v>0</v>
      </c>
      <c r="AD13" s="6">
        <f>$O$13*$X$13</f>
        <v>0</v>
      </c>
      <c r="AE13" s="6">
        <f ca="1">$K$13*$Y$13</f>
        <v>19550</v>
      </c>
      <c r="AF13" s="6">
        <f ca="1">$M$13*$Z$13</f>
        <v>0</v>
      </c>
      <c r="AG13" s="6">
        <f>$O$13*$AA$13</f>
        <v>0</v>
      </c>
    </row>
    <row r="14" spans="1:48" ht="11.25" customHeight="1" x14ac:dyDescent="0.25">
      <c r="A14" s="4" t="s">
        <v>21</v>
      </c>
      <c r="B14" s="4" t="s">
        <v>35</v>
      </c>
      <c r="C14" s="4" t="s">
        <v>36</v>
      </c>
      <c r="D14" s="4" t="s">
        <v>34</v>
      </c>
      <c r="E14" s="4" t="s">
        <v>25</v>
      </c>
      <c r="F14" s="4" t="s">
        <v>56</v>
      </c>
      <c r="G14" s="4" t="s">
        <v>25</v>
      </c>
      <c r="H14" s="4" t="s">
        <v>25</v>
      </c>
      <c r="I14" s="5">
        <v>44409</v>
      </c>
      <c r="J14" s="6">
        <v>0</v>
      </c>
      <c r="K14" s="6">
        <v>0</v>
      </c>
      <c r="L14" s="6">
        <v>1047.816</v>
      </c>
      <c r="M14" s="6">
        <v>1047.816</v>
      </c>
      <c r="N14" s="6">
        <v>0</v>
      </c>
      <c r="O14" s="6">
        <v>0</v>
      </c>
      <c r="P14" s="6">
        <v>1</v>
      </c>
      <c r="Q14" s="4" t="s">
        <v>57</v>
      </c>
      <c r="R14" s="4">
        <v>0</v>
      </c>
      <c r="S14" s="6">
        <v>0</v>
      </c>
      <c r="T14" s="6">
        <v>27</v>
      </c>
      <c r="U14" s="6">
        <v>0</v>
      </c>
      <c r="V14" s="6">
        <f>IF(ISERROR(VLOOKUP($S$14,'TAR FIN'!$A$1:$O$86,15,0)),0,VLOOKUP($S$14,'TAR FIN'!$A$1:$O$86,15,0))</f>
        <v>0</v>
      </c>
      <c r="W14" s="6">
        <f>IF(ISERROR(VLOOKUP($T$14,'TAR FIN'!$A$1:$O$86,15,0)),0,VLOOKUP($T$14,'TAR FIN'!$A$1:$O$86,15,0))</f>
        <v>73.19</v>
      </c>
      <c r="X14" s="6">
        <f>IF(ISERROR(VLOOKUP($U$14,'TAR FIN'!$A$1:$O$86,15,0)),0,VLOOKUP($U$14,'TAR FIN'!$A$1:$O$86,15,0))</f>
        <v>0</v>
      </c>
      <c r="Y14" s="6"/>
      <c r="Z14" s="6">
        <f ca="1">('TUSD BE'!$AM$7+'TUSD BF_350'!$AM$7+'TUSD CVA'!$AM$7)*1</f>
        <v>126.25</v>
      </c>
      <c r="AA14" s="6"/>
      <c r="AB14" s="6">
        <f>$K$14*$V$14</f>
        <v>0</v>
      </c>
      <c r="AC14" s="6">
        <f>$M$14*$W$14</f>
        <v>76689.653040000005</v>
      </c>
      <c r="AD14" s="6">
        <f>$O$14*$X$14</f>
        <v>0</v>
      </c>
      <c r="AE14" s="6">
        <f>$K$14*$Y$14</f>
        <v>0</v>
      </c>
      <c r="AF14" s="6">
        <f ca="1">$M$14*$Z$14</f>
        <v>132286.76999999999</v>
      </c>
      <c r="AG14" s="6">
        <f>$O$14*$AA$14</f>
        <v>0</v>
      </c>
    </row>
    <row r="15" spans="1:48" ht="11.25" customHeight="1" x14ac:dyDescent="0.25">
      <c r="A15" s="4" t="s">
        <v>21</v>
      </c>
      <c r="B15" s="4" t="s">
        <v>35</v>
      </c>
      <c r="C15" s="4" t="s">
        <v>36</v>
      </c>
      <c r="D15" s="4" t="s">
        <v>34</v>
      </c>
      <c r="E15" s="4" t="s">
        <v>25</v>
      </c>
      <c r="F15" s="4" t="s">
        <v>56</v>
      </c>
      <c r="G15" s="4" t="s">
        <v>25</v>
      </c>
      <c r="H15" s="4" t="s">
        <v>25</v>
      </c>
      <c r="I15" s="5">
        <v>44440</v>
      </c>
      <c r="J15" s="6">
        <v>0</v>
      </c>
      <c r="K15" s="6">
        <v>0</v>
      </c>
      <c r="L15" s="6">
        <v>1103.0350000000001</v>
      </c>
      <c r="M15" s="6">
        <v>1103.0350000000001</v>
      </c>
      <c r="N15" s="6">
        <v>0</v>
      </c>
      <c r="O15" s="6">
        <v>0</v>
      </c>
      <c r="P15" s="6">
        <v>1</v>
      </c>
      <c r="Q15" s="4" t="s">
        <v>57</v>
      </c>
      <c r="R15" s="4">
        <v>0</v>
      </c>
      <c r="S15" s="6">
        <v>0</v>
      </c>
      <c r="T15" s="6">
        <v>27</v>
      </c>
      <c r="U15" s="6">
        <v>0</v>
      </c>
      <c r="V15" s="6">
        <f>IF(ISERROR(VLOOKUP($S$15,'TAR FIN'!$A$1:$O$86,15,0)),0,VLOOKUP($S$15,'TAR FIN'!$A$1:$O$86,15,0))</f>
        <v>0</v>
      </c>
      <c r="W15" s="6">
        <f>IF(ISERROR(VLOOKUP($T$15,'TAR FIN'!$A$1:$O$86,15,0)),0,VLOOKUP($T$15,'TAR FIN'!$A$1:$O$86,15,0))</f>
        <v>73.19</v>
      </c>
      <c r="X15" s="6">
        <f>IF(ISERROR(VLOOKUP($U$15,'TAR FIN'!$A$1:$O$86,15,0)),0,VLOOKUP($U$15,'TAR FIN'!$A$1:$O$86,15,0))</f>
        <v>0</v>
      </c>
      <c r="Y15" s="6"/>
      <c r="Z15" s="6">
        <f ca="1">('TUSD BE'!$AM$7+'TUSD BF_350'!$AM$7+'TUSD CVA'!$AM$7)*1</f>
        <v>126.25</v>
      </c>
      <c r="AA15" s="6"/>
      <c r="AB15" s="6">
        <f>$K$15*$V$15</f>
        <v>0</v>
      </c>
      <c r="AC15" s="6">
        <f>$M$15*$W$15</f>
        <v>80731.13165000001</v>
      </c>
      <c r="AD15" s="6">
        <f>$O$15*$X$15</f>
        <v>0</v>
      </c>
      <c r="AE15" s="6">
        <f>$K$15*$Y$15</f>
        <v>0</v>
      </c>
      <c r="AF15" s="6">
        <f ca="1">$M$15*$Z$15</f>
        <v>139258.16875000001</v>
      </c>
      <c r="AG15" s="6">
        <f>$O$15*$AA$15</f>
        <v>0</v>
      </c>
    </row>
    <row r="16" spans="1:48" ht="11.25" customHeight="1" x14ac:dyDescent="0.25">
      <c r="A16" s="4" t="s">
        <v>21</v>
      </c>
      <c r="B16" s="4" t="s">
        <v>35</v>
      </c>
      <c r="C16" s="4" t="s">
        <v>36</v>
      </c>
      <c r="D16" s="4" t="s">
        <v>34</v>
      </c>
      <c r="E16" s="4" t="s">
        <v>25</v>
      </c>
      <c r="F16" s="4" t="s">
        <v>56</v>
      </c>
      <c r="G16" s="4" t="s">
        <v>25</v>
      </c>
      <c r="H16" s="4" t="s">
        <v>25</v>
      </c>
      <c r="I16" s="5">
        <v>44470</v>
      </c>
      <c r="J16" s="6">
        <v>0</v>
      </c>
      <c r="K16" s="6">
        <v>0</v>
      </c>
      <c r="L16" s="6">
        <v>833.274</v>
      </c>
      <c r="M16" s="6">
        <v>833.274</v>
      </c>
      <c r="N16" s="6">
        <v>0</v>
      </c>
      <c r="O16" s="6">
        <v>0</v>
      </c>
      <c r="P16" s="6">
        <v>1</v>
      </c>
      <c r="Q16" s="4" t="s">
        <v>57</v>
      </c>
      <c r="R16" s="4">
        <v>0</v>
      </c>
      <c r="S16" s="6">
        <v>0</v>
      </c>
      <c r="T16" s="6">
        <v>27</v>
      </c>
      <c r="U16" s="6">
        <v>0</v>
      </c>
      <c r="V16" s="6">
        <f>IF(ISERROR(VLOOKUP($S$16,'TAR FIN'!$A$1:$O$86,15,0)),0,VLOOKUP($S$16,'TAR FIN'!$A$1:$O$86,15,0))</f>
        <v>0</v>
      </c>
      <c r="W16" s="6">
        <f>IF(ISERROR(VLOOKUP($T$16,'TAR FIN'!$A$1:$O$86,15,0)),0,VLOOKUP($T$16,'TAR FIN'!$A$1:$O$86,15,0))</f>
        <v>73.19</v>
      </c>
      <c r="X16" s="6">
        <f>IF(ISERROR(VLOOKUP($U$16,'TAR FIN'!$A$1:$O$86,15,0)),0,VLOOKUP($U$16,'TAR FIN'!$A$1:$O$86,15,0))</f>
        <v>0</v>
      </c>
      <c r="Y16" s="6"/>
      <c r="Z16" s="6">
        <f ca="1">('TUSD BE'!$AM$7+'TUSD BF_350'!$AM$7+'TUSD CVA'!$AM$7)*1</f>
        <v>126.25</v>
      </c>
      <c r="AA16" s="6"/>
      <c r="AB16" s="6">
        <f>$K$16*$V$16</f>
        <v>0</v>
      </c>
      <c r="AC16" s="6">
        <f>$M$16*$W$16</f>
        <v>60987.324059999999</v>
      </c>
      <c r="AD16" s="6">
        <f>$O$16*$X$16</f>
        <v>0</v>
      </c>
      <c r="AE16" s="6">
        <f>$K$16*$Y$16</f>
        <v>0</v>
      </c>
      <c r="AF16" s="6">
        <f ca="1">$M$16*$Z$16</f>
        <v>105200.8425</v>
      </c>
      <c r="AG16" s="6">
        <f>$O$16*$AA$16</f>
        <v>0</v>
      </c>
    </row>
    <row r="17" spans="1:33" ht="11.25" customHeight="1" x14ac:dyDescent="0.25">
      <c r="A17" s="4" t="s">
        <v>21</v>
      </c>
      <c r="B17" s="4" t="s">
        <v>35</v>
      </c>
      <c r="C17" s="4" t="s">
        <v>36</v>
      </c>
      <c r="D17" s="4" t="s">
        <v>34</v>
      </c>
      <c r="E17" s="4" t="s">
        <v>25</v>
      </c>
      <c r="F17" s="4" t="s">
        <v>56</v>
      </c>
      <c r="G17" s="4" t="s">
        <v>25</v>
      </c>
      <c r="H17" s="4" t="s">
        <v>25</v>
      </c>
      <c r="I17" s="5">
        <v>44501</v>
      </c>
      <c r="J17" s="6">
        <v>0</v>
      </c>
      <c r="K17" s="6">
        <v>0</v>
      </c>
      <c r="L17" s="6">
        <v>1142.8879999999999</v>
      </c>
      <c r="M17" s="6">
        <v>1142.8879999999999</v>
      </c>
      <c r="N17" s="6">
        <v>0</v>
      </c>
      <c r="O17" s="6">
        <v>0</v>
      </c>
      <c r="P17" s="6">
        <v>1</v>
      </c>
      <c r="Q17" s="4" t="s">
        <v>57</v>
      </c>
      <c r="R17" s="4">
        <v>0</v>
      </c>
      <c r="S17" s="6">
        <v>0</v>
      </c>
      <c r="T17" s="6">
        <v>27</v>
      </c>
      <c r="U17" s="6">
        <v>0</v>
      </c>
      <c r="V17" s="6">
        <f>IF(ISERROR(VLOOKUP($S$17,'TAR FIN'!$A$1:$O$86,15,0)),0,VLOOKUP($S$17,'TAR FIN'!$A$1:$O$86,15,0))</f>
        <v>0</v>
      </c>
      <c r="W17" s="6">
        <f>IF(ISERROR(VLOOKUP($T$17,'TAR FIN'!$A$1:$O$86,15,0)),0,VLOOKUP($T$17,'TAR FIN'!$A$1:$O$86,15,0))</f>
        <v>73.19</v>
      </c>
      <c r="X17" s="6">
        <f>IF(ISERROR(VLOOKUP($U$17,'TAR FIN'!$A$1:$O$86,15,0)),0,VLOOKUP($U$17,'TAR FIN'!$A$1:$O$86,15,0))</f>
        <v>0</v>
      </c>
      <c r="Y17" s="6"/>
      <c r="Z17" s="6">
        <f ca="1">('TUSD BE'!$AM$7+'TUSD BF_350'!$AM$7+'TUSD CVA'!$AM$7)*1</f>
        <v>126.25</v>
      </c>
      <c r="AA17" s="6"/>
      <c r="AB17" s="6">
        <f>$K$17*$V$17</f>
        <v>0</v>
      </c>
      <c r="AC17" s="6">
        <f>$M$17*$W$17</f>
        <v>83647.972719999991</v>
      </c>
      <c r="AD17" s="6">
        <f>$O$17*$X$17</f>
        <v>0</v>
      </c>
      <c r="AE17" s="6">
        <f>$K$17*$Y$17</f>
        <v>0</v>
      </c>
      <c r="AF17" s="6">
        <f ca="1">$M$17*$Z$17</f>
        <v>144289.60999999999</v>
      </c>
      <c r="AG17" s="6">
        <f>$O$17*$AA$17</f>
        <v>0</v>
      </c>
    </row>
    <row r="18" spans="1:33" ht="11.25" customHeight="1" x14ac:dyDescent="0.25">
      <c r="A18" s="4" t="s">
        <v>21</v>
      </c>
      <c r="B18" s="4" t="s">
        <v>35</v>
      </c>
      <c r="C18" s="4" t="s">
        <v>36</v>
      </c>
      <c r="D18" s="4" t="s">
        <v>34</v>
      </c>
      <c r="E18" s="4" t="s">
        <v>25</v>
      </c>
      <c r="F18" s="4" t="s">
        <v>56</v>
      </c>
      <c r="G18" s="4" t="s">
        <v>25</v>
      </c>
      <c r="H18" s="4" t="s">
        <v>25</v>
      </c>
      <c r="I18" s="5">
        <v>44531</v>
      </c>
      <c r="J18" s="6">
        <v>0</v>
      </c>
      <c r="K18" s="6">
        <v>0</v>
      </c>
      <c r="L18" s="6">
        <v>967.81600000000003</v>
      </c>
      <c r="M18" s="6">
        <v>967.81600000000003</v>
      </c>
      <c r="N18" s="6">
        <v>0</v>
      </c>
      <c r="O18" s="6">
        <v>0</v>
      </c>
      <c r="P18" s="6">
        <v>1</v>
      </c>
      <c r="Q18" s="4" t="s">
        <v>57</v>
      </c>
      <c r="R18" s="4">
        <v>0</v>
      </c>
      <c r="S18" s="6">
        <v>0</v>
      </c>
      <c r="T18" s="6">
        <v>27</v>
      </c>
      <c r="U18" s="6">
        <v>0</v>
      </c>
      <c r="V18" s="6">
        <f>IF(ISERROR(VLOOKUP($S$18,'TAR FIN'!$A$1:$O$86,15,0)),0,VLOOKUP($S$18,'TAR FIN'!$A$1:$O$86,15,0))</f>
        <v>0</v>
      </c>
      <c r="W18" s="6">
        <f>IF(ISERROR(VLOOKUP($T$18,'TAR FIN'!$A$1:$O$86,15,0)),0,VLOOKUP($T$18,'TAR FIN'!$A$1:$O$86,15,0))</f>
        <v>73.19</v>
      </c>
      <c r="X18" s="6">
        <f>IF(ISERROR(VLOOKUP($U$18,'TAR FIN'!$A$1:$O$86,15,0)),0,VLOOKUP($U$18,'TAR FIN'!$A$1:$O$86,15,0))</f>
        <v>0</v>
      </c>
      <c r="Y18" s="6"/>
      <c r="Z18" s="6">
        <f ca="1">('TUSD BE'!$AM$7+'TUSD BF_350'!$AM$7+'TUSD CVA'!$AM$7)*1</f>
        <v>126.25</v>
      </c>
      <c r="AA18" s="6"/>
      <c r="AB18" s="6">
        <f>$K$18*$V$18</f>
        <v>0</v>
      </c>
      <c r="AC18" s="6">
        <f>$M$18*$W$18</f>
        <v>70834.453039999993</v>
      </c>
      <c r="AD18" s="6">
        <f>$O$18*$X$18</f>
        <v>0</v>
      </c>
      <c r="AE18" s="6">
        <f>$K$18*$Y$18</f>
        <v>0</v>
      </c>
      <c r="AF18" s="6">
        <f ca="1">$M$18*$Z$18</f>
        <v>122186.77</v>
      </c>
      <c r="AG18" s="6">
        <f>$O$18*$AA$18</f>
        <v>0</v>
      </c>
    </row>
    <row r="19" spans="1:33" ht="11.25" customHeight="1" x14ac:dyDescent="0.25">
      <c r="A19" s="4" t="s">
        <v>21</v>
      </c>
      <c r="B19" s="4" t="s">
        <v>35</v>
      </c>
      <c r="C19" s="4" t="s">
        <v>36</v>
      </c>
      <c r="D19" s="4" t="s">
        <v>34</v>
      </c>
      <c r="E19" s="4" t="s">
        <v>25</v>
      </c>
      <c r="F19" s="4" t="s">
        <v>56</v>
      </c>
      <c r="G19" s="4" t="s">
        <v>25</v>
      </c>
      <c r="H19" s="4" t="s">
        <v>25</v>
      </c>
      <c r="I19" s="5">
        <v>44562</v>
      </c>
      <c r="J19" s="6">
        <v>0</v>
      </c>
      <c r="K19" s="6">
        <v>0</v>
      </c>
      <c r="L19" s="6">
        <v>829.04499999999996</v>
      </c>
      <c r="M19" s="6">
        <v>829.04499999999996</v>
      </c>
      <c r="N19" s="6">
        <v>0</v>
      </c>
      <c r="O19" s="6">
        <v>0</v>
      </c>
      <c r="P19" s="6">
        <v>1</v>
      </c>
      <c r="Q19" s="4" t="s">
        <v>57</v>
      </c>
      <c r="R19" s="4">
        <v>0</v>
      </c>
      <c r="S19" s="6">
        <v>0</v>
      </c>
      <c r="T19" s="6">
        <v>27</v>
      </c>
      <c r="U19" s="6">
        <v>0</v>
      </c>
      <c r="V19" s="6">
        <f>IF(ISERROR(VLOOKUP($S$19,'TAR FIN'!$A$1:$O$86,15,0)),0,VLOOKUP($S$19,'TAR FIN'!$A$1:$O$86,15,0))</f>
        <v>0</v>
      </c>
      <c r="W19" s="6">
        <f>IF(ISERROR(VLOOKUP($T$19,'TAR FIN'!$A$1:$O$86,15,0)),0,VLOOKUP($T$19,'TAR FIN'!$A$1:$O$86,15,0))</f>
        <v>73.19</v>
      </c>
      <c r="X19" s="6">
        <f>IF(ISERROR(VLOOKUP($U$19,'TAR FIN'!$A$1:$O$86,15,0)),0,VLOOKUP($U$19,'TAR FIN'!$A$1:$O$86,15,0))</f>
        <v>0</v>
      </c>
      <c r="Y19" s="6"/>
      <c r="Z19" s="6">
        <f ca="1">('TUSD BE'!$AM$7+'TUSD BF_350'!$AM$7+'TUSD CVA'!$AM$7)*1</f>
        <v>126.25</v>
      </c>
      <c r="AA19" s="6"/>
      <c r="AB19" s="6">
        <f>$K$19*$V$19</f>
        <v>0</v>
      </c>
      <c r="AC19" s="6">
        <f>$M$19*$W$19</f>
        <v>60677.803549999997</v>
      </c>
      <c r="AD19" s="6">
        <f>$O$19*$X$19</f>
        <v>0</v>
      </c>
      <c r="AE19" s="6">
        <f>$K$19*$Y$19</f>
        <v>0</v>
      </c>
      <c r="AF19" s="6">
        <f ca="1">$M$19*$Z$19</f>
        <v>104666.93124999999</v>
      </c>
      <c r="AG19" s="6">
        <f>$O$19*$AA$19</f>
        <v>0</v>
      </c>
    </row>
    <row r="20" spans="1:33" ht="11.25" customHeight="1" x14ac:dyDescent="0.25">
      <c r="A20" s="4" t="s">
        <v>21</v>
      </c>
      <c r="B20" s="4" t="s">
        <v>35</v>
      </c>
      <c r="C20" s="4" t="s">
        <v>36</v>
      </c>
      <c r="D20" s="4" t="s">
        <v>34</v>
      </c>
      <c r="E20" s="4" t="s">
        <v>25</v>
      </c>
      <c r="F20" s="4" t="s">
        <v>56</v>
      </c>
      <c r="G20" s="4" t="s">
        <v>25</v>
      </c>
      <c r="H20" s="4" t="s">
        <v>25</v>
      </c>
      <c r="I20" s="5">
        <v>44593</v>
      </c>
      <c r="J20" s="6">
        <v>0</v>
      </c>
      <c r="K20" s="6">
        <v>0</v>
      </c>
      <c r="L20" s="6">
        <v>770.24199999999996</v>
      </c>
      <c r="M20" s="6">
        <v>770.24199999999996</v>
      </c>
      <c r="N20" s="6">
        <v>0</v>
      </c>
      <c r="O20" s="6">
        <v>0</v>
      </c>
      <c r="P20" s="6">
        <v>1</v>
      </c>
      <c r="Q20" s="4" t="s">
        <v>57</v>
      </c>
      <c r="R20" s="4">
        <v>0</v>
      </c>
      <c r="S20" s="6">
        <v>0</v>
      </c>
      <c r="T20" s="6">
        <v>27</v>
      </c>
      <c r="U20" s="6">
        <v>0</v>
      </c>
      <c r="V20" s="6">
        <f>IF(ISERROR(VLOOKUP($S$20,'TAR FIN'!$A$1:$O$86,15,0)),0,VLOOKUP($S$20,'TAR FIN'!$A$1:$O$86,15,0))</f>
        <v>0</v>
      </c>
      <c r="W20" s="6">
        <f>IF(ISERROR(VLOOKUP($T$20,'TAR FIN'!$A$1:$O$86,15,0)),0,VLOOKUP($T$20,'TAR FIN'!$A$1:$O$86,15,0))</f>
        <v>73.19</v>
      </c>
      <c r="X20" s="6">
        <f>IF(ISERROR(VLOOKUP($U$20,'TAR FIN'!$A$1:$O$86,15,0)),0,VLOOKUP($U$20,'TAR FIN'!$A$1:$O$86,15,0))</f>
        <v>0</v>
      </c>
      <c r="Y20" s="6"/>
      <c r="Z20" s="6">
        <f ca="1">('TUSD BE'!$AM$7+'TUSD BF_350'!$AM$7+'TUSD CVA'!$AM$7)*1</f>
        <v>126.25</v>
      </c>
      <c r="AA20" s="6"/>
      <c r="AB20" s="6">
        <f>$K$20*$V$20</f>
        <v>0</v>
      </c>
      <c r="AC20" s="6">
        <f>$M$20*$W$20</f>
        <v>56374.011979999996</v>
      </c>
      <c r="AD20" s="6">
        <f>$O$20*$X$20</f>
        <v>0</v>
      </c>
      <c r="AE20" s="6">
        <f>$K$20*$Y$20</f>
        <v>0</v>
      </c>
      <c r="AF20" s="6">
        <f ca="1">$M$20*$Z$20</f>
        <v>97243.052499999991</v>
      </c>
      <c r="AG20" s="6">
        <f>$O$20*$AA$20</f>
        <v>0</v>
      </c>
    </row>
    <row r="21" spans="1:33" ht="11.25" customHeight="1" x14ac:dyDescent="0.25">
      <c r="A21" s="4" t="s">
        <v>21</v>
      </c>
      <c r="B21" s="4" t="s">
        <v>35</v>
      </c>
      <c r="C21" s="4" t="s">
        <v>36</v>
      </c>
      <c r="D21" s="4" t="s">
        <v>34</v>
      </c>
      <c r="E21" s="4" t="s">
        <v>25</v>
      </c>
      <c r="F21" s="4" t="s">
        <v>56</v>
      </c>
      <c r="G21" s="4" t="s">
        <v>25</v>
      </c>
      <c r="H21" s="4" t="s">
        <v>25</v>
      </c>
      <c r="I21" s="5">
        <v>44621</v>
      </c>
      <c r="J21" s="6">
        <v>0</v>
      </c>
      <c r="K21" s="6">
        <v>0</v>
      </c>
      <c r="L21" s="6">
        <v>790.34799999999996</v>
      </c>
      <c r="M21" s="6">
        <v>790.34799999999996</v>
      </c>
      <c r="N21" s="6">
        <v>0</v>
      </c>
      <c r="O21" s="6">
        <v>0</v>
      </c>
      <c r="P21" s="6">
        <v>1</v>
      </c>
      <c r="Q21" s="4" t="s">
        <v>57</v>
      </c>
      <c r="R21" s="4">
        <v>0</v>
      </c>
      <c r="S21" s="6">
        <v>0</v>
      </c>
      <c r="T21" s="6">
        <v>27</v>
      </c>
      <c r="U21" s="6">
        <v>0</v>
      </c>
      <c r="V21" s="6">
        <f>IF(ISERROR(VLOOKUP($S$21,'TAR FIN'!$A$1:$O$86,15,0)),0,VLOOKUP($S$21,'TAR FIN'!$A$1:$O$86,15,0))</f>
        <v>0</v>
      </c>
      <c r="W21" s="6">
        <f>IF(ISERROR(VLOOKUP($T$21,'TAR FIN'!$A$1:$O$86,15,0)),0,VLOOKUP($T$21,'TAR FIN'!$A$1:$O$86,15,0))</f>
        <v>73.19</v>
      </c>
      <c r="X21" s="6">
        <f>IF(ISERROR(VLOOKUP($U$21,'TAR FIN'!$A$1:$O$86,15,0)),0,VLOOKUP($U$21,'TAR FIN'!$A$1:$O$86,15,0))</f>
        <v>0</v>
      </c>
      <c r="Y21" s="6"/>
      <c r="Z21" s="6">
        <f ca="1">('TUSD BE'!$AM$7+'TUSD BF_350'!$AM$7+'TUSD CVA'!$AM$7)*1</f>
        <v>126.25</v>
      </c>
      <c r="AA21" s="6"/>
      <c r="AB21" s="6">
        <f>$K$21*$V$21</f>
        <v>0</v>
      </c>
      <c r="AC21" s="6">
        <f>$M$21*$W$21</f>
        <v>57845.570119999997</v>
      </c>
      <c r="AD21" s="6">
        <f>$O$21*$X$21</f>
        <v>0</v>
      </c>
      <c r="AE21" s="6">
        <f>$K$21*$Y$21</f>
        <v>0</v>
      </c>
      <c r="AF21" s="6">
        <f ca="1">$M$21*$Z$21</f>
        <v>99781.434999999998</v>
      </c>
      <c r="AG21" s="6">
        <f>$O$21*$AA$21</f>
        <v>0</v>
      </c>
    </row>
    <row r="22" spans="1:33" ht="11.25" customHeight="1" x14ac:dyDescent="0.25">
      <c r="A22" s="4" t="s">
        <v>21</v>
      </c>
      <c r="B22" s="4" t="s">
        <v>35</v>
      </c>
      <c r="C22" s="4" t="s">
        <v>36</v>
      </c>
      <c r="D22" s="4" t="s">
        <v>34</v>
      </c>
      <c r="E22" s="4" t="s">
        <v>25</v>
      </c>
      <c r="F22" s="4" t="s">
        <v>56</v>
      </c>
      <c r="G22" s="4" t="s">
        <v>25</v>
      </c>
      <c r="H22" s="4" t="s">
        <v>25</v>
      </c>
      <c r="I22" s="5">
        <v>44652</v>
      </c>
      <c r="J22" s="6">
        <v>0</v>
      </c>
      <c r="K22" s="6">
        <v>0</v>
      </c>
      <c r="L22" s="6">
        <v>945.61</v>
      </c>
      <c r="M22" s="6">
        <v>945.61</v>
      </c>
      <c r="N22" s="6">
        <v>0</v>
      </c>
      <c r="O22" s="6">
        <v>0</v>
      </c>
      <c r="P22" s="6">
        <v>1</v>
      </c>
      <c r="Q22" s="4" t="s">
        <v>57</v>
      </c>
      <c r="R22" s="4">
        <v>0</v>
      </c>
      <c r="S22" s="6">
        <v>0</v>
      </c>
      <c r="T22" s="6">
        <v>27</v>
      </c>
      <c r="U22" s="6">
        <v>0</v>
      </c>
      <c r="V22" s="6">
        <f>IF(ISERROR(VLOOKUP($S$22,'TAR FIN'!$A$1:$O$86,15,0)),0,VLOOKUP($S$22,'TAR FIN'!$A$1:$O$86,15,0))</f>
        <v>0</v>
      </c>
      <c r="W22" s="6">
        <f>IF(ISERROR(VLOOKUP($T$22,'TAR FIN'!$A$1:$O$86,15,0)),0,VLOOKUP($T$22,'TAR FIN'!$A$1:$O$86,15,0))</f>
        <v>73.19</v>
      </c>
      <c r="X22" s="6">
        <f>IF(ISERROR(VLOOKUP($U$22,'TAR FIN'!$A$1:$O$86,15,0)),0,VLOOKUP($U$22,'TAR FIN'!$A$1:$O$86,15,0))</f>
        <v>0</v>
      </c>
      <c r="Y22" s="6"/>
      <c r="Z22" s="6">
        <f ca="1">('TUSD BE'!$AM$7+'TUSD BF_350'!$AM$7+'TUSD CVA'!$AM$7)*1</f>
        <v>126.25</v>
      </c>
      <c r="AA22" s="6"/>
      <c r="AB22" s="6">
        <f>$K$22*$V$22</f>
        <v>0</v>
      </c>
      <c r="AC22" s="6">
        <f>$M$22*$W$22</f>
        <v>69209.195900000006</v>
      </c>
      <c r="AD22" s="6">
        <f>$O$22*$X$22</f>
        <v>0</v>
      </c>
      <c r="AE22" s="6">
        <f>$K$22*$Y$22</f>
        <v>0</v>
      </c>
      <c r="AF22" s="6">
        <f ca="1">$M$22*$Z$22</f>
        <v>119383.2625</v>
      </c>
      <c r="AG22" s="6">
        <f>$O$22*$AA$22</f>
        <v>0</v>
      </c>
    </row>
    <row r="23" spans="1:33" ht="11.25" customHeight="1" x14ac:dyDescent="0.25">
      <c r="A23" s="4" t="s">
        <v>21</v>
      </c>
      <c r="B23" s="4" t="s">
        <v>35</v>
      </c>
      <c r="C23" s="4" t="s">
        <v>36</v>
      </c>
      <c r="D23" s="4" t="s">
        <v>34</v>
      </c>
      <c r="E23" s="4" t="s">
        <v>25</v>
      </c>
      <c r="F23" s="4" t="s">
        <v>56</v>
      </c>
      <c r="G23" s="4" t="s">
        <v>25</v>
      </c>
      <c r="H23" s="4" t="s">
        <v>25</v>
      </c>
      <c r="I23" s="5">
        <v>44682</v>
      </c>
      <c r="J23" s="6">
        <v>0</v>
      </c>
      <c r="K23" s="6">
        <v>0</v>
      </c>
      <c r="L23" s="6">
        <v>1069.9860000000001</v>
      </c>
      <c r="M23" s="6">
        <v>1069.9860000000001</v>
      </c>
      <c r="N23" s="6">
        <v>0</v>
      </c>
      <c r="O23" s="6">
        <v>0</v>
      </c>
      <c r="P23" s="6">
        <v>1</v>
      </c>
      <c r="Q23" s="4" t="s">
        <v>57</v>
      </c>
      <c r="R23" s="4">
        <v>0</v>
      </c>
      <c r="S23" s="6">
        <v>0</v>
      </c>
      <c r="T23" s="6">
        <v>27</v>
      </c>
      <c r="U23" s="6">
        <v>0</v>
      </c>
      <c r="V23" s="6">
        <f>IF(ISERROR(VLOOKUP($S$23,'TAR FIN'!$A$1:$O$86,15,0)),0,VLOOKUP($S$23,'TAR FIN'!$A$1:$O$86,15,0))</f>
        <v>0</v>
      </c>
      <c r="W23" s="6">
        <f>IF(ISERROR(VLOOKUP($T$23,'TAR FIN'!$A$1:$O$86,15,0)),0,VLOOKUP($T$23,'TAR FIN'!$A$1:$O$86,15,0))</f>
        <v>73.19</v>
      </c>
      <c r="X23" s="6">
        <f>IF(ISERROR(VLOOKUP($U$23,'TAR FIN'!$A$1:$O$86,15,0)),0,VLOOKUP($U$23,'TAR FIN'!$A$1:$O$86,15,0))</f>
        <v>0</v>
      </c>
      <c r="Y23" s="6"/>
      <c r="Z23" s="6">
        <f ca="1">('TUSD BE'!$AM$7+'TUSD BF_350'!$AM$7+'TUSD CVA'!$AM$7)*1</f>
        <v>126.25</v>
      </c>
      <c r="AA23" s="6"/>
      <c r="AB23" s="6">
        <f>$K$23*$V$23</f>
        <v>0</v>
      </c>
      <c r="AC23" s="6">
        <f>$M$23*$W$23</f>
        <v>78312.275340000007</v>
      </c>
      <c r="AD23" s="6">
        <f>$O$23*$X$23</f>
        <v>0</v>
      </c>
      <c r="AE23" s="6">
        <f>$K$23*$Y$23</f>
        <v>0</v>
      </c>
      <c r="AF23" s="6">
        <f ca="1">$M$23*$Z$23</f>
        <v>135085.73250000001</v>
      </c>
      <c r="AG23" s="6">
        <f>$O$23*$AA$23</f>
        <v>0</v>
      </c>
    </row>
    <row r="24" spans="1:33" ht="11.25" customHeight="1" x14ac:dyDescent="0.25">
      <c r="A24" s="4" t="s">
        <v>21</v>
      </c>
      <c r="B24" s="4" t="s">
        <v>35</v>
      </c>
      <c r="C24" s="4" t="s">
        <v>36</v>
      </c>
      <c r="D24" s="4" t="s">
        <v>34</v>
      </c>
      <c r="E24" s="4" t="s">
        <v>25</v>
      </c>
      <c r="F24" s="4" t="s">
        <v>56</v>
      </c>
      <c r="G24" s="4" t="s">
        <v>25</v>
      </c>
      <c r="H24" s="4" t="s">
        <v>25</v>
      </c>
      <c r="I24" s="5">
        <v>44713</v>
      </c>
      <c r="J24" s="6">
        <v>0</v>
      </c>
      <c r="K24" s="6">
        <v>0</v>
      </c>
      <c r="L24" s="6">
        <v>838.41700000000003</v>
      </c>
      <c r="M24" s="6">
        <v>838.41700000000003</v>
      </c>
      <c r="N24" s="6">
        <v>0</v>
      </c>
      <c r="O24" s="6">
        <v>0</v>
      </c>
      <c r="P24" s="6">
        <v>1</v>
      </c>
      <c r="Q24" s="4" t="s">
        <v>57</v>
      </c>
      <c r="R24" s="4">
        <v>0</v>
      </c>
      <c r="S24" s="6">
        <v>0</v>
      </c>
      <c r="T24" s="6">
        <v>27</v>
      </c>
      <c r="U24" s="6">
        <v>0</v>
      </c>
      <c r="V24" s="6">
        <f>IF(ISERROR(VLOOKUP($S$24,'TAR FIN'!$A$1:$O$86,15,0)),0,VLOOKUP($S$24,'TAR FIN'!$A$1:$O$86,15,0))</f>
        <v>0</v>
      </c>
      <c r="W24" s="6">
        <f>IF(ISERROR(VLOOKUP($T$24,'TAR FIN'!$A$1:$O$86,15,0)),0,VLOOKUP($T$24,'TAR FIN'!$A$1:$O$86,15,0))</f>
        <v>73.19</v>
      </c>
      <c r="X24" s="6">
        <f>IF(ISERROR(VLOOKUP($U$24,'TAR FIN'!$A$1:$O$86,15,0)),0,VLOOKUP($U$24,'TAR FIN'!$A$1:$O$86,15,0))</f>
        <v>0</v>
      </c>
      <c r="Y24" s="6"/>
      <c r="Z24" s="6">
        <f ca="1">('TUSD BE'!$AM$7+'TUSD BF_350'!$AM$7+'TUSD CVA'!$AM$7)*1</f>
        <v>126.25</v>
      </c>
      <c r="AA24" s="6"/>
      <c r="AB24" s="6">
        <f>$K$24*$V$24</f>
        <v>0</v>
      </c>
      <c r="AC24" s="6">
        <f>$M$24*$W$24</f>
        <v>61363.740230000003</v>
      </c>
      <c r="AD24" s="6">
        <f>$O$24*$X$24</f>
        <v>0</v>
      </c>
      <c r="AE24" s="6">
        <f>$K$24*$Y$24</f>
        <v>0</v>
      </c>
      <c r="AF24" s="6">
        <f ca="1">$M$24*$Z$24</f>
        <v>105850.14625000001</v>
      </c>
      <c r="AG24" s="6">
        <f>$O$24*$AA$24</f>
        <v>0</v>
      </c>
    </row>
    <row r="25" spans="1:33" ht="11.25" customHeight="1" x14ac:dyDescent="0.25">
      <c r="A25" s="4" t="s">
        <v>55</v>
      </c>
      <c r="B25" s="4" t="s">
        <v>35</v>
      </c>
      <c r="C25" s="4" t="s">
        <v>36</v>
      </c>
      <c r="D25" s="4" t="s">
        <v>34</v>
      </c>
      <c r="E25" s="4" t="s">
        <v>25</v>
      </c>
      <c r="F25" s="4" t="s">
        <v>56</v>
      </c>
      <c r="G25" s="4" t="s">
        <v>25</v>
      </c>
      <c r="H25" s="4" t="s">
        <v>25</v>
      </c>
      <c r="I25" s="5">
        <v>44743</v>
      </c>
      <c r="J25" s="6">
        <v>0</v>
      </c>
      <c r="K25" s="6">
        <v>0</v>
      </c>
      <c r="L25" s="6">
        <v>838.41700000000003</v>
      </c>
      <c r="M25" s="6">
        <v>838.41700000000003</v>
      </c>
      <c r="N25" s="6">
        <v>0</v>
      </c>
      <c r="O25" s="6">
        <v>0</v>
      </c>
      <c r="P25" s="6">
        <v>1</v>
      </c>
      <c r="Q25" s="4" t="s">
        <v>57</v>
      </c>
      <c r="R25" s="4">
        <v>0</v>
      </c>
      <c r="S25" s="6">
        <v>0</v>
      </c>
      <c r="T25" s="6">
        <v>27</v>
      </c>
      <c r="U25" s="6">
        <v>0</v>
      </c>
      <c r="V25" s="6">
        <f>IF(ISERROR(VLOOKUP($S$25,'TAR FIN'!$A$1:$O$86,15,0)),0,VLOOKUP($S$25,'TAR FIN'!$A$1:$O$86,15,0))</f>
        <v>0</v>
      </c>
      <c r="W25" s="6">
        <f>IF(ISERROR(VLOOKUP($T$25,'TAR FIN'!$A$1:$O$86,15,0)),0,VLOOKUP($T$25,'TAR FIN'!$A$1:$O$86,15,0))</f>
        <v>73.19</v>
      </c>
      <c r="X25" s="6">
        <f>IF(ISERROR(VLOOKUP($U$25,'TAR FIN'!$A$1:$O$86,15,0)),0,VLOOKUP($U$25,'TAR FIN'!$A$1:$O$86,15,0))</f>
        <v>0</v>
      </c>
      <c r="Y25" s="6"/>
      <c r="Z25" s="6">
        <f ca="1">('TUSD BE'!$AM$7+'TUSD BF_350'!$AM$7+'TUSD CVA'!$AM$7)*1</f>
        <v>126.25</v>
      </c>
      <c r="AA25" s="6"/>
      <c r="AB25" s="6">
        <f>$K$25*$V$25</f>
        <v>0</v>
      </c>
      <c r="AC25" s="6">
        <f>$M$25*$W$25</f>
        <v>61363.740230000003</v>
      </c>
      <c r="AD25" s="6">
        <f>$O$25*$X$25</f>
        <v>0</v>
      </c>
      <c r="AE25" s="6">
        <f>$K$25*$Y$25</f>
        <v>0</v>
      </c>
      <c r="AF25" s="6">
        <f ca="1">$M$25*$Z$25</f>
        <v>105850.14625000001</v>
      </c>
      <c r="AG25" s="6">
        <f>$O$25*$AA$25</f>
        <v>0</v>
      </c>
    </row>
    <row r="26" spans="1:33" ht="11.25" customHeight="1" x14ac:dyDescent="0.25">
      <c r="A26" s="4" t="s">
        <v>21</v>
      </c>
      <c r="B26" s="4" t="s">
        <v>35</v>
      </c>
      <c r="C26" s="4" t="s">
        <v>36</v>
      </c>
      <c r="D26" s="4" t="s">
        <v>34</v>
      </c>
      <c r="E26" s="4" t="s">
        <v>25</v>
      </c>
      <c r="F26" s="4" t="s">
        <v>56</v>
      </c>
      <c r="G26" s="4" t="s">
        <v>25</v>
      </c>
      <c r="H26" s="4" t="s">
        <v>37</v>
      </c>
      <c r="I26" s="5">
        <v>44409</v>
      </c>
      <c r="J26" s="6">
        <v>121</v>
      </c>
      <c r="K26" s="6">
        <v>60.5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4" t="s">
        <v>57</v>
      </c>
      <c r="R26" s="4">
        <v>0</v>
      </c>
      <c r="S26" s="6">
        <v>7</v>
      </c>
      <c r="T26" s="6">
        <v>0</v>
      </c>
      <c r="U26" s="6">
        <v>0</v>
      </c>
      <c r="V26" s="6">
        <f>IF(ISERROR(VLOOKUP($S$26,'TAR FIN'!$A$1:$O$86,15,0)),0,VLOOKUP($S$26,'TAR FIN'!$A$1:$O$86,15,0))</f>
        <v>59.47</v>
      </c>
      <c r="W26" s="6">
        <f>IF(ISERROR(VLOOKUP($T$26,'TAR FIN'!$A$1:$O$86,15,0)),0,VLOOKUP($T$26,'TAR FIN'!$A$1:$O$86,15,0))</f>
        <v>0</v>
      </c>
      <c r="X26" s="6">
        <f>IF(ISERROR(VLOOKUP($U$26,'TAR FIN'!$A$1:$O$86,15,0)),0,VLOOKUP($U$26,'TAR FIN'!$A$1:$O$86,15,0))</f>
        <v>0</v>
      </c>
      <c r="Y26" s="6">
        <f ca="1">('TUSD BE'!$AM$5+'TUSD BF_350'!$AM$5+'TUSD CVA'!$AM$5)*1</f>
        <v>32.350000000000009</v>
      </c>
      <c r="Z26" s="6">
        <f ca="1">('TUSD BE'!$AM$7+'TUSD BF_350'!$AM$7+'TUSD CVA'!$AM$7)*1</f>
        <v>126.25</v>
      </c>
      <c r="AA26" s="6"/>
      <c r="AB26" s="6">
        <f>$K$26*$V$26</f>
        <v>3597.9349999999999</v>
      </c>
      <c r="AC26" s="6">
        <f>$M$26*$W$26</f>
        <v>0</v>
      </c>
      <c r="AD26" s="6">
        <f>$O$26*$X$26</f>
        <v>0</v>
      </c>
      <c r="AE26" s="6">
        <f ca="1">$K$26*$Y$26</f>
        <v>1957.1750000000004</v>
      </c>
      <c r="AF26" s="6">
        <f ca="1">$M$26*$Z$26</f>
        <v>0</v>
      </c>
      <c r="AG26" s="6">
        <f>$O$26*$AA$26</f>
        <v>0</v>
      </c>
    </row>
    <row r="27" spans="1:33" ht="11.25" customHeight="1" x14ac:dyDescent="0.25">
      <c r="A27" s="4" t="s">
        <v>21</v>
      </c>
      <c r="B27" s="4" t="s">
        <v>35</v>
      </c>
      <c r="C27" s="4" t="s">
        <v>36</v>
      </c>
      <c r="D27" s="4" t="s">
        <v>34</v>
      </c>
      <c r="E27" s="4" t="s">
        <v>25</v>
      </c>
      <c r="F27" s="4" t="s">
        <v>56</v>
      </c>
      <c r="G27" s="4" t="s">
        <v>25</v>
      </c>
      <c r="H27" s="4" t="s">
        <v>37</v>
      </c>
      <c r="I27" s="5">
        <v>44440</v>
      </c>
      <c r="J27" s="6">
        <v>123</v>
      </c>
      <c r="K27" s="6">
        <v>61.5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4" t="s">
        <v>57</v>
      </c>
      <c r="R27" s="4">
        <v>0</v>
      </c>
      <c r="S27" s="6">
        <v>7</v>
      </c>
      <c r="T27" s="6">
        <v>0</v>
      </c>
      <c r="U27" s="6">
        <v>0</v>
      </c>
      <c r="V27" s="6">
        <f>IF(ISERROR(VLOOKUP($S$27,'TAR FIN'!$A$1:$O$86,15,0)),0,VLOOKUP($S$27,'TAR FIN'!$A$1:$O$86,15,0))</f>
        <v>59.47</v>
      </c>
      <c r="W27" s="6">
        <f>IF(ISERROR(VLOOKUP($T$27,'TAR FIN'!$A$1:$O$86,15,0)),0,VLOOKUP($T$27,'TAR FIN'!$A$1:$O$86,15,0))</f>
        <v>0</v>
      </c>
      <c r="X27" s="6">
        <f>IF(ISERROR(VLOOKUP($U$27,'TAR FIN'!$A$1:$O$86,15,0)),0,VLOOKUP($U$27,'TAR FIN'!$A$1:$O$86,15,0))</f>
        <v>0</v>
      </c>
      <c r="Y27" s="6">
        <f ca="1">('TUSD BE'!$AM$5+'TUSD BF_350'!$AM$5+'TUSD CVA'!$AM$5)*1</f>
        <v>32.350000000000009</v>
      </c>
      <c r="Z27" s="6">
        <f ca="1">('TUSD BE'!$AM$7+'TUSD BF_350'!$AM$7+'TUSD CVA'!$AM$7)*1</f>
        <v>126.25</v>
      </c>
      <c r="AA27" s="6"/>
      <c r="AB27" s="6">
        <f>$K$27*$V$27</f>
        <v>3657.4049999999997</v>
      </c>
      <c r="AC27" s="6">
        <f>$M$27*$W$27</f>
        <v>0</v>
      </c>
      <c r="AD27" s="6">
        <f>$O$27*$X$27</f>
        <v>0</v>
      </c>
      <c r="AE27" s="6">
        <f ca="1">$K$27*$Y$27</f>
        <v>1989.5250000000005</v>
      </c>
      <c r="AF27" s="6">
        <f ca="1">$M$27*$Z$27</f>
        <v>0</v>
      </c>
      <c r="AG27" s="6">
        <f>$O$27*$AA$27</f>
        <v>0</v>
      </c>
    </row>
    <row r="28" spans="1:33" ht="11.25" customHeight="1" x14ac:dyDescent="0.25">
      <c r="A28" s="4" t="s">
        <v>21</v>
      </c>
      <c r="B28" s="4" t="s">
        <v>35</v>
      </c>
      <c r="C28" s="4" t="s">
        <v>36</v>
      </c>
      <c r="D28" s="4" t="s">
        <v>34</v>
      </c>
      <c r="E28" s="4" t="s">
        <v>25</v>
      </c>
      <c r="F28" s="4" t="s">
        <v>56</v>
      </c>
      <c r="G28" s="4" t="s">
        <v>25</v>
      </c>
      <c r="H28" s="4" t="s">
        <v>37</v>
      </c>
      <c r="I28" s="5">
        <v>44470</v>
      </c>
      <c r="J28" s="6">
        <v>110</v>
      </c>
      <c r="K28" s="6">
        <v>55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4" t="s">
        <v>57</v>
      </c>
      <c r="R28" s="4">
        <v>0</v>
      </c>
      <c r="S28" s="6">
        <v>7</v>
      </c>
      <c r="T28" s="6">
        <v>0</v>
      </c>
      <c r="U28" s="6">
        <v>0</v>
      </c>
      <c r="V28" s="6">
        <f>IF(ISERROR(VLOOKUP($S$28,'TAR FIN'!$A$1:$O$86,15,0)),0,VLOOKUP($S$28,'TAR FIN'!$A$1:$O$86,15,0))</f>
        <v>59.47</v>
      </c>
      <c r="W28" s="6">
        <f>IF(ISERROR(VLOOKUP($T$28,'TAR FIN'!$A$1:$O$86,15,0)),0,VLOOKUP($T$28,'TAR FIN'!$A$1:$O$86,15,0))</f>
        <v>0</v>
      </c>
      <c r="X28" s="6">
        <f>IF(ISERROR(VLOOKUP($U$28,'TAR FIN'!$A$1:$O$86,15,0)),0,VLOOKUP($U$28,'TAR FIN'!$A$1:$O$86,15,0))</f>
        <v>0</v>
      </c>
      <c r="Y28" s="6">
        <f ca="1">('TUSD BE'!$AM$5+'TUSD BF_350'!$AM$5+'TUSD CVA'!$AM$5)*1</f>
        <v>32.350000000000009</v>
      </c>
      <c r="Z28" s="6">
        <f ca="1">('TUSD BE'!$AM$7+'TUSD BF_350'!$AM$7+'TUSD CVA'!$AM$7)*1</f>
        <v>126.25</v>
      </c>
      <c r="AA28" s="6"/>
      <c r="AB28" s="6">
        <f>$K$28*$V$28</f>
        <v>3270.85</v>
      </c>
      <c r="AC28" s="6">
        <f>$M$28*$W$28</f>
        <v>0</v>
      </c>
      <c r="AD28" s="6">
        <f>$O$28*$X$28</f>
        <v>0</v>
      </c>
      <c r="AE28" s="6">
        <f ca="1">$K$28*$Y$28</f>
        <v>1779.2500000000005</v>
      </c>
      <c r="AF28" s="6">
        <f ca="1">$M$28*$Z$28</f>
        <v>0</v>
      </c>
      <c r="AG28" s="6">
        <f>$O$28*$AA$28</f>
        <v>0</v>
      </c>
    </row>
    <row r="29" spans="1:33" ht="11.25" customHeight="1" x14ac:dyDescent="0.25">
      <c r="A29" s="4" t="s">
        <v>21</v>
      </c>
      <c r="B29" s="4" t="s">
        <v>35</v>
      </c>
      <c r="C29" s="4" t="s">
        <v>36</v>
      </c>
      <c r="D29" s="4" t="s">
        <v>34</v>
      </c>
      <c r="E29" s="4" t="s">
        <v>25</v>
      </c>
      <c r="F29" s="4" t="s">
        <v>56</v>
      </c>
      <c r="G29" s="4" t="s">
        <v>25</v>
      </c>
      <c r="H29" s="4" t="s">
        <v>37</v>
      </c>
      <c r="I29" s="5">
        <v>44501</v>
      </c>
      <c r="J29" s="6">
        <v>110</v>
      </c>
      <c r="K29" s="6">
        <v>55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4" t="s">
        <v>57</v>
      </c>
      <c r="R29" s="4">
        <v>0</v>
      </c>
      <c r="S29" s="6">
        <v>7</v>
      </c>
      <c r="T29" s="6">
        <v>0</v>
      </c>
      <c r="U29" s="6">
        <v>0</v>
      </c>
      <c r="V29" s="6">
        <f>IF(ISERROR(VLOOKUP($S$29,'TAR FIN'!$A$1:$O$86,15,0)),0,VLOOKUP($S$29,'TAR FIN'!$A$1:$O$86,15,0))</f>
        <v>59.47</v>
      </c>
      <c r="W29" s="6">
        <f>IF(ISERROR(VLOOKUP($T$29,'TAR FIN'!$A$1:$O$86,15,0)),0,VLOOKUP($T$29,'TAR FIN'!$A$1:$O$86,15,0))</f>
        <v>0</v>
      </c>
      <c r="X29" s="6">
        <f>IF(ISERROR(VLOOKUP($U$29,'TAR FIN'!$A$1:$O$86,15,0)),0,VLOOKUP($U$29,'TAR FIN'!$A$1:$O$86,15,0))</f>
        <v>0</v>
      </c>
      <c r="Y29" s="6">
        <f ca="1">('TUSD BE'!$AM$5+'TUSD BF_350'!$AM$5+'TUSD CVA'!$AM$5)*1</f>
        <v>32.350000000000009</v>
      </c>
      <c r="Z29" s="6">
        <f ca="1">('TUSD BE'!$AM$7+'TUSD BF_350'!$AM$7+'TUSD CVA'!$AM$7)*1</f>
        <v>126.25</v>
      </c>
      <c r="AA29" s="6"/>
      <c r="AB29" s="6">
        <f>$K$29*$V$29</f>
        <v>3270.85</v>
      </c>
      <c r="AC29" s="6">
        <f>$M$29*$W$29</f>
        <v>0</v>
      </c>
      <c r="AD29" s="6">
        <f>$O$29*$X$29</f>
        <v>0</v>
      </c>
      <c r="AE29" s="6">
        <f ca="1">$K$29*$Y$29</f>
        <v>1779.2500000000005</v>
      </c>
      <c r="AF29" s="6">
        <f ca="1">$M$29*$Z$29</f>
        <v>0</v>
      </c>
      <c r="AG29" s="6">
        <f>$O$29*$AA$29</f>
        <v>0</v>
      </c>
    </row>
    <row r="30" spans="1:33" ht="11.25" customHeight="1" x14ac:dyDescent="0.25">
      <c r="A30" s="4" t="s">
        <v>21</v>
      </c>
      <c r="B30" s="4" t="s">
        <v>35</v>
      </c>
      <c r="C30" s="4" t="s">
        <v>36</v>
      </c>
      <c r="D30" s="4" t="s">
        <v>34</v>
      </c>
      <c r="E30" s="4" t="s">
        <v>25</v>
      </c>
      <c r="F30" s="4" t="s">
        <v>56</v>
      </c>
      <c r="G30" s="4" t="s">
        <v>25</v>
      </c>
      <c r="H30" s="4" t="s">
        <v>37</v>
      </c>
      <c r="I30" s="5">
        <v>44531</v>
      </c>
      <c r="J30" s="6">
        <v>110</v>
      </c>
      <c r="K30" s="6">
        <v>55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4" t="s">
        <v>57</v>
      </c>
      <c r="R30" s="4">
        <v>0</v>
      </c>
      <c r="S30" s="6">
        <v>7</v>
      </c>
      <c r="T30" s="6">
        <v>0</v>
      </c>
      <c r="U30" s="6">
        <v>0</v>
      </c>
      <c r="V30" s="6">
        <f>IF(ISERROR(VLOOKUP($S$30,'TAR FIN'!$A$1:$O$86,15,0)),0,VLOOKUP($S$30,'TAR FIN'!$A$1:$O$86,15,0))</f>
        <v>59.47</v>
      </c>
      <c r="W30" s="6">
        <f>IF(ISERROR(VLOOKUP($T$30,'TAR FIN'!$A$1:$O$86,15,0)),0,VLOOKUP($T$30,'TAR FIN'!$A$1:$O$86,15,0))</f>
        <v>0</v>
      </c>
      <c r="X30" s="6">
        <f>IF(ISERROR(VLOOKUP($U$30,'TAR FIN'!$A$1:$O$86,15,0)),0,VLOOKUP($U$30,'TAR FIN'!$A$1:$O$86,15,0))</f>
        <v>0</v>
      </c>
      <c r="Y30" s="6">
        <f ca="1">('TUSD BE'!$AM$5+'TUSD BF_350'!$AM$5+'TUSD CVA'!$AM$5)*1</f>
        <v>32.350000000000009</v>
      </c>
      <c r="Z30" s="6">
        <f ca="1">('TUSD BE'!$AM$7+'TUSD BF_350'!$AM$7+'TUSD CVA'!$AM$7)*1</f>
        <v>126.25</v>
      </c>
      <c r="AA30" s="6"/>
      <c r="AB30" s="6">
        <f>$K$30*$V$30</f>
        <v>3270.85</v>
      </c>
      <c r="AC30" s="6">
        <f>$M$30*$W$30</f>
        <v>0</v>
      </c>
      <c r="AD30" s="6">
        <f>$O$30*$X$30</f>
        <v>0</v>
      </c>
      <c r="AE30" s="6">
        <f ca="1">$K$30*$Y$30</f>
        <v>1779.2500000000005</v>
      </c>
      <c r="AF30" s="6">
        <f ca="1">$M$30*$Z$30</f>
        <v>0</v>
      </c>
      <c r="AG30" s="6">
        <f>$O$30*$AA$30</f>
        <v>0</v>
      </c>
    </row>
    <row r="31" spans="1:33" ht="11.25" customHeight="1" x14ac:dyDescent="0.25">
      <c r="A31" s="4" t="s">
        <v>21</v>
      </c>
      <c r="B31" s="4" t="s">
        <v>35</v>
      </c>
      <c r="C31" s="4" t="s">
        <v>36</v>
      </c>
      <c r="D31" s="4" t="s">
        <v>34</v>
      </c>
      <c r="E31" s="4" t="s">
        <v>25</v>
      </c>
      <c r="F31" s="4" t="s">
        <v>56</v>
      </c>
      <c r="G31" s="4" t="s">
        <v>25</v>
      </c>
      <c r="H31" s="4" t="s">
        <v>37</v>
      </c>
      <c r="I31" s="5">
        <v>44562</v>
      </c>
      <c r="J31" s="6">
        <v>110</v>
      </c>
      <c r="K31" s="6">
        <v>55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4" t="s">
        <v>57</v>
      </c>
      <c r="R31" s="4">
        <v>0</v>
      </c>
      <c r="S31" s="6">
        <v>7</v>
      </c>
      <c r="T31" s="6">
        <v>0</v>
      </c>
      <c r="U31" s="6">
        <v>0</v>
      </c>
      <c r="V31" s="6">
        <f>IF(ISERROR(VLOOKUP($S$31,'TAR FIN'!$A$1:$O$86,15,0)),0,VLOOKUP($S$31,'TAR FIN'!$A$1:$O$86,15,0))</f>
        <v>59.47</v>
      </c>
      <c r="W31" s="6">
        <f>IF(ISERROR(VLOOKUP($T$31,'TAR FIN'!$A$1:$O$86,15,0)),0,VLOOKUP($T$31,'TAR FIN'!$A$1:$O$86,15,0))</f>
        <v>0</v>
      </c>
      <c r="X31" s="6">
        <f>IF(ISERROR(VLOOKUP($U$31,'TAR FIN'!$A$1:$O$86,15,0)),0,VLOOKUP($U$31,'TAR FIN'!$A$1:$O$86,15,0))</f>
        <v>0</v>
      </c>
      <c r="Y31" s="6">
        <f ca="1">('TUSD BE'!$AM$5+'TUSD BF_350'!$AM$5+'TUSD CVA'!$AM$5)*1</f>
        <v>32.350000000000009</v>
      </c>
      <c r="Z31" s="6">
        <f ca="1">('TUSD BE'!$AM$7+'TUSD BF_350'!$AM$7+'TUSD CVA'!$AM$7)*1</f>
        <v>126.25</v>
      </c>
      <c r="AA31" s="6"/>
      <c r="AB31" s="6">
        <f>$K$31*$V$31</f>
        <v>3270.85</v>
      </c>
      <c r="AC31" s="6">
        <f>$M$31*$W$31</f>
        <v>0</v>
      </c>
      <c r="AD31" s="6">
        <f>$O$31*$X$31</f>
        <v>0</v>
      </c>
      <c r="AE31" s="6">
        <f ca="1">$K$31*$Y$31</f>
        <v>1779.2500000000005</v>
      </c>
      <c r="AF31" s="6">
        <f ca="1">$M$31*$Z$31</f>
        <v>0</v>
      </c>
      <c r="AG31" s="6">
        <f>$O$31*$AA$31</f>
        <v>0</v>
      </c>
    </row>
    <row r="32" spans="1:33" ht="11.25" customHeight="1" x14ac:dyDescent="0.25">
      <c r="A32" s="4" t="s">
        <v>21</v>
      </c>
      <c r="B32" s="4" t="s">
        <v>35</v>
      </c>
      <c r="C32" s="4" t="s">
        <v>36</v>
      </c>
      <c r="D32" s="4" t="s">
        <v>34</v>
      </c>
      <c r="E32" s="4" t="s">
        <v>25</v>
      </c>
      <c r="F32" s="4" t="s">
        <v>56</v>
      </c>
      <c r="G32" s="4" t="s">
        <v>25</v>
      </c>
      <c r="H32" s="4" t="s">
        <v>37</v>
      </c>
      <c r="I32" s="5">
        <v>44593</v>
      </c>
      <c r="J32" s="6">
        <v>110</v>
      </c>
      <c r="K32" s="6">
        <v>55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4" t="s">
        <v>57</v>
      </c>
      <c r="R32" s="4">
        <v>0</v>
      </c>
      <c r="S32" s="6">
        <v>7</v>
      </c>
      <c r="T32" s="6">
        <v>0</v>
      </c>
      <c r="U32" s="6">
        <v>0</v>
      </c>
      <c r="V32" s="6">
        <f>IF(ISERROR(VLOOKUP($S$32,'TAR FIN'!$A$1:$O$86,15,0)),0,VLOOKUP($S$32,'TAR FIN'!$A$1:$O$86,15,0))</f>
        <v>59.47</v>
      </c>
      <c r="W32" s="6">
        <f>IF(ISERROR(VLOOKUP($T$32,'TAR FIN'!$A$1:$O$86,15,0)),0,VLOOKUP($T$32,'TAR FIN'!$A$1:$O$86,15,0))</f>
        <v>0</v>
      </c>
      <c r="X32" s="6">
        <f>IF(ISERROR(VLOOKUP($U$32,'TAR FIN'!$A$1:$O$86,15,0)),0,VLOOKUP($U$32,'TAR FIN'!$A$1:$O$86,15,0))</f>
        <v>0</v>
      </c>
      <c r="Y32" s="6">
        <f ca="1">('TUSD BE'!$AM$5+'TUSD BF_350'!$AM$5+'TUSD CVA'!$AM$5)*1</f>
        <v>32.350000000000009</v>
      </c>
      <c r="Z32" s="6">
        <f ca="1">('TUSD BE'!$AM$7+'TUSD BF_350'!$AM$7+'TUSD CVA'!$AM$7)*1</f>
        <v>126.25</v>
      </c>
      <c r="AA32" s="6"/>
      <c r="AB32" s="6">
        <f>$K$32*$V$32</f>
        <v>3270.85</v>
      </c>
      <c r="AC32" s="6">
        <f>$M$32*$W$32</f>
        <v>0</v>
      </c>
      <c r="AD32" s="6">
        <f>$O$32*$X$32</f>
        <v>0</v>
      </c>
      <c r="AE32" s="6">
        <f ca="1">$K$32*$Y$32</f>
        <v>1779.2500000000005</v>
      </c>
      <c r="AF32" s="6">
        <f ca="1">$M$32*$Z$32</f>
        <v>0</v>
      </c>
      <c r="AG32" s="6">
        <f>$O$32*$AA$32</f>
        <v>0</v>
      </c>
    </row>
    <row r="33" spans="1:33" ht="11.25" customHeight="1" x14ac:dyDescent="0.25">
      <c r="A33" s="4" t="s">
        <v>21</v>
      </c>
      <c r="B33" s="4" t="s">
        <v>35</v>
      </c>
      <c r="C33" s="4" t="s">
        <v>36</v>
      </c>
      <c r="D33" s="4" t="s">
        <v>34</v>
      </c>
      <c r="E33" s="4" t="s">
        <v>25</v>
      </c>
      <c r="F33" s="4" t="s">
        <v>56</v>
      </c>
      <c r="G33" s="4" t="s">
        <v>25</v>
      </c>
      <c r="H33" s="4" t="s">
        <v>37</v>
      </c>
      <c r="I33" s="5">
        <v>44621</v>
      </c>
      <c r="J33" s="6">
        <v>110</v>
      </c>
      <c r="K33" s="6">
        <v>55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4" t="s">
        <v>57</v>
      </c>
      <c r="R33" s="4">
        <v>0</v>
      </c>
      <c r="S33" s="6">
        <v>7</v>
      </c>
      <c r="T33" s="6">
        <v>0</v>
      </c>
      <c r="U33" s="6">
        <v>0</v>
      </c>
      <c r="V33" s="6">
        <f>IF(ISERROR(VLOOKUP($S$33,'TAR FIN'!$A$1:$O$86,15,0)),0,VLOOKUP($S$33,'TAR FIN'!$A$1:$O$86,15,0))</f>
        <v>59.47</v>
      </c>
      <c r="W33" s="6">
        <f>IF(ISERROR(VLOOKUP($T$33,'TAR FIN'!$A$1:$O$86,15,0)),0,VLOOKUP($T$33,'TAR FIN'!$A$1:$O$86,15,0))</f>
        <v>0</v>
      </c>
      <c r="X33" s="6">
        <f>IF(ISERROR(VLOOKUP($U$33,'TAR FIN'!$A$1:$O$86,15,0)),0,VLOOKUP($U$33,'TAR FIN'!$A$1:$O$86,15,0))</f>
        <v>0</v>
      </c>
      <c r="Y33" s="6">
        <f ca="1">('TUSD BE'!$AM$5+'TUSD BF_350'!$AM$5+'TUSD CVA'!$AM$5)*1</f>
        <v>32.350000000000009</v>
      </c>
      <c r="Z33" s="6">
        <f ca="1">('TUSD BE'!$AM$7+'TUSD BF_350'!$AM$7+'TUSD CVA'!$AM$7)*1</f>
        <v>126.25</v>
      </c>
      <c r="AA33" s="6"/>
      <c r="AB33" s="6">
        <f>$K$33*$V$33</f>
        <v>3270.85</v>
      </c>
      <c r="AC33" s="6">
        <f>$M$33*$W$33</f>
        <v>0</v>
      </c>
      <c r="AD33" s="6">
        <f>$O$33*$X$33</f>
        <v>0</v>
      </c>
      <c r="AE33" s="6">
        <f ca="1">$K$33*$Y$33</f>
        <v>1779.2500000000005</v>
      </c>
      <c r="AF33" s="6">
        <f ca="1">$M$33*$Z$33</f>
        <v>0</v>
      </c>
      <c r="AG33" s="6">
        <f>$O$33*$AA$33</f>
        <v>0</v>
      </c>
    </row>
    <row r="34" spans="1:33" ht="11.25" customHeight="1" x14ac:dyDescent="0.25">
      <c r="A34" s="4" t="s">
        <v>21</v>
      </c>
      <c r="B34" s="4" t="s">
        <v>35</v>
      </c>
      <c r="C34" s="4" t="s">
        <v>36</v>
      </c>
      <c r="D34" s="4" t="s">
        <v>34</v>
      </c>
      <c r="E34" s="4" t="s">
        <v>25</v>
      </c>
      <c r="F34" s="4" t="s">
        <v>56</v>
      </c>
      <c r="G34" s="4" t="s">
        <v>25</v>
      </c>
      <c r="H34" s="4" t="s">
        <v>37</v>
      </c>
      <c r="I34" s="5">
        <v>44652</v>
      </c>
      <c r="J34" s="6">
        <v>110</v>
      </c>
      <c r="K34" s="6">
        <v>55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4" t="s">
        <v>57</v>
      </c>
      <c r="R34" s="4">
        <v>0</v>
      </c>
      <c r="S34" s="6">
        <v>7</v>
      </c>
      <c r="T34" s="6">
        <v>0</v>
      </c>
      <c r="U34" s="6">
        <v>0</v>
      </c>
      <c r="V34" s="6">
        <f>IF(ISERROR(VLOOKUP($S$34,'TAR FIN'!$A$1:$O$86,15,0)),0,VLOOKUP($S$34,'TAR FIN'!$A$1:$O$86,15,0))</f>
        <v>59.47</v>
      </c>
      <c r="W34" s="6">
        <f>IF(ISERROR(VLOOKUP($T$34,'TAR FIN'!$A$1:$O$86,15,0)),0,VLOOKUP($T$34,'TAR FIN'!$A$1:$O$86,15,0))</f>
        <v>0</v>
      </c>
      <c r="X34" s="6">
        <f>IF(ISERROR(VLOOKUP($U$34,'TAR FIN'!$A$1:$O$86,15,0)),0,VLOOKUP($U$34,'TAR FIN'!$A$1:$O$86,15,0))</f>
        <v>0</v>
      </c>
      <c r="Y34" s="6">
        <f ca="1">('TUSD BE'!$AM$5+'TUSD BF_350'!$AM$5+'TUSD CVA'!$AM$5)*1</f>
        <v>32.350000000000009</v>
      </c>
      <c r="Z34" s="6">
        <f ca="1">('TUSD BE'!$AM$7+'TUSD BF_350'!$AM$7+'TUSD CVA'!$AM$7)*1</f>
        <v>126.25</v>
      </c>
      <c r="AA34" s="6"/>
      <c r="AB34" s="6">
        <f>$K$34*$V$34</f>
        <v>3270.85</v>
      </c>
      <c r="AC34" s="6">
        <f>$M$34*$W$34</f>
        <v>0</v>
      </c>
      <c r="AD34" s="6">
        <f>$O$34*$X$34</f>
        <v>0</v>
      </c>
      <c r="AE34" s="6">
        <f ca="1">$K$34*$Y$34</f>
        <v>1779.2500000000005</v>
      </c>
      <c r="AF34" s="6">
        <f ca="1">$M$34*$Z$34</f>
        <v>0</v>
      </c>
      <c r="AG34" s="6">
        <f>$O$34*$AA$34</f>
        <v>0</v>
      </c>
    </row>
    <row r="35" spans="1:33" ht="11.25" customHeight="1" x14ac:dyDescent="0.25">
      <c r="A35" s="4" t="s">
        <v>21</v>
      </c>
      <c r="B35" s="4" t="s">
        <v>35</v>
      </c>
      <c r="C35" s="4" t="s">
        <v>36</v>
      </c>
      <c r="D35" s="4" t="s">
        <v>34</v>
      </c>
      <c r="E35" s="4" t="s">
        <v>25</v>
      </c>
      <c r="F35" s="4" t="s">
        <v>56</v>
      </c>
      <c r="G35" s="4" t="s">
        <v>25</v>
      </c>
      <c r="H35" s="4" t="s">
        <v>37</v>
      </c>
      <c r="I35" s="5">
        <v>44682</v>
      </c>
      <c r="J35" s="6">
        <v>110</v>
      </c>
      <c r="K35" s="6">
        <v>55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4" t="s">
        <v>57</v>
      </c>
      <c r="R35" s="4">
        <v>0</v>
      </c>
      <c r="S35" s="6">
        <v>7</v>
      </c>
      <c r="T35" s="6">
        <v>0</v>
      </c>
      <c r="U35" s="6">
        <v>0</v>
      </c>
      <c r="V35" s="6">
        <f>IF(ISERROR(VLOOKUP($S$35,'TAR FIN'!$A$1:$O$86,15,0)),0,VLOOKUP($S$35,'TAR FIN'!$A$1:$O$86,15,0))</f>
        <v>59.47</v>
      </c>
      <c r="W35" s="6">
        <f>IF(ISERROR(VLOOKUP($T$35,'TAR FIN'!$A$1:$O$86,15,0)),0,VLOOKUP($T$35,'TAR FIN'!$A$1:$O$86,15,0))</f>
        <v>0</v>
      </c>
      <c r="X35" s="6">
        <f>IF(ISERROR(VLOOKUP($U$35,'TAR FIN'!$A$1:$O$86,15,0)),0,VLOOKUP($U$35,'TAR FIN'!$A$1:$O$86,15,0))</f>
        <v>0</v>
      </c>
      <c r="Y35" s="6">
        <f ca="1">('TUSD BE'!$AM$5+'TUSD BF_350'!$AM$5+'TUSD CVA'!$AM$5)*1</f>
        <v>32.350000000000009</v>
      </c>
      <c r="Z35" s="6">
        <f ca="1">('TUSD BE'!$AM$7+'TUSD BF_350'!$AM$7+'TUSD CVA'!$AM$7)*1</f>
        <v>126.25</v>
      </c>
      <c r="AA35" s="6"/>
      <c r="AB35" s="6">
        <f>$K$35*$V$35</f>
        <v>3270.85</v>
      </c>
      <c r="AC35" s="6">
        <f>$M$35*$W$35</f>
        <v>0</v>
      </c>
      <c r="AD35" s="6">
        <f>$O$35*$X$35</f>
        <v>0</v>
      </c>
      <c r="AE35" s="6">
        <f ca="1">$K$35*$Y$35</f>
        <v>1779.2500000000005</v>
      </c>
      <c r="AF35" s="6">
        <f ca="1">$M$35*$Z$35</f>
        <v>0</v>
      </c>
      <c r="AG35" s="6">
        <f>$O$35*$AA$35</f>
        <v>0</v>
      </c>
    </row>
    <row r="36" spans="1:33" ht="11.25" customHeight="1" x14ac:dyDescent="0.25">
      <c r="A36" s="4" t="s">
        <v>21</v>
      </c>
      <c r="B36" s="4" t="s">
        <v>35</v>
      </c>
      <c r="C36" s="4" t="s">
        <v>36</v>
      </c>
      <c r="D36" s="4" t="s">
        <v>34</v>
      </c>
      <c r="E36" s="4" t="s">
        <v>25</v>
      </c>
      <c r="F36" s="4" t="s">
        <v>56</v>
      </c>
      <c r="G36" s="4" t="s">
        <v>25</v>
      </c>
      <c r="H36" s="4" t="s">
        <v>37</v>
      </c>
      <c r="I36" s="5">
        <v>44713</v>
      </c>
      <c r="J36" s="6">
        <v>110</v>
      </c>
      <c r="K36" s="6">
        <v>55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4" t="s">
        <v>57</v>
      </c>
      <c r="R36" s="4">
        <v>0</v>
      </c>
      <c r="S36" s="6">
        <v>7</v>
      </c>
      <c r="T36" s="6">
        <v>0</v>
      </c>
      <c r="U36" s="6">
        <v>0</v>
      </c>
      <c r="V36" s="6">
        <f>IF(ISERROR(VLOOKUP($S$36,'TAR FIN'!$A$1:$O$86,15,0)),0,VLOOKUP($S$36,'TAR FIN'!$A$1:$O$86,15,0))</f>
        <v>59.47</v>
      </c>
      <c r="W36" s="6">
        <f>IF(ISERROR(VLOOKUP($T$36,'TAR FIN'!$A$1:$O$86,15,0)),0,VLOOKUP($T$36,'TAR FIN'!$A$1:$O$86,15,0))</f>
        <v>0</v>
      </c>
      <c r="X36" s="6">
        <f>IF(ISERROR(VLOOKUP($U$36,'TAR FIN'!$A$1:$O$86,15,0)),0,VLOOKUP($U$36,'TAR FIN'!$A$1:$O$86,15,0))</f>
        <v>0</v>
      </c>
      <c r="Y36" s="6">
        <f ca="1">('TUSD BE'!$AM$5+'TUSD BF_350'!$AM$5+'TUSD CVA'!$AM$5)*1</f>
        <v>32.350000000000009</v>
      </c>
      <c r="Z36" s="6">
        <f ca="1">('TUSD BE'!$AM$7+'TUSD BF_350'!$AM$7+'TUSD CVA'!$AM$7)*1</f>
        <v>126.25</v>
      </c>
      <c r="AA36" s="6"/>
      <c r="AB36" s="6">
        <f>$K$36*$V$36</f>
        <v>3270.85</v>
      </c>
      <c r="AC36" s="6">
        <f>$M$36*$W$36</f>
        <v>0</v>
      </c>
      <c r="AD36" s="6">
        <f>$O$36*$X$36</f>
        <v>0</v>
      </c>
      <c r="AE36" s="6">
        <f ca="1">$K$36*$Y$36</f>
        <v>1779.2500000000005</v>
      </c>
      <c r="AF36" s="6">
        <f ca="1">$M$36*$Z$36</f>
        <v>0</v>
      </c>
      <c r="AG36" s="6">
        <f>$O$36*$AA$36</f>
        <v>0</v>
      </c>
    </row>
    <row r="37" spans="1:33" ht="11.25" customHeight="1" x14ac:dyDescent="0.25">
      <c r="A37" s="4" t="s">
        <v>55</v>
      </c>
      <c r="B37" s="4" t="s">
        <v>35</v>
      </c>
      <c r="C37" s="4" t="s">
        <v>36</v>
      </c>
      <c r="D37" s="4" t="s">
        <v>34</v>
      </c>
      <c r="E37" s="4" t="s">
        <v>25</v>
      </c>
      <c r="F37" s="4" t="s">
        <v>56</v>
      </c>
      <c r="G37" s="4" t="s">
        <v>25</v>
      </c>
      <c r="H37" s="4" t="s">
        <v>37</v>
      </c>
      <c r="I37" s="5">
        <v>44743</v>
      </c>
      <c r="J37" s="6">
        <v>110</v>
      </c>
      <c r="K37" s="6">
        <v>55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4" t="s">
        <v>57</v>
      </c>
      <c r="R37" s="4">
        <v>0</v>
      </c>
      <c r="S37" s="6">
        <v>7</v>
      </c>
      <c r="T37" s="6">
        <v>0</v>
      </c>
      <c r="U37" s="6">
        <v>0</v>
      </c>
      <c r="V37" s="6">
        <f>IF(ISERROR(VLOOKUP($S$37,'TAR FIN'!$A$1:$O$86,15,0)),0,VLOOKUP($S$37,'TAR FIN'!$A$1:$O$86,15,0))</f>
        <v>59.47</v>
      </c>
      <c r="W37" s="6">
        <f>IF(ISERROR(VLOOKUP($T$37,'TAR FIN'!$A$1:$O$86,15,0)),0,VLOOKUP($T$37,'TAR FIN'!$A$1:$O$86,15,0))</f>
        <v>0</v>
      </c>
      <c r="X37" s="6">
        <f>IF(ISERROR(VLOOKUP($U$37,'TAR FIN'!$A$1:$O$86,15,0)),0,VLOOKUP($U$37,'TAR FIN'!$A$1:$O$86,15,0))</f>
        <v>0</v>
      </c>
      <c r="Y37" s="6">
        <f ca="1">('TUSD BE'!$AM$5+'TUSD BF_350'!$AM$5+'TUSD CVA'!$AM$5)*1</f>
        <v>32.350000000000009</v>
      </c>
      <c r="Z37" s="6">
        <f ca="1">('TUSD BE'!$AM$7+'TUSD BF_350'!$AM$7+'TUSD CVA'!$AM$7)*1</f>
        <v>126.25</v>
      </c>
      <c r="AA37" s="6"/>
      <c r="AB37" s="6">
        <f>$K$37*$V$37</f>
        <v>3270.85</v>
      </c>
      <c r="AC37" s="6">
        <f>$M$37*$W$37</f>
        <v>0</v>
      </c>
      <c r="AD37" s="6">
        <f>$O$37*$X$37</f>
        <v>0</v>
      </c>
      <c r="AE37" s="6">
        <f ca="1">$K$37*$Y$37</f>
        <v>1779.2500000000005</v>
      </c>
      <c r="AF37" s="6">
        <f ca="1">$M$37*$Z$37</f>
        <v>0</v>
      </c>
      <c r="AG37" s="6">
        <f>$O$37*$AA$37</f>
        <v>0</v>
      </c>
    </row>
    <row r="38" spans="1:33" ht="11.25" customHeight="1" x14ac:dyDescent="0.25">
      <c r="A38" s="4" t="s">
        <v>21</v>
      </c>
      <c r="B38" s="4" t="s">
        <v>35</v>
      </c>
      <c r="C38" s="4" t="s">
        <v>36</v>
      </c>
      <c r="D38" s="4" t="s">
        <v>34</v>
      </c>
      <c r="E38" s="4" t="s">
        <v>25</v>
      </c>
      <c r="F38" s="4" t="s">
        <v>25</v>
      </c>
      <c r="G38" s="4" t="s">
        <v>25</v>
      </c>
      <c r="H38" s="4" t="s">
        <v>38</v>
      </c>
      <c r="I38" s="5">
        <v>44409</v>
      </c>
      <c r="J38" s="6">
        <v>192</v>
      </c>
      <c r="K38" s="6">
        <v>192</v>
      </c>
      <c r="L38" s="6">
        <v>69.471000000000004</v>
      </c>
      <c r="M38" s="6">
        <v>69.471000000000004</v>
      </c>
      <c r="N38" s="6">
        <v>69.471000000000004</v>
      </c>
      <c r="O38" s="6">
        <v>69.471000000000004</v>
      </c>
      <c r="P38" s="6">
        <v>0</v>
      </c>
      <c r="Q38" s="4" t="s">
        <v>26</v>
      </c>
      <c r="R38" s="4">
        <v>0</v>
      </c>
      <c r="S38" s="6">
        <v>1</v>
      </c>
      <c r="T38" s="6">
        <v>27</v>
      </c>
      <c r="U38" s="6">
        <v>73</v>
      </c>
      <c r="V38" s="6">
        <f>IF(ISERROR(VLOOKUP($S$38,'TAR FIN'!$A$1:$O$86,15,0)),0,VLOOKUP($S$38,'TAR FIN'!$A$1:$O$86,15,0))</f>
        <v>22.9</v>
      </c>
      <c r="W38" s="6">
        <f>IF(ISERROR(VLOOKUP($T$38,'TAR FIN'!$A$1:$O$86,15,0)),0,VLOOKUP($T$38,'TAR FIN'!$A$1:$O$86,15,0))</f>
        <v>73.19</v>
      </c>
      <c r="X38" s="6">
        <f>IF(ISERROR(VLOOKUP($U$38,'TAR FIN'!$A$1:$O$86,15,0)),0,VLOOKUP($U$38,'TAR FIN'!$A$1:$O$86,15,0))</f>
        <v>211.71</v>
      </c>
      <c r="Y38" s="6">
        <f ca="1">('TUSD BE'!$AM$6+'TUSD BF_350'!$AM$6+'TUSD CVA'!$AM$6)*1</f>
        <v>15.64</v>
      </c>
      <c r="Z38" s="6">
        <f ca="1">('TUSD BE'!$AM$7+'TUSD BF_350'!$AM$7+'TUSD CVA'!$AM$7)*1</f>
        <v>126.25</v>
      </c>
      <c r="AA38" s="6">
        <f ca="1">('TE BE'!$AB$6+'TE BF_350'!$AB$6+'TE CVA'!$AB$6)*1</f>
        <v>222.99901551132911</v>
      </c>
      <c r="AB38" s="6">
        <f>$K$38*$V$38</f>
        <v>4396.7999999999993</v>
      </c>
      <c r="AC38" s="6">
        <f>$M$38*$W$38</f>
        <v>5084.5824899999998</v>
      </c>
      <c r="AD38" s="6">
        <f>$O$38*$X$38</f>
        <v>14707.70541</v>
      </c>
      <c r="AE38" s="6">
        <f ca="1">$K$38*$Y$38</f>
        <v>3002.88</v>
      </c>
      <c r="AF38" s="6">
        <f ca="1">$M$38*$Z$38</f>
        <v>8770.7137500000008</v>
      </c>
      <c r="AG38" s="6">
        <f ca="1">$O$38*$AA$38</f>
        <v>15491.964606587546</v>
      </c>
    </row>
    <row r="39" spans="1:33" ht="11.25" customHeight="1" x14ac:dyDescent="0.25">
      <c r="A39" s="4" t="s">
        <v>21</v>
      </c>
      <c r="B39" s="4" t="s">
        <v>35</v>
      </c>
      <c r="C39" s="4" t="s">
        <v>36</v>
      </c>
      <c r="D39" s="4" t="s">
        <v>34</v>
      </c>
      <c r="E39" s="4" t="s">
        <v>25</v>
      </c>
      <c r="F39" s="4" t="s">
        <v>25</v>
      </c>
      <c r="G39" s="4" t="s">
        <v>25</v>
      </c>
      <c r="H39" s="4" t="s">
        <v>38</v>
      </c>
      <c r="I39" s="5">
        <v>44440</v>
      </c>
      <c r="J39" s="6">
        <v>186</v>
      </c>
      <c r="K39" s="6">
        <v>186</v>
      </c>
      <c r="L39" s="6">
        <v>65.379000000000005</v>
      </c>
      <c r="M39" s="6">
        <v>65.379000000000005</v>
      </c>
      <c r="N39" s="6">
        <v>65.379000000000005</v>
      </c>
      <c r="O39" s="6">
        <v>65.379000000000005</v>
      </c>
      <c r="P39" s="6">
        <v>0</v>
      </c>
      <c r="Q39" s="4" t="s">
        <v>26</v>
      </c>
      <c r="R39" s="4">
        <v>0</v>
      </c>
      <c r="S39" s="6">
        <v>1</v>
      </c>
      <c r="T39" s="6">
        <v>27</v>
      </c>
      <c r="U39" s="6">
        <v>73</v>
      </c>
      <c r="V39" s="6">
        <f>IF(ISERROR(VLOOKUP($S$39,'TAR FIN'!$A$1:$O$86,15,0)),0,VLOOKUP($S$39,'TAR FIN'!$A$1:$O$86,15,0))</f>
        <v>22.9</v>
      </c>
      <c r="W39" s="6">
        <f>IF(ISERROR(VLOOKUP($T$39,'TAR FIN'!$A$1:$O$86,15,0)),0,VLOOKUP($T$39,'TAR FIN'!$A$1:$O$86,15,0))</f>
        <v>73.19</v>
      </c>
      <c r="X39" s="6">
        <f>IF(ISERROR(VLOOKUP($U$39,'TAR FIN'!$A$1:$O$86,15,0)),0,VLOOKUP($U$39,'TAR FIN'!$A$1:$O$86,15,0))</f>
        <v>211.71</v>
      </c>
      <c r="Y39" s="6">
        <f ca="1">('TUSD BE'!$AM$6+'TUSD BF_350'!$AM$6+'TUSD CVA'!$AM$6)*1</f>
        <v>15.64</v>
      </c>
      <c r="Z39" s="6">
        <f ca="1">('TUSD BE'!$AM$7+'TUSD BF_350'!$AM$7+'TUSD CVA'!$AM$7)*1</f>
        <v>126.25</v>
      </c>
      <c r="AA39" s="6">
        <f ca="1">('TE BE'!$AB$6+'TE BF_350'!$AB$6+'TE CVA'!$AB$6)*1</f>
        <v>222.99901551132911</v>
      </c>
      <c r="AB39" s="6">
        <f>$K$39*$V$39</f>
        <v>4259.3999999999996</v>
      </c>
      <c r="AC39" s="6">
        <f>$M$39*$W$39</f>
        <v>4785.0890100000006</v>
      </c>
      <c r="AD39" s="6">
        <f>$O$39*$X$39</f>
        <v>13841.388090000002</v>
      </c>
      <c r="AE39" s="6">
        <f ca="1">$K$39*$Y$39</f>
        <v>2909.04</v>
      </c>
      <c r="AF39" s="6">
        <f ca="1">$M$39*$Z$39</f>
        <v>8254.098750000001</v>
      </c>
      <c r="AG39" s="6">
        <f ca="1">$O$39*$AA$39</f>
        <v>14579.452635115187</v>
      </c>
    </row>
    <row r="40" spans="1:33" ht="11.25" customHeight="1" x14ac:dyDescent="0.25">
      <c r="A40" s="4" t="s">
        <v>21</v>
      </c>
      <c r="B40" s="4" t="s">
        <v>35</v>
      </c>
      <c r="C40" s="4" t="s">
        <v>36</v>
      </c>
      <c r="D40" s="4" t="s">
        <v>34</v>
      </c>
      <c r="E40" s="4" t="s">
        <v>25</v>
      </c>
      <c r="F40" s="4" t="s">
        <v>25</v>
      </c>
      <c r="G40" s="4" t="s">
        <v>25</v>
      </c>
      <c r="H40" s="4" t="s">
        <v>38</v>
      </c>
      <c r="I40" s="5">
        <v>44470</v>
      </c>
      <c r="J40" s="6">
        <v>191</v>
      </c>
      <c r="K40" s="6">
        <v>191</v>
      </c>
      <c r="L40" s="6">
        <v>69.84</v>
      </c>
      <c r="M40" s="6">
        <v>69.84</v>
      </c>
      <c r="N40" s="6">
        <v>69.84</v>
      </c>
      <c r="O40" s="6">
        <v>69.84</v>
      </c>
      <c r="P40" s="6">
        <v>0</v>
      </c>
      <c r="Q40" s="4" t="s">
        <v>26</v>
      </c>
      <c r="R40" s="4">
        <v>0</v>
      </c>
      <c r="S40" s="6">
        <v>1</v>
      </c>
      <c r="T40" s="6">
        <v>27</v>
      </c>
      <c r="U40" s="6">
        <v>73</v>
      </c>
      <c r="V40" s="6">
        <f>IF(ISERROR(VLOOKUP($S$40,'TAR FIN'!$A$1:$O$86,15,0)),0,VLOOKUP($S$40,'TAR FIN'!$A$1:$O$86,15,0))</f>
        <v>22.9</v>
      </c>
      <c r="W40" s="6">
        <f>IF(ISERROR(VLOOKUP($T$40,'TAR FIN'!$A$1:$O$86,15,0)),0,VLOOKUP($T$40,'TAR FIN'!$A$1:$O$86,15,0))</f>
        <v>73.19</v>
      </c>
      <c r="X40" s="6">
        <f>IF(ISERROR(VLOOKUP($U$40,'TAR FIN'!$A$1:$O$86,15,0)),0,VLOOKUP($U$40,'TAR FIN'!$A$1:$O$86,15,0))</f>
        <v>211.71</v>
      </c>
      <c r="Y40" s="6">
        <f ca="1">('TUSD BE'!$AM$6+'TUSD BF_350'!$AM$6+'TUSD CVA'!$AM$6)*1</f>
        <v>15.64</v>
      </c>
      <c r="Z40" s="6">
        <f ca="1">('TUSD BE'!$AM$7+'TUSD BF_350'!$AM$7+'TUSD CVA'!$AM$7)*1</f>
        <v>126.25</v>
      </c>
      <c r="AA40" s="6">
        <f ca="1">('TE BE'!$AB$6+'TE BF_350'!$AB$6+'TE CVA'!$AB$6)*1</f>
        <v>222.99901551132911</v>
      </c>
      <c r="AB40" s="6">
        <f>$K$40*$V$40</f>
        <v>4373.8999999999996</v>
      </c>
      <c r="AC40" s="6">
        <f>$M$40*$W$40</f>
        <v>5111.5896000000002</v>
      </c>
      <c r="AD40" s="6">
        <f>$O$40*$X$40</f>
        <v>14785.826400000002</v>
      </c>
      <c r="AE40" s="6">
        <f ca="1">$K$40*$Y$40</f>
        <v>2987.2400000000002</v>
      </c>
      <c r="AF40" s="6">
        <f ca="1">$M$40*$Z$40</f>
        <v>8817.3000000000011</v>
      </c>
      <c r="AG40" s="6">
        <f ca="1">$O$40*$AA$40</f>
        <v>15574.251243311226</v>
      </c>
    </row>
    <row r="41" spans="1:33" ht="11.25" customHeight="1" x14ac:dyDescent="0.25">
      <c r="A41" s="4" t="s">
        <v>21</v>
      </c>
      <c r="B41" s="4" t="s">
        <v>35</v>
      </c>
      <c r="C41" s="4" t="s">
        <v>36</v>
      </c>
      <c r="D41" s="4" t="s">
        <v>34</v>
      </c>
      <c r="E41" s="4" t="s">
        <v>25</v>
      </c>
      <c r="F41" s="4" t="s">
        <v>25</v>
      </c>
      <c r="G41" s="4" t="s">
        <v>25</v>
      </c>
      <c r="H41" s="4" t="s">
        <v>38</v>
      </c>
      <c r="I41" s="5">
        <v>44501</v>
      </c>
      <c r="J41" s="6">
        <v>186</v>
      </c>
      <c r="K41" s="6">
        <v>186</v>
      </c>
      <c r="L41" s="6">
        <v>68.825000000000003</v>
      </c>
      <c r="M41" s="6">
        <v>68.825000000000003</v>
      </c>
      <c r="N41" s="6">
        <v>68.825000000000003</v>
      </c>
      <c r="O41" s="6">
        <v>68.825000000000003</v>
      </c>
      <c r="P41" s="6">
        <v>0</v>
      </c>
      <c r="Q41" s="4" t="s">
        <v>26</v>
      </c>
      <c r="R41" s="4">
        <v>0</v>
      </c>
      <c r="S41" s="6">
        <v>1</v>
      </c>
      <c r="T41" s="6">
        <v>27</v>
      </c>
      <c r="U41" s="6">
        <v>73</v>
      </c>
      <c r="V41" s="6">
        <f>IF(ISERROR(VLOOKUP($S$41,'TAR FIN'!$A$1:$O$86,15,0)),0,VLOOKUP($S$41,'TAR FIN'!$A$1:$O$86,15,0))</f>
        <v>22.9</v>
      </c>
      <c r="W41" s="6">
        <f>IF(ISERROR(VLOOKUP($T$41,'TAR FIN'!$A$1:$O$86,15,0)),0,VLOOKUP($T$41,'TAR FIN'!$A$1:$O$86,15,0))</f>
        <v>73.19</v>
      </c>
      <c r="X41" s="6">
        <f>IF(ISERROR(VLOOKUP($U$41,'TAR FIN'!$A$1:$O$86,15,0)),0,VLOOKUP($U$41,'TAR FIN'!$A$1:$O$86,15,0))</f>
        <v>211.71</v>
      </c>
      <c r="Y41" s="6">
        <f ca="1">('TUSD BE'!$AM$6+'TUSD BF_350'!$AM$6+'TUSD CVA'!$AM$6)*1</f>
        <v>15.64</v>
      </c>
      <c r="Z41" s="6">
        <f ca="1">('TUSD BE'!$AM$7+'TUSD BF_350'!$AM$7+'TUSD CVA'!$AM$7)*1</f>
        <v>126.25</v>
      </c>
      <c r="AA41" s="6">
        <f ca="1">('TE BE'!$AB$6+'TE BF_350'!$AB$6+'TE CVA'!$AB$6)*1</f>
        <v>222.99901551132911</v>
      </c>
      <c r="AB41" s="6">
        <f>$K$41*$V$41</f>
        <v>4259.3999999999996</v>
      </c>
      <c r="AC41" s="6">
        <f>$M$41*$W$41</f>
        <v>5037.3017499999996</v>
      </c>
      <c r="AD41" s="6">
        <f>$O$41*$X$41</f>
        <v>14570.940750000002</v>
      </c>
      <c r="AE41" s="6">
        <f ca="1">$K$41*$Y$41</f>
        <v>2909.04</v>
      </c>
      <c r="AF41" s="6">
        <f ca="1">$M$41*$Z$41</f>
        <v>8689.15625</v>
      </c>
      <c r="AG41" s="6">
        <f ca="1">$O$41*$AA$41</f>
        <v>15347.907242567226</v>
      </c>
    </row>
    <row r="42" spans="1:33" ht="11.25" customHeight="1" x14ac:dyDescent="0.25">
      <c r="A42" s="4" t="s">
        <v>21</v>
      </c>
      <c r="B42" s="4" t="s">
        <v>35</v>
      </c>
      <c r="C42" s="4" t="s">
        <v>36</v>
      </c>
      <c r="D42" s="4" t="s">
        <v>34</v>
      </c>
      <c r="E42" s="4" t="s">
        <v>25</v>
      </c>
      <c r="F42" s="4" t="s">
        <v>25</v>
      </c>
      <c r="G42" s="4" t="s">
        <v>25</v>
      </c>
      <c r="H42" s="4" t="s">
        <v>38</v>
      </c>
      <c r="I42" s="5">
        <v>44531</v>
      </c>
      <c r="J42" s="6">
        <v>188</v>
      </c>
      <c r="K42" s="6">
        <v>188</v>
      </c>
      <c r="L42" s="6">
        <v>53.982999999999997</v>
      </c>
      <c r="M42" s="6">
        <v>53.982999999999997</v>
      </c>
      <c r="N42" s="6">
        <v>53.982999999999997</v>
      </c>
      <c r="O42" s="6">
        <v>53.982999999999997</v>
      </c>
      <c r="P42" s="6">
        <v>0</v>
      </c>
      <c r="Q42" s="4" t="s">
        <v>26</v>
      </c>
      <c r="R42" s="4">
        <v>0</v>
      </c>
      <c r="S42" s="6">
        <v>1</v>
      </c>
      <c r="T42" s="6">
        <v>27</v>
      </c>
      <c r="U42" s="6">
        <v>73</v>
      </c>
      <c r="V42" s="6">
        <f>IF(ISERROR(VLOOKUP($S$42,'TAR FIN'!$A$1:$O$86,15,0)),0,VLOOKUP($S$42,'TAR FIN'!$A$1:$O$86,15,0))</f>
        <v>22.9</v>
      </c>
      <c r="W42" s="6">
        <f>IF(ISERROR(VLOOKUP($T$42,'TAR FIN'!$A$1:$O$86,15,0)),0,VLOOKUP($T$42,'TAR FIN'!$A$1:$O$86,15,0))</f>
        <v>73.19</v>
      </c>
      <c r="X42" s="6">
        <f>IF(ISERROR(VLOOKUP($U$42,'TAR FIN'!$A$1:$O$86,15,0)),0,VLOOKUP($U$42,'TAR FIN'!$A$1:$O$86,15,0))</f>
        <v>211.71</v>
      </c>
      <c r="Y42" s="6">
        <f ca="1">('TUSD BE'!$AM$6+'TUSD BF_350'!$AM$6+'TUSD CVA'!$AM$6)*1</f>
        <v>15.64</v>
      </c>
      <c r="Z42" s="6">
        <f ca="1">('TUSD BE'!$AM$7+'TUSD BF_350'!$AM$7+'TUSD CVA'!$AM$7)*1</f>
        <v>126.25</v>
      </c>
      <c r="AA42" s="6">
        <f ca="1">('TE BE'!$AB$6+'TE BF_350'!$AB$6+'TE CVA'!$AB$6)*1</f>
        <v>222.99901551132911</v>
      </c>
      <c r="AB42" s="6">
        <f>$K$42*$V$42</f>
        <v>4305.2</v>
      </c>
      <c r="AC42" s="6">
        <f>$M$42*$W$42</f>
        <v>3951.0157699999995</v>
      </c>
      <c r="AD42" s="6">
        <f>$O$42*$X$42</f>
        <v>11428.74093</v>
      </c>
      <c r="AE42" s="6">
        <f ca="1">$K$42*$Y$42</f>
        <v>2940.32</v>
      </c>
      <c r="AF42" s="6">
        <f ca="1">$M$42*$Z$42</f>
        <v>6815.3537499999993</v>
      </c>
      <c r="AG42" s="6">
        <f ca="1">$O$42*$AA$42</f>
        <v>12038.155854348079</v>
      </c>
    </row>
    <row r="43" spans="1:33" ht="11.25" customHeight="1" x14ac:dyDescent="0.25">
      <c r="A43" s="4" t="s">
        <v>21</v>
      </c>
      <c r="B43" s="4" t="s">
        <v>35</v>
      </c>
      <c r="C43" s="4" t="s">
        <v>36</v>
      </c>
      <c r="D43" s="4" t="s">
        <v>34</v>
      </c>
      <c r="E43" s="4" t="s">
        <v>25</v>
      </c>
      <c r="F43" s="4" t="s">
        <v>25</v>
      </c>
      <c r="G43" s="4" t="s">
        <v>25</v>
      </c>
      <c r="H43" s="4" t="s">
        <v>38</v>
      </c>
      <c r="I43" s="5">
        <v>44562</v>
      </c>
      <c r="J43" s="6">
        <v>193</v>
      </c>
      <c r="K43" s="6">
        <v>193</v>
      </c>
      <c r="L43" s="6">
        <v>52.811999999999998</v>
      </c>
      <c r="M43" s="6">
        <v>52.811999999999998</v>
      </c>
      <c r="N43" s="6">
        <v>52.811999999999998</v>
      </c>
      <c r="O43" s="6">
        <v>52.811999999999998</v>
      </c>
      <c r="P43" s="6">
        <v>0</v>
      </c>
      <c r="Q43" s="4" t="s">
        <v>26</v>
      </c>
      <c r="R43" s="4">
        <v>0</v>
      </c>
      <c r="S43" s="6">
        <v>1</v>
      </c>
      <c r="T43" s="6">
        <v>27</v>
      </c>
      <c r="U43" s="6">
        <v>73</v>
      </c>
      <c r="V43" s="6">
        <f>IF(ISERROR(VLOOKUP($S$43,'TAR FIN'!$A$1:$O$86,15,0)),0,VLOOKUP($S$43,'TAR FIN'!$A$1:$O$86,15,0))</f>
        <v>22.9</v>
      </c>
      <c r="W43" s="6">
        <f>IF(ISERROR(VLOOKUP($T$43,'TAR FIN'!$A$1:$O$86,15,0)),0,VLOOKUP($T$43,'TAR FIN'!$A$1:$O$86,15,0))</f>
        <v>73.19</v>
      </c>
      <c r="X43" s="6">
        <f>IF(ISERROR(VLOOKUP($U$43,'TAR FIN'!$A$1:$O$86,15,0)),0,VLOOKUP($U$43,'TAR FIN'!$A$1:$O$86,15,0))</f>
        <v>211.71</v>
      </c>
      <c r="Y43" s="6">
        <f ca="1">('TUSD BE'!$AM$6+'TUSD BF_350'!$AM$6+'TUSD CVA'!$AM$6)*1</f>
        <v>15.64</v>
      </c>
      <c r="Z43" s="6">
        <f ca="1">('TUSD BE'!$AM$7+'TUSD BF_350'!$AM$7+'TUSD CVA'!$AM$7)*1</f>
        <v>126.25</v>
      </c>
      <c r="AA43" s="6">
        <f ca="1">('TE BE'!$AB$6+'TE BF_350'!$AB$6+'TE CVA'!$AB$6)*1</f>
        <v>222.99901551132911</v>
      </c>
      <c r="AB43" s="6">
        <f>$K$43*$V$43</f>
        <v>4419.7</v>
      </c>
      <c r="AC43" s="6">
        <f>$M$43*$W$43</f>
        <v>3865.3102799999997</v>
      </c>
      <c r="AD43" s="6">
        <f>$O$43*$X$43</f>
        <v>11180.828519999999</v>
      </c>
      <c r="AE43" s="6">
        <f ca="1">$K$43*$Y$43</f>
        <v>3018.52</v>
      </c>
      <c r="AF43" s="6">
        <f ca="1">$M$43*$Z$43</f>
        <v>6667.5149999999994</v>
      </c>
      <c r="AG43" s="6">
        <f ca="1">$O$43*$AA$43</f>
        <v>11777.024007184313</v>
      </c>
    </row>
    <row r="44" spans="1:33" ht="11.25" customHeight="1" x14ac:dyDescent="0.25">
      <c r="A44" s="4" t="s">
        <v>21</v>
      </c>
      <c r="B44" s="4" t="s">
        <v>35</v>
      </c>
      <c r="C44" s="4" t="s">
        <v>36</v>
      </c>
      <c r="D44" s="4" t="s">
        <v>34</v>
      </c>
      <c r="E44" s="4" t="s">
        <v>25</v>
      </c>
      <c r="F44" s="4" t="s">
        <v>25</v>
      </c>
      <c r="G44" s="4" t="s">
        <v>25</v>
      </c>
      <c r="H44" s="4" t="s">
        <v>38</v>
      </c>
      <c r="I44" s="5">
        <v>44593</v>
      </c>
      <c r="J44" s="6">
        <v>194</v>
      </c>
      <c r="K44" s="6">
        <v>194</v>
      </c>
      <c r="L44" s="6">
        <v>64.382000000000005</v>
      </c>
      <c r="M44" s="6">
        <v>64.382000000000005</v>
      </c>
      <c r="N44" s="6">
        <v>64.382000000000005</v>
      </c>
      <c r="O44" s="6">
        <v>64.382000000000005</v>
      </c>
      <c r="P44" s="6">
        <v>0</v>
      </c>
      <c r="Q44" s="4" t="s">
        <v>26</v>
      </c>
      <c r="R44" s="4">
        <v>0</v>
      </c>
      <c r="S44" s="6">
        <v>1</v>
      </c>
      <c r="T44" s="6">
        <v>27</v>
      </c>
      <c r="U44" s="6">
        <v>73</v>
      </c>
      <c r="V44" s="6">
        <f>IF(ISERROR(VLOOKUP($S$44,'TAR FIN'!$A$1:$O$86,15,0)),0,VLOOKUP($S$44,'TAR FIN'!$A$1:$O$86,15,0))</f>
        <v>22.9</v>
      </c>
      <c r="W44" s="6">
        <f>IF(ISERROR(VLOOKUP($T$44,'TAR FIN'!$A$1:$O$86,15,0)),0,VLOOKUP($T$44,'TAR FIN'!$A$1:$O$86,15,0))</f>
        <v>73.19</v>
      </c>
      <c r="X44" s="6">
        <f>IF(ISERROR(VLOOKUP($U$44,'TAR FIN'!$A$1:$O$86,15,0)),0,VLOOKUP($U$44,'TAR FIN'!$A$1:$O$86,15,0))</f>
        <v>211.71</v>
      </c>
      <c r="Y44" s="6">
        <f ca="1">('TUSD BE'!$AM$6+'TUSD BF_350'!$AM$6+'TUSD CVA'!$AM$6)*1</f>
        <v>15.64</v>
      </c>
      <c r="Z44" s="6">
        <f ca="1">('TUSD BE'!$AM$7+'TUSD BF_350'!$AM$7+'TUSD CVA'!$AM$7)*1</f>
        <v>126.25</v>
      </c>
      <c r="AA44" s="6">
        <f ca="1">('TE BE'!$AB$6+'TE BF_350'!$AB$6+'TE CVA'!$AB$6)*1</f>
        <v>222.99901551132911</v>
      </c>
      <c r="AB44" s="6">
        <f>$K$44*$V$44</f>
        <v>4442.5999999999995</v>
      </c>
      <c r="AC44" s="6">
        <f>$M$44*$W$44</f>
        <v>4712.1185800000003</v>
      </c>
      <c r="AD44" s="6">
        <f>$O$44*$X$44</f>
        <v>13630.313220000002</v>
      </c>
      <c r="AE44" s="6">
        <f ca="1">$K$44*$Y$44</f>
        <v>3034.1600000000003</v>
      </c>
      <c r="AF44" s="6">
        <f ca="1">$M$44*$Z$44</f>
        <v>8128.2275000000009</v>
      </c>
      <c r="AG44" s="6">
        <f ca="1">$O$44*$AA$44</f>
        <v>14357.122616650391</v>
      </c>
    </row>
    <row r="45" spans="1:33" ht="11.25" customHeight="1" x14ac:dyDescent="0.25">
      <c r="A45" s="4" t="s">
        <v>21</v>
      </c>
      <c r="B45" s="4" t="s">
        <v>35</v>
      </c>
      <c r="C45" s="4" t="s">
        <v>36</v>
      </c>
      <c r="D45" s="4" t="s">
        <v>34</v>
      </c>
      <c r="E45" s="4" t="s">
        <v>25</v>
      </c>
      <c r="F45" s="4" t="s">
        <v>25</v>
      </c>
      <c r="G45" s="4" t="s">
        <v>25</v>
      </c>
      <c r="H45" s="4" t="s">
        <v>38</v>
      </c>
      <c r="I45" s="5">
        <v>44621</v>
      </c>
      <c r="J45" s="6">
        <v>199</v>
      </c>
      <c r="K45" s="6">
        <v>199</v>
      </c>
      <c r="L45" s="6">
        <v>73.945999999999998</v>
      </c>
      <c r="M45" s="6">
        <v>73.945999999999998</v>
      </c>
      <c r="N45" s="6">
        <v>73.945999999999998</v>
      </c>
      <c r="O45" s="6">
        <v>73.945999999999998</v>
      </c>
      <c r="P45" s="6">
        <v>0</v>
      </c>
      <c r="Q45" s="4" t="s">
        <v>26</v>
      </c>
      <c r="R45" s="4">
        <v>0</v>
      </c>
      <c r="S45" s="6">
        <v>1</v>
      </c>
      <c r="T45" s="6">
        <v>27</v>
      </c>
      <c r="U45" s="6">
        <v>73</v>
      </c>
      <c r="V45" s="6">
        <f>IF(ISERROR(VLOOKUP($S$45,'TAR FIN'!$A$1:$O$86,15,0)),0,VLOOKUP($S$45,'TAR FIN'!$A$1:$O$86,15,0))</f>
        <v>22.9</v>
      </c>
      <c r="W45" s="6">
        <f>IF(ISERROR(VLOOKUP($T$45,'TAR FIN'!$A$1:$O$86,15,0)),0,VLOOKUP($T$45,'TAR FIN'!$A$1:$O$86,15,0))</f>
        <v>73.19</v>
      </c>
      <c r="X45" s="6">
        <f>IF(ISERROR(VLOOKUP($U$45,'TAR FIN'!$A$1:$O$86,15,0)),0,VLOOKUP($U$45,'TAR FIN'!$A$1:$O$86,15,0))</f>
        <v>211.71</v>
      </c>
      <c r="Y45" s="6">
        <f ca="1">('TUSD BE'!$AM$6+'TUSD BF_350'!$AM$6+'TUSD CVA'!$AM$6)*1</f>
        <v>15.64</v>
      </c>
      <c r="Z45" s="6">
        <f ca="1">('TUSD BE'!$AM$7+'TUSD BF_350'!$AM$7+'TUSD CVA'!$AM$7)*1</f>
        <v>126.25</v>
      </c>
      <c r="AA45" s="6">
        <f ca="1">('TE BE'!$AB$6+'TE BF_350'!$AB$6+'TE CVA'!$AB$6)*1</f>
        <v>222.99901551132911</v>
      </c>
      <c r="AB45" s="6">
        <f>$K$45*$V$45</f>
        <v>4557.0999999999995</v>
      </c>
      <c r="AC45" s="6">
        <f>$M$45*$W$45</f>
        <v>5412.1077399999995</v>
      </c>
      <c r="AD45" s="6">
        <f>$O$45*$X$45</f>
        <v>15655.10766</v>
      </c>
      <c r="AE45" s="6">
        <f ca="1">$K$45*$Y$45</f>
        <v>3112.36</v>
      </c>
      <c r="AF45" s="6">
        <f ca="1">$M$45*$Z$45</f>
        <v>9335.682499999999</v>
      </c>
      <c r="AG45" s="6">
        <f ca="1">$O$45*$AA$45</f>
        <v>16489.885201000743</v>
      </c>
    </row>
    <row r="46" spans="1:33" ht="11.25" customHeight="1" x14ac:dyDescent="0.25">
      <c r="A46" s="4" t="s">
        <v>21</v>
      </c>
      <c r="B46" s="4" t="s">
        <v>35</v>
      </c>
      <c r="C46" s="4" t="s">
        <v>36</v>
      </c>
      <c r="D46" s="4" t="s">
        <v>34</v>
      </c>
      <c r="E46" s="4" t="s">
        <v>25</v>
      </c>
      <c r="F46" s="4" t="s">
        <v>25</v>
      </c>
      <c r="G46" s="4" t="s">
        <v>25</v>
      </c>
      <c r="H46" s="4" t="s">
        <v>38</v>
      </c>
      <c r="I46" s="5">
        <v>44652</v>
      </c>
      <c r="J46" s="6">
        <v>195</v>
      </c>
      <c r="K46" s="6">
        <v>195</v>
      </c>
      <c r="L46" s="6">
        <v>71.290999999999997</v>
      </c>
      <c r="M46" s="6">
        <v>71.290999999999997</v>
      </c>
      <c r="N46" s="6">
        <v>71.290999999999997</v>
      </c>
      <c r="O46" s="6">
        <v>71.290999999999997</v>
      </c>
      <c r="P46" s="6">
        <v>0</v>
      </c>
      <c r="Q46" s="4" t="s">
        <v>26</v>
      </c>
      <c r="R46" s="4">
        <v>0</v>
      </c>
      <c r="S46" s="6">
        <v>1</v>
      </c>
      <c r="T46" s="6">
        <v>27</v>
      </c>
      <c r="U46" s="6">
        <v>73</v>
      </c>
      <c r="V46" s="6">
        <f>IF(ISERROR(VLOOKUP($S$46,'TAR FIN'!$A$1:$O$86,15,0)),0,VLOOKUP($S$46,'TAR FIN'!$A$1:$O$86,15,0))</f>
        <v>22.9</v>
      </c>
      <c r="W46" s="6">
        <f>IF(ISERROR(VLOOKUP($T$46,'TAR FIN'!$A$1:$O$86,15,0)),0,VLOOKUP($T$46,'TAR FIN'!$A$1:$O$86,15,0))</f>
        <v>73.19</v>
      </c>
      <c r="X46" s="6">
        <f>IF(ISERROR(VLOOKUP($U$46,'TAR FIN'!$A$1:$O$86,15,0)),0,VLOOKUP($U$46,'TAR FIN'!$A$1:$O$86,15,0))</f>
        <v>211.71</v>
      </c>
      <c r="Y46" s="6">
        <f ca="1">('TUSD BE'!$AM$6+'TUSD BF_350'!$AM$6+'TUSD CVA'!$AM$6)*1</f>
        <v>15.64</v>
      </c>
      <c r="Z46" s="6">
        <f ca="1">('TUSD BE'!$AM$7+'TUSD BF_350'!$AM$7+'TUSD CVA'!$AM$7)*1</f>
        <v>126.25</v>
      </c>
      <c r="AA46" s="6">
        <f ca="1">('TE BE'!$AB$6+'TE BF_350'!$AB$6+'TE CVA'!$AB$6)*1</f>
        <v>222.99901551132911</v>
      </c>
      <c r="AB46" s="6">
        <f>$K$46*$V$46</f>
        <v>4465.5</v>
      </c>
      <c r="AC46" s="6">
        <f>$M$46*$W$46</f>
        <v>5217.7882899999995</v>
      </c>
      <c r="AD46" s="6">
        <f>$O$46*$X$46</f>
        <v>15093.017610000001</v>
      </c>
      <c r="AE46" s="6">
        <f ca="1">$K$46*$Y$46</f>
        <v>3049.8</v>
      </c>
      <c r="AF46" s="6">
        <f ca="1">$M$46*$Z$46</f>
        <v>9000.4887500000004</v>
      </c>
      <c r="AG46" s="6">
        <f ca="1">$O$46*$AA$46</f>
        <v>15897.822814818162</v>
      </c>
    </row>
    <row r="47" spans="1:33" ht="11.25" customHeight="1" x14ac:dyDescent="0.25">
      <c r="A47" s="4" t="s">
        <v>21</v>
      </c>
      <c r="B47" s="4" t="s">
        <v>35</v>
      </c>
      <c r="C47" s="4" t="s">
        <v>36</v>
      </c>
      <c r="D47" s="4" t="s">
        <v>34</v>
      </c>
      <c r="E47" s="4" t="s">
        <v>25</v>
      </c>
      <c r="F47" s="4" t="s">
        <v>25</v>
      </c>
      <c r="G47" s="4" t="s">
        <v>25</v>
      </c>
      <c r="H47" s="4" t="s">
        <v>38</v>
      </c>
      <c r="I47" s="5">
        <v>44682</v>
      </c>
      <c r="J47" s="6">
        <v>194</v>
      </c>
      <c r="K47" s="6">
        <v>194</v>
      </c>
      <c r="L47" s="6">
        <v>71.894999999999996</v>
      </c>
      <c r="M47" s="6">
        <v>71.894999999999996</v>
      </c>
      <c r="N47" s="6">
        <v>71.894999999999996</v>
      </c>
      <c r="O47" s="6">
        <v>71.894999999999996</v>
      </c>
      <c r="P47" s="6">
        <v>0</v>
      </c>
      <c r="Q47" s="4" t="s">
        <v>26</v>
      </c>
      <c r="R47" s="4">
        <v>0</v>
      </c>
      <c r="S47" s="6">
        <v>1</v>
      </c>
      <c r="T47" s="6">
        <v>27</v>
      </c>
      <c r="U47" s="6">
        <v>73</v>
      </c>
      <c r="V47" s="6">
        <f>IF(ISERROR(VLOOKUP($S$47,'TAR FIN'!$A$1:$O$86,15,0)),0,VLOOKUP($S$47,'TAR FIN'!$A$1:$O$86,15,0))</f>
        <v>22.9</v>
      </c>
      <c r="W47" s="6">
        <f>IF(ISERROR(VLOOKUP($T$47,'TAR FIN'!$A$1:$O$86,15,0)),0,VLOOKUP($T$47,'TAR FIN'!$A$1:$O$86,15,0))</f>
        <v>73.19</v>
      </c>
      <c r="X47" s="6">
        <f>IF(ISERROR(VLOOKUP($U$47,'TAR FIN'!$A$1:$O$86,15,0)),0,VLOOKUP($U$47,'TAR FIN'!$A$1:$O$86,15,0))</f>
        <v>211.71</v>
      </c>
      <c r="Y47" s="6">
        <f ca="1">('TUSD BE'!$AM$6+'TUSD BF_350'!$AM$6+'TUSD CVA'!$AM$6)*1</f>
        <v>15.64</v>
      </c>
      <c r="Z47" s="6">
        <f ca="1">('TUSD BE'!$AM$7+'TUSD BF_350'!$AM$7+'TUSD CVA'!$AM$7)*1</f>
        <v>126.25</v>
      </c>
      <c r="AA47" s="6">
        <f ca="1">('TE BE'!$AB$6+'TE BF_350'!$AB$6+'TE CVA'!$AB$6)*1</f>
        <v>222.99901551132911</v>
      </c>
      <c r="AB47" s="6">
        <f>$K$47*$V$47</f>
        <v>4442.5999999999995</v>
      </c>
      <c r="AC47" s="6">
        <f>$M$47*$W$47</f>
        <v>5261.9950499999995</v>
      </c>
      <c r="AD47" s="6">
        <f>$O$47*$X$47</f>
        <v>15220.890449999999</v>
      </c>
      <c r="AE47" s="6">
        <f ca="1">$K$47*$Y$47</f>
        <v>3034.1600000000003</v>
      </c>
      <c r="AF47" s="6">
        <f ca="1">$M$47*$Z$47</f>
        <v>9076.7437499999996</v>
      </c>
      <c r="AG47" s="6">
        <f ca="1">$O$47*$AA$47</f>
        <v>16032.514220187006</v>
      </c>
    </row>
    <row r="48" spans="1:33" ht="11.25" customHeight="1" x14ac:dyDescent="0.25">
      <c r="A48" s="4" t="s">
        <v>21</v>
      </c>
      <c r="B48" s="4" t="s">
        <v>35</v>
      </c>
      <c r="C48" s="4" t="s">
        <v>36</v>
      </c>
      <c r="D48" s="4" t="s">
        <v>34</v>
      </c>
      <c r="E48" s="4" t="s">
        <v>25</v>
      </c>
      <c r="F48" s="4" t="s">
        <v>25</v>
      </c>
      <c r="G48" s="4" t="s">
        <v>25</v>
      </c>
      <c r="H48" s="4" t="s">
        <v>38</v>
      </c>
      <c r="I48" s="5">
        <v>44713</v>
      </c>
      <c r="J48" s="6">
        <v>193</v>
      </c>
      <c r="K48" s="6">
        <v>193</v>
      </c>
      <c r="L48" s="6">
        <v>72.581000000000003</v>
      </c>
      <c r="M48" s="6">
        <v>72.581000000000003</v>
      </c>
      <c r="N48" s="6">
        <v>72.581000000000003</v>
      </c>
      <c r="O48" s="6">
        <v>72.581000000000003</v>
      </c>
      <c r="P48" s="6">
        <v>0</v>
      </c>
      <c r="Q48" s="4" t="s">
        <v>26</v>
      </c>
      <c r="R48" s="4">
        <v>0</v>
      </c>
      <c r="S48" s="6">
        <v>1</v>
      </c>
      <c r="T48" s="6">
        <v>27</v>
      </c>
      <c r="U48" s="6">
        <v>73</v>
      </c>
      <c r="V48" s="6">
        <f>IF(ISERROR(VLOOKUP($S$48,'TAR FIN'!$A$1:$O$86,15,0)),0,VLOOKUP($S$48,'TAR FIN'!$A$1:$O$86,15,0))</f>
        <v>22.9</v>
      </c>
      <c r="W48" s="6">
        <f>IF(ISERROR(VLOOKUP($T$48,'TAR FIN'!$A$1:$O$86,15,0)),0,VLOOKUP($T$48,'TAR FIN'!$A$1:$O$86,15,0))</f>
        <v>73.19</v>
      </c>
      <c r="X48" s="6">
        <f>IF(ISERROR(VLOOKUP($U$48,'TAR FIN'!$A$1:$O$86,15,0)),0,VLOOKUP($U$48,'TAR FIN'!$A$1:$O$86,15,0))</f>
        <v>211.71</v>
      </c>
      <c r="Y48" s="6">
        <f ca="1">('TUSD BE'!$AM$6+'TUSD BF_350'!$AM$6+'TUSD CVA'!$AM$6)*1</f>
        <v>15.64</v>
      </c>
      <c r="Z48" s="6">
        <f ca="1">('TUSD BE'!$AM$7+'TUSD BF_350'!$AM$7+'TUSD CVA'!$AM$7)*1</f>
        <v>126.25</v>
      </c>
      <c r="AA48" s="6">
        <f ca="1">('TE BE'!$AB$6+'TE BF_350'!$AB$6+'TE CVA'!$AB$6)*1</f>
        <v>222.99901551132911</v>
      </c>
      <c r="AB48" s="6">
        <f>$K$48*$V$48</f>
        <v>4419.7</v>
      </c>
      <c r="AC48" s="6">
        <f>$M$48*$W$48</f>
        <v>5312.2033899999997</v>
      </c>
      <c r="AD48" s="6">
        <f>$O$48*$X$48</f>
        <v>15366.123510000001</v>
      </c>
      <c r="AE48" s="6">
        <f ca="1">$K$48*$Y$48</f>
        <v>3018.52</v>
      </c>
      <c r="AF48" s="6">
        <f ca="1">$M$48*$Z$48</f>
        <v>9163.3512499999997</v>
      </c>
      <c r="AG48" s="6">
        <f ca="1">$O$48*$AA$48</f>
        <v>16185.491544827779</v>
      </c>
    </row>
    <row r="49" spans="1:33" ht="11.25" customHeight="1" x14ac:dyDescent="0.25">
      <c r="A49" s="4" t="s">
        <v>55</v>
      </c>
      <c r="B49" s="4" t="s">
        <v>35</v>
      </c>
      <c r="C49" s="4" t="s">
        <v>36</v>
      </c>
      <c r="D49" s="4" t="s">
        <v>34</v>
      </c>
      <c r="E49" s="4" t="s">
        <v>25</v>
      </c>
      <c r="F49" s="4" t="s">
        <v>25</v>
      </c>
      <c r="G49" s="4" t="s">
        <v>25</v>
      </c>
      <c r="H49" s="4" t="s">
        <v>38</v>
      </c>
      <c r="I49" s="5">
        <v>44743</v>
      </c>
      <c r="J49" s="6">
        <v>193</v>
      </c>
      <c r="K49" s="6">
        <v>193</v>
      </c>
      <c r="L49" s="6">
        <v>72.581000000000003</v>
      </c>
      <c r="M49" s="6">
        <v>72.581000000000003</v>
      </c>
      <c r="N49" s="6">
        <v>72.581000000000003</v>
      </c>
      <c r="O49" s="6">
        <v>72.581000000000003</v>
      </c>
      <c r="P49" s="6">
        <v>0</v>
      </c>
      <c r="Q49" s="4" t="s">
        <v>26</v>
      </c>
      <c r="R49" s="4">
        <v>0</v>
      </c>
      <c r="S49" s="6">
        <v>1</v>
      </c>
      <c r="T49" s="6">
        <v>27</v>
      </c>
      <c r="U49" s="6">
        <v>73</v>
      </c>
      <c r="V49" s="6">
        <f>IF(ISERROR(VLOOKUP($S$49,'TAR FIN'!$A$1:$O$86,15,0)),0,VLOOKUP($S$49,'TAR FIN'!$A$1:$O$86,15,0))</f>
        <v>22.9</v>
      </c>
      <c r="W49" s="6">
        <f>IF(ISERROR(VLOOKUP($T$49,'TAR FIN'!$A$1:$O$86,15,0)),0,VLOOKUP($T$49,'TAR FIN'!$A$1:$O$86,15,0))</f>
        <v>73.19</v>
      </c>
      <c r="X49" s="6">
        <f>IF(ISERROR(VLOOKUP($U$49,'TAR FIN'!$A$1:$O$86,15,0)),0,VLOOKUP($U$49,'TAR FIN'!$A$1:$O$86,15,0))</f>
        <v>211.71</v>
      </c>
      <c r="Y49" s="6">
        <f ca="1">('TUSD BE'!$AM$6+'TUSD BF_350'!$AM$6+'TUSD CVA'!$AM$6)*1</f>
        <v>15.64</v>
      </c>
      <c r="Z49" s="6">
        <f ca="1">('TUSD BE'!$AM$7+'TUSD BF_350'!$AM$7+'TUSD CVA'!$AM$7)*1</f>
        <v>126.25</v>
      </c>
      <c r="AA49" s="6">
        <f ca="1">('TE BE'!$AB$6+'TE BF_350'!$AB$6+'TE CVA'!$AB$6)*1</f>
        <v>222.99901551132911</v>
      </c>
      <c r="AB49" s="6">
        <f>$K$49*$V$49</f>
        <v>4419.7</v>
      </c>
      <c r="AC49" s="6">
        <f>$M$49*$W$49</f>
        <v>5312.2033899999997</v>
      </c>
      <c r="AD49" s="6">
        <f>$O$49*$X$49</f>
        <v>15366.123510000001</v>
      </c>
      <c r="AE49" s="6">
        <f ca="1">$K$49*$Y$49</f>
        <v>3018.52</v>
      </c>
      <c r="AF49" s="6">
        <f ca="1">$M$49*$Z$49</f>
        <v>9163.3512499999997</v>
      </c>
      <c r="AG49" s="6">
        <f ca="1">$O$49*$AA$49</f>
        <v>16185.491544827779</v>
      </c>
    </row>
    <row r="50" spans="1:33" ht="11.25" customHeight="1" x14ac:dyDescent="0.25">
      <c r="A50" s="4" t="s">
        <v>21</v>
      </c>
      <c r="B50" s="4" t="s">
        <v>35</v>
      </c>
      <c r="C50" s="4" t="s">
        <v>36</v>
      </c>
      <c r="D50" s="4" t="s">
        <v>34</v>
      </c>
      <c r="E50" s="4" t="s">
        <v>25</v>
      </c>
      <c r="F50" s="4" t="s">
        <v>25</v>
      </c>
      <c r="G50" s="4" t="s">
        <v>25</v>
      </c>
      <c r="H50" s="4" t="s">
        <v>37</v>
      </c>
      <c r="I50" s="5">
        <v>44409</v>
      </c>
      <c r="J50" s="6">
        <v>136</v>
      </c>
      <c r="K50" s="6">
        <v>136</v>
      </c>
      <c r="L50" s="6">
        <v>8.016</v>
      </c>
      <c r="M50" s="6">
        <v>8.016</v>
      </c>
      <c r="N50" s="6">
        <v>8.016</v>
      </c>
      <c r="O50" s="6">
        <v>8.016</v>
      </c>
      <c r="P50" s="6">
        <v>0</v>
      </c>
      <c r="Q50" s="4" t="s">
        <v>26</v>
      </c>
      <c r="R50" s="4">
        <v>0</v>
      </c>
      <c r="S50" s="6">
        <v>7</v>
      </c>
      <c r="T50" s="6">
        <v>27</v>
      </c>
      <c r="U50" s="6">
        <v>69</v>
      </c>
      <c r="V50" s="6">
        <f>IF(ISERROR(VLOOKUP($S$50,'TAR FIN'!$A$1:$O$86,15,0)),0,VLOOKUP($S$50,'TAR FIN'!$A$1:$O$86,15,0))</f>
        <v>59.47</v>
      </c>
      <c r="W50" s="6">
        <f>IF(ISERROR(VLOOKUP($T$50,'TAR FIN'!$A$1:$O$86,15,0)),0,VLOOKUP($T$50,'TAR FIN'!$A$1:$O$86,15,0))</f>
        <v>73.19</v>
      </c>
      <c r="X50" s="6">
        <f>IF(ISERROR(VLOOKUP($U$50,'TAR FIN'!$A$1:$O$86,15,0)),0,VLOOKUP($U$50,'TAR FIN'!$A$1:$O$86,15,0))</f>
        <v>359.33</v>
      </c>
      <c r="Y50" s="6">
        <f ca="1">('TUSD BE'!$AM$5+'TUSD BF_350'!$AM$5+'TUSD CVA'!$AM$5)*1</f>
        <v>32.350000000000009</v>
      </c>
      <c r="Z50" s="6">
        <f ca="1">('TUSD BE'!$AM$7+'TUSD BF_350'!$AM$7+'TUSD CVA'!$AM$7)*1</f>
        <v>126.25</v>
      </c>
      <c r="AA50" s="6">
        <f ca="1">('TE BE'!$AB$5+'TE BF_350'!$AB$5+'TE CVA'!$AB$5)*1</f>
        <v>362.73600214515886</v>
      </c>
      <c r="AB50" s="6">
        <f>$K$50*$V$50</f>
        <v>8087.92</v>
      </c>
      <c r="AC50" s="6">
        <f>$M$50*$W$50</f>
        <v>586.69103999999993</v>
      </c>
      <c r="AD50" s="6">
        <f>$O$50*$X$50</f>
        <v>2880.3892799999999</v>
      </c>
      <c r="AE50" s="6">
        <f ca="1">$K$50*$Y$50</f>
        <v>4399.6000000000013</v>
      </c>
      <c r="AF50" s="6">
        <f ca="1">$M$50*$Z$50</f>
        <v>1012.02</v>
      </c>
      <c r="AG50" s="6">
        <f ca="1">$O$50*$AA$50</f>
        <v>2907.6917931955936</v>
      </c>
    </row>
    <row r="51" spans="1:33" ht="11.25" customHeight="1" x14ac:dyDescent="0.25">
      <c r="A51" s="4" t="s">
        <v>21</v>
      </c>
      <c r="B51" s="4" t="s">
        <v>35</v>
      </c>
      <c r="C51" s="4" t="s">
        <v>36</v>
      </c>
      <c r="D51" s="4" t="s">
        <v>34</v>
      </c>
      <c r="E51" s="4" t="s">
        <v>25</v>
      </c>
      <c r="F51" s="4" t="s">
        <v>25</v>
      </c>
      <c r="G51" s="4" t="s">
        <v>25</v>
      </c>
      <c r="H51" s="4" t="s">
        <v>37</v>
      </c>
      <c r="I51" s="5">
        <v>44440</v>
      </c>
      <c r="J51" s="6">
        <v>130</v>
      </c>
      <c r="K51" s="6">
        <v>130</v>
      </c>
      <c r="L51" s="6">
        <v>7.15</v>
      </c>
      <c r="M51" s="6">
        <v>7.15</v>
      </c>
      <c r="N51" s="6">
        <v>7.15</v>
      </c>
      <c r="O51" s="6">
        <v>7.15</v>
      </c>
      <c r="P51" s="6">
        <v>0</v>
      </c>
      <c r="Q51" s="4" t="s">
        <v>26</v>
      </c>
      <c r="R51" s="4">
        <v>0</v>
      </c>
      <c r="S51" s="6">
        <v>7</v>
      </c>
      <c r="T51" s="6">
        <v>27</v>
      </c>
      <c r="U51" s="6">
        <v>69</v>
      </c>
      <c r="V51" s="6">
        <f>IF(ISERROR(VLOOKUP($S$51,'TAR FIN'!$A$1:$O$86,15,0)),0,VLOOKUP($S$51,'TAR FIN'!$A$1:$O$86,15,0))</f>
        <v>59.47</v>
      </c>
      <c r="W51" s="6">
        <f>IF(ISERROR(VLOOKUP($T$51,'TAR FIN'!$A$1:$O$86,15,0)),0,VLOOKUP($T$51,'TAR FIN'!$A$1:$O$86,15,0))</f>
        <v>73.19</v>
      </c>
      <c r="X51" s="6">
        <f>IF(ISERROR(VLOOKUP($U$51,'TAR FIN'!$A$1:$O$86,15,0)),0,VLOOKUP($U$51,'TAR FIN'!$A$1:$O$86,15,0))</f>
        <v>359.33</v>
      </c>
      <c r="Y51" s="6">
        <f ca="1">('TUSD BE'!$AM$5+'TUSD BF_350'!$AM$5+'TUSD CVA'!$AM$5)*1</f>
        <v>32.350000000000009</v>
      </c>
      <c r="Z51" s="6">
        <f ca="1">('TUSD BE'!$AM$7+'TUSD BF_350'!$AM$7+'TUSD CVA'!$AM$7)*1</f>
        <v>126.25</v>
      </c>
      <c r="AA51" s="6">
        <f ca="1">('TE BE'!$AB$5+'TE BF_350'!$AB$5+'TE CVA'!$AB$5)*1</f>
        <v>362.73600214515886</v>
      </c>
      <c r="AB51" s="6">
        <f>$K$51*$V$51</f>
        <v>7731.0999999999995</v>
      </c>
      <c r="AC51" s="6">
        <f>$M$51*$W$51</f>
        <v>523.30849999999998</v>
      </c>
      <c r="AD51" s="6">
        <f>$O$51*$X$51</f>
        <v>2569.2094999999999</v>
      </c>
      <c r="AE51" s="6">
        <f ca="1">$K$51*$Y$51</f>
        <v>4205.5000000000009</v>
      </c>
      <c r="AF51" s="6">
        <f ca="1">$M$51*$Z$51</f>
        <v>902.6875</v>
      </c>
      <c r="AG51" s="6">
        <f ca="1">$O$51*$AA$51</f>
        <v>2593.5624153378858</v>
      </c>
    </row>
    <row r="52" spans="1:33" ht="11.25" customHeight="1" x14ac:dyDescent="0.25">
      <c r="A52" s="4" t="s">
        <v>21</v>
      </c>
      <c r="B52" s="4" t="s">
        <v>35</v>
      </c>
      <c r="C52" s="4" t="s">
        <v>36</v>
      </c>
      <c r="D52" s="4" t="s">
        <v>34</v>
      </c>
      <c r="E52" s="4" t="s">
        <v>25</v>
      </c>
      <c r="F52" s="4" t="s">
        <v>25</v>
      </c>
      <c r="G52" s="4" t="s">
        <v>25</v>
      </c>
      <c r="H52" s="4" t="s">
        <v>37</v>
      </c>
      <c r="I52" s="5">
        <v>44470</v>
      </c>
      <c r="J52" s="6">
        <v>135</v>
      </c>
      <c r="K52" s="6">
        <v>135</v>
      </c>
      <c r="L52" s="6">
        <v>7.1479999999999997</v>
      </c>
      <c r="M52" s="6">
        <v>7.1479999999999997</v>
      </c>
      <c r="N52" s="6">
        <v>7.1479999999999997</v>
      </c>
      <c r="O52" s="6">
        <v>7.1479999999999997</v>
      </c>
      <c r="P52" s="6">
        <v>0</v>
      </c>
      <c r="Q52" s="4" t="s">
        <v>26</v>
      </c>
      <c r="R52" s="4">
        <v>0</v>
      </c>
      <c r="S52" s="6">
        <v>7</v>
      </c>
      <c r="T52" s="6">
        <v>27</v>
      </c>
      <c r="U52" s="6">
        <v>69</v>
      </c>
      <c r="V52" s="6">
        <f>IF(ISERROR(VLOOKUP($S$52,'TAR FIN'!$A$1:$O$86,15,0)),0,VLOOKUP($S$52,'TAR FIN'!$A$1:$O$86,15,0))</f>
        <v>59.47</v>
      </c>
      <c r="W52" s="6">
        <f>IF(ISERROR(VLOOKUP($T$52,'TAR FIN'!$A$1:$O$86,15,0)),0,VLOOKUP($T$52,'TAR FIN'!$A$1:$O$86,15,0))</f>
        <v>73.19</v>
      </c>
      <c r="X52" s="6">
        <f>IF(ISERROR(VLOOKUP($U$52,'TAR FIN'!$A$1:$O$86,15,0)),0,VLOOKUP($U$52,'TAR FIN'!$A$1:$O$86,15,0))</f>
        <v>359.33</v>
      </c>
      <c r="Y52" s="6">
        <f ca="1">('TUSD BE'!$AM$5+'TUSD BF_350'!$AM$5+'TUSD CVA'!$AM$5)*1</f>
        <v>32.350000000000009</v>
      </c>
      <c r="Z52" s="6">
        <f ca="1">('TUSD BE'!$AM$7+'TUSD BF_350'!$AM$7+'TUSD CVA'!$AM$7)*1</f>
        <v>126.25</v>
      </c>
      <c r="AA52" s="6">
        <f ca="1">('TE BE'!$AB$5+'TE BF_350'!$AB$5+'TE CVA'!$AB$5)*1</f>
        <v>362.73600214515886</v>
      </c>
      <c r="AB52" s="6">
        <f>$K$52*$V$52</f>
        <v>8028.45</v>
      </c>
      <c r="AC52" s="6">
        <f>$M$52*$W$52</f>
        <v>523.16211999999996</v>
      </c>
      <c r="AD52" s="6">
        <f>$O$52*$X$52</f>
        <v>2568.4908399999999</v>
      </c>
      <c r="AE52" s="6">
        <f ca="1">$K$52*$Y$52</f>
        <v>4367.2500000000009</v>
      </c>
      <c r="AF52" s="6">
        <f ca="1">$M$52*$Z$52</f>
        <v>902.43499999999995</v>
      </c>
      <c r="AG52" s="6">
        <f ca="1">$O$52*$AA$52</f>
        <v>2592.8369433335956</v>
      </c>
    </row>
    <row r="53" spans="1:33" ht="11.25" customHeight="1" x14ac:dyDescent="0.25">
      <c r="A53" s="4" t="s">
        <v>21</v>
      </c>
      <c r="B53" s="4" t="s">
        <v>35</v>
      </c>
      <c r="C53" s="4" t="s">
        <v>36</v>
      </c>
      <c r="D53" s="4" t="s">
        <v>34</v>
      </c>
      <c r="E53" s="4" t="s">
        <v>25</v>
      </c>
      <c r="F53" s="4" t="s">
        <v>25</v>
      </c>
      <c r="G53" s="4" t="s">
        <v>25</v>
      </c>
      <c r="H53" s="4" t="s">
        <v>37</v>
      </c>
      <c r="I53" s="5">
        <v>44501</v>
      </c>
      <c r="J53" s="6">
        <v>130</v>
      </c>
      <c r="K53" s="6">
        <v>130</v>
      </c>
      <c r="L53" s="6">
        <v>6.9379999999999997</v>
      </c>
      <c r="M53" s="6">
        <v>6.9379999999999997</v>
      </c>
      <c r="N53" s="6">
        <v>6.9379999999999997</v>
      </c>
      <c r="O53" s="6">
        <v>6.9379999999999997</v>
      </c>
      <c r="P53" s="6">
        <v>0</v>
      </c>
      <c r="Q53" s="4" t="s">
        <v>26</v>
      </c>
      <c r="R53" s="4">
        <v>0</v>
      </c>
      <c r="S53" s="6">
        <v>7</v>
      </c>
      <c r="T53" s="6">
        <v>27</v>
      </c>
      <c r="U53" s="6">
        <v>69</v>
      </c>
      <c r="V53" s="6">
        <f>IF(ISERROR(VLOOKUP($S$53,'TAR FIN'!$A$1:$O$86,15,0)),0,VLOOKUP($S$53,'TAR FIN'!$A$1:$O$86,15,0))</f>
        <v>59.47</v>
      </c>
      <c r="W53" s="6">
        <f>IF(ISERROR(VLOOKUP($T$53,'TAR FIN'!$A$1:$O$86,15,0)),0,VLOOKUP($T$53,'TAR FIN'!$A$1:$O$86,15,0))</f>
        <v>73.19</v>
      </c>
      <c r="X53" s="6">
        <f>IF(ISERROR(VLOOKUP($U$53,'TAR FIN'!$A$1:$O$86,15,0)),0,VLOOKUP($U$53,'TAR FIN'!$A$1:$O$86,15,0))</f>
        <v>359.33</v>
      </c>
      <c r="Y53" s="6">
        <f ca="1">('TUSD BE'!$AM$5+'TUSD BF_350'!$AM$5+'TUSD CVA'!$AM$5)*1</f>
        <v>32.350000000000009</v>
      </c>
      <c r="Z53" s="6">
        <f ca="1">('TUSD BE'!$AM$7+'TUSD BF_350'!$AM$7+'TUSD CVA'!$AM$7)*1</f>
        <v>126.25</v>
      </c>
      <c r="AA53" s="6">
        <f ca="1">('TE BE'!$AB$5+'TE BF_350'!$AB$5+'TE CVA'!$AB$5)*1</f>
        <v>362.73600214515886</v>
      </c>
      <c r="AB53" s="6">
        <f>$K$53*$V$53</f>
        <v>7731.0999999999995</v>
      </c>
      <c r="AC53" s="6">
        <f>$M$53*$W$53</f>
        <v>507.79221999999999</v>
      </c>
      <c r="AD53" s="6">
        <f>$O$53*$X$53</f>
        <v>2493.0315399999999</v>
      </c>
      <c r="AE53" s="6">
        <f ca="1">$K$53*$Y$53</f>
        <v>4205.5000000000009</v>
      </c>
      <c r="AF53" s="6">
        <f ca="1">$M$53*$Z$53</f>
        <v>875.92250000000001</v>
      </c>
      <c r="AG53" s="6">
        <f ca="1">$O$53*$AA$53</f>
        <v>2516.6623828831121</v>
      </c>
    </row>
    <row r="54" spans="1:33" ht="11.25" customHeight="1" x14ac:dyDescent="0.25">
      <c r="A54" s="4" t="s">
        <v>21</v>
      </c>
      <c r="B54" s="4" t="s">
        <v>35</v>
      </c>
      <c r="C54" s="4" t="s">
        <v>36</v>
      </c>
      <c r="D54" s="4" t="s">
        <v>34</v>
      </c>
      <c r="E54" s="4" t="s">
        <v>25</v>
      </c>
      <c r="F54" s="4" t="s">
        <v>25</v>
      </c>
      <c r="G54" s="4" t="s">
        <v>25</v>
      </c>
      <c r="H54" s="4" t="s">
        <v>37</v>
      </c>
      <c r="I54" s="5">
        <v>44531</v>
      </c>
      <c r="J54" s="6">
        <v>134</v>
      </c>
      <c r="K54" s="6">
        <v>134</v>
      </c>
      <c r="L54" s="6">
        <v>5.9080000000000004</v>
      </c>
      <c r="M54" s="6">
        <v>5.9080000000000004</v>
      </c>
      <c r="N54" s="6">
        <v>5.9080000000000004</v>
      </c>
      <c r="O54" s="6">
        <v>5.9080000000000004</v>
      </c>
      <c r="P54" s="6">
        <v>0</v>
      </c>
      <c r="Q54" s="4" t="s">
        <v>26</v>
      </c>
      <c r="R54" s="4">
        <v>0</v>
      </c>
      <c r="S54" s="6">
        <v>7</v>
      </c>
      <c r="T54" s="6">
        <v>27</v>
      </c>
      <c r="U54" s="6">
        <v>69</v>
      </c>
      <c r="V54" s="6">
        <f>IF(ISERROR(VLOOKUP($S$54,'TAR FIN'!$A$1:$O$86,15,0)),0,VLOOKUP($S$54,'TAR FIN'!$A$1:$O$86,15,0))</f>
        <v>59.47</v>
      </c>
      <c r="W54" s="6">
        <f>IF(ISERROR(VLOOKUP($T$54,'TAR FIN'!$A$1:$O$86,15,0)),0,VLOOKUP($T$54,'TAR FIN'!$A$1:$O$86,15,0))</f>
        <v>73.19</v>
      </c>
      <c r="X54" s="6">
        <f>IF(ISERROR(VLOOKUP($U$54,'TAR FIN'!$A$1:$O$86,15,0)),0,VLOOKUP($U$54,'TAR FIN'!$A$1:$O$86,15,0))</f>
        <v>359.33</v>
      </c>
      <c r="Y54" s="6">
        <f ca="1">('TUSD BE'!$AM$5+'TUSD BF_350'!$AM$5+'TUSD CVA'!$AM$5)*1</f>
        <v>32.350000000000009</v>
      </c>
      <c r="Z54" s="6">
        <f ca="1">('TUSD BE'!$AM$7+'TUSD BF_350'!$AM$7+'TUSD CVA'!$AM$7)*1</f>
        <v>126.25</v>
      </c>
      <c r="AA54" s="6">
        <f ca="1">('TE BE'!$AB$5+'TE BF_350'!$AB$5+'TE CVA'!$AB$5)*1</f>
        <v>362.73600214515886</v>
      </c>
      <c r="AB54" s="6">
        <f>$K$54*$V$54</f>
        <v>7968.98</v>
      </c>
      <c r="AC54" s="6">
        <f>$M$54*$W$54</f>
        <v>432.40652</v>
      </c>
      <c r="AD54" s="6">
        <f>$O$54*$X$54</f>
        <v>2122.92164</v>
      </c>
      <c r="AE54" s="6">
        <f ca="1">$K$54*$Y$54</f>
        <v>4334.9000000000015</v>
      </c>
      <c r="AF54" s="6">
        <f ca="1">$M$54*$Z$54</f>
        <v>745.88499999999999</v>
      </c>
      <c r="AG54" s="6">
        <f ca="1">$O$54*$AA$54</f>
        <v>2143.0443006735986</v>
      </c>
    </row>
    <row r="55" spans="1:33" ht="11.25" customHeight="1" x14ac:dyDescent="0.25">
      <c r="A55" s="4" t="s">
        <v>21</v>
      </c>
      <c r="B55" s="4" t="s">
        <v>35</v>
      </c>
      <c r="C55" s="4" t="s">
        <v>36</v>
      </c>
      <c r="D55" s="4" t="s">
        <v>34</v>
      </c>
      <c r="E55" s="4" t="s">
        <v>25</v>
      </c>
      <c r="F55" s="4" t="s">
        <v>25</v>
      </c>
      <c r="G55" s="4" t="s">
        <v>25</v>
      </c>
      <c r="H55" s="4" t="s">
        <v>37</v>
      </c>
      <c r="I55" s="5">
        <v>44562</v>
      </c>
      <c r="J55" s="6">
        <v>133</v>
      </c>
      <c r="K55" s="6">
        <v>133</v>
      </c>
      <c r="L55" s="6">
        <v>5.8380000000000001</v>
      </c>
      <c r="M55" s="6">
        <v>5.8380000000000001</v>
      </c>
      <c r="N55" s="6">
        <v>5.8380000000000001</v>
      </c>
      <c r="O55" s="6">
        <v>5.8380000000000001</v>
      </c>
      <c r="P55" s="6">
        <v>0</v>
      </c>
      <c r="Q55" s="4" t="s">
        <v>26</v>
      </c>
      <c r="R55" s="4">
        <v>0</v>
      </c>
      <c r="S55" s="6">
        <v>7</v>
      </c>
      <c r="T55" s="6">
        <v>27</v>
      </c>
      <c r="U55" s="6">
        <v>69</v>
      </c>
      <c r="V55" s="6">
        <f>IF(ISERROR(VLOOKUP($S$55,'TAR FIN'!$A$1:$O$86,15,0)),0,VLOOKUP($S$55,'TAR FIN'!$A$1:$O$86,15,0))</f>
        <v>59.47</v>
      </c>
      <c r="W55" s="6">
        <f>IF(ISERROR(VLOOKUP($T$55,'TAR FIN'!$A$1:$O$86,15,0)),0,VLOOKUP($T$55,'TAR FIN'!$A$1:$O$86,15,0))</f>
        <v>73.19</v>
      </c>
      <c r="X55" s="6">
        <f>IF(ISERROR(VLOOKUP($U$55,'TAR FIN'!$A$1:$O$86,15,0)),0,VLOOKUP($U$55,'TAR FIN'!$A$1:$O$86,15,0))</f>
        <v>359.33</v>
      </c>
      <c r="Y55" s="6">
        <f ca="1">('TUSD BE'!$AM$5+'TUSD BF_350'!$AM$5+'TUSD CVA'!$AM$5)*1</f>
        <v>32.350000000000009</v>
      </c>
      <c r="Z55" s="6">
        <f ca="1">('TUSD BE'!$AM$7+'TUSD BF_350'!$AM$7+'TUSD CVA'!$AM$7)*1</f>
        <v>126.25</v>
      </c>
      <c r="AA55" s="6">
        <f ca="1">('TE BE'!$AB$5+'TE BF_350'!$AB$5+'TE CVA'!$AB$5)*1</f>
        <v>362.73600214515886</v>
      </c>
      <c r="AB55" s="6">
        <f>$K$55*$V$55</f>
        <v>7909.51</v>
      </c>
      <c r="AC55" s="6">
        <f>$M$55*$W$55</f>
        <v>427.28321999999997</v>
      </c>
      <c r="AD55" s="6">
        <f>$O$55*$X$55</f>
        <v>2097.76854</v>
      </c>
      <c r="AE55" s="6">
        <f ca="1">$K$55*$Y$55</f>
        <v>4302.5500000000011</v>
      </c>
      <c r="AF55" s="6">
        <f ca="1">$M$55*$Z$55</f>
        <v>737.04750000000001</v>
      </c>
      <c r="AG55" s="6">
        <f ca="1">$O$55*$AA$55</f>
        <v>2117.6527805234373</v>
      </c>
    </row>
    <row r="56" spans="1:33" ht="11.25" customHeight="1" x14ac:dyDescent="0.25">
      <c r="A56" s="4" t="s">
        <v>21</v>
      </c>
      <c r="B56" s="4" t="s">
        <v>35</v>
      </c>
      <c r="C56" s="4" t="s">
        <v>36</v>
      </c>
      <c r="D56" s="4" t="s">
        <v>34</v>
      </c>
      <c r="E56" s="4" t="s">
        <v>25</v>
      </c>
      <c r="F56" s="4" t="s">
        <v>25</v>
      </c>
      <c r="G56" s="4" t="s">
        <v>25</v>
      </c>
      <c r="H56" s="4" t="s">
        <v>37</v>
      </c>
      <c r="I56" s="5">
        <v>44593</v>
      </c>
      <c r="J56" s="6">
        <v>136</v>
      </c>
      <c r="K56" s="6">
        <v>136</v>
      </c>
      <c r="L56" s="6">
        <v>7.2439999999999998</v>
      </c>
      <c r="M56" s="6">
        <v>7.2439999999999998</v>
      </c>
      <c r="N56" s="6">
        <v>7.2439999999999998</v>
      </c>
      <c r="O56" s="6">
        <v>7.2439999999999998</v>
      </c>
      <c r="P56" s="6">
        <v>0</v>
      </c>
      <c r="Q56" s="4" t="s">
        <v>26</v>
      </c>
      <c r="R56" s="4">
        <v>0</v>
      </c>
      <c r="S56" s="6">
        <v>7</v>
      </c>
      <c r="T56" s="6">
        <v>27</v>
      </c>
      <c r="U56" s="6">
        <v>69</v>
      </c>
      <c r="V56" s="6">
        <f>IF(ISERROR(VLOOKUP($S$56,'TAR FIN'!$A$1:$O$86,15,0)),0,VLOOKUP($S$56,'TAR FIN'!$A$1:$O$86,15,0))</f>
        <v>59.47</v>
      </c>
      <c r="W56" s="6">
        <f>IF(ISERROR(VLOOKUP($T$56,'TAR FIN'!$A$1:$O$86,15,0)),0,VLOOKUP($T$56,'TAR FIN'!$A$1:$O$86,15,0))</f>
        <v>73.19</v>
      </c>
      <c r="X56" s="6">
        <f>IF(ISERROR(VLOOKUP($U$56,'TAR FIN'!$A$1:$O$86,15,0)),0,VLOOKUP($U$56,'TAR FIN'!$A$1:$O$86,15,0))</f>
        <v>359.33</v>
      </c>
      <c r="Y56" s="6">
        <f ca="1">('TUSD BE'!$AM$5+'TUSD BF_350'!$AM$5+'TUSD CVA'!$AM$5)*1</f>
        <v>32.350000000000009</v>
      </c>
      <c r="Z56" s="6">
        <f ca="1">('TUSD BE'!$AM$7+'TUSD BF_350'!$AM$7+'TUSD CVA'!$AM$7)*1</f>
        <v>126.25</v>
      </c>
      <c r="AA56" s="6">
        <f ca="1">('TE BE'!$AB$5+'TE BF_350'!$AB$5+'TE CVA'!$AB$5)*1</f>
        <v>362.73600214515886</v>
      </c>
      <c r="AB56" s="6">
        <f>$K$56*$V$56</f>
        <v>8087.92</v>
      </c>
      <c r="AC56" s="6">
        <f>$M$56*$W$56</f>
        <v>530.18835999999999</v>
      </c>
      <c r="AD56" s="6">
        <f>$O$56*$X$56</f>
        <v>2602.9865199999999</v>
      </c>
      <c r="AE56" s="6">
        <f ca="1">$K$56*$Y$56</f>
        <v>4399.6000000000013</v>
      </c>
      <c r="AF56" s="6">
        <f ca="1">$M$56*$Z$56</f>
        <v>914.55499999999995</v>
      </c>
      <c r="AG56" s="6">
        <f ca="1">$O$56*$AA$56</f>
        <v>2627.6595995395305</v>
      </c>
    </row>
    <row r="57" spans="1:33" ht="11.25" customHeight="1" x14ac:dyDescent="0.25">
      <c r="A57" s="4" t="s">
        <v>21</v>
      </c>
      <c r="B57" s="4" t="s">
        <v>35</v>
      </c>
      <c r="C57" s="4" t="s">
        <v>36</v>
      </c>
      <c r="D57" s="4" t="s">
        <v>34</v>
      </c>
      <c r="E57" s="4" t="s">
        <v>25</v>
      </c>
      <c r="F57" s="4" t="s">
        <v>25</v>
      </c>
      <c r="G57" s="4" t="s">
        <v>25</v>
      </c>
      <c r="H57" s="4" t="s">
        <v>37</v>
      </c>
      <c r="I57" s="5">
        <v>44621</v>
      </c>
      <c r="J57" s="6">
        <v>140</v>
      </c>
      <c r="K57" s="6">
        <v>140</v>
      </c>
      <c r="L57" s="6">
        <v>8.2309999999999999</v>
      </c>
      <c r="M57" s="6">
        <v>8.2309999999999999</v>
      </c>
      <c r="N57" s="6">
        <v>8.2309999999999999</v>
      </c>
      <c r="O57" s="6">
        <v>8.2309999999999999</v>
      </c>
      <c r="P57" s="6">
        <v>0</v>
      </c>
      <c r="Q57" s="4" t="s">
        <v>26</v>
      </c>
      <c r="R57" s="4">
        <v>0</v>
      </c>
      <c r="S57" s="6">
        <v>7</v>
      </c>
      <c r="T57" s="6">
        <v>27</v>
      </c>
      <c r="U57" s="6">
        <v>69</v>
      </c>
      <c r="V57" s="6">
        <f>IF(ISERROR(VLOOKUP($S$57,'TAR FIN'!$A$1:$O$86,15,0)),0,VLOOKUP($S$57,'TAR FIN'!$A$1:$O$86,15,0))</f>
        <v>59.47</v>
      </c>
      <c r="W57" s="6">
        <f>IF(ISERROR(VLOOKUP($T$57,'TAR FIN'!$A$1:$O$86,15,0)),0,VLOOKUP($T$57,'TAR FIN'!$A$1:$O$86,15,0))</f>
        <v>73.19</v>
      </c>
      <c r="X57" s="6">
        <f>IF(ISERROR(VLOOKUP($U$57,'TAR FIN'!$A$1:$O$86,15,0)),0,VLOOKUP($U$57,'TAR FIN'!$A$1:$O$86,15,0))</f>
        <v>359.33</v>
      </c>
      <c r="Y57" s="6">
        <f ca="1">('TUSD BE'!$AM$5+'TUSD BF_350'!$AM$5+'TUSD CVA'!$AM$5)*1</f>
        <v>32.350000000000009</v>
      </c>
      <c r="Z57" s="6">
        <f ca="1">('TUSD BE'!$AM$7+'TUSD BF_350'!$AM$7+'TUSD CVA'!$AM$7)*1</f>
        <v>126.25</v>
      </c>
      <c r="AA57" s="6">
        <f ca="1">('TE BE'!$AB$5+'TE BF_350'!$AB$5+'TE CVA'!$AB$5)*1</f>
        <v>362.73600214515886</v>
      </c>
      <c r="AB57" s="6">
        <f>$K$57*$V$57</f>
        <v>8325.7999999999993</v>
      </c>
      <c r="AC57" s="6">
        <f>$M$57*$W$57</f>
        <v>602.42688999999996</v>
      </c>
      <c r="AD57" s="6">
        <f>$O$57*$X$57</f>
        <v>2957.6452299999996</v>
      </c>
      <c r="AE57" s="6">
        <f ca="1">$K$57*$Y$57</f>
        <v>4529.0000000000009</v>
      </c>
      <c r="AF57" s="6">
        <f ca="1">$M$57*$Z$57</f>
        <v>1039.1637499999999</v>
      </c>
      <c r="AG57" s="6">
        <f ca="1">$O$57*$AA$57</f>
        <v>2985.6800336568026</v>
      </c>
    </row>
    <row r="58" spans="1:33" ht="11.25" customHeight="1" x14ac:dyDescent="0.25">
      <c r="A58" s="4" t="s">
        <v>21</v>
      </c>
      <c r="B58" s="4" t="s">
        <v>35</v>
      </c>
      <c r="C58" s="4" t="s">
        <v>36</v>
      </c>
      <c r="D58" s="4" t="s">
        <v>34</v>
      </c>
      <c r="E58" s="4" t="s">
        <v>25</v>
      </c>
      <c r="F58" s="4" t="s">
        <v>25</v>
      </c>
      <c r="G58" s="4" t="s">
        <v>25</v>
      </c>
      <c r="H58" s="4" t="s">
        <v>37</v>
      </c>
      <c r="I58" s="5">
        <v>44652</v>
      </c>
      <c r="J58" s="6">
        <v>138</v>
      </c>
      <c r="K58" s="6">
        <v>138</v>
      </c>
      <c r="L58" s="6">
        <v>6.8380000000000001</v>
      </c>
      <c r="M58" s="6">
        <v>6.8380000000000001</v>
      </c>
      <c r="N58" s="6">
        <v>6.8380000000000001</v>
      </c>
      <c r="O58" s="6">
        <v>6.8380000000000001</v>
      </c>
      <c r="P58" s="6">
        <v>0</v>
      </c>
      <c r="Q58" s="4" t="s">
        <v>26</v>
      </c>
      <c r="R58" s="4">
        <v>0</v>
      </c>
      <c r="S58" s="6">
        <v>7</v>
      </c>
      <c r="T58" s="6">
        <v>27</v>
      </c>
      <c r="U58" s="6">
        <v>69</v>
      </c>
      <c r="V58" s="6">
        <f>IF(ISERROR(VLOOKUP($S$58,'TAR FIN'!$A$1:$O$86,15,0)),0,VLOOKUP($S$58,'TAR FIN'!$A$1:$O$86,15,0))</f>
        <v>59.47</v>
      </c>
      <c r="W58" s="6">
        <f>IF(ISERROR(VLOOKUP($T$58,'TAR FIN'!$A$1:$O$86,15,0)),0,VLOOKUP($T$58,'TAR FIN'!$A$1:$O$86,15,0))</f>
        <v>73.19</v>
      </c>
      <c r="X58" s="6">
        <f>IF(ISERROR(VLOOKUP($U$58,'TAR FIN'!$A$1:$O$86,15,0)),0,VLOOKUP($U$58,'TAR FIN'!$A$1:$O$86,15,0))</f>
        <v>359.33</v>
      </c>
      <c r="Y58" s="6">
        <f ca="1">('TUSD BE'!$AM$5+'TUSD BF_350'!$AM$5+'TUSD CVA'!$AM$5)*1</f>
        <v>32.350000000000009</v>
      </c>
      <c r="Z58" s="6">
        <f ca="1">('TUSD BE'!$AM$7+'TUSD BF_350'!$AM$7+'TUSD CVA'!$AM$7)*1</f>
        <v>126.25</v>
      </c>
      <c r="AA58" s="6">
        <f ca="1">('TE BE'!$AB$5+'TE BF_350'!$AB$5+'TE CVA'!$AB$5)*1</f>
        <v>362.73600214515886</v>
      </c>
      <c r="AB58" s="6">
        <f>$K$58*$V$58</f>
        <v>8206.86</v>
      </c>
      <c r="AC58" s="6">
        <f>$M$58*$W$58</f>
        <v>500.47321999999997</v>
      </c>
      <c r="AD58" s="6">
        <f>$O$58*$X$58</f>
        <v>2457.09854</v>
      </c>
      <c r="AE58" s="6">
        <f ca="1">$K$58*$Y$58</f>
        <v>4464.3000000000011</v>
      </c>
      <c r="AF58" s="6">
        <f ca="1">$M$58*$Z$58</f>
        <v>863.29750000000001</v>
      </c>
      <c r="AG58" s="6">
        <f ca="1">$O$58*$AA$58</f>
        <v>2480.3887826685964</v>
      </c>
    </row>
    <row r="59" spans="1:33" ht="11.25" customHeight="1" x14ac:dyDescent="0.25">
      <c r="A59" s="4" t="s">
        <v>21</v>
      </c>
      <c r="B59" s="4" t="s">
        <v>35</v>
      </c>
      <c r="C59" s="4" t="s">
        <v>36</v>
      </c>
      <c r="D59" s="4" t="s">
        <v>34</v>
      </c>
      <c r="E59" s="4" t="s">
        <v>25</v>
      </c>
      <c r="F59" s="4" t="s">
        <v>25</v>
      </c>
      <c r="G59" s="4" t="s">
        <v>25</v>
      </c>
      <c r="H59" s="4" t="s">
        <v>37</v>
      </c>
      <c r="I59" s="5">
        <v>44682</v>
      </c>
      <c r="J59" s="6">
        <v>138</v>
      </c>
      <c r="K59" s="6">
        <v>138</v>
      </c>
      <c r="L59" s="6">
        <v>7.8890000000000002</v>
      </c>
      <c r="M59" s="6">
        <v>7.8890000000000002</v>
      </c>
      <c r="N59" s="6">
        <v>7.8890000000000002</v>
      </c>
      <c r="O59" s="6">
        <v>7.8890000000000002</v>
      </c>
      <c r="P59" s="6">
        <v>0</v>
      </c>
      <c r="Q59" s="4" t="s">
        <v>26</v>
      </c>
      <c r="R59" s="4">
        <v>0</v>
      </c>
      <c r="S59" s="6">
        <v>7</v>
      </c>
      <c r="T59" s="6">
        <v>27</v>
      </c>
      <c r="U59" s="6">
        <v>69</v>
      </c>
      <c r="V59" s="6">
        <f>IF(ISERROR(VLOOKUP($S$59,'TAR FIN'!$A$1:$O$86,15,0)),0,VLOOKUP($S$59,'TAR FIN'!$A$1:$O$86,15,0))</f>
        <v>59.47</v>
      </c>
      <c r="W59" s="6">
        <f>IF(ISERROR(VLOOKUP($T$59,'TAR FIN'!$A$1:$O$86,15,0)),0,VLOOKUP($T$59,'TAR FIN'!$A$1:$O$86,15,0))</f>
        <v>73.19</v>
      </c>
      <c r="X59" s="6">
        <f>IF(ISERROR(VLOOKUP($U$59,'TAR FIN'!$A$1:$O$86,15,0)),0,VLOOKUP($U$59,'TAR FIN'!$A$1:$O$86,15,0))</f>
        <v>359.33</v>
      </c>
      <c r="Y59" s="6">
        <f ca="1">('TUSD BE'!$AM$5+'TUSD BF_350'!$AM$5+'TUSD CVA'!$AM$5)*1</f>
        <v>32.350000000000009</v>
      </c>
      <c r="Z59" s="6">
        <f ca="1">('TUSD BE'!$AM$7+'TUSD BF_350'!$AM$7+'TUSD CVA'!$AM$7)*1</f>
        <v>126.25</v>
      </c>
      <c r="AA59" s="6">
        <f ca="1">('TE BE'!$AB$5+'TE BF_350'!$AB$5+'TE CVA'!$AB$5)*1</f>
        <v>362.73600214515886</v>
      </c>
      <c r="AB59" s="6">
        <f>$K$59*$V$59</f>
        <v>8206.86</v>
      </c>
      <c r="AC59" s="6">
        <f>$M$59*$W$59</f>
        <v>577.39590999999996</v>
      </c>
      <c r="AD59" s="6">
        <f>$O$59*$X$59</f>
        <v>2834.7543700000001</v>
      </c>
      <c r="AE59" s="6">
        <f ca="1">$K$59*$Y$59</f>
        <v>4464.3000000000011</v>
      </c>
      <c r="AF59" s="6">
        <f ca="1">$M$59*$Z$59</f>
        <v>995.98625000000004</v>
      </c>
      <c r="AG59" s="6">
        <f ca="1">$O$59*$AA$59</f>
        <v>2861.6243209231584</v>
      </c>
    </row>
    <row r="60" spans="1:33" ht="11.25" customHeight="1" x14ac:dyDescent="0.25">
      <c r="A60" s="4" t="s">
        <v>21</v>
      </c>
      <c r="B60" s="4" t="s">
        <v>35</v>
      </c>
      <c r="C60" s="4" t="s">
        <v>36</v>
      </c>
      <c r="D60" s="4" t="s">
        <v>34</v>
      </c>
      <c r="E60" s="4" t="s">
        <v>25</v>
      </c>
      <c r="F60" s="4" t="s">
        <v>25</v>
      </c>
      <c r="G60" s="4" t="s">
        <v>25</v>
      </c>
      <c r="H60" s="4" t="s">
        <v>37</v>
      </c>
      <c r="I60" s="5">
        <v>44713</v>
      </c>
      <c r="J60" s="6">
        <v>136</v>
      </c>
      <c r="K60" s="6">
        <v>136</v>
      </c>
      <c r="L60" s="6">
        <v>7.6029999999999998</v>
      </c>
      <c r="M60" s="6">
        <v>7.6029999999999998</v>
      </c>
      <c r="N60" s="6">
        <v>7.6029999999999998</v>
      </c>
      <c r="O60" s="6">
        <v>7.6029999999999998</v>
      </c>
      <c r="P60" s="6">
        <v>0</v>
      </c>
      <c r="Q60" s="4" t="s">
        <v>26</v>
      </c>
      <c r="R60" s="4">
        <v>0</v>
      </c>
      <c r="S60" s="6">
        <v>7</v>
      </c>
      <c r="T60" s="6">
        <v>27</v>
      </c>
      <c r="U60" s="6">
        <v>69</v>
      </c>
      <c r="V60" s="6">
        <f>IF(ISERROR(VLOOKUP($S$60,'TAR FIN'!$A$1:$O$86,15,0)),0,VLOOKUP($S$60,'TAR FIN'!$A$1:$O$86,15,0))</f>
        <v>59.47</v>
      </c>
      <c r="W60" s="6">
        <f>IF(ISERROR(VLOOKUP($T$60,'TAR FIN'!$A$1:$O$86,15,0)),0,VLOOKUP($T$60,'TAR FIN'!$A$1:$O$86,15,0))</f>
        <v>73.19</v>
      </c>
      <c r="X60" s="6">
        <f>IF(ISERROR(VLOOKUP($U$60,'TAR FIN'!$A$1:$O$86,15,0)),0,VLOOKUP($U$60,'TAR FIN'!$A$1:$O$86,15,0))</f>
        <v>359.33</v>
      </c>
      <c r="Y60" s="6">
        <f ca="1">('TUSD BE'!$AM$5+'TUSD BF_350'!$AM$5+'TUSD CVA'!$AM$5)*1</f>
        <v>32.350000000000009</v>
      </c>
      <c r="Z60" s="6">
        <f ca="1">('TUSD BE'!$AM$7+'TUSD BF_350'!$AM$7+'TUSD CVA'!$AM$7)*1</f>
        <v>126.25</v>
      </c>
      <c r="AA60" s="6">
        <f ca="1">('TE BE'!$AB$5+'TE BF_350'!$AB$5+'TE CVA'!$AB$5)*1</f>
        <v>362.73600214515886</v>
      </c>
      <c r="AB60" s="6">
        <f>$K$60*$V$60</f>
        <v>8087.92</v>
      </c>
      <c r="AC60" s="6">
        <f>$M$60*$W$60</f>
        <v>556.46357</v>
      </c>
      <c r="AD60" s="6">
        <f>$O$60*$X$60</f>
        <v>2731.9859899999997</v>
      </c>
      <c r="AE60" s="6">
        <f ca="1">$K$60*$Y$60</f>
        <v>4399.6000000000013</v>
      </c>
      <c r="AF60" s="6">
        <f ca="1">$M$60*$Z$60</f>
        <v>959.87874999999997</v>
      </c>
      <c r="AG60" s="6">
        <f ca="1">$O$60*$AA$60</f>
        <v>2757.881824309643</v>
      </c>
    </row>
    <row r="61" spans="1:33" ht="11.25" customHeight="1" x14ac:dyDescent="0.25">
      <c r="A61" s="4" t="s">
        <v>55</v>
      </c>
      <c r="B61" s="4" t="s">
        <v>35</v>
      </c>
      <c r="C61" s="4" t="s">
        <v>36</v>
      </c>
      <c r="D61" s="4" t="s">
        <v>34</v>
      </c>
      <c r="E61" s="4" t="s">
        <v>25</v>
      </c>
      <c r="F61" s="4" t="s">
        <v>25</v>
      </c>
      <c r="G61" s="4" t="s">
        <v>25</v>
      </c>
      <c r="H61" s="4" t="s">
        <v>37</v>
      </c>
      <c r="I61" s="5">
        <v>44743</v>
      </c>
      <c r="J61" s="6">
        <v>136</v>
      </c>
      <c r="K61" s="6">
        <v>136</v>
      </c>
      <c r="L61" s="6">
        <v>7.6029999999999998</v>
      </c>
      <c r="M61" s="6">
        <v>7.6029999999999998</v>
      </c>
      <c r="N61" s="6">
        <v>7.6029999999999998</v>
      </c>
      <c r="O61" s="6">
        <v>7.6029999999999998</v>
      </c>
      <c r="P61" s="6">
        <v>0</v>
      </c>
      <c r="Q61" s="4" t="s">
        <v>26</v>
      </c>
      <c r="R61" s="4">
        <v>0</v>
      </c>
      <c r="S61" s="6">
        <v>7</v>
      </c>
      <c r="T61" s="6">
        <v>27</v>
      </c>
      <c r="U61" s="6">
        <v>69</v>
      </c>
      <c r="V61" s="6">
        <f>IF(ISERROR(VLOOKUP($S$61,'TAR FIN'!$A$1:$O$86,15,0)),0,VLOOKUP($S$61,'TAR FIN'!$A$1:$O$86,15,0))</f>
        <v>59.47</v>
      </c>
      <c r="W61" s="6">
        <f>IF(ISERROR(VLOOKUP($T$61,'TAR FIN'!$A$1:$O$86,15,0)),0,VLOOKUP($T$61,'TAR FIN'!$A$1:$O$86,15,0))</f>
        <v>73.19</v>
      </c>
      <c r="X61" s="6">
        <f>IF(ISERROR(VLOOKUP($U$61,'TAR FIN'!$A$1:$O$86,15,0)),0,VLOOKUP($U$61,'TAR FIN'!$A$1:$O$86,15,0))</f>
        <v>359.33</v>
      </c>
      <c r="Y61" s="6">
        <f ca="1">('TUSD BE'!$AM$5+'TUSD BF_350'!$AM$5+'TUSD CVA'!$AM$5)*1</f>
        <v>32.350000000000009</v>
      </c>
      <c r="Z61" s="6">
        <f ca="1">('TUSD BE'!$AM$7+'TUSD BF_350'!$AM$7+'TUSD CVA'!$AM$7)*1</f>
        <v>126.25</v>
      </c>
      <c r="AA61" s="6">
        <f ca="1">('TE BE'!$AB$5+'TE BF_350'!$AB$5+'TE CVA'!$AB$5)*1</f>
        <v>362.73600214515886</v>
      </c>
      <c r="AB61" s="6">
        <f>$K$61*$V$61</f>
        <v>8087.92</v>
      </c>
      <c r="AC61" s="6">
        <f>$M$61*$W$61</f>
        <v>556.46357</v>
      </c>
      <c r="AD61" s="6">
        <f>$O$61*$X$61</f>
        <v>2731.9859899999997</v>
      </c>
      <c r="AE61" s="6">
        <f ca="1">$K$61*$Y$61</f>
        <v>4399.6000000000013</v>
      </c>
      <c r="AF61" s="6">
        <f ca="1">$M$61*$Z$61</f>
        <v>959.87874999999997</v>
      </c>
      <c r="AG61" s="6">
        <f ca="1">$O$61*$AA$61</f>
        <v>2757.881824309643</v>
      </c>
    </row>
    <row r="62" spans="1:33" ht="11.25" customHeight="1" x14ac:dyDescent="0.25">
      <c r="A62" s="4" t="s">
        <v>21</v>
      </c>
      <c r="B62" s="4" t="s">
        <v>35</v>
      </c>
      <c r="C62" s="4" t="s">
        <v>39</v>
      </c>
      <c r="D62" s="4" t="s">
        <v>40</v>
      </c>
      <c r="E62" s="4" t="s">
        <v>25</v>
      </c>
      <c r="F62" s="4" t="s">
        <v>25</v>
      </c>
      <c r="G62" s="4" t="s">
        <v>25</v>
      </c>
      <c r="H62" s="4" t="s">
        <v>38</v>
      </c>
      <c r="I62" s="5">
        <v>44409</v>
      </c>
      <c r="J62" s="6">
        <v>0</v>
      </c>
      <c r="K62" s="6">
        <v>0</v>
      </c>
      <c r="L62" s="6">
        <v>2035.172</v>
      </c>
      <c r="M62" s="6">
        <v>2035.172</v>
      </c>
      <c r="N62" s="6">
        <v>2035.172</v>
      </c>
      <c r="O62" s="6">
        <v>2035.172</v>
      </c>
      <c r="P62" s="6">
        <v>0</v>
      </c>
      <c r="Q62" s="4" t="s">
        <v>26</v>
      </c>
      <c r="R62" s="4">
        <v>0</v>
      </c>
      <c r="S62" s="6">
        <v>0</v>
      </c>
      <c r="T62" s="6">
        <v>18</v>
      </c>
      <c r="U62" s="6">
        <v>73</v>
      </c>
      <c r="V62" s="6">
        <f>IF(ISERROR(VLOOKUP($S$62,'TAR FIN'!$A$1:$O$86,15,0)),0,VLOOKUP($S$62,'TAR FIN'!$A$1:$O$86,15,0))</f>
        <v>0</v>
      </c>
      <c r="W62" s="6">
        <f>IF(ISERROR(VLOOKUP($T$62,'TAR FIN'!$A$1:$O$86,15,0)),0,VLOOKUP($T$62,'TAR FIN'!$A$1:$O$86,15,0))</f>
        <v>73.19</v>
      </c>
      <c r="X62" s="6">
        <f>IF(ISERROR(VLOOKUP($U$62,'TAR FIN'!$A$1:$O$86,15,0)),0,VLOOKUP($U$62,'TAR FIN'!$A$1:$O$86,15,0))</f>
        <v>211.71</v>
      </c>
      <c r="Y62" s="6"/>
      <c r="Z62" s="6">
        <f ca="1">('TUSD BE'!$AM$12+'TUSD BF_350'!$AM$12+'TUSD CVA'!$AM$12)*1</f>
        <v>126.25</v>
      </c>
      <c r="AA62" s="6">
        <f ca="1">('TE BE'!$AB$6+'TE BF_350'!$AB$6+'TE CVA'!$AB$6)*1</f>
        <v>222.99901551132911</v>
      </c>
      <c r="AB62" s="6">
        <f>$K$62*$V$62</f>
        <v>0</v>
      </c>
      <c r="AC62" s="6">
        <f>$M$62*$W$62</f>
        <v>148954.23868000001</v>
      </c>
      <c r="AD62" s="6">
        <f>$O$62*$X$62</f>
        <v>430866.26412000001</v>
      </c>
      <c r="AE62" s="6">
        <f>$K$62*$Y$62</f>
        <v>0</v>
      </c>
      <c r="AF62" s="6">
        <f ca="1">$M$62*$Z$62</f>
        <v>256940.465</v>
      </c>
      <c r="AG62" s="6">
        <f ca="1">$O$62*$AA$62</f>
        <v>453841.3523962227</v>
      </c>
    </row>
    <row r="63" spans="1:33" ht="11.25" customHeight="1" x14ac:dyDescent="0.25">
      <c r="A63" s="4" t="s">
        <v>21</v>
      </c>
      <c r="B63" s="4" t="s">
        <v>35</v>
      </c>
      <c r="C63" s="4" t="s">
        <v>39</v>
      </c>
      <c r="D63" s="4" t="s">
        <v>40</v>
      </c>
      <c r="E63" s="4" t="s">
        <v>25</v>
      </c>
      <c r="F63" s="4" t="s">
        <v>25</v>
      </c>
      <c r="G63" s="4" t="s">
        <v>25</v>
      </c>
      <c r="H63" s="4" t="s">
        <v>38</v>
      </c>
      <c r="I63" s="5">
        <v>44440</v>
      </c>
      <c r="J63" s="6">
        <v>0</v>
      </c>
      <c r="K63" s="6">
        <v>0</v>
      </c>
      <c r="L63" s="6">
        <v>2211.12</v>
      </c>
      <c r="M63" s="6">
        <v>2211.12</v>
      </c>
      <c r="N63" s="6">
        <v>2211.12</v>
      </c>
      <c r="O63" s="6">
        <v>2211.12</v>
      </c>
      <c r="P63" s="6">
        <v>0</v>
      </c>
      <c r="Q63" s="4" t="s">
        <v>26</v>
      </c>
      <c r="R63" s="4">
        <v>0</v>
      </c>
      <c r="S63" s="6">
        <v>0</v>
      </c>
      <c r="T63" s="6">
        <v>18</v>
      </c>
      <c r="U63" s="6">
        <v>73</v>
      </c>
      <c r="V63" s="6">
        <f>IF(ISERROR(VLOOKUP($S$63,'TAR FIN'!$A$1:$O$86,15,0)),0,VLOOKUP($S$63,'TAR FIN'!$A$1:$O$86,15,0))</f>
        <v>0</v>
      </c>
      <c r="W63" s="6">
        <f>IF(ISERROR(VLOOKUP($T$63,'TAR FIN'!$A$1:$O$86,15,0)),0,VLOOKUP($T$63,'TAR FIN'!$A$1:$O$86,15,0))</f>
        <v>73.19</v>
      </c>
      <c r="X63" s="6">
        <f>IF(ISERROR(VLOOKUP($U$63,'TAR FIN'!$A$1:$O$86,15,0)),0,VLOOKUP($U$63,'TAR FIN'!$A$1:$O$86,15,0))</f>
        <v>211.71</v>
      </c>
      <c r="Y63" s="6"/>
      <c r="Z63" s="6">
        <f ca="1">('TUSD BE'!$AM$12+'TUSD BF_350'!$AM$12+'TUSD CVA'!$AM$12)*1</f>
        <v>126.25</v>
      </c>
      <c r="AA63" s="6">
        <f ca="1">('TE BE'!$AB$6+'TE BF_350'!$AB$6+'TE CVA'!$AB$6)*1</f>
        <v>222.99901551132911</v>
      </c>
      <c r="AB63" s="6">
        <f>$K$63*$V$63</f>
        <v>0</v>
      </c>
      <c r="AC63" s="6">
        <f>$M$63*$W$63</f>
        <v>161831.87279999998</v>
      </c>
      <c r="AD63" s="6">
        <f>$O$63*$X$63</f>
        <v>468116.21519999998</v>
      </c>
      <c r="AE63" s="6">
        <f>$K$63*$Y$63</f>
        <v>0</v>
      </c>
      <c r="AF63" s="6">
        <f ca="1">$M$63*$Z$63</f>
        <v>279153.89999999997</v>
      </c>
      <c r="AG63" s="6">
        <f ca="1">$O$63*$AA$63</f>
        <v>493077.58317741001</v>
      </c>
    </row>
    <row r="64" spans="1:33" ht="11.25" customHeight="1" x14ac:dyDescent="0.25">
      <c r="A64" s="4" t="s">
        <v>21</v>
      </c>
      <c r="B64" s="4" t="s">
        <v>35</v>
      </c>
      <c r="C64" s="4" t="s">
        <v>39</v>
      </c>
      <c r="D64" s="4" t="s">
        <v>40</v>
      </c>
      <c r="E64" s="4" t="s">
        <v>25</v>
      </c>
      <c r="F64" s="4" t="s">
        <v>25</v>
      </c>
      <c r="G64" s="4" t="s">
        <v>25</v>
      </c>
      <c r="H64" s="4" t="s">
        <v>38</v>
      </c>
      <c r="I64" s="5">
        <v>44470</v>
      </c>
      <c r="J64" s="6">
        <v>0</v>
      </c>
      <c r="K64" s="6">
        <v>0</v>
      </c>
      <c r="L64" s="6">
        <v>2145.2460000000001</v>
      </c>
      <c r="M64" s="6">
        <v>2145.2460000000001</v>
      </c>
      <c r="N64" s="6">
        <v>2145.2460000000001</v>
      </c>
      <c r="O64" s="6">
        <v>2145.2460000000001</v>
      </c>
      <c r="P64" s="6">
        <v>0</v>
      </c>
      <c r="Q64" s="4" t="s">
        <v>26</v>
      </c>
      <c r="R64" s="4">
        <v>0</v>
      </c>
      <c r="S64" s="6">
        <v>0</v>
      </c>
      <c r="T64" s="6">
        <v>18</v>
      </c>
      <c r="U64" s="6">
        <v>73</v>
      </c>
      <c r="V64" s="6">
        <f>IF(ISERROR(VLOOKUP($S$64,'TAR FIN'!$A$1:$O$86,15,0)),0,VLOOKUP($S$64,'TAR FIN'!$A$1:$O$86,15,0))</f>
        <v>0</v>
      </c>
      <c r="W64" s="6">
        <f>IF(ISERROR(VLOOKUP($T$64,'TAR FIN'!$A$1:$O$86,15,0)),0,VLOOKUP($T$64,'TAR FIN'!$A$1:$O$86,15,0))</f>
        <v>73.19</v>
      </c>
      <c r="X64" s="6">
        <f>IF(ISERROR(VLOOKUP($U$64,'TAR FIN'!$A$1:$O$86,15,0)),0,VLOOKUP($U$64,'TAR FIN'!$A$1:$O$86,15,0))</f>
        <v>211.71</v>
      </c>
      <c r="Y64" s="6"/>
      <c r="Z64" s="6">
        <f ca="1">('TUSD BE'!$AM$12+'TUSD BF_350'!$AM$12+'TUSD CVA'!$AM$12)*1</f>
        <v>126.25</v>
      </c>
      <c r="AA64" s="6">
        <f ca="1">('TE BE'!$AB$6+'TE BF_350'!$AB$6+'TE CVA'!$AB$6)*1</f>
        <v>222.99901551132911</v>
      </c>
      <c r="AB64" s="6">
        <f>$K$64*$V$64</f>
        <v>0</v>
      </c>
      <c r="AC64" s="6">
        <f>$M$64*$W$64</f>
        <v>157010.55473999999</v>
      </c>
      <c r="AD64" s="6">
        <f>$O$64*$X$64</f>
        <v>454170.03066000005</v>
      </c>
      <c r="AE64" s="6">
        <f>$K$64*$Y$64</f>
        <v>0</v>
      </c>
      <c r="AF64" s="6">
        <f ca="1">$M$64*$Z$64</f>
        <v>270837.3075</v>
      </c>
      <c r="AG64" s="6">
        <f ca="1">$O$64*$AA$64</f>
        <v>478387.74602961674</v>
      </c>
    </row>
    <row r="65" spans="1:33" ht="11.25" customHeight="1" x14ac:dyDescent="0.25">
      <c r="A65" s="4" t="s">
        <v>21</v>
      </c>
      <c r="B65" s="4" t="s">
        <v>35</v>
      </c>
      <c r="C65" s="4" t="s">
        <v>39</v>
      </c>
      <c r="D65" s="4" t="s">
        <v>40</v>
      </c>
      <c r="E65" s="4" t="s">
        <v>25</v>
      </c>
      <c r="F65" s="4" t="s">
        <v>25</v>
      </c>
      <c r="G65" s="4" t="s">
        <v>25</v>
      </c>
      <c r="H65" s="4" t="s">
        <v>38</v>
      </c>
      <c r="I65" s="5">
        <v>44501</v>
      </c>
      <c r="J65" s="6">
        <v>0</v>
      </c>
      <c r="K65" s="6">
        <v>0</v>
      </c>
      <c r="L65" s="6">
        <v>2449.5129999999999</v>
      </c>
      <c r="M65" s="6">
        <v>2449.5129999999999</v>
      </c>
      <c r="N65" s="6">
        <v>2449.5129999999999</v>
      </c>
      <c r="O65" s="6">
        <v>2449.5129999999999</v>
      </c>
      <c r="P65" s="6">
        <v>0</v>
      </c>
      <c r="Q65" s="4" t="s">
        <v>26</v>
      </c>
      <c r="R65" s="4">
        <v>0</v>
      </c>
      <c r="S65" s="6">
        <v>0</v>
      </c>
      <c r="T65" s="6">
        <v>18</v>
      </c>
      <c r="U65" s="6">
        <v>73</v>
      </c>
      <c r="V65" s="6">
        <f>IF(ISERROR(VLOOKUP($S$65,'TAR FIN'!$A$1:$O$86,15,0)),0,VLOOKUP($S$65,'TAR FIN'!$A$1:$O$86,15,0))</f>
        <v>0</v>
      </c>
      <c r="W65" s="6">
        <f>IF(ISERROR(VLOOKUP($T$65,'TAR FIN'!$A$1:$O$86,15,0)),0,VLOOKUP($T$65,'TAR FIN'!$A$1:$O$86,15,0))</f>
        <v>73.19</v>
      </c>
      <c r="X65" s="6">
        <f>IF(ISERROR(VLOOKUP($U$65,'TAR FIN'!$A$1:$O$86,15,0)),0,VLOOKUP($U$65,'TAR FIN'!$A$1:$O$86,15,0))</f>
        <v>211.71</v>
      </c>
      <c r="Y65" s="6"/>
      <c r="Z65" s="6">
        <f ca="1">('TUSD BE'!$AM$12+'TUSD BF_350'!$AM$12+'TUSD CVA'!$AM$12)*1</f>
        <v>126.25</v>
      </c>
      <c r="AA65" s="6">
        <f ca="1">('TE BE'!$AB$6+'TE BF_350'!$AB$6+'TE CVA'!$AB$6)*1</f>
        <v>222.99901551132911</v>
      </c>
      <c r="AB65" s="6">
        <f>$K$65*$V$65</f>
        <v>0</v>
      </c>
      <c r="AC65" s="6">
        <f>$M$65*$W$65</f>
        <v>179279.85647</v>
      </c>
      <c r="AD65" s="6">
        <f>$O$65*$X$65</f>
        <v>518586.39723</v>
      </c>
      <c r="AE65" s="6">
        <f>$K$65*$Y$65</f>
        <v>0</v>
      </c>
      <c r="AF65" s="6">
        <f ca="1">$M$65*$Z$65</f>
        <v>309251.01624999999</v>
      </c>
      <c r="AG65" s="6">
        <f ca="1">$O$65*$AA$65</f>
        <v>546238.98748220224</v>
      </c>
    </row>
    <row r="66" spans="1:33" ht="11.25" customHeight="1" x14ac:dyDescent="0.25">
      <c r="A66" s="4" t="s">
        <v>21</v>
      </c>
      <c r="B66" s="4" t="s">
        <v>35</v>
      </c>
      <c r="C66" s="4" t="s">
        <v>39</v>
      </c>
      <c r="D66" s="4" t="s">
        <v>40</v>
      </c>
      <c r="E66" s="4" t="s">
        <v>25</v>
      </c>
      <c r="F66" s="4" t="s">
        <v>25</v>
      </c>
      <c r="G66" s="4" t="s">
        <v>25</v>
      </c>
      <c r="H66" s="4" t="s">
        <v>38</v>
      </c>
      <c r="I66" s="5">
        <v>44531</v>
      </c>
      <c r="J66" s="6">
        <v>0</v>
      </c>
      <c r="K66" s="6">
        <v>0</v>
      </c>
      <c r="L66" s="6">
        <v>2745.7040000000002</v>
      </c>
      <c r="M66" s="6">
        <v>2745.7040000000002</v>
      </c>
      <c r="N66" s="6">
        <v>2745.7040000000002</v>
      </c>
      <c r="O66" s="6">
        <v>2745.7040000000002</v>
      </c>
      <c r="P66" s="6">
        <v>0</v>
      </c>
      <c r="Q66" s="4" t="s">
        <v>26</v>
      </c>
      <c r="R66" s="4">
        <v>0</v>
      </c>
      <c r="S66" s="6">
        <v>0</v>
      </c>
      <c r="T66" s="6">
        <v>18</v>
      </c>
      <c r="U66" s="6">
        <v>73</v>
      </c>
      <c r="V66" s="6">
        <f>IF(ISERROR(VLOOKUP($S$66,'TAR FIN'!$A$1:$O$86,15,0)),0,VLOOKUP($S$66,'TAR FIN'!$A$1:$O$86,15,0))</f>
        <v>0</v>
      </c>
      <c r="W66" s="6">
        <f>IF(ISERROR(VLOOKUP($T$66,'TAR FIN'!$A$1:$O$86,15,0)),0,VLOOKUP($T$66,'TAR FIN'!$A$1:$O$86,15,0))</f>
        <v>73.19</v>
      </c>
      <c r="X66" s="6">
        <f>IF(ISERROR(VLOOKUP($U$66,'TAR FIN'!$A$1:$O$86,15,0)),0,VLOOKUP($U$66,'TAR FIN'!$A$1:$O$86,15,0))</f>
        <v>211.71</v>
      </c>
      <c r="Y66" s="6"/>
      <c r="Z66" s="6">
        <f ca="1">('TUSD BE'!$AM$12+'TUSD BF_350'!$AM$12+'TUSD CVA'!$AM$12)*1</f>
        <v>126.25</v>
      </c>
      <c r="AA66" s="6">
        <f ca="1">('TE BE'!$AB$6+'TE BF_350'!$AB$6+'TE CVA'!$AB$6)*1</f>
        <v>222.99901551132911</v>
      </c>
      <c r="AB66" s="6">
        <f>$K$66*$V$66</f>
        <v>0</v>
      </c>
      <c r="AC66" s="6">
        <f>$M$66*$W$66</f>
        <v>200958.07576000001</v>
      </c>
      <c r="AD66" s="6">
        <f>$O$66*$X$66</f>
        <v>581292.99384000001</v>
      </c>
      <c r="AE66" s="6">
        <f>$K$66*$Y$66</f>
        <v>0</v>
      </c>
      <c r="AF66" s="6">
        <f ca="1">$M$66*$Z$66</f>
        <v>346645.13</v>
      </c>
      <c r="AG66" s="6">
        <f ca="1">$O$66*$AA$66</f>
        <v>612289.28888551844</v>
      </c>
    </row>
    <row r="67" spans="1:33" ht="11.25" customHeight="1" x14ac:dyDescent="0.25">
      <c r="A67" s="4" t="s">
        <v>28</v>
      </c>
      <c r="B67" s="4" t="s">
        <v>35</v>
      </c>
      <c r="C67" s="4" t="s">
        <v>39</v>
      </c>
      <c r="D67" s="4" t="s">
        <v>40</v>
      </c>
      <c r="E67" s="4" t="s">
        <v>25</v>
      </c>
      <c r="F67" s="4" t="s">
        <v>25</v>
      </c>
      <c r="G67" s="4" t="s">
        <v>25</v>
      </c>
      <c r="H67" s="4" t="s">
        <v>38</v>
      </c>
      <c r="I67" s="5">
        <v>44531</v>
      </c>
      <c r="J67" s="6">
        <v>0</v>
      </c>
      <c r="K67" s="6">
        <v>0</v>
      </c>
      <c r="L67" s="6">
        <v>45.22</v>
      </c>
      <c r="M67" s="6">
        <v>45.22</v>
      </c>
      <c r="N67" s="6">
        <v>45.22</v>
      </c>
      <c r="O67" s="6">
        <v>45.22</v>
      </c>
      <c r="P67" s="6">
        <v>0</v>
      </c>
      <c r="Q67" s="4" t="s">
        <v>26</v>
      </c>
      <c r="R67" s="4">
        <v>0</v>
      </c>
      <c r="S67" s="6">
        <v>0</v>
      </c>
      <c r="T67" s="6">
        <v>18</v>
      </c>
      <c r="U67" s="6">
        <v>73</v>
      </c>
      <c r="V67" s="6">
        <f>IF(ISERROR(VLOOKUP($S$67,'TAR FIN'!$A$1:$O$86,15,0)),0,VLOOKUP($S$67,'TAR FIN'!$A$1:$O$86,15,0))</f>
        <v>0</v>
      </c>
      <c r="W67" s="6">
        <f>IF(ISERROR(VLOOKUP($T$67,'TAR FIN'!$A$1:$O$86,15,0)),0,VLOOKUP($T$67,'TAR FIN'!$A$1:$O$86,15,0))</f>
        <v>73.19</v>
      </c>
      <c r="X67" s="6">
        <f>IF(ISERROR(VLOOKUP($U$67,'TAR FIN'!$A$1:$O$86,15,0)),0,VLOOKUP($U$67,'TAR FIN'!$A$1:$O$86,15,0))</f>
        <v>211.71</v>
      </c>
      <c r="Y67" s="6"/>
      <c r="Z67" s="6">
        <f ca="1">('TUSD BE'!$AM$12+'TUSD BF_350'!$AM$12+'TUSD CVA'!$AM$12)*1</f>
        <v>126.25</v>
      </c>
      <c r="AA67" s="6">
        <f ca="1">('TE BE'!$AB$6+'TE BF_350'!$AB$6+'TE CVA'!$AB$6)*1</f>
        <v>222.99901551132911</v>
      </c>
      <c r="AB67" s="6">
        <f>$K$67*$V$67</f>
        <v>0</v>
      </c>
      <c r="AC67" s="6">
        <f>$M$67*$W$67</f>
        <v>3309.6517999999996</v>
      </c>
      <c r="AD67" s="6">
        <f>$O$67*$X$67</f>
        <v>9573.5262000000002</v>
      </c>
      <c r="AE67" s="6">
        <f>$K$67*$Y$67</f>
        <v>0</v>
      </c>
      <c r="AF67" s="6">
        <f ca="1">$M$67*$Z$67</f>
        <v>5709.0249999999996</v>
      </c>
      <c r="AG67" s="6">
        <f ca="1">$O$67*$AA$67</f>
        <v>10084.015481422302</v>
      </c>
    </row>
    <row r="68" spans="1:33" ht="11.25" customHeight="1" x14ac:dyDescent="0.25">
      <c r="A68" s="4" t="s">
        <v>21</v>
      </c>
      <c r="B68" s="4" t="s">
        <v>35</v>
      </c>
      <c r="C68" s="4" t="s">
        <v>39</v>
      </c>
      <c r="D68" s="4" t="s">
        <v>40</v>
      </c>
      <c r="E68" s="4" t="s">
        <v>25</v>
      </c>
      <c r="F68" s="4" t="s">
        <v>25</v>
      </c>
      <c r="G68" s="4" t="s">
        <v>25</v>
      </c>
      <c r="H68" s="4" t="s">
        <v>38</v>
      </c>
      <c r="I68" s="5">
        <v>44562</v>
      </c>
      <c r="J68" s="6">
        <v>0</v>
      </c>
      <c r="K68" s="6">
        <v>0</v>
      </c>
      <c r="L68" s="6">
        <v>2724.8580000000002</v>
      </c>
      <c r="M68" s="6">
        <v>2724.8580000000002</v>
      </c>
      <c r="N68" s="6">
        <v>2724.8580000000002</v>
      </c>
      <c r="O68" s="6">
        <v>2724.8580000000002</v>
      </c>
      <c r="P68" s="6">
        <v>0</v>
      </c>
      <c r="Q68" s="4" t="s">
        <v>26</v>
      </c>
      <c r="R68" s="4">
        <v>0</v>
      </c>
      <c r="S68" s="6">
        <v>0</v>
      </c>
      <c r="T68" s="6">
        <v>18</v>
      </c>
      <c r="U68" s="6">
        <v>73</v>
      </c>
      <c r="V68" s="6">
        <f>IF(ISERROR(VLOOKUP($S$68,'TAR FIN'!$A$1:$O$86,15,0)),0,VLOOKUP($S$68,'TAR FIN'!$A$1:$O$86,15,0))</f>
        <v>0</v>
      </c>
      <c r="W68" s="6">
        <f>IF(ISERROR(VLOOKUP($T$68,'TAR FIN'!$A$1:$O$86,15,0)),0,VLOOKUP($T$68,'TAR FIN'!$A$1:$O$86,15,0))</f>
        <v>73.19</v>
      </c>
      <c r="X68" s="6">
        <f>IF(ISERROR(VLOOKUP($U$68,'TAR FIN'!$A$1:$O$86,15,0)),0,VLOOKUP($U$68,'TAR FIN'!$A$1:$O$86,15,0))</f>
        <v>211.71</v>
      </c>
      <c r="Y68" s="6"/>
      <c r="Z68" s="6">
        <f ca="1">('TUSD BE'!$AM$12+'TUSD BF_350'!$AM$12+'TUSD CVA'!$AM$12)*1</f>
        <v>126.25</v>
      </c>
      <c r="AA68" s="6">
        <f ca="1">('TE BE'!$AB$6+'TE BF_350'!$AB$6+'TE CVA'!$AB$6)*1</f>
        <v>222.99901551132911</v>
      </c>
      <c r="AB68" s="6">
        <f>$K$68*$V$68</f>
        <v>0</v>
      </c>
      <c r="AC68" s="6">
        <f>$M$68*$W$68</f>
        <v>199432.35702</v>
      </c>
      <c r="AD68" s="6">
        <f>$O$68*$X$68</f>
        <v>576879.68718000001</v>
      </c>
      <c r="AE68" s="6">
        <f>$K$68*$Y$68</f>
        <v>0</v>
      </c>
      <c r="AF68" s="6">
        <f ca="1">$M$68*$Z$68</f>
        <v>344013.32250000001</v>
      </c>
      <c r="AG68" s="6">
        <f ca="1">$O$68*$AA$68</f>
        <v>607640.65140816919</v>
      </c>
    </row>
    <row r="69" spans="1:33" ht="11.25" customHeight="1" x14ac:dyDescent="0.25">
      <c r="A69" s="4" t="s">
        <v>28</v>
      </c>
      <c r="B69" s="4" t="s">
        <v>35</v>
      </c>
      <c r="C69" s="4" t="s">
        <v>39</v>
      </c>
      <c r="D69" s="4" t="s">
        <v>40</v>
      </c>
      <c r="E69" s="4" t="s">
        <v>25</v>
      </c>
      <c r="F69" s="4" t="s">
        <v>25</v>
      </c>
      <c r="G69" s="4" t="s">
        <v>25</v>
      </c>
      <c r="H69" s="4" t="s">
        <v>38</v>
      </c>
      <c r="I69" s="5">
        <v>44562</v>
      </c>
      <c r="J69" s="6">
        <v>0</v>
      </c>
      <c r="K69" s="6">
        <v>0</v>
      </c>
      <c r="L69" s="6">
        <v>45.866999999999997</v>
      </c>
      <c r="M69" s="6">
        <v>45.866999999999997</v>
      </c>
      <c r="N69" s="6">
        <v>45.866999999999997</v>
      </c>
      <c r="O69" s="6">
        <v>45.866999999999997</v>
      </c>
      <c r="P69" s="6">
        <v>0</v>
      </c>
      <c r="Q69" s="4" t="s">
        <v>26</v>
      </c>
      <c r="R69" s="4">
        <v>0</v>
      </c>
      <c r="S69" s="6">
        <v>0</v>
      </c>
      <c r="T69" s="6">
        <v>18</v>
      </c>
      <c r="U69" s="6">
        <v>73</v>
      </c>
      <c r="V69" s="6">
        <f>IF(ISERROR(VLOOKUP($S$69,'TAR FIN'!$A$1:$O$86,15,0)),0,VLOOKUP($S$69,'TAR FIN'!$A$1:$O$86,15,0))</f>
        <v>0</v>
      </c>
      <c r="W69" s="6">
        <f>IF(ISERROR(VLOOKUP($T$69,'TAR FIN'!$A$1:$O$86,15,0)),0,VLOOKUP($T$69,'TAR FIN'!$A$1:$O$86,15,0))</f>
        <v>73.19</v>
      </c>
      <c r="X69" s="6">
        <f>IF(ISERROR(VLOOKUP($U$69,'TAR FIN'!$A$1:$O$86,15,0)),0,VLOOKUP($U$69,'TAR FIN'!$A$1:$O$86,15,0))</f>
        <v>211.71</v>
      </c>
      <c r="Y69" s="6"/>
      <c r="Z69" s="6">
        <f ca="1">('TUSD BE'!$AM$12+'TUSD BF_350'!$AM$12+'TUSD CVA'!$AM$12)*1</f>
        <v>126.25</v>
      </c>
      <c r="AA69" s="6">
        <f ca="1">('TE BE'!$AB$6+'TE BF_350'!$AB$6+'TE CVA'!$AB$6)*1</f>
        <v>222.99901551132911</v>
      </c>
      <c r="AB69" s="6">
        <f>$K$69*$V$69</f>
        <v>0</v>
      </c>
      <c r="AC69" s="6">
        <f>$M$69*$W$69</f>
        <v>3357.0057299999999</v>
      </c>
      <c r="AD69" s="6">
        <f>$O$69*$X$69</f>
        <v>9710.5025700000006</v>
      </c>
      <c r="AE69" s="6">
        <f>$K$69*$Y$69</f>
        <v>0</v>
      </c>
      <c r="AF69" s="6">
        <f ca="1">$M$69*$Z$69</f>
        <v>5790.7087499999998</v>
      </c>
      <c r="AG69" s="6">
        <f ca="1">$O$69*$AA$69</f>
        <v>10228.295844458131</v>
      </c>
    </row>
    <row r="70" spans="1:33" ht="11.25" customHeight="1" x14ac:dyDescent="0.25">
      <c r="A70" s="4" t="s">
        <v>21</v>
      </c>
      <c r="B70" s="4" t="s">
        <v>35</v>
      </c>
      <c r="C70" s="4" t="s">
        <v>39</v>
      </c>
      <c r="D70" s="4" t="s">
        <v>40</v>
      </c>
      <c r="E70" s="4" t="s">
        <v>25</v>
      </c>
      <c r="F70" s="4" t="s">
        <v>25</v>
      </c>
      <c r="G70" s="4" t="s">
        <v>25</v>
      </c>
      <c r="H70" s="4" t="s">
        <v>38</v>
      </c>
      <c r="I70" s="5">
        <v>44593</v>
      </c>
      <c r="J70" s="6">
        <v>0</v>
      </c>
      <c r="K70" s="6">
        <v>0</v>
      </c>
      <c r="L70" s="6">
        <v>2615.8589999999999</v>
      </c>
      <c r="M70" s="6">
        <v>2615.8589999999999</v>
      </c>
      <c r="N70" s="6">
        <v>2615.8589999999999</v>
      </c>
      <c r="O70" s="6">
        <v>2615.8589999999999</v>
      </c>
      <c r="P70" s="6">
        <v>0</v>
      </c>
      <c r="Q70" s="4" t="s">
        <v>26</v>
      </c>
      <c r="R70" s="4">
        <v>0</v>
      </c>
      <c r="S70" s="6">
        <v>0</v>
      </c>
      <c r="T70" s="6">
        <v>18</v>
      </c>
      <c r="U70" s="6">
        <v>73</v>
      </c>
      <c r="V70" s="6">
        <f>IF(ISERROR(VLOOKUP($S$70,'TAR FIN'!$A$1:$O$86,15,0)),0,VLOOKUP($S$70,'TAR FIN'!$A$1:$O$86,15,0))</f>
        <v>0</v>
      </c>
      <c r="W70" s="6">
        <f>IF(ISERROR(VLOOKUP($T$70,'TAR FIN'!$A$1:$O$86,15,0)),0,VLOOKUP($T$70,'TAR FIN'!$A$1:$O$86,15,0))</f>
        <v>73.19</v>
      </c>
      <c r="X70" s="6">
        <f>IF(ISERROR(VLOOKUP($U$70,'TAR FIN'!$A$1:$O$86,15,0)),0,VLOOKUP($U$70,'TAR FIN'!$A$1:$O$86,15,0))</f>
        <v>211.71</v>
      </c>
      <c r="Y70" s="6"/>
      <c r="Z70" s="6">
        <f ca="1">('TUSD BE'!$AM$12+'TUSD BF_350'!$AM$12+'TUSD CVA'!$AM$12)*1</f>
        <v>126.25</v>
      </c>
      <c r="AA70" s="6">
        <f ca="1">('TE BE'!$AB$6+'TE BF_350'!$AB$6+'TE CVA'!$AB$6)*1</f>
        <v>222.99901551132911</v>
      </c>
      <c r="AB70" s="6">
        <f>$K$70*$V$70</f>
        <v>0</v>
      </c>
      <c r="AC70" s="6">
        <f>$M$70*$W$70</f>
        <v>191454.72021</v>
      </c>
      <c r="AD70" s="6">
        <f>$O$70*$X$70</f>
        <v>553803.50889000006</v>
      </c>
      <c r="AE70" s="6">
        <f>$K$70*$Y$70</f>
        <v>0</v>
      </c>
      <c r="AF70" s="6">
        <f ca="1">$M$70*$Z$70</f>
        <v>330252.19874999998</v>
      </c>
      <c r="AG70" s="6">
        <f ca="1">$O$70*$AA$70</f>
        <v>583333.98171644984</v>
      </c>
    </row>
    <row r="71" spans="1:33" ht="11.25" customHeight="1" x14ac:dyDescent="0.25">
      <c r="A71" s="4" t="s">
        <v>28</v>
      </c>
      <c r="B71" s="4" t="s">
        <v>35</v>
      </c>
      <c r="C71" s="4" t="s">
        <v>39</v>
      </c>
      <c r="D71" s="4" t="s">
        <v>40</v>
      </c>
      <c r="E71" s="4" t="s">
        <v>25</v>
      </c>
      <c r="F71" s="4" t="s">
        <v>25</v>
      </c>
      <c r="G71" s="4" t="s">
        <v>25</v>
      </c>
      <c r="H71" s="4" t="s">
        <v>38</v>
      </c>
      <c r="I71" s="5">
        <v>44593</v>
      </c>
      <c r="J71" s="6">
        <v>0</v>
      </c>
      <c r="K71" s="6">
        <v>0</v>
      </c>
      <c r="L71" s="6">
        <v>46.393999999999998</v>
      </c>
      <c r="M71" s="6">
        <v>46.393999999999998</v>
      </c>
      <c r="N71" s="6">
        <v>46.393999999999998</v>
      </c>
      <c r="O71" s="6">
        <v>46.393999999999998</v>
      </c>
      <c r="P71" s="6">
        <v>0</v>
      </c>
      <c r="Q71" s="4" t="s">
        <v>26</v>
      </c>
      <c r="R71" s="4">
        <v>0</v>
      </c>
      <c r="S71" s="6">
        <v>0</v>
      </c>
      <c r="T71" s="6">
        <v>18</v>
      </c>
      <c r="U71" s="6">
        <v>73</v>
      </c>
      <c r="V71" s="6">
        <f>IF(ISERROR(VLOOKUP($S$71,'TAR FIN'!$A$1:$O$86,15,0)),0,VLOOKUP($S$71,'TAR FIN'!$A$1:$O$86,15,0))</f>
        <v>0</v>
      </c>
      <c r="W71" s="6">
        <f>IF(ISERROR(VLOOKUP($T$71,'TAR FIN'!$A$1:$O$86,15,0)),0,VLOOKUP($T$71,'TAR FIN'!$A$1:$O$86,15,0))</f>
        <v>73.19</v>
      </c>
      <c r="X71" s="6">
        <f>IF(ISERROR(VLOOKUP($U$71,'TAR FIN'!$A$1:$O$86,15,0)),0,VLOOKUP($U$71,'TAR FIN'!$A$1:$O$86,15,0))</f>
        <v>211.71</v>
      </c>
      <c r="Y71" s="6"/>
      <c r="Z71" s="6">
        <f ca="1">('TUSD BE'!$AM$12+'TUSD BF_350'!$AM$12+'TUSD CVA'!$AM$12)*1</f>
        <v>126.25</v>
      </c>
      <c r="AA71" s="6">
        <f ca="1">('TE BE'!$AB$6+'TE BF_350'!$AB$6+'TE CVA'!$AB$6)*1</f>
        <v>222.99901551132911</v>
      </c>
      <c r="AB71" s="6">
        <f>$K$71*$V$71</f>
        <v>0</v>
      </c>
      <c r="AC71" s="6">
        <f>$M$71*$W$71</f>
        <v>3395.5768599999997</v>
      </c>
      <c r="AD71" s="6">
        <f>$O$71*$X$71</f>
        <v>9822.0737399999998</v>
      </c>
      <c r="AE71" s="6">
        <f>$K$71*$Y$71</f>
        <v>0</v>
      </c>
      <c r="AF71" s="6">
        <f ca="1">$M$71*$Z$71</f>
        <v>5857.2424999999994</v>
      </c>
      <c r="AG71" s="6">
        <f ca="1">$O$71*$AA$71</f>
        <v>10345.816325632602</v>
      </c>
    </row>
    <row r="72" spans="1:33" ht="11.25" customHeight="1" x14ac:dyDescent="0.25">
      <c r="A72" s="4" t="s">
        <v>21</v>
      </c>
      <c r="B72" s="4" t="s">
        <v>35</v>
      </c>
      <c r="C72" s="4" t="s">
        <v>39</v>
      </c>
      <c r="D72" s="4" t="s">
        <v>40</v>
      </c>
      <c r="E72" s="4" t="s">
        <v>25</v>
      </c>
      <c r="F72" s="4" t="s">
        <v>25</v>
      </c>
      <c r="G72" s="4" t="s">
        <v>25</v>
      </c>
      <c r="H72" s="4" t="s">
        <v>38</v>
      </c>
      <c r="I72" s="5">
        <v>44621</v>
      </c>
      <c r="J72" s="6">
        <v>0</v>
      </c>
      <c r="K72" s="6">
        <v>0</v>
      </c>
      <c r="L72" s="6">
        <v>2779.0639999999999</v>
      </c>
      <c r="M72" s="6">
        <v>2779.0639999999999</v>
      </c>
      <c r="N72" s="6">
        <v>2779.0639999999999</v>
      </c>
      <c r="O72" s="6">
        <v>2779.0639999999999</v>
      </c>
      <c r="P72" s="6">
        <v>0</v>
      </c>
      <c r="Q72" s="4" t="s">
        <v>26</v>
      </c>
      <c r="R72" s="4">
        <v>0</v>
      </c>
      <c r="S72" s="6">
        <v>0</v>
      </c>
      <c r="T72" s="6">
        <v>18</v>
      </c>
      <c r="U72" s="6">
        <v>73</v>
      </c>
      <c r="V72" s="6">
        <f>IF(ISERROR(VLOOKUP($S$72,'TAR FIN'!$A$1:$O$86,15,0)),0,VLOOKUP($S$72,'TAR FIN'!$A$1:$O$86,15,0))</f>
        <v>0</v>
      </c>
      <c r="W72" s="6">
        <f>IF(ISERROR(VLOOKUP($T$72,'TAR FIN'!$A$1:$O$86,15,0)),0,VLOOKUP($T$72,'TAR FIN'!$A$1:$O$86,15,0))</f>
        <v>73.19</v>
      </c>
      <c r="X72" s="6">
        <f>IF(ISERROR(VLOOKUP($U$72,'TAR FIN'!$A$1:$O$86,15,0)),0,VLOOKUP($U$72,'TAR FIN'!$A$1:$O$86,15,0))</f>
        <v>211.71</v>
      </c>
      <c r="Y72" s="6"/>
      <c r="Z72" s="6">
        <f ca="1">('TUSD BE'!$AM$12+'TUSD BF_350'!$AM$12+'TUSD CVA'!$AM$12)*1</f>
        <v>126.25</v>
      </c>
      <c r="AA72" s="6">
        <f ca="1">('TE BE'!$AB$6+'TE BF_350'!$AB$6+'TE CVA'!$AB$6)*1</f>
        <v>222.99901551132911</v>
      </c>
      <c r="AB72" s="6">
        <f>$K$72*$V$72</f>
        <v>0</v>
      </c>
      <c r="AC72" s="6">
        <f>$M$72*$W$72</f>
        <v>203399.69415999998</v>
      </c>
      <c r="AD72" s="6">
        <f>$O$72*$X$72</f>
        <v>588355.63943999994</v>
      </c>
      <c r="AE72" s="6">
        <f>$K$72*$Y$72</f>
        <v>0</v>
      </c>
      <c r="AF72" s="6">
        <f ca="1">$M$72*$Z$72</f>
        <v>350856.82999999996</v>
      </c>
      <c r="AG72" s="6">
        <f ca="1">$O$72*$AA$72</f>
        <v>619728.53604297631</v>
      </c>
    </row>
    <row r="73" spans="1:33" ht="11.25" customHeight="1" x14ac:dyDescent="0.25">
      <c r="A73" s="4" t="s">
        <v>28</v>
      </c>
      <c r="B73" s="4" t="s">
        <v>35</v>
      </c>
      <c r="C73" s="4" t="s">
        <v>39</v>
      </c>
      <c r="D73" s="4" t="s">
        <v>40</v>
      </c>
      <c r="E73" s="4" t="s">
        <v>25</v>
      </c>
      <c r="F73" s="4" t="s">
        <v>25</v>
      </c>
      <c r="G73" s="4" t="s">
        <v>25</v>
      </c>
      <c r="H73" s="4" t="s">
        <v>38</v>
      </c>
      <c r="I73" s="5">
        <v>44621</v>
      </c>
      <c r="J73" s="6">
        <v>0</v>
      </c>
      <c r="K73" s="6">
        <v>0</v>
      </c>
      <c r="L73" s="6">
        <v>44.688000000000002</v>
      </c>
      <c r="M73" s="6">
        <v>44.688000000000002</v>
      </c>
      <c r="N73" s="6">
        <v>44.688000000000002</v>
      </c>
      <c r="O73" s="6">
        <v>44.688000000000002</v>
      </c>
      <c r="P73" s="6">
        <v>0</v>
      </c>
      <c r="Q73" s="4" t="s">
        <v>26</v>
      </c>
      <c r="R73" s="4">
        <v>0</v>
      </c>
      <c r="S73" s="6">
        <v>0</v>
      </c>
      <c r="T73" s="6">
        <v>18</v>
      </c>
      <c r="U73" s="6">
        <v>73</v>
      </c>
      <c r="V73" s="6">
        <f>IF(ISERROR(VLOOKUP($S$73,'TAR FIN'!$A$1:$O$86,15,0)),0,VLOOKUP($S$73,'TAR FIN'!$A$1:$O$86,15,0))</f>
        <v>0</v>
      </c>
      <c r="W73" s="6">
        <f>IF(ISERROR(VLOOKUP($T$73,'TAR FIN'!$A$1:$O$86,15,0)),0,VLOOKUP($T$73,'TAR FIN'!$A$1:$O$86,15,0))</f>
        <v>73.19</v>
      </c>
      <c r="X73" s="6">
        <f>IF(ISERROR(VLOOKUP($U$73,'TAR FIN'!$A$1:$O$86,15,0)),0,VLOOKUP($U$73,'TAR FIN'!$A$1:$O$86,15,0))</f>
        <v>211.71</v>
      </c>
      <c r="Y73" s="6"/>
      <c r="Z73" s="6">
        <f ca="1">('TUSD BE'!$AM$12+'TUSD BF_350'!$AM$12+'TUSD CVA'!$AM$12)*1</f>
        <v>126.25</v>
      </c>
      <c r="AA73" s="6">
        <f ca="1">('TE BE'!$AB$6+'TE BF_350'!$AB$6+'TE CVA'!$AB$6)*1</f>
        <v>222.99901551132911</v>
      </c>
      <c r="AB73" s="6">
        <f>$K$73*$V$73</f>
        <v>0</v>
      </c>
      <c r="AC73" s="6">
        <f>$M$73*$W$73</f>
        <v>3270.7147199999999</v>
      </c>
      <c r="AD73" s="6">
        <f>$O$73*$X$73</f>
        <v>9460.8964800000012</v>
      </c>
      <c r="AE73" s="6">
        <f>$K$73*$Y$73</f>
        <v>0</v>
      </c>
      <c r="AF73" s="6">
        <f ca="1">$M$73*$Z$73</f>
        <v>5641.8600000000006</v>
      </c>
      <c r="AG73" s="6">
        <f ca="1">$O$73*$AA$73</f>
        <v>9965.3800051702765</v>
      </c>
    </row>
    <row r="74" spans="1:33" ht="11.25" customHeight="1" x14ac:dyDescent="0.25">
      <c r="A74" s="4" t="s">
        <v>21</v>
      </c>
      <c r="B74" s="4" t="s">
        <v>35</v>
      </c>
      <c r="C74" s="4" t="s">
        <v>39</v>
      </c>
      <c r="D74" s="4" t="s">
        <v>40</v>
      </c>
      <c r="E74" s="4" t="s">
        <v>25</v>
      </c>
      <c r="F74" s="4" t="s">
        <v>25</v>
      </c>
      <c r="G74" s="4" t="s">
        <v>25</v>
      </c>
      <c r="H74" s="4" t="s">
        <v>38</v>
      </c>
      <c r="I74" s="5">
        <v>44652</v>
      </c>
      <c r="J74" s="6">
        <v>0</v>
      </c>
      <c r="K74" s="6">
        <v>0</v>
      </c>
      <c r="L74" s="6">
        <v>2255.348</v>
      </c>
      <c r="M74" s="6">
        <v>2255.348</v>
      </c>
      <c r="N74" s="6">
        <v>2255.348</v>
      </c>
      <c r="O74" s="6">
        <v>2255.348</v>
      </c>
      <c r="P74" s="6">
        <v>0</v>
      </c>
      <c r="Q74" s="4" t="s">
        <v>26</v>
      </c>
      <c r="R74" s="4">
        <v>0</v>
      </c>
      <c r="S74" s="6">
        <v>0</v>
      </c>
      <c r="T74" s="6">
        <v>18</v>
      </c>
      <c r="U74" s="6">
        <v>73</v>
      </c>
      <c r="V74" s="6">
        <f>IF(ISERROR(VLOOKUP($S$74,'TAR FIN'!$A$1:$O$86,15,0)),0,VLOOKUP($S$74,'TAR FIN'!$A$1:$O$86,15,0))</f>
        <v>0</v>
      </c>
      <c r="W74" s="6">
        <f>IF(ISERROR(VLOOKUP($T$74,'TAR FIN'!$A$1:$O$86,15,0)),0,VLOOKUP($T$74,'TAR FIN'!$A$1:$O$86,15,0))</f>
        <v>73.19</v>
      </c>
      <c r="X74" s="6">
        <f>IF(ISERROR(VLOOKUP($U$74,'TAR FIN'!$A$1:$O$86,15,0)),0,VLOOKUP($U$74,'TAR FIN'!$A$1:$O$86,15,0))</f>
        <v>211.71</v>
      </c>
      <c r="Y74" s="6"/>
      <c r="Z74" s="6">
        <f ca="1">('TUSD BE'!$AM$12+'TUSD BF_350'!$AM$12+'TUSD CVA'!$AM$12)*1</f>
        <v>126.25</v>
      </c>
      <c r="AA74" s="6">
        <f ca="1">('TE BE'!$AB$6+'TE BF_350'!$AB$6+'TE CVA'!$AB$6)*1</f>
        <v>222.99901551132911</v>
      </c>
      <c r="AB74" s="6">
        <f>$K$74*$V$74</f>
        <v>0</v>
      </c>
      <c r="AC74" s="6">
        <f>$M$74*$W$74</f>
        <v>165068.92012</v>
      </c>
      <c r="AD74" s="6">
        <f>$O$74*$X$74</f>
        <v>477479.72508</v>
      </c>
      <c r="AE74" s="6">
        <f>$K$74*$Y$74</f>
        <v>0</v>
      </c>
      <c r="AF74" s="6">
        <f ca="1">$M$74*$Z$74</f>
        <v>284737.685</v>
      </c>
      <c r="AG74" s="6">
        <f ca="1">$O$74*$AA$74</f>
        <v>502940.38363544509</v>
      </c>
    </row>
    <row r="75" spans="1:33" ht="11.25" customHeight="1" x14ac:dyDescent="0.25">
      <c r="A75" s="4" t="s">
        <v>28</v>
      </c>
      <c r="B75" s="4" t="s">
        <v>35</v>
      </c>
      <c r="C75" s="4" t="s">
        <v>39</v>
      </c>
      <c r="D75" s="4" t="s">
        <v>40</v>
      </c>
      <c r="E75" s="4" t="s">
        <v>25</v>
      </c>
      <c r="F75" s="4" t="s">
        <v>25</v>
      </c>
      <c r="G75" s="4" t="s">
        <v>25</v>
      </c>
      <c r="H75" s="4" t="s">
        <v>38</v>
      </c>
      <c r="I75" s="5">
        <v>44652</v>
      </c>
      <c r="J75" s="6">
        <v>0</v>
      </c>
      <c r="K75" s="6">
        <v>0</v>
      </c>
      <c r="L75" s="6">
        <v>32.241</v>
      </c>
      <c r="M75" s="6">
        <v>32.241</v>
      </c>
      <c r="N75" s="6">
        <v>32.241</v>
      </c>
      <c r="O75" s="6">
        <v>32.241</v>
      </c>
      <c r="P75" s="6">
        <v>0</v>
      </c>
      <c r="Q75" s="4" t="s">
        <v>26</v>
      </c>
      <c r="R75" s="4">
        <v>0</v>
      </c>
      <c r="S75" s="6">
        <v>0</v>
      </c>
      <c r="T75" s="6">
        <v>18</v>
      </c>
      <c r="U75" s="6">
        <v>73</v>
      </c>
      <c r="V75" s="6">
        <f>IF(ISERROR(VLOOKUP($S$75,'TAR FIN'!$A$1:$O$86,15,0)),0,VLOOKUP($S$75,'TAR FIN'!$A$1:$O$86,15,0))</f>
        <v>0</v>
      </c>
      <c r="W75" s="6">
        <f>IF(ISERROR(VLOOKUP($T$75,'TAR FIN'!$A$1:$O$86,15,0)),0,VLOOKUP($T$75,'TAR FIN'!$A$1:$O$86,15,0))</f>
        <v>73.19</v>
      </c>
      <c r="X75" s="6">
        <f>IF(ISERROR(VLOOKUP($U$75,'TAR FIN'!$A$1:$O$86,15,0)),0,VLOOKUP($U$75,'TAR FIN'!$A$1:$O$86,15,0))</f>
        <v>211.71</v>
      </c>
      <c r="Y75" s="6"/>
      <c r="Z75" s="6">
        <f ca="1">('TUSD BE'!$AM$12+'TUSD BF_350'!$AM$12+'TUSD CVA'!$AM$12)*1</f>
        <v>126.25</v>
      </c>
      <c r="AA75" s="6">
        <f ca="1">('TE BE'!$AB$6+'TE BF_350'!$AB$6+'TE CVA'!$AB$6)*1</f>
        <v>222.99901551132911</v>
      </c>
      <c r="AB75" s="6">
        <f>$K$75*$V$75</f>
        <v>0</v>
      </c>
      <c r="AC75" s="6">
        <f>$M$75*$W$75</f>
        <v>2359.7187899999999</v>
      </c>
      <c r="AD75" s="6">
        <f>$O$75*$X$75</f>
        <v>6825.7421100000001</v>
      </c>
      <c r="AE75" s="6">
        <f>$K$75*$Y$75</f>
        <v>0</v>
      </c>
      <c r="AF75" s="6">
        <f ca="1">$M$75*$Z$75</f>
        <v>4070.42625</v>
      </c>
      <c r="AG75" s="6">
        <f ca="1">$O$75*$AA$75</f>
        <v>7189.7112591007617</v>
      </c>
    </row>
    <row r="76" spans="1:33" ht="11.25" customHeight="1" x14ac:dyDescent="0.25">
      <c r="A76" s="4" t="s">
        <v>21</v>
      </c>
      <c r="B76" s="4" t="s">
        <v>35</v>
      </c>
      <c r="C76" s="4" t="s">
        <v>39</v>
      </c>
      <c r="D76" s="4" t="s">
        <v>40</v>
      </c>
      <c r="E76" s="4" t="s">
        <v>25</v>
      </c>
      <c r="F76" s="4" t="s">
        <v>25</v>
      </c>
      <c r="G76" s="4" t="s">
        <v>25</v>
      </c>
      <c r="H76" s="4" t="s">
        <v>38</v>
      </c>
      <c r="I76" s="5">
        <v>44682</v>
      </c>
      <c r="J76" s="6">
        <v>0</v>
      </c>
      <c r="K76" s="6">
        <v>0</v>
      </c>
      <c r="L76" s="6">
        <v>2097.8850000000002</v>
      </c>
      <c r="M76" s="6">
        <v>2097.8850000000002</v>
      </c>
      <c r="N76" s="6">
        <v>2097.8850000000002</v>
      </c>
      <c r="O76" s="6">
        <v>2097.8850000000002</v>
      </c>
      <c r="P76" s="6">
        <v>0</v>
      </c>
      <c r="Q76" s="4" t="s">
        <v>26</v>
      </c>
      <c r="R76" s="4">
        <v>0</v>
      </c>
      <c r="S76" s="6">
        <v>0</v>
      </c>
      <c r="T76" s="6">
        <v>18</v>
      </c>
      <c r="U76" s="6">
        <v>73</v>
      </c>
      <c r="V76" s="6">
        <f>IF(ISERROR(VLOOKUP($S$76,'TAR FIN'!$A$1:$O$86,15,0)),0,VLOOKUP($S$76,'TAR FIN'!$A$1:$O$86,15,0))</f>
        <v>0</v>
      </c>
      <c r="W76" s="6">
        <f>IF(ISERROR(VLOOKUP($T$76,'TAR FIN'!$A$1:$O$86,15,0)),0,VLOOKUP($T$76,'TAR FIN'!$A$1:$O$86,15,0))</f>
        <v>73.19</v>
      </c>
      <c r="X76" s="6">
        <f>IF(ISERROR(VLOOKUP($U$76,'TAR FIN'!$A$1:$O$86,15,0)),0,VLOOKUP($U$76,'TAR FIN'!$A$1:$O$86,15,0))</f>
        <v>211.71</v>
      </c>
      <c r="Y76" s="6"/>
      <c r="Z76" s="6">
        <f ca="1">('TUSD BE'!$AM$12+'TUSD BF_350'!$AM$12+'TUSD CVA'!$AM$12)*1</f>
        <v>126.25</v>
      </c>
      <c r="AA76" s="6">
        <f ca="1">('TE BE'!$AB$6+'TE BF_350'!$AB$6+'TE CVA'!$AB$6)*1</f>
        <v>222.99901551132911</v>
      </c>
      <c r="AB76" s="6">
        <f>$K$76*$V$76</f>
        <v>0</v>
      </c>
      <c r="AC76" s="6">
        <f>$M$76*$W$76</f>
        <v>153544.20315000002</v>
      </c>
      <c r="AD76" s="6">
        <f>$O$76*$X$76</f>
        <v>444143.23335000005</v>
      </c>
      <c r="AE76" s="6">
        <f>$K$76*$Y$76</f>
        <v>0</v>
      </c>
      <c r="AF76" s="6">
        <f ca="1">$M$76*$Z$76</f>
        <v>264857.98125000001</v>
      </c>
      <c r="AG76" s="6">
        <f ca="1">$O$76*$AA$76</f>
        <v>467826.28965598473</v>
      </c>
    </row>
    <row r="77" spans="1:33" ht="11.25" customHeight="1" x14ac:dyDescent="0.25">
      <c r="A77" s="4" t="s">
        <v>28</v>
      </c>
      <c r="B77" s="4" t="s">
        <v>35</v>
      </c>
      <c r="C77" s="4" t="s">
        <v>39</v>
      </c>
      <c r="D77" s="4" t="s">
        <v>40</v>
      </c>
      <c r="E77" s="4" t="s">
        <v>25</v>
      </c>
      <c r="F77" s="4" t="s">
        <v>25</v>
      </c>
      <c r="G77" s="4" t="s">
        <v>25</v>
      </c>
      <c r="H77" s="4" t="s">
        <v>38</v>
      </c>
      <c r="I77" s="5">
        <v>44682</v>
      </c>
      <c r="J77" s="6">
        <v>0</v>
      </c>
      <c r="K77" s="6">
        <v>0</v>
      </c>
      <c r="L77" s="6">
        <v>32.703000000000003</v>
      </c>
      <c r="M77" s="6">
        <v>32.703000000000003</v>
      </c>
      <c r="N77" s="6">
        <v>32.703000000000003</v>
      </c>
      <c r="O77" s="6">
        <v>32.703000000000003</v>
      </c>
      <c r="P77" s="6">
        <v>0</v>
      </c>
      <c r="Q77" s="4" t="s">
        <v>26</v>
      </c>
      <c r="R77" s="4">
        <v>0</v>
      </c>
      <c r="S77" s="6">
        <v>0</v>
      </c>
      <c r="T77" s="6">
        <v>18</v>
      </c>
      <c r="U77" s="6">
        <v>73</v>
      </c>
      <c r="V77" s="6">
        <f>IF(ISERROR(VLOOKUP($S$77,'TAR FIN'!$A$1:$O$86,15,0)),0,VLOOKUP($S$77,'TAR FIN'!$A$1:$O$86,15,0))</f>
        <v>0</v>
      </c>
      <c r="W77" s="6">
        <f>IF(ISERROR(VLOOKUP($T$77,'TAR FIN'!$A$1:$O$86,15,0)),0,VLOOKUP($T$77,'TAR FIN'!$A$1:$O$86,15,0))</f>
        <v>73.19</v>
      </c>
      <c r="X77" s="6">
        <f>IF(ISERROR(VLOOKUP($U$77,'TAR FIN'!$A$1:$O$86,15,0)),0,VLOOKUP($U$77,'TAR FIN'!$A$1:$O$86,15,0))</f>
        <v>211.71</v>
      </c>
      <c r="Y77" s="6"/>
      <c r="Z77" s="6">
        <f ca="1">('TUSD BE'!$AM$12+'TUSD BF_350'!$AM$12+'TUSD CVA'!$AM$12)*1</f>
        <v>126.25</v>
      </c>
      <c r="AA77" s="6">
        <f ca="1">('TE BE'!$AB$6+'TE BF_350'!$AB$6+'TE CVA'!$AB$6)*1</f>
        <v>222.99901551132911</v>
      </c>
      <c r="AB77" s="6">
        <f>$K$77*$V$77</f>
        <v>0</v>
      </c>
      <c r="AC77" s="6">
        <f>$M$77*$W$77</f>
        <v>2393.5325700000003</v>
      </c>
      <c r="AD77" s="6">
        <f>$O$77*$X$77</f>
        <v>6923.5521300000009</v>
      </c>
      <c r="AE77" s="6">
        <f>$K$77*$Y$77</f>
        <v>0</v>
      </c>
      <c r="AF77" s="6">
        <f ca="1">$M$77*$Z$77</f>
        <v>4128.7537500000008</v>
      </c>
      <c r="AG77" s="6">
        <f ca="1">$O$77*$AA$77</f>
        <v>7292.7368042669968</v>
      </c>
    </row>
    <row r="78" spans="1:33" ht="11.25" customHeight="1" x14ac:dyDescent="0.25">
      <c r="A78" s="4" t="s">
        <v>21</v>
      </c>
      <c r="B78" s="4" t="s">
        <v>35</v>
      </c>
      <c r="C78" s="4" t="s">
        <v>39</v>
      </c>
      <c r="D78" s="4" t="s">
        <v>40</v>
      </c>
      <c r="E78" s="4" t="s">
        <v>25</v>
      </c>
      <c r="F78" s="4" t="s">
        <v>25</v>
      </c>
      <c r="G78" s="4" t="s">
        <v>25</v>
      </c>
      <c r="H78" s="4" t="s">
        <v>38</v>
      </c>
      <c r="I78" s="5">
        <v>44713</v>
      </c>
      <c r="J78" s="6">
        <v>0</v>
      </c>
      <c r="K78" s="6">
        <v>0</v>
      </c>
      <c r="L78" s="6">
        <v>1974.92</v>
      </c>
      <c r="M78" s="6">
        <v>1974.92</v>
      </c>
      <c r="N78" s="6">
        <v>1974.92</v>
      </c>
      <c r="O78" s="6">
        <v>1974.92</v>
      </c>
      <c r="P78" s="6">
        <v>0</v>
      </c>
      <c r="Q78" s="4" t="s">
        <v>26</v>
      </c>
      <c r="R78" s="4">
        <v>0</v>
      </c>
      <c r="S78" s="6">
        <v>0</v>
      </c>
      <c r="T78" s="6">
        <v>18</v>
      </c>
      <c r="U78" s="6">
        <v>73</v>
      </c>
      <c r="V78" s="6">
        <f>IF(ISERROR(VLOOKUP($S$78,'TAR FIN'!$A$1:$O$86,15,0)),0,VLOOKUP($S$78,'TAR FIN'!$A$1:$O$86,15,0))</f>
        <v>0</v>
      </c>
      <c r="W78" s="6">
        <f>IF(ISERROR(VLOOKUP($T$78,'TAR FIN'!$A$1:$O$86,15,0)),0,VLOOKUP($T$78,'TAR FIN'!$A$1:$O$86,15,0))</f>
        <v>73.19</v>
      </c>
      <c r="X78" s="6">
        <f>IF(ISERROR(VLOOKUP($U$78,'TAR FIN'!$A$1:$O$86,15,0)),0,VLOOKUP($U$78,'TAR FIN'!$A$1:$O$86,15,0))</f>
        <v>211.71</v>
      </c>
      <c r="Y78" s="6"/>
      <c r="Z78" s="6">
        <f ca="1">('TUSD BE'!$AM$12+'TUSD BF_350'!$AM$12+'TUSD CVA'!$AM$12)*1</f>
        <v>126.25</v>
      </c>
      <c r="AA78" s="6">
        <f ca="1">('TE BE'!$AB$6+'TE BF_350'!$AB$6+'TE CVA'!$AB$6)*1</f>
        <v>222.99901551132911</v>
      </c>
      <c r="AB78" s="6">
        <f>$K$78*$V$78</f>
        <v>0</v>
      </c>
      <c r="AC78" s="6">
        <f>$M$78*$W$78</f>
        <v>144544.39480000001</v>
      </c>
      <c r="AD78" s="6">
        <f>$O$78*$X$78</f>
        <v>418110.31320000003</v>
      </c>
      <c r="AE78" s="6">
        <f>$K$78*$Y$78</f>
        <v>0</v>
      </c>
      <c r="AF78" s="6">
        <f ca="1">$M$78*$Z$78</f>
        <v>249333.65000000002</v>
      </c>
      <c r="AG78" s="6">
        <f ca="1">$O$78*$AA$78</f>
        <v>440405.2157136341</v>
      </c>
    </row>
    <row r="79" spans="1:33" ht="11.25" customHeight="1" x14ac:dyDescent="0.25">
      <c r="A79" s="4" t="s">
        <v>28</v>
      </c>
      <c r="B79" s="4" t="s">
        <v>35</v>
      </c>
      <c r="C79" s="4" t="s">
        <v>39</v>
      </c>
      <c r="D79" s="4" t="s">
        <v>40</v>
      </c>
      <c r="E79" s="4" t="s">
        <v>25</v>
      </c>
      <c r="F79" s="4" t="s">
        <v>25</v>
      </c>
      <c r="G79" s="4" t="s">
        <v>25</v>
      </c>
      <c r="H79" s="4" t="s">
        <v>38</v>
      </c>
      <c r="I79" s="5">
        <v>44713</v>
      </c>
      <c r="J79" s="6">
        <v>0</v>
      </c>
      <c r="K79" s="6">
        <v>0</v>
      </c>
      <c r="L79" s="6">
        <v>37.793999999999997</v>
      </c>
      <c r="M79" s="6">
        <v>37.793999999999997</v>
      </c>
      <c r="N79" s="6">
        <v>37.793999999999997</v>
      </c>
      <c r="O79" s="6">
        <v>37.793999999999997</v>
      </c>
      <c r="P79" s="6">
        <v>0</v>
      </c>
      <c r="Q79" s="4" t="s">
        <v>26</v>
      </c>
      <c r="R79" s="4">
        <v>0</v>
      </c>
      <c r="S79" s="6">
        <v>0</v>
      </c>
      <c r="T79" s="6">
        <v>18</v>
      </c>
      <c r="U79" s="6">
        <v>73</v>
      </c>
      <c r="V79" s="6">
        <f>IF(ISERROR(VLOOKUP($S$79,'TAR FIN'!$A$1:$O$86,15,0)),0,VLOOKUP($S$79,'TAR FIN'!$A$1:$O$86,15,0))</f>
        <v>0</v>
      </c>
      <c r="W79" s="6">
        <f>IF(ISERROR(VLOOKUP($T$79,'TAR FIN'!$A$1:$O$86,15,0)),0,VLOOKUP($T$79,'TAR FIN'!$A$1:$O$86,15,0))</f>
        <v>73.19</v>
      </c>
      <c r="X79" s="6">
        <f>IF(ISERROR(VLOOKUP($U$79,'TAR FIN'!$A$1:$O$86,15,0)),0,VLOOKUP($U$79,'TAR FIN'!$A$1:$O$86,15,0))</f>
        <v>211.71</v>
      </c>
      <c r="Y79" s="6"/>
      <c r="Z79" s="6">
        <f ca="1">('TUSD BE'!$AM$12+'TUSD BF_350'!$AM$12+'TUSD CVA'!$AM$12)*1</f>
        <v>126.25</v>
      </c>
      <c r="AA79" s="6">
        <f ca="1">('TE BE'!$AB$6+'TE BF_350'!$AB$6+'TE CVA'!$AB$6)*1</f>
        <v>222.99901551132911</v>
      </c>
      <c r="AB79" s="6">
        <f>$K$79*$V$79</f>
        <v>0</v>
      </c>
      <c r="AC79" s="6">
        <f>$M$79*$W$79</f>
        <v>2766.1428599999995</v>
      </c>
      <c r="AD79" s="6">
        <f>$O$79*$X$79</f>
        <v>8001.3677399999997</v>
      </c>
      <c r="AE79" s="6">
        <f>$K$79*$Y$79</f>
        <v>0</v>
      </c>
      <c r="AF79" s="6">
        <f ca="1">$M$79*$Z$79</f>
        <v>4771.4924999999994</v>
      </c>
      <c r="AG79" s="6">
        <f ca="1">$O$79*$AA$79</f>
        <v>8428.0247922351718</v>
      </c>
    </row>
    <row r="80" spans="1:33" ht="11.25" customHeight="1" x14ac:dyDescent="0.25">
      <c r="A80" s="4" t="s">
        <v>55</v>
      </c>
      <c r="B80" s="4" t="s">
        <v>35</v>
      </c>
      <c r="C80" s="4" t="s">
        <v>39</v>
      </c>
      <c r="D80" s="4" t="s">
        <v>40</v>
      </c>
      <c r="E80" s="4" t="s">
        <v>25</v>
      </c>
      <c r="F80" s="4" t="s">
        <v>25</v>
      </c>
      <c r="G80" s="4" t="s">
        <v>25</v>
      </c>
      <c r="H80" s="4" t="s">
        <v>38</v>
      </c>
      <c r="I80" s="5">
        <v>44743</v>
      </c>
      <c r="J80" s="6">
        <v>0</v>
      </c>
      <c r="K80" s="6">
        <v>0</v>
      </c>
      <c r="L80" s="6">
        <v>1974.92</v>
      </c>
      <c r="M80" s="6">
        <v>1974.92</v>
      </c>
      <c r="N80" s="6">
        <v>1974.92</v>
      </c>
      <c r="O80" s="6">
        <v>1974.92</v>
      </c>
      <c r="P80" s="6">
        <v>0</v>
      </c>
      <c r="Q80" s="4" t="s">
        <v>26</v>
      </c>
      <c r="R80" s="4">
        <v>0</v>
      </c>
      <c r="S80" s="6">
        <v>0</v>
      </c>
      <c r="T80" s="6">
        <v>18</v>
      </c>
      <c r="U80" s="6">
        <v>73</v>
      </c>
      <c r="V80" s="6">
        <f>IF(ISERROR(VLOOKUP($S$80,'TAR FIN'!$A$1:$O$86,15,0)),0,VLOOKUP($S$80,'TAR FIN'!$A$1:$O$86,15,0))</f>
        <v>0</v>
      </c>
      <c r="W80" s="6">
        <f>IF(ISERROR(VLOOKUP($T$80,'TAR FIN'!$A$1:$O$86,15,0)),0,VLOOKUP($T$80,'TAR FIN'!$A$1:$O$86,15,0))</f>
        <v>73.19</v>
      </c>
      <c r="X80" s="6">
        <f>IF(ISERROR(VLOOKUP($U$80,'TAR FIN'!$A$1:$O$86,15,0)),0,VLOOKUP($U$80,'TAR FIN'!$A$1:$O$86,15,0))</f>
        <v>211.71</v>
      </c>
      <c r="Y80" s="6"/>
      <c r="Z80" s="6">
        <f ca="1">('TUSD BE'!$AM$12+'TUSD BF_350'!$AM$12+'TUSD CVA'!$AM$12)*1</f>
        <v>126.25</v>
      </c>
      <c r="AA80" s="6">
        <f ca="1">('TE BE'!$AB$6+'TE BF_350'!$AB$6+'TE CVA'!$AB$6)*1</f>
        <v>222.99901551132911</v>
      </c>
      <c r="AB80" s="6">
        <f>$K$80*$V$80</f>
        <v>0</v>
      </c>
      <c r="AC80" s="6">
        <f>$M$80*$W$80</f>
        <v>144544.39480000001</v>
      </c>
      <c r="AD80" s="6">
        <f>$O$80*$X$80</f>
        <v>418110.31320000003</v>
      </c>
      <c r="AE80" s="6">
        <f>$K$80*$Y$80</f>
        <v>0</v>
      </c>
      <c r="AF80" s="6">
        <f ca="1">$M$80*$Z$80</f>
        <v>249333.65000000002</v>
      </c>
      <c r="AG80" s="6">
        <f ca="1">$O$80*$AA$80</f>
        <v>440405.2157136341</v>
      </c>
    </row>
    <row r="81" spans="1:33" ht="11.25" customHeight="1" x14ac:dyDescent="0.25">
      <c r="A81" s="4" t="s">
        <v>55</v>
      </c>
      <c r="B81" s="4" t="s">
        <v>35</v>
      </c>
      <c r="C81" s="4" t="s">
        <v>39</v>
      </c>
      <c r="D81" s="4" t="s">
        <v>40</v>
      </c>
      <c r="E81" s="4" t="s">
        <v>25</v>
      </c>
      <c r="F81" s="4" t="s">
        <v>25</v>
      </c>
      <c r="G81" s="4" t="s">
        <v>25</v>
      </c>
      <c r="H81" s="4" t="s">
        <v>38</v>
      </c>
      <c r="I81" s="5">
        <v>44743</v>
      </c>
      <c r="J81" s="6">
        <v>0</v>
      </c>
      <c r="K81" s="6">
        <v>0</v>
      </c>
      <c r="L81" s="6">
        <v>37.793999999999997</v>
      </c>
      <c r="M81" s="6">
        <v>37.793999999999997</v>
      </c>
      <c r="N81" s="6">
        <v>37.793999999999997</v>
      </c>
      <c r="O81" s="6">
        <v>37.793999999999997</v>
      </c>
      <c r="P81" s="6">
        <v>0</v>
      </c>
      <c r="Q81" s="4" t="s">
        <v>26</v>
      </c>
      <c r="R81" s="4">
        <v>0</v>
      </c>
      <c r="S81" s="6">
        <v>0</v>
      </c>
      <c r="T81" s="6">
        <v>18</v>
      </c>
      <c r="U81" s="6">
        <v>73</v>
      </c>
      <c r="V81" s="6">
        <f>IF(ISERROR(VLOOKUP($S$81,'TAR FIN'!$A$1:$O$86,15,0)),0,VLOOKUP($S$81,'TAR FIN'!$A$1:$O$86,15,0))</f>
        <v>0</v>
      </c>
      <c r="W81" s="6">
        <f>IF(ISERROR(VLOOKUP($T$81,'TAR FIN'!$A$1:$O$86,15,0)),0,VLOOKUP($T$81,'TAR FIN'!$A$1:$O$86,15,0))</f>
        <v>73.19</v>
      </c>
      <c r="X81" s="6">
        <f>IF(ISERROR(VLOOKUP($U$81,'TAR FIN'!$A$1:$O$86,15,0)),0,VLOOKUP($U$81,'TAR FIN'!$A$1:$O$86,15,0))</f>
        <v>211.71</v>
      </c>
      <c r="Y81" s="6"/>
      <c r="Z81" s="6">
        <f ca="1">('TUSD BE'!$AM$12+'TUSD BF_350'!$AM$12+'TUSD CVA'!$AM$12)*1</f>
        <v>126.25</v>
      </c>
      <c r="AA81" s="6">
        <f ca="1">('TE BE'!$AB$6+'TE BF_350'!$AB$6+'TE CVA'!$AB$6)*1</f>
        <v>222.99901551132911</v>
      </c>
      <c r="AB81" s="6">
        <f>$K$81*$V$81</f>
        <v>0</v>
      </c>
      <c r="AC81" s="6">
        <f>$M$81*$W$81</f>
        <v>2766.1428599999995</v>
      </c>
      <c r="AD81" s="6">
        <f>$O$81*$X$81</f>
        <v>8001.3677399999997</v>
      </c>
      <c r="AE81" s="6">
        <f>$K$81*$Y$81</f>
        <v>0</v>
      </c>
      <c r="AF81" s="6">
        <f ca="1">$M$81*$Z$81</f>
        <v>4771.4924999999994</v>
      </c>
      <c r="AG81" s="6">
        <f ca="1">$O$81*$AA$81</f>
        <v>8428.0247922351718</v>
      </c>
    </row>
    <row r="82" spans="1:33" ht="11.25" customHeight="1" x14ac:dyDescent="0.25">
      <c r="A82" s="4" t="s">
        <v>21</v>
      </c>
      <c r="B82" s="4" t="s">
        <v>35</v>
      </c>
      <c r="C82" s="4" t="s">
        <v>39</v>
      </c>
      <c r="D82" s="4" t="s">
        <v>40</v>
      </c>
      <c r="E82" s="4" t="s">
        <v>25</v>
      </c>
      <c r="F82" s="4" t="s">
        <v>25</v>
      </c>
      <c r="G82" s="4" t="s">
        <v>25</v>
      </c>
      <c r="H82" s="4" t="s">
        <v>25</v>
      </c>
      <c r="I82" s="5">
        <v>44409</v>
      </c>
      <c r="J82" s="6">
        <v>8353</v>
      </c>
      <c r="K82" s="6">
        <v>8353</v>
      </c>
      <c r="L82" s="6">
        <v>0</v>
      </c>
      <c r="M82" s="6">
        <v>0</v>
      </c>
      <c r="N82" s="6">
        <v>0</v>
      </c>
      <c r="O82" s="6">
        <v>0</v>
      </c>
      <c r="P82" s="6">
        <v>35</v>
      </c>
      <c r="Q82" s="4" t="s">
        <v>26</v>
      </c>
      <c r="R82" s="4">
        <v>0</v>
      </c>
      <c r="S82" s="6">
        <v>24</v>
      </c>
      <c r="T82" s="6">
        <v>0</v>
      </c>
      <c r="U82" s="6">
        <v>0</v>
      </c>
      <c r="V82" s="6">
        <f>IF(ISERROR(VLOOKUP($S$82,'TAR FIN'!$A$1:$O$86,15,0)),0,VLOOKUP($S$82,'TAR FIN'!$A$1:$O$86,15,0))</f>
        <v>22.9</v>
      </c>
      <c r="W82" s="6">
        <f>IF(ISERROR(VLOOKUP($T$82,'TAR FIN'!$A$1:$O$86,15,0)),0,VLOOKUP($T$82,'TAR FIN'!$A$1:$O$86,15,0))</f>
        <v>0</v>
      </c>
      <c r="X82" s="6">
        <f>IF(ISERROR(VLOOKUP($U$82,'TAR FIN'!$A$1:$O$86,15,0)),0,VLOOKUP($U$82,'TAR FIN'!$A$1:$O$86,15,0))</f>
        <v>0</v>
      </c>
      <c r="Y82" s="6">
        <f ca="1">('TUSD BE'!$AM$10+'TUSD BF_350'!$AM$10+'TUSD CVA'!$AM$10)*1</f>
        <v>15.64</v>
      </c>
      <c r="Z82" s="6"/>
      <c r="AA82" s="6"/>
      <c r="AB82" s="6">
        <f>$K$82*$V$82</f>
        <v>191283.69999999998</v>
      </c>
      <c r="AC82" s="6">
        <f>$M$82*$W$82</f>
        <v>0</v>
      </c>
      <c r="AD82" s="6">
        <f>$O$82*$X$82</f>
        <v>0</v>
      </c>
      <c r="AE82" s="6">
        <f ca="1">$K$82*$Y$82</f>
        <v>130640.92</v>
      </c>
      <c r="AF82" s="6">
        <f>$M$82*$Z$82</f>
        <v>0</v>
      </c>
      <c r="AG82" s="6">
        <f>$O$82*$AA$82</f>
        <v>0</v>
      </c>
    </row>
    <row r="83" spans="1:33" ht="11.25" customHeight="1" x14ac:dyDescent="0.25">
      <c r="A83" s="4" t="s">
        <v>21</v>
      </c>
      <c r="B83" s="4" t="s">
        <v>35</v>
      </c>
      <c r="C83" s="4" t="s">
        <v>39</v>
      </c>
      <c r="D83" s="4" t="s">
        <v>40</v>
      </c>
      <c r="E83" s="4" t="s">
        <v>25</v>
      </c>
      <c r="F83" s="4" t="s">
        <v>25</v>
      </c>
      <c r="G83" s="4" t="s">
        <v>25</v>
      </c>
      <c r="H83" s="4" t="s">
        <v>25</v>
      </c>
      <c r="I83" s="5">
        <v>44440</v>
      </c>
      <c r="J83" s="6">
        <v>8501</v>
      </c>
      <c r="K83" s="6">
        <v>8501</v>
      </c>
      <c r="L83" s="6">
        <v>0</v>
      </c>
      <c r="M83" s="6">
        <v>0</v>
      </c>
      <c r="N83" s="6">
        <v>0</v>
      </c>
      <c r="O83" s="6">
        <v>0</v>
      </c>
      <c r="P83" s="6">
        <v>35</v>
      </c>
      <c r="Q83" s="4" t="s">
        <v>26</v>
      </c>
      <c r="R83" s="4">
        <v>0</v>
      </c>
      <c r="S83" s="6">
        <v>24</v>
      </c>
      <c r="T83" s="6">
        <v>0</v>
      </c>
      <c r="U83" s="6">
        <v>0</v>
      </c>
      <c r="V83" s="6">
        <f>IF(ISERROR(VLOOKUP($S$83,'TAR FIN'!$A$1:$O$86,15,0)),0,VLOOKUP($S$83,'TAR FIN'!$A$1:$O$86,15,0))</f>
        <v>22.9</v>
      </c>
      <c r="W83" s="6">
        <f>IF(ISERROR(VLOOKUP($T$83,'TAR FIN'!$A$1:$O$86,15,0)),0,VLOOKUP($T$83,'TAR FIN'!$A$1:$O$86,15,0))</f>
        <v>0</v>
      </c>
      <c r="X83" s="6">
        <f>IF(ISERROR(VLOOKUP($U$83,'TAR FIN'!$A$1:$O$86,15,0)),0,VLOOKUP($U$83,'TAR FIN'!$A$1:$O$86,15,0))</f>
        <v>0</v>
      </c>
      <c r="Y83" s="6">
        <f ca="1">('TUSD BE'!$AM$10+'TUSD BF_350'!$AM$10+'TUSD CVA'!$AM$10)*1</f>
        <v>15.64</v>
      </c>
      <c r="Z83" s="6"/>
      <c r="AA83" s="6"/>
      <c r="AB83" s="6">
        <f>$K$83*$V$83</f>
        <v>194672.9</v>
      </c>
      <c r="AC83" s="6">
        <f>$M$83*$W$83</f>
        <v>0</v>
      </c>
      <c r="AD83" s="6">
        <f>$O$83*$X$83</f>
        <v>0</v>
      </c>
      <c r="AE83" s="6">
        <f ca="1">$K$83*$Y$83</f>
        <v>132955.64000000001</v>
      </c>
      <c r="AF83" s="6">
        <f>$M$83*$Z$83</f>
        <v>0</v>
      </c>
      <c r="AG83" s="6">
        <f>$O$83*$AA$83</f>
        <v>0</v>
      </c>
    </row>
    <row r="84" spans="1:33" ht="11.25" customHeight="1" x14ac:dyDescent="0.25">
      <c r="A84" s="4" t="s">
        <v>21</v>
      </c>
      <c r="B84" s="4" t="s">
        <v>35</v>
      </c>
      <c r="C84" s="4" t="s">
        <v>39</v>
      </c>
      <c r="D84" s="4" t="s">
        <v>40</v>
      </c>
      <c r="E84" s="4" t="s">
        <v>25</v>
      </c>
      <c r="F84" s="4" t="s">
        <v>25</v>
      </c>
      <c r="G84" s="4" t="s">
        <v>25</v>
      </c>
      <c r="H84" s="4" t="s">
        <v>25</v>
      </c>
      <c r="I84" s="5">
        <v>44470</v>
      </c>
      <c r="J84" s="6">
        <v>9098</v>
      </c>
      <c r="K84" s="6">
        <v>9098</v>
      </c>
      <c r="L84" s="6">
        <v>0</v>
      </c>
      <c r="M84" s="6">
        <v>0</v>
      </c>
      <c r="N84" s="6">
        <v>0</v>
      </c>
      <c r="O84" s="6">
        <v>0</v>
      </c>
      <c r="P84" s="6">
        <v>35</v>
      </c>
      <c r="Q84" s="4" t="s">
        <v>26</v>
      </c>
      <c r="R84" s="4">
        <v>0</v>
      </c>
      <c r="S84" s="6">
        <v>24</v>
      </c>
      <c r="T84" s="6">
        <v>0</v>
      </c>
      <c r="U84" s="6">
        <v>0</v>
      </c>
      <c r="V84" s="6">
        <f>IF(ISERROR(VLOOKUP($S$84,'TAR FIN'!$A$1:$O$86,15,0)),0,VLOOKUP($S$84,'TAR FIN'!$A$1:$O$86,15,0))</f>
        <v>22.9</v>
      </c>
      <c r="W84" s="6">
        <f>IF(ISERROR(VLOOKUP($T$84,'TAR FIN'!$A$1:$O$86,15,0)),0,VLOOKUP($T$84,'TAR FIN'!$A$1:$O$86,15,0))</f>
        <v>0</v>
      </c>
      <c r="X84" s="6">
        <f>IF(ISERROR(VLOOKUP($U$84,'TAR FIN'!$A$1:$O$86,15,0)),0,VLOOKUP($U$84,'TAR FIN'!$A$1:$O$86,15,0))</f>
        <v>0</v>
      </c>
      <c r="Y84" s="6">
        <f ca="1">('TUSD BE'!$AM$10+'TUSD BF_350'!$AM$10+'TUSD CVA'!$AM$10)*1</f>
        <v>15.64</v>
      </c>
      <c r="Z84" s="6"/>
      <c r="AA84" s="6"/>
      <c r="AB84" s="6">
        <f>$K$84*$V$84</f>
        <v>208344.19999999998</v>
      </c>
      <c r="AC84" s="6">
        <f>$M$84*$W$84</f>
        <v>0</v>
      </c>
      <c r="AD84" s="6">
        <f>$O$84*$X$84</f>
        <v>0</v>
      </c>
      <c r="AE84" s="6">
        <f ca="1">$K$84*$Y$84</f>
        <v>142292.72</v>
      </c>
      <c r="AF84" s="6">
        <f>$M$84*$Z$84</f>
        <v>0</v>
      </c>
      <c r="AG84" s="6">
        <f>$O$84*$AA$84</f>
        <v>0</v>
      </c>
    </row>
    <row r="85" spans="1:33" ht="11.25" customHeight="1" x14ac:dyDescent="0.25">
      <c r="A85" s="4" t="s">
        <v>21</v>
      </c>
      <c r="B85" s="4" t="s">
        <v>35</v>
      </c>
      <c r="C85" s="4" t="s">
        <v>39</v>
      </c>
      <c r="D85" s="4" t="s">
        <v>40</v>
      </c>
      <c r="E85" s="4" t="s">
        <v>25</v>
      </c>
      <c r="F85" s="4" t="s">
        <v>25</v>
      </c>
      <c r="G85" s="4" t="s">
        <v>25</v>
      </c>
      <c r="H85" s="4" t="s">
        <v>25</v>
      </c>
      <c r="I85" s="5">
        <v>44501</v>
      </c>
      <c r="J85" s="6">
        <v>9165</v>
      </c>
      <c r="K85" s="6">
        <v>9165</v>
      </c>
      <c r="L85" s="6">
        <v>0</v>
      </c>
      <c r="M85" s="6">
        <v>0</v>
      </c>
      <c r="N85" s="6">
        <v>0</v>
      </c>
      <c r="O85" s="6">
        <v>0</v>
      </c>
      <c r="P85" s="6">
        <v>35</v>
      </c>
      <c r="Q85" s="4" t="s">
        <v>26</v>
      </c>
      <c r="R85" s="4">
        <v>0</v>
      </c>
      <c r="S85" s="6">
        <v>24</v>
      </c>
      <c r="T85" s="6">
        <v>0</v>
      </c>
      <c r="U85" s="6">
        <v>0</v>
      </c>
      <c r="V85" s="6">
        <f>IF(ISERROR(VLOOKUP($S$85,'TAR FIN'!$A$1:$O$86,15,0)),0,VLOOKUP($S$85,'TAR FIN'!$A$1:$O$86,15,0))</f>
        <v>22.9</v>
      </c>
      <c r="W85" s="6">
        <f>IF(ISERROR(VLOOKUP($T$85,'TAR FIN'!$A$1:$O$86,15,0)),0,VLOOKUP($T$85,'TAR FIN'!$A$1:$O$86,15,0))</f>
        <v>0</v>
      </c>
      <c r="X85" s="6">
        <f>IF(ISERROR(VLOOKUP($U$85,'TAR FIN'!$A$1:$O$86,15,0)),0,VLOOKUP($U$85,'TAR FIN'!$A$1:$O$86,15,0))</f>
        <v>0</v>
      </c>
      <c r="Y85" s="6">
        <f ca="1">('TUSD BE'!$AM$10+'TUSD BF_350'!$AM$10+'TUSD CVA'!$AM$10)*1</f>
        <v>15.64</v>
      </c>
      <c r="Z85" s="6"/>
      <c r="AA85" s="6"/>
      <c r="AB85" s="6">
        <f>$K$85*$V$85</f>
        <v>209878.5</v>
      </c>
      <c r="AC85" s="6">
        <f>$M$85*$W$85</f>
        <v>0</v>
      </c>
      <c r="AD85" s="6">
        <f>$O$85*$X$85</f>
        <v>0</v>
      </c>
      <c r="AE85" s="6">
        <f ca="1">$K$85*$Y$85</f>
        <v>143340.6</v>
      </c>
      <c r="AF85" s="6">
        <f>$M$85*$Z$85</f>
        <v>0</v>
      </c>
      <c r="AG85" s="6">
        <f>$O$85*$AA$85</f>
        <v>0</v>
      </c>
    </row>
    <row r="86" spans="1:33" ht="11.25" customHeight="1" x14ac:dyDescent="0.25">
      <c r="A86" s="4" t="s">
        <v>21</v>
      </c>
      <c r="B86" s="4" t="s">
        <v>35</v>
      </c>
      <c r="C86" s="4" t="s">
        <v>39</v>
      </c>
      <c r="D86" s="4" t="s">
        <v>40</v>
      </c>
      <c r="E86" s="4" t="s">
        <v>25</v>
      </c>
      <c r="F86" s="4" t="s">
        <v>25</v>
      </c>
      <c r="G86" s="4" t="s">
        <v>25</v>
      </c>
      <c r="H86" s="4" t="s">
        <v>25</v>
      </c>
      <c r="I86" s="5">
        <v>44531</v>
      </c>
      <c r="J86" s="6">
        <v>9247</v>
      </c>
      <c r="K86" s="6">
        <v>9247</v>
      </c>
      <c r="L86" s="6">
        <v>0</v>
      </c>
      <c r="M86" s="6">
        <v>0</v>
      </c>
      <c r="N86" s="6">
        <v>0</v>
      </c>
      <c r="O86" s="6">
        <v>0</v>
      </c>
      <c r="P86" s="6">
        <v>35</v>
      </c>
      <c r="Q86" s="4" t="s">
        <v>26</v>
      </c>
      <c r="R86" s="4">
        <v>0</v>
      </c>
      <c r="S86" s="6">
        <v>24</v>
      </c>
      <c r="T86" s="6">
        <v>0</v>
      </c>
      <c r="U86" s="6">
        <v>0</v>
      </c>
      <c r="V86" s="6">
        <f>IF(ISERROR(VLOOKUP($S$86,'TAR FIN'!$A$1:$O$86,15,0)),0,VLOOKUP($S$86,'TAR FIN'!$A$1:$O$86,15,0))</f>
        <v>22.9</v>
      </c>
      <c r="W86" s="6">
        <f>IF(ISERROR(VLOOKUP($T$86,'TAR FIN'!$A$1:$O$86,15,0)),0,VLOOKUP($T$86,'TAR FIN'!$A$1:$O$86,15,0))</f>
        <v>0</v>
      </c>
      <c r="X86" s="6">
        <f>IF(ISERROR(VLOOKUP($U$86,'TAR FIN'!$A$1:$O$86,15,0)),0,VLOOKUP($U$86,'TAR FIN'!$A$1:$O$86,15,0))</f>
        <v>0</v>
      </c>
      <c r="Y86" s="6">
        <f ca="1">('TUSD BE'!$AM$10+'TUSD BF_350'!$AM$10+'TUSD CVA'!$AM$10)*1</f>
        <v>15.64</v>
      </c>
      <c r="Z86" s="6"/>
      <c r="AA86" s="6"/>
      <c r="AB86" s="6">
        <f>$K$86*$V$86</f>
        <v>211756.3</v>
      </c>
      <c r="AC86" s="6">
        <f>$M$86*$W$86</f>
        <v>0</v>
      </c>
      <c r="AD86" s="6">
        <f>$O$86*$X$86</f>
        <v>0</v>
      </c>
      <c r="AE86" s="6">
        <f ca="1">$K$86*$Y$86</f>
        <v>144623.08000000002</v>
      </c>
      <c r="AF86" s="6">
        <f>$M$86*$Z$86</f>
        <v>0</v>
      </c>
      <c r="AG86" s="6">
        <f>$O$86*$AA$86</f>
        <v>0</v>
      </c>
    </row>
    <row r="87" spans="1:33" ht="11.25" customHeight="1" x14ac:dyDescent="0.25">
      <c r="A87" s="4" t="s">
        <v>28</v>
      </c>
      <c r="B87" s="4" t="s">
        <v>35</v>
      </c>
      <c r="C87" s="4" t="s">
        <v>39</v>
      </c>
      <c r="D87" s="4" t="s">
        <v>40</v>
      </c>
      <c r="E87" s="4" t="s">
        <v>25</v>
      </c>
      <c r="F87" s="4" t="s">
        <v>25</v>
      </c>
      <c r="G87" s="4" t="s">
        <v>25</v>
      </c>
      <c r="H87" s="4" t="s">
        <v>25</v>
      </c>
      <c r="I87" s="5">
        <v>44531</v>
      </c>
      <c r="J87" s="6">
        <v>195</v>
      </c>
      <c r="K87" s="6">
        <v>195</v>
      </c>
      <c r="L87" s="6">
        <v>0</v>
      </c>
      <c r="M87" s="6">
        <v>0</v>
      </c>
      <c r="N87" s="6">
        <v>0</v>
      </c>
      <c r="O87" s="6">
        <v>0</v>
      </c>
      <c r="P87" s="6">
        <v>1</v>
      </c>
      <c r="Q87" s="4" t="s">
        <v>26</v>
      </c>
      <c r="R87" s="4">
        <v>0</v>
      </c>
      <c r="S87" s="6">
        <v>24</v>
      </c>
      <c r="T87" s="6">
        <v>0</v>
      </c>
      <c r="U87" s="6">
        <v>0</v>
      </c>
      <c r="V87" s="6">
        <f>IF(ISERROR(VLOOKUP($S$87,'TAR FIN'!$A$1:$O$86,15,0)),0,VLOOKUP($S$87,'TAR FIN'!$A$1:$O$86,15,0))</f>
        <v>22.9</v>
      </c>
      <c r="W87" s="6">
        <f>IF(ISERROR(VLOOKUP($T$87,'TAR FIN'!$A$1:$O$86,15,0)),0,VLOOKUP($T$87,'TAR FIN'!$A$1:$O$86,15,0))</f>
        <v>0</v>
      </c>
      <c r="X87" s="6">
        <f>IF(ISERROR(VLOOKUP($U$87,'TAR FIN'!$A$1:$O$86,15,0)),0,VLOOKUP($U$87,'TAR FIN'!$A$1:$O$86,15,0))</f>
        <v>0</v>
      </c>
      <c r="Y87" s="6">
        <f ca="1">('TUSD BE'!$AM$10+'TUSD BF_350'!$AM$10+'TUSD CVA'!$AM$10)*1</f>
        <v>15.64</v>
      </c>
      <c r="Z87" s="6"/>
      <c r="AA87" s="6"/>
      <c r="AB87" s="6">
        <f>$K$87*$V$87</f>
        <v>4465.5</v>
      </c>
      <c r="AC87" s="6">
        <f>$M$87*$W$87</f>
        <v>0</v>
      </c>
      <c r="AD87" s="6">
        <f>$O$87*$X$87</f>
        <v>0</v>
      </c>
      <c r="AE87" s="6">
        <f ca="1">$K$87*$Y$87</f>
        <v>3049.8</v>
      </c>
      <c r="AF87" s="6">
        <f>$M$87*$Z$87</f>
        <v>0</v>
      </c>
      <c r="AG87" s="6">
        <f>$O$87*$AA$87</f>
        <v>0</v>
      </c>
    </row>
    <row r="88" spans="1:33" ht="11.25" customHeight="1" x14ac:dyDescent="0.25">
      <c r="A88" s="4" t="s">
        <v>21</v>
      </c>
      <c r="B88" s="4" t="s">
        <v>35</v>
      </c>
      <c r="C88" s="4" t="s">
        <v>39</v>
      </c>
      <c r="D88" s="4" t="s">
        <v>40</v>
      </c>
      <c r="E88" s="4" t="s">
        <v>25</v>
      </c>
      <c r="F88" s="4" t="s">
        <v>25</v>
      </c>
      <c r="G88" s="4" t="s">
        <v>25</v>
      </c>
      <c r="H88" s="4" t="s">
        <v>25</v>
      </c>
      <c r="I88" s="5">
        <v>44562</v>
      </c>
      <c r="J88" s="6">
        <v>9263</v>
      </c>
      <c r="K88" s="6">
        <v>9263</v>
      </c>
      <c r="L88" s="6">
        <v>0</v>
      </c>
      <c r="M88" s="6">
        <v>0</v>
      </c>
      <c r="N88" s="6">
        <v>0</v>
      </c>
      <c r="O88" s="6">
        <v>0</v>
      </c>
      <c r="P88" s="6">
        <v>35</v>
      </c>
      <c r="Q88" s="4" t="s">
        <v>26</v>
      </c>
      <c r="R88" s="4">
        <v>0</v>
      </c>
      <c r="S88" s="6">
        <v>24</v>
      </c>
      <c r="T88" s="6">
        <v>0</v>
      </c>
      <c r="U88" s="6">
        <v>0</v>
      </c>
      <c r="V88" s="6">
        <f>IF(ISERROR(VLOOKUP($S$88,'TAR FIN'!$A$1:$O$86,15,0)),0,VLOOKUP($S$88,'TAR FIN'!$A$1:$O$86,15,0))</f>
        <v>22.9</v>
      </c>
      <c r="W88" s="6">
        <f>IF(ISERROR(VLOOKUP($T$88,'TAR FIN'!$A$1:$O$86,15,0)),0,VLOOKUP($T$88,'TAR FIN'!$A$1:$O$86,15,0))</f>
        <v>0</v>
      </c>
      <c r="X88" s="6">
        <f>IF(ISERROR(VLOOKUP($U$88,'TAR FIN'!$A$1:$O$86,15,0)),0,VLOOKUP($U$88,'TAR FIN'!$A$1:$O$86,15,0))</f>
        <v>0</v>
      </c>
      <c r="Y88" s="6">
        <f ca="1">('TUSD BE'!$AM$10+'TUSD BF_350'!$AM$10+'TUSD CVA'!$AM$10)*1</f>
        <v>15.64</v>
      </c>
      <c r="Z88" s="6"/>
      <c r="AA88" s="6"/>
      <c r="AB88" s="6">
        <f>$K$88*$V$88</f>
        <v>212122.69999999998</v>
      </c>
      <c r="AC88" s="6">
        <f>$M$88*$W$88</f>
        <v>0</v>
      </c>
      <c r="AD88" s="6">
        <f>$O$88*$X$88</f>
        <v>0</v>
      </c>
      <c r="AE88" s="6">
        <f ca="1">$K$88*$Y$88</f>
        <v>144873.32</v>
      </c>
      <c r="AF88" s="6">
        <f>$M$88*$Z$88</f>
        <v>0</v>
      </c>
      <c r="AG88" s="6">
        <f>$O$88*$AA$88</f>
        <v>0</v>
      </c>
    </row>
    <row r="89" spans="1:33" ht="11.25" customHeight="1" x14ac:dyDescent="0.25">
      <c r="A89" s="4" t="s">
        <v>28</v>
      </c>
      <c r="B89" s="4" t="s">
        <v>35</v>
      </c>
      <c r="C89" s="4" t="s">
        <v>39</v>
      </c>
      <c r="D89" s="4" t="s">
        <v>40</v>
      </c>
      <c r="E89" s="4" t="s">
        <v>25</v>
      </c>
      <c r="F89" s="4" t="s">
        <v>25</v>
      </c>
      <c r="G89" s="4" t="s">
        <v>25</v>
      </c>
      <c r="H89" s="4" t="s">
        <v>25</v>
      </c>
      <c r="I89" s="5">
        <v>44562</v>
      </c>
      <c r="J89" s="6">
        <v>176</v>
      </c>
      <c r="K89" s="6">
        <v>176</v>
      </c>
      <c r="L89" s="6">
        <v>0</v>
      </c>
      <c r="M89" s="6">
        <v>0</v>
      </c>
      <c r="N89" s="6">
        <v>0</v>
      </c>
      <c r="O89" s="6">
        <v>0</v>
      </c>
      <c r="P89" s="6">
        <v>1</v>
      </c>
      <c r="Q89" s="4" t="s">
        <v>26</v>
      </c>
      <c r="R89" s="4">
        <v>0</v>
      </c>
      <c r="S89" s="6">
        <v>24</v>
      </c>
      <c r="T89" s="6">
        <v>0</v>
      </c>
      <c r="U89" s="6">
        <v>0</v>
      </c>
      <c r="V89" s="6">
        <f>IF(ISERROR(VLOOKUP($S$89,'TAR FIN'!$A$1:$O$86,15,0)),0,VLOOKUP($S$89,'TAR FIN'!$A$1:$O$86,15,0))</f>
        <v>22.9</v>
      </c>
      <c r="W89" s="6">
        <f>IF(ISERROR(VLOOKUP($T$89,'TAR FIN'!$A$1:$O$86,15,0)),0,VLOOKUP($T$89,'TAR FIN'!$A$1:$O$86,15,0))</f>
        <v>0</v>
      </c>
      <c r="X89" s="6">
        <f>IF(ISERROR(VLOOKUP($U$89,'TAR FIN'!$A$1:$O$86,15,0)),0,VLOOKUP($U$89,'TAR FIN'!$A$1:$O$86,15,0))</f>
        <v>0</v>
      </c>
      <c r="Y89" s="6">
        <f ca="1">('TUSD BE'!$AM$10+'TUSD BF_350'!$AM$10+'TUSD CVA'!$AM$10)*1</f>
        <v>15.64</v>
      </c>
      <c r="Z89" s="6"/>
      <c r="AA89" s="6"/>
      <c r="AB89" s="6">
        <f>$K$89*$V$89</f>
        <v>4030.3999999999996</v>
      </c>
      <c r="AC89" s="6">
        <f>$M$89*$W$89</f>
        <v>0</v>
      </c>
      <c r="AD89" s="6">
        <f>$O$89*$X$89</f>
        <v>0</v>
      </c>
      <c r="AE89" s="6">
        <f ca="1">$K$89*$Y$89</f>
        <v>2752.6400000000003</v>
      </c>
      <c r="AF89" s="6">
        <f>$M$89*$Z$89</f>
        <v>0</v>
      </c>
      <c r="AG89" s="6">
        <f>$O$89*$AA$89</f>
        <v>0</v>
      </c>
    </row>
    <row r="90" spans="1:33" ht="11.25" customHeight="1" x14ac:dyDescent="0.25">
      <c r="A90" s="4" t="s">
        <v>21</v>
      </c>
      <c r="B90" s="4" t="s">
        <v>35</v>
      </c>
      <c r="C90" s="4" t="s">
        <v>39</v>
      </c>
      <c r="D90" s="4" t="s">
        <v>40</v>
      </c>
      <c r="E90" s="4" t="s">
        <v>25</v>
      </c>
      <c r="F90" s="4" t="s">
        <v>25</v>
      </c>
      <c r="G90" s="4" t="s">
        <v>25</v>
      </c>
      <c r="H90" s="4" t="s">
        <v>25</v>
      </c>
      <c r="I90" s="5">
        <v>44593</v>
      </c>
      <c r="J90" s="6">
        <v>9208</v>
      </c>
      <c r="K90" s="6">
        <v>9208</v>
      </c>
      <c r="L90" s="6">
        <v>0</v>
      </c>
      <c r="M90" s="6">
        <v>0</v>
      </c>
      <c r="N90" s="6">
        <v>0</v>
      </c>
      <c r="O90" s="6">
        <v>0</v>
      </c>
      <c r="P90" s="6">
        <v>35</v>
      </c>
      <c r="Q90" s="4" t="s">
        <v>26</v>
      </c>
      <c r="R90" s="4">
        <v>0</v>
      </c>
      <c r="S90" s="6">
        <v>24</v>
      </c>
      <c r="T90" s="6">
        <v>0</v>
      </c>
      <c r="U90" s="6">
        <v>0</v>
      </c>
      <c r="V90" s="6">
        <f>IF(ISERROR(VLOOKUP($S$90,'TAR FIN'!$A$1:$O$86,15,0)),0,VLOOKUP($S$90,'TAR FIN'!$A$1:$O$86,15,0))</f>
        <v>22.9</v>
      </c>
      <c r="W90" s="6">
        <f>IF(ISERROR(VLOOKUP($T$90,'TAR FIN'!$A$1:$O$86,15,0)),0,VLOOKUP($T$90,'TAR FIN'!$A$1:$O$86,15,0))</f>
        <v>0</v>
      </c>
      <c r="X90" s="6">
        <f>IF(ISERROR(VLOOKUP($U$90,'TAR FIN'!$A$1:$O$86,15,0)),0,VLOOKUP($U$90,'TAR FIN'!$A$1:$O$86,15,0))</f>
        <v>0</v>
      </c>
      <c r="Y90" s="6">
        <f ca="1">('TUSD BE'!$AM$10+'TUSD BF_350'!$AM$10+'TUSD CVA'!$AM$10)*1</f>
        <v>15.64</v>
      </c>
      <c r="Z90" s="6"/>
      <c r="AA90" s="6"/>
      <c r="AB90" s="6">
        <f>$K$90*$V$90</f>
        <v>210863.19999999998</v>
      </c>
      <c r="AC90" s="6">
        <f>$M$90*$W$90</f>
        <v>0</v>
      </c>
      <c r="AD90" s="6">
        <f>$O$90*$X$90</f>
        <v>0</v>
      </c>
      <c r="AE90" s="6">
        <f ca="1">$K$90*$Y$90</f>
        <v>144013.12</v>
      </c>
      <c r="AF90" s="6">
        <f>$M$90*$Z$90</f>
        <v>0</v>
      </c>
      <c r="AG90" s="6">
        <f>$O$90*$AA$90</f>
        <v>0</v>
      </c>
    </row>
    <row r="91" spans="1:33" ht="11.25" customHeight="1" x14ac:dyDescent="0.25">
      <c r="A91" s="4" t="s">
        <v>28</v>
      </c>
      <c r="B91" s="4" t="s">
        <v>35</v>
      </c>
      <c r="C91" s="4" t="s">
        <v>39</v>
      </c>
      <c r="D91" s="4" t="s">
        <v>40</v>
      </c>
      <c r="E91" s="4" t="s">
        <v>25</v>
      </c>
      <c r="F91" s="4" t="s">
        <v>25</v>
      </c>
      <c r="G91" s="4" t="s">
        <v>25</v>
      </c>
      <c r="H91" s="4" t="s">
        <v>25</v>
      </c>
      <c r="I91" s="5">
        <v>44593</v>
      </c>
      <c r="J91" s="6">
        <v>172</v>
      </c>
      <c r="K91" s="6">
        <v>172</v>
      </c>
      <c r="L91" s="6">
        <v>0</v>
      </c>
      <c r="M91" s="6">
        <v>0</v>
      </c>
      <c r="N91" s="6">
        <v>0</v>
      </c>
      <c r="O91" s="6">
        <v>0</v>
      </c>
      <c r="P91" s="6">
        <v>1</v>
      </c>
      <c r="Q91" s="4" t="s">
        <v>26</v>
      </c>
      <c r="R91" s="4">
        <v>0</v>
      </c>
      <c r="S91" s="6">
        <v>24</v>
      </c>
      <c r="T91" s="6">
        <v>0</v>
      </c>
      <c r="U91" s="6">
        <v>0</v>
      </c>
      <c r="V91" s="6">
        <f>IF(ISERROR(VLOOKUP($S$91,'TAR FIN'!$A$1:$O$86,15,0)),0,VLOOKUP($S$91,'TAR FIN'!$A$1:$O$86,15,0))</f>
        <v>22.9</v>
      </c>
      <c r="W91" s="6">
        <f>IF(ISERROR(VLOOKUP($T$91,'TAR FIN'!$A$1:$O$86,15,0)),0,VLOOKUP($T$91,'TAR FIN'!$A$1:$O$86,15,0))</f>
        <v>0</v>
      </c>
      <c r="X91" s="6">
        <f>IF(ISERROR(VLOOKUP($U$91,'TAR FIN'!$A$1:$O$86,15,0)),0,VLOOKUP($U$91,'TAR FIN'!$A$1:$O$86,15,0))</f>
        <v>0</v>
      </c>
      <c r="Y91" s="6">
        <f ca="1">('TUSD BE'!$AM$10+'TUSD BF_350'!$AM$10+'TUSD CVA'!$AM$10)*1</f>
        <v>15.64</v>
      </c>
      <c r="Z91" s="6"/>
      <c r="AA91" s="6"/>
      <c r="AB91" s="6">
        <f>$K$91*$V$91</f>
        <v>3938.7999999999997</v>
      </c>
      <c r="AC91" s="6">
        <f>$M$91*$W$91</f>
        <v>0</v>
      </c>
      <c r="AD91" s="6">
        <f>$O$91*$X$91</f>
        <v>0</v>
      </c>
      <c r="AE91" s="6">
        <f ca="1">$K$91*$Y$91</f>
        <v>2690.08</v>
      </c>
      <c r="AF91" s="6">
        <f>$M$91*$Z$91</f>
        <v>0</v>
      </c>
      <c r="AG91" s="6">
        <f>$O$91*$AA$91</f>
        <v>0</v>
      </c>
    </row>
    <row r="92" spans="1:33" ht="11.25" customHeight="1" x14ac:dyDescent="0.25">
      <c r="A92" s="4" t="s">
        <v>21</v>
      </c>
      <c r="B92" s="4" t="s">
        <v>35</v>
      </c>
      <c r="C92" s="4" t="s">
        <v>39</v>
      </c>
      <c r="D92" s="4" t="s">
        <v>40</v>
      </c>
      <c r="E92" s="4" t="s">
        <v>25</v>
      </c>
      <c r="F92" s="4" t="s">
        <v>25</v>
      </c>
      <c r="G92" s="4" t="s">
        <v>25</v>
      </c>
      <c r="H92" s="4" t="s">
        <v>25</v>
      </c>
      <c r="I92" s="5">
        <v>44621</v>
      </c>
      <c r="J92" s="6">
        <v>9345</v>
      </c>
      <c r="K92" s="6">
        <v>9345</v>
      </c>
      <c r="L92" s="6">
        <v>0</v>
      </c>
      <c r="M92" s="6">
        <v>0</v>
      </c>
      <c r="N92" s="6">
        <v>0</v>
      </c>
      <c r="O92" s="6">
        <v>0</v>
      </c>
      <c r="P92" s="6">
        <v>35</v>
      </c>
      <c r="Q92" s="4" t="s">
        <v>26</v>
      </c>
      <c r="R92" s="4">
        <v>0</v>
      </c>
      <c r="S92" s="6">
        <v>24</v>
      </c>
      <c r="T92" s="6">
        <v>0</v>
      </c>
      <c r="U92" s="6">
        <v>0</v>
      </c>
      <c r="V92" s="6">
        <f>IF(ISERROR(VLOOKUP($S$92,'TAR FIN'!$A$1:$O$86,15,0)),0,VLOOKUP($S$92,'TAR FIN'!$A$1:$O$86,15,0))</f>
        <v>22.9</v>
      </c>
      <c r="W92" s="6">
        <f>IF(ISERROR(VLOOKUP($T$92,'TAR FIN'!$A$1:$O$86,15,0)),0,VLOOKUP($T$92,'TAR FIN'!$A$1:$O$86,15,0))</f>
        <v>0</v>
      </c>
      <c r="X92" s="6">
        <f>IF(ISERROR(VLOOKUP($U$92,'TAR FIN'!$A$1:$O$86,15,0)),0,VLOOKUP($U$92,'TAR FIN'!$A$1:$O$86,15,0))</f>
        <v>0</v>
      </c>
      <c r="Y92" s="6">
        <f ca="1">('TUSD BE'!$AM$10+'TUSD BF_350'!$AM$10+'TUSD CVA'!$AM$10)*1</f>
        <v>15.64</v>
      </c>
      <c r="Z92" s="6"/>
      <c r="AA92" s="6"/>
      <c r="AB92" s="6">
        <f>$K$92*$V$92</f>
        <v>214000.5</v>
      </c>
      <c r="AC92" s="6">
        <f>$M$92*$W$92</f>
        <v>0</v>
      </c>
      <c r="AD92" s="6">
        <f>$O$92*$X$92</f>
        <v>0</v>
      </c>
      <c r="AE92" s="6">
        <f ca="1">$K$92*$Y$92</f>
        <v>146155.80000000002</v>
      </c>
      <c r="AF92" s="6">
        <f>$M$92*$Z$92</f>
        <v>0</v>
      </c>
      <c r="AG92" s="6">
        <f>$O$92*$AA$92</f>
        <v>0</v>
      </c>
    </row>
    <row r="93" spans="1:33" ht="11.25" customHeight="1" x14ac:dyDescent="0.25">
      <c r="A93" s="4" t="s">
        <v>28</v>
      </c>
      <c r="B93" s="4" t="s">
        <v>35</v>
      </c>
      <c r="C93" s="4" t="s">
        <v>39</v>
      </c>
      <c r="D93" s="4" t="s">
        <v>40</v>
      </c>
      <c r="E93" s="4" t="s">
        <v>25</v>
      </c>
      <c r="F93" s="4" t="s">
        <v>25</v>
      </c>
      <c r="G93" s="4" t="s">
        <v>25</v>
      </c>
      <c r="H93" s="4" t="s">
        <v>25</v>
      </c>
      <c r="I93" s="5">
        <v>44621</v>
      </c>
      <c r="J93" s="6">
        <v>205</v>
      </c>
      <c r="K93" s="6">
        <v>205</v>
      </c>
      <c r="L93" s="6">
        <v>0</v>
      </c>
      <c r="M93" s="6">
        <v>0</v>
      </c>
      <c r="N93" s="6">
        <v>0</v>
      </c>
      <c r="O93" s="6">
        <v>0</v>
      </c>
      <c r="P93" s="6">
        <v>1</v>
      </c>
      <c r="Q93" s="4" t="s">
        <v>26</v>
      </c>
      <c r="R93" s="4">
        <v>0</v>
      </c>
      <c r="S93" s="6">
        <v>24</v>
      </c>
      <c r="T93" s="6">
        <v>0</v>
      </c>
      <c r="U93" s="6">
        <v>0</v>
      </c>
      <c r="V93" s="6">
        <f>IF(ISERROR(VLOOKUP($S$93,'TAR FIN'!$A$1:$O$86,15,0)),0,VLOOKUP($S$93,'TAR FIN'!$A$1:$O$86,15,0))</f>
        <v>22.9</v>
      </c>
      <c r="W93" s="6">
        <f>IF(ISERROR(VLOOKUP($T$93,'TAR FIN'!$A$1:$O$86,15,0)),0,VLOOKUP($T$93,'TAR FIN'!$A$1:$O$86,15,0))</f>
        <v>0</v>
      </c>
      <c r="X93" s="6">
        <f>IF(ISERROR(VLOOKUP($U$93,'TAR FIN'!$A$1:$O$86,15,0)),0,VLOOKUP($U$93,'TAR FIN'!$A$1:$O$86,15,0))</f>
        <v>0</v>
      </c>
      <c r="Y93" s="6">
        <f ca="1">('TUSD BE'!$AM$10+'TUSD BF_350'!$AM$10+'TUSD CVA'!$AM$10)*1</f>
        <v>15.64</v>
      </c>
      <c r="Z93" s="6"/>
      <c r="AA93" s="6"/>
      <c r="AB93" s="6">
        <f>$K$93*$V$93</f>
        <v>4694.5</v>
      </c>
      <c r="AC93" s="6">
        <f>$M$93*$W$93</f>
        <v>0</v>
      </c>
      <c r="AD93" s="6">
        <f>$O$93*$X$93</f>
        <v>0</v>
      </c>
      <c r="AE93" s="6">
        <f ca="1">$K$93*$Y$93</f>
        <v>3206.2000000000003</v>
      </c>
      <c r="AF93" s="6">
        <f>$M$93*$Z$93</f>
        <v>0</v>
      </c>
      <c r="AG93" s="6">
        <f>$O$93*$AA$93</f>
        <v>0</v>
      </c>
    </row>
    <row r="94" spans="1:33" ht="11.25" customHeight="1" x14ac:dyDescent="0.25">
      <c r="A94" s="4" t="s">
        <v>21</v>
      </c>
      <c r="B94" s="4" t="s">
        <v>35</v>
      </c>
      <c r="C94" s="4" t="s">
        <v>39</v>
      </c>
      <c r="D94" s="4" t="s">
        <v>40</v>
      </c>
      <c r="E94" s="4" t="s">
        <v>25</v>
      </c>
      <c r="F94" s="4" t="s">
        <v>25</v>
      </c>
      <c r="G94" s="4" t="s">
        <v>25</v>
      </c>
      <c r="H94" s="4" t="s">
        <v>25</v>
      </c>
      <c r="I94" s="5">
        <v>44652</v>
      </c>
      <c r="J94" s="6">
        <v>9217</v>
      </c>
      <c r="K94" s="6">
        <v>9217</v>
      </c>
      <c r="L94" s="6">
        <v>0</v>
      </c>
      <c r="M94" s="6">
        <v>0</v>
      </c>
      <c r="N94" s="6">
        <v>0</v>
      </c>
      <c r="O94" s="6">
        <v>0</v>
      </c>
      <c r="P94" s="6">
        <v>36</v>
      </c>
      <c r="Q94" s="4" t="s">
        <v>26</v>
      </c>
      <c r="R94" s="4">
        <v>0</v>
      </c>
      <c r="S94" s="6">
        <v>24</v>
      </c>
      <c r="T94" s="6">
        <v>0</v>
      </c>
      <c r="U94" s="6">
        <v>0</v>
      </c>
      <c r="V94" s="6">
        <f>IF(ISERROR(VLOOKUP($S$94,'TAR FIN'!$A$1:$O$86,15,0)),0,VLOOKUP($S$94,'TAR FIN'!$A$1:$O$86,15,0))</f>
        <v>22.9</v>
      </c>
      <c r="W94" s="6">
        <f>IF(ISERROR(VLOOKUP($T$94,'TAR FIN'!$A$1:$O$86,15,0)),0,VLOOKUP($T$94,'TAR FIN'!$A$1:$O$86,15,0))</f>
        <v>0</v>
      </c>
      <c r="X94" s="6">
        <f>IF(ISERROR(VLOOKUP($U$94,'TAR FIN'!$A$1:$O$86,15,0)),0,VLOOKUP($U$94,'TAR FIN'!$A$1:$O$86,15,0))</f>
        <v>0</v>
      </c>
      <c r="Y94" s="6">
        <f ca="1">('TUSD BE'!$AM$10+'TUSD BF_350'!$AM$10+'TUSD CVA'!$AM$10)*1</f>
        <v>15.64</v>
      </c>
      <c r="Z94" s="6"/>
      <c r="AA94" s="6"/>
      <c r="AB94" s="6">
        <f>$K$94*$V$94</f>
        <v>211069.3</v>
      </c>
      <c r="AC94" s="6">
        <f>$M$94*$W$94</f>
        <v>0</v>
      </c>
      <c r="AD94" s="6">
        <f>$O$94*$X$94</f>
        <v>0</v>
      </c>
      <c r="AE94" s="6">
        <f ca="1">$K$94*$Y$94</f>
        <v>144153.88</v>
      </c>
      <c r="AF94" s="6">
        <f>$M$94*$Z$94</f>
        <v>0</v>
      </c>
      <c r="AG94" s="6">
        <f>$O$94*$AA$94</f>
        <v>0</v>
      </c>
    </row>
    <row r="95" spans="1:33" ht="11.25" customHeight="1" x14ac:dyDescent="0.25">
      <c r="A95" s="4" t="s">
        <v>28</v>
      </c>
      <c r="B95" s="4" t="s">
        <v>35</v>
      </c>
      <c r="C95" s="4" t="s">
        <v>39</v>
      </c>
      <c r="D95" s="4" t="s">
        <v>40</v>
      </c>
      <c r="E95" s="4" t="s">
        <v>25</v>
      </c>
      <c r="F95" s="4" t="s">
        <v>25</v>
      </c>
      <c r="G95" s="4" t="s">
        <v>25</v>
      </c>
      <c r="H95" s="4" t="s">
        <v>25</v>
      </c>
      <c r="I95" s="5">
        <v>44652</v>
      </c>
      <c r="J95" s="6">
        <v>165</v>
      </c>
      <c r="K95" s="6">
        <v>165</v>
      </c>
      <c r="L95" s="6">
        <v>0</v>
      </c>
      <c r="M95" s="6">
        <v>0</v>
      </c>
      <c r="N95" s="6">
        <v>0</v>
      </c>
      <c r="O95" s="6">
        <v>0</v>
      </c>
      <c r="P95" s="6">
        <v>1</v>
      </c>
      <c r="Q95" s="4" t="s">
        <v>26</v>
      </c>
      <c r="R95" s="4">
        <v>0</v>
      </c>
      <c r="S95" s="6">
        <v>24</v>
      </c>
      <c r="T95" s="6">
        <v>0</v>
      </c>
      <c r="U95" s="6">
        <v>0</v>
      </c>
      <c r="V95" s="6">
        <f>IF(ISERROR(VLOOKUP($S$95,'TAR FIN'!$A$1:$O$86,15,0)),0,VLOOKUP($S$95,'TAR FIN'!$A$1:$O$86,15,0))</f>
        <v>22.9</v>
      </c>
      <c r="W95" s="6">
        <f>IF(ISERROR(VLOOKUP($T$95,'TAR FIN'!$A$1:$O$86,15,0)),0,VLOOKUP($T$95,'TAR FIN'!$A$1:$O$86,15,0))</f>
        <v>0</v>
      </c>
      <c r="X95" s="6">
        <f>IF(ISERROR(VLOOKUP($U$95,'TAR FIN'!$A$1:$O$86,15,0)),0,VLOOKUP($U$95,'TAR FIN'!$A$1:$O$86,15,0))</f>
        <v>0</v>
      </c>
      <c r="Y95" s="6">
        <f ca="1">('TUSD BE'!$AM$10+'TUSD BF_350'!$AM$10+'TUSD CVA'!$AM$10)*1</f>
        <v>15.64</v>
      </c>
      <c r="Z95" s="6"/>
      <c r="AA95" s="6"/>
      <c r="AB95" s="6">
        <f>$K$95*$V$95</f>
        <v>3778.4999999999995</v>
      </c>
      <c r="AC95" s="6">
        <f>$M$95*$W$95</f>
        <v>0</v>
      </c>
      <c r="AD95" s="6">
        <f>$O$95*$X$95</f>
        <v>0</v>
      </c>
      <c r="AE95" s="6">
        <f ca="1">$K$95*$Y$95</f>
        <v>2580.6</v>
      </c>
      <c r="AF95" s="6">
        <f>$M$95*$Z$95</f>
        <v>0</v>
      </c>
      <c r="AG95" s="6">
        <f>$O$95*$AA$95</f>
        <v>0</v>
      </c>
    </row>
    <row r="96" spans="1:33" ht="11.25" customHeight="1" x14ac:dyDescent="0.25">
      <c r="A96" s="4" t="s">
        <v>21</v>
      </c>
      <c r="B96" s="4" t="s">
        <v>35</v>
      </c>
      <c r="C96" s="4" t="s">
        <v>39</v>
      </c>
      <c r="D96" s="4" t="s">
        <v>40</v>
      </c>
      <c r="E96" s="4" t="s">
        <v>25</v>
      </c>
      <c r="F96" s="4" t="s">
        <v>25</v>
      </c>
      <c r="G96" s="4" t="s">
        <v>25</v>
      </c>
      <c r="H96" s="4" t="s">
        <v>25</v>
      </c>
      <c r="I96" s="5">
        <v>44682</v>
      </c>
      <c r="J96" s="6">
        <v>9393</v>
      </c>
      <c r="K96" s="6">
        <v>9393</v>
      </c>
      <c r="L96" s="6">
        <v>0</v>
      </c>
      <c r="M96" s="6">
        <v>0</v>
      </c>
      <c r="N96" s="6">
        <v>0</v>
      </c>
      <c r="O96" s="6">
        <v>0</v>
      </c>
      <c r="P96" s="6">
        <v>37</v>
      </c>
      <c r="Q96" s="4" t="s">
        <v>26</v>
      </c>
      <c r="R96" s="4">
        <v>0</v>
      </c>
      <c r="S96" s="6">
        <v>24</v>
      </c>
      <c r="T96" s="6">
        <v>0</v>
      </c>
      <c r="U96" s="6">
        <v>0</v>
      </c>
      <c r="V96" s="6">
        <f>IF(ISERROR(VLOOKUP($S$96,'TAR FIN'!$A$1:$O$86,15,0)),0,VLOOKUP($S$96,'TAR FIN'!$A$1:$O$86,15,0))</f>
        <v>22.9</v>
      </c>
      <c r="W96" s="6">
        <f>IF(ISERROR(VLOOKUP($T$96,'TAR FIN'!$A$1:$O$86,15,0)),0,VLOOKUP($T$96,'TAR FIN'!$A$1:$O$86,15,0))</f>
        <v>0</v>
      </c>
      <c r="X96" s="6">
        <f>IF(ISERROR(VLOOKUP($U$96,'TAR FIN'!$A$1:$O$86,15,0)),0,VLOOKUP($U$96,'TAR FIN'!$A$1:$O$86,15,0))</f>
        <v>0</v>
      </c>
      <c r="Y96" s="6">
        <f ca="1">('TUSD BE'!$AM$10+'TUSD BF_350'!$AM$10+'TUSD CVA'!$AM$10)*1</f>
        <v>15.64</v>
      </c>
      <c r="Z96" s="6"/>
      <c r="AA96" s="6"/>
      <c r="AB96" s="6">
        <f>$K$96*$V$96</f>
        <v>215099.69999999998</v>
      </c>
      <c r="AC96" s="6">
        <f>$M$96*$W$96</f>
        <v>0</v>
      </c>
      <c r="AD96" s="6">
        <f>$O$96*$X$96</f>
        <v>0</v>
      </c>
      <c r="AE96" s="6">
        <f ca="1">$K$96*$Y$96</f>
        <v>146906.52000000002</v>
      </c>
      <c r="AF96" s="6">
        <f>$M$96*$Z$96</f>
        <v>0</v>
      </c>
      <c r="AG96" s="6">
        <f>$O$96*$AA$96</f>
        <v>0</v>
      </c>
    </row>
    <row r="97" spans="1:33" ht="11.25" customHeight="1" x14ac:dyDescent="0.25">
      <c r="A97" s="4" t="s">
        <v>28</v>
      </c>
      <c r="B97" s="4" t="s">
        <v>35</v>
      </c>
      <c r="C97" s="4" t="s">
        <v>39</v>
      </c>
      <c r="D97" s="4" t="s">
        <v>40</v>
      </c>
      <c r="E97" s="4" t="s">
        <v>25</v>
      </c>
      <c r="F97" s="4" t="s">
        <v>25</v>
      </c>
      <c r="G97" s="4" t="s">
        <v>25</v>
      </c>
      <c r="H97" s="4" t="s">
        <v>25</v>
      </c>
      <c r="I97" s="5">
        <v>44682</v>
      </c>
      <c r="J97" s="6">
        <v>165</v>
      </c>
      <c r="K97" s="6">
        <v>165</v>
      </c>
      <c r="L97" s="6">
        <v>0</v>
      </c>
      <c r="M97" s="6">
        <v>0</v>
      </c>
      <c r="N97" s="6">
        <v>0</v>
      </c>
      <c r="O97" s="6">
        <v>0</v>
      </c>
      <c r="P97" s="6">
        <v>1</v>
      </c>
      <c r="Q97" s="4" t="s">
        <v>26</v>
      </c>
      <c r="R97" s="4">
        <v>0</v>
      </c>
      <c r="S97" s="6">
        <v>24</v>
      </c>
      <c r="T97" s="6">
        <v>0</v>
      </c>
      <c r="U97" s="6">
        <v>0</v>
      </c>
      <c r="V97" s="6">
        <f>IF(ISERROR(VLOOKUP($S$97,'TAR FIN'!$A$1:$O$86,15,0)),0,VLOOKUP($S$97,'TAR FIN'!$A$1:$O$86,15,0))</f>
        <v>22.9</v>
      </c>
      <c r="W97" s="6">
        <f>IF(ISERROR(VLOOKUP($T$97,'TAR FIN'!$A$1:$O$86,15,0)),0,VLOOKUP($T$97,'TAR FIN'!$A$1:$O$86,15,0))</f>
        <v>0</v>
      </c>
      <c r="X97" s="6">
        <f>IF(ISERROR(VLOOKUP($U$97,'TAR FIN'!$A$1:$O$86,15,0)),0,VLOOKUP($U$97,'TAR FIN'!$A$1:$O$86,15,0))</f>
        <v>0</v>
      </c>
      <c r="Y97" s="6">
        <f ca="1">('TUSD BE'!$AM$10+'TUSD BF_350'!$AM$10+'TUSD CVA'!$AM$10)*1</f>
        <v>15.64</v>
      </c>
      <c r="Z97" s="6"/>
      <c r="AA97" s="6"/>
      <c r="AB97" s="6">
        <f>$K$97*$V$97</f>
        <v>3778.4999999999995</v>
      </c>
      <c r="AC97" s="6">
        <f>$M$97*$W$97</f>
        <v>0</v>
      </c>
      <c r="AD97" s="6">
        <f>$O$97*$X$97</f>
        <v>0</v>
      </c>
      <c r="AE97" s="6">
        <f ca="1">$K$97*$Y$97</f>
        <v>2580.6</v>
      </c>
      <c r="AF97" s="6">
        <f>$M$97*$Z$97</f>
        <v>0</v>
      </c>
      <c r="AG97" s="6">
        <f>$O$97*$AA$97</f>
        <v>0</v>
      </c>
    </row>
    <row r="98" spans="1:33" ht="11.25" customHeight="1" x14ac:dyDescent="0.25">
      <c r="A98" s="4" t="s">
        <v>21</v>
      </c>
      <c r="B98" s="4" t="s">
        <v>35</v>
      </c>
      <c r="C98" s="4" t="s">
        <v>39</v>
      </c>
      <c r="D98" s="4" t="s">
        <v>40</v>
      </c>
      <c r="E98" s="4" t="s">
        <v>25</v>
      </c>
      <c r="F98" s="4" t="s">
        <v>25</v>
      </c>
      <c r="G98" s="4" t="s">
        <v>25</v>
      </c>
      <c r="H98" s="4" t="s">
        <v>25</v>
      </c>
      <c r="I98" s="5">
        <v>44713</v>
      </c>
      <c r="J98" s="6">
        <v>9408</v>
      </c>
      <c r="K98" s="6">
        <v>9408</v>
      </c>
      <c r="L98" s="6">
        <v>0</v>
      </c>
      <c r="M98" s="6">
        <v>0</v>
      </c>
      <c r="N98" s="6">
        <v>0</v>
      </c>
      <c r="O98" s="6">
        <v>0</v>
      </c>
      <c r="P98" s="6">
        <v>37</v>
      </c>
      <c r="Q98" s="4" t="s">
        <v>26</v>
      </c>
      <c r="R98" s="4">
        <v>0</v>
      </c>
      <c r="S98" s="6">
        <v>24</v>
      </c>
      <c r="T98" s="6">
        <v>0</v>
      </c>
      <c r="U98" s="6">
        <v>0</v>
      </c>
      <c r="V98" s="6">
        <f>IF(ISERROR(VLOOKUP($S$98,'TAR FIN'!$A$1:$O$86,15,0)),0,VLOOKUP($S$98,'TAR FIN'!$A$1:$O$86,15,0))</f>
        <v>22.9</v>
      </c>
      <c r="W98" s="6">
        <f>IF(ISERROR(VLOOKUP($T$98,'TAR FIN'!$A$1:$O$86,15,0)),0,VLOOKUP($T$98,'TAR FIN'!$A$1:$O$86,15,0))</f>
        <v>0</v>
      </c>
      <c r="X98" s="6">
        <f>IF(ISERROR(VLOOKUP($U$98,'TAR FIN'!$A$1:$O$86,15,0)),0,VLOOKUP($U$98,'TAR FIN'!$A$1:$O$86,15,0))</f>
        <v>0</v>
      </c>
      <c r="Y98" s="6">
        <f ca="1">('TUSD BE'!$AM$10+'TUSD BF_350'!$AM$10+'TUSD CVA'!$AM$10)*1</f>
        <v>15.64</v>
      </c>
      <c r="Z98" s="6"/>
      <c r="AA98" s="6"/>
      <c r="AB98" s="6">
        <f>$K$98*$V$98</f>
        <v>215443.19999999998</v>
      </c>
      <c r="AC98" s="6">
        <f>$M$98*$W$98</f>
        <v>0</v>
      </c>
      <c r="AD98" s="6">
        <f>$O$98*$X$98</f>
        <v>0</v>
      </c>
      <c r="AE98" s="6">
        <f ca="1">$K$98*$Y$98</f>
        <v>147141.12</v>
      </c>
      <c r="AF98" s="6">
        <f>$M$98*$Z$98</f>
        <v>0</v>
      </c>
      <c r="AG98" s="6">
        <f>$O$98*$AA$98</f>
        <v>0</v>
      </c>
    </row>
    <row r="99" spans="1:33" ht="11.25" customHeight="1" x14ac:dyDescent="0.25">
      <c r="A99" s="4" t="s">
        <v>28</v>
      </c>
      <c r="B99" s="4" t="s">
        <v>35</v>
      </c>
      <c r="C99" s="4" t="s">
        <v>39</v>
      </c>
      <c r="D99" s="4" t="s">
        <v>40</v>
      </c>
      <c r="E99" s="4" t="s">
        <v>25</v>
      </c>
      <c r="F99" s="4" t="s">
        <v>25</v>
      </c>
      <c r="G99" s="4" t="s">
        <v>25</v>
      </c>
      <c r="H99" s="4" t="s">
        <v>25</v>
      </c>
      <c r="I99" s="5">
        <v>44713</v>
      </c>
      <c r="J99" s="6">
        <v>165</v>
      </c>
      <c r="K99" s="6">
        <v>165</v>
      </c>
      <c r="L99" s="6">
        <v>0</v>
      </c>
      <c r="M99" s="6">
        <v>0</v>
      </c>
      <c r="N99" s="6">
        <v>0</v>
      </c>
      <c r="O99" s="6">
        <v>0</v>
      </c>
      <c r="P99" s="6">
        <v>1</v>
      </c>
      <c r="Q99" s="4" t="s">
        <v>26</v>
      </c>
      <c r="R99" s="4">
        <v>0</v>
      </c>
      <c r="S99" s="6">
        <v>24</v>
      </c>
      <c r="T99" s="6">
        <v>0</v>
      </c>
      <c r="U99" s="6">
        <v>0</v>
      </c>
      <c r="V99" s="6">
        <f>IF(ISERROR(VLOOKUP($S$99,'TAR FIN'!$A$1:$O$86,15,0)),0,VLOOKUP($S$99,'TAR FIN'!$A$1:$O$86,15,0))</f>
        <v>22.9</v>
      </c>
      <c r="W99" s="6">
        <f>IF(ISERROR(VLOOKUP($T$99,'TAR FIN'!$A$1:$O$86,15,0)),0,VLOOKUP($T$99,'TAR FIN'!$A$1:$O$86,15,0))</f>
        <v>0</v>
      </c>
      <c r="X99" s="6">
        <f>IF(ISERROR(VLOOKUP($U$99,'TAR FIN'!$A$1:$O$86,15,0)),0,VLOOKUP($U$99,'TAR FIN'!$A$1:$O$86,15,0))</f>
        <v>0</v>
      </c>
      <c r="Y99" s="6">
        <f ca="1">('TUSD BE'!$AM$10+'TUSD BF_350'!$AM$10+'TUSD CVA'!$AM$10)*1</f>
        <v>15.64</v>
      </c>
      <c r="Z99" s="6"/>
      <c r="AA99" s="6"/>
      <c r="AB99" s="6">
        <f>$K$99*$V$99</f>
        <v>3778.4999999999995</v>
      </c>
      <c r="AC99" s="6">
        <f>$M$99*$W$99</f>
        <v>0</v>
      </c>
      <c r="AD99" s="6">
        <f>$O$99*$X$99</f>
        <v>0</v>
      </c>
      <c r="AE99" s="6">
        <f ca="1">$K$99*$Y$99</f>
        <v>2580.6</v>
      </c>
      <c r="AF99" s="6">
        <f>$M$99*$Z$99</f>
        <v>0</v>
      </c>
      <c r="AG99" s="6">
        <f>$O$99*$AA$99</f>
        <v>0</v>
      </c>
    </row>
    <row r="100" spans="1:33" ht="11.25" customHeight="1" x14ac:dyDescent="0.25">
      <c r="A100" s="4" t="s">
        <v>55</v>
      </c>
      <c r="B100" s="4" t="s">
        <v>35</v>
      </c>
      <c r="C100" s="4" t="s">
        <v>39</v>
      </c>
      <c r="D100" s="4" t="s">
        <v>40</v>
      </c>
      <c r="E100" s="4" t="s">
        <v>25</v>
      </c>
      <c r="F100" s="4" t="s">
        <v>25</v>
      </c>
      <c r="G100" s="4" t="s">
        <v>25</v>
      </c>
      <c r="H100" s="4" t="s">
        <v>25</v>
      </c>
      <c r="I100" s="5">
        <v>44743</v>
      </c>
      <c r="J100" s="6">
        <v>9408</v>
      </c>
      <c r="K100" s="6">
        <v>9408</v>
      </c>
      <c r="L100" s="6">
        <v>0</v>
      </c>
      <c r="M100" s="6">
        <v>0</v>
      </c>
      <c r="N100" s="6">
        <v>0</v>
      </c>
      <c r="O100" s="6">
        <v>0</v>
      </c>
      <c r="P100" s="6">
        <v>37</v>
      </c>
      <c r="Q100" s="4" t="s">
        <v>26</v>
      </c>
      <c r="R100" s="4">
        <v>0</v>
      </c>
      <c r="S100" s="6">
        <v>24</v>
      </c>
      <c r="T100" s="6">
        <v>0</v>
      </c>
      <c r="U100" s="6">
        <v>0</v>
      </c>
      <c r="V100" s="6">
        <f>IF(ISERROR(VLOOKUP($S$100,'TAR FIN'!$A$1:$O$86,15,0)),0,VLOOKUP($S$100,'TAR FIN'!$A$1:$O$86,15,0))</f>
        <v>22.9</v>
      </c>
      <c r="W100" s="6">
        <f>IF(ISERROR(VLOOKUP($T$100,'TAR FIN'!$A$1:$O$86,15,0)),0,VLOOKUP($T$100,'TAR FIN'!$A$1:$O$86,15,0))</f>
        <v>0</v>
      </c>
      <c r="X100" s="6">
        <f>IF(ISERROR(VLOOKUP($U$100,'TAR FIN'!$A$1:$O$86,15,0)),0,VLOOKUP($U$100,'TAR FIN'!$A$1:$O$86,15,0))</f>
        <v>0</v>
      </c>
      <c r="Y100" s="6">
        <f ca="1">('TUSD BE'!$AM$10+'TUSD BF_350'!$AM$10+'TUSD CVA'!$AM$10)*1</f>
        <v>15.64</v>
      </c>
      <c r="Z100" s="6"/>
      <c r="AA100" s="6"/>
      <c r="AB100" s="6">
        <f>$K$100*$V$100</f>
        <v>215443.19999999998</v>
      </c>
      <c r="AC100" s="6">
        <f>$M$100*$W$100</f>
        <v>0</v>
      </c>
      <c r="AD100" s="6">
        <f>$O$100*$X$100</f>
        <v>0</v>
      </c>
      <c r="AE100" s="6">
        <f ca="1">$K$100*$Y$100</f>
        <v>147141.12</v>
      </c>
      <c r="AF100" s="6">
        <f>$M$100*$Z$100</f>
        <v>0</v>
      </c>
      <c r="AG100" s="6">
        <f>$O$100*$AA$100</f>
        <v>0</v>
      </c>
    </row>
    <row r="101" spans="1:33" ht="11.25" customHeight="1" x14ac:dyDescent="0.25">
      <c r="A101" s="4" t="s">
        <v>55</v>
      </c>
      <c r="B101" s="4" t="s">
        <v>35</v>
      </c>
      <c r="C101" s="4" t="s">
        <v>39</v>
      </c>
      <c r="D101" s="4" t="s">
        <v>40</v>
      </c>
      <c r="E101" s="4" t="s">
        <v>25</v>
      </c>
      <c r="F101" s="4" t="s">
        <v>25</v>
      </c>
      <c r="G101" s="4" t="s">
        <v>25</v>
      </c>
      <c r="H101" s="4" t="s">
        <v>25</v>
      </c>
      <c r="I101" s="5">
        <v>44743</v>
      </c>
      <c r="J101" s="6">
        <v>165</v>
      </c>
      <c r="K101" s="6">
        <v>165</v>
      </c>
      <c r="L101" s="6">
        <v>0</v>
      </c>
      <c r="M101" s="6">
        <v>0</v>
      </c>
      <c r="N101" s="6">
        <v>0</v>
      </c>
      <c r="O101" s="6">
        <v>0</v>
      </c>
      <c r="P101" s="6">
        <v>1</v>
      </c>
      <c r="Q101" s="4" t="s">
        <v>26</v>
      </c>
      <c r="R101" s="4">
        <v>0</v>
      </c>
      <c r="S101" s="6">
        <v>24</v>
      </c>
      <c r="T101" s="6">
        <v>0</v>
      </c>
      <c r="U101" s="6">
        <v>0</v>
      </c>
      <c r="V101" s="6">
        <f>IF(ISERROR(VLOOKUP($S$101,'TAR FIN'!$A$1:$O$86,15,0)),0,VLOOKUP($S$101,'TAR FIN'!$A$1:$O$86,15,0))</f>
        <v>22.9</v>
      </c>
      <c r="W101" s="6">
        <f>IF(ISERROR(VLOOKUP($T$101,'TAR FIN'!$A$1:$O$86,15,0)),0,VLOOKUP($T$101,'TAR FIN'!$A$1:$O$86,15,0))</f>
        <v>0</v>
      </c>
      <c r="X101" s="6">
        <f>IF(ISERROR(VLOOKUP($U$101,'TAR FIN'!$A$1:$O$86,15,0)),0,VLOOKUP($U$101,'TAR FIN'!$A$1:$O$86,15,0))</f>
        <v>0</v>
      </c>
      <c r="Y101" s="6">
        <f ca="1">('TUSD BE'!$AM$10+'TUSD BF_350'!$AM$10+'TUSD CVA'!$AM$10)*1</f>
        <v>15.64</v>
      </c>
      <c r="Z101" s="6"/>
      <c r="AA101" s="6"/>
      <c r="AB101" s="6">
        <f>$K$101*$V$101</f>
        <v>3778.4999999999995</v>
      </c>
      <c r="AC101" s="6">
        <f>$M$101*$W$101</f>
        <v>0</v>
      </c>
      <c r="AD101" s="6">
        <f>$O$101*$X$101</f>
        <v>0</v>
      </c>
      <c r="AE101" s="6">
        <f ca="1">$K$101*$Y$101</f>
        <v>2580.6</v>
      </c>
      <c r="AF101" s="6">
        <f>$M$101*$Z$101</f>
        <v>0</v>
      </c>
      <c r="AG101" s="6">
        <f>$O$101*$AA$101</f>
        <v>0</v>
      </c>
    </row>
    <row r="102" spans="1:33" ht="11.25" customHeight="1" x14ac:dyDescent="0.25">
      <c r="A102" s="4" t="s">
        <v>21</v>
      </c>
      <c r="B102" s="4" t="s">
        <v>35</v>
      </c>
      <c r="C102" s="4" t="s">
        <v>39</v>
      </c>
      <c r="D102" s="4" t="s">
        <v>40</v>
      </c>
      <c r="E102" s="4" t="s">
        <v>25</v>
      </c>
      <c r="F102" s="4" t="s">
        <v>25</v>
      </c>
      <c r="G102" s="4" t="s">
        <v>25</v>
      </c>
      <c r="H102" s="4" t="s">
        <v>37</v>
      </c>
      <c r="I102" s="5">
        <v>44409</v>
      </c>
      <c r="J102" s="6">
        <v>0</v>
      </c>
      <c r="K102" s="6">
        <v>0</v>
      </c>
      <c r="L102" s="6">
        <v>111.113</v>
      </c>
      <c r="M102" s="6">
        <v>111.113</v>
      </c>
      <c r="N102" s="6">
        <v>111.113</v>
      </c>
      <c r="O102" s="6">
        <v>111.113</v>
      </c>
      <c r="P102" s="6">
        <v>0</v>
      </c>
      <c r="Q102" s="4" t="s">
        <v>26</v>
      </c>
      <c r="R102" s="4">
        <v>0</v>
      </c>
      <c r="S102" s="6">
        <v>0</v>
      </c>
      <c r="T102" s="6">
        <v>5</v>
      </c>
      <c r="U102" s="6">
        <v>69</v>
      </c>
      <c r="V102" s="6">
        <f>IF(ISERROR(VLOOKUP($S$102,'TAR FIN'!$A$1:$O$86,15,0)),0,VLOOKUP($S$102,'TAR FIN'!$A$1:$O$86,15,0))</f>
        <v>0</v>
      </c>
      <c r="W102" s="6">
        <f>IF(ISERROR(VLOOKUP($T$102,'TAR FIN'!$A$1:$O$86,15,0)),0,VLOOKUP($T$102,'TAR FIN'!$A$1:$O$86,15,0))</f>
        <v>1518.97</v>
      </c>
      <c r="X102" s="6">
        <f>IF(ISERROR(VLOOKUP($U$102,'TAR FIN'!$A$1:$O$86,15,0)),0,VLOOKUP($U$102,'TAR FIN'!$A$1:$O$86,15,0))</f>
        <v>359.33</v>
      </c>
      <c r="Y102" s="6"/>
      <c r="Z102" s="6">
        <f ca="1">('TUSD BE'!$AM$11+'TUSD BF_350'!$AM$11+'TUSD CVA'!$AM$11)*1</f>
        <v>911.83999999999992</v>
      </c>
      <c r="AA102" s="6">
        <f ca="1">('TE BE'!$AB$5+'TE BF_350'!$AB$5+'TE CVA'!$AB$5)*1</f>
        <v>362.73600214515886</v>
      </c>
      <c r="AB102" s="6">
        <f>$K$102*$V$102</f>
        <v>0</v>
      </c>
      <c r="AC102" s="6">
        <f>$M$102*$W$102</f>
        <v>168777.31361000001</v>
      </c>
      <c r="AD102" s="6">
        <f>$O$102*$X$102</f>
        <v>39926.23429</v>
      </c>
      <c r="AE102" s="6">
        <f>$K$102*$Y$102</f>
        <v>0</v>
      </c>
      <c r="AF102" s="6">
        <f ca="1">$M$102*$Z$102</f>
        <v>101317.27791999999</v>
      </c>
      <c r="AG102" s="6">
        <f ca="1">$O$102*$AA$102</f>
        <v>40304.685406355035</v>
      </c>
    </row>
    <row r="103" spans="1:33" ht="11.25" customHeight="1" x14ac:dyDescent="0.25">
      <c r="A103" s="4" t="s">
        <v>21</v>
      </c>
      <c r="B103" s="4" t="s">
        <v>35</v>
      </c>
      <c r="C103" s="4" t="s">
        <v>39</v>
      </c>
      <c r="D103" s="4" t="s">
        <v>40</v>
      </c>
      <c r="E103" s="4" t="s">
        <v>25</v>
      </c>
      <c r="F103" s="4" t="s">
        <v>25</v>
      </c>
      <c r="G103" s="4" t="s">
        <v>25</v>
      </c>
      <c r="H103" s="4" t="s">
        <v>37</v>
      </c>
      <c r="I103" s="5">
        <v>44440</v>
      </c>
      <c r="J103" s="6">
        <v>0</v>
      </c>
      <c r="K103" s="6">
        <v>0</v>
      </c>
      <c r="L103" s="6">
        <v>138.255</v>
      </c>
      <c r="M103" s="6">
        <v>138.255</v>
      </c>
      <c r="N103" s="6">
        <v>138.255</v>
      </c>
      <c r="O103" s="6">
        <v>138.255</v>
      </c>
      <c r="P103" s="6">
        <v>0</v>
      </c>
      <c r="Q103" s="4" t="s">
        <v>26</v>
      </c>
      <c r="R103" s="4">
        <v>0</v>
      </c>
      <c r="S103" s="6">
        <v>0</v>
      </c>
      <c r="T103" s="6">
        <v>5</v>
      </c>
      <c r="U103" s="6">
        <v>69</v>
      </c>
      <c r="V103" s="6">
        <f>IF(ISERROR(VLOOKUP($S$103,'TAR FIN'!$A$1:$O$86,15,0)),0,VLOOKUP($S$103,'TAR FIN'!$A$1:$O$86,15,0))</f>
        <v>0</v>
      </c>
      <c r="W103" s="6">
        <f>IF(ISERROR(VLOOKUP($T$103,'TAR FIN'!$A$1:$O$86,15,0)),0,VLOOKUP($T$103,'TAR FIN'!$A$1:$O$86,15,0))</f>
        <v>1518.97</v>
      </c>
      <c r="X103" s="6">
        <f>IF(ISERROR(VLOOKUP($U$103,'TAR FIN'!$A$1:$O$86,15,0)),0,VLOOKUP($U$103,'TAR FIN'!$A$1:$O$86,15,0))</f>
        <v>359.33</v>
      </c>
      <c r="Y103" s="6"/>
      <c r="Z103" s="6">
        <f ca="1">('TUSD BE'!$AM$11+'TUSD BF_350'!$AM$11+'TUSD CVA'!$AM$11)*1</f>
        <v>911.83999999999992</v>
      </c>
      <c r="AA103" s="6">
        <f ca="1">('TE BE'!$AB$5+'TE BF_350'!$AB$5+'TE CVA'!$AB$5)*1</f>
        <v>362.73600214515886</v>
      </c>
      <c r="AB103" s="6">
        <f>$K$103*$V$103</f>
        <v>0</v>
      </c>
      <c r="AC103" s="6">
        <f>$M$103*$W$103</f>
        <v>210005.19735</v>
      </c>
      <c r="AD103" s="6">
        <f>$O$103*$X$103</f>
        <v>49679.169149999994</v>
      </c>
      <c r="AE103" s="6">
        <f>$K$103*$Y$103</f>
        <v>0</v>
      </c>
      <c r="AF103" s="6">
        <f ca="1">$M$103*$Z$103</f>
        <v>126066.43919999998</v>
      </c>
      <c r="AG103" s="6">
        <f ca="1">$O$103*$AA$103</f>
        <v>50150.065976578939</v>
      </c>
    </row>
    <row r="104" spans="1:33" ht="11.25" customHeight="1" x14ac:dyDescent="0.25">
      <c r="A104" s="4" t="s">
        <v>21</v>
      </c>
      <c r="B104" s="4" t="s">
        <v>35</v>
      </c>
      <c r="C104" s="4" t="s">
        <v>39</v>
      </c>
      <c r="D104" s="4" t="s">
        <v>40</v>
      </c>
      <c r="E104" s="4" t="s">
        <v>25</v>
      </c>
      <c r="F104" s="4" t="s">
        <v>25</v>
      </c>
      <c r="G104" s="4" t="s">
        <v>25</v>
      </c>
      <c r="H104" s="4" t="s">
        <v>37</v>
      </c>
      <c r="I104" s="5">
        <v>44470</v>
      </c>
      <c r="J104" s="6">
        <v>0</v>
      </c>
      <c r="K104" s="6">
        <v>0</v>
      </c>
      <c r="L104" s="6">
        <v>136.34299999999999</v>
      </c>
      <c r="M104" s="6">
        <v>136.34299999999999</v>
      </c>
      <c r="N104" s="6">
        <v>136.34299999999999</v>
      </c>
      <c r="O104" s="6">
        <v>136.34299999999999</v>
      </c>
      <c r="P104" s="6">
        <v>0</v>
      </c>
      <c r="Q104" s="4" t="s">
        <v>26</v>
      </c>
      <c r="R104" s="4">
        <v>0</v>
      </c>
      <c r="S104" s="6">
        <v>0</v>
      </c>
      <c r="T104" s="6">
        <v>5</v>
      </c>
      <c r="U104" s="6">
        <v>69</v>
      </c>
      <c r="V104" s="6">
        <f>IF(ISERROR(VLOOKUP($S$104,'TAR FIN'!$A$1:$O$86,15,0)),0,VLOOKUP($S$104,'TAR FIN'!$A$1:$O$86,15,0))</f>
        <v>0</v>
      </c>
      <c r="W104" s="6">
        <f>IF(ISERROR(VLOOKUP($T$104,'TAR FIN'!$A$1:$O$86,15,0)),0,VLOOKUP($T$104,'TAR FIN'!$A$1:$O$86,15,0))</f>
        <v>1518.97</v>
      </c>
      <c r="X104" s="6">
        <f>IF(ISERROR(VLOOKUP($U$104,'TAR FIN'!$A$1:$O$86,15,0)),0,VLOOKUP($U$104,'TAR FIN'!$A$1:$O$86,15,0))</f>
        <v>359.33</v>
      </c>
      <c r="Y104" s="6"/>
      <c r="Z104" s="6">
        <f ca="1">('TUSD BE'!$AM$11+'TUSD BF_350'!$AM$11+'TUSD CVA'!$AM$11)*1</f>
        <v>911.83999999999992</v>
      </c>
      <c r="AA104" s="6">
        <f ca="1">('TE BE'!$AB$5+'TE BF_350'!$AB$5+'TE CVA'!$AB$5)*1</f>
        <v>362.73600214515886</v>
      </c>
      <c r="AB104" s="6">
        <f>$K$104*$V$104</f>
        <v>0</v>
      </c>
      <c r="AC104" s="6">
        <f>$M$104*$W$104</f>
        <v>207100.92671</v>
      </c>
      <c r="AD104" s="6">
        <f>$O$104*$X$104</f>
        <v>48992.130189999996</v>
      </c>
      <c r="AE104" s="6">
        <f>$K$104*$Y$104</f>
        <v>0</v>
      </c>
      <c r="AF104" s="6">
        <f ca="1">$M$104*$Z$104</f>
        <v>124323.00111999999</v>
      </c>
      <c r="AG104" s="6">
        <f ca="1">$O$104*$AA$104</f>
        <v>49456.514740477389</v>
      </c>
    </row>
    <row r="105" spans="1:33" ht="11.25" customHeight="1" x14ac:dyDescent="0.25">
      <c r="A105" s="4" t="s">
        <v>21</v>
      </c>
      <c r="B105" s="4" t="s">
        <v>35</v>
      </c>
      <c r="C105" s="4" t="s">
        <v>39</v>
      </c>
      <c r="D105" s="4" t="s">
        <v>40</v>
      </c>
      <c r="E105" s="4" t="s">
        <v>25</v>
      </c>
      <c r="F105" s="4" t="s">
        <v>25</v>
      </c>
      <c r="G105" s="4" t="s">
        <v>25</v>
      </c>
      <c r="H105" s="4" t="s">
        <v>37</v>
      </c>
      <c r="I105" s="5">
        <v>44501</v>
      </c>
      <c r="J105" s="6">
        <v>0</v>
      </c>
      <c r="K105" s="6">
        <v>0</v>
      </c>
      <c r="L105" s="6">
        <v>167.01400000000001</v>
      </c>
      <c r="M105" s="6">
        <v>167.01400000000001</v>
      </c>
      <c r="N105" s="6">
        <v>167.01400000000001</v>
      </c>
      <c r="O105" s="6">
        <v>167.01400000000001</v>
      </c>
      <c r="P105" s="6">
        <v>0</v>
      </c>
      <c r="Q105" s="4" t="s">
        <v>26</v>
      </c>
      <c r="R105" s="4">
        <v>0</v>
      </c>
      <c r="S105" s="6">
        <v>0</v>
      </c>
      <c r="T105" s="6">
        <v>5</v>
      </c>
      <c r="U105" s="6">
        <v>69</v>
      </c>
      <c r="V105" s="6">
        <f>IF(ISERROR(VLOOKUP($S$105,'TAR FIN'!$A$1:$O$86,15,0)),0,VLOOKUP($S$105,'TAR FIN'!$A$1:$O$86,15,0))</f>
        <v>0</v>
      </c>
      <c r="W105" s="6">
        <f>IF(ISERROR(VLOOKUP($T$105,'TAR FIN'!$A$1:$O$86,15,0)),0,VLOOKUP($T$105,'TAR FIN'!$A$1:$O$86,15,0))</f>
        <v>1518.97</v>
      </c>
      <c r="X105" s="6">
        <f>IF(ISERROR(VLOOKUP($U$105,'TAR FIN'!$A$1:$O$86,15,0)),0,VLOOKUP($U$105,'TAR FIN'!$A$1:$O$86,15,0))</f>
        <v>359.33</v>
      </c>
      <c r="Y105" s="6"/>
      <c r="Z105" s="6">
        <f ca="1">('TUSD BE'!$AM$11+'TUSD BF_350'!$AM$11+'TUSD CVA'!$AM$11)*1</f>
        <v>911.83999999999992</v>
      </c>
      <c r="AA105" s="6">
        <f ca="1">('TE BE'!$AB$5+'TE BF_350'!$AB$5+'TE CVA'!$AB$5)*1</f>
        <v>362.73600214515886</v>
      </c>
      <c r="AB105" s="6">
        <f>$K$105*$V$105</f>
        <v>0</v>
      </c>
      <c r="AC105" s="6">
        <f>$M$105*$W$105</f>
        <v>253689.25558000003</v>
      </c>
      <c r="AD105" s="6">
        <f>$O$105*$X$105</f>
        <v>60013.140619999998</v>
      </c>
      <c r="AE105" s="6">
        <f>$K$105*$Y$105</f>
        <v>0</v>
      </c>
      <c r="AF105" s="6">
        <f ca="1">$M$105*$Z$105</f>
        <v>152290.04576000001</v>
      </c>
      <c r="AG105" s="6">
        <f ca="1">$O$105*$AA$105</f>
        <v>60581.990662271564</v>
      </c>
    </row>
    <row r="106" spans="1:33" ht="11.25" customHeight="1" x14ac:dyDescent="0.25">
      <c r="A106" s="4" t="s">
        <v>21</v>
      </c>
      <c r="B106" s="4" t="s">
        <v>35</v>
      </c>
      <c r="C106" s="4" t="s">
        <v>39</v>
      </c>
      <c r="D106" s="4" t="s">
        <v>40</v>
      </c>
      <c r="E106" s="4" t="s">
        <v>25</v>
      </c>
      <c r="F106" s="4" t="s">
        <v>25</v>
      </c>
      <c r="G106" s="4" t="s">
        <v>25</v>
      </c>
      <c r="H106" s="4" t="s">
        <v>37</v>
      </c>
      <c r="I106" s="5">
        <v>44531</v>
      </c>
      <c r="J106" s="6">
        <v>0</v>
      </c>
      <c r="K106" s="6">
        <v>0</v>
      </c>
      <c r="L106" s="6">
        <v>215.89500000000001</v>
      </c>
      <c r="M106" s="6">
        <v>215.89500000000001</v>
      </c>
      <c r="N106" s="6">
        <v>215.89500000000001</v>
      </c>
      <c r="O106" s="6">
        <v>215.89500000000001</v>
      </c>
      <c r="P106" s="6">
        <v>0</v>
      </c>
      <c r="Q106" s="4" t="s">
        <v>26</v>
      </c>
      <c r="R106" s="4">
        <v>0</v>
      </c>
      <c r="S106" s="6">
        <v>0</v>
      </c>
      <c r="T106" s="6">
        <v>5</v>
      </c>
      <c r="U106" s="6">
        <v>69</v>
      </c>
      <c r="V106" s="6">
        <f>IF(ISERROR(VLOOKUP($S$106,'TAR FIN'!$A$1:$O$86,15,0)),0,VLOOKUP($S$106,'TAR FIN'!$A$1:$O$86,15,0))</f>
        <v>0</v>
      </c>
      <c r="W106" s="6">
        <f>IF(ISERROR(VLOOKUP($T$106,'TAR FIN'!$A$1:$O$86,15,0)),0,VLOOKUP($T$106,'TAR FIN'!$A$1:$O$86,15,0))</f>
        <v>1518.97</v>
      </c>
      <c r="X106" s="6">
        <f>IF(ISERROR(VLOOKUP($U$106,'TAR FIN'!$A$1:$O$86,15,0)),0,VLOOKUP($U$106,'TAR FIN'!$A$1:$O$86,15,0))</f>
        <v>359.33</v>
      </c>
      <c r="Y106" s="6"/>
      <c r="Z106" s="6">
        <f ca="1">('TUSD BE'!$AM$11+'TUSD BF_350'!$AM$11+'TUSD CVA'!$AM$11)*1</f>
        <v>911.83999999999992</v>
      </c>
      <c r="AA106" s="6">
        <f ca="1">('TE BE'!$AB$5+'TE BF_350'!$AB$5+'TE CVA'!$AB$5)*1</f>
        <v>362.73600214515886</v>
      </c>
      <c r="AB106" s="6">
        <f>$K$106*$V$106</f>
        <v>0</v>
      </c>
      <c r="AC106" s="6">
        <f>$M$106*$W$106</f>
        <v>327938.02815000003</v>
      </c>
      <c r="AD106" s="6">
        <f>$O$106*$X$106</f>
        <v>77577.550350000005</v>
      </c>
      <c r="AE106" s="6">
        <f>$K$106*$Y$106</f>
        <v>0</v>
      </c>
      <c r="AF106" s="6">
        <f ca="1">$M$106*$Z$106</f>
        <v>196861.69680000001</v>
      </c>
      <c r="AG106" s="6">
        <f ca="1">$O$106*$AA$106</f>
        <v>78312.889183129082</v>
      </c>
    </row>
    <row r="107" spans="1:33" ht="11.25" customHeight="1" x14ac:dyDescent="0.25">
      <c r="A107" s="4" t="s">
        <v>28</v>
      </c>
      <c r="B107" s="4" t="s">
        <v>35</v>
      </c>
      <c r="C107" s="4" t="s">
        <v>39</v>
      </c>
      <c r="D107" s="4" t="s">
        <v>40</v>
      </c>
      <c r="E107" s="4" t="s">
        <v>25</v>
      </c>
      <c r="F107" s="4" t="s">
        <v>25</v>
      </c>
      <c r="G107" s="4" t="s">
        <v>25</v>
      </c>
      <c r="H107" s="4" t="s">
        <v>37</v>
      </c>
      <c r="I107" s="5">
        <v>44531</v>
      </c>
      <c r="J107" s="6">
        <v>0</v>
      </c>
      <c r="K107" s="6">
        <v>0</v>
      </c>
      <c r="L107" s="6">
        <v>4.7279999999999998</v>
      </c>
      <c r="M107" s="6">
        <v>4.7279999999999998</v>
      </c>
      <c r="N107" s="6">
        <v>4.7279999999999998</v>
      </c>
      <c r="O107" s="6">
        <v>4.7279999999999998</v>
      </c>
      <c r="P107" s="6">
        <v>0</v>
      </c>
      <c r="Q107" s="4" t="s">
        <v>26</v>
      </c>
      <c r="R107" s="4">
        <v>0</v>
      </c>
      <c r="S107" s="6">
        <v>0</v>
      </c>
      <c r="T107" s="6">
        <v>5</v>
      </c>
      <c r="U107" s="6">
        <v>69</v>
      </c>
      <c r="V107" s="6">
        <f>IF(ISERROR(VLOOKUP($S$107,'TAR FIN'!$A$1:$O$86,15,0)),0,VLOOKUP($S$107,'TAR FIN'!$A$1:$O$86,15,0))</f>
        <v>0</v>
      </c>
      <c r="W107" s="6">
        <f>IF(ISERROR(VLOOKUP($T$107,'TAR FIN'!$A$1:$O$86,15,0)),0,VLOOKUP($T$107,'TAR FIN'!$A$1:$O$86,15,0))</f>
        <v>1518.97</v>
      </c>
      <c r="X107" s="6">
        <f>IF(ISERROR(VLOOKUP($U$107,'TAR FIN'!$A$1:$O$86,15,0)),0,VLOOKUP($U$107,'TAR FIN'!$A$1:$O$86,15,0))</f>
        <v>359.33</v>
      </c>
      <c r="Y107" s="6"/>
      <c r="Z107" s="6">
        <f ca="1">('TUSD BE'!$AM$11+'TUSD BF_350'!$AM$11+'TUSD CVA'!$AM$11)*1</f>
        <v>911.83999999999992</v>
      </c>
      <c r="AA107" s="6">
        <f ca="1">('TE BE'!$AB$5+'TE BF_350'!$AB$5+'TE CVA'!$AB$5)*1</f>
        <v>362.73600214515886</v>
      </c>
      <c r="AB107" s="6">
        <f>$K$107*$V$107</f>
        <v>0</v>
      </c>
      <c r="AC107" s="6">
        <f>$M$107*$W$107</f>
        <v>7181.6901600000001</v>
      </c>
      <c r="AD107" s="6">
        <f>$O$107*$X$107</f>
        <v>1698.9122399999999</v>
      </c>
      <c r="AE107" s="6">
        <f>$K$107*$Y$107</f>
        <v>0</v>
      </c>
      <c r="AF107" s="6">
        <f ca="1">$M$107*$Z$107</f>
        <v>4311.1795199999997</v>
      </c>
      <c r="AG107" s="6">
        <f ca="1">$O$107*$AA$107</f>
        <v>1715.015818142311</v>
      </c>
    </row>
    <row r="108" spans="1:33" ht="11.25" customHeight="1" x14ac:dyDescent="0.25">
      <c r="A108" s="4" t="s">
        <v>21</v>
      </c>
      <c r="B108" s="4" t="s">
        <v>35</v>
      </c>
      <c r="C108" s="4" t="s">
        <v>39</v>
      </c>
      <c r="D108" s="4" t="s">
        <v>40</v>
      </c>
      <c r="E108" s="4" t="s">
        <v>25</v>
      </c>
      <c r="F108" s="4" t="s">
        <v>25</v>
      </c>
      <c r="G108" s="4" t="s">
        <v>25</v>
      </c>
      <c r="H108" s="4" t="s">
        <v>37</v>
      </c>
      <c r="I108" s="5">
        <v>44562</v>
      </c>
      <c r="J108" s="6">
        <v>0</v>
      </c>
      <c r="K108" s="6">
        <v>0</v>
      </c>
      <c r="L108" s="6">
        <v>160.47399999999999</v>
      </c>
      <c r="M108" s="6">
        <v>160.47399999999999</v>
      </c>
      <c r="N108" s="6">
        <v>160.47399999999999</v>
      </c>
      <c r="O108" s="6">
        <v>160.47399999999999</v>
      </c>
      <c r="P108" s="6">
        <v>0</v>
      </c>
      <c r="Q108" s="4" t="s">
        <v>26</v>
      </c>
      <c r="R108" s="4">
        <v>0</v>
      </c>
      <c r="S108" s="6">
        <v>0</v>
      </c>
      <c r="T108" s="6">
        <v>5</v>
      </c>
      <c r="U108" s="6">
        <v>69</v>
      </c>
      <c r="V108" s="6">
        <f>IF(ISERROR(VLOOKUP($S$108,'TAR FIN'!$A$1:$O$86,15,0)),0,VLOOKUP($S$108,'TAR FIN'!$A$1:$O$86,15,0))</f>
        <v>0</v>
      </c>
      <c r="W108" s="6">
        <f>IF(ISERROR(VLOOKUP($T$108,'TAR FIN'!$A$1:$O$86,15,0)),0,VLOOKUP($T$108,'TAR FIN'!$A$1:$O$86,15,0))</f>
        <v>1518.97</v>
      </c>
      <c r="X108" s="6">
        <f>IF(ISERROR(VLOOKUP($U$108,'TAR FIN'!$A$1:$O$86,15,0)),0,VLOOKUP($U$108,'TAR FIN'!$A$1:$O$86,15,0))</f>
        <v>359.33</v>
      </c>
      <c r="Y108" s="6"/>
      <c r="Z108" s="6">
        <f ca="1">('TUSD BE'!$AM$11+'TUSD BF_350'!$AM$11+'TUSD CVA'!$AM$11)*1</f>
        <v>911.83999999999992</v>
      </c>
      <c r="AA108" s="6">
        <f ca="1">('TE BE'!$AB$5+'TE BF_350'!$AB$5+'TE CVA'!$AB$5)*1</f>
        <v>362.73600214515886</v>
      </c>
      <c r="AB108" s="6">
        <f>$K$108*$V$108</f>
        <v>0</v>
      </c>
      <c r="AC108" s="6">
        <f>$M$108*$W$108</f>
        <v>243755.19177999999</v>
      </c>
      <c r="AD108" s="6">
        <f>$O$108*$X$108</f>
        <v>57663.122419999992</v>
      </c>
      <c r="AE108" s="6">
        <f>$K$108*$Y$108</f>
        <v>0</v>
      </c>
      <c r="AF108" s="6">
        <f ca="1">$M$108*$Z$108</f>
        <v>146326.61215999999</v>
      </c>
      <c r="AG108" s="6">
        <f ca="1">$O$108*$AA$108</f>
        <v>58209.697208242222</v>
      </c>
    </row>
    <row r="109" spans="1:33" ht="11.25" customHeight="1" x14ac:dyDescent="0.25">
      <c r="A109" s="4" t="s">
        <v>28</v>
      </c>
      <c r="B109" s="4" t="s">
        <v>35</v>
      </c>
      <c r="C109" s="4" t="s">
        <v>39</v>
      </c>
      <c r="D109" s="4" t="s">
        <v>40</v>
      </c>
      <c r="E109" s="4" t="s">
        <v>25</v>
      </c>
      <c r="F109" s="4" t="s">
        <v>25</v>
      </c>
      <c r="G109" s="4" t="s">
        <v>25</v>
      </c>
      <c r="H109" s="4" t="s">
        <v>37</v>
      </c>
      <c r="I109" s="5">
        <v>44562</v>
      </c>
      <c r="J109" s="6">
        <v>0</v>
      </c>
      <c r="K109" s="6">
        <v>0</v>
      </c>
      <c r="L109" s="6">
        <v>6.2309999999999999</v>
      </c>
      <c r="M109" s="6">
        <v>6.2309999999999999</v>
      </c>
      <c r="N109" s="6">
        <v>6.2309999999999999</v>
      </c>
      <c r="O109" s="6">
        <v>6.2309999999999999</v>
      </c>
      <c r="P109" s="6">
        <v>0</v>
      </c>
      <c r="Q109" s="4" t="s">
        <v>26</v>
      </c>
      <c r="R109" s="4">
        <v>0</v>
      </c>
      <c r="S109" s="6">
        <v>0</v>
      </c>
      <c r="T109" s="6">
        <v>5</v>
      </c>
      <c r="U109" s="6">
        <v>69</v>
      </c>
      <c r="V109" s="6">
        <f>IF(ISERROR(VLOOKUP($S$109,'TAR FIN'!$A$1:$O$86,15,0)),0,VLOOKUP($S$109,'TAR FIN'!$A$1:$O$86,15,0))</f>
        <v>0</v>
      </c>
      <c r="W109" s="6">
        <f>IF(ISERROR(VLOOKUP($T$109,'TAR FIN'!$A$1:$O$86,15,0)),0,VLOOKUP($T$109,'TAR FIN'!$A$1:$O$86,15,0))</f>
        <v>1518.97</v>
      </c>
      <c r="X109" s="6">
        <f>IF(ISERROR(VLOOKUP($U$109,'TAR FIN'!$A$1:$O$86,15,0)),0,VLOOKUP($U$109,'TAR FIN'!$A$1:$O$86,15,0))</f>
        <v>359.33</v>
      </c>
      <c r="Y109" s="6"/>
      <c r="Z109" s="6">
        <f ca="1">('TUSD BE'!$AM$11+'TUSD BF_350'!$AM$11+'TUSD CVA'!$AM$11)*1</f>
        <v>911.83999999999992</v>
      </c>
      <c r="AA109" s="6">
        <f ca="1">('TE BE'!$AB$5+'TE BF_350'!$AB$5+'TE CVA'!$AB$5)*1</f>
        <v>362.73600214515886</v>
      </c>
      <c r="AB109" s="6">
        <f>$K$109*$V$109</f>
        <v>0</v>
      </c>
      <c r="AC109" s="6">
        <f>$M$109*$W$109</f>
        <v>9464.7020699999994</v>
      </c>
      <c r="AD109" s="6">
        <f>$O$109*$X$109</f>
        <v>2238.9852299999998</v>
      </c>
      <c r="AE109" s="6">
        <f>$K$109*$Y$109</f>
        <v>0</v>
      </c>
      <c r="AF109" s="6">
        <f ca="1">$M$109*$Z$109</f>
        <v>5681.6750399999992</v>
      </c>
      <c r="AG109" s="6">
        <f ca="1">$O$109*$AA$109</f>
        <v>2260.2080293664849</v>
      </c>
    </row>
    <row r="110" spans="1:33" ht="11.25" customHeight="1" x14ac:dyDescent="0.25">
      <c r="A110" s="4" t="s">
        <v>21</v>
      </c>
      <c r="B110" s="4" t="s">
        <v>35</v>
      </c>
      <c r="C110" s="4" t="s">
        <v>39</v>
      </c>
      <c r="D110" s="4" t="s">
        <v>40</v>
      </c>
      <c r="E110" s="4" t="s">
        <v>25</v>
      </c>
      <c r="F110" s="4" t="s">
        <v>25</v>
      </c>
      <c r="G110" s="4" t="s">
        <v>25</v>
      </c>
      <c r="H110" s="4" t="s">
        <v>37</v>
      </c>
      <c r="I110" s="5">
        <v>44593</v>
      </c>
      <c r="J110" s="6">
        <v>0</v>
      </c>
      <c r="K110" s="6">
        <v>0</v>
      </c>
      <c r="L110" s="6">
        <v>133.67699999999999</v>
      </c>
      <c r="M110" s="6">
        <v>133.67699999999999</v>
      </c>
      <c r="N110" s="6">
        <v>133.67699999999999</v>
      </c>
      <c r="O110" s="6">
        <v>133.67699999999999</v>
      </c>
      <c r="P110" s="6">
        <v>0</v>
      </c>
      <c r="Q110" s="4" t="s">
        <v>26</v>
      </c>
      <c r="R110" s="4">
        <v>0</v>
      </c>
      <c r="S110" s="6">
        <v>0</v>
      </c>
      <c r="T110" s="6">
        <v>5</v>
      </c>
      <c r="U110" s="6">
        <v>69</v>
      </c>
      <c r="V110" s="6">
        <f>IF(ISERROR(VLOOKUP($S$110,'TAR FIN'!$A$1:$O$86,15,0)),0,VLOOKUP($S$110,'TAR FIN'!$A$1:$O$86,15,0))</f>
        <v>0</v>
      </c>
      <c r="W110" s="6">
        <f>IF(ISERROR(VLOOKUP($T$110,'TAR FIN'!$A$1:$O$86,15,0)),0,VLOOKUP($T$110,'TAR FIN'!$A$1:$O$86,15,0))</f>
        <v>1518.97</v>
      </c>
      <c r="X110" s="6">
        <f>IF(ISERROR(VLOOKUP($U$110,'TAR FIN'!$A$1:$O$86,15,0)),0,VLOOKUP($U$110,'TAR FIN'!$A$1:$O$86,15,0))</f>
        <v>359.33</v>
      </c>
      <c r="Y110" s="6"/>
      <c r="Z110" s="6">
        <f ca="1">('TUSD BE'!$AM$11+'TUSD BF_350'!$AM$11+'TUSD CVA'!$AM$11)*1</f>
        <v>911.83999999999992</v>
      </c>
      <c r="AA110" s="6">
        <f ca="1">('TE BE'!$AB$5+'TE BF_350'!$AB$5+'TE CVA'!$AB$5)*1</f>
        <v>362.73600214515886</v>
      </c>
      <c r="AB110" s="6">
        <f>$K$110*$V$110</f>
        <v>0</v>
      </c>
      <c r="AC110" s="6">
        <f>$M$110*$W$110</f>
        <v>203051.35269</v>
      </c>
      <c r="AD110" s="6">
        <f>$O$110*$X$110</f>
        <v>48034.156409999996</v>
      </c>
      <c r="AE110" s="6">
        <f>$K$110*$Y$110</f>
        <v>0</v>
      </c>
      <c r="AF110" s="6">
        <f ca="1">$M$110*$Z$110</f>
        <v>121892.03567999999</v>
      </c>
      <c r="AG110" s="6">
        <f ca="1">$O$110*$AA$110</f>
        <v>48489.460558758401</v>
      </c>
    </row>
    <row r="111" spans="1:33" ht="11.25" customHeight="1" x14ac:dyDescent="0.25">
      <c r="A111" s="4" t="s">
        <v>28</v>
      </c>
      <c r="B111" s="4" t="s">
        <v>35</v>
      </c>
      <c r="C111" s="4" t="s">
        <v>39</v>
      </c>
      <c r="D111" s="4" t="s">
        <v>40</v>
      </c>
      <c r="E111" s="4" t="s">
        <v>25</v>
      </c>
      <c r="F111" s="4" t="s">
        <v>25</v>
      </c>
      <c r="G111" s="4" t="s">
        <v>25</v>
      </c>
      <c r="H111" s="4" t="s">
        <v>37</v>
      </c>
      <c r="I111" s="5">
        <v>44593</v>
      </c>
      <c r="J111" s="6">
        <v>0</v>
      </c>
      <c r="K111" s="6">
        <v>0</v>
      </c>
      <c r="L111" s="6">
        <v>5.6219999999999999</v>
      </c>
      <c r="M111" s="6">
        <v>5.6219999999999999</v>
      </c>
      <c r="N111" s="6">
        <v>5.6219999999999999</v>
      </c>
      <c r="O111" s="6">
        <v>5.6219999999999999</v>
      </c>
      <c r="P111" s="6">
        <v>0</v>
      </c>
      <c r="Q111" s="4" t="s">
        <v>26</v>
      </c>
      <c r="R111" s="4">
        <v>0</v>
      </c>
      <c r="S111" s="6">
        <v>0</v>
      </c>
      <c r="T111" s="6">
        <v>5</v>
      </c>
      <c r="U111" s="6">
        <v>69</v>
      </c>
      <c r="V111" s="6">
        <f>IF(ISERROR(VLOOKUP($S$111,'TAR FIN'!$A$1:$O$86,15,0)),0,VLOOKUP($S$111,'TAR FIN'!$A$1:$O$86,15,0))</f>
        <v>0</v>
      </c>
      <c r="W111" s="6">
        <f>IF(ISERROR(VLOOKUP($T$111,'TAR FIN'!$A$1:$O$86,15,0)),0,VLOOKUP($T$111,'TAR FIN'!$A$1:$O$86,15,0))</f>
        <v>1518.97</v>
      </c>
      <c r="X111" s="6">
        <f>IF(ISERROR(VLOOKUP($U$111,'TAR FIN'!$A$1:$O$86,15,0)),0,VLOOKUP($U$111,'TAR FIN'!$A$1:$O$86,15,0))</f>
        <v>359.33</v>
      </c>
      <c r="Y111" s="6"/>
      <c r="Z111" s="6">
        <f ca="1">('TUSD BE'!$AM$11+'TUSD BF_350'!$AM$11+'TUSD CVA'!$AM$11)*1</f>
        <v>911.83999999999992</v>
      </c>
      <c r="AA111" s="6">
        <f ca="1">('TE BE'!$AB$5+'TE BF_350'!$AB$5+'TE CVA'!$AB$5)*1</f>
        <v>362.73600214515886</v>
      </c>
      <c r="AB111" s="6">
        <f>$K$111*$V$111</f>
        <v>0</v>
      </c>
      <c r="AC111" s="6">
        <f>$M$111*$W$111</f>
        <v>8539.6493399999999</v>
      </c>
      <c r="AD111" s="6">
        <f>$O$111*$X$111</f>
        <v>2020.1532599999998</v>
      </c>
      <c r="AE111" s="6">
        <f>$K$111*$Y$111</f>
        <v>0</v>
      </c>
      <c r="AF111" s="6">
        <f ca="1">$M$111*$Z$111</f>
        <v>5126.3644799999993</v>
      </c>
      <c r="AG111" s="6">
        <f ca="1">$O$111*$AA$111</f>
        <v>2039.301804060083</v>
      </c>
    </row>
    <row r="112" spans="1:33" ht="11.25" customHeight="1" x14ac:dyDescent="0.25">
      <c r="A112" s="4" t="s">
        <v>21</v>
      </c>
      <c r="B112" s="4" t="s">
        <v>35</v>
      </c>
      <c r="C112" s="4" t="s">
        <v>39</v>
      </c>
      <c r="D112" s="4" t="s">
        <v>40</v>
      </c>
      <c r="E112" s="4" t="s">
        <v>25</v>
      </c>
      <c r="F112" s="4" t="s">
        <v>25</v>
      </c>
      <c r="G112" s="4" t="s">
        <v>25</v>
      </c>
      <c r="H112" s="4" t="s">
        <v>37</v>
      </c>
      <c r="I112" s="5">
        <v>44621</v>
      </c>
      <c r="J112" s="6">
        <v>0</v>
      </c>
      <c r="K112" s="6">
        <v>0</v>
      </c>
      <c r="L112" s="6">
        <v>161.63999999999999</v>
      </c>
      <c r="M112" s="6">
        <v>161.63999999999999</v>
      </c>
      <c r="N112" s="6">
        <v>161.63999999999999</v>
      </c>
      <c r="O112" s="6">
        <v>161.63999999999999</v>
      </c>
      <c r="P112" s="6">
        <v>0</v>
      </c>
      <c r="Q112" s="4" t="s">
        <v>26</v>
      </c>
      <c r="R112" s="4">
        <v>0</v>
      </c>
      <c r="S112" s="6">
        <v>0</v>
      </c>
      <c r="T112" s="6">
        <v>5</v>
      </c>
      <c r="U112" s="6">
        <v>69</v>
      </c>
      <c r="V112" s="6">
        <f>IF(ISERROR(VLOOKUP($S$112,'TAR FIN'!$A$1:$O$86,15,0)),0,VLOOKUP($S$112,'TAR FIN'!$A$1:$O$86,15,0))</f>
        <v>0</v>
      </c>
      <c r="W112" s="6">
        <f>IF(ISERROR(VLOOKUP($T$112,'TAR FIN'!$A$1:$O$86,15,0)),0,VLOOKUP($T$112,'TAR FIN'!$A$1:$O$86,15,0))</f>
        <v>1518.97</v>
      </c>
      <c r="X112" s="6">
        <f>IF(ISERROR(VLOOKUP($U$112,'TAR FIN'!$A$1:$O$86,15,0)),0,VLOOKUP($U$112,'TAR FIN'!$A$1:$O$86,15,0))</f>
        <v>359.33</v>
      </c>
      <c r="Y112" s="6"/>
      <c r="Z112" s="6">
        <f ca="1">('TUSD BE'!$AM$11+'TUSD BF_350'!$AM$11+'TUSD CVA'!$AM$11)*1</f>
        <v>911.83999999999992</v>
      </c>
      <c r="AA112" s="6">
        <f ca="1">('TE BE'!$AB$5+'TE BF_350'!$AB$5+'TE CVA'!$AB$5)*1</f>
        <v>362.73600214515886</v>
      </c>
      <c r="AB112" s="6">
        <f>$K$112*$V$112</f>
        <v>0</v>
      </c>
      <c r="AC112" s="6">
        <f>$M$112*$W$112</f>
        <v>245526.31079999998</v>
      </c>
      <c r="AD112" s="6">
        <f>$O$112*$X$112</f>
        <v>58082.10119999999</v>
      </c>
      <c r="AE112" s="6">
        <f>$K$112*$Y$112</f>
        <v>0</v>
      </c>
      <c r="AF112" s="6">
        <f ca="1">$M$112*$Z$112</f>
        <v>147389.81759999998</v>
      </c>
      <c r="AG112" s="6">
        <f ca="1">$O$112*$AA$112</f>
        <v>58632.647386743476</v>
      </c>
    </row>
    <row r="113" spans="1:33" ht="11.25" customHeight="1" x14ac:dyDescent="0.25">
      <c r="A113" s="4" t="s">
        <v>28</v>
      </c>
      <c r="B113" s="4" t="s">
        <v>35</v>
      </c>
      <c r="C113" s="4" t="s">
        <v>39</v>
      </c>
      <c r="D113" s="4" t="s">
        <v>40</v>
      </c>
      <c r="E113" s="4" t="s">
        <v>25</v>
      </c>
      <c r="F113" s="4" t="s">
        <v>25</v>
      </c>
      <c r="G113" s="4" t="s">
        <v>25</v>
      </c>
      <c r="H113" s="4" t="s">
        <v>37</v>
      </c>
      <c r="I113" s="5">
        <v>44621</v>
      </c>
      <c r="J113" s="6">
        <v>0</v>
      </c>
      <c r="K113" s="6">
        <v>0</v>
      </c>
      <c r="L113" s="6">
        <v>4.9580000000000002</v>
      </c>
      <c r="M113" s="6">
        <v>4.9580000000000002</v>
      </c>
      <c r="N113" s="6">
        <v>4.9580000000000002</v>
      </c>
      <c r="O113" s="6">
        <v>4.9580000000000002</v>
      </c>
      <c r="P113" s="6">
        <v>0</v>
      </c>
      <c r="Q113" s="4" t="s">
        <v>26</v>
      </c>
      <c r="R113" s="4">
        <v>0</v>
      </c>
      <c r="S113" s="6">
        <v>0</v>
      </c>
      <c r="T113" s="6">
        <v>5</v>
      </c>
      <c r="U113" s="6">
        <v>69</v>
      </c>
      <c r="V113" s="6">
        <f>IF(ISERROR(VLOOKUP($S$113,'TAR FIN'!$A$1:$O$86,15,0)),0,VLOOKUP($S$113,'TAR FIN'!$A$1:$O$86,15,0))</f>
        <v>0</v>
      </c>
      <c r="W113" s="6">
        <f>IF(ISERROR(VLOOKUP($T$113,'TAR FIN'!$A$1:$O$86,15,0)),0,VLOOKUP($T$113,'TAR FIN'!$A$1:$O$86,15,0))</f>
        <v>1518.97</v>
      </c>
      <c r="X113" s="6">
        <f>IF(ISERROR(VLOOKUP($U$113,'TAR FIN'!$A$1:$O$86,15,0)),0,VLOOKUP($U$113,'TAR FIN'!$A$1:$O$86,15,0))</f>
        <v>359.33</v>
      </c>
      <c r="Y113" s="6"/>
      <c r="Z113" s="6">
        <f ca="1">('TUSD BE'!$AM$11+'TUSD BF_350'!$AM$11+'TUSD CVA'!$AM$11)*1</f>
        <v>911.83999999999992</v>
      </c>
      <c r="AA113" s="6">
        <f ca="1">('TE BE'!$AB$5+'TE BF_350'!$AB$5+'TE CVA'!$AB$5)*1</f>
        <v>362.73600214515886</v>
      </c>
      <c r="AB113" s="6">
        <f>$K$113*$V$113</f>
        <v>0</v>
      </c>
      <c r="AC113" s="6">
        <f>$M$113*$W$113</f>
        <v>7531.0532600000006</v>
      </c>
      <c r="AD113" s="6">
        <f>$O$113*$X$113</f>
        <v>1781.5581400000001</v>
      </c>
      <c r="AE113" s="6">
        <f>$K$113*$Y$113</f>
        <v>0</v>
      </c>
      <c r="AF113" s="6">
        <f ca="1">$M$113*$Z$113</f>
        <v>4520.90272</v>
      </c>
      <c r="AG113" s="6">
        <f ca="1">$O$113*$AA$113</f>
        <v>1798.4450986356976</v>
      </c>
    </row>
    <row r="114" spans="1:33" ht="11.25" customHeight="1" x14ac:dyDescent="0.25">
      <c r="A114" s="4" t="s">
        <v>21</v>
      </c>
      <c r="B114" s="4" t="s">
        <v>35</v>
      </c>
      <c r="C114" s="4" t="s">
        <v>39</v>
      </c>
      <c r="D114" s="4" t="s">
        <v>40</v>
      </c>
      <c r="E114" s="4" t="s">
        <v>25</v>
      </c>
      <c r="F114" s="4" t="s">
        <v>25</v>
      </c>
      <c r="G114" s="4" t="s">
        <v>25</v>
      </c>
      <c r="H114" s="4" t="s">
        <v>37</v>
      </c>
      <c r="I114" s="5">
        <v>44652</v>
      </c>
      <c r="J114" s="6">
        <v>0</v>
      </c>
      <c r="K114" s="6">
        <v>0</v>
      </c>
      <c r="L114" s="6">
        <v>107.43899999999999</v>
      </c>
      <c r="M114" s="6">
        <v>107.43899999999999</v>
      </c>
      <c r="N114" s="6">
        <v>107.43899999999999</v>
      </c>
      <c r="O114" s="6">
        <v>107.43899999999999</v>
      </c>
      <c r="P114" s="6">
        <v>0</v>
      </c>
      <c r="Q114" s="4" t="s">
        <v>26</v>
      </c>
      <c r="R114" s="4">
        <v>0</v>
      </c>
      <c r="S114" s="6">
        <v>0</v>
      </c>
      <c r="T114" s="6">
        <v>5</v>
      </c>
      <c r="U114" s="6">
        <v>69</v>
      </c>
      <c r="V114" s="6">
        <f>IF(ISERROR(VLOOKUP($S$114,'TAR FIN'!$A$1:$O$86,15,0)),0,VLOOKUP($S$114,'TAR FIN'!$A$1:$O$86,15,0))</f>
        <v>0</v>
      </c>
      <c r="W114" s="6">
        <f>IF(ISERROR(VLOOKUP($T$114,'TAR FIN'!$A$1:$O$86,15,0)),0,VLOOKUP($T$114,'TAR FIN'!$A$1:$O$86,15,0))</f>
        <v>1518.97</v>
      </c>
      <c r="X114" s="6">
        <f>IF(ISERROR(VLOOKUP($U$114,'TAR FIN'!$A$1:$O$86,15,0)),0,VLOOKUP($U$114,'TAR FIN'!$A$1:$O$86,15,0))</f>
        <v>359.33</v>
      </c>
      <c r="Y114" s="6"/>
      <c r="Z114" s="6">
        <f ca="1">('TUSD BE'!$AM$11+'TUSD BF_350'!$AM$11+'TUSD CVA'!$AM$11)*1</f>
        <v>911.83999999999992</v>
      </c>
      <c r="AA114" s="6">
        <f ca="1">('TE BE'!$AB$5+'TE BF_350'!$AB$5+'TE CVA'!$AB$5)*1</f>
        <v>362.73600214515886</v>
      </c>
      <c r="AB114" s="6">
        <f>$K$114*$V$114</f>
        <v>0</v>
      </c>
      <c r="AC114" s="6">
        <f>$M$114*$W$114</f>
        <v>163196.61783</v>
      </c>
      <c r="AD114" s="6">
        <f>$O$114*$X$114</f>
        <v>38606.055869999997</v>
      </c>
      <c r="AE114" s="6">
        <f>$K$114*$Y$114</f>
        <v>0</v>
      </c>
      <c r="AF114" s="6">
        <f ca="1">$M$114*$Z$114</f>
        <v>97967.177759999991</v>
      </c>
      <c r="AG114" s="6">
        <f ca="1">$O$114*$AA$114</f>
        <v>38971.993334473722</v>
      </c>
    </row>
    <row r="115" spans="1:33" ht="11.25" customHeight="1" x14ac:dyDescent="0.25">
      <c r="A115" s="4" t="s">
        <v>28</v>
      </c>
      <c r="B115" s="4" t="s">
        <v>35</v>
      </c>
      <c r="C115" s="4" t="s">
        <v>39</v>
      </c>
      <c r="D115" s="4" t="s">
        <v>40</v>
      </c>
      <c r="E115" s="4" t="s">
        <v>25</v>
      </c>
      <c r="F115" s="4" t="s">
        <v>25</v>
      </c>
      <c r="G115" s="4" t="s">
        <v>25</v>
      </c>
      <c r="H115" s="4" t="s">
        <v>37</v>
      </c>
      <c r="I115" s="5">
        <v>44652</v>
      </c>
      <c r="J115" s="6">
        <v>0</v>
      </c>
      <c r="K115" s="6">
        <v>0</v>
      </c>
      <c r="L115" s="6">
        <v>3.5990000000000002</v>
      </c>
      <c r="M115" s="6">
        <v>3.5990000000000002</v>
      </c>
      <c r="N115" s="6">
        <v>3.5990000000000002</v>
      </c>
      <c r="O115" s="6">
        <v>3.5990000000000002</v>
      </c>
      <c r="P115" s="6">
        <v>0</v>
      </c>
      <c r="Q115" s="4" t="s">
        <v>26</v>
      </c>
      <c r="R115" s="4">
        <v>0</v>
      </c>
      <c r="S115" s="6">
        <v>0</v>
      </c>
      <c r="T115" s="6">
        <v>5</v>
      </c>
      <c r="U115" s="6">
        <v>69</v>
      </c>
      <c r="V115" s="6">
        <f>IF(ISERROR(VLOOKUP($S$115,'TAR FIN'!$A$1:$O$86,15,0)),0,VLOOKUP($S$115,'TAR FIN'!$A$1:$O$86,15,0))</f>
        <v>0</v>
      </c>
      <c r="W115" s="6">
        <f>IF(ISERROR(VLOOKUP($T$115,'TAR FIN'!$A$1:$O$86,15,0)),0,VLOOKUP($T$115,'TAR FIN'!$A$1:$O$86,15,0))</f>
        <v>1518.97</v>
      </c>
      <c r="X115" s="6">
        <f>IF(ISERROR(VLOOKUP($U$115,'TAR FIN'!$A$1:$O$86,15,0)),0,VLOOKUP($U$115,'TAR FIN'!$A$1:$O$86,15,0))</f>
        <v>359.33</v>
      </c>
      <c r="Y115" s="6"/>
      <c r="Z115" s="6">
        <f ca="1">('TUSD BE'!$AM$11+'TUSD BF_350'!$AM$11+'TUSD CVA'!$AM$11)*1</f>
        <v>911.83999999999992</v>
      </c>
      <c r="AA115" s="6">
        <f ca="1">('TE BE'!$AB$5+'TE BF_350'!$AB$5+'TE CVA'!$AB$5)*1</f>
        <v>362.73600214515886</v>
      </c>
      <c r="AB115" s="6">
        <f>$K$115*$V$115</f>
        <v>0</v>
      </c>
      <c r="AC115" s="6">
        <f>$M$115*$W$115</f>
        <v>5466.7730300000003</v>
      </c>
      <c r="AD115" s="6">
        <f>$O$115*$X$115</f>
        <v>1293.22867</v>
      </c>
      <c r="AE115" s="6">
        <f>$K$115*$Y$115</f>
        <v>0</v>
      </c>
      <c r="AF115" s="6">
        <f ca="1">$M$115*$Z$115</f>
        <v>3281.71216</v>
      </c>
      <c r="AG115" s="6">
        <f ca="1">$O$115*$AA$115</f>
        <v>1305.4868717204267</v>
      </c>
    </row>
    <row r="116" spans="1:33" ht="11.25" customHeight="1" x14ac:dyDescent="0.25">
      <c r="A116" s="4" t="s">
        <v>21</v>
      </c>
      <c r="B116" s="4" t="s">
        <v>35</v>
      </c>
      <c r="C116" s="4" t="s">
        <v>39</v>
      </c>
      <c r="D116" s="4" t="s">
        <v>40</v>
      </c>
      <c r="E116" s="4" t="s">
        <v>25</v>
      </c>
      <c r="F116" s="4" t="s">
        <v>25</v>
      </c>
      <c r="G116" s="4" t="s">
        <v>25</v>
      </c>
      <c r="H116" s="4" t="s">
        <v>37</v>
      </c>
      <c r="I116" s="5">
        <v>44682</v>
      </c>
      <c r="J116" s="6">
        <v>0</v>
      </c>
      <c r="K116" s="6">
        <v>0</v>
      </c>
      <c r="L116" s="6">
        <v>113.12</v>
      </c>
      <c r="M116" s="6">
        <v>113.12</v>
      </c>
      <c r="N116" s="6">
        <v>113.12</v>
      </c>
      <c r="O116" s="6">
        <v>113.12</v>
      </c>
      <c r="P116" s="6">
        <v>0</v>
      </c>
      <c r="Q116" s="4" t="s">
        <v>26</v>
      </c>
      <c r="R116" s="4">
        <v>0</v>
      </c>
      <c r="S116" s="6">
        <v>0</v>
      </c>
      <c r="T116" s="6">
        <v>5</v>
      </c>
      <c r="U116" s="6">
        <v>69</v>
      </c>
      <c r="V116" s="6">
        <f>IF(ISERROR(VLOOKUP($S$116,'TAR FIN'!$A$1:$O$86,15,0)),0,VLOOKUP($S$116,'TAR FIN'!$A$1:$O$86,15,0))</f>
        <v>0</v>
      </c>
      <c r="W116" s="6">
        <f>IF(ISERROR(VLOOKUP($T$116,'TAR FIN'!$A$1:$O$86,15,0)),0,VLOOKUP($T$116,'TAR FIN'!$A$1:$O$86,15,0))</f>
        <v>1518.97</v>
      </c>
      <c r="X116" s="6">
        <f>IF(ISERROR(VLOOKUP($U$116,'TAR FIN'!$A$1:$O$86,15,0)),0,VLOOKUP($U$116,'TAR FIN'!$A$1:$O$86,15,0))</f>
        <v>359.33</v>
      </c>
      <c r="Y116" s="6"/>
      <c r="Z116" s="6">
        <f ca="1">('TUSD BE'!$AM$11+'TUSD BF_350'!$AM$11+'TUSD CVA'!$AM$11)*1</f>
        <v>911.83999999999992</v>
      </c>
      <c r="AA116" s="6">
        <f ca="1">('TE BE'!$AB$5+'TE BF_350'!$AB$5+'TE CVA'!$AB$5)*1</f>
        <v>362.73600214515886</v>
      </c>
      <c r="AB116" s="6">
        <f>$K$116*$V$116</f>
        <v>0</v>
      </c>
      <c r="AC116" s="6">
        <f>$M$116*$W$116</f>
        <v>171825.88640000002</v>
      </c>
      <c r="AD116" s="6">
        <f>$O$116*$X$116</f>
        <v>40647.409599999999</v>
      </c>
      <c r="AE116" s="6">
        <f>$K$116*$Y$116</f>
        <v>0</v>
      </c>
      <c r="AF116" s="6">
        <f ca="1">$M$116*$Z$116</f>
        <v>103147.34079999999</v>
      </c>
      <c r="AG116" s="6">
        <f ca="1">$O$116*$AA$116</f>
        <v>41032.696562660371</v>
      </c>
    </row>
    <row r="117" spans="1:33" ht="11.25" customHeight="1" x14ac:dyDescent="0.25">
      <c r="A117" s="4" t="s">
        <v>28</v>
      </c>
      <c r="B117" s="4" t="s">
        <v>35</v>
      </c>
      <c r="C117" s="4" t="s">
        <v>39</v>
      </c>
      <c r="D117" s="4" t="s">
        <v>40</v>
      </c>
      <c r="E117" s="4" t="s">
        <v>25</v>
      </c>
      <c r="F117" s="4" t="s">
        <v>25</v>
      </c>
      <c r="G117" s="4" t="s">
        <v>25</v>
      </c>
      <c r="H117" s="4" t="s">
        <v>37</v>
      </c>
      <c r="I117" s="5">
        <v>44682</v>
      </c>
      <c r="J117" s="6">
        <v>0</v>
      </c>
      <c r="K117" s="6">
        <v>0</v>
      </c>
      <c r="L117" s="6">
        <v>3.3260000000000001</v>
      </c>
      <c r="M117" s="6">
        <v>3.3260000000000001</v>
      </c>
      <c r="N117" s="6">
        <v>3.3260000000000001</v>
      </c>
      <c r="O117" s="6">
        <v>3.3260000000000001</v>
      </c>
      <c r="P117" s="6">
        <v>0</v>
      </c>
      <c r="Q117" s="4" t="s">
        <v>26</v>
      </c>
      <c r="R117" s="4">
        <v>0</v>
      </c>
      <c r="S117" s="6">
        <v>0</v>
      </c>
      <c r="T117" s="6">
        <v>5</v>
      </c>
      <c r="U117" s="6">
        <v>69</v>
      </c>
      <c r="V117" s="6">
        <f>IF(ISERROR(VLOOKUP($S$117,'TAR FIN'!$A$1:$O$86,15,0)),0,VLOOKUP($S$117,'TAR FIN'!$A$1:$O$86,15,0))</f>
        <v>0</v>
      </c>
      <c r="W117" s="6">
        <f>IF(ISERROR(VLOOKUP($T$117,'TAR FIN'!$A$1:$O$86,15,0)),0,VLOOKUP($T$117,'TAR FIN'!$A$1:$O$86,15,0))</f>
        <v>1518.97</v>
      </c>
      <c r="X117" s="6">
        <f>IF(ISERROR(VLOOKUP($U$117,'TAR FIN'!$A$1:$O$86,15,0)),0,VLOOKUP($U$117,'TAR FIN'!$A$1:$O$86,15,0))</f>
        <v>359.33</v>
      </c>
      <c r="Y117" s="6"/>
      <c r="Z117" s="6">
        <f ca="1">('TUSD BE'!$AM$11+'TUSD BF_350'!$AM$11+'TUSD CVA'!$AM$11)*1</f>
        <v>911.83999999999992</v>
      </c>
      <c r="AA117" s="6">
        <f ca="1">('TE BE'!$AB$5+'TE BF_350'!$AB$5+'TE CVA'!$AB$5)*1</f>
        <v>362.73600214515886</v>
      </c>
      <c r="AB117" s="6">
        <f>$K$117*$V$117</f>
        <v>0</v>
      </c>
      <c r="AC117" s="6">
        <f>$M$117*$W$117</f>
        <v>5052.09422</v>
      </c>
      <c r="AD117" s="6">
        <f>$O$117*$X$117</f>
        <v>1195.13158</v>
      </c>
      <c r="AE117" s="6">
        <f>$K$117*$Y$117</f>
        <v>0</v>
      </c>
      <c r="AF117" s="6">
        <f ca="1">$M$117*$Z$117</f>
        <v>3032.7798399999997</v>
      </c>
      <c r="AG117" s="6">
        <f ca="1">$O$117*$AA$117</f>
        <v>1206.4599431347983</v>
      </c>
    </row>
    <row r="118" spans="1:33" ht="11.25" customHeight="1" x14ac:dyDescent="0.25">
      <c r="A118" s="4" t="s">
        <v>21</v>
      </c>
      <c r="B118" s="4" t="s">
        <v>35</v>
      </c>
      <c r="C118" s="4" t="s">
        <v>39</v>
      </c>
      <c r="D118" s="4" t="s">
        <v>40</v>
      </c>
      <c r="E118" s="4" t="s">
        <v>25</v>
      </c>
      <c r="F118" s="4" t="s">
        <v>25</v>
      </c>
      <c r="G118" s="4" t="s">
        <v>25</v>
      </c>
      <c r="H118" s="4" t="s">
        <v>37</v>
      </c>
      <c r="I118" s="5">
        <v>44713</v>
      </c>
      <c r="J118" s="6">
        <v>0</v>
      </c>
      <c r="K118" s="6">
        <v>0</v>
      </c>
      <c r="L118" s="6">
        <v>100.00700000000001</v>
      </c>
      <c r="M118" s="6">
        <v>100.00700000000001</v>
      </c>
      <c r="N118" s="6">
        <v>100.00700000000001</v>
      </c>
      <c r="O118" s="6">
        <v>100.00700000000001</v>
      </c>
      <c r="P118" s="6">
        <v>0</v>
      </c>
      <c r="Q118" s="4" t="s">
        <v>26</v>
      </c>
      <c r="R118" s="4">
        <v>0</v>
      </c>
      <c r="S118" s="6">
        <v>0</v>
      </c>
      <c r="T118" s="6">
        <v>5</v>
      </c>
      <c r="U118" s="6">
        <v>69</v>
      </c>
      <c r="V118" s="6">
        <f>IF(ISERROR(VLOOKUP($S$118,'TAR FIN'!$A$1:$O$86,15,0)),0,VLOOKUP($S$118,'TAR FIN'!$A$1:$O$86,15,0))</f>
        <v>0</v>
      </c>
      <c r="W118" s="6">
        <f>IF(ISERROR(VLOOKUP($T$118,'TAR FIN'!$A$1:$O$86,15,0)),0,VLOOKUP($T$118,'TAR FIN'!$A$1:$O$86,15,0))</f>
        <v>1518.97</v>
      </c>
      <c r="X118" s="6">
        <f>IF(ISERROR(VLOOKUP($U$118,'TAR FIN'!$A$1:$O$86,15,0)),0,VLOOKUP($U$118,'TAR FIN'!$A$1:$O$86,15,0))</f>
        <v>359.33</v>
      </c>
      <c r="Y118" s="6"/>
      <c r="Z118" s="6">
        <f ca="1">('TUSD BE'!$AM$11+'TUSD BF_350'!$AM$11+'TUSD CVA'!$AM$11)*1</f>
        <v>911.83999999999992</v>
      </c>
      <c r="AA118" s="6">
        <f ca="1">('TE BE'!$AB$5+'TE BF_350'!$AB$5+'TE CVA'!$AB$5)*1</f>
        <v>362.73600214515886</v>
      </c>
      <c r="AB118" s="6">
        <f>$K$118*$V$118</f>
        <v>0</v>
      </c>
      <c r="AC118" s="6">
        <f>$M$118*$W$118</f>
        <v>151907.63279</v>
      </c>
      <c r="AD118" s="6">
        <f>$O$118*$X$118</f>
        <v>35935.515310000003</v>
      </c>
      <c r="AE118" s="6">
        <f>$K$118*$Y$118</f>
        <v>0</v>
      </c>
      <c r="AF118" s="6">
        <f ca="1">$M$118*$Z$118</f>
        <v>91190.38287999999</v>
      </c>
      <c r="AG118" s="6">
        <f ca="1">$O$118*$AA$118</f>
        <v>36276.139366530908</v>
      </c>
    </row>
    <row r="119" spans="1:33" ht="11.25" customHeight="1" x14ac:dyDescent="0.25">
      <c r="A119" s="4" t="s">
        <v>28</v>
      </c>
      <c r="B119" s="4" t="s">
        <v>35</v>
      </c>
      <c r="C119" s="4" t="s">
        <v>39</v>
      </c>
      <c r="D119" s="4" t="s">
        <v>40</v>
      </c>
      <c r="E119" s="4" t="s">
        <v>25</v>
      </c>
      <c r="F119" s="4" t="s">
        <v>25</v>
      </c>
      <c r="G119" s="4" t="s">
        <v>25</v>
      </c>
      <c r="H119" s="4" t="s">
        <v>37</v>
      </c>
      <c r="I119" s="5">
        <v>44713</v>
      </c>
      <c r="J119" s="6">
        <v>0</v>
      </c>
      <c r="K119" s="6">
        <v>0</v>
      </c>
      <c r="L119" s="6">
        <v>3.3439999999999999</v>
      </c>
      <c r="M119" s="6">
        <v>3.3439999999999999</v>
      </c>
      <c r="N119" s="6">
        <v>3.3439999999999999</v>
      </c>
      <c r="O119" s="6">
        <v>3.3439999999999999</v>
      </c>
      <c r="P119" s="6">
        <v>0</v>
      </c>
      <c r="Q119" s="4" t="s">
        <v>26</v>
      </c>
      <c r="R119" s="4">
        <v>0</v>
      </c>
      <c r="S119" s="6">
        <v>0</v>
      </c>
      <c r="T119" s="6">
        <v>5</v>
      </c>
      <c r="U119" s="6">
        <v>69</v>
      </c>
      <c r="V119" s="6">
        <f>IF(ISERROR(VLOOKUP($S$119,'TAR FIN'!$A$1:$O$86,15,0)),0,VLOOKUP($S$119,'TAR FIN'!$A$1:$O$86,15,0))</f>
        <v>0</v>
      </c>
      <c r="W119" s="6">
        <f>IF(ISERROR(VLOOKUP($T$119,'TAR FIN'!$A$1:$O$86,15,0)),0,VLOOKUP($T$119,'TAR FIN'!$A$1:$O$86,15,0))</f>
        <v>1518.97</v>
      </c>
      <c r="X119" s="6">
        <f>IF(ISERROR(VLOOKUP($U$119,'TAR FIN'!$A$1:$O$86,15,0)),0,VLOOKUP($U$119,'TAR FIN'!$A$1:$O$86,15,0))</f>
        <v>359.33</v>
      </c>
      <c r="Y119" s="6"/>
      <c r="Z119" s="6">
        <f ca="1">('TUSD BE'!$AM$11+'TUSD BF_350'!$AM$11+'TUSD CVA'!$AM$11)*1</f>
        <v>911.83999999999992</v>
      </c>
      <c r="AA119" s="6">
        <f ca="1">('TE BE'!$AB$5+'TE BF_350'!$AB$5+'TE CVA'!$AB$5)*1</f>
        <v>362.73600214515886</v>
      </c>
      <c r="AB119" s="6">
        <f>$K$119*$V$119</f>
        <v>0</v>
      </c>
      <c r="AC119" s="6">
        <f>$M$119*$W$119</f>
        <v>5079.4356799999996</v>
      </c>
      <c r="AD119" s="6">
        <f>$O$119*$X$119</f>
        <v>1201.59952</v>
      </c>
      <c r="AE119" s="6">
        <f>$K$119*$Y$119</f>
        <v>0</v>
      </c>
      <c r="AF119" s="6">
        <f ca="1">$M$119*$Z$119</f>
        <v>3049.1929599999994</v>
      </c>
      <c r="AG119" s="6">
        <f ca="1">$O$119*$AA$119</f>
        <v>1212.9891911734112</v>
      </c>
    </row>
    <row r="120" spans="1:33" ht="11.25" customHeight="1" x14ac:dyDescent="0.25">
      <c r="A120" s="4" t="s">
        <v>55</v>
      </c>
      <c r="B120" s="4" t="s">
        <v>35</v>
      </c>
      <c r="C120" s="4" t="s">
        <v>39</v>
      </c>
      <c r="D120" s="4" t="s">
        <v>40</v>
      </c>
      <c r="E120" s="4" t="s">
        <v>25</v>
      </c>
      <c r="F120" s="4" t="s">
        <v>25</v>
      </c>
      <c r="G120" s="4" t="s">
        <v>25</v>
      </c>
      <c r="H120" s="4" t="s">
        <v>37</v>
      </c>
      <c r="I120" s="5">
        <v>44743</v>
      </c>
      <c r="J120" s="6">
        <v>0</v>
      </c>
      <c r="K120" s="6">
        <v>0</v>
      </c>
      <c r="L120" s="6">
        <v>100.00700000000001</v>
      </c>
      <c r="M120" s="6">
        <v>100.00700000000001</v>
      </c>
      <c r="N120" s="6">
        <v>100.00700000000001</v>
      </c>
      <c r="O120" s="6">
        <v>100.00700000000001</v>
      </c>
      <c r="P120" s="6">
        <v>0</v>
      </c>
      <c r="Q120" s="4" t="s">
        <v>26</v>
      </c>
      <c r="R120" s="4">
        <v>0</v>
      </c>
      <c r="S120" s="6">
        <v>0</v>
      </c>
      <c r="T120" s="6">
        <v>5</v>
      </c>
      <c r="U120" s="6">
        <v>69</v>
      </c>
      <c r="V120" s="6">
        <f>IF(ISERROR(VLOOKUP($S$120,'TAR FIN'!$A$1:$O$86,15,0)),0,VLOOKUP($S$120,'TAR FIN'!$A$1:$O$86,15,0))</f>
        <v>0</v>
      </c>
      <c r="W120" s="6">
        <f>IF(ISERROR(VLOOKUP($T$120,'TAR FIN'!$A$1:$O$86,15,0)),0,VLOOKUP($T$120,'TAR FIN'!$A$1:$O$86,15,0))</f>
        <v>1518.97</v>
      </c>
      <c r="X120" s="6">
        <f>IF(ISERROR(VLOOKUP($U$120,'TAR FIN'!$A$1:$O$86,15,0)),0,VLOOKUP($U$120,'TAR FIN'!$A$1:$O$86,15,0))</f>
        <v>359.33</v>
      </c>
      <c r="Y120" s="6"/>
      <c r="Z120" s="6">
        <f ca="1">('TUSD BE'!$AM$11+'TUSD BF_350'!$AM$11+'TUSD CVA'!$AM$11)*1</f>
        <v>911.83999999999992</v>
      </c>
      <c r="AA120" s="6">
        <f ca="1">('TE BE'!$AB$5+'TE BF_350'!$AB$5+'TE CVA'!$AB$5)*1</f>
        <v>362.73600214515886</v>
      </c>
      <c r="AB120" s="6">
        <f>$K$120*$V$120</f>
        <v>0</v>
      </c>
      <c r="AC120" s="6">
        <f>$M$120*$W$120</f>
        <v>151907.63279</v>
      </c>
      <c r="AD120" s="6">
        <f>$O$120*$X$120</f>
        <v>35935.515310000003</v>
      </c>
      <c r="AE120" s="6">
        <f>$K$120*$Y$120</f>
        <v>0</v>
      </c>
      <c r="AF120" s="6">
        <f ca="1">$M$120*$Z$120</f>
        <v>91190.38287999999</v>
      </c>
      <c r="AG120" s="6">
        <f ca="1">$O$120*$AA$120</f>
        <v>36276.139366530908</v>
      </c>
    </row>
    <row r="121" spans="1:33" ht="11.25" customHeight="1" x14ac:dyDescent="0.25">
      <c r="A121" s="4" t="s">
        <v>55</v>
      </c>
      <c r="B121" s="4" t="s">
        <v>35</v>
      </c>
      <c r="C121" s="4" t="s">
        <v>39</v>
      </c>
      <c r="D121" s="4" t="s">
        <v>40</v>
      </c>
      <c r="E121" s="4" t="s">
        <v>25</v>
      </c>
      <c r="F121" s="4" t="s">
        <v>25</v>
      </c>
      <c r="G121" s="4" t="s">
        <v>25</v>
      </c>
      <c r="H121" s="4" t="s">
        <v>37</v>
      </c>
      <c r="I121" s="5">
        <v>44743</v>
      </c>
      <c r="J121" s="6">
        <v>0</v>
      </c>
      <c r="K121" s="6">
        <v>0</v>
      </c>
      <c r="L121" s="6">
        <v>3.3439999999999999</v>
      </c>
      <c r="M121" s="6">
        <v>3.3439999999999999</v>
      </c>
      <c r="N121" s="6">
        <v>3.3439999999999999</v>
      </c>
      <c r="O121" s="6">
        <v>3.3439999999999999</v>
      </c>
      <c r="P121" s="6">
        <v>0</v>
      </c>
      <c r="Q121" s="4" t="s">
        <v>26</v>
      </c>
      <c r="R121" s="4">
        <v>0</v>
      </c>
      <c r="S121" s="6">
        <v>0</v>
      </c>
      <c r="T121" s="6">
        <v>5</v>
      </c>
      <c r="U121" s="6">
        <v>69</v>
      </c>
      <c r="V121" s="6">
        <f>IF(ISERROR(VLOOKUP($S$121,'TAR FIN'!$A$1:$O$86,15,0)),0,VLOOKUP($S$121,'TAR FIN'!$A$1:$O$86,15,0))</f>
        <v>0</v>
      </c>
      <c r="W121" s="6">
        <f>IF(ISERROR(VLOOKUP($T$121,'TAR FIN'!$A$1:$O$86,15,0)),0,VLOOKUP($T$121,'TAR FIN'!$A$1:$O$86,15,0))</f>
        <v>1518.97</v>
      </c>
      <c r="X121" s="6">
        <f>IF(ISERROR(VLOOKUP($U$121,'TAR FIN'!$A$1:$O$86,15,0)),0,VLOOKUP($U$121,'TAR FIN'!$A$1:$O$86,15,0))</f>
        <v>359.33</v>
      </c>
      <c r="Y121" s="6"/>
      <c r="Z121" s="6">
        <f ca="1">('TUSD BE'!$AM$11+'TUSD BF_350'!$AM$11+'TUSD CVA'!$AM$11)*1</f>
        <v>911.83999999999992</v>
      </c>
      <c r="AA121" s="6">
        <f ca="1">('TE BE'!$AB$5+'TE BF_350'!$AB$5+'TE CVA'!$AB$5)*1</f>
        <v>362.73600214515886</v>
      </c>
      <c r="AB121" s="6">
        <f>$K$121*$V$121</f>
        <v>0</v>
      </c>
      <c r="AC121" s="6">
        <f>$M$121*$W$121</f>
        <v>5079.4356799999996</v>
      </c>
      <c r="AD121" s="6">
        <f>$O$121*$X$121</f>
        <v>1201.59952</v>
      </c>
      <c r="AE121" s="6">
        <f>$K$121*$Y$121</f>
        <v>0</v>
      </c>
      <c r="AF121" s="6">
        <f ca="1">$M$121*$Z$121</f>
        <v>3049.1929599999994</v>
      </c>
      <c r="AG121" s="6">
        <f ca="1">$O$121*$AA$121</f>
        <v>1212.9891911734112</v>
      </c>
    </row>
    <row r="122" spans="1:33" ht="11.25" customHeight="1" x14ac:dyDescent="0.25">
      <c r="A122" s="4" t="s">
        <v>21</v>
      </c>
      <c r="B122" s="4" t="s">
        <v>35</v>
      </c>
      <c r="C122" s="4" t="s">
        <v>39</v>
      </c>
      <c r="D122" s="4" t="s">
        <v>34</v>
      </c>
      <c r="E122" s="4" t="s">
        <v>25</v>
      </c>
      <c r="F122" s="4" t="s">
        <v>56</v>
      </c>
      <c r="G122" s="4" t="s">
        <v>25</v>
      </c>
      <c r="H122" s="4" t="s">
        <v>38</v>
      </c>
      <c r="I122" s="5">
        <v>44409</v>
      </c>
      <c r="J122" s="6">
        <v>0</v>
      </c>
      <c r="K122" s="6">
        <v>0</v>
      </c>
      <c r="L122" s="6">
        <v>2685.5039999999999</v>
      </c>
      <c r="M122" s="6">
        <v>2685.5039999999999</v>
      </c>
      <c r="N122" s="6">
        <v>0</v>
      </c>
      <c r="O122" s="6">
        <v>0</v>
      </c>
      <c r="P122" s="6">
        <v>0</v>
      </c>
      <c r="Q122" s="4" t="s">
        <v>57</v>
      </c>
      <c r="R122" s="4">
        <v>0</v>
      </c>
      <c r="S122" s="6">
        <v>0</v>
      </c>
      <c r="T122" s="6">
        <v>18</v>
      </c>
      <c r="U122" s="6">
        <v>0</v>
      </c>
      <c r="V122" s="6">
        <f>IF(ISERROR(VLOOKUP($S$122,'TAR FIN'!$A$1:$O$86,15,0)),0,VLOOKUP($S$122,'TAR FIN'!$A$1:$O$86,15,0))</f>
        <v>0</v>
      </c>
      <c r="W122" s="6">
        <f>IF(ISERROR(VLOOKUP($T$122,'TAR FIN'!$A$1:$O$86,15,0)),0,VLOOKUP($T$122,'TAR FIN'!$A$1:$O$86,15,0))</f>
        <v>73.19</v>
      </c>
      <c r="X122" s="6">
        <f>IF(ISERROR(VLOOKUP($U$122,'TAR FIN'!$A$1:$O$86,15,0)),0,VLOOKUP($U$122,'TAR FIN'!$A$1:$O$86,15,0))</f>
        <v>0</v>
      </c>
      <c r="Y122" s="6"/>
      <c r="Z122" s="6">
        <f ca="1">('TUSD BE'!$AM$12+'TUSD BF_350'!$AM$12+'TUSD CVA'!$AM$12)*1</f>
        <v>126.25</v>
      </c>
      <c r="AA122" s="6"/>
      <c r="AB122" s="6">
        <f>$K$122*$V$122</f>
        <v>0</v>
      </c>
      <c r="AC122" s="6">
        <f>$M$122*$W$122</f>
        <v>196552.03775999998</v>
      </c>
      <c r="AD122" s="6">
        <f>$O$122*$X$122</f>
        <v>0</v>
      </c>
      <c r="AE122" s="6">
        <f>$K$122*$Y$122</f>
        <v>0</v>
      </c>
      <c r="AF122" s="6">
        <f ca="1">$M$122*$Z$122</f>
        <v>339044.88</v>
      </c>
      <c r="AG122" s="6">
        <f>$O$122*$AA$122</f>
        <v>0</v>
      </c>
    </row>
    <row r="123" spans="1:33" ht="11.25" customHeight="1" x14ac:dyDescent="0.25">
      <c r="A123" s="4" t="s">
        <v>21</v>
      </c>
      <c r="B123" s="4" t="s">
        <v>35</v>
      </c>
      <c r="C123" s="4" t="s">
        <v>39</v>
      </c>
      <c r="D123" s="4" t="s">
        <v>34</v>
      </c>
      <c r="E123" s="4" t="s">
        <v>25</v>
      </c>
      <c r="F123" s="4" t="s">
        <v>56</v>
      </c>
      <c r="G123" s="4" t="s">
        <v>25</v>
      </c>
      <c r="H123" s="4" t="s">
        <v>38</v>
      </c>
      <c r="I123" s="5">
        <v>44440</v>
      </c>
      <c r="J123" s="6">
        <v>0</v>
      </c>
      <c r="K123" s="6">
        <v>0</v>
      </c>
      <c r="L123" s="6">
        <v>2733.4639999999999</v>
      </c>
      <c r="M123" s="6">
        <v>2733.4639999999999</v>
      </c>
      <c r="N123" s="6">
        <v>0</v>
      </c>
      <c r="O123" s="6">
        <v>0</v>
      </c>
      <c r="P123" s="6">
        <v>0</v>
      </c>
      <c r="Q123" s="4" t="s">
        <v>57</v>
      </c>
      <c r="R123" s="4">
        <v>0</v>
      </c>
      <c r="S123" s="6">
        <v>0</v>
      </c>
      <c r="T123" s="6">
        <v>18</v>
      </c>
      <c r="U123" s="6">
        <v>0</v>
      </c>
      <c r="V123" s="6">
        <f>IF(ISERROR(VLOOKUP($S$123,'TAR FIN'!$A$1:$O$86,15,0)),0,VLOOKUP($S$123,'TAR FIN'!$A$1:$O$86,15,0))</f>
        <v>0</v>
      </c>
      <c r="W123" s="6">
        <f>IF(ISERROR(VLOOKUP($T$123,'TAR FIN'!$A$1:$O$86,15,0)),0,VLOOKUP($T$123,'TAR FIN'!$A$1:$O$86,15,0))</f>
        <v>73.19</v>
      </c>
      <c r="X123" s="6">
        <f>IF(ISERROR(VLOOKUP($U$123,'TAR FIN'!$A$1:$O$86,15,0)),0,VLOOKUP($U$123,'TAR FIN'!$A$1:$O$86,15,0))</f>
        <v>0</v>
      </c>
      <c r="Y123" s="6"/>
      <c r="Z123" s="6">
        <f ca="1">('TUSD BE'!$AM$12+'TUSD BF_350'!$AM$12+'TUSD CVA'!$AM$12)*1</f>
        <v>126.25</v>
      </c>
      <c r="AA123" s="6"/>
      <c r="AB123" s="6">
        <f>$K$123*$V$123</f>
        <v>0</v>
      </c>
      <c r="AC123" s="6">
        <f>$M$123*$W$123</f>
        <v>200062.23015999998</v>
      </c>
      <c r="AD123" s="6">
        <f>$O$123*$X$123</f>
        <v>0</v>
      </c>
      <c r="AE123" s="6">
        <f>$K$123*$Y$123</f>
        <v>0</v>
      </c>
      <c r="AF123" s="6">
        <f ca="1">$M$123*$Z$123</f>
        <v>345099.83</v>
      </c>
      <c r="AG123" s="6">
        <f>$O$123*$AA$123</f>
        <v>0</v>
      </c>
    </row>
    <row r="124" spans="1:33" ht="11.25" customHeight="1" x14ac:dyDescent="0.25">
      <c r="A124" s="4" t="s">
        <v>21</v>
      </c>
      <c r="B124" s="4" t="s">
        <v>35</v>
      </c>
      <c r="C124" s="4" t="s">
        <v>39</v>
      </c>
      <c r="D124" s="4" t="s">
        <v>34</v>
      </c>
      <c r="E124" s="4" t="s">
        <v>25</v>
      </c>
      <c r="F124" s="4" t="s">
        <v>56</v>
      </c>
      <c r="G124" s="4" t="s">
        <v>25</v>
      </c>
      <c r="H124" s="4" t="s">
        <v>38</v>
      </c>
      <c r="I124" s="5">
        <v>44470</v>
      </c>
      <c r="J124" s="6">
        <v>0</v>
      </c>
      <c r="K124" s="6">
        <v>0</v>
      </c>
      <c r="L124" s="6">
        <v>2712.8209999999999</v>
      </c>
      <c r="M124" s="6">
        <v>2712.8209999999999</v>
      </c>
      <c r="N124" s="6">
        <v>0</v>
      </c>
      <c r="O124" s="6">
        <v>0</v>
      </c>
      <c r="P124" s="6">
        <v>0</v>
      </c>
      <c r="Q124" s="4" t="s">
        <v>57</v>
      </c>
      <c r="R124" s="4">
        <v>0</v>
      </c>
      <c r="S124" s="6">
        <v>0</v>
      </c>
      <c r="T124" s="6">
        <v>18</v>
      </c>
      <c r="U124" s="6">
        <v>0</v>
      </c>
      <c r="V124" s="6">
        <f>IF(ISERROR(VLOOKUP($S$124,'TAR FIN'!$A$1:$O$86,15,0)),0,VLOOKUP($S$124,'TAR FIN'!$A$1:$O$86,15,0))</f>
        <v>0</v>
      </c>
      <c r="W124" s="6">
        <f>IF(ISERROR(VLOOKUP($T$124,'TAR FIN'!$A$1:$O$86,15,0)),0,VLOOKUP($T$124,'TAR FIN'!$A$1:$O$86,15,0))</f>
        <v>73.19</v>
      </c>
      <c r="X124" s="6">
        <f>IF(ISERROR(VLOOKUP($U$124,'TAR FIN'!$A$1:$O$86,15,0)),0,VLOOKUP($U$124,'TAR FIN'!$A$1:$O$86,15,0))</f>
        <v>0</v>
      </c>
      <c r="Y124" s="6"/>
      <c r="Z124" s="6">
        <f ca="1">('TUSD BE'!$AM$12+'TUSD BF_350'!$AM$12+'TUSD CVA'!$AM$12)*1</f>
        <v>126.25</v>
      </c>
      <c r="AA124" s="6"/>
      <c r="AB124" s="6">
        <f>$K$124*$V$124</f>
        <v>0</v>
      </c>
      <c r="AC124" s="6">
        <f>$M$124*$W$124</f>
        <v>198551.36898999999</v>
      </c>
      <c r="AD124" s="6">
        <f>$O$124*$X$124</f>
        <v>0</v>
      </c>
      <c r="AE124" s="6">
        <f>$K$124*$Y$124</f>
        <v>0</v>
      </c>
      <c r="AF124" s="6">
        <f ca="1">$M$124*$Z$124</f>
        <v>342493.65125</v>
      </c>
      <c r="AG124" s="6">
        <f>$O$124*$AA$124</f>
        <v>0</v>
      </c>
    </row>
    <row r="125" spans="1:33" ht="11.25" customHeight="1" x14ac:dyDescent="0.25">
      <c r="A125" s="4" t="s">
        <v>21</v>
      </c>
      <c r="B125" s="4" t="s">
        <v>35</v>
      </c>
      <c r="C125" s="4" t="s">
        <v>39</v>
      </c>
      <c r="D125" s="4" t="s">
        <v>34</v>
      </c>
      <c r="E125" s="4" t="s">
        <v>25</v>
      </c>
      <c r="F125" s="4" t="s">
        <v>56</v>
      </c>
      <c r="G125" s="4" t="s">
        <v>25</v>
      </c>
      <c r="H125" s="4" t="s">
        <v>38</v>
      </c>
      <c r="I125" s="5">
        <v>44501</v>
      </c>
      <c r="J125" s="6">
        <v>0</v>
      </c>
      <c r="K125" s="6">
        <v>0</v>
      </c>
      <c r="L125" s="6">
        <v>2704.5920000000001</v>
      </c>
      <c r="M125" s="6">
        <v>2704.5920000000001</v>
      </c>
      <c r="N125" s="6">
        <v>0</v>
      </c>
      <c r="O125" s="6">
        <v>0</v>
      </c>
      <c r="P125" s="6">
        <v>0</v>
      </c>
      <c r="Q125" s="4" t="s">
        <v>57</v>
      </c>
      <c r="R125" s="4">
        <v>0</v>
      </c>
      <c r="S125" s="6">
        <v>0</v>
      </c>
      <c r="T125" s="6">
        <v>18</v>
      </c>
      <c r="U125" s="6">
        <v>0</v>
      </c>
      <c r="V125" s="6">
        <f>IF(ISERROR(VLOOKUP($S$125,'TAR FIN'!$A$1:$O$86,15,0)),0,VLOOKUP($S$125,'TAR FIN'!$A$1:$O$86,15,0))</f>
        <v>0</v>
      </c>
      <c r="W125" s="6">
        <f>IF(ISERROR(VLOOKUP($T$125,'TAR FIN'!$A$1:$O$86,15,0)),0,VLOOKUP($T$125,'TAR FIN'!$A$1:$O$86,15,0))</f>
        <v>73.19</v>
      </c>
      <c r="X125" s="6">
        <f>IF(ISERROR(VLOOKUP($U$125,'TAR FIN'!$A$1:$O$86,15,0)),0,VLOOKUP($U$125,'TAR FIN'!$A$1:$O$86,15,0))</f>
        <v>0</v>
      </c>
      <c r="Y125" s="6"/>
      <c r="Z125" s="6">
        <f ca="1">('TUSD BE'!$AM$12+'TUSD BF_350'!$AM$12+'TUSD CVA'!$AM$12)*1</f>
        <v>126.25</v>
      </c>
      <c r="AA125" s="6"/>
      <c r="AB125" s="6">
        <f>$K$125*$V$125</f>
        <v>0</v>
      </c>
      <c r="AC125" s="6">
        <f>$M$125*$W$125</f>
        <v>197949.08848000001</v>
      </c>
      <c r="AD125" s="6">
        <f>$O$125*$X$125</f>
        <v>0</v>
      </c>
      <c r="AE125" s="6">
        <f>$K$125*$Y$125</f>
        <v>0</v>
      </c>
      <c r="AF125" s="6">
        <f ca="1">$M$125*$Z$125</f>
        <v>341454.74</v>
      </c>
      <c r="AG125" s="6">
        <f>$O$125*$AA$125</f>
        <v>0</v>
      </c>
    </row>
    <row r="126" spans="1:33" ht="11.25" customHeight="1" x14ac:dyDescent="0.25">
      <c r="A126" s="4" t="s">
        <v>21</v>
      </c>
      <c r="B126" s="4" t="s">
        <v>35</v>
      </c>
      <c r="C126" s="4" t="s">
        <v>39</v>
      </c>
      <c r="D126" s="4" t="s">
        <v>34</v>
      </c>
      <c r="E126" s="4" t="s">
        <v>25</v>
      </c>
      <c r="F126" s="4" t="s">
        <v>56</v>
      </c>
      <c r="G126" s="4" t="s">
        <v>25</v>
      </c>
      <c r="H126" s="4" t="s">
        <v>38</v>
      </c>
      <c r="I126" s="5">
        <v>44531</v>
      </c>
      <c r="J126" s="6">
        <v>0</v>
      </c>
      <c r="K126" s="6">
        <v>0</v>
      </c>
      <c r="L126" s="6">
        <v>2656.8690000000001</v>
      </c>
      <c r="M126" s="6">
        <v>2656.8690000000001</v>
      </c>
      <c r="N126" s="6">
        <v>0</v>
      </c>
      <c r="O126" s="6">
        <v>0</v>
      </c>
      <c r="P126" s="6">
        <v>0</v>
      </c>
      <c r="Q126" s="4" t="s">
        <v>57</v>
      </c>
      <c r="R126" s="4">
        <v>0</v>
      </c>
      <c r="S126" s="6">
        <v>0</v>
      </c>
      <c r="T126" s="6">
        <v>18</v>
      </c>
      <c r="U126" s="6">
        <v>0</v>
      </c>
      <c r="V126" s="6">
        <f>IF(ISERROR(VLOOKUP($S$126,'TAR FIN'!$A$1:$O$86,15,0)),0,VLOOKUP($S$126,'TAR FIN'!$A$1:$O$86,15,0))</f>
        <v>0</v>
      </c>
      <c r="W126" s="6">
        <f>IF(ISERROR(VLOOKUP($T$126,'TAR FIN'!$A$1:$O$86,15,0)),0,VLOOKUP($T$126,'TAR FIN'!$A$1:$O$86,15,0))</f>
        <v>73.19</v>
      </c>
      <c r="X126" s="6">
        <f>IF(ISERROR(VLOOKUP($U$126,'TAR FIN'!$A$1:$O$86,15,0)),0,VLOOKUP($U$126,'TAR FIN'!$A$1:$O$86,15,0))</f>
        <v>0</v>
      </c>
      <c r="Y126" s="6"/>
      <c r="Z126" s="6">
        <f ca="1">('TUSD BE'!$AM$12+'TUSD BF_350'!$AM$12+'TUSD CVA'!$AM$12)*1</f>
        <v>126.25</v>
      </c>
      <c r="AA126" s="6"/>
      <c r="AB126" s="6">
        <f>$K$126*$V$126</f>
        <v>0</v>
      </c>
      <c r="AC126" s="6">
        <f>$M$126*$W$126</f>
        <v>194456.24210999999</v>
      </c>
      <c r="AD126" s="6">
        <f>$O$126*$X$126</f>
        <v>0</v>
      </c>
      <c r="AE126" s="6">
        <f>$K$126*$Y$126</f>
        <v>0</v>
      </c>
      <c r="AF126" s="6">
        <f ca="1">$M$126*$Z$126</f>
        <v>335429.71124999999</v>
      </c>
      <c r="AG126" s="6">
        <f>$O$126*$AA$126</f>
        <v>0</v>
      </c>
    </row>
    <row r="127" spans="1:33" ht="11.25" customHeight="1" x14ac:dyDescent="0.25">
      <c r="A127" s="4" t="s">
        <v>21</v>
      </c>
      <c r="B127" s="4" t="s">
        <v>35</v>
      </c>
      <c r="C127" s="4" t="s">
        <v>39</v>
      </c>
      <c r="D127" s="4" t="s">
        <v>34</v>
      </c>
      <c r="E127" s="4" t="s">
        <v>25</v>
      </c>
      <c r="F127" s="4" t="s">
        <v>56</v>
      </c>
      <c r="G127" s="4" t="s">
        <v>25</v>
      </c>
      <c r="H127" s="4" t="s">
        <v>38</v>
      </c>
      <c r="I127" s="5">
        <v>44562</v>
      </c>
      <c r="J127" s="6">
        <v>0</v>
      </c>
      <c r="K127" s="6">
        <v>0</v>
      </c>
      <c r="L127" s="6">
        <v>2634.998</v>
      </c>
      <c r="M127" s="6">
        <v>2634.998</v>
      </c>
      <c r="N127" s="6">
        <v>0</v>
      </c>
      <c r="O127" s="6">
        <v>0</v>
      </c>
      <c r="P127" s="6">
        <v>0</v>
      </c>
      <c r="Q127" s="4" t="s">
        <v>57</v>
      </c>
      <c r="R127" s="4">
        <v>0</v>
      </c>
      <c r="S127" s="6">
        <v>0</v>
      </c>
      <c r="T127" s="6">
        <v>18</v>
      </c>
      <c r="U127" s="6">
        <v>0</v>
      </c>
      <c r="V127" s="6">
        <f>IF(ISERROR(VLOOKUP($S$127,'TAR FIN'!$A$1:$O$86,15,0)),0,VLOOKUP($S$127,'TAR FIN'!$A$1:$O$86,15,0))</f>
        <v>0</v>
      </c>
      <c r="W127" s="6">
        <f>IF(ISERROR(VLOOKUP($T$127,'TAR FIN'!$A$1:$O$86,15,0)),0,VLOOKUP($T$127,'TAR FIN'!$A$1:$O$86,15,0))</f>
        <v>73.19</v>
      </c>
      <c r="X127" s="6">
        <f>IF(ISERROR(VLOOKUP($U$127,'TAR FIN'!$A$1:$O$86,15,0)),0,VLOOKUP($U$127,'TAR FIN'!$A$1:$O$86,15,0))</f>
        <v>0</v>
      </c>
      <c r="Y127" s="6"/>
      <c r="Z127" s="6">
        <f ca="1">('TUSD BE'!$AM$12+'TUSD BF_350'!$AM$12+'TUSD CVA'!$AM$12)*1</f>
        <v>126.25</v>
      </c>
      <c r="AA127" s="6"/>
      <c r="AB127" s="6">
        <f>$K$127*$V$127</f>
        <v>0</v>
      </c>
      <c r="AC127" s="6">
        <f>$M$127*$W$127</f>
        <v>192855.50362</v>
      </c>
      <c r="AD127" s="6">
        <f>$O$127*$X$127</f>
        <v>0</v>
      </c>
      <c r="AE127" s="6">
        <f>$K$127*$Y$127</f>
        <v>0</v>
      </c>
      <c r="AF127" s="6">
        <f ca="1">$M$127*$Z$127</f>
        <v>332668.4975</v>
      </c>
      <c r="AG127" s="6">
        <f>$O$127*$AA$127</f>
        <v>0</v>
      </c>
    </row>
    <row r="128" spans="1:33" ht="11.25" customHeight="1" x14ac:dyDescent="0.25">
      <c r="A128" s="4" t="s">
        <v>21</v>
      </c>
      <c r="B128" s="4" t="s">
        <v>35</v>
      </c>
      <c r="C128" s="4" t="s">
        <v>39</v>
      </c>
      <c r="D128" s="4" t="s">
        <v>34</v>
      </c>
      <c r="E128" s="4" t="s">
        <v>25</v>
      </c>
      <c r="F128" s="4" t="s">
        <v>56</v>
      </c>
      <c r="G128" s="4" t="s">
        <v>25</v>
      </c>
      <c r="H128" s="4" t="s">
        <v>38</v>
      </c>
      <c r="I128" s="5">
        <v>44593</v>
      </c>
      <c r="J128" s="6">
        <v>0</v>
      </c>
      <c r="K128" s="6">
        <v>0</v>
      </c>
      <c r="L128" s="6">
        <v>2436.9760000000001</v>
      </c>
      <c r="M128" s="6">
        <v>2436.9760000000001</v>
      </c>
      <c r="N128" s="6">
        <v>0</v>
      </c>
      <c r="O128" s="6">
        <v>0</v>
      </c>
      <c r="P128" s="6">
        <v>0</v>
      </c>
      <c r="Q128" s="4" t="s">
        <v>57</v>
      </c>
      <c r="R128" s="4">
        <v>0</v>
      </c>
      <c r="S128" s="6">
        <v>0</v>
      </c>
      <c r="T128" s="6">
        <v>18</v>
      </c>
      <c r="U128" s="6">
        <v>0</v>
      </c>
      <c r="V128" s="6">
        <f>IF(ISERROR(VLOOKUP($S$128,'TAR FIN'!$A$1:$O$86,15,0)),0,VLOOKUP($S$128,'TAR FIN'!$A$1:$O$86,15,0))</f>
        <v>0</v>
      </c>
      <c r="W128" s="6">
        <f>IF(ISERROR(VLOOKUP($T$128,'TAR FIN'!$A$1:$O$86,15,0)),0,VLOOKUP($T$128,'TAR FIN'!$A$1:$O$86,15,0))</f>
        <v>73.19</v>
      </c>
      <c r="X128" s="6">
        <f>IF(ISERROR(VLOOKUP($U$128,'TAR FIN'!$A$1:$O$86,15,0)),0,VLOOKUP($U$128,'TAR FIN'!$A$1:$O$86,15,0))</f>
        <v>0</v>
      </c>
      <c r="Y128" s="6"/>
      <c r="Z128" s="6">
        <f ca="1">('TUSD BE'!$AM$12+'TUSD BF_350'!$AM$12+'TUSD CVA'!$AM$12)*1</f>
        <v>126.25</v>
      </c>
      <c r="AA128" s="6"/>
      <c r="AB128" s="6">
        <f>$K$128*$V$128</f>
        <v>0</v>
      </c>
      <c r="AC128" s="6">
        <f>$M$128*$W$128</f>
        <v>178362.27343999999</v>
      </c>
      <c r="AD128" s="6">
        <f>$O$128*$X$128</f>
        <v>0</v>
      </c>
      <c r="AE128" s="6">
        <f>$K$128*$Y$128</f>
        <v>0</v>
      </c>
      <c r="AF128" s="6">
        <f ca="1">$M$128*$Z$128</f>
        <v>307668.22000000003</v>
      </c>
      <c r="AG128" s="6">
        <f>$O$128*$AA$128</f>
        <v>0</v>
      </c>
    </row>
    <row r="129" spans="1:33" ht="11.25" customHeight="1" x14ac:dyDescent="0.25">
      <c r="A129" s="4" t="s">
        <v>21</v>
      </c>
      <c r="B129" s="4" t="s">
        <v>35</v>
      </c>
      <c r="C129" s="4" t="s">
        <v>39</v>
      </c>
      <c r="D129" s="4" t="s">
        <v>34</v>
      </c>
      <c r="E129" s="4" t="s">
        <v>25</v>
      </c>
      <c r="F129" s="4" t="s">
        <v>56</v>
      </c>
      <c r="G129" s="4" t="s">
        <v>25</v>
      </c>
      <c r="H129" s="4" t="s">
        <v>38</v>
      </c>
      <c r="I129" s="5">
        <v>44621</v>
      </c>
      <c r="J129" s="6">
        <v>0</v>
      </c>
      <c r="K129" s="6">
        <v>0</v>
      </c>
      <c r="L129" s="6">
        <v>2841.8339999999998</v>
      </c>
      <c r="M129" s="6">
        <v>2841.8339999999998</v>
      </c>
      <c r="N129" s="6">
        <v>0</v>
      </c>
      <c r="O129" s="6">
        <v>0</v>
      </c>
      <c r="P129" s="6">
        <v>0</v>
      </c>
      <c r="Q129" s="4" t="s">
        <v>57</v>
      </c>
      <c r="R129" s="4">
        <v>0</v>
      </c>
      <c r="S129" s="6">
        <v>0</v>
      </c>
      <c r="T129" s="6">
        <v>18</v>
      </c>
      <c r="U129" s="6">
        <v>0</v>
      </c>
      <c r="V129" s="6">
        <f>IF(ISERROR(VLOOKUP($S$129,'TAR FIN'!$A$1:$O$86,15,0)),0,VLOOKUP($S$129,'TAR FIN'!$A$1:$O$86,15,0))</f>
        <v>0</v>
      </c>
      <c r="W129" s="6">
        <f>IF(ISERROR(VLOOKUP($T$129,'TAR FIN'!$A$1:$O$86,15,0)),0,VLOOKUP($T$129,'TAR FIN'!$A$1:$O$86,15,0))</f>
        <v>73.19</v>
      </c>
      <c r="X129" s="6">
        <f>IF(ISERROR(VLOOKUP($U$129,'TAR FIN'!$A$1:$O$86,15,0)),0,VLOOKUP($U$129,'TAR FIN'!$A$1:$O$86,15,0))</f>
        <v>0</v>
      </c>
      <c r="Y129" s="6"/>
      <c r="Z129" s="6">
        <f ca="1">('TUSD BE'!$AM$12+'TUSD BF_350'!$AM$12+'TUSD CVA'!$AM$12)*1</f>
        <v>126.25</v>
      </c>
      <c r="AA129" s="6"/>
      <c r="AB129" s="6">
        <f>$K$129*$V$129</f>
        <v>0</v>
      </c>
      <c r="AC129" s="6">
        <f>$M$129*$W$129</f>
        <v>207993.83045999997</v>
      </c>
      <c r="AD129" s="6">
        <f>$O$129*$X$129</f>
        <v>0</v>
      </c>
      <c r="AE129" s="6">
        <f>$K$129*$Y$129</f>
        <v>0</v>
      </c>
      <c r="AF129" s="6">
        <f ca="1">$M$129*$Z$129</f>
        <v>358781.54249999998</v>
      </c>
      <c r="AG129" s="6">
        <f>$O$129*$AA$129</f>
        <v>0</v>
      </c>
    </row>
    <row r="130" spans="1:33" ht="11.25" customHeight="1" x14ac:dyDescent="0.25">
      <c r="A130" s="4" t="s">
        <v>21</v>
      </c>
      <c r="B130" s="4" t="s">
        <v>35</v>
      </c>
      <c r="C130" s="4" t="s">
        <v>39</v>
      </c>
      <c r="D130" s="4" t="s">
        <v>34</v>
      </c>
      <c r="E130" s="4" t="s">
        <v>25</v>
      </c>
      <c r="F130" s="4" t="s">
        <v>56</v>
      </c>
      <c r="G130" s="4" t="s">
        <v>25</v>
      </c>
      <c r="H130" s="4" t="s">
        <v>38</v>
      </c>
      <c r="I130" s="5">
        <v>44652</v>
      </c>
      <c r="J130" s="6">
        <v>0</v>
      </c>
      <c r="K130" s="6">
        <v>0</v>
      </c>
      <c r="L130" s="6">
        <v>2543.5279999999998</v>
      </c>
      <c r="M130" s="6">
        <v>2543.5279999999998</v>
      </c>
      <c r="N130" s="6">
        <v>0</v>
      </c>
      <c r="O130" s="6">
        <v>0</v>
      </c>
      <c r="P130" s="6">
        <v>0</v>
      </c>
      <c r="Q130" s="4" t="s">
        <v>57</v>
      </c>
      <c r="R130" s="4">
        <v>0</v>
      </c>
      <c r="S130" s="6">
        <v>0</v>
      </c>
      <c r="T130" s="6">
        <v>18</v>
      </c>
      <c r="U130" s="6">
        <v>0</v>
      </c>
      <c r="V130" s="6">
        <f>IF(ISERROR(VLOOKUP($S$130,'TAR FIN'!$A$1:$O$86,15,0)),0,VLOOKUP($S$130,'TAR FIN'!$A$1:$O$86,15,0))</f>
        <v>0</v>
      </c>
      <c r="W130" s="6">
        <f>IF(ISERROR(VLOOKUP($T$130,'TAR FIN'!$A$1:$O$86,15,0)),0,VLOOKUP($T$130,'TAR FIN'!$A$1:$O$86,15,0))</f>
        <v>73.19</v>
      </c>
      <c r="X130" s="6">
        <f>IF(ISERROR(VLOOKUP($U$130,'TAR FIN'!$A$1:$O$86,15,0)),0,VLOOKUP($U$130,'TAR FIN'!$A$1:$O$86,15,0))</f>
        <v>0</v>
      </c>
      <c r="Y130" s="6"/>
      <c r="Z130" s="6">
        <f ca="1">('TUSD BE'!$AM$12+'TUSD BF_350'!$AM$12+'TUSD CVA'!$AM$12)*1</f>
        <v>126.25</v>
      </c>
      <c r="AA130" s="6"/>
      <c r="AB130" s="6">
        <f>$K$130*$V$130</f>
        <v>0</v>
      </c>
      <c r="AC130" s="6">
        <f>$M$130*$W$130</f>
        <v>186160.81431999998</v>
      </c>
      <c r="AD130" s="6">
        <f>$O$130*$X$130</f>
        <v>0</v>
      </c>
      <c r="AE130" s="6">
        <f>$K$130*$Y$130</f>
        <v>0</v>
      </c>
      <c r="AF130" s="6">
        <f ca="1">$M$130*$Z$130</f>
        <v>321120.40999999997</v>
      </c>
      <c r="AG130" s="6">
        <f>$O$130*$AA$130</f>
        <v>0</v>
      </c>
    </row>
    <row r="131" spans="1:33" ht="11.25" customHeight="1" x14ac:dyDescent="0.25">
      <c r="A131" s="4" t="s">
        <v>21</v>
      </c>
      <c r="B131" s="4" t="s">
        <v>35</v>
      </c>
      <c r="C131" s="4" t="s">
        <v>39</v>
      </c>
      <c r="D131" s="4" t="s">
        <v>34</v>
      </c>
      <c r="E131" s="4" t="s">
        <v>25</v>
      </c>
      <c r="F131" s="4" t="s">
        <v>56</v>
      </c>
      <c r="G131" s="4" t="s">
        <v>25</v>
      </c>
      <c r="H131" s="4" t="s">
        <v>38</v>
      </c>
      <c r="I131" s="5">
        <v>44682</v>
      </c>
      <c r="J131" s="6">
        <v>0</v>
      </c>
      <c r="K131" s="6">
        <v>0</v>
      </c>
      <c r="L131" s="6">
        <v>2743.3420000000001</v>
      </c>
      <c r="M131" s="6">
        <v>2743.3420000000001</v>
      </c>
      <c r="N131" s="6">
        <v>0</v>
      </c>
      <c r="O131" s="6">
        <v>0</v>
      </c>
      <c r="P131" s="6">
        <v>0</v>
      </c>
      <c r="Q131" s="4" t="s">
        <v>57</v>
      </c>
      <c r="R131" s="4">
        <v>0</v>
      </c>
      <c r="S131" s="6">
        <v>0</v>
      </c>
      <c r="T131" s="6">
        <v>18</v>
      </c>
      <c r="U131" s="6">
        <v>0</v>
      </c>
      <c r="V131" s="6">
        <f>IF(ISERROR(VLOOKUP($S$131,'TAR FIN'!$A$1:$O$86,15,0)),0,VLOOKUP($S$131,'TAR FIN'!$A$1:$O$86,15,0))</f>
        <v>0</v>
      </c>
      <c r="W131" s="6">
        <f>IF(ISERROR(VLOOKUP($T$131,'TAR FIN'!$A$1:$O$86,15,0)),0,VLOOKUP($T$131,'TAR FIN'!$A$1:$O$86,15,0))</f>
        <v>73.19</v>
      </c>
      <c r="X131" s="6">
        <f>IF(ISERROR(VLOOKUP($U$131,'TAR FIN'!$A$1:$O$86,15,0)),0,VLOOKUP($U$131,'TAR FIN'!$A$1:$O$86,15,0))</f>
        <v>0</v>
      </c>
      <c r="Y131" s="6"/>
      <c r="Z131" s="6">
        <f ca="1">('TUSD BE'!$AM$12+'TUSD BF_350'!$AM$12+'TUSD CVA'!$AM$12)*1</f>
        <v>126.25</v>
      </c>
      <c r="AA131" s="6"/>
      <c r="AB131" s="6">
        <f>$K$131*$V$131</f>
        <v>0</v>
      </c>
      <c r="AC131" s="6">
        <f>$M$131*$W$131</f>
        <v>200785.20097999999</v>
      </c>
      <c r="AD131" s="6">
        <f>$O$131*$X$131</f>
        <v>0</v>
      </c>
      <c r="AE131" s="6">
        <f>$K$131*$Y$131</f>
        <v>0</v>
      </c>
      <c r="AF131" s="6">
        <f ca="1">$M$131*$Z$131</f>
        <v>346346.92749999999</v>
      </c>
      <c r="AG131" s="6">
        <f>$O$131*$AA$131</f>
        <v>0</v>
      </c>
    </row>
    <row r="132" spans="1:33" ht="11.25" customHeight="1" x14ac:dyDescent="0.25">
      <c r="A132" s="4" t="s">
        <v>21</v>
      </c>
      <c r="B132" s="4" t="s">
        <v>35</v>
      </c>
      <c r="C132" s="4" t="s">
        <v>39</v>
      </c>
      <c r="D132" s="4" t="s">
        <v>34</v>
      </c>
      <c r="E132" s="4" t="s">
        <v>25</v>
      </c>
      <c r="F132" s="4" t="s">
        <v>56</v>
      </c>
      <c r="G132" s="4" t="s">
        <v>25</v>
      </c>
      <c r="H132" s="4" t="s">
        <v>38</v>
      </c>
      <c r="I132" s="5">
        <v>44713</v>
      </c>
      <c r="J132" s="6">
        <v>0</v>
      </c>
      <c r="K132" s="6">
        <v>0</v>
      </c>
      <c r="L132" s="6">
        <v>2720.0070000000001</v>
      </c>
      <c r="M132" s="6">
        <v>2720.0070000000001</v>
      </c>
      <c r="N132" s="6">
        <v>0</v>
      </c>
      <c r="O132" s="6">
        <v>0</v>
      </c>
      <c r="P132" s="6">
        <v>0</v>
      </c>
      <c r="Q132" s="4" t="s">
        <v>57</v>
      </c>
      <c r="R132" s="4">
        <v>0</v>
      </c>
      <c r="S132" s="6">
        <v>0</v>
      </c>
      <c r="T132" s="6">
        <v>18</v>
      </c>
      <c r="U132" s="6">
        <v>0</v>
      </c>
      <c r="V132" s="6">
        <f>IF(ISERROR(VLOOKUP($S$132,'TAR FIN'!$A$1:$O$86,15,0)),0,VLOOKUP($S$132,'TAR FIN'!$A$1:$O$86,15,0))</f>
        <v>0</v>
      </c>
      <c r="W132" s="6">
        <f>IF(ISERROR(VLOOKUP($T$132,'TAR FIN'!$A$1:$O$86,15,0)),0,VLOOKUP($T$132,'TAR FIN'!$A$1:$O$86,15,0))</f>
        <v>73.19</v>
      </c>
      <c r="X132" s="6">
        <f>IF(ISERROR(VLOOKUP($U$132,'TAR FIN'!$A$1:$O$86,15,0)),0,VLOOKUP($U$132,'TAR FIN'!$A$1:$O$86,15,0))</f>
        <v>0</v>
      </c>
      <c r="Y132" s="6"/>
      <c r="Z132" s="6">
        <f ca="1">('TUSD BE'!$AM$12+'TUSD BF_350'!$AM$12+'TUSD CVA'!$AM$12)*1</f>
        <v>126.25</v>
      </c>
      <c r="AA132" s="6"/>
      <c r="AB132" s="6">
        <f>$K$132*$V$132</f>
        <v>0</v>
      </c>
      <c r="AC132" s="6">
        <f>$M$132*$W$132</f>
        <v>199077.31232999999</v>
      </c>
      <c r="AD132" s="6">
        <f>$O$132*$X$132</f>
        <v>0</v>
      </c>
      <c r="AE132" s="6">
        <f>$K$132*$Y$132</f>
        <v>0</v>
      </c>
      <c r="AF132" s="6">
        <f ca="1">$M$132*$Z$132</f>
        <v>343400.88374999998</v>
      </c>
      <c r="AG132" s="6">
        <f>$O$132*$AA$132</f>
        <v>0</v>
      </c>
    </row>
    <row r="133" spans="1:33" ht="11.25" customHeight="1" x14ac:dyDescent="0.25">
      <c r="A133" s="4" t="s">
        <v>55</v>
      </c>
      <c r="B133" s="4" t="s">
        <v>35</v>
      </c>
      <c r="C133" s="4" t="s">
        <v>39</v>
      </c>
      <c r="D133" s="4" t="s">
        <v>34</v>
      </c>
      <c r="E133" s="4" t="s">
        <v>25</v>
      </c>
      <c r="F133" s="4" t="s">
        <v>56</v>
      </c>
      <c r="G133" s="4" t="s">
        <v>25</v>
      </c>
      <c r="H133" s="4" t="s">
        <v>38</v>
      </c>
      <c r="I133" s="5">
        <v>44743</v>
      </c>
      <c r="J133" s="6">
        <v>0</v>
      </c>
      <c r="K133" s="6">
        <v>0</v>
      </c>
      <c r="L133" s="6">
        <v>2720.0070000000001</v>
      </c>
      <c r="M133" s="6">
        <v>2720.0070000000001</v>
      </c>
      <c r="N133" s="6">
        <v>0</v>
      </c>
      <c r="O133" s="6">
        <v>0</v>
      </c>
      <c r="P133" s="6">
        <v>0</v>
      </c>
      <c r="Q133" s="4" t="s">
        <v>57</v>
      </c>
      <c r="R133" s="4">
        <v>0</v>
      </c>
      <c r="S133" s="6">
        <v>0</v>
      </c>
      <c r="T133" s="6">
        <v>18</v>
      </c>
      <c r="U133" s="6">
        <v>0</v>
      </c>
      <c r="V133" s="6">
        <f>IF(ISERROR(VLOOKUP($S$133,'TAR FIN'!$A$1:$O$86,15,0)),0,VLOOKUP($S$133,'TAR FIN'!$A$1:$O$86,15,0))</f>
        <v>0</v>
      </c>
      <c r="W133" s="6">
        <f>IF(ISERROR(VLOOKUP($T$133,'TAR FIN'!$A$1:$O$86,15,0)),0,VLOOKUP($T$133,'TAR FIN'!$A$1:$O$86,15,0))</f>
        <v>73.19</v>
      </c>
      <c r="X133" s="6">
        <f>IF(ISERROR(VLOOKUP($U$133,'TAR FIN'!$A$1:$O$86,15,0)),0,VLOOKUP($U$133,'TAR FIN'!$A$1:$O$86,15,0))</f>
        <v>0</v>
      </c>
      <c r="Y133" s="6"/>
      <c r="Z133" s="6">
        <f ca="1">('TUSD BE'!$AM$12+'TUSD BF_350'!$AM$12+'TUSD CVA'!$AM$12)*1</f>
        <v>126.25</v>
      </c>
      <c r="AA133" s="6"/>
      <c r="AB133" s="6">
        <f>$K$133*$V$133</f>
        <v>0</v>
      </c>
      <c r="AC133" s="6">
        <f>$M$133*$W$133</f>
        <v>199077.31232999999</v>
      </c>
      <c r="AD133" s="6">
        <f>$O$133*$X$133</f>
        <v>0</v>
      </c>
      <c r="AE133" s="6">
        <f>$K$133*$Y$133</f>
        <v>0</v>
      </c>
      <c r="AF133" s="6">
        <f ca="1">$M$133*$Z$133</f>
        <v>343400.88374999998</v>
      </c>
      <c r="AG133" s="6">
        <f>$O$133*$AA$133</f>
        <v>0</v>
      </c>
    </row>
    <row r="134" spans="1:33" ht="11.25" customHeight="1" x14ac:dyDescent="0.25">
      <c r="A134" s="4" t="s">
        <v>21</v>
      </c>
      <c r="B134" s="4" t="s">
        <v>35</v>
      </c>
      <c r="C134" s="4" t="s">
        <v>39</v>
      </c>
      <c r="D134" s="4" t="s">
        <v>34</v>
      </c>
      <c r="E134" s="4" t="s">
        <v>25</v>
      </c>
      <c r="F134" s="4" t="s">
        <v>56</v>
      </c>
      <c r="G134" s="4" t="s">
        <v>25</v>
      </c>
      <c r="H134" s="4" t="s">
        <v>25</v>
      </c>
      <c r="I134" s="5">
        <v>44409</v>
      </c>
      <c r="J134" s="6">
        <v>10322</v>
      </c>
      <c r="K134" s="6">
        <v>4424.0092000000004</v>
      </c>
      <c r="L134" s="6">
        <v>0</v>
      </c>
      <c r="M134" s="6">
        <v>0</v>
      </c>
      <c r="N134" s="6">
        <v>0</v>
      </c>
      <c r="O134" s="6">
        <v>0</v>
      </c>
      <c r="P134" s="6">
        <v>7</v>
      </c>
      <c r="Q134" s="4" t="s">
        <v>57</v>
      </c>
      <c r="R134" s="4">
        <v>0</v>
      </c>
      <c r="S134" s="6">
        <v>24</v>
      </c>
      <c r="T134" s="6">
        <v>0</v>
      </c>
      <c r="U134" s="6">
        <v>0</v>
      </c>
      <c r="V134" s="6">
        <f>IF(ISERROR(VLOOKUP($S$134,'TAR FIN'!$A$1:$O$86,15,0)),0,VLOOKUP($S$134,'TAR FIN'!$A$1:$O$86,15,0))</f>
        <v>22.9</v>
      </c>
      <c r="W134" s="6">
        <f>IF(ISERROR(VLOOKUP($T$134,'TAR FIN'!$A$1:$O$86,15,0)),0,VLOOKUP($T$134,'TAR FIN'!$A$1:$O$86,15,0))</f>
        <v>0</v>
      </c>
      <c r="X134" s="6">
        <f>IF(ISERROR(VLOOKUP($U$134,'TAR FIN'!$A$1:$O$86,15,0)),0,VLOOKUP($U$134,'TAR FIN'!$A$1:$O$86,15,0))</f>
        <v>0</v>
      </c>
      <c r="Y134" s="6">
        <f ca="1">('TUSD BE'!$AM$10+'TUSD BF_350'!$AM$10+'TUSD CVA'!$AM$10)*1</f>
        <v>15.64</v>
      </c>
      <c r="Z134" s="6"/>
      <c r="AA134" s="6"/>
      <c r="AB134" s="6">
        <f>$K$134*$V$134</f>
        <v>101309.81068000001</v>
      </c>
      <c r="AC134" s="6">
        <f>$M$134*$W$134</f>
        <v>0</v>
      </c>
      <c r="AD134" s="6">
        <f>$O$134*$X$134</f>
        <v>0</v>
      </c>
      <c r="AE134" s="6">
        <f ca="1">$K$134*$Y$134</f>
        <v>69191.503888000007</v>
      </c>
      <c r="AF134" s="6">
        <f>$M$134*$Z$134</f>
        <v>0</v>
      </c>
      <c r="AG134" s="6">
        <f>$O$134*$AA$134</f>
        <v>0</v>
      </c>
    </row>
    <row r="135" spans="1:33" ht="11.25" customHeight="1" x14ac:dyDescent="0.25">
      <c r="A135" s="4" t="s">
        <v>21</v>
      </c>
      <c r="B135" s="4" t="s">
        <v>35</v>
      </c>
      <c r="C135" s="4" t="s">
        <v>39</v>
      </c>
      <c r="D135" s="4" t="s">
        <v>34</v>
      </c>
      <c r="E135" s="4" t="s">
        <v>25</v>
      </c>
      <c r="F135" s="4" t="s">
        <v>56</v>
      </c>
      <c r="G135" s="4" t="s">
        <v>25</v>
      </c>
      <c r="H135" s="4" t="s">
        <v>25</v>
      </c>
      <c r="I135" s="5">
        <v>44440</v>
      </c>
      <c r="J135" s="6">
        <v>10306</v>
      </c>
      <c r="K135" s="6">
        <v>4902.5641999999998</v>
      </c>
      <c r="L135" s="6">
        <v>0</v>
      </c>
      <c r="M135" s="6">
        <v>0</v>
      </c>
      <c r="N135" s="6">
        <v>0</v>
      </c>
      <c r="O135" s="6">
        <v>0</v>
      </c>
      <c r="P135" s="6">
        <v>7</v>
      </c>
      <c r="Q135" s="4" t="s">
        <v>57</v>
      </c>
      <c r="R135" s="4">
        <v>0</v>
      </c>
      <c r="S135" s="6">
        <v>24</v>
      </c>
      <c r="T135" s="6">
        <v>0</v>
      </c>
      <c r="U135" s="6">
        <v>0</v>
      </c>
      <c r="V135" s="6">
        <f>IF(ISERROR(VLOOKUP($S$135,'TAR FIN'!$A$1:$O$86,15,0)),0,VLOOKUP($S$135,'TAR FIN'!$A$1:$O$86,15,0))</f>
        <v>22.9</v>
      </c>
      <c r="W135" s="6">
        <f>IF(ISERROR(VLOOKUP($T$135,'TAR FIN'!$A$1:$O$86,15,0)),0,VLOOKUP($T$135,'TAR FIN'!$A$1:$O$86,15,0))</f>
        <v>0</v>
      </c>
      <c r="X135" s="6">
        <f>IF(ISERROR(VLOOKUP($U$135,'TAR FIN'!$A$1:$O$86,15,0)),0,VLOOKUP($U$135,'TAR FIN'!$A$1:$O$86,15,0))</f>
        <v>0</v>
      </c>
      <c r="Y135" s="6">
        <f ca="1">('TUSD BE'!$AM$10+'TUSD BF_350'!$AM$10+'TUSD CVA'!$AM$10)*1</f>
        <v>15.64</v>
      </c>
      <c r="Z135" s="6"/>
      <c r="AA135" s="6"/>
      <c r="AB135" s="6">
        <f>$K$135*$V$135</f>
        <v>112268.72017999999</v>
      </c>
      <c r="AC135" s="6">
        <f>$M$135*$W$135</f>
        <v>0</v>
      </c>
      <c r="AD135" s="6">
        <f>$O$135*$X$135</f>
        <v>0</v>
      </c>
      <c r="AE135" s="6">
        <f ca="1">$K$135*$Y$135</f>
        <v>76676.104087999993</v>
      </c>
      <c r="AF135" s="6">
        <f>$M$135*$Z$135</f>
        <v>0</v>
      </c>
      <c r="AG135" s="6">
        <f>$O$135*$AA$135</f>
        <v>0</v>
      </c>
    </row>
    <row r="136" spans="1:33" ht="11.25" customHeight="1" x14ac:dyDescent="0.25">
      <c r="A136" s="4" t="s">
        <v>21</v>
      </c>
      <c r="B136" s="4" t="s">
        <v>35</v>
      </c>
      <c r="C136" s="4" t="s">
        <v>39</v>
      </c>
      <c r="D136" s="4" t="s">
        <v>34</v>
      </c>
      <c r="E136" s="4" t="s">
        <v>25</v>
      </c>
      <c r="F136" s="4" t="s">
        <v>56</v>
      </c>
      <c r="G136" s="4" t="s">
        <v>25</v>
      </c>
      <c r="H136" s="4" t="s">
        <v>25</v>
      </c>
      <c r="I136" s="5">
        <v>44470</v>
      </c>
      <c r="J136" s="6">
        <v>10319</v>
      </c>
      <c r="K136" s="6">
        <v>4909.7802000000001</v>
      </c>
      <c r="L136" s="6">
        <v>0</v>
      </c>
      <c r="M136" s="6">
        <v>0</v>
      </c>
      <c r="N136" s="6">
        <v>0</v>
      </c>
      <c r="O136" s="6">
        <v>0</v>
      </c>
      <c r="P136" s="6">
        <v>7</v>
      </c>
      <c r="Q136" s="4" t="s">
        <v>57</v>
      </c>
      <c r="R136" s="4">
        <v>0</v>
      </c>
      <c r="S136" s="6">
        <v>24</v>
      </c>
      <c r="T136" s="6">
        <v>0</v>
      </c>
      <c r="U136" s="6">
        <v>0</v>
      </c>
      <c r="V136" s="6">
        <f>IF(ISERROR(VLOOKUP($S$136,'TAR FIN'!$A$1:$O$86,15,0)),0,VLOOKUP($S$136,'TAR FIN'!$A$1:$O$86,15,0))</f>
        <v>22.9</v>
      </c>
      <c r="W136" s="6">
        <f>IF(ISERROR(VLOOKUP($T$136,'TAR FIN'!$A$1:$O$86,15,0)),0,VLOOKUP($T$136,'TAR FIN'!$A$1:$O$86,15,0))</f>
        <v>0</v>
      </c>
      <c r="X136" s="6">
        <f>IF(ISERROR(VLOOKUP($U$136,'TAR FIN'!$A$1:$O$86,15,0)),0,VLOOKUP($U$136,'TAR FIN'!$A$1:$O$86,15,0))</f>
        <v>0</v>
      </c>
      <c r="Y136" s="6">
        <f ca="1">('TUSD BE'!$AM$10+'TUSD BF_350'!$AM$10+'TUSD CVA'!$AM$10)*1</f>
        <v>15.64</v>
      </c>
      <c r="Z136" s="6"/>
      <c r="AA136" s="6"/>
      <c r="AB136" s="6">
        <f>$K$136*$V$136</f>
        <v>112433.96657999999</v>
      </c>
      <c r="AC136" s="6">
        <f>$M$136*$W$136</f>
        <v>0</v>
      </c>
      <c r="AD136" s="6">
        <f>$O$136*$X$136</f>
        <v>0</v>
      </c>
      <c r="AE136" s="6">
        <f ca="1">$K$136*$Y$136</f>
        <v>76788.962328000009</v>
      </c>
      <c r="AF136" s="6">
        <f>$M$136*$Z$136</f>
        <v>0</v>
      </c>
      <c r="AG136" s="6">
        <f>$O$136*$AA$136</f>
        <v>0</v>
      </c>
    </row>
    <row r="137" spans="1:33" ht="11.25" customHeight="1" x14ac:dyDescent="0.25">
      <c r="A137" s="4" t="s">
        <v>21</v>
      </c>
      <c r="B137" s="4" t="s">
        <v>35</v>
      </c>
      <c r="C137" s="4" t="s">
        <v>39</v>
      </c>
      <c r="D137" s="4" t="s">
        <v>34</v>
      </c>
      <c r="E137" s="4" t="s">
        <v>25</v>
      </c>
      <c r="F137" s="4" t="s">
        <v>56</v>
      </c>
      <c r="G137" s="4" t="s">
        <v>25</v>
      </c>
      <c r="H137" s="4" t="s">
        <v>25</v>
      </c>
      <c r="I137" s="5">
        <v>44501</v>
      </c>
      <c r="J137" s="6">
        <v>10344</v>
      </c>
      <c r="K137" s="6">
        <v>4921.6751999999997</v>
      </c>
      <c r="L137" s="6">
        <v>0</v>
      </c>
      <c r="M137" s="6">
        <v>0</v>
      </c>
      <c r="N137" s="6">
        <v>0</v>
      </c>
      <c r="O137" s="6">
        <v>0</v>
      </c>
      <c r="P137" s="6">
        <v>7</v>
      </c>
      <c r="Q137" s="4" t="s">
        <v>57</v>
      </c>
      <c r="R137" s="4">
        <v>0</v>
      </c>
      <c r="S137" s="6">
        <v>24</v>
      </c>
      <c r="T137" s="6">
        <v>0</v>
      </c>
      <c r="U137" s="6">
        <v>0</v>
      </c>
      <c r="V137" s="6">
        <f>IF(ISERROR(VLOOKUP($S$137,'TAR FIN'!$A$1:$O$86,15,0)),0,VLOOKUP($S$137,'TAR FIN'!$A$1:$O$86,15,0))</f>
        <v>22.9</v>
      </c>
      <c r="W137" s="6">
        <f>IF(ISERROR(VLOOKUP($T$137,'TAR FIN'!$A$1:$O$86,15,0)),0,VLOOKUP($T$137,'TAR FIN'!$A$1:$O$86,15,0))</f>
        <v>0</v>
      </c>
      <c r="X137" s="6">
        <f>IF(ISERROR(VLOOKUP($U$137,'TAR FIN'!$A$1:$O$86,15,0)),0,VLOOKUP($U$137,'TAR FIN'!$A$1:$O$86,15,0))</f>
        <v>0</v>
      </c>
      <c r="Y137" s="6">
        <f ca="1">('TUSD BE'!$AM$10+'TUSD BF_350'!$AM$10+'TUSD CVA'!$AM$10)*1</f>
        <v>15.64</v>
      </c>
      <c r="Z137" s="6"/>
      <c r="AA137" s="6"/>
      <c r="AB137" s="6">
        <f>$K$137*$V$137</f>
        <v>112706.36207999999</v>
      </c>
      <c r="AC137" s="6">
        <f>$M$137*$W$137</f>
        <v>0</v>
      </c>
      <c r="AD137" s="6">
        <f>$O$137*$X$137</f>
        <v>0</v>
      </c>
      <c r="AE137" s="6">
        <f ca="1">$K$137*$Y$137</f>
        <v>76975.000128</v>
      </c>
      <c r="AF137" s="6">
        <f>$M$137*$Z$137</f>
        <v>0</v>
      </c>
      <c r="AG137" s="6">
        <f>$O$137*$AA$137</f>
        <v>0</v>
      </c>
    </row>
    <row r="138" spans="1:33" ht="11.25" customHeight="1" x14ac:dyDescent="0.25">
      <c r="A138" s="4" t="s">
        <v>21</v>
      </c>
      <c r="B138" s="4" t="s">
        <v>35</v>
      </c>
      <c r="C138" s="4" t="s">
        <v>39</v>
      </c>
      <c r="D138" s="4" t="s">
        <v>34</v>
      </c>
      <c r="E138" s="4" t="s">
        <v>25</v>
      </c>
      <c r="F138" s="4" t="s">
        <v>56</v>
      </c>
      <c r="G138" s="4" t="s">
        <v>25</v>
      </c>
      <c r="H138" s="4" t="s">
        <v>25</v>
      </c>
      <c r="I138" s="5">
        <v>44531</v>
      </c>
      <c r="J138" s="6">
        <v>10347</v>
      </c>
      <c r="K138" s="6">
        <v>4923.1026000000002</v>
      </c>
      <c r="L138" s="6">
        <v>0</v>
      </c>
      <c r="M138" s="6">
        <v>0</v>
      </c>
      <c r="N138" s="6">
        <v>0</v>
      </c>
      <c r="O138" s="6">
        <v>0</v>
      </c>
      <c r="P138" s="6">
        <v>7</v>
      </c>
      <c r="Q138" s="4" t="s">
        <v>57</v>
      </c>
      <c r="R138" s="4">
        <v>0</v>
      </c>
      <c r="S138" s="6">
        <v>24</v>
      </c>
      <c r="T138" s="6">
        <v>0</v>
      </c>
      <c r="U138" s="6">
        <v>0</v>
      </c>
      <c r="V138" s="6">
        <f>IF(ISERROR(VLOOKUP($S$138,'TAR FIN'!$A$1:$O$86,15,0)),0,VLOOKUP($S$138,'TAR FIN'!$A$1:$O$86,15,0))</f>
        <v>22.9</v>
      </c>
      <c r="W138" s="6">
        <f>IF(ISERROR(VLOOKUP($T$138,'TAR FIN'!$A$1:$O$86,15,0)),0,VLOOKUP($T$138,'TAR FIN'!$A$1:$O$86,15,0))</f>
        <v>0</v>
      </c>
      <c r="X138" s="6">
        <f>IF(ISERROR(VLOOKUP($U$138,'TAR FIN'!$A$1:$O$86,15,0)),0,VLOOKUP($U$138,'TAR FIN'!$A$1:$O$86,15,0))</f>
        <v>0</v>
      </c>
      <c r="Y138" s="6">
        <f ca="1">('TUSD BE'!$AM$10+'TUSD BF_350'!$AM$10+'TUSD CVA'!$AM$10)*1</f>
        <v>15.64</v>
      </c>
      <c r="Z138" s="6"/>
      <c r="AA138" s="6"/>
      <c r="AB138" s="6">
        <f>$K$138*$V$138</f>
        <v>112739.04953999999</v>
      </c>
      <c r="AC138" s="6">
        <f>$M$138*$W$138</f>
        <v>0</v>
      </c>
      <c r="AD138" s="6">
        <f>$O$138*$X$138</f>
        <v>0</v>
      </c>
      <c r="AE138" s="6">
        <f ca="1">$K$138*$Y$138</f>
        <v>76997.324664</v>
      </c>
      <c r="AF138" s="6">
        <f>$M$138*$Z$138</f>
        <v>0</v>
      </c>
      <c r="AG138" s="6">
        <f>$O$138*$AA$138</f>
        <v>0</v>
      </c>
    </row>
    <row r="139" spans="1:33" ht="11.25" customHeight="1" x14ac:dyDescent="0.25">
      <c r="A139" s="4" t="s">
        <v>21</v>
      </c>
      <c r="B139" s="4" t="s">
        <v>35</v>
      </c>
      <c r="C139" s="4" t="s">
        <v>39</v>
      </c>
      <c r="D139" s="4" t="s">
        <v>34</v>
      </c>
      <c r="E139" s="4" t="s">
        <v>25</v>
      </c>
      <c r="F139" s="4" t="s">
        <v>56</v>
      </c>
      <c r="G139" s="4" t="s">
        <v>25</v>
      </c>
      <c r="H139" s="4" t="s">
        <v>25</v>
      </c>
      <c r="I139" s="5">
        <v>44562</v>
      </c>
      <c r="J139" s="6">
        <v>10342</v>
      </c>
      <c r="K139" s="6">
        <v>4920.7236000000003</v>
      </c>
      <c r="L139" s="6">
        <v>0</v>
      </c>
      <c r="M139" s="6">
        <v>0</v>
      </c>
      <c r="N139" s="6">
        <v>0</v>
      </c>
      <c r="O139" s="6">
        <v>0</v>
      </c>
      <c r="P139" s="6">
        <v>7</v>
      </c>
      <c r="Q139" s="4" t="s">
        <v>57</v>
      </c>
      <c r="R139" s="4">
        <v>0</v>
      </c>
      <c r="S139" s="6">
        <v>24</v>
      </c>
      <c r="T139" s="6">
        <v>0</v>
      </c>
      <c r="U139" s="6">
        <v>0</v>
      </c>
      <c r="V139" s="6">
        <f>IF(ISERROR(VLOOKUP($S$139,'TAR FIN'!$A$1:$O$86,15,0)),0,VLOOKUP($S$139,'TAR FIN'!$A$1:$O$86,15,0))</f>
        <v>22.9</v>
      </c>
      <c r="W139" s="6">
        <f>IF(ISERROR(VLOOKUP($T$139,'TAR FIN'!$A$1:$O$86,15,0)),0,VLOOKUP($T$139,'TAR FIN'!$A$1:$O$86,15,0))</f>
        <v>0</v>
      </c>
      <c r="X139" s="6">
        <f>IF(ISERROR(VLOOKUP($U$139,'TAR FIN'!$A$1:$O$86,15,0)),0,VLOOKUP($U$139,'TAR FIN'!$A$1:$O$86,15,0))</f>
        <v>0</v>
      </c>
      <c r="Y139" s="6">
        <f ca="1">('TUSD BE'!$AM$10+'TUSD BF_350'!$AM$10+'TUSD CVA'!$AM$10)*1</f>
        <v>15.64</v>
      </c>
      <c r="Z139" s="6"/>
      <c r="AA139" s="6"/>
      <c r="AB139" s="6">
        <f>$K$139*$V$139</f>
        <v>112684.57044</v>
      </c>
      <c r="AC139" s="6">
        <f>$M$139*$W$139</f>
        <v>0</v>
      </c>
      <c r="AD139" s="6">
        <f>$O$139*$X$139</f>
        <v>0</v>
      </c>
      <c r="AE139" s="6">
        <f ca="1">$K$139*$Y$139</f>
        <v>76960.117104000004</v>
      </c>
      <c r="AF139" s="6">
        <f>$M$139*$Z$139</f>
        <v>0</v>
      </c>
      <c r="AG139" s="6">
        <f>$O$139*$AA$139</f>
        <v>0</v>
      </c>
    </row>
    <row r="140" spans="1:33" ht="11.25" customHeight="1" x14ac:dyDescent="0.25">
      <c r="A140" s="4" t="s">
        <v>21</v>
      </c>
      <c r="B140" s="4" t="s">
        <v>35</v>
      </c>
      <c r="C140" s="4" t="s">
        <v>39</v>
      </c>
      <c r="D140" s="4" t="s">
        <v>34</v>
      </c>
      <c r="E140" s="4" t="s">
        <v>25</v>
      </c>
      <c r="F140" s="4" t="s">
        <v>56</v>
      </c>
      <c r="G140" s="4" t="s">
        <v>25</v>
      </c>
      <c r="H140" s="4" t="s">
        <v>25</v>
      </c>
      <c r="I140" s="5">
        <v>44593</v>
      </c>
      <c r="J140" s="6">
        <v>10695</v>
      </c>
      <c r="K140" s="6">
        <v>5097.2370000000001</v>
      </c>
      <c r="L140" s="6">
        <v>0</v>
      </c>
      <c r="M140" s="6">
        <v>0</v>
      </c>
      <c r="N140" s="6">
        <v>0</v>
      </c>
      <c r="O140" s="6">
        <v>0</v>
      </c>
      <c r="P140" s="6">
        <v>7</v>
      </c>
      <c r="Q140" s="4" t="s">
        <v>57</v>
      </c>
      <c r="R140" s="4">
        <v>0</v>
      </c>
      <c r="S140" s="6">
        <v>24</v>
      </c>
      <c r="T140" s="6">
        <v>0</v>
      </c>
      <c r="U140" s="6">
        <v>0</v>
      </c>
      <c r="V140" s="6">
        <f>IF(ISERROR(VLOOKUP($S$140,'TAR FIN'!$A$1:$O$86,15,0)),0,VLOOKUP($S$140,'TAR FIN'!$A$1:$O$86,15,0))</f>
        <v>22.9</v>
      </c>
      <c r="W140" s="6">
        <f>IF(ISERROR(VLOOKUP($T$140,'TAR FIN'!$A$1:$O$86,15,0)),0,VLOOKUP($T$140,'TAR FIN'!$A$1:$O$86,15,0))</f>
        <v>0</v>
      </c>
      <c r="X140" s="6">
        <f>IF(ISERROR(VLOOKUP($U$140,'TAR FIN'!$A$1:$O$86,15,0)),0,VLOOKUP($U$140,'TAR FIN'!$A$1:$O$86,15,0))</f>
        <v>0</v>
      </c>
      <c r="Y140" s="6">
        <f ca="1">('TUSD BE'!$AM$10+'TUSD BF_350'!$AM$10+'TUSD CVA'!$AM$10)*1</f>
        <v>15.64</v>
      </c>
      <c r="Z140" s="6"/>
      <c r="AA140" s="6"/>
      <c r="AB140" s="6">
        <f>$K$140*$V$140</f>
        <v>116726.7273</v>
      </c>
      <c r="AC140" s="6">
        <f>$M$140*$W$140</f>
        <v>0</v>
      </c>
      <c r="AD140" s="6">
        <f>$O$140*$X$140</f>
        <v>0</v>
      </c>
      <c r="AE140" s="6">
        <f ca="1">$K$140*$Y$140</f>
        <v>79720.786680000005</v>
      </c>
      <c r="AF140" s="6">
        <f>$M$140*$Z$140</f>
        <v>0</v>
      </c>
      <c r="AG140" s="6">
        <f>$O$140*$AA$140</f>
        <v>0</v>
      </c>
    </row>
    <row r="141" spans="1:33" ht="11.25" customHeight="1" x14ac:dyDescent="0.25">
      <c r="A141" s="4" t="s">
        <v>21</v>
      </c>
      <c r="B141" s="4" t="s">
        <v>35</v>
      </c>
      <c r="C141" s="4" t="s">
        <v>39</v>
      </c>
      <c r="D141" s="4" t="s">
        <v>34</v>
      </c>
      <c r="E141" s="4" t="s">
        <v>25</v>
      </c>
      <c r="F141" s="4" t="s">
        <v>56</v>
      </c>
      <c r="G141" s="4" t="s">
        <v>25</v>
      </c>
      <c r="H141" s="4" t="s">
        <v>25</v>
      </c>
      <c r="I141" s="5">
        <v>44621</v>
      </c>
      <c r="J141" s="6">
        <v>10912</v>
      </c>
      <c r="K141" s="6">
        <v>5206.1152000000002</v>
      </c>
      <c r="L141" s="6">
        <v>0</v>
      </c>
      <c r="M141" s="6">
        <v>0</v>
      </c>
      <c r="N141" s="6">
        <v>0</v>
      </c>
      <c r="O141" s="6">
        <v>0</v>
      </c>
      <c r="P141" s="6">
        <v>7</v>
      </c>
      <c r="Q141" s="4" t="s">
        <v>57</v>
      </c>
      <c r="R141" s="4">
        <v>0</v>
      </c>
      <c r="S141" s="6">
        <v>24</v>
      </c>
      <c r="T141" s="6">
        <v>0</v>
      </c>
      <c r="U141" s="6">
        <v>0</v>
      </c>
      <c r="V141" s="6">
        <f>IF(ISERROR(VLOOKUP($S$141,'TAR FIN'!$A$1:$O$86,15,0)),0,VLOOKUP($S$141,'TAR FIN'!$A$1:$O$86,15,0))</f>
        <v>22.9</v>
      </c>
      <c r="W141" s="6">
        <f>IF(ISERROR(VLOOKUP($T$141,'TAR FIN'!$A$1:$O$86,15,0)),0,VLOOKUP($T$141,'TAR FIN'!$A$1:$O$86,15,0))</f>
        <v>0</v>
      </c>
      <c r="X141" s="6">
        <f>IF(ISERROR(VLOOKUP($U$141,'TAR FIN'!$A$1:$O$86,15,0)),0,VLOOKUP($U$141,'TAR FIN'!$A$1:$O$86,15,0))</f>
        <v>0</v>
      </c>
      <c r="Y141" s="6">
        <f ca="1">('TUSD BE'!$AM$10+'TUSD BF_350'!$AM$10+'TUSD CVA'!$AM$10)*1</f>
        <v>15.64</v>
      </c>
      <c r="Z141" s="6"/>
      <c r="AA141" s="6"/>
      <c r="AB141" s="6">
        <f>$K$141*$V$141</f>
        <v>119220.03808</v>
      </c>
      <c r="AC141" s="6">
        <f>$M$141*$W$141</f>
        <v>0</v>
      </c>
      <c r="AD141" s="6">
        <f>$O$141*$X$141</f>
        <v>0</v>
      </c>
      <c r="AE141" s="6">
        <f ca="1">$K$141*$Y$141</f>
        <v>81423.641728000002</v>
      </c>
      <c r="AF141" s="6">
        <f>$M$141*$Z$141</f>
        <v>0</v>
      </c>
      <c r="AG141" s="6">
        <f>$O$141*$AA$141</f>
        <v>0</v>
      </c>
    </row>
    <row r="142" spans="1:33" ht="11.25" customHeight="1" x14ac:dyDescent="0.25">
      <c r="A142" s="4" t="s">
        <v>21</v>
      </c>
      <c r="B142" s="4" t="s">
        <v>35</v>
      </c>
      <c r="C142" s="4" t="s">
        <v>39</v>
      </c>
      <c r="D142" s="4" t="s">
        <v>34</v>
      </c>
      <c r="E142" s="4" t="s">
        <v>25</v>
      </c>
      <c r="F142" s="4" t="s">
        <v>56</v>
      </c>
      <c r="G142" s="4" t="s">
        <v>25</v>
      </c>
      <c r="H142" s="4" t="s">
        <v>25</v>
      </c>
      <c r="I142" s="5">
        <v>44652</v>
      </c>
      <c r="J142" s="6">
        <v>11030</v>
      </c>
      <c r="K142" s="6">
        <v>5264.6189999999997</v>
      </c>
      <c r="L142" s="6">
        <v>0</v>
      </c>
      <c r="M142" s="6">
        <v>0</v>
      </c>
      <c r="N142" s="6">
        <v>0</v>
      </c>
      <c r="O142" s="6">
        <v>0</v>
      </c>
      <c r="P142" s="6">
        <v>7</v>
      </c>
      <c r="Q142" s="4" t="s">
        <v>57</v>
      </c>
      <c r="R142" s="4">
        <v>0</v>
      </c>
      <c r="S142" s="6">
        <v>24</v>
      </c>
      <c r="T142" s="6">
        <v>0</v>
      </c>
      <c r="U142" s="6">
        <v>0</v>
      </c>
      <c r="V142" s="6">
        <f>IF(ISERROR(VLOOKUP($S$142,'TAR FIN'!$A$1:$O$86,15,0)),0,VLOOKUP($S$142,'TAR FIN'!$A$1:$O$86,15,0))</f>
        <v>22.9</v>
      </c>
      <c r="W142" s="6">
        <f>IF(ISERROR(VLOOKUP($T$142,'TAR FIN'!$A$1:$O$86,15,0)),0,VLOOKUP($T$142,'TAR FIN'!$A$1:$O$86,15,0))</f>
        <v>0</v>
      </c>
      <c r="X142" s="6">
        <f>IF(ISERROR(VLOOKUP($U$142,'TAR FIN'!$A$1:$O$86,15,0)),0,VLOOKUP($U$142,'TAR FIN'!$A$1:$O$86,15,0))</f>
        <v>0</v>
      </c>
      <c r="Y142" s="6">
        <f ca="1">('TUSD BE'!$AM$10+'TUSD BF_350'!$AM$10+'TUSD CVA'!$AM$10)*1</f>
        <v>15.64</v>
      </c>
      <c r="Z142" s="6"/>
      <c r="AA142" s="6"/>
      <c r="AB142" s="6">
        <f>$K$142*$V$142</f>
        <v>120559.77509999998</v>
      </c>
      <c r="AC142" s="6">
        <f>$M$142*$W$142</f>
        <v>0</v>
      </c>
      <c r="AD142" s="6">
        <f>$O$142*$X$142</f>
        <v>0</v>
      </c>
      <c r="AE142" s="6">
        <f ca="1">$K$142*$Y$142</f>
        <v>82338.641159999999</v>
      </c>
      <c r="AF142" s="6">
        <f>$M$142*$Z$142</f>
        <v>0</v>
      </c>
      <c r="AG142" s="6">
        <f>$O$142*$AA$142</f>
        <v>0</v>
      </c>
    </row>
    <row r="143" spans="1:33" ht="11.25" customHeight="1" x14ac:dyDescent="0.25">
      <c r="A143" s="4" t="s">
        <v>21</v>
      </c>
      <c r="B143" s="4" t="s">
        <v>35</v>
      </c>
      <c r="C143" s="4" t="s">
        <v>39</v>
      </c>
      <c r="D143" s="4" t="s">
        <v>34</v>
      </c>
      <c r="E143" s="4" t="s">
        <v>25</v>
      </c>
      <c r="F143" s="4" t="s">
        <v>56</v>
      </c>
      <c r="G143" s="4" t="s">
        <v>25</v>
      </c>
      <c r="H143" s="4" t="s">
        <v>25</v>
      </c>
      <c r="I143" s="5">
        <v>44682</v>
      </c>
      <c r="J143" s="6">
        <v>10935</v>
      </c>
      <c r="K143" s="6">
        <v>5217.0884999999998</v>
      </c>
      <c r="L143" s="6">
        <v>0</v>
      </c>
      <c r="M143" s="6">
        <v>0</v>
      </c>
      <c r="N143" s="6">
        <v>0</v>
      </c>
      <c r="O143" s="6">
        <v>0</v>
      </c>
      <c r="P143" s="6">
        <v>7</v>
      </c>
      <c r="Q143" s="4" t="s">
        <v>57</v>
      </c>
      <c r="R143" s="4">
        <v>0</v>
      </c>
      <c r="S143" s="6">
        <v>24</v>
      </c>
      <c r="T143" s="6">
        <v>0</v>
      </c>
      <c r="U143" s="6">
        <v>0</v>
      </c>
      <c r="V143" s="6">
        <f>IF(ISERROR(VLOOKUP($S$143,'TAR FIN'!$A$1:$O$86,15,0)),0,VLOOKUP($S$143,'TAR FIN'!$A$1:$O$86,15,0))</f>
        <v>22.9</v>
      </c>
      <c r="W143" s="6">
        <f>IF(ISERROR(VLOOKUP($T$143,'TAR FIN'!$A$1:$O$86,15,0)),0,VLOOKUP($T$143,'TAR FIN'!$A$1:$O$86,15,0))</f>
        <v>0</v>
      </c>
      <c r="X143" s="6">
        <f>IF(ISERROR(VLOOKUP($U$143,'TAR FIN'!$A$1:$O$86,15,0)),0,VLOOKUP($U$143,'TAR FIN'!$A$1:$O$86,15,0))</f>
        <v>0</v>
      </c>
      <c r="Y143" s="6">
        <f ca="1">('TUSD BE'!$AM$10+'TUSD BF_350'!$AM$10+'TUSD CVA'!$AM$10)*1</f>
        <v>15.64</v>
      </c>
      <c r="Z143" s="6"/>
      <c r="AA143" s="6"/>
      <c r="AB143" s="6">
        <f>$K$143*$V$143</f>
        <v>119471.32664999999</v>
      </c>
      <c r="AC143" s="6">
        <f>$M$143*$W$143</f>
        <v>0</v>
      </c>
      <c r="AD143" s="6">
        <f>$O$143*$X$143</f>
        <v>0</v>
      </c>
      <c r="AE143" s="6">
        <f ca="1">$K$143*$Y$143</f>
        <v>81595.264139999999</v>
      </c>
      <c r="AF143" s="6">
        <f>$M$143*$Z$143</f>
        <v>0</v>
      </c>
      <c r="AG143" s="6">
        <f>$O$143*$AA$143</f>
        <v>0</v>
      </c>
    </row>
    <row r="144" spans="1:33" ht="11.25" customHeight="1" x14ac:dyDescent="0.25">
      <c r="A144" s="4" t="s">
        <v>21</v>
      </c>
      <c r="B144" s="4" t="s">
        <v>35</v>
      </c>
      <c r="C144" s="4" t="s">
        <v>39</v>
      </c>
      <c r="D144" s="4" t="s">
        <v>34</v>
      </c>
      <c r="E144" s="4" t="s">
        <v>25</v>
      </c>
      <c r="F144" s="4" t="s">
        <v>56</v>
      </c>
      <c r="G144" s="4" t="s">
        <v>25</v>
      </c>
      <c r="H144" s="4" t="s">
        <v>25</v>
      </c>
      <c r="I144" s="5">
        <v>44713</v>
      </c>
      <c r="J144" s="6">
        <v>10989</v>
      </c>
      <c r="K144" s="6">
        <v>5243.9507999999996</v>
      </c>
      <c r="L144" s="6">
        <v>0</v>
      </c>
      <c r="M144" s="6">
        <v>0</v>
      </c>
      <c r="N144" s="6">
        <v>0</v>
      </c>
      <c r="O144" s="6">
        <v>0</v>
      </c>
      <c r="P144" s="6">
        <v>7</v>
      </c>
      <c r="Q144" s="4" t="s">
        <v>57</v>
      </c>
      <c r="R144" s="4">
        <v>0</v>
      </c>
      <c r="S144" s="6">
        <v>24</v>
      </c>
      <c r="T144" s="6">
        <v>0</v>
      </c>
      <c r="U144" s="6">
        <v>0</v>
      </c>
      <c r="V144" s="6">
        <f>IF(ISERROR(VLOOKUP($S$144,'TAR FIN'!$A$1:$O$86,15,0)),0,VLOOKUP($S$144,'TAR FIN'!$A$1:$O$86,15,0))</f>
        <v>22.9</v>
      </c>
      <c r="W144" s="6">
        <f>IF(ISERROR(VLOOKUP($T$144,'TAR FIN'!$A$1:$O$86,15,0)),0,VLOOKUP($T$144,'TAR FIN'!$A$1:$O$86,15,0))</f>
        <v>0</v>
      </c>
      <c r="X144" s="6">
        <f>IF(ISERROR(VLOOKUP($U$144,'TAR FIN'!$A$1:$O$86,15,0)),0,VLOOKUP($U$144,'TAR FIN'!$A$1:$O$86,15,0))</f>
        <v>0</v>
      </c>
      <c r="Y144" s="6">
        <f ca="1">('TUSD BE'!$AM$10+'TUSD BF_350'!$AM$10+'TUSD CVA'!$AM$10)*1</f>
        <v>15.64</v>
      </c>
      <c r="Z144" s="6"/>
      <c r="AA144" s="6"/>
      <c r="AB144" s="6">
        <f>$K$144*$V$144</f>
        <v>120086.47331999999</v>
      </c>
      <c r="AC144" s="6">
        <f>$M$144*$W$144</f>
        <v>0</v>
      </c>
      <c r="AD144" s="6">
        <f>$O$144*$X$144</f>
        <v>0</v>
      </c>
      <c r="AE144" s="6">
        <f ca="1">$K$144*$Y$144</f>
        <v>82015.390511999998</v>
      </c>
      <c r="AF144" s="6">
        <f>$M$144*$Z$144</f>
        <v>0</v>
      </c>
      <c r="AG144" s="6">
        <f>$O$144*$AA$144</f>
        <v>0</v>
      </c>
    </row>
    <row r="145" spans="1:33" ht="11.25" customHeight="1" x14ac:dyDescent="0.25">
      <c r="A145" s="4" t="s">
        <v>55</v>
      </c>
      <c r="B145" s="4" t="s">
        <v>35</v>
      </c>
      <c r="C145" s="4" t="s">
        <v>39</v>
      </c>
      <c r="D145" s="4" t="s">
        <v>34</v>
      </c>
      <c r="E145" s="4" t="s">
        <v>25</v>
      </c>
      <c r="F145" s="4" t="s">
        <v>56</v>
      </c>
      <c r="G145" s="4" t="s">
        <v>25</v>
      </c>
      <c r="H145" s="4" t="s">
        <v>25</v>
      </c>
      <c r="I145" s="5">
        <v>44743</v>
      </c>
      <c r="J145" s="6">
        <v>10989</v>
      </c>
      <c r="K145" s="6">
        <v>5243.9507999999996</v>
      </c>
      <c r="L145" s="6">
        <v>0</v>
      </c>
      <c r="M145" s="6">
        <v>0</v>
      </c>
      <c r="N145" s="6">
        <v>0</v>
      </c>
      <c r="O145" s="6">
        <v>0</v>
      </c>
      <c r="P145" s="6">
        <v>7</v>
      </c>
      <c r="Q145" s="4" t="s">
        <v>57</v>
      </c>
      <c r="R145" s="4">
        <v>0</v>
      </c>
      <c r="S145" s="6">
        <v>24</v>
      </c>
      <c r="T145" s="6">
        <v>0</v>
      </c>
      <c r="U145" s="6">
        <v>0</v>
      </c>
      <c r="V145" s="6">
        <f>IF(ISERROR(VLOOKUP($S$145,'TAR FIN'!$A$1:$O$86,15,0)),0,VLOOKUP($S$145,'TAR FIN'!$A$1:$O$86,15,0))</f>
        <v>22.9</v>
      </c>
      <c r="W145" s="6">
        <f>IF(ISERROR(VLOOKUP($T$145,'TAR FIN'!$A$1:$O$86,15,0)),0,VLOOKUP($T$145,'TAR FIN'!$A$1:$O$86,15,0))</f>
        <v>0</v>
      </c>
      <c r="X145" s="6">
        <f>IF(ISERROR(VLOOKUP($U$145,'TAR FIN'!$A$1:$O$86,15,0)),0,VLOOKUP($U$145,'TAR FIN'!$A$1:$O$86,15,0))</f>
        <v>0</v>
      </c>
      <c r="Y145" s="6">
        <f ca="1">('TUSD BE'!$AM$10+'TUSD BF_350'!$AM$10+'TUSD CVA'!$AM$10)*1</f>
        <v>15.64</v>
      </c>
      <c r="Z145" s="6"/>
      <c r="AA145" s="6"/>
      <c r="AB145" s="6">
        <f>$K$145*$V$145</f>
        <v>120086.47331999999</v>
      </c>
      <c r="AC145" s="6">
        <f>$M$145*$W$145</f>
        <v>0</v>
      </c>
      <c r="AD145" s="6">
        <f>$O$145*$X$145</f>
        <v>0</v>
      </c>
      <c r="AE145" s="6">
        <f ca="1">$K$145*$Y$145</f>
        <v>82015.390511999998</v>
      </c>
      <c r="AF145" s="6">
        <f>$M$145*$Z$145</f>
        <v>0</v>
      </c>
      <c r="AG145" s="6">
        <f>$O$145*$AA$145</f>
        <v>0</v>
      </c>
    </row>
    <row r="146" spans="1:33" ht="11.25" customHeight="1" x14ac:dyDescent="0.25">
      <c r="A146" s="4" t="s">
        <v>21</v>
      </c>
      <c r="B146" s="4" t="s">
        <v>35</v>
      </c>
      <c r="C146" s="4" t="s">
        <v>39</v>
      </c>
      <c r="D146" s="4" t="s">
        <v>34</v>
      </c>
      <c r="E146" s="4" t="s">
        <v>25</v>
      </c>
      <c r="F146" s="4" t="s">
        <v>56</v>
      </c>
      <c r="G146" s="4" t="s">
        <v>25</v>
      </c>
      <c r="H146" s="4" t="s">
        <v>37</v>
      </c>
      <c r="I146" s="5">
        <v>44409</v>
      </c>
      <c r="J146" s="6">
        <v>0</v>
      </c>
      <c r="K146" s="6">
        <v>0</v>
      </c>
      <c r="L146" s="6">
        <v>221.56700000000001</v>
      </c>
      <c r="M146" s="6">
        <v>94.963616200000004</v>
      </c>
      <c r="N146" s="6">
        <v>0</v>
      </c>
      <c r="O146" s="6">
        <v>0</v>
      </c>
      <c r="P146" s="6">
        <v>0</v>
      </c>
      <c r="Q146" s="4" t="s">
        <v>57</v>
      </c>
      <c r="R146" s="4">
        <v>0</v>
      </c>
      <c r="S146" s="6">
        <v>0</v>
      </c>
      <c r="T146" s="6">
        <v>5</v>
      </c>
      <c r="U146" s="6">
        <v>0</v>
      </c>
      <c r="V146" s="6">
        <f>IF(ISERROR(VLOOKUP($S$146,'TAR FIN'!$A$1:$O$86,15,0)),0,VLOOKUP($S$146,'TAR FIN'!$A$1:$O$86,15,0))</f>
        <v>0</v>
      </c>
      <c r="W146" s="6">
        <f>IF(ISERROR(VLOOKUP($T$146,'TAR FIN'!$A$1:$O$86,15,0)),0,VLOOKUP($T$146,'TAR FIN'!$A$1:$O$86,15,0))</f>
        <v>1518.97</v>
      </c>
      <c r="X146" s="6">
        <f>IF(ISERROR(VLOOKUP($U$146,'TAR FIN'!$A$1:$O$86,15,0)),0,VLOOKUP($U$146,'TAR FIN'!$A$1:$O$86,15,0))</f>
        <v>0</v>
      </c>
      <c r="Y146" s="6"/>
      <c r="Z146" s="6">
        <f ca="1">('TUSD BE'!$AM$11+'TUSD BF_350'!$AM$11+'TUSD CVA'!$AM$11)*1</f>
        <v>911.83999999999992</v>
      </c>
      <c r="AA146" s="6"/>
      <c r="AB146" s="6">
        <f>$K$146*$V$146</f>
        <v>0</v>
      </c>
      <c r="AC146" s="6">
        <f>$M$146*$W$146</f>
        <v>144246.88409931402</v>
      </c>
      <c r="AD146" s="6">
        <f>$O$146*$X$146</f>
        <v>0</v>
      </c>
      <c r="AE146" s="6">
        <f>$K$146*$Y$146</f>
        <v>0</v>
      </c>
      <c r="AF146" s="6">
        <f ca="1">$M$146*$Z$146</f>
        <v>86591.623795808002</v>
      </c>
      <c r="AG146" s="6">
        <f>$O$146*$AA$146</f>
        <v>0</v>
      </c>
    </row>
    <row r="147" spans="1:33" ht="11.25" customHeight="1" x14ac:dyDescent="0.25">
      <c r="A147" s="4" t="s">
        <v>21</v>
      </c>
      <c r="B147" s="4" t="s">
        <v>35</v>
      </c>
      <c r="C147" s="4" t="s">
        <v>39</v>
      </c>
      <c r="D147" s="4" t="s">
        <v>34</v>
      </c>
      <c r="E147" s="4" t="s">
        <v>25</v>
      </c>
      <c r="F147" s="4" t="s">
        <v>56</v>
      </c>
      <c r="G147" s="4" t="s">
        <v>25</v>
      </c>
      <c r="H147" s="4" t="s">
        <v>37</v>
      </c>
      <c r="I147" s="5">
        <v>44440</v>
      </c>
      <c r="J147" s="6">
        <v>0</v>
      </c>
      <c r="K147" s="6">
        <v>0</v>
      </c>
      <c r="L147" s="6">
        <v>233.02</v>
      </c>
      <c r="M147" s="6">
        <v>116.183772</v>
      </c>
      <c r="N147" s="6">
        <v>0</v>
      </c>
      <c r="O147" s="6">
        <v>0</v>
      </c>
      <c r="P147" s="6">
        <v>0</v>
      </c>
      <c r="Q147" s="4" t="s">
        <v>57</v>
      </c>
      <c r="R147" s="4">
        <v>0</v>
      </c>
      <c r="S147" s="6">
        <v>0</v>
      </c>
      <c r="T147" s="6">
        <v>5</v>
      </c>
      <c r="U147" s="6">
        <v>0</v>
      </c>
      <c r="V147" s="6">
        <f>IF(ISERROR(VLOOKUP($S$147,'TAR FIN'!$A$1:$O$86,15,0)),0,VLOOKUP($S$147,'TAR FIN'!$A$1:$O$86,15,0))</f>
        <v>0</v>
      </c>
      <c r="W147" s="6">
        <f>IF(ISERROR(VLOOKUP($T$147,'TAR FIN'!$A$1:$O$86,15,0)),0,VLOOKUP($T$147,'TAR FIN'!$A$1:$O$86,15,0))</f>
        <v>1518.97</v>
      </c>
      <c r="X147" s="6">
        <f>IF(ISERROR(VLOOKUP($U$147,'TAR FIN'!$A$1:$O$86,15,0)),0,VLOOKUP($U$147,'TAR FIN'!$A$1:$O$86,15,0))</f>
        <v>0</v>
      </c>
      <c r="Y147" s="6"/>
      <c r="Z147" s="6">
        <f ca="1">('TUSD BE'!$AM$11+'TUSD BF_350'!$AM$11+'TUSD CVA'!$AM$11)*1</f>
        <v>911.83999999999992</v>
      </c>
      <c r="AA147" s="6"/>
      <c r="AB147" s="6">
        <f>$K$147*$V$147</f>
        <v>0</v>
      </c>
      <c r="AC147" s="6">
        <f>$M$147*$W$147</f>
        <v>176479.66415484002</v>
      </c>
      <c r="AD147" s="6">
        <f>$O$147*$X$147</f>
        <v>0</v>
      </c>
      <c r="AE147" s="6">
        <f>$K$147*$Y$147</f>
        <v>0</v>
      </c>
      <c r="AF147" s="6">
        <f ca="1">$M$147*$Z$147</f>
        <v>105941.01066047999</v>
      </c>
      <c r="AG147" s="6">
        <f>$O$147*$AA$147</f>
        <v>0</v>
      </c>
    </row>
    <row r="148" spans="1:33" ht="11.25" customHeight="1" x14ac:dyDescent="0.25">
      <c r="A148" s="4" t="s">
        <v>21</v>
      </c>
      <c r="B148" s="4" t="s">
        <v>35</v>
      </c>
      <c r="C148" s="4" t="s">
        <v>39</v>
      </c>
      <c r="D148" s="4" t="s">
        <v>34</v>
      </c>
      <c r="E148" s="4" t="s">
        <v>25</v>
      </c>
      <c r="F148" s="4" t="s">
        <v>56</v>
      </c>
      <c r="G148" s="4" t="s">
        <v>25</v>
      </c>
      <c r="H148" s="4" t="s">
        <v>37</v>
      </c>
      <c r="I148" s="5">
        <v>44470</v>
      </c>
      <c r="J148" s="6">
        <v>0</v>
      </c>
      <c r="K148" s="6">
        <v>0</v>
      </c>
      <c r="L148" s="6">
        <v>224.77099999999999</v>
      </c>
      <c r="M148" s="6">
        <v>112.1157748</v>
      </c>
      <c r="N148" s="6">
        <v>0</v>
      </c>
      <c r="O148" s="6">
        <v>0</v>
      </c>
      <c r="P148" s="6">
        <v>0</v>
      </c>
      <c r="Q148" s="4" t="s">
        <v>57</v>
      </c>
      <c r="R148" s="4">
        <v>0</v>
      </c>
      <c r="S148" s="6">
        <v>0</v>
      </c>
      <c r="T148" s="6">
        <v>5</v>
      </c>
      <c r="U148" s="6">
        <v>0</v>
      </c>
      <c r="V148" s="6">
        <f>IF(ISERROR(VLOOKUP($S$148,'TAR FIN'!$A$1:$O$86,15,0)),0,VLOOKUP($S$148,'TAR FIN'!$A$1:$O$86,15,0))</f>
        <v>0</v>
      </c>
      <c r="W148" s="6">
        <f>IF(ISERROR(VLOOKUP($T$148,'TAR FIN'!$A$1:$O$86,15,0)),0,VLOOKUP($T$148,'TAR FIN'!$A$1:$O$86,15,0))</f>
        <v>1518.97</v>
      </c>
      <c r="X148" s="6">
        <f>IF(ISERROR(VLOOKUP($U$148,'TAR FIN'!$A$1:$O$86,15,0)),0,VLOOKUP($U$148,'TAR FIN'!$A$1:$O$86,15,0))</f>
        <v>0</v>
      </c>
      <c r="Y148" s="6"/>
      <c r="Z148" s="6">
        <f ca="1">('TUSD BE'!$AM$11+'TUSD BF_350'!$AM$11+'TUSD CVA'!$AM$11)*1</f>
        <v>911.83999999999992</v>
      </c>
      <c r="AA148" s="6"/>
      <c r="AB148" s="6">
        <f>$K$148*$V$148</f>
        <v>0</v>
      </c>
      <c r="AC148" s="6">
        <f>$M$148*$W$148</f>
        <v>170300.49844795599</v>
      </c>
      <c r="AD148" s="6">
        <f>$O$148*$X$148</f>
        <v>0</v>
      </c>
      <c r="AE148" s="6">
        <f>$K$148*$Y$148</f>
        <v>0</v>
      </c>
      <c r="AF148" s="6">
        <f ca="1">$M$148*$Z$148</f>
        <v>102231.64809363199</v>
      </c>
      <c r="AG148" s="6">
        <f>$O$148*$AA$148</f>
        <v>0</v>
      </c>
    </row>
    <row r="149" spans="1:33" ht="11.25" customHeight="1" x14ac:dyDescent="0.25">
      <c r="A149" s="4" t="s">
        <v>21</v>
      </c>
      <c r="B149" s="4" t="s">
        <v>35</v>
      </c>
      <c r="C149" s="4" t="s">
        <v>39</v>
      </c>
      <c r="D149" s="4" t="s">
        <v>34</v>
      </c>
      <c r="E149" s="4" t="s">
        <v>25</v>
      </c>
      <c r="F149" s="4" t="s">
        <v>56</v>
      </c>
      <c r="G149" s="4" t="s">
        <v>25</v>
      </c>
      <c r="H149" s="4" t="s">
        <v>37</v>
      </c>
      <c r="I149" s="5">
        <v>44501</v>
      </c>
      <c r="J149" s="6">
        <v>0</v>
      </c>
      <c r="K149" s="6">
        <v>0</v>
      </c>
      <c r="L149" s="6">
        <v>227.09100000000001</v>
      </c>
      <c r="M149" s="6">
        <v>113.74988190000001</v>
      </c>
      <c r="N149" s="6">
        <v>0</v>
      </c>
      <c r="O149" s="6">
        <v>0</v>
      </c>
      <c r="P149" s="6">
        <v>0</v>
      </c>
      <c r="Q149" s="4" t="s">
        <v>57</v>
      </c>
      <c r="R149" s="4">
        <v>0</v>
      </c>
      <c r="S149" s="6">
        <v>0</v>
      </c>
      <c r="T149" s="6">
        <v>5</v>
      </c>
      <c r="U149" s="6">
        <v>0</v>
      </c>
      <c r="V149" s="6">
        <f>IF(ISERROR(VLOOKUP($S$149,'TAR FIN'!$A$1:$O$86,15,0)),0,VLOOKUP($S$149,'TAR FIN'!$A$1:$O$86,15,0))</f>
        <v>0</v>
      </c>
      <c r="W149" s="6">
        <f>IF(ISERROR(VLOOKUP($T$149,'TAR FIN'!$A$1:$O$86,15,0)),0,VLOOKUP($T$149,'TAR FIN'!$A$1:$O$86,15,0))</f>
        <v>1518.97</v>
      </c>
      <c r="X149" s="6">
        <f>IF(ISERROR(VLOOKUP($U$149,'TAR FIN'!$A$1:$O$86,15,0)),0,VLOOKUP($U$149,'TAR FIN'!$A$1:$O$86,15,0))</f>
        <v>0</v>
      </c>
      <c r="Y149" s="6"/>
      <c r="Z149" s="6">
        <f ca="1">('TUSD BE'!$AM$11+'TUSD BF_350'!$AM$11+'TUSD CVA'!$AM$11)*1</f>
        <v>911.83999999999992</v>
      </c>
      <c r="AA149" s="6"/>
      <c r="AB149" s="6">
        <f>$K$149*$V$149</f>
        <v>0</v>
      </c>
      <c r="AC149" s="6">
        <f>$M$149*$W$149</f>
        <v>172782.658109643</v>
      </c>
      <c r="AD149" s="6">
        <f>$O$149*$X$149</f>
        <v>0</v>
      </c>
      <c r="AE149" s="6">
        <f>$K$149*$Y$149</f>
        <v>0</v>
      </c>
      <c r="AF149" s="6">
        <f ca="1">$M$149*$Z$149</f>
        <v>103721.692311696</v>
      </c>
      <c r="AG149" s="6">
        <f>$O$149*$AA$149</f>
        <v>0</v>
      </c>
    </row>
    <row r="150" spans="1:33" ht="11.25" customHeight="1" x14ac:dyDescent="0.25">
      <c r="A150" s="4" t="s">
        <v>21</v>
      </c>
      <c r="B150" s="4" t="s">
        <v>35</v>
      </c>
      <c r="C150" s="4" t="s">
        <v>39</v>
      </c>
      <c r="D150" s="4" t="s">
        <v>34</v>
      </c>
      <c r="E150" s="4" t="s">
        <v>25</v>
      </c>
      <c r="F150" s="4" t="s">
        <v>56</v>
      </c>
      <c r="G150" s="4" t="s">
        <v>25</v>
      </c>
      <c r="H150" s="4" t="s">
        <v>37</v>
      </c>
      <c r="I150" s="5">
        <v>44531</v>
      </c>
      <c r="J150" s="6">
        <v>0</v>
      </c>
      <c r="K150" s="6">
        <v>0</v>
      </c>
      <c r="L150" s="6">
        <v>245.57499999999999</v>
      </c>
      <c r="M150" s="6">
        <v>123.27865</v>
      </c>
      <c r="N150" s="6">
        <v>0</v>
      </c>
      <c r="O150" s="6">
        <v>0</v>
      </c>
      <c r="P150" s="6">
        <v>0</v>
      </c>
      <c r="Q150" s="4" t="s">
        <v>57</v>
      </c>
      <c r="R150" s="4">
        <v>0</v>
      </c>
      <c r="S150" s="6">
        <v>0</v>
      </c>
      <c r="T150" s="6">
        <v>5</v>
      </c>
      <c r="U150" s="6">
        <v>0</v>
      </c>
      <c r="V150" s="6">
        <f>IF(ISERROR(VLOOKUP($S$150,'TAR FIN'!$A$1:$O$86,15,0)),0,VLOOKUP($S$150,'TAR FIN'!$A$1:$O$86,15,0))</f>
        <v>0</v>
      </c>
      <c r="W150" s="6">
        <f>IF(ISERROR(VLOOKUP($T$150,'TAR FIN'!$A$1:$O$86,15,0)),0,VLOOKUP($T$150,'TAR FIN'!$A$1:$O$86,15,0))</f>
        <v>1518.97</v>
      </c>
      <c r="X150" s="6">
        <f>IF(ISERROR(VLOOKUP($U$150,'TAR FIN'!$A$1:$O$86,15,0)),0,VLOOKUP($U$150,'TAR FIN'!$A$1:$O$86,15,0))</f>
        <v>0</v>
      </c>
      <c r="Y150" s="6"/>
      <c r="Z150" s="6">
        <f ca="1">('TUSD BE'!$AM$11+'TUSD BF_350'!$AM$11+'TUSD CVA'!$AM$11)*1</f>
        <v>911.83999999999992</v>
      </c>
      <c r="AA150" s="6"/>
      <c r="AB150" s="6">
        <f>$K$150*$V$150</f>
        <v>0</v>
      </c>
      <c r="AC150" s="6">
        <f>$M$150*$W$150</f>
        <v>187256.57099050001</v>
      </c>
      <c r="AD150" s="6">
        <f>$O$150*$X$150</f>
        <v>0</v>
      </c>
      <c r="AE150" s="6">
        <f>$K$150*$Y$150</f>
        <v>0</v>
      </c>
      <c r="AF150" s="6">
        <f ca="1">$M$150*$Z$150</f>
        <v>112410.404216</v>
      </c>
      <c r="AG150" s="6">
        <f>$O$150*$AA$150</f>
        <v>0</v>
      </c>
    </row>
    <row r="151" spans="1:33" ht="11.25" customHeight="1" x14ac:dyDescent="0.25">
      <c r="A151" s="4" t="s">
        <v>21</v>
      </c>
      <c r="B151" s="4" t="s">
        <v>35</v>
      </c>
      <c r="C151" s="4" t="s">
        <v>39</v>
      </c>
      <c r="D151" s="4" t="s">
        <v>34</v>
      </c>
      <c r="E151" s="4" t="s">
        <v>25</v>
      </c>
      <c r="F151" s="4" t="s">
        <v>56</v>
      </c>
      <c r="G151" s="4" t="s">
        <v>25</v>
      </c>
      <c r="H151" s="4" t="s">
        <v>37</v>
      </c>
      <c r="I151" s="5">
        <v>44562</v>
      </c>
      <c r="J151" s="6">
        <v>0</v>
      </c>
      <c r="K151" s="6">
        <v>0</v>
      </c>
      <c r="L151" s="6">
        <v>228.524</v>
      </c>
      <c r="M151" s="6">
        <v>114.719048</v>
      </c>
      <c r="N151" s="6">
        <v>0</v>
      </c>
      <c r="O151" s="6">
        <v>0</v>
      </c>
      <c r="P151" s="6">
        <v>0</v>
      </c>
      <c r="Q151" s="4" t="s">
        <v>57</v>
      </c>
      <c r="R151" s="4">
        <v>0</v>
      </c>
      <c r="S151" s="6">
        <v>0</v>
      </c>
      <c r="T151" s="6">
        <v>5</v>
      </c>
      <c r="U151" s="6">
        <v>0</v>
      </c>
      <c r="V151" s="6">
        <f>IF(ISERROR(VLOOKUP($S$151,'TAR FIN'!$A$1:$O$86,15,0)),0,VLOOKUP($S$151,'TAR FIN'!$A$1:$O$86,15,0))</f>
        <v>0</v>
      </c>
      <c r="W151" s="6">
        <f>IF(ISERROR(VLOOKUP($T$151,'TAR FIN'!$A$1:$O$86,15,0)),0,VLOOKUP($T$151,'TAR FIN'!$A$1:$O$86,15,0))</f>
        <v>1518.97</v>
      </c>
      <c r="X151" s="6">
        <f>IF(ISERROR(VLOOKUP($U$151,'TAR FIN'!$A$1:$O$86,15,0)),0,VLOOKUP($U$151,'TAR FIN'!$A$1:$O$86,15,0))</f>
        <v>0</v>
      </c>
      <c r="Y151" s="6"/>
      <c r="Z151" s="6">
        <f ca="1">('TUSD BE'!$AM$11+'TUSD BF_350'!$AM$11+'TUSD CVA'!$AM$11)*1</f>
        <v>911.83999999999992</v>
      </c>
      <c r="AA151" s="6"/>
      <c r="AB151" s="6">
        <f>$K$151*$V$151</f>
        <v>0</v>
      </c>
      <c r="AC151" s="6">
        <f>$M$151*$W$151</f>
        <v>174254.79234056</v>
      </c>
      <c r="AD151" s="6">
        <f>$O$151*$X$151</f>
        <v>0</v>
      </c>
      <c r="AE151" s="6">
        <f>$K$151*$Y$151</f>
        <v>0</v>
      </c>
      <c r="AF151" s="6">
        <f ca="1">$M$151*$Z$151</f>
        <v>104605.41672831999</v>
      </c>
      <c r="AG151" s="6">
        <f>$O$151*$AA$151</f>
        <v>0</v>
      </c>
    </row>
    <row r="152" spans="1:33" ht="11.25" customHeight="1" x14ac:dyDescent="0.25">
      <c r="A152" s="4" t="s">
        <v>21</v>
      </c>
      <c r="B152" s="4" t="s">
        <v>35</v>
      </c>
      <c r="C152" s="4" t="s">
        <v>39</v>
      </c>
      <c r="D152" s="4" t="s">
        <v>34</v>
      </c>
      <c r="E152" s="4" t="s">
        <v>25</v>
      </c>
      <c r="F152" s="4" t="s">
        <v>56</v>
      </c>
      <c r="G152" s="4" t="s">
        <v>25</v>
      </c>
      <c r="H152" s="4" t="s">
        <v>37</v>
      </c>
      <c r="I152" s="5">
        <v>44593</v>
      </c>
      <c r="J152" s="6">
        <v>0</v>
      </c>
      <c r="K152" s="6">
        <v>0</v>
      </c>
      <c r="L152" s="6">
        <v>212.62799999999999</v>
      </c>
      <c r="M152" s="6">
        <v>107.37714</v>
      </c>
      <c r="N152" s="6">
        <v>0</v>
      </c>
      <c r="O152" s="6">
        <v>0</v>
      </c>
      <c r="P152" s="6">
        <v>0</v>
      </c>
      <c r="Q152" s="4" t="s">
        <v>57</v>
      </c>
      <c r="R152" s="4">
        <v>0</v>
      </c>
      <c r="S152" s="6">
        <v>0</v>
      </c>
      <c r="T152" s="6">
        <v>5</v>
      </c>
      <c r="U152" s="6">
        <v>0</v>
      </c>
      <c r="V152" s="6">
        <f>IF(ISERROR(VLOOKUP($S$152,'TAR FIN'!$A$1:$O$86,15,0)),0,VLOOKUP($S$152,'TAR FIN'!$A$1:$O$86,15,0))</f>
        <v>0</v>
      </c>
      <c r="W152" s="6">
        <f>IF(ISERROR(VLOOKUP($T$152,'TAR FIN'!$A$1:$O$86,15,0)),0,VLOOKUP($T$152,'TAR FIN'!$A$1:$O$86,15,0))</f>
        <v>1518.97</v>
      </c>
      <c r="X152" s="6">
        <f>IF(ISERROR(VLOOKUP($U$152,'TAR FIN'!$A$1:$O$86,15,0)),0,VLOOKUP($U$152,'TAR FIN'!$A$1:$O$86,15,0))</f>
        <v>0</v>
      </c>
      <c r="Y152" s="6"/>
      <c r="Z152" s="6">
        <f ca="1">('TUSD BE'!$AM$11+'TUSD BF_350'!$AM$11+'TUSD CVA'!$AM$11)*1</f>
        <v>911.83999999999992</v>
      </c>
      <c r="AA152" s="6"/>
      <c r="AB152" s="6">
        <f>$K$152*$V$152</f>
        <v>0</v>
      </c>
      <c r="AC152" s="6">
        <f>$M$152*$W$152</f>
        <v>163102.65434579999</v>
      </c>
      <c r="AD152" s="6">
        <f>$O$152*$X$152</f>
        <v>0</v>
      </c>
      <c r="AE152" s="6">
        <f>$K$152*$Y$152</f>
        <v>0</v>
      </c>
      <c r="AF152" s="6">
        <f ca="1">$M$152*$Z$152</f>
        <v>97910.771337599988</v>
      </c>
      <c r="AG152" s="6">
        <f>$O$152*$AA$152</f>
        <v>0</v>
      </c>
    </row>
    <row r="153" spans="1:33" ht="11.25" customHeight="1" x14ac:dyDescent="0.25">
      <c r="A153" s="4" t="s">
        <v>21</v>
      </c>
      <c r="B153" s="4" t="s">
        <v>35</v>
      </c>
      <c r="C153" s="4" t="s">
        <v>39</v>
      </c>
      <c r="D153" s="4" t="s">
        <v>34</v>
      </c>
      <c r="E153" s="4" t="s">
        <v>25</v>
      </c>
      <c r="F153" s="4" t="s">
        <v>56</v>
      </c>
      <c r="G153" s="4" t="s">
        <v>25</v>
      </c>
      <c r="H153" s="4" t="s">
        <v>37</v>
      </c>
      <c r="I153" s="5">
        <v>44621</v>
      </c>
      <c r="J153" s="6">
        <v>0</v>
      </c>
      <c r="K153" s="6">
        <v>0</v>
      </c>
      <c r="L153" s="6">
        <v>228.40799999999999</v>
      </c>
      <c r="M153" s="6">
        <v>113.35889040000001</v>
      </c>
      <c r="N153" s="6">
        <v>0</v>
      </c>
      <c r="O153" s="6">
        <v>0</v>
      </c>
      <c r="P153" s="6">
        <v>0</v>
      </c>
      <c r="Q153" s="4" t="s">
        <v>57</v>
      </c>
      <c r="R153" s="4">
        <v>0</v>
      </c>
      <c r="S153" s="6">
        <v>0</v>
      </c>
      <c r="T153" s="6">
        <v>5</v>
      </c>
      <c r="U153" s="6">
        <v>0</v>
      </c>
      <c r="V153" s="6">
        <f>IF(ISERROR(VLOOKUP($S$153,'TAR FIN'!$A$1:$O$86,15,0)),0,VLOOKUP($S$153,'TAR FIN'!$A$1:$O$86,15,0))</f>
        <v>0</v>
      </c>
      <c r="W153" s="6">
        <f>IF(ISERROR(VLOOKUP($T$153,'TAR FIN'!$A$1:$O$86,15,0)),0,VLOOKUP($T$153,'TAR FIN'!$A$1:$O$86,15,0))</f>
        <v>1518.97</v>
      </c>
      <c r="X153" s="6">
        <f>IF(ISERROR(VLOOKUP($U$153,'TAR FIN'!$A$1:$O$86,15,0)),0,VLOOKUP($U$153,'TAR FIN'!$A$1:$O$86,15,0))</f>
        <v>0</v>
      </c>
      <c r="Y153" s="6"/>
      <c r="Z153" s="6">
        <f ca="1">('TUSD BE'!$AM$11+'TUSD BF_350'!$AM$11+'TUSD CVA'!$AM$11)*1</f>
        <v>911.83999999999992</v>
      </c>
      <c r="AA153" s="6"/>
      <c r="AB153" s="6">
        <f>$K$153*$V$153</f>
        <v>0</v>
      </c>
      <c r="AC153" s="6">
        <f>$M$153*$W$153</f>
        <v>172188.75375088802</v>
      </c>
      <c r="AD153" s="6">
        <f>$O$153*$X$153</f>
        <v>0</v>
      </c>
      <c r="AE153" s="6">
        <f>$K$153*$Y$153</f>
        <v>0</v>
      </c>
      <c r="AF153" s="6">
        <f ca="1">$M$153*$Z$153</f>
        <v>103365.17062233599</v>
      </c>
      <c r="AG153" s="6">
        <f>$O$153*$AA$153</f>
        <v>0</v>
      </c>
    </row>
    <row r="154" spans="1:33" ht="11.25" customHeight="1" x14ac:dyDescent="0.25">
      <c r="A154" s="4" t="s">
        <v>21</v>
      </c>
      <c r="B154" s="4" t="s">
        <v>35</v>
      </c>
      <c r="C154" s="4" t="s">
        <v>39</v>
      </c>
      <c r="D154" s="4" t="s">
        <v>34</v>
      </c>
      <c r="E154" s="4" t="s">
        <v>25</v>
      </c>
      <c r="F154" s="4" t="s">
        <v>56</v>
      </c>
      <c r="G154" s="4" t="s">
        <v>25</v>
      </c>
      <c r="H154" s="4" t="s">
        <v>37</v>
      </c>
      <c r="I154" s="5">
        <v>44652</v>
      </c>
      <c r="J154" s="6">
        <v>0</v>
      </c>
      <c r="K154" s="6">
        <v>0</v>
      </c>
      <c r="L154" s="6">
        <v>197.779</v>
      </c>
      <c r="M154" s="6">
        <v>100.45195409999999</v>
      </c>
      <c r="N154" s="6">
        <v>0</v>
      </c>
      <c r="O154" s="6">
        <v>0</v>
      </c>
      <c r="P154" s="6">
        <v>0</v>
      </c>
      <c r="Q154" s="4" t="s">
        <v>57</v>
      </c>
      <c r="R154" s="4">
        <v>0</v>
      </c>
      <c r="S154" s="6">
        <v>0</v>
      </c>
      <c r="T154" s="6">
        <v>5</v>
      </c>
      <c r="U154" s="6">
        <v>0</v>
      </c>
      <c r="V154" s="6">
        <f>IF(ISERROR(VLOOKUP($S$154,'TAR FIN'!$A$1:$O$86,15,0)),0,VLOOKUP($S$154,'TAR FIN'!$A$1:$O$86,15,0))</f>
        <v>0</v>
      </c>
      <c r="W154" s="6">
        <f>IF(ISERROR(VLOOKUP($T$154,'TAR FIN'!$A$1:$O$86,15,0)),0,VLOOKUP($T$154,'TAR FIN'!$A$1:$O$86,15,0))</f>
        <v>1518.97</v>
      </c>
      <c r="X154" s="6">
        <f>IF(ISERROR(VLOOKUP($U$154,'TAR FIN'!$A$1:$O$86,15,0)),0,VLOOKUP($U$154,'TAR FIN'!$A$1:$O$86,15,0))</f>
        <v>0</v>
      </c>
      <c r="Y154" s="6"/>
      <c r="Z154" s="6">
        <f ca="1">('TUSD BE'!$AM$11+'TUSD BF_350'!$AM$11+'TUSD CVA'!$AM$11)*1</f>
        <v>911.83999999999992</v>
      </c>
      <c r="AA154" s="6"/>
      <c r="AB154" s="6">
        <f>$K$154*$V$154</f>
        <v>0</v>
      </c>
      <c r="AC154" s="6">
        <f>$M$154*$W$154</f>
        <v>152583.504719277</v>
      </c>
      <c r="AD154" s="6">
        <f>$O$154*$X$154</f>
        <v>0</v>
      </c>
      <c r="AE154" s="6">
        <f>$K$154*$Y$154</f>
        <v>0</v>
      </c>
      <c r="AF154" s="6">
        <f ca="1">$M$154*$Z$154</f>
        <v>91596.109826543994</v>
      </c>
      <c r="AG154" s="6">
        <f>$O$154*$AA$154</f>
        <v>0</v>
      </c>
    </row>
    <row r="155" spans="1:33" ht="11.25" customHeight="1" x14ac:dyDescent="0.25">
      <c r="A155" s="4" t="s">
        <v>21</v>
      </c>
      <c r="B155" s="4" t="s">
        <v>35</v>
      </c>
      <c r="C155" s="4" t="s">
        <v>39</v>
      </c>
      <c r="D155" s="4" t="s">
        <v>34</v>
      </c>
      <c r="E155" s="4" t="s">
        <v>25</v>
      </c>
      <c r="F155" s="4" t="s">
        <v>56</v>
      </c>
      <c r="G155" s="4" t="s">
        <v>25</v>
      </c>
      <c r="H155" s="4" t="s">
        <v>37</v>
      </c>
      <c r="I155" s="5">
        <v>44682</v>
      </c>
      <c r="J155" s="6">
        <v>0</v>
      </c>
      <c r="K155" s="6">
        <v>0</v>
      </c>
      <c r="L155" s="6">
        <v>220.24</v>
      </c>
      <c r="M155" s="6">
        <v>110.802744</v>
      </c>
      <c r="N155" s="6">
        <v>0</v>
      </c>
      <c r="O155" s="6">
        <v>0</v>
      </c>
      <c r="P155" s="6">
        <v>0</v>
      </c>
      <c r="Q155" s="4" t="s">
        <v>57</v>
      </c>
      <c r="R155" s="4">
        <v>0</v>
      </c>
      <c r="S155" s="6">
        <v>0</v>
      </c>
      <c r="T155" s="6">
        <v>5</v>
      </c>
      <c r="U155" s="6">
        <v>0</v>
      </c>
      <c r="V155" s="6">
        <f>IF(ISERROR(VLOOKUP($S$155,'TAR FIN'!$A$1:$O$86,15,0)),0,VLOOKUP($S$155,'TAR FIN'!$A$1:$O$86,15,0))</f>
        <v>0</v>
      </c>
      <c r="W155" s="6">
        <f>IF(ISERROR(VLOOKUP($T$155,'TAR FIN'!$A$1:$O$86,15,0)),0,VLOOKUP($T$155,'TAR FIN'!$A$1:$O$86,15,0))</f>
        <v>1518.97</v>
      </c>
      <c r="X155" s="6">
        <f>IF(ISERROR(VLOOKUP($U$155,'TAR FIN'!$A$1:$O$86,15,0)),0,VLOOKUP($U$155,'TAR FIN'!$A$1:$O$86,15,0))</f>
        <v>0</v>
      </c>
      <c r="Y155" s="6"/>
      <c r="Z155" s="6">
        <f ca="1">('TUSD BE'!$AM$11+'TUSD BF_350'!$AM$11+'TUSD CVA'!$AM$11)*1</f>
        <v>911.83999999999992</v>
      </c>
      <c r="AA155" s="6"/>
      <c r="AB155" s="6">
        <f>$K$155*$V$155</f>
        <v>0</v>
      </c>
      <c r="AC155" s="6">
        <f>$M$155*$W$155</f>
        <v>168306.04405368</v>
      </c>
      <c r="AD155" s="6">
        <f>$O$155*$X$155</f>
        <v>0</v>
      </c>
      <c r="AE155" s="6">
        <f>$K$155*$Y$155</f>
        <v>0</v>
      </c>
      <c r="AF155" s="6">
        <f ca="1">$M$155*$Z$155</f>
        <v>101034.37408896</v>
      </c>
      <c r="AG155" s="6">
        <f>$O$155*$AA$155</f>
        <v>0</v>
      </c>
    </row>
    <row r="156" spans="1:33" ht="11.25" customHeight="1" x14ac:dyDescent="0.25">
      <c r="A156" s="4" t="s">
        <v>21</v>
      </c>
      <c r="B156" s="4" t="s">
        <v>35</v>
      </c>
      <c r="C156" s="4" t="s">
        <v>39</v>
      </c>
      <c r="D156" s="4" t="s">
        <v>34</v>
      </c>
      <c r="E156" s="4" t="s">
        <v>25</v>
      </c>
      <c r="F156" s="4" t="s">
        <v>56</v>
      </c>
      <c r="G156" s="4" t="s">
        <v>25</v>
      </c>
      <c r="H156" s="4" t="s">
        <v>37</v>
      </c>
      <c r="I156" s="5">
        <v>44713</v>
      </c>
      <c r="J156" s="6">
        <v>0</v>
      </c>
      <c r="K156" s="6">
        <v>0</v>
      </c>
      <c r="L156" s="6">
        <v>210.67</v>
      </c>
      <c r="M156" s="6">
        <v>105.566737</v>
      </c>
      <c r="N156" s="6">
        <v>0</v>
      </c>
      <c r="O156" s="6">
        <v>0</v>
      </c>
      <c r="P156" s="6">
        <v>0</v>
      </c>
      <c r="Q156" s="4" t="s">
        <v>57</v>
      </c>
      <c r="R156" s="4">
        <v>0</v>
      </c>
      <c r="S156" s="6">
        <v>0</v>
      </c>
      <c r="T156" s="6">
        <v>5</v>
      </c>
      <c r="U156" s="6">
        <v>0</v>
      </c>
      <c r="V156" s="6">
        <f>IF(ISERROR(VLOOKUP($S$156,'TAR FIN'!$A$1:$O$86,15,0)),0,VLOOKUP($S$156,'TAR FIN'!$A$1:$O$86,15,0))</f>
        <v>0</v>
      </c>
      <c r="W156" s="6">
        <f>IF(ISERROR(VLOOKUP($T$156,'TAR FIN'!$A$1:$O$86,15,0)),0,VLOOKUP($T$156,'TAR FIN'!$A$1:$O$86,15,0))</f>
        <v>1518.97</v>
      </c>
      <c r="X156" s="6">
        <f>IF(ISERROR(VLOOKUP($U$156,'TAR FIN'!$A$1:$O$86,15,0)),0,VLOOKUP($U$156,'TAR FIN'!$A$1:$O$86,15,0))</f>
        <v>0</v>
      </c>
      <c r="Y156" s="6"/>
      <c r="Z156" s="6">
        <f ca="1">('TUSD BE'!$AM$11+'TUSD BF_350'!$AM$11+'TUSD CVA'!$AM$11)*1</f>
        <v>911.83999999999992</v>
      </c>
      <c r="AA156" s="6"/>
      <c r="AB156" s="6">
        <f>$K$156*$V$156</f>
        <v>0</v>
      </c>
      <c r="AC156" s="6">
        <f>$M$156*$W$156</f>
        <v>160352.70650089</v>
      </c>
      <c r="AD156" s="6">
        <f>$O$156*$X$156</f>
        <v>0</v>
      </c>
      <c r="AE156" s="6">
        <f>$K$156*$Y$156</f>
        <v>0</v>
      </c>
      <c r="AF156" s="6">
        <f ca="1">$M$156*$Z$156</f>
        <v>96259.973466079988</v>
      </c>
      <c r="AG156" s="6">
        <f>$O$156*$AA$156</f>
        <v>0</v>
      </c>
    </row>
    <row r="157" spans="1:33" ht="11.25" customHeight="1" x14ac:dyDescent="0.25">
      <c r="A157" s="4" t="s">
        <v>55</v>
      </c>
      <c r="B157" s="4" t="s">
        <v>35</v>
      </c>
      <c r="C157" s="4" t="s">
        <v>39</v>
      </c>
      <c r="D157" s="4" t="s">
        <v>34</v>
      </c>
      <c r="E157" s="4" t="s">
        <v>25</v>
      </c>
      <c r="F157" s="4" t="s">
        <v>56</v>
      </c>
      <c r="G157" s="4" t="s">
        <v>25</v>
      </c>
      <c r="H157" s="4" t="s">
        <v>37</v>
      </c>
      <c r="I157" s="5">
        <v>44743</v>
      </c>
      <c r="J157" s="6">
        <v>0</v>
      </c>
      <c r="K157" s="6">
        <v>0</v>
      </c>
      <c r="L157" s="6">
        <v>210.67</v>
      </c>
      <c r="M157" s="6">
        <v>105.566737</v>
      </c>
      <c r="N157" s="6">
        <v>0</v>
      </c>
      <c r="O157" s="6">
        <v>0</v>
      </c>
      <c r="P157" s="6">
        <v>0</v>
      </c>
      <c r="Q157" s="4" t="s">
        <v>57</v>
      </c>
      <c r="R157" s="4">
        <v>0</v>
      </c>
      <c r="S157" s="6">
        <v>0</v>
      </c>
      <c r="T157" s="6">
        <v>5</v>
      </c>
      <c r="U157" s="6">
        <v>0</v>
      </c>
      <c r="V157" s="6">
        <f>IF(ISERROR(VLOOKUP($S$157,'TAR FIN'!$A$1:$O$86,15,0)),0,VLOOKUP($S$157,'TAR FIN'!$A$1:$O$86,15,0))</f>
        <v>0</v>
      </c>
      <c r="W157" s="6">
        <f>IF(ISERROR(VLOOKUP($T$157,'TAR FIN'!$A$1:$O$86,15,0)),0,VLOOKUP($T$157,'TAR FIN'!$A$1:$O$86,15,0))</f>
        <v>1518.97</v>
      </c>
      <c r="X157" s="6">
        <f>IF(ISERROR(VLOOKUP($U$157,'TAR FIN'!$A$1:$O$86,15,0)),0,VLOOKUP($U$157,'TAR FIN'!$A$1:$O$86,15,0))</f>
        <v>0</v>
      </c>
      <c r="Y157" s="6"/>
      <c r="Z157" s="6">
        <f ca="1">('TUSD BE'!$AM$11+'TUSD BF_350'!$AM$11+'TUSD CVA'!$AM$11)*1</f>
        <v>911.83999999999992</v>
      </c>
      <c r="AA157" s="6"/>
      <c r="AB157" s="6">
        <f>$K$157*$V$157</f>
        <v>0</v>
      </c>
      <c r="AC157" s="6">
        <f>$M$157*$W$157</f>
        <v>160352.70650089</v>
      </c>
      <c r="AD157" s="6">
        <f>$O$157*$X$157</f>
        <v>0</v>
      </c>
      <c r="AE157" s="6">
        <f>$K$157*$Y$157</f>
        <v>0</v>
      </c>
      <c r="AF157" s="6">
        <f ca="1">$M$157*$Z$157</f>
        <v>96259.973466079988</v>
      </c>
      <c r="AG157" s="6">
        <f>$O$157*$AA$157</f>
        <v>0</v>
      </c>
    </row>
    <row r="158" spans="1:33" ht="11.25" customHeight="1" x14ac:dyDescent="0.25">
      <c r="A158" s="4" t="s">
        <v>21</v>
      </c>
      <c r="B158" s="4" t="s">
        <v>35</v>
      </c>
      <c r="C158" s="4" t="s">
        <v>39</v>
      </c>
      <c r="D158" s="4" t="s">
        <v>34</v>
      </c>
      <c r="E158" s="4" t="s">
        <v>25</v>
      </c>
      <c r="F158" s="4" t="s">
        <v>25</v>
      </c>
      <c r="G158" s="4" t="s">
        <v>25</v>
      </c>
      <c r="H158" s="4" t="s">
        <v>38</v>
      </c>
      <c r="I158" s="5">
        <v>44409</v>
      </c>
      <c r="J158" s="6">
        <v>0</v>
      </c>
      <c r="K158" s="6">
        <v>0</v>
      </c>
      <c r="L158" s="6">
        <v>3639.2730000000001</v>
      </c>
      <c r="M158" s="6">
        <v>3639.2730000000001</v>
      </c>
      <c r="N158" s="6">
        <v>3639.2730000000001</v>
      </c>
      <c r="O158" s="6">
        <v>3639.2730000000001</v>
      </c>
      <c r="P158" s="6">
        <v>0</v>
      </c>
      <c r="Q158" s="4" t="s">
        <v>26</v>
      </c>
      <c r="R158" s="4">
        <v>0</v>
      </c>
      <c r="S158" s="6">
        <v>0</v>
      </c>
      <c r="T158" s="6">
        <v>18</v>
      </c>
      <c r="U158" s="6">
        <v>73</v>
      </c>
      <c r="V158" s="6">
        <f>IF(ISERROR(VLOOKUP($S$158,'TAR FIN'!$A$1:$O$86,15,0)),0,VLOOKUP($S$158,'TAR FIN'!$A$1:$O$86,15,0))</f>
        <v>0</v>
      </c>
      <c r="W158" s="6">
        <f>IF(ISERROR(VLOOKUP($T$158,'TAR FIN'!$A$1:$O$86,15,0)),0,VLOOKUP($T$158,'TAR FIN'!$A$1:$O$86,15,0))</f>
        <v>73.19</v>
      </c>
      <c r="X158" s="6">
        <f>IF(ISERROR(VLOOKUP($U$158,'TAR FIN'!$A$1:$O$86,15,0)),0,VLOOKUP($U$158,'TAR FIN'!$A$1:$O$86,15,0))</f>
        <v>211.71</v>
      </c>
      <c r="Y158" s="6"/>
      <c r="Z158" s="6">
        <f ca="1">('TUSD BE'!$AM$12+'TUSD BF_350'!$AM$12+'TUSD CVA'!$AM$12)*1</f>
        <v>126.25</v>
      </c>
      <c r="AA158" s="6">
        <f ca="1">('TE BE'!$AB$6+'TE BF_350'!$AB$6+'TE CVA'!$AB$6)*1</f>
        <v>222.99901551132911</v>
      </c>
      <c r="AB158" s="6">
        <f>$K$158*$V$158</f>
        <v>0</v>
      </c>
      <c r="AC158" s="6">
        <f>$M$158*$W$158</f>
        <v>266358.39087</v>
      </c>
      <c r="AD158" s="6">
        <f>$O$158*$X$158</f>
        <v>770470.48683000007</v>
      </c>
      <c r="AE158" s="6">
        <f>$K$158*$Y$158</f>
        <v>0</v>
      </c>
      <c r="AF158" s="6">
        <f ca="1">$M$158*$Z$158</f>
        <v>459458.21625</v>
      </c>
      <c r="AG158" s="6">
        <f ca="1">$O$158*$AA$158</f>
        <v>811554.29617696127</v>
      </c>
    </row>
    <row r="159" spans="1:33" ht="11.25" customHeight="1" x14ac:dyDescent="0.25">
      <c r="A159" s="4" t="s">
        <v>28</v>
      </c>
      <c r="B159" s="4" t="s">
        <v>35</v>
      </c>
      <c r="C159" s="4" t="s">
        <v>39</v>
      </c>
      <c r="D159" s="4" t="s">
        <v>34</v>
      </c>
      <c r="E159" s="4" t="s">
        <v>25</v>
      </c>
      <c r="F159" s="4" t="s">
        <v>25</v>
      </c>
      <c r="G159" s="4" t="s">
        <v>25</v>
      </c>
      <c r="H159" s="4" t="s">
        <v>38</v>
      </c>
      <c r="I159" s="5">
        <v>44409</v>
      </c>
      <c r="J159" s="6">
        <v>0</v>
      </c>
      <c r="K159" s="6">
        <v>0</v>
      </c>
      <c r="L159" s="6">
        <v>236.98699999999999</v>
      </c>
      <c r="M159" s="6">
        <v>236.98699999999999</v>
      </c>
      <c r="N159" s="6">
        <v>236.98699999999999</v>
      </c>
      <c r="O159" s="6">
        <v>236.98699999999999</v>
      </c>
      <c r="P159" s="6">
        <v>0</v>
      </c>
      <c r="Q159" s="4" t="s">
        <v>26</v>
      </c>
      <c r="R159" s="4">
        <v>0</v>
      </c>
      <c r="S159" s="6">
        <v>0</v>
      </c>
      <c r="T159" s="6">
        <v>18</v>
      </c>
      <c r="U159" s="6">
        <v>73</v>
      </c>
      <c r="V159" s="6">
        <f>IF(ISERROR(VLOOKUP($S$159,'TAR FIN'!$A$1:$O$86,15,0)),0,VLOOKUP($S$159,'TAR FIN'!$A$1:$O$86,15,0))</f>
        <v>0</v>
      </c>
      <c r="W159" s="6">
        <f>IF(ISERROR(VLOOKUP($T$159,'TAR FIN'!$A$1:$O$86,15,0)),0,VLOOKUP($T$159,'TAR FIN'!$A$1:$O$86,15,0))</f>
        <v>73.19</v>
      </c>
      <c r="X159" s="6">
        <f>IF(ISERROR(VLOOKUP($U$159,'TAR FIN'!$A$1:$O$86,15,0)),0,VLOOKUP($U$159,'TAR FIN'!$A$1:$O$86,15,0))</f>
        <v>211.71</v>
      </c>
      <c r="Y159" s="6"/>
      <c r="Z159" s="6">
        <f ca="1">('TUSD BE'!$AM$12+'TUSD BF_350'!$AM$12+'TUSD CVA'!$AM$12)*1</f>
        <v>126.25</v>
      </c>
      <c r="AA159" s="6">
        <f ca="1">('TE BE'!$AB$6+'TE BF_350'!$AB$6+'TE CVA'!$AB$6)*1</f>
        <v>222.99901551132911</v>
      </c>
      <c r="AB159" s="6">
        <f>$K$159*$V$159</f>
        <v>0</v>
      </c>
      <c r="AC159" s="6">
        <f>$M$159*$W$159</f>
        <v>17345.078529999999</v>
      </c>
      <c r="AD159" s="6">
        <f>$O$159*$X$159</f>
        <v>50172.517769999999</v>
      </c>
      <c r="AE159" s="6">
        <f>$K$159*$Y$159</f>
        <v>0</v>
      </c>
      <c r="AF159" s="6">
        <f ca="1">$M$159*$Z$159</f>
        <v>29919.608749999999</v>
      </c>
      <c r="AG159" s="6">
        <f ca="1">$O$159*$AA$159</f>
        <v>52847.867688983351</v>
      </c>
    </row>
    <row r="160" spans="1:33" ht="11.25" customHeight="1" x14ac:dyDescent="0.25">
      <c r="A160" s="4" t="s">
        <v>21</v>
      </c>
      <c r="B160" s="4" t="s">
        <v>35</v>
      </c>
      <c r="C160" s="4" t="s">
        <v>39</v>
      </c>
      <c r="D160" s="4" t="s">
        <v>34</v>
      </c>
      <c r="E160" s="4" t="s">
        <v>25</v>
      </c>
      <c r="F160" s="4" t="s">
        <v>25</v>
      </c>
      <c r="G160" s="4" t="s">
        <v>25</v>
      </c>
      <c r="H160" s="4" t="s">
        <v>38</v>
      </c>
      <c r="I160" s="5">
        <v>44440</v>
      </c>
      <c r="J160" s="6">
        <v>0</v>
      </c>
      <c r="K160" s="6">
        <v>0</v>
      </c>
      <c r="L160" s="6">
        <v>3538.067</v>
      </c>
      <c r="M160" s="6">
        <v>3538.067</v>
      </c>
      <c r="N160" s="6">
        <v>3538.067</v>
      </c>
      <c r="O160" s="6">
        <v>3538.067</v>
      </c>
      <c r="P160" s="6">
        <v>0</v>
      </c>
      <c r="Q160" s="4" t="s">
        <v>26</v>
      </c>
      <c r="R160" s="4">
        <v>0</v>
      </c>
      <c r="S160" s="6">
        <v>0</v>
      </c>
      <c r="T160" s="6">
        <v>18</v>
      </c>
      <c r="U160" s="6">
        <v>73</v>
      </c>
      <c r="V160" s="6">
        <f>IF(ISERROR(VLOOKUP($S$160,'TAR FIN'!$A$1:$O$86,15,0)),0,VLOOKUP($S$160,'TAR FIN'!$A$1:$O$86,15,0))</f>
        <v>0</v>
      </c>
      <c r="W160" s="6">
        <f>IF(ISERROR(VLOOKUP($T$160,'TAR FIN'!$A$1:$O$86,15,0)),0,VLOOKUP($T$160,'TAR FIN'!$A$1:$O$86,15,0))</f>
        <v>73.19</v>
      </c>
      <c r="X160" s="6">
        <f>IF(ISERROR(VLOOKUP($U$160,'TAR FIN'!$A$1:$O$86,15,0)),0,VLOOKUP($U$160,'TAR FIN'!$A$1:$O$86,15,0))</f>
        <v>211.71</v>
      </c>
      <c r="Y160" s="6"/>
      <c r="Z160" s="6">
        <f ca="1">('TUSD BE'!$AM$12+'TUSD BF_350'!$AM$12+'TUSD CVA'!$AM$12)*1</f>
        <v>126.25</v>
      </c>
      <c r="AA160" s="6">
        <f ca="1">('TE BE'!$AB$6+'TE BF_350'!$AB$6+'TE CVA'!$AB$6)*1</f>
        <v>222.99901551132911</v>
      </c>
      <c r="AB160" s="6">
        <f>$K$160*$V$160</f>
        <v>0</v>
      </c>
      <c r="AC160" s="6">
        <f>$M$160*$W$160</f>
        <v>258951.12372999999</v>
      </c>
      <c r="AD160" s="6">
        <f>$O$160*$X$160</f>
        <v>749044.16457000002</v>
      </c>
      <c r="AE160" s="6">
        <f>$K$160*$Y$160</f>
        <v>0</v>
      </c>
      <c r="AF160" s="6">
        <f ca="1">$M$160*$Z$160</f>
        <v>446680.95874999999</v>
      </c>
      <c r="AG160" s="6">
        <f ca="1">$O$160*$AA$160</f>
        <v>788985.45781312161</v>
      </c>
    </row>
    <row r="161" spans="1:33" ht="11.25" customHeight="1" x14ac:dyDescent="0.25">
      <c r="A161" s="4" t="s">
        <v>28</v>
      </c>
      <c r="B161" s="4" t="s">
        <v>35</v>
      </c>
      <c r="C161" s="4" t="s">
        <v>39</v>
      </c>
      <c r="D161" s="4" t="s">
        <v>34</v>
      </c>
      <c r="E161" s="4" t="s">
        <v>25</v>
      </c>
      <c r="F161" s="4" t="s">
        <v>25</v>
      </c>
      <c r="G161" s="4" t="s">
        <v>25</v>
      </c>
      <c r="H161" s="4" t="s">
        <v>38</v>
      </c>
      <c r="I161" s="5">
        <v>44440</v>
      </c>
      <c r="J161" s="6">
        <v>0</v>
      </c>
      <c r="K161" s="6">
        <v>0</v>
      </c>
      <c r="L161" s="6">
        <v>153.905</v>
      </c>
      <c r="M161" s="6">
        <v>153.905</v>
      </c>
      <c r="N161" s="6">
        <v>153.905</v>
      </c>
      <c r="O161" s="6">
        <v>153.905</v>
      </c>
      <c r="P161" s="6">
        <v>0</v>
      </c>
      <c r="Q161" s="4" t="s">
        <v>26</v>
      </c>
      <c r="R161" s="4">
        <v>0</v>
      </c>
      <c r="S161" s="6">
        <v>0</v>
      </c>
      <c r="T161" s="6">
        <v>18</v>
      </c>
      <c r="U161" s="6">
        <v>73</v>
      </c>
      <c r="V161" s="6">
        <f>IF(ISERROR(VLOOKUP($S$161,'TAR FIN'!$A$1:$O$86,15,0)),0,VLOOKUP($S$161,'TAR FIN'!$A$1:$O$86,15,0))</f>
        <v>0</v>
      </c>
      <c r="W161" s="6">
        <f>IF(ISERROR(VLOOKUP($T$161,'TAR FIN'!$A$1:$O$86,15,0)),0,VLOOKUP($T$161,'TAR FIN'!$A$1:$O$86,15,0))</f>
        <v>73.19</v>
      </c>
      <c r="X161" s="6">
        <f>IF(ISERROR(VLOOKUP($U$161,'TAR FIN'!$A$1:$O$86,15,0)),0,VLOOKUP($U$161,'TAR FIN'!$A$1:$O$86,15,0))</f>
        <v>211.71</v>
      </c>
      <c r="Y161" s="6"/>
      <c r="Z161" s="6">
        <f ca="1">('TUSD BE'!$AM$12+'TUSD BF_350'!$AM$12+'TUSD CVA'!$AM$12)*1</f>
        <v>126.25</v>
      </c>
      <c r="AA161" s="6">
        <f ca="1">('TE BE'!$AB$6+'TE BF_350'!$AB$6+'TE CVA'!$AB$6)*1</f>
        <v>222.99901551132911</v>
      </c>
      <c r="AB161" s="6">
        <f>$K$161*$V$161</f>
        <v>0</v>
      </c>
      <c r="AC161" s="6">
        <f>$M$161*$W$161</f>
        <v>11264.30695</v>
      </c>
      <c r="AD161" s="6">
        <f>$O$161*$X$161</f>
        <v>32583.227550000003</v>
      </c>
      <c r="AE161" s="6">
        <f>$K$161*$Y$161</f>
        <v>0</v>
      </c>
      <c r="AF161" s="6">
        <f ca="1">$M$161*$Z$161</f>
        <v>19430.506249999999</v>
      </c>
      <c r="AG161" s="6">
        <f ca="1">$O$161*$AA$161</f>
        <v>34320.663482271106</v>
      </c>
    </row>
    <row r="162" spans="1:33" ht="11.25" customHeight="1" x14ac:dyDescent="0.25">
      <c r="A162" s="4" t="s">
        <v>21</v>
      </c>
      <c r="B162" s="4" t="s">
        <v>35</v>
      </c>
      <c r="C162" s="4" t="s">
        <v>39</v>
      </c>
      <c r="D162" s="4" t="s">
        <v>34</v>
      </c>
      <c r="E162" s="4" t="s">
        <v>25</v>
      </c>
      <c r="F162" s="4" t="s">
        <v>25</v>
      </c>
      <c r="G162" s="4" t="s">
        <v>25</v>
      </c>
      <c r="H162" s="4" t="s">
        <v>38</v>
      </c>
      <c r="I162" s="5">
        <v>44470</v>
      </c>
      <c r="J162" s="6">
        <v>0</v>
      </c>
      <c r="K162" s="6">
        <v>0</v>
      </c>
      <c r="L162" s="6">
        <v>3582.9960000000001</v>
      </c>
      <c r="M162" s="6">
        <v>3582.9960000000001</v>
      </c>
      <c r="N162" s="6">
        <v>3582.9960000000001</v>
      </c>
      <c r="O162" s="6">
        <v>3582.9960000000001</v>
      </c>
      <c r="P162" s="6">
        <v>0</v>
      </c>
      <c r="Q162" s="4" t="s">
        <v>26</v>
      </c>
      <c r="R162" s="4">
        <v>0</v>
      </c>
      <c r="S162" s="6">
        <v>0</v>
      </c>
      <c r="T162" s="6">
        <v>18</v>
      </c>
      <c r="U162" s="6">
        <v>73</v>
      </c>
      <c r="V162" s="6">
        <f>IF(ISERROR(VLOOKUP($S$162,'TAR FIN'!$A$1:$O$86,15,0)),0,VLOOKUP($S$162,'TAR FIN'!$A$1:$O$86,15,0))</f>
        <v>0</v>
      </c>
      <c r="W162" s="6">
        <f>IF(ISERROR(VLOOKUP($T$162,'TAR FIN'!$A$1:$O$86,15,0)),0,VLOOKUP($T$162,'TAR FIN'!$A$1:$O$86,15,0))</f>
        <v>73.19</v>
      </c>
      <c r="X162" s="6">
        <f>IF(ISERROR(VLOOKUP($U$162,'TAR FIN'!$A$1:$O$86,15,0)),0,VLOOKUP($U$162,'TAR FIN'!$A$1:$O$86,15,0))</f>
        <v>211.71</v>
      </c>
      <c r="Y162" s="6"/>
      <c r="Z162" s="6">
        <f ca="1">('TUSD BE'!$AM$12+'TUSD BF_350'!$AM$12+'TUSD CVA'!$AM$12)*1</f>
        <v>126.25</v>
      </c>
      <c r="AA162" s="6">
        <f ca="1">('TE BE'!$AB$6+'TE BF_350'!$AB$6+'TE CVA'!$AB$6)*1</f>
        <v>222.99901551132911</v>
      </c>
      <c r="AB162" s="6">
        <f>$K$162*$V$162</f>
        <v>0</v>
      </c>
      <c r="AC162" s="6">
        <f>$M$162*$W$162</f>
        <v>262239.47723999998</v>
      </c>
      <c r="AD162" s="6">
        <f>$O$162*$X$162</f>
        <v>758556.08316000004</v>
      </c>
      <c r="AE162" s="6">
        <f>$K$162*$Y$162</f>
        <v>0</v>
      </c>
      <c r="AF162" s="6">
        <f ca="1">$M$162*$Z$162</f>
        <v>452353.245</v>
      </c>
      <c r="AG162" s="6">
        <f ca="1">$O$162*$AA$162</f>
        <v>799004.58058103011</v>
      </c>
    </row>
    <row r="163" spans="1:33" ht="11.25" customHeight="1" x14ac:dyDescent="0.25">
      <c r="A163" s="4" t="s">
        <v>28</v>
      </c>
      <c r="B163" s="4" t="s">
        <v>35</v>
      </c>
      <c r="C163" s="4" t="s">
        <v>39</v>
      </c>
      <c r="D163" s="4" t="s">
        <v>34</v>
      </c>
      <c r="E163" s="4" t="s">
        <v>25</v>
      </c>
      <c r="F163" s="4" t="s">
        <v>25</v>
      </c>
      <c r="G163" s="4" t="s">
        <v>25</v>
      </c>
      <c r="H163" s="4" t="s">
        <v>38</v>
      </c>
      <c r="I163" s="5">
        <v>44470</v>
      </c>
      <c r="J163" s="6">
        <v>0</v>
      </c>
      <c r="K163" s="6">
        <v>0</v>
      </c>
      <c r="L163" s="6">
        <v>172.417</v>
      </c>
      <c r="M163" s="6">
        <v>172.417</v>
      </c>
      <c r="N163" s="6">
        <v>172.417</v>
      </c>
      <c r="O163" s="6">
        <v>172.417</v>
      </c>
      <c r="P163" s="6">
        <v>0</v>
      </c>
      <c r="Q163" s="4" t="s">
        <v>26</v>
      </c>
      <c r="R163" s="4">
        <v>0</v>
      </c>
      <c r="S163" s="6">
        <v>0</v>
      </c>
      <c r="T163" s="6">
        <v>18</v>
      </c>
      <c r="U163" s="6">
        <v>73</v>
      </c>
      <c r="V163" s="6">
        <f>IF(ISERROR(VLOOKUP($S$163,'TAR FIN'!$A$1:$O$86,15,0)),0,VLOOKUP($S$163,'TAR FIN'!$A$1:$O$86,15,0))</f>
        <v>0</v>
      </c>
      <c r="W163" s="6">
        <f>IF(ISERROR(VLOOKUP($T$163,'TAR FIN'!$A$1:$O$86,15,0)),0,VLOOKUP($T$163,'TAR FIN'!$A$1:$O$86,15,0))</f>
        <v>73.19</v>
      </c>
      <c r="X163" s="6">
        <f>IF(ISERROR(VLOOKUP($U$163,'TAR FIN'!$A$1:$O$86,15,0)),0,VLOOKUP($U$163,'TAR FIN'!$A$1:$O$86,15,0))</f>
        <v>211.71</v>
      </c>
      <c r="Y163" s="6"/>
      <c r="Z163" s="6">
        <f ca="1">('TUSD BE'!$AM$12+'TUSD BF_350'!$AM$12+'TUSD CVA'!$AM$12)*1</f>
        <v>126.25</v>
      </c>
      <c r="AA163" s="6">
        <f ca="1">('TE BE'!$AB$6+'TE BF_350'!$AB$6+'TE CVA'!$AB$6)*1</f>
        <v>222.99901551132911</v>
      </c>
      <c r="AB163" s="6">
        <f>$K$163*$V$163</f>
        <v>0</v>
      </c>
      <c r="AC163" s="6">
        <f>$M$163*$W$163</f>
        <v>12619.20023</v>
      </c>
      <c r="AD163" s="6">
        <f>$O$163*$X$163</f>
        <v>36502.40307</v>
      </c>
      <c r="AE163" s="6">
        <f>$K$163*$Y$163</f>
        <v>0</v>
      </c>
      <c r="AF163" s="6">
        <f ca="1">$M$163*$Z$163</f>
        <v>21767.646250000002</v>
      </c>
      <c r="AG163" s="6">
        <f ca="1">$O$163*$AA$163</f>
        <v>38448.821257416828</v>
      </c>
    </row>
    <row r="164" spans="1:33" ht="11.25" customHeight="1" x14ac:dyDescent="0.25">
      <c r="A164" s="4" t="s">
        <v>21</v>
      </c>
      <c r="B164" s="4" t="s">
        <v>35</v>
      </c>
      <c r="C164" s="4" t="s">
        <v>39</v>
      </c>
      <c r="D164" s="4" t="s">
        <v>34</v>
      </c>
      <c r="E164" s="4" t="s">
        <v>25</v>
      </c>
      <c r="F164" s="4" t="s">
        <v>25</v>
      </c>
      <c r="G164" s="4" t="s">
        <v>25</v>
      </c>
      <c r="H164" s="4" t="s">
        <v>38</v>
      </c>
      <c r="I164" s="5">
        <v>44501</v>
      </c>
      <c r="J164" s="6">
        <v>0</v>
      </c>
      <c r="K164" s="6">
        <v>0</v>
      </c>
      <c r="L164" s="6">
        <v>3691.752</v>
      </c>
      <c r="M164" s="6">
        <v>3691.752</v>
      </c>
      <c r="N164" s="6">
        <v>3691.752</v>
      </c>
      <c r="O164" s="6">
        <v>3691.752</v>
      </c>
      <c r="P164" s="6">
        <v>0</v>
      </c>
      <c r="Q164" s="4" t="s">
        <v>26</v>
      </c>
      <c r="R164" s="4">
        <v>0</v>
      </c>
      <c r="S164" s="6">
        <v>0</v>
      </c>
      <c r="T164" s="6">
        <v>18</v>
      </c>
      <c r="U164" s="6">
        <v>73</v>
      </c>
      <c r="V164" s="6">
        <f>IF(ISERROR(VLOOKUP($S$164,'TAR FIN'!$A$1:$O$86,15,0)),0,VLOOKUP($S$164,'TAR FIN'!$A$1:$O$86,15,0))</f>
        <v>0</v>
      </c>
      <c r="W164" s="6">
        <f>IF(ISERROR(VLOOKUP($T$164,'TAR FIN'!$A$1:$O$86,15,0)),0,VLOOKUP($T$164,'TAR FIN'!$A$1:$O$86,15,0))</f>
        <v>73.19</v>
      </c>
      <c r="X164" s="6">
        <f>IF(ISERROR(VLOOKUP($U$164,'TAR FIN'!$A$1:$O$86,15,0)),0,VLOOKUP($U$164,'TAR FIN'!$A$1:$O$86,15,0))</f>
        <v>211.71</v>
      </c>
      <c r="Y164" s="6"/>
      <c r="Z164" s="6">
        <f ca="1">('TUSD BE'!$AM$12+'TUSD BF_350'!$AM$12+'TUSD CVA'!$AM$12)*1</f>
        <v>126.25</v>
      </c>
      <c r="AA164" s="6">
        <f ca="1">('TE BE'!$AB$6+'TE BF_350'!$AB$6+'TE CVA'!$AB$6)*1</f>
        <v>222.99901551132911</v>
      </c>
      <c r="AB164" s="6">
        <f>$K$164*$V$164</f>
        <v>0</v>
      </c>
      <c r="AC164" s="6">
        <f>$M$164*$W$164</f>
        <v>270199.32887999999</v>
      </c>
      <c r="AD164" s="6">
        <f>$O$164*$X$164</f>
        <v>781580.81591999996</v>
      </c>
      <c r="AE164" s="6">
        <f>$K$164*$Y$164</f>
        <v>0</v>
      </c>
      <c r="AF164" s="6">
        <f ca="1">$M$164*$Z$164</f>
        <v>466083.69</v>
      </c>
      <c r="AG164" s="6">
        <f ca="1">$O$164*$AA$164</f>
        <v>823257.06151198025</v>
      </c>
    </row>
    <row r="165" spans="1:33" ht="11.25" customHeight="1" x14ac:dyDescent="0.25">
      <c r="A165" s="4" t="s">
        <v>28</v>
      </c>
      <c r="B165" s="4" t="s">
        <v>35</v>
      </c>
      <c r="C165" s="4" t="s">
        <v>39</v>
      </c>
      <c r="D165" s="4" t="s">
        <v>34</v>
      </c>
      <c r="E165" s="4" t="s">
        <v>25</v>
      </c>
      <c r="F165" s="4" t="s">
        <v>25</v>
      </c>
      <c r="G165" s="4" t="s">
        <v>25</v>
      </c>
      <c r="H165" s="4" t="s">
        <v>38</v>
      </c>
      <c r="I165" s="5">
        <v>44501</v>
      </c>
      <c r="J165" s="6">
        <v>0</v>
      </c>
      <c r="K165" s="6">
        <v>0</v>
      </c>
      <c r="L165" s="6">
        <v>222.749</v>
      </c>
      <c r="M165" s="6">
        <v>222.749</v>
      </c>
      <c r="N165" s="6">
        <v>222.749</v>
      </c>
      <c r="O165" s="6">
        <v>222.749</v>
      </c>
      <c r="P165" s="6">
        <v>0</v>
      </c>
      <c r="Q165" s="4" t="s">
        <v>26</v>
      </c>
      <c r="R165" s="4">
        <v>0</v>
      </c>
      <c r="S165" s="6">
        <v>0</v>
      </c>
      <c r="T165" s="6">
        <v>18</v>
      </c>
      <c r="U165" s="6">
        <v>73</v>
      </c>
      <c r="V165" s="6">
        <f>IF(ISERROR(VLOOKUP($S$165,'TAR FIN'!$A$1:$O$86,15,0)),0,VLOOKUP($S$165,'TAR FIN'!$A$1:$O$86,15,0))</f>
        <v>0</v>
      </c>
      <c r="W165" s="6">
        <f>IF(ISERROR(VLOOKUP($T$165,'TAR FIN'!$A$1:$O$86,15,0)),0,VLOOKUP($T$165,'TAR FIN'!$A$1:$O$86,15,0))</f>
        <v>73.19</v>
      </c>
      <c r="X165" s="6">
        <f>IF(ISERROR(VLOOKUP($U$165,'TAR FIN'!$A$1:$O$86,15,0)),0,VLOOKUP($U$165,'TAR FIN'!$A$1:$O$86,15,0))</f>
        <v>211.71</v>
      </c>
      <c r="Y165" s="6"/>
      <c r="Z165" s="6">
        <f ca="1">('TUSD BE'!$AM$12+'TUSD BF_350'!$AM$12+'TUSD CVA'!$AM$12)*1</f>
        <v>126.25</v>
      </c>
      <c r="AA165" s="6">
        <f ca="1">('TE BE'!$AB$6+'TE BF_350'!$AB$6+'TE CVA'!$AB$6)*1</f>
        <v>222.99901551132911</v>
      </c>
      <c r="AB165" s="6">
        <f>$K$165*$V$165</f>
        <v>0</v>
      </c>
      <c r="AC165" s="6">
        <f>$M$165*$W$165</f>
        <v>16302.999309999999</v>
      </c>
      <c r="AD165" s="6">
        <f>$O$165*$X$165</f>
        <v>47158.190790000001</v>
      </c>
      <c r="AE165" s="6">
        <f>$K$165*$Y$165</f>
        <v>0</v>
      </c>
      <c r="AF165" s="6">
        <f ca="1">$M$165*$Z$165</f>
        <v>28122.061249999999</v>
      </c>
      <c r="AG165" s="6">
        <f ca="1">$O$165*$AA$165</f>
        <v>49672.807706133048</v>
      </c>
    </row>
    <row r="166" spans="1:33" ht="11.25" customHeight="1" x14ac:dyDescent="0.25">
      <c r="A166" s="4" t="s">
        <v>21</v>
      </c>
      <c r="B166" s="4" t="s">
        <v>35</v>
      </c>
      <c r="C166" s="4" t="s">
        <v>39</v>
      </c>
      <c r="D166" s="4" t="s">
        <v>34</v>
      </c>
      <c r="E166" s="4" t="s">
        <v>25</v>
      </c>
      <c r="F166" s="4" t="s">
        <v>25</v>
      </c>
      <c r="G166" s="4" t="s">
        <v>25</v>
      </c>
      <c r="H166" s="4" t="s">
        <v>38</v>
      </c>
      <c r="I166" s="5">
        <v>44531</v>
      </c>
      <c r="J166" s="6">
        <v>0</v>
      </c>
      <c r="K166" s="6">
        <v>0</v>
      </c>
      <c r="L166" s="6">
        <v>3388.7339999999999</v>
      </c>
      <c r="M166" s="6">
        <v>3388.7339999999999</v>
      </c>
      <c r="N166" s="6">
        <v>3388.7339999999999</v>
      </c>
      <c r="O166" s="6">
        <v>3388.7339999999999</v>
      </c>
      <c r="P166" s="6">
        <v>0</v>
      </c>
      <c r="Q166" s="4" t="s">
        <v>26</v>
      </c>
      <c r="R166" s="4">
        <v>0</v>
      </c>
      <c r="S166" s="6">
        <v>0</v>
      </c>
      <c r="T166" s="6">
        <v>18</v>
      </c>
      <c r="U166" s="6">
        <v>73</v>
      </c>
      <c r="V166" s="6">
        <f>IF(ISERROR(VLOOKUP($S$166,'TAR FIN'!$A$1:$O$86,15,0)),0,VLOOKUP($S$166,'TAR FIN'!$A$1:$O$86,15,0))</f>
        <v>0</v>
      </c>
      <c r="W166" s="6">
        <f>IF(ISERROR(VLOOKUP($T$166,'TAR FIN'!$A$1:$O$86,15,0)),0,VLOOKUP($T$166,'TAR FIN'!$A$1:$O$86,15,0))</f>
        <v>73.19</v>
      </c>
      <c r="X166" s="6">
        <f>IF(ISERROR(VLOOKUP($U$166,'TAR FIN'!$A$1:$O$86,15,0)),0,VLOOKUP($U$166,'TAR FIN'!$A$1:$O$86,15,0))</f>
        <v>211.71</v>
      </c>
      <c r="Y166" s="6"/>
      <c r="Z166" s="6">
        <f ca="1">('TUSD BE'!$AM$12+'TUSD BF_350'!$AM$12+'TUSD CVA'!$AM$12)*1</f>
        <v>126.25</v>
      </c>
      <c r="AA166" s="6">
        <f ca="1">('TE BE'!$AB$6+'TE BF_350'!$AB$6+'TE CVA'!$AB$6)*1</f>
        <v>222.99901551132911</v>
      </c>
      <c r="AB166" s="6">
        <f>$K$166*$V$166</f>
        <v>0</v>
      </c>
      <c r="AC166" s="6">
        <f>$M$166*$W$166</f>
        <v>248021.44145999997</v>
      </c>
      <c r="AD166" s="6">
        <f>$O$166*$X$166</f>
        <v>717428.87514000002</v>
      </c>
      <c r="AE166" s="6">
        <f>$K$166*$Y$166</f>
        <v>0</v>
      </c>
      <c r="AF166" s="6">
        <f ca="1">$M$166*$Z$166</f>
        <v>427827.66749999998</v>
      </c>
      <c r="AG166" s="6">
        <f ca="1">$O$166*$AA$166</f>
        <v>755684.34582976834</v>
      </c>
    </row>
    <row r="167" spans="1:33" ht="11.25" customHeight="1" x14ac:dyDescent="0.25">
      <c r="A167" s="4" t="s">
        <v>28</v>
      </c>
      <c r="B167" s="4" t="s">
        <v>35</v>
      </c>
      <c r="C167" s="4" t="s">
        <v>39</v>
      </c>
      <c r="D167" s="4" t="s">
        <v>34</v>
      </c>
      <c r="E167" s="4" t="s">
        <v>25</v>
      </c>
      <c r="F167" s="4" t="s">
        <v>25</v>
      </c>
      <c r="G167" s="4" t="s">
        <v>25</v>
      </c>
      <c r="H167" s="4" t="s">
        <v>38</v>
      </c>
      <c r="I167" s="5">
        <v>44531</v>
      </c>
      <c r="J167" s="6">
        <v>0</v>
      </c>
      <c r="K167" s="6">
        <v>0</v>
      </c>
      <c r="L167" s="6">
        <v>194.05600000000001</v>
      </c>
      <c r="M167" s="6">
        <v>194.05600000000001</v>
      </c>
      <c r="N167" s="6">
        <v>194.05600000000001</v>
      </c>
      <c r="O167" s="6">
        <v>194.05600000000001</v>
      </c>
      <c r="P167" s="6">
        <v>0</v>
      </c>
      <c r="Q167" s="4" t="s">
        <v>26</v>
      </c>
      <c r="R167" s="4">
        <v>0</v>
      </c>
      <c r="S167" s="6">
        <v>0</v>
      </c>
      <c r="T167" s="6">
        <v>18</v>
      </c>
      <c r="U167" s="6">
        <v>73</v>
      </c>
      <c r="V167" s="6">
        <f>IF(ISERROR(VLOOKUP($S$167,'TAR FIN'!$A$1:$O$86,15,0)),0,VLOOKUP($S$167,'TAR FIN'!$A$1:$O$86,15,0))</f>
        <v>0</v>
      </c>
      <c r="W167" s="6">
        <f>IF(ISERROR(VLOOKUP($T$167,'TAR FIN'!$A$1:$O$86,15,0)),0,VLOOKUP($T$167,'TAR FIN'!$A$1:$O$86,15,0))</f>
        <v>73.19</v>
      </c>
      <c r="X167" s="6">
        <f>IF(ISERROR(VLOOKUP($U$167,'TAR FIN'!$A$1:$O$86,15,0)),0,VLOOKUP($U$167,'TAR FIN'!$A$1:$O$86,15,0))</f>
        <v>211.71</v>
      </c>
      <c r="Y167" s="6"/>
      <c r="Z167" s="6">
        <f ca="1">('TUSD BE'!$AM$12+'TUSD BF_350'!$AM$12+'TUSD CVA'!$AM$12)*1</f>
        <v>126.25</v>
      </c>
      <c r="AA167" s="6">
        <f ca="1">('TE BE'!$AB$6+'TE BF_350'!$AB$6+'TE CVA'!$AB$6)*1</f>
        <v>222.99901551132911</v>
      </c>
      <c r="AB167" s="6">
        <f>$K$167*$V$167</f>
        <v>0</v>
      </c>
      <c r="AC167" s="6">
        <f>$M$167*$W$167</f>
        <v>14202.958640000001</v>
      </c>
      <c r="AD167" s="6">
        <f>$O$167*$X$167</f>
        <v>41083.595760000004</v>
      </c>
      <c r="AE167" s="6">
        <f>$K$167*$Y$167</f>
        <v>0</v>
      </c>
      <c r="AF167" s="6">
        <f ca="1">$M$167*$Z$167</f>
        <v>24499.57</v>
      </c>
      <c r="AG167" s="6">
        <f ca="1">$O$167*$AA$167</f>
        <v>43274.296954066485</v>
      </c>
    </row>
    <row r="168" spans="1:33" ht="11.25" customHeight="1" x14ac:dyDescent="0.25">
      <c r="A168" s="4" t="s">
        <v>21</v>
      </c>
      <c r="B168" s="4" t="s">
        <v>35</v>
      </c>
      <c r="C168" s="4" t="s">
        <v>39</v>
      </c>
      <c r="D168" s="4" t="s">
        <v>34</v>
      </c>
      <c r="E168" s="4" t="s">
        <v>25</v>
      </c>
      <c r="F168" s="4" t="s">
        <v>25</v>
      </c>
      <c r="G168" s="4" t="s">
        <v>25</v>
      </c>
      <c r="H168" s="4" t="s">
        <v>38</v>
      </c>
      <c r="I168" s="5">
        <v>44562</v>
      </c>
      <c r="J168" s="6">
        <v>0</v>
      </c>
      <c r="K168" s="6">
        <v>0</v>
      </c>
      <c r="L168" s="6">
        <v>3577.1190000000001</v>
      </c>
      <c r="M168" s="6">
        <v>3577.1190000000001</v>
      </c>
      <c r="N168" s="6">
        <v>3577.1190000000001</v>
      </c>
      <c r="O168" s="6">
        <v>3577.1190000000001</v>
      </c>
      <c r="P168" s="6">
        <v>0</v>
      </c>
      <c r="Q168" s="4" t="s">
        <v>26</v>
      </c>
      <c r="R168" s="4">
        <v>0</v>
      </c>
      <c r="S168" s="6">
        <v>0</v>
      </c>
      <c r="T168" s="6">
        <v>18</v>
      </c>
      <c r="U168" s="6">
        <v>73</v>
      </c>
      <c r="V168" s="6">
        <f>IF(ISERROR(VLOOKUP($S$168,'TAR FIN'!$A$1:$O$86,15,0)),0,VLOOKUP($S$168,'TAR FIN'!$A$1:$O$86,15,0))</f>
        <v>0</v>
      </c>
      <c r="W168" s="6">
        <f>IF(ISERROR(VLOOKUP($T$168,'TAR FIN'!$A$1:$O$86,15,0)),0,VLOOKUP($T$168,'TAR FIN'!$A$1:$O$86,15,0))</f>
        <v>73.19</v>
      </c>
      <c r="X168" s="6">
        <f>IF(ISERROR(VLOOKUP($U$168,'TAR FIN'!$A$1:$O$86,15,0)),0,VLOOKUP($U$168,'TAR FIN'!$A$1:$O$86,15,0))</f>
        <v>211.71</v>
      </c>
      <c r="Y168" s="6"/>
      <c r="Z168" s="6">
        <f ca="1">('TUSD BE'!$AM$12+'TUSD BF_350'!$AM$12+'TUSD CVA'!$AM$12)*1</f>
        <v>126.25</v>
      </c>
      <c r="AA168" s="6">
        <f ca="1">('TE BE'!$AB$6+'TE BF_350'!$AB$6+'TE CVA'!$AB$6)*1</f>
        <v>222.99901551132911</v>
      </c>
      <c r="AB168" s="6">
        <f>$K$168*$V$168</f>
        <v>0</v>
      </c>
      <c r="AC168" s="6">
        <f>$M$168*$W$168</f>
        <v>261809.33961</v>
      </c>
      <c r="AD168" s="6">
        <f>$O$168*$X$168</f>
        <v>757311.86349000002</v>
      </c>
      <c r="AE168" s="6">
        <f>$K$168*$Y$168</f>
        <v>0</v>
      </c>
      <c r="AF168" s="6">
        <f ca="1">$M$168*$Z$168</f>
        <v>451611.27374999999</v>
      </c>
      <c r="AG168" s="6">
        <f ca="1">$O$168*$AA$168</f>
        <v>797694.0153668701</v>
      </c>
    </row>
    <row r="169" spans="1:33" ht="11.25" customHeight="1" x14ac:dyDescent="0.25">
      <c r="A169" s="4" t="s">
        <v>28</v>
      </c>
      <c r="B169" s="4" t="s">
        <v>35</v>
      </c>
      <c r="C169" s="4" t="s">
        <v>39</v>
      </c>
      <c r="D169" s="4" t="s">
        <v>34</v>
      </c>
      <c r="E169" s="4" t="s">
        <v>25</v>
      </c>
      <c r="F169" s="4" t="s">
        <v>25</v>
      </c>
      <c r="G169" s="4" t="s">
        <v>25</v>
      </c>
      <c r="H169" s="4" t="s">
        <v>38</v>
      </c>
      <c r="I169" s="5">
        <v>44562</v>
      </c>
      <c r="J169" s="6">
        <v>0</v>
      </c>
      <c r="K169" s="6">
        <v>0</v>
      </c>
      <c r="L169" s="6">
        <v>143.52600000000001</v>
      </c>
      <c r="M169" s="6">
        <v>143.52600000000001</v>
      </c>
      <c r="N169" s="6">
        <v>143.52600000000001</v>
      </c>
      <c r="O169" s="6">
        <v>143.52600000000001</v>
      </c>
      <c r="P169" s="6">
        <v>0</v>
      </c>
      <c r="Q169" s="4" t="s">
        <v>26</v>
      </c>
      <c r="R169" s="4">
        <v>0</v>
      </c>
      <c r="S169" s="6">
        <v>0</v>
      </c>
      <c r="T169" s="6">
        <v>18</v>
      </c>
      <c r="U169" s="6">
        <v>73</v>
      </c>
      <c r="V169" s="6">
        <f>IF(ISERROR(VLOOKUP($S$169,'TAR FIN'!$A$1:$O$86,15,0)),0,VLOOKUP($S$169,'TAR FIN'!$A$1:$O$86,15,0))</f>
        <v>0</v>
      </c>
      <c r="W169" s="6">
        <f>IF(ISERROR(VLOOKUP($T$169,'TAR FIN'!$A$1:$O$86,15,0)),0,VLOOKUP($T$169,'TAR FIN'!$A$1:$O$86,15,0))</f>
        <v>73.19</v>
      </c>
      <c r="X169" s="6">
        <f>IF(ISERROR(VLOOKUP($U$169,'TAR FIN'!$A$1:$O$86,15,0)),0,VLOOKUP($U$169,'TAR FIN'!$A$1:$O$86,15,0))</f>
        <v>211.71</v>
      </c>
      <c r="Y169" s="6"/>
      <c r="Z169" s="6">
        <f ca="1">('TUSD BE'!$AM$12+'TUSD BF_350'!$AM$12+'TUSD CVA'!$AM$12)*1</f>
        <v>126.25</v>
      </c>
      <c r="AA169" s="6">
        <f ca="1">('TE BE'!$AB$6+'TE BF_350'!$AB$6+'TE CVA'!$AB$6)*1</f>
        <v>222.99901551132911</v>
      </c>
      <c r="AB169" s="6">
        <f>$K$169*$V$169</f>
        <v>0</v>
      </c>
      <c r="AC169" s="6">
        <f>$M$169*$W$169</f>
        <v>10504.667940000001</v>
      </c>
      <c r="AD169" s="6">
        <f>$O$169*$X$169</f>
        <v>30385.889460000002</v>
      </c>
      <c r="AE169" s="6">
        <f>$K$169*$Y$169</f>
        <v>0</v>
      </c>
      <c r="AF169" s="6">
        <f ca="1">$M$169*$Z$169</f>
        <v>18120.157500000001</v>
      </c>
      <c r="AG169" s="6">
        <f ca="1">$O$169*$AA$169</f>
        <v>32006.156700279025</v>
      </c>
    </row>
    <row r="170" spans="1:33" ht="11.25" customHeight="1" x14ac:dyDescent="0.25">
      <c r="A170" s="4" t="s">
        <v>21</v>
      </c>
      <c r="B170" s="4" t="s">
        <v>35</v>
      </c>
      <c r="C170" s="4" t="s">
        <v>39</v>
      </c>
      <c r="D170" s="4" t="s">
        <v>34</v>
      </c>
      <c r="E170" s="4" t="s">
        <v>25</v>
      </c>
      <c r="F170" s="4" t="s">
        <v>25</v>
      </c>
      <c r="G170" s="4" t="s">
        <v>25</v>
      </c>
      <c r="H170" s="4" t="s">
        <v>38</v>
      </c>
      <c r="I170" s="5">
        <v>44593</v>
      </c>
      <c r="J170" s="6">
        <v>0</v>
      </c>
      <c r="K170" s="6">
        <v>0</v>
      </c>
      <c r="L170" s="6">
        <v>3515.7339999999999</v>
      </c>
      <c r="M170" s="6">
        <v>3515.7339999999999</v>
      </c>
      <c r="N170" s="6">
        <v>3515.7339999999999</v>
      </c>
      <c r="O170" s="6">
        <v>3515.7339999999999</v>
      </c>
      <c r="P170" s="6">
        <v>0</v>
      </c>
      <c r="Q170" s="4" t="s">
        <v>26</v>
      </c>
      <c r="R170" s="4">
        <v>0</v>
      </c>
      <c r="S170" s="6">
        <v>0</v>
      </c>
      <c r="T170" s="6">
        <v>18</v>
      </c>
      <c r="U170" s="6">
        <v>73</v>
      </c>
      <c r="V170" s="6">
        <f>IF(ISERROR(VLOOKUP($S$170,'TAR FIN'!$A$1:$O$86,15,0)),0,VLOOKUP($S$170,'TAR FIN'!$A$1:$O$86,15,0))</f>
        <v>0</v>
      </c>
      <c r="W170" s="6">
        <f>IF(ISERROR(VLOOKUP($T$170,'TAR FIN'!$A$1:$O$86,15,0)),0,VLOOKUP($T$170,'TAR FIN'!$A$1:$O$86,15,0))</f>
        <v>73.19</v>
      </c>
      <c r="X170" s="6">
        <f>IF(ISERROR(VLOOKUP($U$170,'TAR FIN'!$A$1:$O$86,15,0)),0,VLOOKUP($U$170,'TAR FIN'!$A$1:$O$86,15,0))</f>
        <v>211.71</v>
      </c>
      <c r="Y170" s="6"/>
      <c r="Z170" s="6">
        <f ca="1">('TUSD BE'!$AM$12+'TUSD BF_350'!$AM$12+'TUSD CVA'!$AM$12)*1</f>
        <v>126.25</v>
      </c>
      <c r="AA170" s="6">
        <f ca="1">('TE BE'!$AB$6+'TE BF_350'!$AB$6+'TE CVA'!$AB$6)*1</f>
        <v>222.99901551132911</v>
      </c>
      <c r="AB170" s="6">
        <f>$K$170*$V$170</f>
        <v>0</v>
      </c>
      <c r="AC170" s="6">
        <f>$M$170*$W$170</f>
        <v>257316.57145999998</v>
      </c>
      <c r="AD170" s="6">
        <f>$O$170*$X$170</f>
        <v>744316.04514000006</v>
      </c>
      <c r="AE170" s="6">
        <f>$K$170*$Y$170</f>
        <v>0</v>
      </c>
      <c r="AF170" s="6">
        <f ca="1">$M$170*$Z$170</f>
        <v>443861.41749999998</v>
      </c>
      <c r="AG170" s="6">
        <f ca="1">$O$170*$AA$170</f>
        <v>784005.22079970711</v>
      </c>
    </row>
    <row r="171" spans="1:33" ht="11.25" customHeight="1" x14ac:dyDescent="0.25">
      <c r="A171" s="4" t="s">
        <v>28</v>
      </c>
      <c r="B171" s="4" t="s">
        <v>35</v>
      </c>
      <c r="C171" s="4" t="s">
        <v>39</v>
      </c>
      <c r="D171" s="4" t="s">
        <v>34</v>
      </c>
      <c r="E171" s="4" t="s">
        <v>25</v>
      </c>
      <c r="F171" s="4" t="s">
        <v>25</v>
      </c>
      <c r="G171" s="4" t="s">
        <v>25</v>
      </c>
      <c r="H171" s="4" t="s">
        <v>38</v>
      </c>
      <c r="I171" s="5">
        <v>44593</v>
      </c>
      <c r="J171" s="6">
        <v>0</v>
      </c>
      <c r="K171" s="6">
        <v>0</v>
      </c>
      <c r="L171" s="6">
        <v>145.63300000000001</v>
      </c>
      <c r="M171" s="6">
        <v>145.63300000000001</v>
      </c>
      <c r="N171" s="6">
        <v>145.63300000000001</v>
      </c>
      <c r="O171" s="6">
        <v>145.63300000000001</v>
      </c>
      <c r="P171" s="6">
        <v>0</v>
      </c>
      <c r="Q171" s="4" t="s">
        <v>26</v>
      </c>
      <c r="R171" s="4">
        <v>0</v>
      </c>
      <c r="S171" s="6">
        <v>0</v>
      </c>
      <c r="T171" s="6">
        <v>18</v>
      </c>
      <c r="U171" s="6">
        <v>73</v>
      </c>
      <c r="V171" s="6">
        <f>IF(ISERROR(VLOOKUP($S$171,'TAR FIN'!$A$1:$O$86,15,0)),0,VLOOKUP($S$171,'TAR FIN'!$A$1:$O$86,15,0))</f>
        <v>0</v>
      </c>
      <c r="W171" s="6">
        <f>IF(ISERROR(VLOOKUP($T$171,'TAR FIN'!$A$1:$O$86,15,0)),0,VLOOKUP($T$171,'TAR FIN'!$A$1:$O$86,15,0))</f>
        <v>73.19</v>
      </c>
      <c r="X171" s="6">
        <f>IF(ISERROR(VLOOKUP($U$171,'TAR FIN'!$A$1:$O$86,15,0)),0,VLOOKUP($U$171,'TAR FIN'!$A$1:$O$86,15,0))</f>
        <v>211.71</v>
      </c>
      <c r="Y171" s="6"/>
      <c r="Z171" s="6">
        <f ca="1">('TUSD BE'!$AM$12+'TUSD BF_350'!$AM$12+'TUSD CVA'!$AM$12)*1</f>
        <v>126.25</v>
      </c>
      <c r="AA171" s="6">
        <f ca="1">('TE BE'!$AB$6+'TE BF_350'!$AB$6+'TE CVA'!$AB$6)*1</f>
        <v>222.99901551132911</v>
      </c>
      <c r="AB171" s="6">
        <f>$K$171*$V$171</f>
        <v>0</v>
      </c>
      <c r="AC171" s="6">
        <f>$M$171*$W$171</f>
        <v>10658.879270000001</v>
      </c>
      <c r="AD171" s="6">
        <f>$O$171*$X$171</f>
        <v>30831.962430000003</v>
      </c>
      <c r="AE171" s="6">
        <f>$K$171*$Y$171</f>
        <v>0</v>
      </c>
      <c r="AF171" s="6">
        <f ca="1">$M$171*$Z$171</f>
        <v>18386.166250000002</v>
      </c>
      <c r="AG171" s="6">
        <f ca="1">$O$171*$AA$171</f>
        <v>32476.015625961394</v>
      </c>
    </row>
    <row r="172" spans="1:33" ht="11.25" customHeight="1" x14ac:dyDescent="0.25">
      <c r="A172" s="4" t="s">
        <v>21</v>
      </c>
      <c r="B172" s="4" t="s">
        <v>35</v>
      </c>
      <c r="C172" s="4" t="s">
        <v>39</v>
      </c>
      <c r="D172" s="4" t="s">
        <v>34</v>
      </c>
      <c r="E172" s="4" t="s">
        <v>25</v>
      </c>
      <c r="F172" s="4" t="s">
        <v>25</v>
      </c>
      <c r="G172" s="4" t="s">
        <v>25</v>
      </c>
      <c r="H172" s="4" t="s">
        <v>38</v>
      </c>
      <c r="I172" s="5">
        <v>44621</v>
      </c>
      <c r="J172" s="6">
        <v>0</v>
      </c>
      <c r="K172" s="6">
        <v>0</v>
      </c>
      <c r="L172" s="6">
        <v>3937.855</v>
      </c>
      <c r="M172" s="6">
        <v>3937.855</v>
      </c>
      <c r="N172" s="6">
        <v>3937.855</v>
      </c>
      <c r="O172" s="6">
        <v>3937.855</v>
      </c>
      <c r="P172" s="6">
        <v>0</v>
      </c>
      <c r="Q172" s="4" t="s">
        <v>26</v>
      </c>
      <c r="R172" s="4">
        <v>0</v>
      </c>
      <c r="S172" s="6">
        <v>0</v>
      </c>
      <c r="T172" s="6">
        <v>18</v>
      </c>
      <c r="U172" s="6">
        <v>73</v>
      </c>
      <c r="V172" s="6">
        <f>IF(ISERROR(VLOOKUP($S$172,'TAR FIN'!$A$1:$O$86,15,0)),0,VLOOKUP($S$172,'TAR FIN'!$A$1:$O$86,15,0))</f>
        <v>0</v>
      </c>
      <c r="W172" s="6">
        <f>IF(ISERROR(VLOOKUP($T$172,'TAR FIN'!$A$1:$O$86,15,0)),0,VLOOKUP($T$172,'TAR FIN'!$A$1:$O$86,15,0))</f>
        <v>73.19</v>
      </c>
      <c r="X172" s="6">
        <f>IF(ISERROR(VLOOKUP($U$172,'TAR FIN'!$A$1:$O$86,15,0)),0,VLOOKUP($U$172,'TAR FIN'!$A$1:$O$86,15,0))</f>
        <v>211.71</v>
      </c>
      <c r="Y172" s="6"/>
      <c r="Z172" s="6">
        <f ca="1">('TUSD BE'!$AM$12+'TUSD BF_350'!$AM$12+'TUSD CVA'!$AM$12)*1</f>
        <v>126.25</v>
      </c>
      <c r="AA172" s="6">
        <f ca="1">('TE BE'!$AB$6+'TE BF_350'!$AB$6+'TE CVA'!$AB$6)*1</f>
        <v>222.99901551132911</v>
      </c>
      <c r="AB172" s="6">
        <f>$K$172*$V$172</f>
        <v>0</v>
      </c>
      <c r="AC172" s="6">
        <f>$M$172*$W$172</f>
        <v>288211.60745000001</v>
      </c>
      <c r="AD172" s="6">
        <f>$O$172*$X$172</f>
        <v>833683.28205000004</v>
      </c>
      <c r="AE172" s="6">
        <f>$K$172*$Y$172</f>
        <v>0</v>
      </c>
      <c r="AF172" s="6">
        <f ca="1">$M$172*$Z$172</f>
        <v>497154.19374999998</v>
      </c>
      <c r="AG172" s="6">
        <f ca="1">$O$172*$AA$172</f>
        <v>878137.78822636488</v>
      </c>
    </row>
    <row r="173" spans="1:33" ht="11.25" customHeight="1" x14ac:dyDescent="0.25">
      <c r="A173" s="4" t="s">
        <v>28</v>
      </c>
      <c r="B173" s="4" t="s">
        <v>35</v>
      </c>
      <c r="C173" s="4" t="s">
        <v>39</v>
      </c>
      <c r="D173" s="4" t="s">
        <v>34</v>
      </c>
      <c r="E173" s="4" t="s">
        <v>25</v>
      </c>
      <c r="F173" s="4" t="s">
        <v>25</v>
      </c>
      <c r="G173" s="4" t="s">
        <v>25</v>
      </c>
      <c r="H173" s="4" t="s">
        <v>38</v>
      </c>
      <c r="I173" s="5">
        <v>44621</v>
      </c>
      <c r="J173" s="6">
        <v>0</v>
      </c>
      <c r="K173" s="6">
        <v>0</v>
      </c>
      <c r="L173" s="6">
        <v>177.273</v>
      </c>
      <c r="M173" s="6">
        <v>177.273</v>
      </c>
      <c r="N173" s="6">
        <v>177.273</v>
      </c>
      <c r="O173" s="6">
        <v>177.273</v>
      </c>
      <c r="P173" s="6">
        <v>0</v>
      </c>
      <c r="Q173" s="4" t="s">
        <v>26</v>
      </c>
      <c r="R173" s="4">
        <v>0</v>
      </c>
      <c r="S173" s="6">
        <v>0</v>
      </c>
      <c r="T173" s="6">
        <v>18</v>
      </c>
      <c r="U173" s="6">
        <v>73</v>
      </c>
      <c r="V173" s="6">
        <f>IF(ISERROR(VLOOKUP($S$173,'TAR FIN'!$A$1:$O$86,15,0)),0,VLOOKUP($S$173,'TAR FIN'!$A$1:$O$86,15,0))</f>
        <v>0</v>
      </c>
      <c r="W173" s="6">
        <f>IF(ISERROR(VLOOKUP($T$173,'TAR FIN'!$A$1:$O$86,15,0)),0,VLOOKUP($T$173,'TAR FIN'!$A$1:$O$86,15,0))</f>
        <v>73.19</v>
      </c>
      <c r="X173" s="6">
        <f>IF(ISERROR(VLOOKUP($U$173,'TAR FIN'!$A$1:$O$86,15,0)),0,VLOOKUP($U$173,'TAR FIN'!$A$1:$O$86,15,0))</f>
        <v>211.71</v>
      </c>
      <c r="Y173" s="6"/>
      <c r="Z173" s="6">
        <f ca="1">('TUSD BE'!$AM$12+'TUSD BF_350'!$AM$12+'TUSD CVA'!$AM$12)*1</f>
        <v>126.25</v>
      </c>
      <c r="AA173" s="6">
        <f ca="1">('TE BE'!$AB$6+'TE BF_350'!$AB$6+'TE CVA'!$AB$6)*1</f>
        <v>222.99901551132911</v>
      </c>
      <c r="AB173" s="6">
        <f>$K$173*$V$173</f>
        <v>0</v>
      </c>
      <c r="AC173" s="6">
        <f>$M$173*$W$173</f>
        <v>12974.610869999999</v>
      </c>
      <c r="AD173" s="6">
        <f>$O$173*$X$173</f>
        <v>37530.466829999998</v>
      </c>
      <c r="AE173" s="6">
        <f>$K$173*$Y$173</f>
        <v>0</v>
      </c>
      <c r="AF173" s="6">
        <f ca="1">$M$173*$Z$173</f>
        <v>22380.716250000001</v>
      </c>
      <c r="AG173" s="6">
        <f ca="1">$O$173*$AA$173</f>
        <v>39531.70447673984</v>
      </c>
    </row>
    <row r="174" spans="1:33" ht="11.25" customHeight="1" x14ac:dyDescent="0.25">
      <c r="A174" s="4" t="s">
        <v>21</v>
      </c>
      <c r="B174" s="4" t="s">
        <v>35</v>
      </c>
      <c r="C174" s="4" t="s">
        <v>39</v>
      </c>
      <c r="D174" s="4" t="s">
        <v>34</v>
      </c>
      <c r="E174" s="4" t="s">
        <v>25</v>
      </c>
      <c r="F174" s="4" t="s">
        <v>25</v>
      </c>
      <c r="G174" s="4" t="s">
        <v>25</v>
      </c>
      <c r="H174" s="4" t="s">
        <v>38</v>
      </c>
      <c r="I174" s="5">
        <v>44652</v>
      </c>
      <c r="J174" s="6">
        <v>0</v>
      </c>
      <c r="K174" s="6">
        <v>0</v>
      </c>
      <c r="L174" s="6">
        <v>3543.9470000000001</v>
      </c>
      <c r="M174" s="6">
        <v>3543.9470000000001</v>
      </c>
      <c r="N174" s="6">
        <v>3543.9470000000001</v>
      </c>
      <c r="O174" s="6">
        <v>3543.9470000000001</v>
      </c>
      <c r="P174" s="6">
        <v>0</v>
      </c>
      <c r="Q174" s="4" t="s">
        <v>26</v>
      </c>
      <c r="R174" s="4">
        <v>0</v>
      </c>
      <c r="S174" s="6">
        <v>0</v>
      </c>
      <c r="T174" s="6">
        <v>18</v>
      </c>
      <c r="U174" s="6">
        <v>73</v>
      </c>
      <c r="V174" s="6">
        <f>IF(ISERROR(VLOOKUP($S$174,'TAR FIN'!$A$1:$O$86,15,0)),0,VLOOKUP($S$174,'TAR FIN'!$A$1:$O$86,15,0))</f>
        <v>0</v>
      </c>
      <c r="W174" s="6">
        <f>IF(ISERROR(VLOOKUP($T$174,'TAR FIN'!$A$1:$O$86,15,0)),0,VLOOKUP($T$174,'TAR FIN'!$A$1:$O$86,15,0))</f>
        <v>73.19</v>
      </c>
      <c r="X174" s="6">
        <f>IF(ISERROR(VLOOKUP($U$174,'TAR FIN'!$A$1:$O$86,15,0)),0,VLOOKUP($U$174,'TAR FIN'!$A$1:$O$86,15,0))</f>
        <v>211.71</v>
      </c>
      <c r="Y174" s="6"/>
      <c r="Z174" s="6">
        <f ca="1">('TUSD BE'!$AM$12+'TUSD BF_350'!$AM$12+'TUSD CVA'!$AM$12)*1</f>
        <v>126.25</v>
      </c>
      <c r="AA174" s="6">
        <f ca="1">('TE BE'!$AB$6+'TE BF_350'!$AB$6+'TE CVA'!$AB$6)*1</f>
        <v>222.99901551132911</v>
      </c>
      <c r="AB174" s="6">
        <f>$K$174*$V$174</f>
        <v>0</v>
      </c>
      <c r="AC174" s="6">
        <f>$M$174*$W$174</f>
        <v>259381.48092999999</v>
      </c>
      <c r="AD174" s="6">
        <f>$O$174*$X$174</f>
        <v>750289.01937000011</v>
      </c>
      <c r="AE174" s="6">
        <f>$K$174*$Y$174</f>
        <v>0</v>
      </c>
      <c r="AF174" s="6">
        <f ca="1">$M$174*$Z$174</f>
        <v>447423.30875000003</v>
      </c>
      <c r="AG174" s="6">
        <f ca="1">$O$174*$AA$174</f>
        <v>790296.69202432828</v>
      </c>
    </row>
    <row r="175" spans="1:33" ht="11.25" customHeight="1" x14ac:dyDescent="0.25">
      <c r="A175" s="4" t="s">
        <v>28</v>
      </c>
      <c r="B175" s="4" t="s">
        <v>35</v>
      </c>
      <c r="C175" s="4" t="s">
        <v>39</v>
      </c>
      <c r="D175" s="4" t="s">
        <v>34</v>
      </c>
      <c r="E175" s="4" t="s">
        <v>25</v>
      </c>
      <c r="F175" s="4" t="s">
        <v>25</v>
      </c>
      <c r="G175" s="4" t="s">
        <v>25</v>
      </c>
      <c r="H175" s="4" t="s">
        <v>38</v>
      </c>
      <c r="I175" s="5">
        <v>44652</v>
      </c>
      <c r="J175" s="6">
        <v>0</v>
      </c>
      <c r="K175" s="6">
        <v>0</v>
      </c>
      <c r="L175" s="6">
        <v>175.01900000000001</v>
      </c>
      <c r="M175" s="6">
        <v>175.01900000000001</v>
      </c>
      <c r="N175" s="6">
        <v>175.01900000000001</v>
      </c>
      <c r="O175" s="6">
        <v>175.01900000000001</v>
      </c>
      <c r="P175" s="6">
        <v>0</v>
      </c>
      <c r="Q175" s="4" t="s">
        <v>26</v>
      </c>
      <c r="R175" s="4">
        <v>0</v>
      </c>
      <c r="S175" s="6">
        <v>0</v>
      </c>
      <c r="T175" s="6">
        <v>18</v>
      </c>
      <c r="U175" s="6">
        <v>73</v>
      </c>
      <c r="V175" s="6">
        <f>IF(ISERROR(VLOOKUP($S$175,'TAR FIN'!$A$1:$O$86,15,0)),0,VLOOKUP($S$175,'TAR FIN'!$A$1:$O$86,15,0))</f>
        <v>0</v>
      </c>
      <c r="W175" s="6">
        <f>IF(ISERROR(VLOOKUP($T$175,'TAR FIN'!$A$1:$O$86,15,0)),0,VLOOKUP($T$175,'TAR FIN'!$A$1:$O$86,15,0))</f>
        <v>73.19</v>
      </c>
      <c r="X175" s="6">
        <f>IF(ISERROR(VLOOKUP($U$175,'TAR FIN'!$A$1:$O$86,15,0)),0,VLOOKUP($U$175,'TAR FIN'!$A$1:$O$86,15,0))</f>
        <v>211.71</v>
      </c>
      <c r="Y175" s="6"/>
      <c r="Z175" s="6">
        <f ca="1">('TUSD BE'!$AM$12+'TUSD BF_350'!$AM$12+'TUSD CVA'!$AM$12)*1</f>
        <v>126.25</v>
      </c>
      <c r="AA175" s="6">
        <f ca="1">('TE BE'!$AB$6+'TE BF_350'!$AB$6+'TE CVA'!$AB$6)*1</f>
        <v>222.99901551132911</v>
      </c>
      <c r="AB175" s="6">
        <f>$K$175*$V$175</f>
        <v>0</v>
      </c>
      <c r="AC175" s="6">
        <f>$M$175*$W$175</f>
        <v>12809.64061</v>
      </c>
      <c r="AD175" s="6">
        <f>$O$175*$X$175</f>
        <v>37053.272490000003</v>
      </c>
      <c r="AE175" s="6">
        <f>$K$175*$Y$175</f>
        <v>0</v>
      </c>
      <c r="AF175" s="6">
        <f ca="1">$M$175*$Z$175</f>
        <v>22096.14875</v>
      </c>
      <c r="AG175" s="6">
        <f ca="1">$O$175*$AA$175</f>
        <v>39029.064695777313</v>
      </c>
    </row>
    <row r="176" spans="1:33" ht="11.25" customHeight="1" x14ac:dyDescent="0.25">
      <c r="A176" s="4" t="s">
        <v>21</v>
      </c>
      <c r="B176" s="4" t="s">
        <v>35</v>
      </c>
      <c r="C176" s="4" t="s">
        <v>39</v>
      </c>
      <c r="D176" s="4" t="s">
        <v>34</v>
      </c>
      <c r="E176" s="4" t="s">
        <v>25</v>
      </c>
      <c r="F176" s="4" t="s">
        <v>25</v>
      </c>
      <c r="G176" s="4" t="s">
        <v>25</v>
      </c>
      <c r="H176" s="4" t="s">
        <v>38</v>
      </c>
      <c r="I176" s="5">
        <v>44682</v>
      </c>
      <c r="J176" s="6">
        <v>0</v>
      </c>
      <c r="K176" s="6">
        <v>0</v>
      </c>
      <c r="L176" s="6">
        <v>3756.9810000000002</v>
      </c>
      <c r="M176" s="6">
        <v>3756.9810000000002</v>
      </c>
      <c r="N176" s="6">
        <v>3756.9810000000002</v>
      </c>
      <c r="O176" s="6">
        <v>3756.9810000000002</v>
      </c>
      <c r="P176" s="6">
        <v>0</v>
      </c>
      <c r="Q176" s="4" t="s">
        <v>26</v>
      </c>
      <c r="R176" s="4">
        <v>0</v>
      </c>
      <c r="S176" s="6">
        <v>0</v>
      </c>
      <c r="T176" s="6">
        <v>18</v>
      </c>
      <c r="U176" s="6">
        <v>73</v>
      </c>
      <c r="V176" s="6">
        <f>IF(ISERROR(VLOOKUP($S$176,'TAR FIN'!$A$1:$O$86,15,0)),0,VLOOKUP($S$176,'TAR FIN'!$A$1:$O$86,15,0))</f>
        <v>0</v>
      </c>
      <c r="W176" s="6">
        <f>IF(ISERROR(VLOOKUP($T$176,'TAR FIN'!$A$1:$O$86,15,0)),0,VLOOKUP($T$176,'TAR FIN'!$A$1:$O$86,15,0))</f>
        <v>73.19</v>
      </c>
      <c r="X176" s="6">
        <f>IF(ISERROR(VLOOKUP($U$176,'TAR FIN'!$A$1:$O$86,15,0)),0,VLOOKUP($U$176,'TAR FIN'!$A$1:$O$86,15,0))</f>
        <v>211.71</v>
      </c>
      <c r="Y176" s="6"/>
      <c r="Z176" s="6">
        <f ca="1">('TUSD BE'!$AM$12+'TUSD BF_350'!$AM$12+'TUSD CVA'!$AM$12)*1</f>
        <v>126.25</v>
      </c>
      <c r="AA176" s="6">
        <f ca="1">('TE BE'!$AB$6+'TE BF_350'!$AB$6+'TE CVA'!$AB$6)*1</f>
        <v>222.99901551132911</v>
      </c>
      <c r="AB176" s="6">
        <f>$K$176*$V$176</f>
        <v>0</v>
      </c>
      <c r="AC176" s="6">
        <f>$M$176*$W$176</f>
        <v>274973.43939000001</v>
      </c>
      <c r="AD176" s="6">
        <f>$O$176*$X$176</f>
        <v>795390.44751000009</v>
      </c>
      <c r="AE176" s="6">
        <f>$K$176*$Y$176</f>
        <v>0</v>
      </c>
      <c r="AF176" s="6">
        <f ca="1">$M$176*$Z$176</f>
        <v>474318.85125000001</v>
      </c>
      <c r="AG176" s="6">
        <f ca="1">$O$176*$AA$176</f>
        <v>837803.06429476873</v>
      </c>
    </row>
    <row r="177" spans="1:33" ht="11.25" customHeight="1" x14ac:dyDescent="0.25">
      <c r="A177" s="4" t="s">
        <v>28</v>
      </c>
      <c r="B177" s="4" t="s">
        <v>35</v>
      </c>
      <c r="C177" s="4" t="s">
        <v>39</v>
      </c>
      <c r="D177" s="4" t="s">
        <v>34</v>
      </c>
      <c r="E177" s="4" t="s">
        <v>25</v>
      </c>
      <c r="F177" s="4" t="s">
        <v>25</v>
      </c>
      <c r="G177" s="4" t="s">
        <v>25</v>
      </c>
      <c r="H177" s="4" t="s">
        <v>38</v>
      </c>
      <c r="I177" s="5">
        <v>44682</v>
      </c>
      <c r="J177" s="6">
        <v>0</v>
      </c>
      <c r="K177" s="6">
        <v>0</v>
      </c>
      <c r="L177" s="6">
        <v>205.99100000000001</v>
      </c>
      <c r="M177" s="6">
        <v>205.99100000000001</v>
      </c>
      <c r="N177" s="6">
        <v>205.99100000000001</v>
      </c>
      <c r="O177" s="6">
        <v>205.99100000000001</v>
      </c>
      <c r="P177" s="6">
        <v>0</v>
      </c>
      <c r="Q177" s="4" t="s">
        <v>26</v>
      </c>
      <c r="R177" s="4">
        <v>0</v>
      </c>
      <c r="S177" s="6">
        <v>0</v>
      </c>
      <c r="T177" s="6">
        <v>18</v>
      </c>
      <c r="U177" s="6">
        <v>73</v>
      </c>
      <c r="V177" s="6">
        <f>IF(ISERROR(VLOOKUP($S$177,'TAR FIN'!$A$1:$O$86,15,0)),0,VLOOKUP($S$177,'TAR FIN'!$A$1:$O$86,15,0))</f>
        <v>0</v>
      </c>
      <c r="W177" s="6">
        <f>IF(ISERROR(VLOOKUP($T$177,'TAR FIN'!$A$1:$O$86,15,0)),0,VLOOKUP($T$177,'TAR FIN'!$A$1:$O$86,15,0))</f>
        <v>73.19</v>
      </c>
      <c r="X177" s="6">
        <f>IF(ISERROR(VLOOKUP($U$177,'TAR FIN'!$A$1:$O$86,15,0)),0,VLOOKUP($U$177,'TAR FIN'!$A$1:$O$86,15,0))</f>
        <v>211.71</v>
      </c>
      <c r="Y177" s="6"/>
      <c r="Z177" s="6">
        <f ca="1">('TUSD BE'!$AM$12+'TUSD BF_350'!$AM$12+'TUSD CVA'!$AM$12)*1</f>
        <v>126.25</v>
      </c>
      <c r="AA177" s="6">
        <f ca="1">('TE BE'!$AB$6+'TE BF_350'!$AB$6+'TE CVA'!$AB$6)*1</f>
        <v>222.99901551132911</v>
      </c>
      <c r="AB177" s="6">
        <f>$K$177*$V$177</f>
        <v>0</v>
      </c>
      <c r="AC177" s="6">
        <f>$M$177*$W$177</f>
        <v>15076.48129</v>
      </c>
      <c r="AD177" s="6">
        <f>$O$177*$X$177</f>
        <v>43610.354610000002</v>
      </c>
      <c r="AE177" s="6">
        <f>$K$177*$Y$177</f>
        <v>0</v>
      </c>
      <c r="AF177" s="6">
        <f ca="1">$M$177*$Z$177</f>
        <v>26006.36375</v>
      </c>
      <c r="AG177" s="6">
        <f ca="1">$O$177*$AA$177</f>
        <v>45935.7902041942</v>
      </c>
    </row>
    <row r="178" spans="1:33" ht="11.25" customHeight="1" x14ac:dyDescent="0.25">
      <c r="A178" s="4" t="s">
        <v>21</v>
      </c>
      <c r="B178" s="4" t="s">
        <v>35</v>
      </c>
      <c r="C178" s="4" t="s">
        <v>39</v>
      </c>
      <c r="D178" s="4" t="s">
        <v>34</v>
      </c>
      <c r="E178" s="4" t="s">
        <v>25</v>
      </c>
      <c r="F178" s="4" t="s">
        <v>25</v>
      </c>
      <c r="G178" s="4" t="s">
        <v>25</v>
      </c>
      <c r="H178" s="4" t="s">
        <v>38</v>
      </c>
      <c r="I178" s="5">
        <v>44713</v>
      </c>
      <c r="J178" s="6">
        <v>0</v>
      </c>
      <c r="K178" s="6">
        <v>0</v>
      </c>
      <c r="L178" s="6">
        <v>3667.9969999999998</v>
      </c>
      <c r="M178" s="6">
        <v>3667.9969999999998</v>
      </c>
      <c r="N178" s="6">
        <v>3667.9969999999998</v>
      </c>
      <c r="O178" s="6">
        <v>3667.9969999999998</v>
      </c>
      <c r="P178" s="6">
        <v>0</v>
      </c>
      <c r="Q178" s="4" t="s">
        <v>26</v>
      </c>
      <c r="R178" s="4">
        <v>0</v>
      </c>
      <c r="S178" s="6">
        <v>0</v>
      </c>
      <c r="T178" s="6">
        <v>18</v>
      </c>
      <c r="U178" s="6">
        <v>73</v>
      </c>
      <c r="V178" s="6">
        <f>IF(ISERROR(VLOOKUP($S$178,'TAR FIN'!$A$1:$O$86,15,0)),0,VLOOKUP($S$178,'TAR FIN'!$A$1:$O$86,15,0))</f>
        <v>0</v>
      </c>
      <c r="W178" s="6">
        <f>IF(ISERROR(VLOOKUP($T$178,'TAR FIN'!$A$1:$O$86,15,0)),0,VLOOKUP($T$178,'TAR FIN'!$A$1:$O$86,15,0))</f>
        <v>73.19</v>
      </c>
      <c r="X178" s="6">
        <f>IF(ISERROR(VLOOKUP($U$178,'TAR FIN'!$A$1:$O$86,15,0)),0,VLOOKUP($U$178,'TAR FIN'!$A$1:$O$86,15,0))</f>
        <v>211.71</v>
      </c>
      <c r="Y178" s="6"/>
      <c r="Z178" s="6">
        <f ca="1">('TUSD BE'!$AM$12+'TUSD BF_350'!$AM$12+'TUSD CVA'!$AM$12)*1</f>
        <v>126.25</v>
      </c>
      <c r="AA178" s="6">
        <f ca="1">('TE BE'!$AB$6+'TE BF_350'!$AB$6+'TE CVA'!$AB$6)*1</f>
        <v>222.99901551132911</v>
      </c>
      <c r="AB178" s="6">
        <f>$K$178*$V$178</f>
        <v>0</v>
      </c>
      <c r="AC178" s="6">
        <f>$M$178*$W$178</f>
        <v>268460.70042999997</v>
      </c>
      <c r="AD178" s="6">
        <f>$O$178*$X$178</f>
        <v>776551.64486999996</v>
      </c>
      <c r="AE178" s="6">
        <f>$K$178*$Y$178</f>
        <v>0</v>
      </c>
      <c r="AF178" s="6">
        <f ca="1">$M$178*$Z$178</f>
        <v>463084.62124999997</v>
      </c>
      <c r="AG178" s="6">
        <f ca="1">$O$178*$AA$178</f>
        <v>817959.71989850863</v>
      </c>
    </row>
    <row r="179" spans="1:33" ht="11.25" customHeight="1" x14ac:dyDescent="0.25">
      <c r="A179" s="4" t="s">
        <v>28</v>
      </c>
      <c r="B179" s="4" t="s">
        <v>35</v>
      </c>
      <c r="C179" s="4" t="s">
        <v>39</v>
      </c>
      <c r="D179" s="4" t="s">
        <v>34</v>
      </c>
      <c r="E179" s="4" t="s">
        <v>25</v>
      </c>
      <c r="F179" s="4" t="s">
        <v>25</v>
      </c>
      <c r="G179" s="4" t="s">
        <v>25</v>
      </c>
      <c r="H179" s="4" t="s">
        <v>38</v>
      </c>
      <c r="I179" s="5">
        <v>44713</v>
      </c>
      <c r="J179" s="6">
        <v>0</v>
      </c>
      <c r="K179" s="6">
        <v>0</v>
      </c>
      <c r="L179" s="6">
        <v>149.054</v>
      </c>
      <c r="M179" s="6">
        <v>149.054</v>
      </c>
      <c r="N179" s="6">
        <v>149.054</v>
      </c>
      <c r="O179" s="6">
        <v>149.054</v>
      </c>
      <c r="P179" s="6">
        <v>0</v>
      </c>
      <c r="Q179" s="4" t="s">
        <v>26</v>
      </c>
      <c r="R179" s="4">
        <v>0</v>
      </c>
      <c r="S179" s="6">
        <v>0</v>
      </c>
      <c r="T179" s="6">
        <v>18</v>
      </c>
      <c r="U179" s="6">
        <v>73</v>
      </c>
      <c r="V179" s="6">
        <f>IF(ISERROR(VLOOKUP($S$179,'TAR FIN'!$A$1:$O$86,15,0)),0,VLOOKUP($S$179,'TAR FIN'!$A$1:$O$86,15,0))</f>
        <v>0</v>
      </c>
      <c r="W179" s="6">
        <f>IF(ISERROR(VLOOKUP($T$179,'TAR FIN'!$A$1:$O$86,15,0)),0,VLOOKUP($T$179,'TAR FIN'!$A$1:$O$86,15,0))</f>
        <v>73.19</v>
      </c>
      <c r="X179" s="6">
        <f>IF(ISERROR(VLOOKUP($U$179,'TAR FIN'!$A$1:$O$86,15,0)),0,VLOOKUP($U$179,'TAR FIN'!$A$1:$O$86,15,0))</f>
        <v>211.71</v>
      </c>
      <c r="Y179" s="6"/>
      <c r="Z179" s="6">
        <f ca="1">('TUSD BE'!$AM$12+'TUSD BF_350'!$AM$12+'TUSD CVA'!$AM$12)*1</f>
        <v>126.25</v>
      </c>
      <c r="AA179" s="6">
        <f ca="1">('TE BE'!$AB$6+'TE BF_350'!$AB$6+'TE CVA'!$AB$6)*1</f>
        <v>222.99901551132911</v>
      </c>
      <c r="AB179" s="6">
        <f>$K$179*$V$179</f>
        <v>0</v>
      </c>
      <c r="AC179" s="6">
        <f>$M$179*$W$179</f>
        <v>10909.26226</v>
      </c>
      <c r="AD179" s="6">
        <f>$O$179*$X$179</f>
        <v>31556.22234</v>
      </c>
      <c r="AE179" s="6">
        <f>$K$179*$Y$179</f>
        <v>0</v>
      </c>
      <c r="AF179" s="6">
        <f ca="1">$M$179*$Z$179</f>
        <v>18818.067500000001</v>
      </c>
      <c r="AG179" s="6">
        <f ca="1">$O$179*$AA$179</f>
        <v>33238.895258025652</v>
      </c>
    </row>
    <row r="180" spans="1:33" ht="11.25" customHeight="1" x14ac:dyDescent="0.25">
      <c r="A180" s="4" t="s">
        <v>55</v>
      </c>
      <c r="B180" s="4" t="s">
        <v>35</v>
      </c>
      <c r="C180" s="4" t="s">
        <v>39</v>
      </c>
      <c r="D180" s="4" t="s">
        <v>34</v>
      </c>
      <c r="E180" s="4" t="s">
        <v>25</v>
      </c>
      <c r="F180" s="4" t="s">
        <v>25</v>
      </c>
      <c r="G180" s="4" t="s">
        <v>25</v>
      </c>
      <c r="H180" s="4" t="s">
        <v>38</v>
      </c>
      <c r="I180" s="5">
        <v>44743</v>
      </c>
      <c r="J180" s="6">
        <v>0</v>
      </c>
      <c r="K180" s="6">
        <v>0</v>
      </c>
      <c r="L180" s="6">
        <v>3667.9969999999998</v>
      </c>
      <c r="M180" s="6">
        <v>3667.9969999999998</v>
      </c>
      <c r="N180" s="6">
        <v>3667.9969999999998</v>
      </c>
      <c r="O180" s="6">
        <v>3667.9969999999998</v>
      </c>
      <c r="P180" s="6">
        <v>0</v>
      </c>
      <c r="Q180" s="4" t="s">
        <v>26</v>
      </c>
      <c r="R180" s="4">
        <v>0</v>
      </c>
      <c r="S180" s="6">
        <v>0</v>
      </c>
      <c r="T180" s="6">
        <v>18</v>
      </c>
      <c r="U180" s="6">
        <v>73</v>
      </c>
      <c r="V180" s="6">
        <f>IF(ISERROR(VLOOKUP($S$180,'TAR FIN'!$A$1:$O$86,15,0)),0,VLOOKUP($S$180,'TAR FIN'!$A$1:$O$86,15,0))</f>
        <v>0</v>
      </c>
      <c r="W180" s="6">
        <f>IF(ISERROR(VLOOKUP($T$180,'TAR FIN'!$A$1:$O$86,15,0)),0,VLOOKUP($T$180,'TAR FIN'!$A$1:$O$86,15,0))</f>
        <v>73.19</v>
      </c>
      <c r="X180" s="6">
        <f>IF(ISERROR(VLOOKUP($U$180,'TAR FIN'!$A$1:$O$86,15,0)),0,VLOOKUP($U$180,'TAR FIN'!$A$1:$O$86,15,0))</f>
        <v>211.71</v>
      </c>
      <c r="Y180" s="6"/>
      <c r="Z180" s="6">
        <f ca="1">('TUSD BE'!$AM$12+'TUSD BF_350'!$AM$12+'TUSD CVA'!$AM$12)*1</f>
        <v>126.25</v>
      </c>
      <c r="AA180" s="6">
        <f ca="1">('TE BE'!$AB$6+'TE BF_350'!$AB$6+'TE CVA'!$AB$6)*1</f>
        <v>222.99901551132911</v>
      </c>
      <c r="AB180" s="6">
        <f>$K$180*$V$180</f>
        <v>0</v>
      </c>
      <c r="AC180" s="6">
        <f>$M$180*$W$180</f>
        <v>268460.70042999997</v>
      </c>
      <c r="AD180" s="6">
        <f>$O$180*$X$180</f>
        <v>776551.64486999996</v>
      </c>
      <c r="AE180" s="6">
        <f>$K$180*$Y$180</f>
        <v>0</v>
      </c>
      <c r="AF180" s="6">
        <f ca="1">$M$180*$Z$180</f>
        <v>463084.62124999997</v>
      </c>
      <c r="AG180" s="6">
        <f ca="1">$O$180*$AA$180</f>
        <v>817959.71989850863</v>
      </c>
    </row>
    <row r="181" spans="1:33" ht="11.25" customHeight="1" x14ac:dyDescent="0.25">
      <c r="A181" s="4" t="s">
        <v>55</v>
      </c>
      <c r="B181" s="4" t="s">
        <v>35</v>
      </c>
      <c r="C181" s="4" t="s">
        <v>39</v>
      </c>
      <c r="D181" s="4" t="s">
        <v>34</v>
      </c>
      <c r="E181" s="4" t="s">
        <v>25</v>
      </c>
      <c r="F181" s="4" t="s">
        <v>25</v>
      </c>
      <c r="G181" s="4" t="s">
        <v>25</v>
      </c>
      <c r="H181" s="4" t="s">
        <v>38</v>
      </c>
      <c r="I181" s="5">
        <v>44743</v>
      </c>
      <c r="J181" s="6">
        <v>0</v>
      </c>
      <c r="K181" s="6">
        <v>0</v>
      </c>
      <c r="L181" s="6">
        <v>149.054</v>
      </c>
      <c r="M181" s="6">
        <v>149.054</v>
      </c>
      <c r="N181" s="6">
        <v>149.054</v>
      </c>
      <c r="O181" s="6">
        <v>149.054</v>
      </c>
      <c r="P181" s="6">
        <v>0</v>
      </c>
      <c r="Q181" s="4" t="s">
        <v>26</v>
      </c>
      <c r="R181" s="4">
        <v>0</v>
      </c>
      <c r="S181" s="6">
        <v>0</v>
      </c>
      <c r="T181" s="6">
        <v>18</v>
      </c>
      <c r="U181" s="6">
        <v>73</v>
      </c>
      <c r="V181" s="6">
        <f>IF(ISERROR(VLOOKUP($S$181,'TAR FIN'!$A$1:$O$86,15,0)),0,VLOOKUP($S$181,'TAR FIN'!$A$1:$O$86,15,0))</f>
        <v>0</v>
      </c>
      <c r="W181" s="6">
        <f>IF(ISERROR(VLOOKUP($T$181,'TAR FIN'!$A$1:$O$86,15,0)),0,VLOOKUP($T$181,'TAR FIN'!$A$1:$O$86,15,0))</f>
        <v>73.19</v>
      </c>
      <c r="X181" s="6">
        <f>IF(ISERROR(VLOOKUP($U$181,'TAR FIN'!$A$1:$O$86,15,0)),0,VLOOKUP($U$181,'TAR FIN'!$A$1:$O$86,15,0))</f>
        <v>211.71</v>
      </c>
      <c r="Y181" s="6"/>
      <c r="Z181" s="6">
        <f ca="1">('TUSD BE'!$AM$12+'TUSD BF_350'!$AM$12+'TUSD CVA'!$AM$12)*1</f>
        <v>126.25</v>
      </c>
      <c r="AA181" s="6">
        <f ca="1">('TE BE'!$AB$6+'TE BF_350'!$AB$6+'TE CVA'!$AB$6)*1</f>
        <v>222.99901551132911</v>
      </c>
      <c r="AB181" s="6">
        <f>$K$181*$V$181</f>
        <v>0</v>
      </c>
      <c r="AC181" s="6">
        <f>$M$181*$W$181</f>
        <v>10909.26226</v>
      </c>
      <c r="AD181" s="6">
        <f>$O$181*$X$181</f>
        <v>31556.22234</v>
      </c>
      <c r="AE181" s="6">
        <f>$K$181*$Y$181</f>
        <v>0</v>
      </c>
      <c r="AF181" s="6">
        <f ca="1">$M$181*$Z$181</f>
        <v>18818.067500000001</v>
      </c>
      <c r="AG181" s="6">
        <f ca="1">$O$181*$AA$181</f>
        <v>33238.895258025652</v>
      </c>
    </row>
    <row r="182" spans="1:33" ht="11.25" customHeight="1" x14ac:dyDescent="0.25">
      <c r="A182" s="4" t="s">
        <v>21</v>
      </c>
      <c r="B182" s="4" t="s">
        <v>35</v>
      </c>
      <c r="C182" s="4" t="s">
        <v>39</v>
      </c>
      <c r="D182" s="4" t="s">
        <v>34</v>
      </c>
      <c r="E182" s="4" t="s">
        <v>25</v>
      </c>
      <c r="F182" s="4" t="s">
        <v>25</v>
      </c>
      <c r="G182" s="4" t="s">
        <v>25</v>
      </c>
      <c r="H182" s="4" t="s">
        <v>25</v>
      </c>
      <c r="I182" s="5">
        <v>44409</v>
      </c>
      <c r="J182" s="6">
        <v>14139</v>
      </c>
      <c r="K182" s="6">
        <v>14139</v>
      </c>
      <c r="L182" s="6">
        <v>0</v>
      </c>
      <c r="M182" s="6">
        <v>0</v>
      </c>
      <c r="N182" s="6">
        <v>0</v>
      </c>
      <c r="O182" s="6">
        <v>0</v>
      </c>
      <c r="P182" s="6">
        <v>53</v>
      </c>
      <c r="Q182" s="4" t="s">
        <v>26</v>
      </c>
      <c r="R182" s="4">
        <v>0</v>
      </c>
      <c r="S182" s="6">
        <v>24</v>
      </c>
      <c r="T182" s="6">
        <v>0</v>
      </c>
      <c r="U182" s="6">
        <v>0</v>
      </c>
      <c r="V182" s="6">
        <f>IF(ISERROR(VLOOKUP($S$182,'TAR FIN'!$A$1:$O$86,15,0)),0,VLOOKUP($S$182,'TAR FIN'!$A$1:$O$86,15,0))</f>
        <v>22.9</v>
      </c>
      <c r="W182" s="6">
        <f>IF(ISERROR(VLOOKUP($T$182,'TAR FIN'!$A$1:$O$86,15,0)),0,VLOOKUP($T$182,'TAR FIN'!$A$1:$O$86,15,0))</f>
        <v>0</v>
      </c>
      <c r="X182" s="6">
        <f>IF(ISERROR(VLOOKUP($U$182,'TAR FIN'!$A$1:$O$86,15,0)),0,VLOOKUP($U$182,'TAR FIN'!$A$1:$O$86,15,0))</f>
        <v>0</v>
      </c>
      <c r="Y182" s="6">
        <f ca="1">('TUSD BE'!$AM$10+'TUSD BF_350'!$AM$10+'TUSD CVA'!$AM$10)*1</f>
        <v>15.64</v>
      </c>
      <c r="Z182" s="6"/>
      <c r="AA182" s="6"/>
      <c r="AB182" s="6">
        <f>$K$182*$V$182</f>
        <v>323783.09999999998</v>
      </c>
      <c r="AC182" s="6">
        <f>$M$182*$W$182</f>
        <v>0</v>
      </c>
      <c r="AD182" s="6">
        <f>$O$182*$X$182</f>
        <v>0</v>
      </c>
      <c r="AE182" s="6">
        <f ca="1">$K$182*$Y$182</f>
        <v>221133.96000000002</v>
      </c>
      <c r="AF182" s="6">
        <f>$M$182*$Z$182</f>
        <v>0</v>
      </c>
      <c r="AG182" s="6">
        <f>$O$182*$AA$182</f>
        <v>0</v>
      </c>
    </row>
    <row r="183" spans="1:33" ht="11.25" customHeight="1" x14ac:dyDescent="0.25">
      <c r="A183" s="4" t="s">
        <v>28</v>
      </c>
      <c r="B183" s="4" t="s">
        <v>35</v>
      </c>
      <c r="C183" s="4" t="s">
        <v>39</v>
      </c>
      <c r="D183" s="4" t="s">
        <v>34</v>
      </c>
      <c r="E183" s="4" t="s">
        <v>25</v>
      </c>
      <c r="F183" s="4" t="s">
        <v>25</v>
      </c>
      <c r="G183" s="4" t="s">
        <v>25</v>
      </c>
      <c r="H183" s="4" t="s">
        <v>25</v>
      </c>
      <c r="I183" s="5">
        <v>44409</v>
      </c>
      <c r="J183" s="6">
        <v>488</v>
      </c>
      <c r="K183" s="6">
        <v>488</v>
      </c>
      <c r="L183" s="6">
        <v>0</v>
      </c>
      <c r="M183" s="6">
        <v>0</v>
      </c>
      <c r="N183" s="6">
        <v>0</v>
      </c>
      <c r="O183" s="6">
        <v>0</v>
      </c>
      <c r="P183" s="6">
        <v>2</v>
      </c>
      <c r="Q183" s="4" t="s">
        <v>26</v>
      </c>
      <c r="R183" s="4">
        <v>0</v>
      </c>
      <c r="S183" s="6">
        <v>24</v>
      </c>
      <c r="T183" s="6">
        <v>0</v>
      </c>
      <c r="U183" s="6">
        <v>0</v>
      </c>
      <c r="V183" s="6">
        <f>IF(ISERROR(VLOOKUP($S$183,'TAR FIN'!$A$1:$O$86,15,0)),0,VLOOKUP($S$183,'TAR FIN'!$A$1:$O$86,15,0))</f>
        <v>22.9</v>
      </c>
      <c r="W183" s="6">
        <f>IF(ISERROR(VLOOKUP($T$183,'TAR FIN'!$A$1:$O$86,15,0)),0,VLOOKUP($T$183,'TAR FIN'!$A$1:$O$86,15,0))</f>
        <v>0</v>
      </c>
      <c r="X183" s="6">
        <f>IF(ISERROR(VLOOKUP($U$183,'TAR FIN'!$A$1:$O$86,15,0)),0,VLOOKUP($U$183,'TAR FIN'!$A$1:$O$86,15,0))</f>
        <v>0</v>
      </c>
      <c r="Y183" s="6">
        <f ca="1">('TUSD BE'!$AM$10+'TUSD BF_350'!$AM$10+'TUSD CVA'!$AM$10)*1</f>
        <v>15.64</v>
      </c>
      <c r="Z183" s="6"/>
      <c r="AA183" s="6"/>
      <c r="AB183" s="6">
        <f>$K$183*$V$183</f>
        <v>11175.199999999999</v>
      </c>
      <c r="AC183" s="6">
        <f>$M$183*$W$183</f>
        <v>0</v>
      </c>
      <c r="AD183" s="6">
        <f>$O$183*$X$183</f>
        <v>0</v>
      </c>
      <c r="AE183" s="6">
        <f ca="1">$K$183*$Y$183</f>
        <v>7632.3200000000006</v>
      </c>
      <c r="AF183" s="6">
        <f>$M$183*$Z$183</f>
        <v>0</v>
      </c>
      <c r="AG183" s="6">
        <f>$O$183*$AA$183</f>
        <v>0</v>
      </c>
    </row>
    <row r="184" spans="1:33" ht="11.25" customHeight="1" x14ac:dyDescent="0.25">
      <c r="A184" s="4" t="s">
        <v>21</v>
      </c>
      <c r="B184" s="4" t="s">
        <v>35</v>
      </c>
      <c r="C184" s="4" t="s">
        <v>39</v>
      </c>
      <c r="D184" s="4" t="s">
        <v>34</v>
      </c>
      <c r="E184" s="4" t="s">
        <v>25</v>
      </c>
      <c r="F184" s="4" t="s">
        <v>25</v>
      </c>
      <c r="G184" s="4" t="s">
        <v>25</v>
      </c>
      <c r="H184" s="4" t="s">
        <v>25</v>
      </c>
      <c r="I184" s="5">
        <v>44440</v>
      </c>
      <c r="J184" s="6">
        <v>14093</v>
      </c>
      <c r="K184" s="6">
        <v>14093</v>
      </c>
      <c r="L184" s="6">
        <v>0</v>
      </c>
      <c r="M184" s="6">
        <v>0</v>
      </c>
      <c r="N184" s="6">
        <v>0</v>
      </c>
      <c r="O184" s="6">
        <v>0</v>
      </c>
      <c r="P184" s="6">
        <v>53</v>
      </c>
      <c r="Q184" s="4" t="s">
        <v>26</v>
      </c>
      <c r="R184" s="4">
        <v>0</v>
      </c>
      <c r="S184" s="6">
        <v>24</v>
      </c>
      <c r="T184" s="6">
        <v>0</v>
      </c>
      <c r="U184" s="6">
        <v>0</v>
      </c>
      <c r="V184" s="6">
        <f>IF(ISERROR(VLOOKUP($S$184,'TAR FIN'!$A$1:$O$86,15,0)),0,VLOOKUP($S$184,'TAR FIN'!$A$1:$O$86,15,0))</f>
        <v>22.9</v>
      </c>
      <c r="W184" s="6">
        <f>IF(ISERROR(VLOOKUP($T$184,'TAR FIN'!$A$1:$O$86,15,0)),0,VLOOKUP($T$184,'TAR FIN'!$A$1:$O$86,15,0))</f>
        <v>0</v>
      </c>
      <c r="X184" s="6">
        <f>IF(ISERROR(VLOOKUP($U$184,'TAR FIN'!$A$1:$O$86,15,0)),0,VLOOKUP($U$184,'TAR FIN'!$A$1:$O$86,15,0))</f>
        <v>0</v>
      </c>
      <c r="Y184" s="6">
        <f ca="1">('TUSD BE'!$AM$10+'TUSD BF_350'!$AM$10+'TUSD CVA'!$AM$10)*1</f>
        <v>15.64</v>
      </c>
      <c r="Z184" s="6"/>
      <c r="AA184" s="6"/>
      <c r="AB184" s="6">
        <f>$K$184*$V$184</f>
        <v>322729.69999999995</v>
      </c>
      <c r="AC184" s="6">
        <f>$M$184*$W$184</f>
        <v>0</v>
      </c>
      <c r="AD184" s="6">
        <f>$O$184*$X$184</f>
        <v>0</v>
      </c>
      <c r="AE184" s="6">
        <f ca="1">$K$184*$Y$184</f>
        <v>220414.52000000002</v>
      </c>
      <c r="AF184" s="6">
        <f>$M$184*$Z$184</f>
        <v>0</v>
      </c>
      <c r="AG184" s="6">
        <f>$O$184*$AA$184</f>
        <v>0</v>
      </c>
    </row>
    <row r="185" spans="1:33" ht="11.25" customHeight="1" x14ac:dyDescent="0.25">
      <c r="A185" s="4" t="s">
        <v>28</v>
      </c>
      <c r="B185" s="4" t="s">
        <v>35</v>
      </c>
      <c r="C185" s="4" t="s">
        <v>39</v>
      </c>
      <c r="D185" s="4" t="s">
        <v>34</v>
      </c>
      <c r="E185" s="4" t="s">
        <v>25</v>
      </c>
      <c r="F185" s="4" t="s">
        <v>25</v>
      </c>
      <c r="G185" s="4" t="s">
        <v>25</v>
      </c>
      <c r="H185" s="4" t="s">
        <v>25</v>
      </c>
      <c r="I185" s="5">
        <v>44440</v>
      </c>
      <c r="J185" s="6">
        <v>532</v>
      </c>
      <c r="K185" s="6">
        <v>532</v>
      </c>
      <c r="L185" s="6">
        <v>0</v>
      </c>
      <c r="M185" s="6">
        <v>0</v>
      </c>
      <c r="N185" s="6">
        <v>0</v>
      </c>
      <c r="O185" s="6">
        <v>0</v>
      </c>
      <c r="P185" s="6">
        <v>2</v>
      </c>
      <c r="Q185" s="4" t="s">
        <v>26</v>
      </c>
      <c r="R185" s="4">
        <v>0</v>
      </c>
      <c r="S185" s="6">
        <v>24</v>
      </c>
      <c r="T185" s="6">
        <v>0</v>
      </c>
      <c r="U185" s="6">
        <v>0</v>
      </c>
      <c r="V185" s="6">
        <f>IF(ISERROR(VLOOKUP($S$185,'TAR FIN'!$A$1:$O$86,15,0)),0,VLOOKUP($S$185,'TAR FIN'!$A$1:$O$86,15,0))</f>
        <v>22.9</v>
      </c>
      <c r="W185" s="6">
        <f>IF(ISERROR(VLOOKUP($T$185,'TAR FIN'!$A$1:$O$86,15,0)),0,VLOOKUP($T$185,'TAR FIN'!$A$1:$O$86,15,0))</f>
        <v>0</v>
      </c>
      <c r="X185" s="6">
        <f>IF(ISERROR(VLOOKUP($U$185,'TAR FIN'!$A$1:$O$86,15,0)),0,VLOOKUP($U$185,'TAR FIN'!$A$1:$O$86,15,0))</f>
        <v>0</v>
      </c>
      <c r="Y185" s="6">
        <f ca="1">('TUSD BE'!$AM$10+'TUSD BF_350'!$AM$10+'TUSD CVA'!$AM$10)*1</f>
        <v>15.64</v>
      </c>
      <c r="Z185" s="6"/>
      <c r="AA185" s="6"/>
      <c r="AB185" s="6">
        <f>$K$185*$V$185</f>
        <v>12182.8</v>
      </c>
      <c r="AC185" s="6">
        <f>$M$185*$W$185</f>
        <v>0</v>
      </c>
      <c r="AD185" s="6">
        <f>$O$185*$X$185</f>
        <v>0</v>
      </c>
      <c r="AE185" s="6">
        <f ca="1">$K$185*$Y$185</f>
        <v>8320.48</v>
      </c>
      <c r="AF185" s="6">
        <f>$M$185*$Z$185</f>
        <v>0</v>
      </c>
      <c r="AG185" s="6">
        <f>$O$185*$AA$185</f>
        <v>0</v>
      </c>
    </row>
    <row r="186" spans="1:33" ht="11.25" customHeight="1" x14ac:dyDescent="0.25">
      <c r="A186" s="4" t="s">
        <v>21</v>
      </c>
      <c r="B186" s="4" t="s">
        <v>35</v>
      </c>
      <c r="C186" s="4" t="s">
        <v>39</v>
      </c>
      <c r="D186" s="4" t="s">
        <v>34</v>
      </c>
      <c r="E186" s="4" t="s">
        <v>25</v>
      </c>
      <c r="F186" s="4" t="s">
        <v>25</v>
      </c>
      <c r="G186" s="4" t="s">
        <v>25</v>
      </c>
      <c r="H186" s="4" t="s">
        <v>25</v>
      </c>
      <c r="I186" s="5">
        <v>44470</v>
      </c>
      <c r="J186" s="6">
        <v>14336</v>
      </c>
      <c r="K186" s="6">
        <v>14336</v>
      </c>
      <c r="L186" s="6">
        <v>0</v>
      </c>
      <c r="M186" s="6">
        <v>0</v>
      </c>
      <c r="N186" s="6">
        <v>0</v>
      </c>
      <c r="O186" s="6">
        <v>0</v>
      </c>
      <c r="P186" s="6">
        <v>53</v>
      </c>
      <c r="Q186" s="4" t="s">
        <v>26</v>
      </c>
      <c r="R186" s="4">
        <v>0</v>
      </c>
      <c r="S186" s="6">
        <v>24</v>
      </c>
      <c r="T186" s="6">
        <v>0</v>
      </c>
      <c r="U186" s="6">
        <v>0</v>
      </c>
      <c r="V186" s="6">
        <f>IF(ISERROR(VLOOKUP($S$186,'TAR FIN'!$A$1:$O$86,15,0)),0,VLOOKUP($S$186,'TAR FIN'!$A$1:$O$86,15,0))</f>
        <v>22.9</v>
      </c>
      <c r="W186" s="6">
        <f>IF(ISERROR(VLOOKUP($T$186,'TAR FIN'!$A$1:$O$86,15,0)),0,VLOOKUP($T$186,'TAR FIN'!$A$1:$O$86,15,0))</f>
        <v>0</v>
      </c>
      <c r="X186" s="6">
        <f>IF(ISERROR(VLOOKUP($U$186,'TAR FIN'!$A$1:$O$86,15,0)),0,VLOOKUP($U$186,'TAR FIN'!$A$1:$O$86,15,0))</f>
        <v>0</v>
      </c>
      <c r="Y186" s="6">
        <f ca="1">('TUSD BE'!$AM$10+'TUSD BF_350'!$AM$10+'TUSD CVA'!$AM$10)*1</f>
        <v>15.64</v>
      </c>
      <c r="Z186" s="6"/>
      <c r="AA186" s="6"/>
      <c r="AB186" s="6">
        <f>$K$186*$V$186</f>
        <v>328294.39999999997</v>
      </c>
      <c r="AC186" s="6">
        <f>$M$186*$W$186</f>
        <v>0</v>
      </c>
      <c r="AD186" s="6">
        <f>$O$186*$X$186</f>
        <v>0</v>
      </c>
      <c r="AE186" s="6">
        <f ca="1">$K$186*$Y$186</f>
        <v>224215.04000000001</v>
      </c>
      <c r="AF186" s="6">
        <f>$M$186*$Z$186</f>
        <v>0</v>
      </c>
      <c r="AG186" s="6">
        <f>$O$186*$AA$186</f>
        <v>0</v>
      </c>
    </row>
    <row r="187" spans="1:33" ht="11.25" customHeight="1" x14ac:dyDescent="0.25">
      <c r="A187" s="4" t="s">
        <v>28</v>
      </c>
      <c r="B187" s="4" t="s">
        <v>35</v>
      </c>
      <c r="C187" s="4" t="s">
        <v>39</v>
      </c>
      <c r="D187" s="4" t="s">
        <v>34</v>
      </c>
      <c r="E187" s="4" t="s">
        <v>25</v>
      </c>
      <c r="F187" s="4" t="s">
        <v>25</v>
      </c>
      <c r="G187" s="4" t="s">
        <v>25</v>
      </c>
      <c r="H187" s="4" t="s">
        <v>25</v>
      </c>
      <c r="I187" s="5">
        <v>44470</v>
      </c>
      <c r="J187" s="6">
        <v>518</v>
      </c>
      <c r="K187" s="6">
        <v>518</v>
      </c>
      <c r="L187" s="6">
        <v>0</v>
      </c>
      <c r="M187" s="6">
        <v>0</v>
      </c>
      <c r="N187" s="6">
        <v>0</v>
      </c>
      <c r="O187" s="6">
        <v>0</v>
      </c>
      <c r="P187" s="6">
        <v>2</v>
      </c>
      <c r="Q187" s="4" t="s">
        <v>26</v>
      </c>
      <c r="R187" s="4">
        <v>0</v>
      </c>
      <c r="S187" s="6">
        <v>24</v>
      </c>
      <c r="T187" s="6">
        <v>0</v>
      </c>
      <c r="U187" s="6">
        <v>0</v>
      </c>
      <c r="V187" s="6">
        <f>IF(ISERROR(VLOOKUP($S$187,'TAR FIN'!$A$1:$O$86,15,0)),0,VLOOKUP($S$187,'TAR FIN'!$A$1:$O$86,15,0))</f>
        <v>22.9</v>
      </c>
      <c r="W187" s="6">
        <f>IF(ISERROR(VLOOKUP($T$187,'TAR FIN'!$A$1:$O$86,15,0)),0,VLOOKUP($T$187,'TAR FIN'!$A$1:$O$86,15,0))</f>
        <v>0</v>
      </c>
      <c r="X187" s="6">
        <f>IF(ISERROR(VLOOKUP($U$187,'TAR FIN'!$A$1:$O$86,15,0)),0,VLOOKUP($U$187,'TAR FIN'!$A$1:$O$86,15,0))</f>
        <v>0</v>
      </c>
      <c r="Y187" s="6">
        <f ca="1">('TUSD BE'!$AM$10+'TUSD BF_350'!$AM$10+'TUSD CVA'!$AM$10)*1</f>
        <v>15.64</v>
      </c>
      <c r="Z187" s="6"/>
      <c r="AA187" s="6"/>
      <c r="AB187" s="6">
        <f>$K$187*$V$187</f>
        <v>11862.199999999999</v>
      </c>
      <c r="AC187" s="6">
        <f>$M$187*$W$187</f>
        <v>0</v>
      </c>
      <c r="AD187" s="6">
        <f>$O$187*$X$187</f>
        <v>0</v>
      </c>
      <c r="AE187" s="6">
        <f ca="1">$K$187*$Y$187</f>
        <v>8101.52</v>
      </c>
      <c r="AF187" s="6">
        <f>$M$187*$Z$187</f>
        <v>0</v>
      </c>
      <c r="AG187" s="6">
        <f>$O$187*$AA$187</f>
        <v>0</v>
      </c>
    </row>
    <row r="188" spans="1:33" ht="11.25" customHeight="1" x14ac:dyDescent="0.25">
      <c r="A188" s="4" t="s">
        <v>21</v>
      </c>
      <c r="B188" s="4" t="s">
        <v>35</v>
      </c>
      <c r="C188" s="4" t="s">
        <v>39</v>
      </c>
      <c r="D188" s="4" t="s">
        <v>34</v>
      </c>
      <c r="E188" s="4" t="s">
        <v>25</v>
      </c>
      <c r="F188" s="4" t="s">
        <v>25</v>
      </c>
      <c r="G188" s="4" t="s">
        <v>25</v>
      </c>
      <c r="H188" s="4" t="s">
        <v>25</v>
      </c>
      <c r="I188" s="5">
        <v>44501</v>
      </c>
      <c r="J188" s="6">
        <v>14463</v>
      </c>
      <c r="K188" s="6">
        <v>14463</v>
      </c>
      <c r="L188" s="6">
        <v>0</v>
      </c>
      <c r="M188" s="6">
        <v>0</v>
      </c>
      <c r="N188" s="6">
        <v>0</v>
      </c>
      <c r="O188" s="6">
        <v>0</v>
      </c>
      <c r="P188" s="6">
        <v>53</v>
      </c>
      <c r="Q188" s="4" t="s">
        <v>26</v>
      </c>
      <c r="R188" s="4">
        <v>0</v>
      </c>
      <c r="S188" s="6">
        <v>24</v>
      </c>
      <c r="T188" s="6">
        <v>0</v>
      </c>
      <c r="U188" s="6">
        <v>0</v>
      </c>
      <c r="V188" s="6">
        <f>IF(ISERROR(VLOOKUP($S$188,'TAR FIN'!$A$1:$O$86,15,0)),0,VLOOKUP($S$188,'TAR FIN'!$A$1:$O$86,15,0))</f>
        <v>22.9</v>
      </c>
      <c r="W188" s="6">
        <f>IF(ISERROR(VLOOKUP($T$188,'TAR FIN'!$A$1:$O$86,15,0)),0,VLOOKUP($T$188,'TAR FIN'!$A$1:$O$86,15,0))</f>
        <v>0</v>
      </c>
      <c r="X188" s="6">
        <f>IF(ISERROR(VLOOKUP($U$188,'TAR FIN'!$A$1:$O$86,15,0)),0,VLOOKUP($U$188,'TAR FIN'!$A$1:$O$86,15,0))</f>
        <v>0</v>
      </c>
      <c r="Y188" s="6">
        <f ca="1">('TUSD BE'!$AM$10+'TUSD BF_350'!$AM$10+'TUSD CVA'!$AM$10)*1</f>
        <v>15.64</v>
      </c>
      <c r="Z188" s="6"/>
      <c r="AA188" s="6"/>
      <c r="AB188" s="6">
        <f>$K$188*$V$188</f>
        <v>331202.69999999995</v>
      </c>
      <c r="AC188" s="6">
        <f>$M$188*$W$188</f>
        <v>0</v>
      </c>
      <c r="AD188" s="6">
        <f>$O$188*$X$188</f>
        <v>0</v>
      </c>
      <c r="AE188" s="6">
        <f ca="1">$K$188*$Y$188</f>
        <v>226201.32</v>
      </c>
      <c r="AF188" s="6">
        <f>$M$188*$Z$188</f>
        <v>0</v>
      </c>
      <c r="AG188" s="6">
        <f>$O$188*$AA$188</f>
        <v>0</v>
      </c>
    </row>
    <row r="189" spans="1:33" ht="11.25" customHeight="1" x14ac:dyDescent="0.25">
      <c r="A189" s="4" t="s">
        <v>28</v>
      </c>
      <c r="B189" s="4" t="s">
        <v>35</v>
      </c>
      <c r="C189" s="4" t="s">
        <v>39</v>
      </c>
      <c r="D189" s="4" t="s">
        <v>34</v>
      </c>
      <c r="E189" s="4" t="s">
        <v>25</v>
      </c>
      <c r="F189" s="4" t="s">
        <v>25</v>
      </c>
      <c r="G189" s="4" t="s">
        <v>25</v>
      </c>
      <c r="H189" s="4" t="s">
        <v>25</v>
      </c>
      <c r="I189" s="5">
        <v>44501</v>
      </c>
      <c r="J189" s="6">
        <v>510</v>
      </c>
      <c r="K189" s="6">
        <v>510</v>
      </c>
      <c r="L189" s="6">
        <v>0</v>
      </c>
      <c r="M189" s="6">
        <v>0</v>
      </c>
      <c r="N189" s="6">
        <v>0</v>
      </c>
      <c r="O189" s="6">
        <v>0</v>
      </c>
      <c r="P189" s="6">
        <v>2</v>
      </c>
      <c r="Q189" s="4" t="s">
        <v>26</v>
      </c>
      <c r="R189" s="4">
        <v>0</v>
      </c>
      <c r="S189" s="6">
        <v>24</v>
      </c>
      <c r="T189" s="6">
        <v>0</v>
      </c>
      <c r="U189" s="6">
        <v>0</v>
      </c>
      <c r="V189" s="6">
        <f>IF(ISERROR(VLOOKUP($S$189,'TAR FIN'!$A$1:$O$86,15,0)),0,VLOOKUP($S$189,'TAR FIN'!$A$1:$O$86,15,0))</f>
        <v>22.9</v>
      </c>
      <c r="W189" s="6">
        <f>IF(ISERROR(VLOOKUP($T$189,'TAR FIN'!$A$1:$O$86,15,0)),0,VLOOKUP($T$189,'TAR FIN'!$A$1:$O$86,15,0))</f>
        <v>0</v>
      </c>
      <c r="X189" s="6">
        <f>IF(ISERROR(VLOOKUP($U$189,'TAR FIN'!$A$1:$O$86,15,0)),0,VLOOKUP($U$189,'TAR FIN'!$A$1:$O$86,15,0))</f>
        <v>0</v>
      </c>
      <c r="Y189" s="6">
        <f ca="1">('TUSD BE'!$AM$10+'TUSD BF_350'!$AM$10+'TUSD CVA'!$AM$10)*1</f>
        <v>15.64</v>
      </c>
      <c r="Z189" s="6"/>
      <c r="AA189" s="6"/>
      <c r="AB189" s="6">
        <f>$K$189*$V$189</f>
        <v>11679</v>
      </c>
      <c r="AC189" s="6">
        <f>$M$189*$W$189</f>
        <v>0</v>
      </c>
      <c r="AD189" s="6">
        <f>$O$189*$X$189</f>
        <v>0</v>
      </c>
      <c r="AE189" s="6">
        <f ca="1">$K$189*$Y$189</f>
        <v>7976.4000000000005</v>
      </c>
      <c r="AF189" s="6">
        <f>$M$189*$Z$189</f>
        <v>0</v>
      </c>
      <c r="AG189" s="6">
        <f>$O$189*$AA$189</f>
        <v>0</v>
      </c>
    </row>
    <row r="190" spans="1:33" ht="11.25" customHeight="1" x14ac:dyDescent="0.25">
      <c r="A190" s="4" t="s">
        <v>21</v>
      </c>
      <c r="B190" s="4" t="s">
        <v>35</v>
      </c>
      <c r="C190" s="4" t="s">
        <v>39</v>
      </c>
      <c r="D190" s="4" t="s">
        <v>34</v>
      </c>
      <c r="E190" s="4" t="s">
        <v>25</v>
      </c>
      <c r="F190" s="4" t="s">
        <v>25</v>
      </c>
      <c r="G190" s="4" t="s">
        <v>25</v>
      </c>
      <c r="H190" s="4" t="s">
        <v>25</v>
      </c>
      <c r="I190" s="5">
        <v>44531</v>
      </c>
      <c r="J190" s="6">
        <v>14808</v>
      </c>
      <c r="K190" s="6">
        <v>14808</v>
      </c>
      <c r="L190" s="6">
        <v>0</v>
      </c>
      <c r="M190" s="6">
        <v>0</v>
      </c>
      <c r="N190" s="6">
        <v>0</v>
      </c>
      <c r="O190" s="6">
        <v>0</v>
      </c>
      <c r="P190" s="6">
        <v>54</v>
      </c>
      <c r="Q190" s="4" t="s">
        <v>26</v>
      </c>
      <c r="R190" s="4">
        <v>0</v>
      </c>
      <c r="S190" s="6">
        <v>24</v>
      </c>
      <c r="T190" s="6">
        <v>0</v>
      </c>
      <c r="U190" s="6">
        <v>0</v>
      </c>
      <c r="V190" s="6">
        <f>IF(ISERROR(VLOOKUP($S$190,'TAR FIN'!$A$1:$O$86,15,0)),0,VLOOKUP($S$190,'TAR FIN'!$A$1:$O$86,15,0))</f>
        <v>22.9</v>
      </c>
      <c r="W190" s="6">
        <f>IF(ISERROR(VLOOKUP($T$190,'TAR FIN'!$A$1:$O$86,15,0)),0,VLOOKUP($T$190,'TAR FIN'!$A$1:$O$86,15,0))</f>
        <v>0</v>
      </c>
      <c r="X190" s="6">
        <f>IF(ISERROR(VLOOKUP($U$190,'TAR FIN'!$A$1:$O$86,15,0)),0,VLOOKUP($U$190,'TAR FIN'!$A$1:$O$86,15,0))</f>
        <v>0</v>
      </c>
      <c r="Y190" s="6">
        <f ca="1">('TUSD BE'!$AM$10+'TUSD BF_350'!$AM$10+'TUSD CVA'!$AM$10)*1</f>
        <v>15.64</v>
      </c>
      <c r="Z190" s="6"/>
      <c r="AA190" s="6"/>
      <c r="AB190" s="6">
        <f>$K$190*$V$190</f>
        <v>339103.19999999995</v>
      </c>
      <c r="AC190" s="6">
        <f>$M$190*$W$190</f>
        <v>0</v>
      </c>
      <c r="AD190" s="6">
        <f>$O$190*$X$190</f>
        <v>0</v>
      </c>
      <c r="AE190" s="6">
        <f ca="1">$K$190*$Y$190</f>
        <v>231597.12</v>
      </c>
      <c r="AF190" s="6">
        <f>$M$190*$Z$190</f>
        <v>0</v>
      </c>
      <c r="AG190" s="6">
        <f>$O$190*$AA$190</f>
        <v>0</v>
      </c>
    </row>
    <row r="191" spans="1:33" ht="11.25" customHeight="1" x14ac:dyDescent="0.25">
      <c r="A191" s="4" t="s">
        <v>28</v>
      </c>
      <c r="B191" s="4" t="s">
        <v>35</v>
      </c>
      <c r="C191" s="4" t="s">
        <v>39</v>
      </c>
      <c r="D191" s="4" t="s">
        <v>34</v>
      </c>
      <c r="E191" s="4" t="s">
        <v>25</v>
      </c>
      <c r="F191" s="4" t="s">
        <v>25</v>
      </c>
      <c r="G191" s="4" t="s">
        <v>25</v>
      </c>
      <c r="H191" s="4" t="s">
        <v>25</v>
      </c>
      <c r="I191" s="5">
        <v>44531</v>
      </c>
      <c r="J191" s="6">
        <v>518</v>
      </c>
      <c r="K191" s="6">
        <v>518</v>
      </c>
      <c r="L191" s="6">
        <v>0</v>
      </c>
      <c r="M191" s="6">
        <v>0</v>
      </c>
      <c r="N191" s="6">
        <v>0</v>
      </c>
      <c r="O191" s="6">
        <v>0</v>
      </c>
      <c r="P191" s="6">
        <v>2</v>
      </c>
      <c r="Q191" s="4" t="s">
        <v>26</v>
      </c>
      <c r="R191" s="4">
        <v>0</v>
      </c>
      <c r="S191" s="6">
        <v>24</v>
      </c>
      <c r="T191" s="6">
        <v>0</v>
      </c>
      <c r="U191" s="6">
        <v>0</v>
      </c>
      <c r="V191" s="6">
        <f>IF(ISERROR(VLOOKUP($S$191,'TAR FIN'!$A$1:$O$86,15,0)),0,VLOOKUP($S$191,'TAR FIN'!$A$1:$O$86,15,0))</f>
        <v>22.9</v>
      </c>
      <c r="W191" s="6">
        <f>IF(ISERROR(VLOOKUP($T$191,'TAR FIN'!$A$1:$O$86,15,0)),0,VLOOKUP($T$191,'TAR FIN'!$A$1:$O$86,15,0))</f>
        <v>0</v>
      </c>
      <c r="X191" s="6">
        <f>IF(ISERROR(VLOOKUP($U$191,'TAR FIN'!$A$1:$O$86,15,0)),0,VLOOKUP($U$191,'TAR FIN'!$A$1:$O$86,15,0))</f>
        <v>0</v>
      </c>
      <c r="Y191" s="6">
        <f ca="1">('TUSD BE'!$AM$10+'TUSD BF_350'!$AM$10+'TUSD CVA'!$AM$10)*1</f>
        <v>15.64</v>
      </c>
      <c r="Z191" s="6"/>
      <c r="AA191" s="6"/>
      <c r="AB191" s="6">
        <f>$K$191*$V$191</f>
        <v>11862.199999999999</v>
      </c>
      <c r="AC191" s="6">
        <f>$M$191*$W$191</f>
        <v>0</v>
      </c>
      <c r="AD191" s="6">
        <f>$O$191*$X$191</f>
        <v>0</v>
      </c>
      <c r="AE191" s="6">
        <f ca="1">$K$191*$Y$191</f>
        <v>8101.52</v>
      </c>
      <c r="AF191" s="6">
        <f>$M$191*$Z$191</f>
        <v>0</v>
      </c>
      <c r="AG191" s="6">
        <f>$O$191*$AA$191</f>
        <v>0</v>
      </c>
    </row>
    <row r="192" spans="1:33" ht="11.25" customHeight="1" x14ac:dyDescent="0.25">
      <c r="A192" s="4" t="s">
        <v>21</v>
      </c>
      <c r="B192" s="4" t="s">
        <v>35</v>
      </c>
      <c r="C192" s="4" t="s">
        <v>39</v>
      </c>
      <c r="D192" s="4" t="s">
        <v>34</v>
      </c>
      <c r="E192" s="4" t="s">
        <v>25</v>
      </c>
      <c r="F192" s="4" t="s">
        <v>25</v>
      </c>
      <c r="G192" s="4" t="s">
        <v>25</v>
      </c>
      <c r="H192" s="4" t="s">
        <v>25</v>
      </c>
      <c r="I192" s="5">
        <v>44562</v>
      </c>
      <c r="J192" s="6">
        <v>14576</v>
      </c>
      <c r="K192" s="6">
        <v>14576</v>
      </c>
      <c r="L192" s="6">
        <v>0</v>
      </c>
      <c r="M192" s="6">
        <v>0</v>
      </c>
      <c r="N192" s="6">
        <v>0</v>
      </c>
      <c r="O192" s="6">
        <v>0</v>
      </c>
      <c r="P192" s="6">
        <v>54</v>
      </c>
      <c r="Q192" s="4" t="s">
        <v>26</v>
      </c>
      <c r="R192" s="4">
        <v>0</v>
      </c>
      <c r="S192" s="6">
        <v>24</v>
      </c>
      <c r="T192" s="6">
        <v>0</v>
      </c>
      <c r="U192" s="6">
        <v>0</v>
      </c>
      <c r="V192" s="6">
        <f>IF(ISERROR(VLOOKUP($S$192,'TAR FIN'!$A$1:$O$86,15,0)),0,VLOOKUP($S$192,'TAR FIN'!$A$1:$O$86,15,0))</f>
        <v>22.9</v>
      </c>
      <c r="W192" s="6">
        <f>IF(ISERROR(VLOOKUP($T$192,'TAR FIN'!$A$1:$O$86,15,0)),0,VLOOKUP($T$192,'TAR FIN'!$A$1:$O$86,15,0))</f>
        <v>0</v>
      </c>
      <c r="X192" s="6">
        <f>IF(ISERROR(VLOOKUP($U$192,'TAR FIN'!$A$1:$O$86,15,0)),0,VLOOKUP($U$192,'TAR FIN'!$A$1:$O$86,15,0))</f>
        <v>0</v>
      </c>
      <c r="Y192" s="6">
        <f ca="1">('TUSD BE'!$AM$10+'TUSD BF_350'!$AM$10+'TUSD CVA'!$AM$10)*1</f>
        <v>15.64</v>
      </c>
      <c r="Z192" s="6"/>
      <c r="AA192" s="6"/>
      <c r="AB192" s="6">
        <f>$K$192*$V$192</f>
        <v>333790.39999999997</v>
      </c>
      <c r="AC192" s="6">
        <f>$M$192*$W$192</f>
        <v>0</v>
      </c>
      <c r="AD192" s="6">
        <f>$O$192*$X$192</f>
        <v>0</v>
      </c>
      <c r="AE192" s="6">
        <f ca="1">$K$192*$Y$192</f>
        <v>227968.64000000001</v>
      </c>
      <c r="AF192" s="6">
        <f>$M$192*$Z$192</f>
        <v>0</v>
      </c>
      <c r="AG192" s="6">
        <f>$O$192*$AA$192</f>
        <v>0</v>
      </c>
    </row>
    <row r="193" spans="1:33" ht="11.25" customHeight="1" x14ac:dyDescent="0.25">
      <c r="A193" s="4" t="s">
        <v>28</v>
      </c>
      <c r="B193" s="4" t="s">
        <v>35</v>
      </c>
      <c r="C193" s="4" t="s">
        <v>39</v>
      </c>
      <c r="D193" s="4" t="s">
        <v>34</v>
      </c>
      <c r="E193" s="4" t="s">
        <v>25</v>
      </c>
      <c r="F193" s="4" t="s">
        <v>25</v>
      </c>
      <c r="G193" s="4" t="s">
        <v>25</v>
      </c>
      <c r="H193" s="4" t="s">
        <v>25</v>
      </c>
      <c r="I193" s="5">
        <v>44562</v>
      </c>
      <c r="J193" s="6">
        <v>524</v>
      </c>
      <c r="K193" s="6">
        <v>524</v>
      </c>
      <c r="L193" s="6">
        <v>0</v>
      </c>
      <c r="M193" s="6">
        <v>0</v>
      </c>
      <c r="N193" s="6">
        <v>0</v>
      </c>
      <c r="O193" s="6">
        <v>0</v>
      </c>
      <c r="P193" s="6">
        <v>2</v>
      </c>
      <c r="Q193" s="4" t="s">
        <v>26</v>
      </c>
      <c r="R193" s="4">
        <v>0</v>
      </c>
      <c r="S193" s="6">
        <v>24</v>
      </c>
      <c r="T193" s="6">
        <v>0</v>
      </c>
      <c r="U193" s="6">
        <v>0</v>
      </c>
      <c r="V193" s="6">
        <f>IF(ISERROR(VLOOKUP($S$193,'TAR FIN'!$A$1:$O$86,15,0)),0,VLOOKUP($S$193,'TAR FIN'!$A$1:$O$86,15,0))</f>
        <v>22.9</v>
      </c>
      <c r="W193" s="6">
        <f>IF(ISERROR(VLOOKUP($T$193,'TAR FIN'!$A$1:$O$86,15,0)),0,VLOOKUP($T$193,'TAR FIN'!$A$1:$O$86,15,0))</f>
        <v>0</v>
      </c>
      <c r="X193" s="6">
        <f>IF(ISERROR(VLOOKUP($U$193,'TAR FIN'!$A$1:$O$86,15,0)),0,VLOOKUP($U$193,'TAR FIN'!$A$1:$O$86,15,0))</f>
        <v>0</v>
      </c>
      <c r="Y193" s="6">
        <f ca="1">('TUSD BE'!$AM$10+'TUSD BF_350'!$AM$10+'TUSD CVA'!$AM$10)*1</f>
        <v>15.64</v>
      </c>
      <c r="Z193" s="6"/>
      <c r="AA193" s="6"/>
      <c r="AB193" s="6">
        <f>$K$193*$V$193</f>
        <v>11999.599999999999</v>
      </c>
      <c r="AC193" s="6">
        <f>$M$193*$W$193</f>
        <v>0</v>
      </c>
      <c r="AD193" s="6">
        <f>$O$193*$X$193</f>
        <v>0</v>
      </c>
      <c r="AE193" s="6">
        <f ca="1">$K$193*$Y$193</f>
        <v>8195.36</v>
      </c>
      <c r="AF193" s="6">
        <f>$M$193*$Z$193</f>
        <v>0</v>
      </c>
      <c r="AG193" s="6">
        <f>$O$193*$AA$193</f>
        <v>0</v>
      </c>
    </row>
    <row r="194" spans="1:33" ht="11.25" customHeight="1" x14ac:dyDescent="0.25">
      <c r="A194" s="4" t="s">
        <v>21</v>
      </c>
      <c r="B194" s="4" t="s">
        <v>35</v>
      </c>
      <c r="C194" s="4" t="s">
        <v>39</v>
      </c>
      <c r="D194" s="4" t="s">
        <v>34</v>
      </c>
      <c r="E194" s="4" t="s">
        <v>25</v>
      </c>
      <c r="F194" s="4" t="s">
        <v>25</v>
      </c>
      <c r="G194" s="4" t="s">
        <v>25</v>
      </c>
      <c r="H194" s="4" t="s">
        <v>25</v>
      </c>
      <c r="I194" s="5">
        <v>44593</v>
      </c>
      <c r="J194" s="6">
        <v>14690</v>
      </c>
      <c r="K194" s="6">
        <v>14690</v>
      </c>
      <c r="L194" s="6">
        <v>0</v>
      </c>
      <c r="M194" s="6">
        <v>0</v>
      </c>
      <c r="N194" s="6">
        <v>0</v>
      </c>
      <c r="O194" s="6">
        <v>0</v>
      </c>
      <c r="P194" s="6">
        <v>54</v>
      </c>
      <c r="Q194" s="4" t="s">
        <v>26</v>
      </c>
      <c r="R194" s="4">
        <v>0</v>
      </c>
      <c r="S194" s="6">
        <v>24</v>
      </c>
      <c r="T194" s="6">
        <v>0</v>
      </c>
      <c r="U194" s="6">
        <v>0</v>
      </c>
      <c r="V194" s="6">
        <f>IF(ISERROR(VLOOKUP($S$194,'TAR FIN'!$A$1:$O$86,15,0)),0,VLOOKUP($S$194,'TAR FIN'!$A$1:$O$86,15,0))</f>
        <v>22.9</v>
      </c>
      <c r="W194" s="6">
        <f>IF(ISERROR(VLOOKUP($T$194,'TAR FIN'!$A$1:$O$86,15,0)),0,VLOOKUP($T$194,'TAR FIN'!$A$1:$O$86,15,0))</f>
        <v>0</v>
      </c>
      <c r="X194" s="6">
        <f>IF(ISERROR(VLOOKUP($U$194,'TAR FIN'!$A$1:$O$86,15,0)),0,VLOOKUP($U$194,'TAR FIN'!$A$1:$O$86,15,0))</f>
        <v>0</v>
      </c>
      <c r="Y194" s="6">
        <f ca="1">('TUSD BE'!$AM$10+'TUSD BF_350'!$AM$10+'TUSD CVA'!$AM$10)*1</f>
        <v>15.64</v>
      </c>
      <c r="Z194" s="6"/>
      <c r="AA194" s="6"/>
      <c r="AB194" s="6">
        <f>$K$194*$V$194</f>
        <v>336401</v>
      </c>
      <c r="AC194" s="6">
        <f>$M$194*$W$194</f>
        <v>0</v>
      </c>
      <c r="AD194" s="6">
        <f>$O$194*$X$194</f>
        <v>0</v>
      </c>
      <c r="AE194" s="6">
        <f ca="1">$K$194*$Y$194</f>
        <v>229751.6</v>
      </c>
      <c r="AF194" s="6">
        <f>$M$194*$Z$194</f>
        <v>0</v>
      </c>
      <c r="AG194" s="6">
        <f>$O$194*$AA$194</f>
        <v>0</v>
      </c>
    </row>
    <row r="195" spans="1:33" ht="11.25" customHeight="1" x14ac:dyDescent="0.25">
      <c r="A195" s="4" t="s">
        <v>28</v>
      </c>
      <c r="B195" s="4" t="s">
        <v>35</v>
      </c>
      <c r="C195" s="4" t="s">
        <v>39</v>
      </c>
      <c r="D195" s="4" t="s">
        <v>34</v>
      </c>
      <c r="E195" s="4" t="s">
        <v>25</v>
      </c>
      <c r="F195" s="4" t="s">
        <v>25</v>
      </c>
      <c r="G195" s="4" t="s">
        <v>25</v>
      </c>
      <c r="H195" s="4" t="s">
        <v>25</v>
      </c>
      <c r="I195" s="5">
        <v>44593</v>
      </c>
      <c r="J195" s="6">
        <v>516</v>
      </c>
      <c r="K195" s="6">
        <v>516</v>
      </c>
      <c r="L195" s="6">
        <v>0</v>
      </c>
      <c r="M195" s="6">
        <v>0</v>
      </c>
      <c r="N195" s="6">
        <v>0</v>
      </c>
      <c r="O195" s="6">
        <v>0</v>
      </c>
      <c r="P195" s="6">
        <v>2</v>
      </c>
      <c r="Q195" s="4" t="s">
        <v>26</v>
      </c>
      <c r="R195" s="4">
        <v>0</v>
      </c>
      <c r="S195" s="6">
        <v>24</v>
      </c>
      <c r="T195" s="6">
        <v>0</v>
      </c>
      <c r="U195" s="6">
        <v>0</v>
      </c>
      <c r="V195" s="6">
        <f>IF(ISERROR(VLOOKUP($S$195,'TAR FIN'!$A$1:$O$86,15,0)),0,VLOOKUP($S$195,'TAR FIN'!$A$1:$O$86,15,0))</f>
        <v>22.9</v>
      </c>
      <c r="W195" s="6">
        <f>IF(ISERROR(VLOOKUP($T$195,'TAR FIN'!$A$1:$O$86,15,0)),0,VLOOKUP($T$195,'TAR FIN'!$A$1:$O$86,15,0))</f>
        <v>0</v>
      </c>
      <c r="X195" s="6">
        <f>IF(ISERROR(VLOOKUP($U$195,'TAR FIN'!$A$1:$O$86,15,0)),0,VLOOKUP($U$195,'TAR FIN'!$A$1:$O$86,15,0))</f>
        <v>0</v>
      </c>
      <c r="Y195" s="6">
        <f ca="1">('TUSD BE'!$AM$10+'TUSD BF_350'!$AM$10+'TUSD CVA'!$AM$10)*1</f>
        <v>15.64</v>
      </c>
      <c r="Z195" s="6"/>
      <c r="AA195" s="6"/>
      <c r="AB195" s="6">
        <f>$K$195*$V$195</f>
        <v>11816.4</v>
      </c>
      <c r="AC195" s="6">
        <f>$M$195*$W$195</f>
        <v>0</v>
      </c>
      <c r="AD195" s="6">
        <f>$O$195*$X$195</f>
        <v>0</v>
      </c>
      <c r="AE195" s="6">
        <f ca="1">$K$195*$Y$195</f>
        <v>8070.2400000000007</v>
      </c>
      <c r="AF195" s="6">
        <f>$M$195*$Z$195</f>
        <v>0</v>
      </c>
      <c r="AG195" s="6">
        <f>$O$195*$AA$195</f>
        <v>0</v>
      </c>
    </row>
    <row r="196" spans="1:33" ht="11.25" customHeight="1" x14ac:dyDescent="0.25">
      <c r="A196" s="4" t="s">
        <v>21</v>
      </c>
      <c r="B196" s="4" t="s">
        <v>35</v>
      </c>
      <c r="C196" s="4" t="s">
        <v>39</v>
      </c>
      <c r="D196" s="4" t="s">
        <v>34</v>
      </c>
      <c r="E196" s="4" t="s">
        <v>25</v>
      </c>
      <c r="F196" s="4" t="s">
        <v>25</v>
      </c>
      <c r="G196" s="4" t="s">
        <v>25</v>
      </c>
      <c r="H196" s="4" t="s">
        <v>25</v>
      </c>
      <c r="I196" s="5">
        <v>44621</v>
      </c>
      <c r="J196" s="6">
        <v>14568</v>
      </c>
      <c r="K196" s="6">
        <v>14568</v>
      </c>
      <c r="L196" s="6">
        <v>0</v>
      </c>
      <c r="M196" s="6">
        <v>0</v>
      </c>
      <c r="N196" s="6">
        <v>0</v>
      </c>
      <c r="O196" s="6">
        <v>0</v>
      </c>
      <c r="P196" s="6">
        <v>54</v>
      </c>
      <c r="Q196" s="4" t="s">
        <v>26</v>
      </c>
      <c r="R196" s="4">
        <v>0</v>
      </c>
      <c r="S196" s="6">
        <v>24</v>
      </c>
      <c r="T196" s="6">
        <v>0</v>
      </c>
      <c r="U196" s="6">
        <v>0</v>
      </c>
      <c r="V196" s="6">
        <f>IF(ISERROR(VLOOKUP($S$196,'TAR FIN'!$A$1:$O$86,15,0)),0,VLOOKUP($S$196,'TAR FIN'!$A$1:$O$86,15,0))</f>
        <v>22.9</v>
      </c>
      <c r="W196" s="6">
        <f>IF(ISERROR(VLOOKUP($T$196,'TAR FIN'!$A$1:$O$86,15,0)),0,VLOOKUP($T$196,'TAR FIN'!$A$1:$O$86,15,0))</f>
        <v>0</v>
      </c>
      <c r="X196" s="6">
        <f>IF(ISERROR(VLOOKUP($U$196,'TAR FIN'!$A$1:$O$86,15,0)),0,VLOOKUP($U$196,'TAR FIN'!$A$1:$O$86,15,0))</f>
        <v>0</v>
      </c>
      <c r="Y196" s="6">
        <f ca="1">('TUSD BE'!$AM$10+'TUSD BF_350'!$AM$10+'TUSD CVA'!$AM$10)*1</f>
        <v>15.64</v>
      </c>
      <c r="Z196" s="6"/>
      <c r="AA196" s="6"/>
      <c r="AB196" s="6">
        <f>$K$196*$V$196</f>
        <v>333607.19999999995</v>
      </c>
      <c r="AC196" s="6">
        <f>$M$196*$W$196</f>
        <v>0</v>
      </c>
      <c r="AD196" s="6">
        <f>$O$196*$X$196</f>
        <v>0</v>
      </c>
      <c r="AE196" s="6">
        <f ca="1">$K$196*$Y$196</f>
        <v>227843.52000000002</v>
      </c>
      <c r="AF196" s="6">
        <f>$M$196*$Z$196</f>
        <v>0</v>
      </c>
      <c r="AG196" s="6">
        <f>$O$196*$AA$196</f>
        <v>0</v>
      </c>
    </row>
    <row r="197" spans="1:33" ht="11.25" customHeight="1" x14ac:dyDescent="0.25">
      <c r="A197" s="4" t="s">
        <v>28</v>
      </c>
      <c r="B197" s="4" t="s">
        <v>35</v>
      </c>
      <c r="C197" s="4" t="s">
        <v>39</v>
      </c>
      <c r="D197" s="4" t="s">
        <v>34</v>
      </c>
      <c r="E197" s="4" t="s">
        <v>25</v>
      </c>
      <c r="F197" s="4" t="s">
        <v>25</v>
      </c>
      <c r="G197" s="4" t="s">
        <v>25</v>
      </c>
      <c r="H197" s="4" t="s">
        <v>25</v>
      </c>
      <c r="I197" s="5">
        <v>44621</v>
      </c>
      <c r="J197" s="6">
        <v>519</v>
      </c>
      <c r="K197" s="6">
        <v>519</v>
      </c>
      <c r="L197" s="6">
        <v>0</v>
      </c>
      <c r="M197" s="6">
        <v>0</v>
      </c>
      <c r="N197" s="6">
        <v>0</v>
      </c>
      <c r="O197" s="6">
        <v>0</v>
      </c>
      <c r="P197" s="6">
        <v>2</v>
      </c>
      <c r="Q197" s="4" t="s">
        <v>26</v>
      </c>
      <c r="R197" s="4">
        <v>0</v>
      </c>
      <c r="S197" s="6">
        <v>24</v>
      </c>
      <c r="T197" s="6">
        <v>0</v>
      </c>
      <c r="U197" s="6">
        <v>0</v>
      </c>
      <c r="V197" s="6">
        <f>IF(ISERROR(VLOOKUP($S$197,'TAR FIN'!$A$1:$O$86,15,0)),0,VLOOKUP($S$197,'TAR FIN'!$A$1:$O$86,15,0))</f>
        <v>22.9</v>
      </c>
      <c r="W197" s="6">
        <f>IF(ISERROR(VLOOKUP($T$197,'TAR FIN'!$A$1:$O$86,15,0)),0,VLOOKUP($T$197,'TAR FIN'!$A$1:$O$86,15,0))</f>
        <v>0</v>
      </c>
      <c r="X197" s="6">
        <f>IF(ISERROR(VLOOKUP($U$197,'TAR FIN'!$A$1:$O$86,15,0)),0,VLOOKUP($U$197,'TAR FIN'!$A$1:$O$86,15,0))</f>
        <v>0</v>
      </c>
      <c r="Y197" s="6">
        <f ca="1">('TUSD BE'!$AM$10+'TUSD BF_350'!$AM$10+'TUSD CVA'!$AM$10)*1</f>
        <v>15.64</v>
      </c>
      <c r="Z197" s="6"/>
      <c r="AA197" s="6"/>
      <c r="AB197" s="6">
        <f>$K$197*$V$197</f>
        <v>11885.099999999999</v>
      </c>
      <c r="AC197" s="6">
        <f>$M$197*$W$197</f>
        <v>0</v>
      </c>
      <c r="AD197" s="6">
        <f>$O$197*$X$197</f>
        <v>0</v>
      </c>
      <c r="AE197" s="6">
        <f ca="1">$K$197*$Y$197</f>
        <v>8117.16</v>
      </c>
      <c r="AF197" s="6">
        <f>$M$197*$Z$197</f>
        <v>0</v>
      </c>
      <c r="AG197" s="6">
        <f>$O$197*$AA$197</f>
        <v>0</v>
      </c>
    </row>
    <row r="198" spans="1:33" ht="11.25" customHeight="1" x14ac:dyDescent="0.25">
      <c r="A198" s="4" t="s">
        <v>21</v>
      </c>
      <c r="B198" s="4" t="s">
        <v>35</v>
      </c>
      <c r="C198" s="4" t="s">
        <v>39</v>
      </c>
      <c r="D198" s="4" t="s">
        <v>34</v>
      </c>
      <c r="E198" s="4" t="s">
        <v>25</v>
      </c>
      <c r="F198" s="4" t="s">
        <v>25</v>
      </c>
      <c r="G198" s="4" t="s">
        <v>25</v>
      </c>
      <c r="H198" s="4" t="s">
        <v>25</v>
      </c>
      <c r="I198" s="5">
        <v>44652</v>
      </c>
      <c r="J198" s="6">
        <v>14547</v>
      </c>
      <c r="K198" s="6">
        <v>14547</v>
      </c>
      <c r="L198" s="6">
        <v>0</v>
      </c>
      <c r="M198" s="6">
        <v>0</v>
      </c>
      <c r="N198" s="6">
        <v>0</v>
      </c>
      <c r="O198" s="6">
        <v>0</v>
      </c>
      <c r="P198" s="6">
        <v>54</v>
      </c>
      <c r="Q198" s="4" t="s">
        <v>26</v>
      </c>
      <c r="R198" s="4">
        <v>0</v>
      </c>
      <c r="S198" s="6">
        <v>24</v>
      </c>
      <c r="T198" s="6">
        <v>0</v>
      </c>
      <c r="U198" s="6">
        <v>0</v>
      </c>
      <c r="V198" s="6">
        <f>IF(ISERROR(VLOOKUP($S$198,'TAR FIN'!$A$1:$O$86,15,0)),0,VLOOKUP($S$198,'TAR FIN'!$A$1:$O$86,15,0))</f>
        <v>22.9</v>
      </c>
      <c r="W198" s="6">
        <f>IF(ISERROR(VLOOKUP($T$198,'TAR FIN'!$A$1:$O$86,15,0)),0,VLOOKUP($T$198,'TAR FIN'!$A$1:$O$86,15,0))</f>
        <v>0</v>
      </c>
      <c r="X198" s="6">
        <f>IF(ISERROR(VLOOKUP($U$198,'TAR FIN'!$A$1:$O$86,15,0)),0,VLOOKUP($U$198,'TAR FIN'!$A$1:$O$86,15,0))</f>
        <v>0</v>
      </c>
      <c r="Y198" s="6">
        <f ca="1">('TUSD BE'!$AM$10+'TUSD BF_350'!$AM$10+'TUSD CVA'!$AM$10)*1</f>
        <v>15.64</v>
      </c>
      <c r="Z198" s="6"/>
      <c r="AA198" s="6"/>
      <c r="AB198" s="6">
        <f>$K$198*$V$198</f>
        <v>333126.3</v>
      </c>
      <c r="AC198" s="6">
        <f>$M$198*$W$198</f>
        <v>0</v>
      </c>
      <c r="AD198" s="6">
        <f>$O$198*$X$198</f>
        <v>0</v>
      </c>
      <c r="AE198" s="6">
        <f ca="1">$K$198*$Y$198</f>
        <v>227515.08000000002</v>
      </c>
      <c r="AF198" s="6">
        <f>$M$198*$Z$198</f>
        <v>0</v>
      </c>
      <c r="AG198" s="6">
        <f>$O$198*$AA$198</f>
        <v>0</v>
      </c>
    </row>
    <row r="199" spans="1:33" ht="11.25" customHeight="1" x14ac:dyDescent="0.25">
      <c r="A199" s="4" t="s">
        <v>28</v>
      </c>
      <c r="B199" s="4" t="s">
        <v>35</v>
      </c>
      <c r="C199" s="4" t="s">
        <v>39</v>
      </c>
      <c r="D199" s="4" t="s">
        <v>34</v>
      </c>
      <c r="E199" s="4" t="s">
        <v>25</v>
      </c>
      <c r="F199" s="4" t="s">
        <v>25</v>
      </c>
      <c r="G199" s="4" t="s">
        <v>25</v>
      </c>
      <c r="H199" s="4" t="s">
        <v>25</v>
      </c>
      <c r="I199" s="5">
        <v>44652</v>
      </c>
      <c r="J199" s="6">
        <v>513</v>
      </c>
      <c r="K199" s="6">
        <v>513</v>
      </c>
      <c r="L199" s="6">
        <v>0</v>
      </c>
      <c r="M199" s="6">
        <v>0</v>
      </c>
      <c r="N199" s="6">
        <v>0</v>
      </c>
      <c r="O199" s="6">
        <v>0</v>
      </c>
      <c r="P199" s="6">
        <v>2</v>
      </c>
      <c r="Q199" s="4" t="s">
        <v>26</v>
      </c>
      <c r="R199" s="4">
        <v>0</v>
      </c>
      <c r="S199" s="6">
        <v>24</v>
      </c>
      <c r="T199" s="6">
        <v>0</v>
      </c>
      <c r="U199" s="6">
        <v>0</v>
      </c>
      <c r="V199" s="6">
        <f>IF(ISERROR(VLOOKUP($S$199,'TAR FIN'!$A$1:$O$86,15,0)),0,VLOOKUP($S$199,'TAR FIN'!$A$1:$O$86,15,0))</f>
        <v>22.9</v>
      </c>
      <c r="W199" s="6">
        <f>IF(ISERROR(VLOOKUP($T$199,'TAR FIN'!$A$1:$O$86,15,0)),0,VLOOKUP($T$199,'TAR FIN'!$A$1:$O$86,15,0))</f>
        <v>0</v>
      </c>
      <c r="X199" s="6">
        <f>IF(ISERROR(VLOOKUP($U$199,'TAR FIN'!$A$1:$O$86,15,0)),0,VLOOKUP($U$199,'TAR FIN'!$A$1:$O$86,15,0))</f>
        <v>0</v>
      </c>
      <c r="Y199" s="6">
        <f ca="1">('TUSD BE'!$AM$10+'TUSD BF_350'!$AM$10+'TUSD CVA'!$AM$10)*1</f>
        <v>15.64</v>
      </c>
      <c r="Z199" s="6"/>
      <c r="AA199" s="6"/>
      <c r="AB199" s="6">
        <f>$K$199*$V$199</f>
        <v>11747.699999999999</v>
      </c>
      <c r="AC199" s="6">
        <f>$M$199*$W$199</f>
        <v>0</v>
      </c>
      <c r="AD199" s="6">
        <f>$O$199*$X$199</f>
        <v>0</v>
      </c>
      <c r="AE199" s="6">
        <f ca="1">$K$199*$Y$199</f>
        <v>8023.3200000000006</v>
      </c>
      <c r="AF199" s="6">
        <f>$M$199*$Z$199</f>
        <v>0</v>
      </c>
      <c r="AG199" s="6">
        <f>$O$199*$AA$199</f>
        <v>0</v>
      </c>
    </row>
    <row r="200" spans="1:33" ht="11.25" customHeight="1" x14ac:dyDescent="0.25">
      <c r="A200" s="4" t="s">
        <v>21</v>
      </c>
      <c r="B200" s="4" t="s">
        <v>35</v>
      </c>
      <c r="C200" s="4" t="s">
        <v>39</v>
      </c>
      <c r="D200" s="4" t="s">
        <v>34</v>
      </c>
      <c r="E200" s="4" t="s">
        <v>25</v>
      </c>
      <c r="F200" s="4" t="s">
        <v>25</v>
      </c>
      <c r="G200" s="4" t="s">
        <v>25</v>
      </c>
      <c r="H200" s="4" t="s">
        <v>25</v>
      </c>
      <c r="I200" s="5">
        <v>44682</v>
      </c>
      <c r="J200" s="6">
        <v>14468</v>
      </c>
      <c r="K200" s="6">
        <v>14468</v>
      </c>
      <c r="L200" s="6">
        <v>0</v>
      </c>
      <c r="M200" s="6">
        <v>0</v>
      </c>
      <c r="N200" s="6">
        <v>0</v>
      </c>
      <c r="O200" s="6">
        <v>0</v>
      </c>
      <c r="P200" s="6">
        <v>54</v>
      </c>
      <c r="Q200" s="4" t="s">
        <v>26</v>
      </c>
      <c r="R200" s="4">
        <v>0</v>
      </c>
      <c r="S200" s="6">
        <v>24</v>
      </c>
      <c r="T200" s="6">
        <v>0</v>
      </c>
      <c r="U200" s="6">
        <v>0</v>
      </c>
      <c r="V200" s="6">
        <f>IF(ISERROR(VLOOKUP($S$200,'TAR FIN'!$A$1:$O$86,15,0)),0,VLOOKUP($S$200,'TAR FIN'!$A$1:$O$86,15,0))</f>
        <v>22.9</v>
      </c>
      <c r="W200" s="6">
        <f>IF(ISERROR(VLOOKUP($T$200,'TAR FIN'!$A$1:$O$86,15,0)),0,VLOOKUP($T$200,'TAR FIN'!$A$1:$O$86,15,0))</f>
        <v>0</v>
      </c>
      <c r="X200" s="6">
        <f>IF(ISERROR(VLOOKUP($U$200,'TAR FIN'!$A$1:$O$86,15,0)),0,VLOOKUP($U$200,'TAR FIN'!$A$1:$O$86,15,0))</f>
        <v>0</v>
      </c>
      <c r="Y200" s="6">
        <f ca="1">('TUSD BE'!$AM$10+'TUSD BF_350'!$AM$10+'TUSD CVA'!$AM$10)*1</f>
        <v>15.64</v>
      </c>
      <c r="Z200" s="6"/>
      <c r="AA200" s="6"/>
      <c r="AB200" s="6">
        <f>$K$200*$V$200</f>
        <v>331317.19999999995</v>
      </c>
      <c r="AC200" s="6">
        <f>$M$200*$W$200</f>
        <v>0</v>
      </c>
      <c r="AD200" s="6">
        <f>$O$200*$X$200</f>
        <v>0</v>
      </c>
      <c r="AE200" s="6">
        <f ca="1">$K$200*$Y$200</f>
        <v>226279.52000000002</v>
      </c>
      <c r="AF200" s="6">
        <f>$M$200*$Z$200</f>
        <v>0</v>
      </c>
      <c r="AG200" s="6">
        <f>$O$200*$AA$200</f>
        <v>0</v>
      </c>
    </row>
    <row r="201" spans="1:33" ht="11.25" customHeight="1" x14ac:dyDescent="0.25">
      <c r="A201" s="4" t="s">
        <v>28</v>
      </c>
      <c r="B201" s="4" t="s">
        <v>35</v>
      </c>
      <c r="C201" s="4" t="s">
        <v>39</v>
      </c>
      <c r="D201" s="4" t="s">
        <v>34</v>
      </c>
      <c r="E201" s="4" t="s">
        <v>25</v>
      </c>
      <c r="F201" s="4" t="s">
        <v>25</v>
      </c>
      <c r="G201" s="4" t="s">
        <v>25</v>
      </c>
      <c r="H201" s="4" t="s">
        <v>25</v>
      </c>
      <c r="I201" s="5">
        <v>44682</v>
      </c>
      <c r="J201" s="6">
        <v>518</v>
      </c>
      <c r="K201" s="6">
        <v>518</v>
      </c>
      <c r="L201" s="6">
        <v>0</v>
      </c>
      <c r="M201" s="6">
        <v>0</v>
      </c>
      <c r="N201" s="6">
        <v>0</v>
      </c>
      <c r="O201" s="6">
        <v>0</v>
      </c>
      <c r="P201" s="6">
        <v>2</v>
      </c>
      <c r="Q201" s="4" t="s">
        <v>26</v>
      </c>
      <c r="R201" s="4">
        <v>0</v>
      </c>
      <c r="S201" s="6">
        <v>24</v>
      </c>
      <c r="T201" s="6">
        <v>0</v>
      </c>
      <c r="U201" s="6">
        <v>0</v>
      </c>
      <c r="V201" s="6">
        <f>IF(ISERROR(VLOOKUP($S$201,'TAR FIN'!$A$1:$O$86,15,0)),0,VLOOKUP($S$201,'TAR FIN'!$A$1:$O$86,15,0))</f>
        <v>22.9</v>
      </c>
      <c r="W201" s="6">
        <f>IF(ISERROR(VLOOKUP($T$201,'TAR FIN'!$A$1:$O$86,15,0)),0,VLOOKUP($T$201,'TAR FIN'!$A$1:$O$86,15,0))</f>
        <v>0</v>
      </c>
      <c r="X201" s="6">
        <f>IF(ISERROR(VLOOKUP($U$201,'TAR FIN'!$A$1:$O$86,15,0)),0,VLOOKUP($U$201,'TAR FIN'!$A$1:$O$86,15,0))</f>
        <v>0</v>
      </c>
      <c r="Y201" s="6">
        <f ca="1">('TUSD BE'!$AM$10+'TUSD BF_350'!$AM$10+'TUSD CVA'!$AM$10)*1</f>
        <v>15.64</v>
      </c>
      <c r="Z201" s="6"/>
      <c r="AA201" s="6"/>
      <c r="AB201" s="6">
        <f>$K$201*$V$201</f>
        <v>11862.199999999999</v>
      </c>
      <c r="AC201" s="6">
        <f>$M$201*$W$201</f>
        <v>0</v>
      </c>
      <c r="AD201" s="6">
        <f>$O$201*$X$201</f>
        <v>0</v>
      </c>
      <c r="AE201" s="6">
        <f ca="1">$K$201*$Y$201</f>
        <v>8101.52</v>
      </c>
      <c r="AF201" s="6">
        <f>$M$201*$Z$201</f>
        <v>0</v>
      </c>
      <c r="AG201" s="6">
        <f>$O$201*$AA$201</f>
        <v>0</v>
      </c>
    </row>
    <row r="202" spans="1:33" ht="11.25" customHeight="1" x14ac:dyDescent="0.25">
      <c r="A202" s="4" t="s">
        <v>21</v>
      </c>
      <c r="B202" s="4" t="s">
        <v>35</v>
      </c>
      <c r="C202" s="4" t="s">
        <v>39</v>
      </c>
      <c r="D202" s="4" t="s">
        <v>34</v>
      </c>
      <c r="E202" s="4" t="s">
        <v>25</v>
      </c>
      <c r="F202" s="4" t="s">
        <v>25</v>
      </c>
      <c r="G202" s="4" t="s">
        <v>25</v>
      </c>
      <c r="H202" s="4" t="s">
        <v>25</v>
      </c>
      <c r="I202" s="5">
        <v>44713</v>
      </c>
      <c r="J202" s="6">
        <v>14710</v>
      </c>
      <c r="K202" s="6">
        <v>14710</v>
      </c>
      <c r="L202" s="6">
        <v>0</v>
      </c>
      <c r="M202" s="6">
        <v>0</v>
      </c>
      <c r="N202" s="6">
        <v>0</v>
      </c>
      <c r="O202" s="6">
        <v>0</v>
      </c>
      <c r="P202" s="6">
        <v>55</v>
      </c>
      <c r="Q202" s="4" t="s">
        <v>26</v>
      </c>
      <c r="R202" s="4">
        <v>0</v>
      </c>
      <c r="S202" s="6">
        <v>24</v>
      </c>
      <c r="T202" s="6">
        <v>0</v>
      </c>
      <c r="U202" s="6">
        <v>0</v>
      </c>
      <c r="V202" s="6">
        <f>IF(ISERROR(VLOOKUP($S$202,'TAR FIN'!$A$1:$O$86,15,0)),0,VLOOKUP($S$202,'TAR FIN'!$A$1:$O$86,15,0))</f>
        <v>22.9</v>
      </c>
      <c r="W202" s="6">
        <f>IF(ISERROR(VLOOKUP($T$202,'TAR FIN'!$A$1:$O$86,15,0)),0,VLOOKUP($T$202,'TAR FIN'!$A$1:$O$86,15,0))</f>
        <v>0</v>
      </c>
      <c r="X202" s="6">
        <f>IF(ISERROR(VLOOKUP($U$202,'TAR FIN'!$A$1:$O$86,15,0)),0,VLOOKUP($U$202,'TAR FIN'!$A$1:$O$86,15,0))</f>
        <v>0</v>
      </c>
      <c r="Y202" s="6">
        <f ca="1">('TUSD BE'!$AM$10+'TUSD BF_350'!$AM$10+'TUSD CVA'!$AM$10)*1</f>
        <v>15.64</v>
      </c>
      <c r="Z202" s="6"/>
      <c r="AA202" s="6"/>
      <c r="AB202" s="6">
        <f>$K$202*$V$202</f>
        <v>336859</v>
      </c>
      <c r="AC202" s="6">
        <f>$M$202*$W$202</f>
        <v>0</v>
      </c>
      <c r="AD202" s="6">
        <f>$O$202*$X$202</f>
        <v>0</v>
      </c>
      <c r="AE202" s="6">
        <f ca="1">$K$202*$Y$202</f>
        <v>230064.4</v>
      </c>
      <c r="AF202" s="6">
        <f>$M$202*$Z$202</f>
        <v>0</v>
      </c>
      <c r="AG202" s="6">
        <f>$O$202*$AA$202</f>
        <v>0</v>
      </c>
    </row>
    <row r="203" spans="1:33" ht="11.25" customHeight="1" x14ac:dyDescent="0.25">
      <c r="A203" s="4" t="s">
        <v>28</v>
      </c>
      <c r="B203" s="4" t="s">
        <v>35</v>
      </c>
      <c r="C203" s="4" t="s">
        <v>39</v>
      </c>
      <c r="D203" s="4" t="s">
        <v>34</v>
      </c>
      <c r="E203" s="4" t="s">
        <v>25</v>
      </c>
      <c r="F203" s="4" t="s">
        <v>25</v>
      </c>
      <c r="G203" s="4" t="s">
        <v>25</v>
      </c>
      <c r="H203" s="4" t="s">
        <v>25</v>
      </c>
      <c r="I203" s="5">
        <v>44713</v>
      </c>
      <c r="J203" s="6">
        <v>514</v>
      </c>
      <c r="K203" s="6">
        <v>514</v>
      </c>
      <c r="L203" s="6">
        <v>0</v>
      </c>
      <c r="M203" s="6">
        <v>0</v>
      </c>
      <c r="N203" s="6">
        <v>0</v>
      </c>
      <c r="O203" s="6">
        <v>0</v>
      </c>
      <c r="P203" s="6">
        <v>2</v>
      </c>
      <c r="Q203" s="4" t="s">
        <v>26</v>
      </c>
      <c r="R203" s="4">
        <v>0</v>
      </c>
      <c r="S203" s="6">
        <v>24</v>
      </c>
      <c r="T203" s="6">
        <v>0</v>
      </c>
      <c r="U203" s="6">
        <v>0</v>
      </c>
      <c r="V203" s="6">
        <f>IF(ISERROR(VLOOKUP($S$203,'TAR FIN'!$A$1:$O$86,15,0)),0,VLOOKUP($S$203,'TAR FIN'!$A$1:$O$86,15,0))</f>
        <v>22.9</v>
      </c>
      <c r="W203" s="6">
        <f>IF(ISERROR(VLOOKUP($T$203,'TAR FIN'!$A$1:$O$86,15,0)),0,VLOOKUP($T$203,'TAR FIN'!$A$1:$O$86,15,0))</f>
        <v>0</v>
      </c>
      <c r="X203" s="6">
        <f>IF(ISERROR(VLOOKUP($U$203,'TAR FIN'!$A$1:$O$86,15,0)),0,VLOOKUP($U$203,'TAR FIN'!$A$1:$O$86,15,0))</f>
        <v>0</v>
      </c>
      <c r="Y203" s="6">
        <f ca="1">('TUSD BE'!$AM$10+'TUSD BF_350'!$AM$10+'TUSD CVA'!$AM$10)*1</f>
        <v>15.64</v>
      </c>
      <c r="Z203" s="6"/>
      <c r="AA203" s="6"/>
      <c r="AB203" s="6">
        <f>$K$203*$V$203</f>
        <v>11770.599999999999</v>
      </c>
      <c r="AC203" s="6">
        <f>$M$203*$W$203</f>
        <v>0</v>
      </c>
      <c r="AD203" s="6">
        <f>$O$203*$X$203</f>
        <v>0</v>
      </c>
      <c r="AE203" s="6">
        <f ca="1">$K$203*$Y$203</f>
        <v>8038.96</v>
      </c>
      <c r="AF203" s="6">
        <f>$M$203*$Z$203</f>
        <v>0</v>
      </c>
      <c r="AG203" s="6">
        <f>$O$203*$AA$203</f>
        <v>0</v>
      </c>
    </row>
    <row r="204" spans="1:33" ht="11.25" customHeight="1" x14ac:dyDescent="0.25">
      <c r="A204" s="4" t="s">
        <v>55</v>
      </c>
      <c r="B204" s="4" t="s">
        <v>35</v>
      </c>
      <c r="C204" s="4" t="s">
        <v>39</v>
      </c>
      <c r="D204" s="4" t="s">
        <v>34</v>
      </c>
      <c r="E204" s="4" t="s">
        <v>25</v>
      </c>
      <c r="F204" s="4" t="s">
        <v>25</v>
      </c>
      <c r="G204" s="4" t="s">
        <v>25</v>
      </c>
      <c r="H204" s="4" t="s">
        <v>25</v>
      </c>
      <c r="I204" s="5">
        <v>44743</v>
      </c>
      <c r="J204" s="6">
        <v>14710</v>
      </c>
      <c r="K204" s="6">
        <v>14710</v>
      </c>
      <c r="L204" s="6">
        <v>0</v>
      </c>
      <c r="M204" s="6">
        <v>0</v>
      </c>
      <c r="N204" s="6">
        <v>0</v>
      </c>
      <c r="O204" s="6">
        <v>0</v>
      </c>
      <c r="P204" s="6">
        <v>55</v>
      </c>
      <c r="Q204" s="4" t="s">
        <v>26</v>
      </c>
      <c r="R204" s="4">
        <v>0</v>
      </c>
      <c r="S204" s="6">
        <v>24</v>
      </c>
      <c r="T204" s="6">
        <v>0</v>
      </c>
      <c r="U204" s="6">
        <v>0</v>
      </c>
      <c r="V204" s="6">
        <f>IF(ISERROR(VLOOKUP($S$204,'TAR FIN'!$A$1:$O$86,15,0)),0,VLOOKUP($S$204,'TAR FIN'!$A$1:$O$86,15,0))</f>
        <v>22.9</v>
      </c>
      <c r="W204" s="6">
        <f>IF(ISERROR(VLOOKUP($T$204,'TAR FIN'!$A$1:$O$86,15,0)),0,VLOOKUP($T$204,'TAR FIN'!$A$1:$O$86,15,0))</f>
        <v>0</v>
      </c>
      <c r="X204" s="6">
        <f>IF(ISERROR(VLOOKUP($U$204,'TAR FIN'!$A$1:$O$86,15,0)),0,VLOOKUP($U$204,'TAR FIN'!$A$1:$O$86,15,0))</f>
        <v>0</v>
      </c>
      <c r="Y204" s="6">
        <f ca="1">('TUSD BE'!$AM$10+'TUSD BF_350'!$AM$10+'TUSD CVA'!$AM$10)*1</f>
        <v>15.64</v>
      </c>
      <c r="Z204" s="6"/>
      <c r="AA204" s="6"/>
      <c r="AB204" s="6">
        <f>$K$204*$V$204</f>
        <v>336859</v>
      </c>
      <c r="AC204" s="6">
        <f>$M$204*$W$204</f>
        <v>0</v>
      </c>
      <c r="AD204" s="6">
        <f>$O$204*$X$204</f>
        <v>0</v>
      </c>
      <c r="AE204" s="6">
        <f ca="1">$K$204*$Y$204</f>
        <v>230064.4</v>
      </c>
      <c r="AF204" s="6">
        <f>$M$204*$Z$204</f>
        <v>0</v>
      </c>
      <c r="AG204" s="6">
        <f>$O$204*$AA$204</f>
        <v>0</v>
      </c>
    </row>
    <row r="205" spans="1:33" ht="11.25" customHeight="1" x14ac:dyDescent="0.25">
      <c r="A205" s="4" t="s">
        <v>55</v>
      </c>
      <c r="B205" s="4" t="s">
        <v>35</v>
      </c>
      <c r="C205" s="4" t="s">
        <v>39</v>
      </c>
      <c r="D205" s="4" t="s">
        <v>34</v>
      </c>
      <c r="E205" s="4" t="s">
        <v>25</v>
      </c>
      <c r="F205" s="4" t="s">
        <v>25</v>
      </c>
      <c r="G205" s="4" t="s">
        <v>25</v>
      </c>
      <c r="H205" s="4" t="s">
        <v>25</v>
      </c>
      <c r="I205" s="5">
        <v>44743</v>
      </c>
      <c r="J205" s="6">
        <v>514</v>
      </c>
      <c r="K205" s="6">
        <v>514</v>
      </c>
      <c r="L205" s="6">
        <v>0</v>
      </c>
      <c r="M205" s="6">
        <v>0</v>
      </c>
      <c r="N205" s="6">
        <v>0</v>
      </c>
      <c r="O205" s="6">
        <v>0</v>
      </c>
      <c r="P205" s="6">
        <v>2</v>
      </c>
      <c r="Q205" s="4" t="s">
        <v>26</v>
      </c>
      <c r="R205" s="4">
        <v>0</v>
      </c>
      <c r="S205" s="6">
        <v>24</v>
      </c>
      <c r="T205" s="6">
        <v>0</v>
      </c>
      <c r="U205" s="6">
        <v>0</v>
      </c>
      <c r="V205" s="6">
        <f>IF(ISERROR(VLOOKUP($S$205,'TAR FIN'!$A$1:$O$86,15,0)),0,VLOOKUP($S$205,'TAR FIN'!$A$1:$O$86,15,0))</f>
        <v>22.9</v>
      </c>
      <c r="W205" s="6">
        <f>IF(ISERROR(VLOOKUP($T$205,'TAR FIN'!$A$1:$O$86,15,0)),0,VLOOKUP($T$205,'TAR FIN'!$A$1:$O$86,15,0))</f>
        <v>0</v>
      </c>
      <c r="X205" s="6">
        <f>IF(ISERROR(VLOOKUP($U$205,'TAR FIN'!$A$1:$O$86,15,0)),0,VLOOKUP($U$205,'TAR FIN'!$A$1:$O$86,15,0))</f>
        <v>0</v>
      </c>
      <c r="Y205" s="6">
        <f ca="1">('TUSD BE'!$AM$10+'TUSD BF_350'!$AM$10+'TUSD CVA'!$AM$10)*1</f>
        <v>15.64</v>
      </c>
      <c r="Z205" s="6"/>
      <c r="AA205" s="6"/>
      <c r="AB205" s="6">
        <f>$K$205*$V$205</f>
        <v>11770.599999999999</v>
      </c>
      <c r="AC205" s="6">
        <f>$M$205*$W$205</f>
        <v>0</v>
      </c>
      <c r="AD205" s="6">
        <f>$O$205*$X$205</f>
        <v>0</v>
      </c>
      <c r="AE205" s="6">
        <f ca="1">$K$205*$Y$205</f>
        <v>8038.96</v>
      </c>
      <c r="AF205" s="6">
        <f>$M$205*$Z$205</f>
        <v>0</v>
      </c>
      <c r="AG205" s="6">
        <f>$O$205*$AA$205</f>
        <v>0</v>
      </c>
    </row>
    <row r="206" spans="1:33" ht="11.25" customHeight="1" x14ac:dyDescent="0.25">
      <c r="A206" s="4" t="s">
        <v>21</v>
      </c>
      <c r="B206" s="4" t="s">
        <v>35</v>
      </c>
      <c r="C206" s="4" t="s">
        <v>39</v>
      </c>
      <c r="D206" s="4" t="s">
        <v>34</v>
      </c>
      <c r="E206" s="4" t="s">
        <v>25</v>
      </c>
      <c r="F206" s="4" t="s">
        <v>25</v>
      </c>
      <c r="G206" s="4" t="s">
        <v>25</v>
      </c>
      <c r="H206" s="4" t="s">
        <v>37</v>
      </c>
      <c r="I206" s="5">
        <v>44409</v>
      </c>
      <c r="J206" s="6">
        <v>0</v>
      </c>
      <c r="K206" s="6">
        <v>0</v>
      </c>
      <c r="L206" s="6">
        <v>98.257999999999996</v>
      </c>
      <c r="M206" s="6">
        <v>98.257999999999996</v>
      </c>
      <c r="N206" s="6">
        <v>98.257999999999996</v>
      </c>
      <c r="O206" s="6">
        <v>98.257999999999996</v>
      </c>
      <c r="P206" s="6">
        <v>0</v>
      </c>
      <c r="Q206" s="4" t="s">
        <v>26</v>
      </c>
      <c r="R206" s="4">
        <v>0</v>
      </c>
      <c r="S206" s="6">
        <v>0</v>
      </c>
      <c r="T206" s="6">
        <v>5</v>
      </c>
      <c r="U206" s="6">
        <v>69</v>
      </c>
      <c r="V206" s="6">
        <f>IF(ISERROR(VLOOKUP($S$206,'TAR FIN'!$A$1:$O$86,15,0)),0,VLOOKUP($S$206,'TAR FIN'!$A$1:$O$86,15,0))</f>
        <v>0</v>
      </c>
      <c r="W206" s="6">
        <f>IF(ISERROR(VLOOKUP($T$206,'TAR FIN'!$A$1:$O$86,15,0)),0,VLOOKUP($T$206,'TAR FIN'!$A$1:$O$86,15,0))</f>
        <v>1518.97</v>
      </c>
      <c r="X206" s="6">
        <f>IF(ISERROR(VLOOKUP($U$206,'TAR FIN'!$A$1:$O$86,15,0)),0,VLOOKUP($U$206,'TAR FIN'!$A$1:$O$86,15,0))</f>
        <v>359.33</v>
      </c>
      <c r="Y206" s="6"/>
      <c r="Z206" s="6">
        <f ca="1">('TUSD BE'!$AM$11+'TUSD BF_350'!$AM$11+'TUSD CVA'!$AM$11)*1</f>
        <v>911.83999999999992</v>
      </c>
      <c r="AA206" s="6">
        <f ca="1">('TE BE'!$AB$5+'TE BF_350'!$AB$5+'TE CVA'!$AB$5)*1</f>
        <v>362.73600214515886</v>
      </c>
      <c r="AB206" s="6">
        <f>$K$206*$V$206</f>
        <v>0</v>
      </c>
      <c r="AC206" s="6">
        <f>$M$206*$W$206</f>
        <v>149250.95426</v>
      </c>
      <c r="AD206" s="6">
        <f>$O$206*$X$206</f>
        <v>35307.047139999995</v>
      </c>
      <c r="AE206" s="6">
        <f>$K$206*$Y$206</f>
        <v>0</v>
      </c>
      <c r="AF206" s="6">
        <f ca="1">$M$206*$Z$206</f>
        <v>89595.57471999999</v>
      </c>
      <c r="AG206" s="6">
        <f ca="1">$O$206*$AA$206</f>
        <v>35641.714098779019</v>
      </c>
    </row>
    <row r="207" spans="1:33" ht="11.25" customHeight="1" x14ac:dyDescent="0.25">
      <c r="A207" s="4" t="s">
        <v>28</v>
      </c>
      <c r="B207" s="4" t="s">
        <v>35</v>
      </c>
      <c r="C207" s="4" t="s">
        <v>39</v>
      </c>
      <c r="D207" s="4" t="s">
        <v>34</v>
      </c>
      <c r="E207" s="4" t="s">
        <v>25</v>
      </c>
      <c r="F207" s="4" t="s">
        <v>25</v>
      </c>
      <c r="G207" s="4" t="s">
        <v>25</v>
      </c>
      <c r="H207" s="4" t="s">
        <v>37</v>
      </c>
      <c r="I207" s="5">
        <v>44409</v>
      </c>
      <c r="J207" s="6">
        <v>0</v>
      </c>
      <c r="K207" s="6">
        <v>0</v>
      </c>
      <c r="L207" s="6">
        <v>18.809999999999999</v>
      </c>
      <c r="M207" s="6">
        <v>18.809999999999999</v>
      </c>
      <c r="N207" s="6">
        <v>18.809999999999999</v>
      </c>
      <c r="O207" s="6">
        <v>18.809999999999999</v>
      </c>
      <c r="P207" s="6">
        <v>0</v>
      </c>
      <c r="Q207" s="4" t="s">
        <v>26</v>
      </c>
      <c r="R207" s="4">
        <v>0</v>
      </c>
      <c r="S207" s="6">
        <v>0</v>
      </c>
      <c r="T207" s="6">
        <v>5</v>
      </c>
      <c r="U207" s="6">
        <v>69</v>
      </c>
      <c r="V207" s="6">
        <f>IF(ISERROR(VLOOKUP($S$207,'TAR FIN'!$A$1:$O$86,15,0)),0,VLOOKUP($S$207,'TAR FIN'!$A$1:$O$86,15,0))</f>
        <v>0</v>
      </c>
      <c r="W207" s="6">
        <f>IF(ISERROR(VLOOKUP($T$207,'TAR FIN'!$A$1:$O$86,15,0)),0,VLOOKUP($T$207,'TAR FIN'!$A$1:$O$86,15,0))</f>
        <v>1518.97</v>
      </c>
      <c r="X207" s="6">
        <f>IF(ISERROR(VLOOKUP($U$207,'TAR FIN'!$A$1:$O$86,15,0)),0,VLOOKUP($U$207,'TAR FIN'!$A$1:$O$86,15,0))</f>
        <v>359.33</v>
      </c>
      <c r="Y207" s="6"/>
      <c r="Z207" s="6">
        <f ca="1">('TUSD BE'!$AM$11+'TUSD BF_350'!$AM$11+'TUSD CVA'!$AM$11)*1</f>
        <v>911.83999999999992</v>
      </c>
      <c r="AA207" s="6">
        <f ca="1">('TE BE'!$AB$5+'TE BF_350'!$AB$5+'TE CVA'!$AB$5)*1</f>
        <v>362.73600214515886</v>
      </c>
      <c r="AB207" s="6">
        <f>$K$207*$V$207</f>
        <v>0</v>
      </c>
      <c r="AC207" s="6">
        <f>$M$207*$W$207</f>
        <v>28571.825699999998</v>
      </c>
      <c r="AD207" s="6">
        <f>$O$207*$X$207</f>
        <v>6758.9972999999991</v>
      </c>
      <c r="AE207" s="6">
        <f>$K$207*$Y$207</f>
        <v>0</v>
      </c>
      <c r="AF207" s="6">
        <f ca="1">$M$207*$Z$207</f>
        <v>17151.710399999996</v>
      </c>
      <c r="AG207" s="6">
        <f ca="1">$O$207*$AA$207</f>
        <v>6823.0642003504381</v>
      </c>
    </row>
    <row r="208" spans="1:33" ht="11.25" customHeight="1" x14ac:dyDescent="0.25">
      <c r="A208" s="4" t="s">
        <v>21</v>
      </c>
      <c r="B208" s="4" t="s">
        <v>35</v>
      </c>
      <c r="C208" s="4" t="s">
        <v>39</v>
      </c>
      <c r="D208" s="4" t="s">
        <v>34</v>
      </c>
      <c r="E208" s="4" t="s">
        <v>25</v>
      </c>
      <c r="F208" s="4" t="s">
        <v>25</v>
      </c>
      <c r="G208" s="4" t="s">
        <v>25</v>
      </c>
      <c r="H208" s="4" t="s">
        <v>37</v>
      </c>
      <c r="I208" s="5">
        <v>44440</v>
      </c>
      <c r="J208" s="6">
        <v>0</v>
      </c>
      <c r="K208" s="6">
        <v>0</v>
      </c>
      <c r="L208" s="6">
        <v>114.117</v>
      </c>
      <c r="M208" s="6">
        <v>114.117</v>
      </c>
      <c r="N208" s="6">
        <v>114.117</v>
      </c>
      <c r="O208" s="6">
        <v>114.117</v>
      </c>
      <c r="P208" s="6">
        <v>0</v>
      </c>
      <c r="Q208" s="4" t="s">
        <v>26</v>
      </c>
      <c r="R208" s="4">
        <v>0</v>
      </c>
      <c r="S208" s="6">
        <v>0</v>
      </c>
      <c r="T208" s="6">
        <v>5</v>
      </c>
      <c r="U208" s="6">
        <v>69</v>
      </c>
      <c r="V208" s="6">
        <f>IF(ISERROR(VLOOKUP($S$208,'TAR FIN'!$A$1:$O$86,15,0)),0,VLOOKUP($S$208,'TAR FIN'!$A$1:$O$86,15,0))</f>
        <v>0</v>
      </c>
      <c r="W208" s="6">
        <f>IF(ISERROR(VLOOKUP($T$208,'TAR FIN'!$A$1:$O$86,15,0)),0,VLOOKUP($T$208,'TAR FIN'!$A$1:$O$86,15,0))</f>
        <v>1518.97</v>
      </c>
      <c r="X208" s="6">
        <f>IF(ISERROR(VLOOKUP($U$208,'TAR FIN'!$A$1:$O$86,15,0)),0,VLOOKUP($U$208,'TAR FIN'!$A$1:$O$86,15,0))</f>
        <v>359.33</v>
      </c>
      <c r="Y208" s="6"/>
      <c r="Z208" s="6">
        <f ca="1">('TUSD BE'!$AM$11+'TUSD BF_350'!$AM$11+'TUSD CVA'!$AM$11)*1</f>
        <v>911.83999999999992</v>
      </c>
      <c r="AA208" s="6">
        <f ca="1">('TE BE'!$AB$5+'TE BF_350'!$AB$5+'TE CVA'!$AB$5)*1</f>
        <v>362.73600214515886</v>
      </c>
      <c r="AB208" s="6">
        <f>$K$208*$V$208</f>
        <v>0</v>
      </c>
      <c r="AC208" s="6">
        <f>$M$208*$W$208</f>
        <v>173340.29949</v>
      </c>
      <c r="AD208" s="6">
        <f>$O$208*$X$208</f>
        <v>41005.661610000003</v>
      </c>
      <c r="AE208" s="6">
        <f>$K$208*$Y$208</f>
        <v>0</v>
      </c>
      <c r="AF208" s="6">
        <f ca="1">$M$208*$Z$208</f>
        <v>104056.44528</v>
      </c>
      <c r="AG208" s="6">
        <f ca="1">$O$208*$AA$208</f>
        <v>41394.344356799098</v>
      </c>
    </row>
    <row r="209" spans="1:33" ht="11.25" customHeight="1" x14ac:dyDescent="0.25">
      <c r="A209" s="4" t="s">
        <v>28</v>
      </c>
      <c r="B209" s="4" t="s">
        <v>35</v>
      </c>
      <c r="C209" s="4" t="s">
        <v>39</v>
      </c>
      <c r="D209" s="4" t="s">
        <v>34</v>
      </c>
      <c r="E209" s="4" t="s">
        <v>25</v>
      </c>
      <c r="F209" s="4" t="s">
        <v>25</v>
      </c>
      <c r="G209" s="4" t="s">
        <v>25</v>
      </c>
      <c r="H209" s="4" t="s">
        <v>37</v>
      </c>
      <c r="I209" s="5">
        <v>44440</v>
      </c>
      <c r="J209" s="6">
        <v>0</v>
      </c>
      <c r="K209" s="6">
        <v>0</v>
      </c>
      <c r="L209" s="6">
        <v>9.0500000000000007</v>
      </c>
      <c r="M209" s="6">
        <v>9.0500000000000007</v>
      </c>
      <c r="N209" s="6">
        <v>9.0500000000000007</v>
      </c>
      <c r="O209" s="6">
        <v>9.0500000000000007</v>
      </c>
      <c r="P209" s="6">
        <v>0</v>
      </c>
      <c r="Q209" s="4" t="s">
        <v>26</v>
      </c>
      <c r="R209" s="4">
        <v>0</v>
      </c>
      <c r="S209" s="6">
        <v>0</v>
      </c>
      <c r="T209" s="6">
        <v>5</v>
      </c>
      <c r="U209" s="6">
        <v>69</v>
      </c>
      <c r="V209" s="6">
        <f>IF(ISERROR(VLOOKUP($S$209,'TAR FIN'!$A$1:$O$86,15,0)),0,VLOOKUP($S$209,'TAR FIN'!$A$1:$O$86,15,0))</f>
        <v>0</v>
      </c>
      <c r="W209" s="6">
        <f>IF(ISERROR(VLOOKUP($T$209,'TAR FIN'!$A$1:$O$86,15,0)),0,VLOOKUP($T$209,'TAR FIN'!$A$1:$O$86,15,0))</f>
        <v>1518.97</v>
      </c>
      <c r="X209" s="6">
        <f>IF(ISERROR(VLOOKUP($U$209,'TAR FIN'!$A$1:$O$86,15,0)),0,VLOOKUP($U$209,'TAR FIN'!$A$1:$O$86,15,0))</f>
        <v>359.33</v>
      </c>
      <c r="Y209" s="6"/>
      <c r="Z209" s="6">
        <f ca="1">('TUSD BE'!$AM$11+'TUSD BF_350'!$AM$11+'TUSD CVA'!$AM$11)*1</f>
        <v>911.83999999999992</v>
      </c>
      <c r="AA209" s="6">
        <f ca="1">('TE BE'!$AB$5+'TE BF_350'!$AB$5+'TE CVA'!$AB$5)*1</f>
        <v>362.73600214515886</v>
      </c>
      <c r="AB209" s="6">
        <f>$K$209*$V$209</f>
        <v>0</v>
      </c>
      <c r="AC209" s="6">
        <f>$M$209*$W$209</f>
        <v>13746.678500000002</v>
      </c>
      <c r="AD209" s="6">
        <f>$O$209*$X$209</f>
        <v>3251.9365000000003</v>
      </c>
      <c r="AE209" s="6">
        <f>$K$209*$Y$209</f>
        <v>0</v>
      </c>
      <c r="AF209" s="6">
        <f ca="1">$M$209*$Z$209</f>
        <v>8252.152</v>
      </c>
      <c r="AG209" s="6">
        <f ca="1">$O$209*$AA$209</f>
        <v>3282.7608194136878</v>
      </c>
    </row>
    <row r="210" spans="1:33" ht="11.25" customHeight="1" x14ac:dyDescent="0.25">
      <c r="A210" s="4" t="s">
        <v>21</v>
      </c>
      <c r="B210" s="4" t="s">
        <v>35</v>
      </c>
      <c r="C210" s="4" t="s">
        <v>39</v>
      </c>
      <c r="D210" s="4" t="s">
        <v>34</v>
      </c>
      <c r="E210" s="4" t="s">
        <v>25</v>
      </c>
      <c r="F210" s="4" t="s">
        <v>25</v>
      </c>
      <c r="G210" s="4" t="s">
        <v>25</v>
      </c>
      <c r="H210" s="4" t="s">
        <v>37</v>
      </c>
      <c r="I210" s="5">
        <v>44470</v>
      </c>
      <c r="J210" s="6">
        <v>0</v>
      </c>
      <c r="K210" s="6">
        <v>0</v>
      </c>
      <c r="L210" s="6">
        <v>95.334999999999994</v>
      </c>
      <c r="M210" s="6">
        <v>95.334999999999994</v>
      </c>
      <c r="N210" s="6">
        <v>95.334999999999994</v>
      </c>
      <c r="O210" s="6">
        <v>95.334999999999994</v>
      </c>
      <c r="P210" s="6">
        <v>0</v>
      </c>
      <c r="Q210" s="4" t="s">
        <v>26</v>
      </c>
      <c r="R210" s="4">
        <v>0</v>
      </c>
      <c r="S210" s="6">
        <v>0</v>
      </c>
      <c r="T210" s="6">
        <v>5</v>
      </c>
      <c r="U210" s="6">
        <v>69</v>
      </c>
      <c r="V210" s="6">
        <f>IF(ISERROR(VLOOKUP($S$210,'TAR FIN'!$A$1:$O$86,15,0)),0,VLOOKUP($S$210,'TAR FIN'!$A$1:$O$86,15,0))</f>
        <v>0</v>
      </c>
      <c r="W210" s="6">
        <f>IF(ISERROR(VLOOKUP($T$210,'TAR FIN'!$A$1:$O$86,15,0)),0,VLOOKUP($T$210,'TAR FIN'!$A$1:$O$86,15,0))</f>
        <v>1518.97</v>
      </c>
      <c r="X210" s="6">
        <f>IF(ISERROR(VLOOKUP($U$210,'TAR FIN'!$A$1:$O$86,15,0)),0,VLOOKUP($U$210,'TAR FIN'!$A$1:$O$86,15,0))</f>
        <v>359.33</v>
      </c>
      <c r="Y210" s="6"/>
      <c r="Z210" s="6">
        <f ca="1">('TUSD BE'!$AM$11+'TUSD BF_350'!$AM$11+'TUSD CVA'!$AM$11)*1</f>
        <v>911.83999999999992</v>
      </c>
      <c r="AA210" s="6">
        <f ca="1">('TE BE'!$AB$5+'TE BF_350'!$AB$5+'TE CVA'!$AB$5)*1</f>
        <v>362.73600214515886</v>
      </c>
      <c r="AB210" s="6">
        <f>$K$210*$V$210</f>
        <v>0</v>
      </c>
      <c r="AC210" s="6">
        <f>$M$210*$W$210</f>
        <v>144811.00495</v>
      </c>
      <c r="AD210" s="6">
        <f>$O$210*$X$210</f>
        <v>34256.725549999996</v>
      </c>
      <c r="AE210" s="6">
        <f>$K$210*$Y$210</f>
        <v>0</v>
      </c>
      <c r="AF210" s="6">
        <f ca="1">$M$210*$Z$210</f>
        <v>86930.266399999993</v>
      </c>
      <c r="AG210" s="6">
        <f ca="1">$O$210*$AA$210</f>
        <v>34581.436764508719</v>
      </c>
    </row>
    <row r="211" spans="1:33" ht="11.25" customHeight="1" x14ac:dyDescent="0.25">
      <c r="A211" s="4" t="s">
        <v>28</v>
      </c>
      <c r="B211" s="4" t="s">
        <v>35</v>
      </c>
      <c r="C211" s="4" t="s">
        <v>39</v>
      </c>
      <c r="D211" s="4" t="s">
        <v>34</v>
      </c>
      <c r="E211" s="4" t="s">
        <v>25</v>
      </c>
      <c r="F211" s="4" t="s">
        <v>25</v>
      </c>
      <c r="G211" s="4" t="s">
        <v>25</v>
      </c>
      <c r="H211" s="4" t="s">
        <v>37</v>
      </c>
      <c r="I211" s="5">
        <v>44470</v>
      </c>
      <c r="J211" s="6">
        <v>0</v>
      </c>
      <c r="K211" s="6">
        <v>0</v>
      </c>
      <c r="L211" s="6">
        <v>6.1539999999999999</v>
      </c>
      <c r="M211" s="6">
        <v>6.1539999999999999</v>
      </c>
      <c r="N211" s="6">
        <v>6.1539999999999999</v>
      </c>
      <c r="O211" s="6">
        <v>6.1539999999999999</v>
      </c>
      <c r="P211" s="6">
        <v>0</v>
      </c>
      <c r="Q211" s="4" t="s">
        <v>26</v>
      </c>
      <c r="R211" s="4">
        <v>0</v>
      </c>
      <c r="S211" s="6">
        <v>0</v>
      </c>
      <c r="T211" s="6">
        <v>5</v>
      </c>
      <c r="U211" s="6">
        <v>69</v>
      </c>
      <c r="V211" s="6">
        <f>IF(ISERROR(VLOOKUP($S$211,'TAR FIN'!$A$1:$O$86,15,0)),0,VLOOKUP($S$211,'TAR FIN'!$A$1:$O$86,15,0))</f>
        <v>0</v>
      </c>
      <c r="W211" s="6">
        <f>IF(ISERROR(VLOOKUP($T$211,'TAR FIN'!$A$1:$O$86,15,0)),0,VLOOKUP($T$211,'TAR FIN'!$A$1:$O$86,15,0))</f>
        <v>1518.97</v>
      </c>
      <c r="X211" s="6">
        <f>IF(ISERROR(VLOOKUP($U$211,'TAR FIN'!$A$1:$O$86,15,0)),0,VLOOKUP($U$211,'TAR FIN'!$A$1:$O$86,15,0))</f>
        <v>359.33</v>
      </c>
      <c r="Y211" s="6"/>
      <c r="Z211" s="6">
        <f ca="1">('TUSD BE'!$AM$11+'TUSD BF_350'!$AM$11+'TUSD CVA'!$AM$11)*1</f>
        <v>911.83999999999992</v>
      </c>
      <c r="AA211" s="6">
        <f ca="1">('TE BE'!$AB$5+'TE BF_350'!$AB$5+'TE CVA'!$AB$5)*1</f>
        <v>362.73600214515886</v>
      </c>
      <c r="AB211" s="6">
        <f>$K$211*$V$211</f>
        <v>0</v>
      </c>
      <c r="AC211" s="6">
        <f>$M$211*$W$211</f>
        <v>9347.7413799999995</v>
      </c>
      <c r="AD211" s="6">
        <f>$O$211*$X$211</f>
        <v>2211.31682</v>
      </c>
      <c r="AE211" s="6">
        <f>$K$211*$Y$211</f>
        <v>0</v>
      </c>
      <c r="AF211" s="6">
        <f ca="1">$M$211*$Z$211</f>
        <v>5611.4633599999997</v>
      </c>
      <c r="AG211" s="6">
        <f ca="1">$O$211*$AA$211</f>
        <v>2232.2773572013075</v>
      </c>
    </row>
    <row r="212" spans="1:33" ht="11.25" customHeight="1" x14ac:dyDescent="0.25">
      <c r="A212" s="4" t="s">
        <v>21</v>
      </c>
      <c r="B212" s="4" t="s">
        <v>35</v>
      </c>
      <c r="C212" s="4" t="s">
        <v>39</v>
      </c>
      <c r="D212" s="4" t="s">
        <v>34</v>
      </c>
      <c r="E212" s="4" t="s">
        <v>25</v>
      </c>
      <c r="F212" s="4" t="s">
        <v>25</v>
      </c>
      <c r="G212" s="4" t="s">
        <v>25</v>
      </c>
      <c r="H212" s="4" t="s">
        <v>37</v>
      </c>
      <c r="I212" s="5">
        <v>44501</v>
      </c>
      <c r="J212" s="6">
        <v>0</v>
      </c>
      <c r="K212" s="6">
        <v>0</v>
      </c>
      <c r="L212" s="6">
        <v>108.517</v>
      </c>
      <c r="M212" s="6">
        <v>108.517</v>
      </c>
      <c r="N212" s="6">
        <v>108.517</v>
      </c>
      <c r="O212" s="6">
        <v>108.517</v>
      </c>
      <c r="P212" s="6">
        <v>0</v>
      </c>
      <c r="Q212" s="4" t="s">
        <v>26</v>
      </c>
      <c r="R212" s="4">
        <v>0</v>
      </c>
      <c r="S212" s="6">
        <v>0</v>
      </c>
      <c r="T212" s="6">
        <v>5</v>
      </c>
      <c r="U212" s="6">
        <v>69</v>
      </c>
      <c r="V212" s="6">
        <f>IF(ISERROR(VLOOKUP($S$212,'TAR FIN'!$A$1:$O$86,15,0)),0,VLOOKUP($S$212,'TAR FIN'!$A$1:$O$86,15,0))</f>
        <v>0</v>
      </c>
      <c r="W212" s="6">
        <f>IF(ISERROR(VLOOKUP($T$212,'TAR FIN'!$A$1:$O$86,15,0)),0,VLOOKUP($T$212,'TAR FIN'!$A$1:$O$86,15,0))</f>
        <v>1518.97</v>
      </c>
      <c r="X212" s="6">
        <f>IF(ISERROR(VLOOKUP($U$212,'TAR FIN'!$A$1:$O$86,15,0)),0,VLOOKUP($U$212,'TAR FIN'!$A$1:$O$86,15,0))</f>
        <v>359.33</v>
      </c>
      <c r="Y212" s="6"/>
      <c r="Z212" s="6">
        <f ca="1">('TUSD BE'!$AM$11+'TUSD BF_350'!$AM$11+'TUSD CVA'!$AM$11)*1</f>
        <v>911.83999999999992</v>
      </c>
      <c r="AA212" s="6">
        <f ca="1">('TE BE'!$AB$5+'TE BF_350'!$AB$5+'TE CVA'!$AB$5)*1</f>
        <v>362.73600214515886</v>
      </c>
      <c r="AB212" s="6">
        <f>$K$212*$V$212</f>
        <v>0</v>
      </c>
      <c r="AC212" s="6">
        <f>$M$212*$W$212</f>
        <v>164834.06748999999</v>
      </c>
      <c r="AD212" s="6">
        <f>$O$212*$X$212</f>
        <v>38993.413609999996</v>
      </c>
      <c r="AE212" s="6">
        <f>$K$212*$Y$212</f>
        <v>0</v>
      </c>
      <c r="AF212" s="6">
        <f ca="1">$M$212*$Z$212</f>
        <v>98950.141279999982</v>
      </c>
      <c r="AG212" s="6">
        <f ca="1">$O$212*$AA$212</f>
        <v>39363.022744786205</v>
      </c>
    </row>
    <row r="213" spans="1:33" ht="11.25" customHeight="1" x14ac:dyDescent="0.25">
      <c r="A213" s="4" t="s">
        <v>28</v>
      </c>
      <c r="B213" s="4" t="s">
        <v>35</v>
      </c>
      <c r="C213" s="4" t="s">
        <v>39</v>
      </c>
      <c r="D213" s="4" t="s">
        <v>34</v>
      </c>
      <c r="E213" s="4" t="s">
        <v>25</v>
      </c>
      <c r="F213" s="4" t="s">
        <v>25</v>
      </c>
      <c r="G213" s="4" t="s">
        <v>25</v>
      </c>
      <c r="H213" s="4" t="s">
        <v>37</v>
      </c>
      <c r="I213" s="5">
        <v>44501</v>
      </c>
      <c r="J213" s="6">
        <v>0</v>
      </c>
      <c r="K213" s="6">
        <v>0</v>
      </c>
      <c r="L213" s="6">
        <v>13.173999999999999</v>
      </c>
      <c r="M213" s="6">
        <v>13.173999999999999</v>
      </c>
      <c r="N213" s="6">
        <v>13.173999999999999</v>
      </c>
      <c r="O213" s="6">
        <v>13.173999999999999</v>
      </c>
      <c r="P213" s="6">
        <v>0</v>
      </c>
      <c r="Q213" s="4" t="s">
        <v>26</v>
      </c>
      <c r="R213" s="4">
        <v>0</v>
      </c>
      <c r="S213" s="6">
        <v>0</v>
      </c>
      <c r="T213" s="6">
        <v>5</v>
      </c>
      <c r="U213" s="6">
        <v>69</v>
      </c>
      <c r="V213" s="6">
        <f>IF(ISERROR(VLOOKUP($S$213,'TAR FIN'!$A$1:$O$86,15,0)),0,VLOOKUP($S$213,'TAR FIN'!$A$1:$O$86,15,0))</f>
        <v>0</v>
      </c>
      <c r="W213" s="6">
        <f>IF(ISERROR(VLOOKUP($T$213,'TAR FIN'!$A$1:$O$86,15,0)),0,VLOOKUP($T$213,'TAR FIN'!$A$1:$O$86,15,0))</f>
        <v>1518.97</v>
      </c>
      <c r="X213" s="6">
        <f>IF(ISERROR(VLOOKUP($U$213,'TAR FIN'!$A$1:$O$86,15,0)),0,VLOOKUP($U$213,'TAR FIN'!$A$1:$O$86,15,0))</f>
        <v>359.33</v>
      </c>
      <c r="Y213" s="6"/>
      <c r="Z213" s="6">
        <f ca="1">('TUSD BE'!$AM$11+'TUSD BF_350'!$AM$11+'TUSD CVA'!$AM$11)*1</f>
        <v>911.83999999999992</v>
      </c>
      <c r="AA213" s="6">
        <f ca="1">('TE BE'!$AB$5+'TE BF_350'!$AB$5+'TE CVA'!$AB$5)*1</f>
        <v>362.73600214515886</v>
      </c>
      <c r="AB213" s="6">
        <f>$K$213*$V$213</f>
        <v>0</v>
      </c>
      <c r="AC213" s="6">
        <f>$M$213*$W$213</f>
        <v>20010.910779999998</v>
      </c>
      <c r="AD213" s="6">
        <f>$O$213*$X$213</f>
        <v>4733.8134199999995</v>
      </c>
      <c r="AE213" s="6">
        <f>$K$213*$Y$213</f>
        <v>0</v>
      </c>
      <c r="AF213" s="6">
        <f ca="1">$M$213*$Z$213</f>
        <v>12012.580159999998</v>
      </c>
      <c r="AG213" s="6">
        <f ca="1">$O$213*$AA$213</f>
        <v>4778.6840922603224</v>
      </c>
    </row>
    <row r="214" spans="1:33" ht="11.25" customHeight="1" x14ac:dyDescent="0.25">
      <c r="A214" s="4" t="s">
        <v>21</v>
      </c>
      <c r="B214" s="4" t="s">
        <v>35</v>
      </c>
      <c r="C214" s="4" t="s">
        <v>39</v>
      </c>
      <c r="D214" s="4" t="s">
        <v>34</v>
      </c>
      <c r="E214" s="4" t="s">
        <v>25</v>
      </c>
      <c r="F214" s="4" t="s">
        <v>25</v>
      </c>
      <c r="G214" s="4" t="s">
        <v>25</v>
      </c>
      <c r="H214" s="4" t="s">
        <v>37</v>
      </c>
      <c r="I214" s="5">
        <v>44531</v>
      </c>
      <c r="J214" s="6">
        <v>0</v>
      </c>
      <c r="K214" s="6">
        <v>0</v>
      </c>
      <c r="L214" s="6">
        <v>118.67</v>
      </c>
      <c r="M214" s="6">
        <v>118.67</v>
      </c>
      <c r="N214" s="6">
        <v>118.67</v>
      </c>
      <c r="O214" s="6">
        <v>118.67</v>
      </c>
      <c r="P214" s="6">
        <v>0</v>
      </c>
      <c r="Q214" s="4" t="s">
        <v>26</v>
      </c>
      <c r="R214" s="4">
        <v>0</v>
      </c>
      <c r="S214" s="6">
        <v>0</v>
      </c>
      <c r="T214" s="6">
        <v>5</v>
      </c>
      <c r="U214" s="6">
        <v>69</v>
      </c>
      <c r="V214" s="6">
        <f>IF(ISERROR(VLOOKUP($S$214,'TAR FIN'!$A$1:$O$86,15,0)),0,VLOOKUP($S$214,'TAR FIN'!$A$1:$O$86,15,0))</f>
        <v>0</v>
      </c>
      <c r="W214" s="6">
        <f>IF(ISERROR(VLOOKUP($T$214,'TAR FIN'!$A$1:$O$86,15,0)),0,VLOOKUP($T$214,'TAR FIN'!$A$1:$O$86,15,0))</f>
        <v>1518.97</v>
      </c>
      <c r="X214" s="6">
        <f>IF(ISERROR(VLOOKUP($U$214,'TAR FIN'!$A$1:$O$86,15,0)),0,VLOOKUP($U$214,'TAR FIN'!$A$1:$O$86,15,0))</f>
        <v>359.33</v>
      </c>
      <c r="Y214" s="6"/>
      <c r="Z214" s="6">
        <f ca="1">('TUSD BE'!$AM$11+'TUSD BF_350'!$AM$11+'TUSD CVA'!$AM$11)*1</f>
        <v>911.83999999999992</v>
      </c>
      <c r="AA214" s="6">
        <f ca="1">('TE BE'!$AB$5+'TE BF_350'!$AB$5+'TE CVA'!$AB$5)*1</f>
        <v>362.73600214515886</v>
      </c>
      <c r="AB214" s="6">
        <f>$K$214*$V$214</f>
        <v>0</v>
      </c>
      <c r="AC214" s="6">
        <f>$M$214*$W$214</f>
        <v>180256.16990000001</v>
      </c>
      <c r="AD214" s="6">
        <f>$O$214*$X$214</f>
        <v>42641.691099999996</v>
      </c>
      <c r="AE214" s="6">
        <f>$K$214*$Y$214</f>
        <v>0</v>
      </c>
      <c r="AF214" s="6">
        <f ca="1">$M$214*$Z$214</f>
        <v>108208.05279999999</v>
      </c>
      <c r="AG214" s="6">
        <f ca="1">$O$214*$AA$214</f>
        <v>43045.881374566001</v>
      </c>
    </row>
    <row r="215" spans="1:33" ht="11.25" customHeight="1" x14ac:dyDescent="0.25">
      <c r="A215" s="4" t="s">
        <v>28</v>
      </c>
      <c r="B215" s="4" t="s">
        <v>35</v>
      </c>
      <c r="C215" s="4" t="s">
        <v>39</v>
      </c>
      <c r="D215" s="4" t="s">
        <v>34</v>
      </c>
      <c r="E215" s="4" t="s">
        <v>25</v>
      </c>
      <c r="F215" s="4" t="s">
        <v>25</v>
      </c>
      <c r="G215" s="4" t="s">
        <v>25</v>
      </c>
      <c r="H215" s="4" t="s">
        <v>37</v>
      </c>
      <c r="I215" s="5">
        <v>44531</v>
      </c>
      <c r="J215" s="6">
        <v>0</v>
      </c>
      <c r="K215" s="6">
        <v>0</v>
      </c>
      <c r="L215" s="6">
        <v>17.209</v>
      </c>
      <c r="M215" s="6">
        <v>17.209</v>
      </c>
      <c r="N215" s="6">
        <v>17.209</v>
      </c>
      <c r="O215" s="6">
        <v>17.209</v>
      </c>
      <c r="P215" s="6">
        <v>0</v>
      </c>
      <c r="Q215" s="4" t="s">
        <v>26</v>
      </c>
      <c r="R215" s="4">
        <v>0</v>
      </c>
      <c r="S215" s="6">
        <v>0</v>
      </c>
      <c r="T215" s="6">
        <v>5</v>
      </c>
      <c r="U215" s="6">
        <v>69</v>
      </c>
      <c r="V215" s="6">
        <f>IF(ISERROR(VLOOKUP($S$215,'TAR FIN'!$A$1:$O$86,15,0)),0,VLOOKUP($S$215,'TAR FIN'!$A$1:$O$86,15,0))</f>
        <v>0</v>
      </c>
      <c r="W215" s="6">
        <f>IF(ISERROR(VLOOKUP($T$215,'TAR FIN'!$A$1:$O$86,15,0)),0,VLOOKUP($T$215,'TAR FIN'!$A$1:$O$86,15,0))</f>
        <v>1518.97</v>
      </c>
      <c r="X215" s="6">
        <f>IF(ISERROR(VLOOKUP($U$215,'TAR FIN'!$A$1:$O$86,15,0)),0,VLOOKUP($U$215,'TAR FIN'!$A$1:$O$86,15,0))</f>
        <v>359.33</v>
      </c>
      <c r="Y215" s="6"/>
      <c r="Z215" s="6">
        <f ca="1">('TUSD BE'!$AM$11+'TUSD BF_350'!$AM$11+'TUSD CVA'!$AM$11)*1</f>
        <v>911.83999999999992</v>
      </c>
      <c r="AA215" s="6">
        <f ca="1">('TE BE'!$AB$5+'TE BF_350'!$AB$5+'TE CVA'!$AB$5)*1</f>
        <v>362.73600214515886</v>
      </c>
      <c r="AB215" s="6">
        <f>$K$215*$V$215</f>
        <v>0</v>
      </c>
      <c r="AC215" s="6">
        <f>$M$215*$W$215</f>
        <v>26139.954730000001</v>
      </c>
      <c r="AD215" s="6">
        <f>$O$215*$X$215</f>
        <v>6183.7099699999999</v>
      </c>
      <c r="AE215" s="6">
        <f>$K$215*$Y$215</f>
        <v>0</v>
      </c>
      <c r="AF215" s="6">
        <f ca="1">$M$215*$Z$215</f>
        <v>15691.854559999998</v>
      </c>
      <c r="AG215" s="6">
        <f ca="1">$O$215*$AA$215</f>
        <v>6242.3238609160389</v>
      </c>
    </row>
    <row r="216" spans="1:33" ht="11.25" customHeight="1" x14ac:dyDescent="0.25">
      <c r="A216" s="4" t="s">
        <v>21</v>
      </c>
      <c r="B216" s="4" t="s">
        <v>35</v>
      </c>
      <c r="C216" s="4" t="s">
        <v>39</v>
      </c>
      <c r="D216" s="4" t="s">
        <v>34</v>
      </c>
      <c r="E216" s="4" t="s">
        <v>25</v>
      </c>
      <c r="F216" s="4" t="s">
        <v>25</v>
      </c>
      <c r="G216" s="4" t="s">
        <v>25</v>
      </c>
      <c r="H216" s="4" t="s">
        <v>37</v>
      </c>
      <c r="I216" s="5">
        <v>44562</v>
      </c>
      <c r="J216" s="6">
        <v>0</v>
      </c>
      <c r="K216" s="6">
        <v>0</v>
      </c>
      <c r="L216" s="6">
        <v>130.976</v>
      </c>
      <c r="M216" s="6">
        <v>130.976</v>
      </c>
      <c r="N216" s="6">
        <v>130.976</v>
      </c>
      <c r="O216" s="6">
        <v>130.976</v>
      </c>
      <c r="P216" s="6">
        <v>0</v>
      </c>
      <c r="Q216" s="4" t="s">
        <v>26</v>
      </c>
      <c r="R216" s="4">
        <v>0</v>
      </c>
      <c r="S216" s="6">
        <v>0</v>
      </c>
      <c r="T216" s="6">
        <v>5</v>
      </c>
      <c r="U216" s="6">
        <v>69</v>
      </c>
      <c r="V216" s="6">
        <f>IF(ISERROR(VLOOKUP($S$216,'TAR FIN'!$A$1:$O$86,15,0)),0,VLOOKUP($S$216,'TAR FIN'!$A$1:$O$86,15,0))</f>
        <v>0</v>
      </c>
      <c r="W216" s="6">
        <f>IF(ISERROR(VLOOKUP($T$216,'TAR FIN'!$A$1:$O$86,15,0)),0,VLOOKUP($T$216,'TAR FIN'!$A$1:$O$86,15,0))</f>
        <v>1518.97</v>
      </c>
      <c r="X216" s="6">
        <f>IF(ISERROR(VLOOKUP($U$216,'TAR FIN'!$A$1:$O$86,15,0)),0,VLOOKUP($U$216,'TAR FIN'!$A$1:$O$86,15,0))</f>
        <v>359.33</v>
      </c>
      <c r="Y216" s="6"/>
      <c r="Z216" s="6">
        <f ca="1">('TUSD BE'!$AM$11+'TUSD BF_350'!$AM$11+'TUSD CVA'!$AM$11)*1</f>
        <v>911.83999999999992</v>
      </c>
      <c r="AA216" s="6">
        <f ca="1">('TE BE'!$AB$5+'TE BF_350'!$AB$5+'TE CVA'!$AB$5)*1</f>
        <v>362.73600214515886</v>
      </c>
      <c r="AB216" s="6">
        <f>$K$216*$V$216</f>
        <v>0</v>
      </c>
      <c r="AC216" s="6">
        <f>$M$216*$W$216</f>
        <v>198948.61472000001</v>
      </c>
      <c r="AD216" s="6">
        <f>$O$216*$X$216</f>
        <v>47063.606079999998</v>
      </c>
      <c r="AE216" s="6">
        <f>$K$216*$Y$216</f>
        <v>0</v>
      </c>
      <c r="AF216" s="6">
        <f ca="1">$M$216*$Z$216</f>
        <v>119429.15583999999</v>
      </c>
      <c r="AG216" s="6">
        <f ca="1">$O$216*$AA$216</f>
        <v>47509.71061696433</v>
      </c>
    </row>
    <row r="217" spans="1:33" ht="11.25" customHeight="1" x14ac:dyDescent="0.25">
      <c r="A217" s="4" t="s">
        <v>28</v>
      </c>
      <c r="B217" s="4" t="s">
        <v>35</v>
      </c>
      <c r="C217" s="4" t="s">
        <v>39</v>
      </c>
      <c r="D217" s="4" t="s">
        <v>34</v>
      </c>
      <c r="E217" s="4" t="s">
        <v>25</v>
      </c>
      <c r="F217" s="4" t="s">
        <v>25</v>
      </c>
      <c r="G217" s="4" t="s">
        <v>25</v>
      </c>
      <c r="H217" s="4" t="s">
        <v>37</v>
      </c>
      <c r="I217" s="5">
        <v>44562</v>
      </c>
      <c r="J217" s="6">
        <v>0</v>
      </c>
      <c r="K217" s="6">
        <v>0</v>
      </c>
      <c r="L217" s="6">
        <v>10.894</v>
      </c>
      <c r="M217" s="6">
        <v>10.894</v>
      </c>
      <c r="N217" s="6">
        <v>10.894</v>
      </c>
      <c r="O217" s="6">
        <v>10.894</v>
      </c>
      <c r="P217" s="6">
        <v>0</v>
      </c>
      <c r="Q217" s="4" t="s">
        <v>26</v>
      </c>
      <c r="R217" s="4">
        <v>0</v>
      </c>
      <c r="S217" s="6">
        <v>0</v>
      </c>
      <c r="T217" s="6">
        <v>5</v>
      </c>
      <c r="U217" s="6">
        <v>69</v>
      </c>
      <c r="V217" s="6">
        <f>IF(ISERROR(VLOOKUP($S$217,'TAR FIN'!$A$1:$O$86,15,0)),0,VLOOKUP($S$217,'TAR FIN'!$A$1:$O$86,15,0))</f>
        <v>0</v>
      </c>
      <c r="W217" s="6">
        <f>IF(ISERROR(VLOOKUP($T$217,'TAR FIN'!$A$1:$O$86,15,0)),0,VLOOKUP($T$217,'TAR FIN'!$A$1:$O$86,15,0))</f>
        <v>1518.97</v>
      </c>
      <c r="X217" s="6">
        <f>IF(ISERROR(VLOOKUP($U$217,'TAR FIN'!$A$1:$O$86,15,0)),0,VLOOKUP($U$217,'TAR FIN'!$A$1:$O$86,15,0))</f>
        <v>359.33</v>
      </c>
      <c r="Y217" s="6"/>
      <c r="Z217" s="6">
        <f ca="1">('TUSD BE'!$AM$11+'TUSD BF_350'!$AM$11+'TUSD CVA'!$AM$11)*1</f>
        <v>911.83999999999992</v>
      </c>
      <c r="AA217" s="6">
        <f ca="1">('TE BE'!$AB$5+'TE BF_350'!$AB$5+'TE CVA'!$AB$5)*1</f>
        <v>362.73600214515886</v>
      </c>
      <c r="AB217" s="6">
        <f>$K$217*$V$217</f>
        <v>0</v>
      </c>
      <c r="AC217" s="6">
        <f>$M$217*$W$217</f>
        <v>16547.659179999999</v>
      </c>
      <c r="AD217" s="6">
        <f>$O$217*$X$217</f>
        <v>3914.5410199999997</v>
      </c>
      <c r="AE217" s="6">
        <f>$K$217*$Y$217</f>
        <v>0</v>
      </c>
      <c r="AF217" s="6">
        <f ca="1">$M$217*$Z$217</f>
        <v>9933.5849599999983</v>
      </c>
      <c r="AG217" s="6">
        <f ca="1">$O$217*$AA$217</f>
        <v>3951.6460073693606</v>
      </c>
    </row>
    <row r="218" spans="1:33" ht="11.25" customHeight="1" x14ac:dyDescent="0.25">
      <c r="A218" s="4" t="s">
        <v>21</v>
      </c>
      <c r="B218" s="4" t="s">
        <v>35</v>
      </c>
      <c r="C218" s="4" t="s">
        <v>39</v>
      </c>
      <c r="D218" s="4" t="s">
        <v>34</v>
      </c>
      <c r="E218" s="4" t="s">
        <v>25</v>
      </c>
      <c r="F218" s="4" t="s">
        <v>25</v>
      </c>
      <c r="G218" s="4" t="s">
        <v>25</v>
      </c>
      <c r="H218" s="4" t="s">
        <v>37</v>
      </c>
      <c r="I218" s="5">
        <v>44593</v>
      </c>
      <c r="J218" s="6">
        <v>0</v>
      </c>
      <c r="K218" s="6">
        <v>0</v>
      </c>
      <c r="L218" s="6">
        <v>147.625</v>
      </c>
      <c r="M218" s="6">
        <v>147.625</v>
      </c>
      <c r="N218" s="6">
        <v>147.625</v>
      </c>
      <c r="O218" s="6">
        <v>147.625</v>
      </c>
      <c r="P218" s="6">
        <v>0</v>
      </c>
      <c r="Q218" s="4" t="s">
        <v>26</v>
      </c>
      <c r="R218" s="4">
        <v>0</v>
      </c>
      <c r="S218" s="6">
        <v>0</v>
      </c>
      <c r="T218" s="6">
        <v>5</v>
      </c>
      <c r="U218" s="6">
        <v>69</v>
      </c>
      <c r="V218" s="6">
        <f>IF(ISERROR(VLOOKUP($S$218,'TAR FIN'!$A$1:$O$86,15,0)),0,VLOOKUP($S$218,'TAR FIN'!$A$1:$O$86,15,0))</f>
        <v>0</v>
      </c>
      <c r="W218" s="6">
        <f>IF(ISERROR(VLOOKUP($T$218,'TAR FIN'!$A$1:$O$86,15,0)),0,VLOOKUP($T$218,'TAR FIN'!$A$1:$O$86,15,0))</f>
        <v>1518.97</v>
      </c>
      <c r="X218" s="6">
        <f>IF(ISERROR(VLOOKUP($U$218,'TAR FIN'!$A$1:$O$86,15,0)),0,VLOOKUP($U$218,'TAR FIN'!$A$1:$O$86,15,0))</f>
        <v>359.33</v>
      </c>
      <c r="Y218" s="6"/>
      <c r="Z218" s="6">
        <f ca="1">('TUSD BE'!$AM$11+'TUSD BF_350'!$AM$11+'TUSD CVA'!$AM$11)*1</f>
        <v>911.83999999999992</v>
      </c>
      <c r="AA218" s="6">
        <f ca="1">('TE BE'!$AB$5+'TE BF_350'!$AB$5+'TE CVA'!$AB$5)*1</f>
        <v>362.73600214515886</v>
      </c>
      <c r="AB218" s="6">
        <f>$K$218*$V$218</f>
        <v>0</v>
      </c>
      <c r="AC218" s="6">
        <f>$M$218*$W$218</f>
        <v>224237.94625000001</v>
      </c>
      <c r="AD218" s="6">
        <f>$O$218*$X$218</f>
        <v>53046.091249999998</v>
      </c>
      <c r="AE218" s="6">
        <f>$K$218*$Y$218</f>
        <v>0</v>
      </c>
      <c r="AF218" s="6">
        <f ca="1">$M$218*$Z$218</f>
        <v>134610.37999999998</v>
      </c>
      <c r="AG218" s="6">
        <f ca="1">$O$218*$AA$218</f>
        <v>53548.902316679079</v>
      </c>
    </row>
    <row r="219" spans="1:33" ht="11.25" customHeight="1" x14ac:dyDescent="0.25">
      <c r="A219" s="4" t="s">
        <v>28</v>
      </c>
      <c r="B219" s="4" t="s">
        <v>35</v>
      </c>
      <c r="C219" s="4" t="s">
        <v>39</v>
      </c>
      <c r="D219" s="4" t="s">
        <v>34</v>
      </c>
      <c r="E219" s="4" t="s">
        <v>25</v>
      </c>
      <c r="F219" s="4" t="s">
        <v>25</v>
      </c>
      <c r="G219" s="4" t="s">
        <v>25</v>
      </c>
      <c r="H219" s="4" t="s">
        <v>37</v>
      </c>
      <c r="I219" s="5">
        <v>44593</v>
      </c>
      <c r="J219" s="6">
        <v>0</v>
      </c>
      <c r="K219" s="6">
        <v>0</v>
      </c>
      <c r="L219" s="6">
        <v>11.051</v>
      </c>
      <c r="M219" s="6">
        <v>11.051</v>
      </c>
      <c r="N219" s="6">
        <v>11.051</v>
      </c>
      <c r="O219" s="6">
        <v>11.051</v>
      </c>
      <c r="P219" s="6">
        <v>0</v>
      </c>
      <c r="Q219" s="4" t="s">
        <v>26</v>
      </c>
      <c r="R219" s="4">
        <v>0</v>
      </c>
      <c r="S219" s="6">
        <v>0</v>
      </c>
      <c r="T219" s="6">
        <v>5</v>
      </c>
      <c r="U219" s="6">
        <v>69</v>
      </c>
      <c r="V219" s="6">
        <f>IF(ISERROR(VLOOKUP($S$219,'TAR FIN'!$A$1:$O$86,15,0)),0,VLOOKUP($S$219,'TAR FIN'!$A$1:$O$86,15,0))</f>
        <v>0</v>
      </c>
      <c r="W219" s="6">
        <f>IF(ISERROR(VLOOKUP($T$219,'TAR FIN'!$A$1:$O$86,15,0)),0,VLOOKUP($T$219,'TAR FIN'!$A$1:$O$86,15,0))</f>
        <v>1518.97</v>
      </c>
      <c r="X219" s="6">
        <f>IF(ISERROR(VLOOKUP($U$219,'TAR FIN'!$A$1:$O$86,15,0)),0,VLOOKUP($U$219,'TAR FIN'!$A$1:$O$86,15,0))</f>
        <v>359.33</v>
      </c>
      <c r="Y219" s="6"/>
      <c r="Z219" s="6">
        <f ca="1">('TUSD BE'!$AM$11+'TUSD BF_350'!$AM$11+'TUSD CVA'!$AM$11)*1</f>
        <v>911.83999999999992</v>
      </c>
      <c r="AA219" s="6">
        <f ca="1">('TE BE'!$AB$5+'TE BF_350'!$AB$5+'TE CVA'!$AB$5)*1</f>
        <v>362.73600214515886</v>
      </c>
      <c r="AB219" s="6">
        <f>$K$219*$V$219</f>
        <v>0</v>
      </c>
      <c r="AC219" s="6">
        <f>$M$219*$W$219</f>
        <v>16786.137470000001</v>
      </c>
      <c r="AD219" s="6">
        <f>$O$219*$X$219</f>
        <v>3970.9558299999999</v>
      </c>
      <c r="AE219" s="6">
        <f>$K$219*$Y$219</f>
        <v>0</v>
      </c>
      <c r="AF219" s="6">
        <f ca="1">$M$219*$Z$219</f>
        <v>10076.743839999999</v>
      </c>
      <c r="AG219" s="6">
        <f ca="1">$O$219*$AA$219</f>
        <v>4008.5955597061507</v>
      </c>
    </row>
    <row r="220" spans="1:33" ht="11.25" customHeight="1" x14ac:dyDescent="0.25">
      <c r="A220" s="4" t="s">
        <v>21</v>
      </c>
      <c r="B220" s="4" t="s">
        <v>35</v>
      </c>
      <c r="C220" s="4" t="s">
        <v>39</v>
      </c>
      <c r="D220" s="4" t="s">
        <v>34</v>
      </c>
      <c r="E220" s="4" t="s">
        <v>25</v>
      </c>
      <c r="F220" s="4" t="s">
        <v>25</v>
      </c>
      <c r="G220" s="4" t="s">
        <v>25</v>
      </c>
      <c r="H220" s="4" t="s">
        <v>37</v>
      </c>
      <c r="I220" s="5">
        <v>44621</v>
      </c>
      <c r="J220" s="6">
        <v>0</v>
      </c>
      <c r="K220" s="6">
        <v>0</v>
      </c>
      <c r="L220" s="6">
        <v>159.49</v>
      </c>
      <c r="M220" s="6">
        <v>159.49</v>
      </c>
      <c r="N220" s="6">
        <v>159.49</v>
      </c>
      <c r="O220" s="6">
        <v>159.49</v>
      </c>
      <c r="P220" s="6">
        <v>0</v>
      </c>
      <c r="Q220" s="4" t="s">
        <v>26</v>
      </c>
      <c r="R220" s="4">
        <v>0</v>
      </c>
      <c r="S220" s="6">
        <v>0</v>
      </c>
      <c r="T220" s="6">
        <v>5</v>
      </c>
      <c r="U220" s="6">
        <v>69</v>
      </c>
      <c r="V220" s="6">
        <f>IF(ISERROR(VLOOKUP($S$220,'TAR FIN'!$A$1:$O$86,15,0)),0,VLOOKUP($S$220,'TAR FIN'!$A$1:$O$86,15,0))</f>
        <v>0</v>
      </c>
      <c r="W220" s="6">
        <f>IF(ISERROR(VLOOKUP($T$220,'TAR FIN'!$A$1:$O$86,15,0)),0,VLOOKUP($T$220,'TAR FIN'!$A$1:$O$86,15,0))</f>
        <v>1518.97</v>
      </c>
      <c r="X220" s="6">
        <f>IF(ISERROR(VLOOKUP($U$220,'TAR FIN'!$A$1:$O$86,15,0)),0,VLOOKUP($U$220,'TAR FIN'!$A$1:$O$86,15,0))</f>
        <v>359.33</v>
      </c>
      <c r="Y220" s="6"/>
      <c r="Z220" s="6">
        <f ca="1">('TUSD BE'!$AM$11+'TUSD BF_350'!$AM$11+'TUSD CVA'!$AM$11)*1</f>
        <v>911.83999999999992</v>
      </c>
      <c r="AA220" s="6">
        <f ca="1">('TE BE'!$AB$5+'TE BF_350'!$AB$5+'TE CVA'!$AB$5)*1</f>
        <v>362.73600214515886</v>
      </c>
      <c r="AB220" s="6">
        <f>$K$220*$V$220</f>
        <v>0</v>
      </c>
      <c r="AC220" s="6">
        <f>$M$220*$W$220</f>
        <v>242260.52530000001</v>
      </c>
      <c r="AD220" s="6">
        <f>$O$220*$X$220</f>
        <v>57309.541700000002</v>
      </c>
      <c r="AE220" s="6">
        <f>$K$220*$Y$220</f>
        <v>0</v>
      </c>
      <c r="AF220" s="6">
        <f ca="1">$M$220*$Z$220</f>
        <v>145429.3616</v>
      </c>
      <c r="AG220" s="6">
        <f ca="1">$O$220*$AA$220</f>
        <v>57852.76498213139</v>
      </c>
    </row>
    <row r="221" spans="1:33" ht="11.25" customHeight="1" x14ac:dyDescent="0.25">
      <c r="A221" s="4" t="s">
        <v>28</v>
      </c>
      <c r="B221" s="4" t="s">
        <v>35</v>
      </c>
      <c r="C221" s="4" t="s">
        <v>39</v>
      </c>
      <c r="D221" s="4" t="s">
        <v>34</v>
      </c>
      <c r="E221" s="4" t="s">
        <v>25</v>
      </c>
      <c r="F221" s="4" t="s">
        <v>25</v>
      </c>
      <c r="G221" s="4" t="s">
        <v>25</v>
      </c>
      <c r="H221" s="4" t="s">
        <v>37</v>
      </c>
      <c r="I221" s="5">
        <v>44621</v>
      </c>
      <c r="J221" s="6">
        <v>0</v>
      </c>
      <c r="K221" s="6">
        <v>0</v>
      </c>
      <c r="L221" s="6">
        <v>14.669</v>
      </c>
      <c r="M221" s="6">
        <v>14.669</v>
      </c>
      <c r="N221" s="6">
        <v>14.669</v>
      </c>
      <c r="O221" s="6">
        <v>14.669</v>
      </c>
      <c r="P221" s="6">
        <v>0</v>
      </c>
      <c r="Q221" s="4" t="s">
        <v>26</v>
      </c>
      <c r="R221" s="4">
        <v>0</v>
      </c>
      <c r="S221" s="6">
        <v>0</v>
      </c>
      <c r="T221" s="6">
        <v>5</v>
      </c>
      <c r="U221" s="6">
        <v>69</v>
      </c>
      <c r="V221" s="6">
        <f>IF(ISERROR(VLOOKUP($S$221,'TAR FIN'!$A$1:$O$86,15,0)),0,VLOOKUP($S$221,'TAR FIN'!$A$1:$O$86,15,0))</f>
        <v>0</v>
      </c>
      <c r="W221" s="6">
        <f>IF(ISERROR(VLOOKUP($T$221,'TAR FIN'!$A$1:$O$86,15,0)),0,VLOOKUP($T$221,'TAR FIN'!$A$1:$O$86,15,0))</f>
        <v>1518.97</v>
      </c>
      <c r="X221" s="6">
        <f>IF(ISERROR(VLOOKUP($U$221,'TAR FIN'!$A$1:$O$86,15,0)),0,VLOOKUP($U$221,'TAR FIN'!$A$1:$O$86,15,0))</f>
        <v>359.33</v>
      </c>
      <c r="Y221" s="6"/>
      <c r="Z221" s="6">
        <f ca="1">('TUSD BE'!$AM$11+'TUSD BF_350'!$AM$11+'TUSD CVA'!$AM$11)*1</f>
        <v>911.83999999999992</v>
      </c>
      <c r="AA221" s="6">
        <f ca="1">('TE BE'!$AB$5+'TE BF_350'!$AB$5+'TE CVA'!$AB$5)*1</f>
        <v>362.73600214515886</v>
      </c>
      <c r="AB221" s="6">
        <f>$K$221*$V$221</f>
        <v>0</v>
      </c>
      <c r="AC221" s="6">
        <f>$M$221*$W$221</f>
        <v>22281.770930000002</v>
      </c>
      <c r="AD221" s="6">
        <f>$O$221*$X$221</f>
        <v>5271.0117700000001</v>
      </c>
      <c r="AE221" s="6">
        <f>$K$221*$Y$221</f>
        <v>0</v>
      </c>
      <c r="AF221" s="6">
        <f ca="1">$M$221*$Z$221</f>
        <v>13375.78096</v>
      </c>
      <c r="AG221" s="6">
        <f ca="1">$O$221*$AA$221</f>
        <v>5320.9744154673353</v>
      </c>
    </row>
    <row r="222" spans="1:33" ht="11.25" customHeight="1" x14ac:dyDescent="0.25">
      <c r="A222" s="4" t="s">
        <v>21</v>
      </c>
      <c r="B222" s="4" t="s">
        <v>35</v>
      </c>
      <c r="C222" s="4" t="s">
        <v>39</v>
      </c>
      <c r="D222" s="4" t="s">
        <v>34</v>
      </c>
      <c r="E222" s="4" t="s">
        <v>25</v>
      </c>
      <c r="F222" s="4" t="s">
        <v>25</v>
      </c>
      <c r="G222" s="4" t="s">
        <v>25</v>
      </c>
      <c r="H222" s="4" t="s">
        <v>37</v>
      </c>
      <c r="I222" s="5">
        <v>44652</v>
      </c>
      <c r="J222" s="6">
        <v>0</v>
      </c>
      <c r="K222" s="6">
        <v>0</v>
      </c>
      <c r="L222" s="6">
        <v>140.93199999999999</v>
      </c>
      <c r="M222" s="6">
        <v>140.93199999999999</v>
      </c>
      <c r="N222" s="6">
        <v>140.93199999999999</v>
      </c>
      <c r="O222" s="6">
        <v>140.93199999999999</v>
      </c>
      <c r="P222" s="6">
        <v>0</v>
      </c>
      <c r="Q222" s="4" t="s">
        <v>26</v>
      </c>
      <c r="R222" s="4">
        <v>0</v>
      </c>
      <c r="S222" s="6">
        <v>0</v>
      </c>
      <c r="T222" s="6">
        <v>5</v>
      </c>
      <c r="U222" s="6">
        <v>69</v>
      </c>
      <c r="V222" s="6">
        <f>IF(ISERROR(VLOOKUP($S$222,'TAR FIN'!$A$1:$O$86,15,0)),0,VLOOKUP($S$222,'TAR FIN'!$A$1:$O$86,15,0))</f>
        <v>0</v>
      </c>
      <c r="W222" s="6">
        <f>IF(ISERROR(VLOOKUP($T$222,'TAR FIN'!$A$1:$O$86,15,0)),0,VLOOKUP($T$222,'TAR FIN'!$A$1:$O$86,15,0))</f>
        <v>1518.97</v>
      </c>
      <c r="X222" s="6">
        <f>IF(ISERROR(VLOOKUP($U$222,'TAR FIN'!$A$1:$O$86,15,0)),0,VLOOKUP($U$222,'TAR FIN'!$A$1:$O$86,15,0))</f>
        <v>359.33</v>
      </c>
      <c r="Y222" s="6"/>
      <c r="Z222" s="6">
        <f ca="1">('TUSD BE'!$AM$11+'TUSD BF_350'!$AM$11+'TUSD CVA'!$AM$11)*1</f>
        <v>911.83999999999992</v>
      </c>
      <c r="AA222" s="6">
        <f ca="1">('TE BE'!$AB$5+'TE BF_350'!$AB$5+'TE CVA'!$AB$5)*1</f>
        <v>362.73600214515886</v>
      </c>
      <c r="AB222" s="6">
        <f>$K$222*$V$222</f>
        <v>0</v>
      </c>
      <c r="AC222" s="6">
        <f>$M$222*$W$222</f>
        <v>214071.48003999999</v>
      </c>
      <c r="AD222" s="6">
        <f>$O$222*$X$222</f>
        <v>50641.095559999994</v>
      </c>
      <c r="AE222" s="6">
        <f>$K$222*$Y$222</f>
        <v>0</v>
      </c>
      <c r="AF222" s="6">
        <f ca="1">$M$222*$Z$222</f>
        <v>128507.43487999997</v>
      </c>
      <c r="AG222" s="6">
        <f ca="1">$O$222*$AA$222</f>
        <v>51121.110254321524</v>
      </c>
    </row>
    <row r="223" spans="1:33" ht="11.25" customHeight="1" x14ac:dyDescent="0.25">
      <c r="A223" s="4" t="s">
        <v>28</v>
      </c>
      <c r="B223" s="4" t="s">
        <v>35</v>
      </c>
      <c r="C223" s="4" t="s">
        <v>39</v>
      </c>
      <c r="D223" s="4" t="s">
        <v>34</v>
      </c>
      <c r="E223" s="4" t="s">
        <v>25</v>
      </c>
      <c r="F223" s="4" t="s">
        <v>25</v>
      </c>
      <c r="G223" s="4" t="s">
        <v>25</v>
      </c>
      <c r="H223" s="4" t="s">
        <v>37</v>
      </c>
      <c r="I223" s="5">
        <v>44652</v>
      </c>
      <c r="J223" s="6">
        <v>0</v>
      </c>
      <c r="K223" s="6">
        <v>0</v>
      </c>
      <c r="L223" s="6">
        <v>13.086</v>
      </c>
      <c r="M223" s="6">
        <v>13.086</v>
      </c>
      <c r="N223" s="6">
        <v>13.086</v>
      </c>
      <c r="O223" s="6">
        <v>13.086</v>
      </c>
      <c r="P223" s="6">
        <v>0</v>
      </c>
      <c r="Q223" s="4" t="s">
        <v>26</v>
      </c>
      <c r="R223" s="4">
        <v>0</v>
      </c>
      <c r="S223" s="6">
        <v>0</v>
      </c>
      <c r="T223" s="6">
        <v>5</v>
      </c>
      <c r="U223" s="6">
        <v>69</v>
      </c>
      <c r="V223" s="6">
        <f>IF(ISERROR(VLOOKUP($S$223,'TAR FIN'!$A$1:$O$86,15,0)),0,VLOOKUP($S$223,'TAR FIN'!$A$1:$O$86,15,0))</f>
        <v>0</v>
      </c>
      <c r="W223" s="6">
        <f>IF(ISERROR(VLOOKUP($T$223,'TAR FIN'!$A$1:$O$86,15,0)),0,VLOOKUP($T$223,'TAR FIN'!$A$1:$O$86,15,0))</f>
        <v>1518.97</v>
      </c>
      <c r="X223" s="6">
        <f>IF(ISERROR(VLOOKUP($U$223,'TAR FIN'!$A$1:$O$86,15,0)),0,VLOOKUP($U$223,'TAR FIN'!$A$1:$O$86,15,0))</f>
        <v>359.33</v>
      </c>
      <c r="Y223" s="6"/>
      <c r="Z223" s="6">
        <f ca="1">('TUSD BE'!$AM$11+'TUSD BF_350'!$AM$11+'TUSD CVA'!$AM$11)*1</f>
        <v>911.83999999999992</v>
      </c>
      <c r="AA223" s="6">
        <f ca="1">('TE BE'!$AB$5+'TE BF_350'!$AB$5+'TE CVA'!$AB$5)*1</f>
        <v>362.73600214515886</v>
      </c>
      <c r="AB223" s="6">
        <f>$K$223*$V$223</f>
        <v>0</v>
      </c>
      <c r="AC223" s="6">
        <f>$M$223*$W$223</f>
        <v>19877.241420000002</v>
      </c>
      <c r="AD223" s="6">
        <f>$O$223*$X$223</f>
        <v>4702.1923799999995</v>
      </c>
      <c r="AE223" s="6">
        <f>$K$223*$Y$223</f>
        <v>0</v>
      </c>
      <c r="AF223" s="6">
        <f ca="1">$M$223*$Z$223</f>
        <v>11932.338239999999</v>
      </c>
      <c r="AG223" s="6">
        <f ca="1">$O$223*$AA$223</f>
        <v>4746.7633240715486</v>
      </c>
    </row>
    <row r="224" spans="1:33" ht="11.25" customHeight="1" x14ac:dyDescent="0.25">
      <c r="A224" s="4" t="s">
        <v>21</v>
      </c>
      <c r="B224" s="4" t="s">
        <v>35</v>
      </c>
      <c r="C224" s="4" t="s">
        <v>39</v>
      </c>
      <c r="D224" s="4" t="s">
        <v>34</v>
      </c>
      <c r="E224" s="4" t="s">
        <v>25</v>
      </c>
      <c r="F224" s="4" t="s">
        <v>25</v>
      </c>
      <c r="G224" s="4" t="s">
        <v>25</v>
      </c>
      <c r="H224" s="4" t="s">
        <v>37</v>
      </c>
      <c r="I224" s="5">
        <v>44682</v>
      </c>
      <c r="J224" s="6">
        <v>0</v>
      </c>
      <c r="K224" s="6">
        <v>0</v>
      </c>
      <c r="L224" s="6">
        <v>160.12299999999999</v>
      </c>
      <c r="M224" s="6">
        <v>160.12299999999999</v>
      </c>
      <c r="N224" s="6">
        <v>160.12299999999999</v>
      </c>
      <c r="O224" s="6">
        <v>160.12299999999999</v>
      </c>
      <c r="P224" s="6">
        <v>0</v>
      </c>
      <c r="Q224" s="4" t="s">
        <v>26</v>
      </c>
      <c r="R224" s="4">
        <v>0</v>
      </c>
      <c r="S224" s="6">
        <v>0</v>
      </c>
      <c r="T224" s="6">
        <v>5</v>
      </c>
      <c r="U224" s="6">
        <v>69</v>
      </c>
      <c r="V224" s="6">
        <f>IF(ISERROR(VLOOKUP($S$224,'TAR FIN'!$A$1:$O$86,15,0)),0,VLOOKUP($S$224,'TAR FIN'!$A$1:$O$86,15,0))</f>
        <v>0</v>
      </c>
      <c r="W224" s="6">
        <f>IF(ISERROR(VLOOKUP($T$224,'TAR FIN'!$A$1:$O$86,15,0)),0,VLOOKUP($T$224,'TAR FIN'!$A$1:$O$86,15,0))</f>
        <v>1518.97</v>
      </c>
      <c r="X224" s="6">
        <f>IF(ISERROR(VLOOKUP($U$224,'TAR FIN'!$A$1:$O$86,15,0)),0,VLOOKUP($U$224,'TAR FIN'!$A$1:$O$86,15,0))</f>
        <v>359.33</v>
      </c>
      <c r="Y224" s="6"/>
      <c r="Z224" s="6">
        <f ca="1">('TUSD BE'!$AM$11+'TUSD BF_350'!$AM$11+'TUSD CVA'!$AM$11)*1</f>
        <v>911.83999999999992</v>
      </c>
      <c r="AA224" s="6">
        <f ca="1">('TE BE'!$AB$5+'TE BF_350'!$AB$5+'TE CVA'!$AB$5)*1</f>
        <v>362.73600214515886</v>
      </c>
      <c r="AB224" s="6">
        <f>$K$224*$V$224</f>
        <v>0</v>
      </c>
      <c r="AC224" s="6">
        <f>$M$224*$W$224</f>
        <v>243222.03331</v>
      </c>
      <c r="AD224" s="6">
        <f>$O$224*$X$224</f>
        <v>57536.997589999992</v>
      </c>
      <c r="AE224" s="6">
        <f>$K$224*$Y$224</f>
        <v>0</v>
      </c>
      <c r="AF224" s="6">
        <f ca="1">$M$224*$Z$224</f>
        <v>146006.55631999997</v>
      </c>
      <c r="AG224" s="6">
        <f ca="1">$O$224*$AA$224</f>
        <v>58082.376871489272</v>
      </c>
    </row>
    <row r="225" spans="1:33" ht="11.25" customHeight="1" x14ac:dyDescent="0.25">
      <c r="A225" s="4" t="s">
        <v>28</v>
      </c>
      <c r="B225" s="4" t="s">
        <v>35</v>
      </c>
      <c r="C225" s="4" t="s">
        <v>39</v>
      </c>
      <c r="D225" s="4" t="s">
        <v>34</v>
      </c>
      <c r="E225" s="4" t="s">
        <v>25</v>
      </c>
      <c r="F225" s="4" t="s">
        <v>25</v>
      </c>
      <c r="G225" s="4" t="s">
        <v>25</v>
      </c>
      <c r="H225" s="4" t="s">
        <v>37</v>
      </c>
      <c r="I225" s="5">
        <v>44682</v>
      </c>
      <c r="J225" s="6">
        <v>0</v>
      </c>
      <c r="K225" s="6">
        <v>0</v>
      </c>
      <c r="L225" s="6">
        <v>16.306999999999999</v>
      </c>
      <c r="M225" s="6">
        <v>16.306999999999999</v>
      </c>
      <c r="N225" s="6">
        <v>16.306999999999999</v>
      </c>
      <c r="O225" s="6">
        <v>16.306999999999999</v>
      </c>
      <c r="P225" s="6">
        <v>0</v>
      </c>
      <c r="Q225" s="4" t="s">
        <v>26</v>
      </c>
      <c r="R225" s="4">
        <v>0</v>
      </c>
      <c r="S225" s="6">
        <v>0</v>
      </c>
      <c r="T225" s="6">
        <v>5</v>
      </c>
      <c r="U225" s="6">
        <v>69</v>
      </c>
      <c r="V225" s="6">
        <f>IF(ISERROR(VLOOKUP($S$225,'TAR FIN'!$A$1:$O$86,15,0)),0,VLOOKUP($S$225,'TAR FIN'!$A$1:$O$86,15,0))</f>
        <v>0</v>
      </c>
      <c r="W225" s="6">
        <f>IF(ISERROR(VLOOKUP($T$225,'TAR FIN'!$A$1:$O$86,15,0)),0,VLOOKUP($T$225,'TAR FIN'!$A$1:$O$86,15,0))</f>
        <v>1518.97</v>
      </c>
      <c r="X225" s="6">
        <f>IF(ISERROR(VLOOKUP($U$225,'TAR FIN'!$A$1:$O$86,15,0)),0,VLOOKUP($U$225,'TAR FIN'!$A$1:$O$86,15,0))</f>
        <v>359.33</v>
      </c>
      <c r="Y225" s="6"/>
      <c r="Z225" s="6">
        <f ca="1">('TUSD BE'!$AM$11+'TUSD BF_350'!$AM$11+'TUSD CVA'!$AM$11)*1</f>
        <v>911.83999999999992</v>
      </c>
      <c r="AA225" s="6">
        <f ca="1">('TE BE'!$AB$5+'TE BF_350'!$AB$5+'TE CVA'!$AB$5)*1</f>
        <v>362.73600214515886</v>
      </c>
      <c r="AB225" s="6">
        <f>$K$225*$V$225</f>
        <v>0</v>
      </c>
      <c r="AC225" s="6">
        <f>$M$225*$W$225</f>
        <v>24769.843789999999</v>
      </c>
      <c r="AD225" s="6">
        <f>$O$225*$X$225</f>
        <v>5859.5943099999995</v>
      </c>
      <c r="AE225" s="6">
        <f>$K$225*$Y$225</f>
        <v>0</v>
      </c>
      <c r="AF225" s="6">
        <f ca="1">$M$225*$Z$225</f>
        <v>14869.374879999998</v>
      </c>
      <c r="AG225" s="6">
        <f ca="1">$O$225*$AA$225</f>
        <v>5915.1359869811049</v>
      </c>
    </row>
    <row r="226" spans="1:33" ht="11.25" customHeight="1" x14ac:dyDescent="0.25">
      <c r="A226" s="4" t="s">
        <v>21</v>
      </c>
      <c r="B226" s="4" t="s">
        <v>35</v>
      </c>
      <c r="C226" s="4" t="s">
        <v>39</v>
      </c>
      <c r="D226" s="4" t="s">
        <v>34</v>
      </c>
      <c r="E226" s="4" t="s">
        <v>25</v>
      </c>
      <c r="F226" s="4" t="s">
        <v>25</v>
      </c>
      <c r="G226" s="4" t="s">
        <v>25</v>
      </c>
      <c r="H226" s="4" t="s">
        <v>37</v>
      </c>
      <c r="I226" s="5">
        <v>44713</v>
      </c>
      <c r="J226" s="6">
        <v>0</v>
      </c>
      <c r="K226" s="6">
        <v>0</v>
      </c>
      <c r="L226" s="6">
        <v>169.49299999999999</v>
      </c>
      <c r="M226" s="6">
        <v>169.49299999999999</v>
      </c>
      <c r="N226" s="6">
        <v>169.49299999999999</v>
      </c>
      <c r="O226" s="6">
        <v>169.49299999999999</v>
      </c>
      <c r="P226" s="6">
        <v>0</v>
      </c>
      <c r="Q226" s="4" t="s">
        <v>26</v>
      </c>
      <c r="R226" s="4">
        <v>0</v>
      </c>
      <c r="S226" s="6">
        <v>0</v>
      </c>
      <c r="T226" s="6">
        <v>5</v>
      </c>
      <c r="U226" s="6">
        <v>69</v>
      </c>
      <c r="V226" s="6">
        <f>IF(ISERROR(VLOOKUP($S$226,'TAR FIN'!$A$1:$O$86,15,0)),0,VLOOKUP($S$226,'TAR FIN'!$A$1:$O$86,15,0))</f>
        <v>0</v>
      </c>
      <c r="W226" s="6">
        <f>IF(ISERROR(VLOOKUP($T$226,'TAR FIN'!$A$1:$O$86,15,0)),0,VLOOKUP($T$226,'TAR FIN'!$A$1:$O$86,15,0))</f>
        <v>1518.97</v>
      </c>
      <c r="X226" s="6">
        <f>IF(ISERROR(VLOOKUP($U$226,'TAR FIN'!$A$1:$O$86,15,0)),0,VLOOKUP($U$226,'TAR FIN'!$A$1:$O$86,15,0))</f>
        <v>359.33</v>
      </c>
      <c r="Y226" s="6"/>
      <c r="Z226" s="6">
        <f ca="1">('TUSD BE'!$AM$11+'TUSD BF_350'!$AM$11+'TUSD CVA'!$AM$11)*1</f>
        <v>911.83999999999992</v>
      </c>
      <c r="AA226" s="6">
        <f ca="1">('TE BE'!$AB$5+'TE BF_350'!$AB$5+'TE CVA'!$AB$5)*1</f>
        <v>362.73600214515886</v>
      </c>
      <c r="AB226" s="6">
        <f>$K$226*$V$226</f>
        <v>0</v>
      </c>
      <c r="AC226" s="6">
        <f>$M$226*$W$226</f>
        <v>257454.78221</v>
      </c>
      <c r="AD226" s="6">
        <f>$O$226*$X$226</f>
        <v>60903.919689999995</v>
      </c>
      <c r="AE226" s="6">
        <f>$K$226*$Y$226</f>
        <v>0</v>
      </c>
      <c r="AF226" s="6">
        <f ca="1">$M$226*$Z$226</f>
        <v>154550.49711999999</v>
      </c>
      <c r="AG226" s="6">
        <f ca="1">$O$226*$AA$226</f>
        <v>61481.213211589413</v>
      </c>
    </row>
    <row r="227" spans="1:33" ht="11.25" customHeight="1" x14ac:dyDescent="0.25">
      <c r="A227" s="4" t="s">
        <v>28</v>
      </c>
      <c r="B227" s="4" t="s">
        <v>35</v>
      </c>
      <c r="C227" s="4" t="s">
        <v>39</v>
      </c>
      <c r="D227" s="4" t="s">
        <v>34</v>
      </c>
      <c r="E227" s="4" t="s">
        <v>25</v>
      </c>
      <c r="F227" s="4" t="s">
        <v>25</v>
      </c>
      <c r="G227" s="4" t="s">
        <v>25</v>
      </c>
      <c r="H227" s="4" t="s">
        <v>37</v>
      </c>
      <c r="I227" s="5">
        <v>44713</v>
      </c>
      <c r="J227" s="6">
        <v>0</v>
      </c>
      <c r="K227" s="6">
        <v>0</v>
      </c>
      <c r="L227" s="6">
        <v>12.361000000000001</v>
      </c>
      <c r="M227" s="6">
        <v>12.361000000000001</v>
      </c>
      <c r="N227" s="6">
        <v>12.361000000000001</v>
      </c>
      <c r="O227" s="6">
        <v>12.361000000000001</v>
      </c>
      <c r="P227" s="6">
        <v>0</v>
      </c>
      <c r="Q227" s="4" t="s">
        <v>26</v>
      </c>
      <c r="R227" s="4">
        <v>0</v>
      </c>
      <c r="S227" s="6">
        <v>0</v>
      </c>
      <c r="T227" s="6">
        <v>5</v>
      </c>
      <c r="U227" s="6">
        <v>69</v>
      </c>
      <c r="V227" s="6">
        <f>IF(ISERROR(VLOOKUP($S$227,'TAR FIN'!$A$1:$O$86,15,0)),0,VLOOKUP($S$227,'TAR FIN'!$A$1:$O$86,15,0))</f>
        <v>0</v>
      </c>
      <c r="W227" s="6">
        <f>IF(ISERROR(VLOOKUP($T$227,'TAR FIN'!$A$1:$O$86,15,0)),0,VLOOKUP($T$227,'TAR FIN'!$A$1:$O$86,15,0))</f>
        <v>1518.97</v>
      </c>
      <c r="X227" s="6">
        <f>IF(ISERROR(VLOOKUP($U$227,'TAR FIN'!$A$1:$O$86,15,0)),0,VLOOKUP($U$227,'TAR FIN'!$A$1:$O$86,15,0))</f>
        <v>359.33</v>
      </c>
      <c r="Y227" s="6"/>
      <c r="Z227" s="6">
        <f ca="1">('TUSD BE'!$AM$11+'TUSD BF_350'!$AM$11+'TUSD CVA'!$AM$11)*1</f>
        <v>911.83999999999992</v>
      </c>
      <c r="AA227" s="6">
        <f ca="1">('TE BE'!$AB$5+'TE BF_350'!$AB$5+'TE CVA'!$AB$5)*1</f>
        <v>362.73600214515886</v>
      </c>
      <c r="AB227" s="6">
        <f>$K$227*$V$227</f>
        <v>0</v>
      </c>
      <c r="AC227" s="6">
        <f>$M$227*$W$227</f>
        <v>18775.988170000001</v>
      </c>
      <c r="AD227" s="6">
        <f>$O$227*$X$227</f>
        <v>4441.6781300000002</v>
      </c>
      <c r="AE227" s="6">
        <f>$K$227*$Y$227</f>
        <v>0</v>
      </c>
      <c r="AF227" s="6">
        <f ca="1">$M$227*$Z$227</f>
        <v>11271.25424</v>
      </c>
      <c r="AG227" s="6">
        <f ca="1">$O$227*$AA$227</f>
        <v>4483.7797225163085</v>
      </c>
    </row>
    <row r="228" spans="1:33" ht="11.25" customHeight="1" x14ac:dyDescent="0.25">
      <c r="A228" s="4" t="s">
        <v>55</v>
      </c>
      <c r="B228" s="4" t="s">
        <v>35</v>
      </c>
      <c r="C228" s="4" t="s">
        <v>39</v>
      </c>
      <c r="D228" s="4" t="s">
        <v>34</v>
      </c>
      <c r="E228" s="4" t="s">
        <v>25</v>
      </c>
      <c r="F228" s="4" t="s">
        <v>25</v>
      </c>
      <c r="G228" s="4" t="s">
        <v>25</v>
      </c>
      <c r="H228" s="4" t="s">
        <v>37</v>
      </c>
      <c r="I228" s="5">
        <v>44743</v>
      </c>
      <c r="J228" s="6">
        <v>0</v>
      </c>
      <c r="K228" s="6">
        <v>0</v>
      </c>
      <c r="L228" s="6">
        <v>169.49299999999999</v>
      </c>
      <c r="M228" s="6">
        <v>169.49299999999999</v>
      </c>
      <c r="N228" s="6">
        <v>169.49299999999999</v>
      </c>
      <c r="O228" s="6">
        <v>169.49299999999999</v>
      </c>
      <c r="P228" s="6">
        <v>0</v>
      </c>
      <c r="Q228" s="4" t="s">
        <v>26</v>
      </c>
      <c r="R228" s="4">
        <v>0</v>
      </c>
      <c r="S228" s="6">
        <v>0</v>
      </c>
      <c r="T228" s="6">
        <v>5</v>
      </c>
      <c r="U228" s="6">
        <v>69</v>
      </c>
      <c r="V228" s="6">
        <f>IF(ISERROR(VLOOKUP($S$228,'TAR FIN'!$A$1:$O$86,15,0)),0,VLOOKUP($S$228,'TAR FIN'!$A$1:$O$86,15,0))</f>
        <v>0</v>
      </c>
      <c r="W228" s="6">
        <f>IF(ISERROR(VLOOKUP($T$228,'TAR FIN'!$A$1:$O$86,15,0)),0,VLOOKUP($T$228,'TAR FIN'!$A$1:$O$86,15,0))</f>
        <v>1518.97</v>
      </c>
      <c r="X228" s="6">
        <f>IF(ISERROR(VLOOKUP($U$228,'TAR FIN'!$A$1:$O$86,15,0)),0,VLOOKUP($U$228,'TAR FIN'!$A$1:$O$86,15,0))</f>
        <v>359.33</v>
      </c>
      <c r="Y228" s="6"/>
      <c r="Z228" s="6">
        <f ca="1">('TUSD BE'!$AM$11+'TUSD BF_350'!$AM$11+'TUSD CVA'!$AM$11)*1</f>
        <v>911.83999999999992</v>
      </c>
      <c r="AA228" s="6">
        <f ca="1">('TE BE'!$AB$5+'TE BF_350'!$AB$5+'TE CVA'!$AB$5)*1</f>
        <v>362.73600214515886</v>
      </c>
      <c r="AB228" s="6">
        <f>$K$228*$V$228</f>
        <v>0</v>
      </c>
      <c r="AC228" s="6">
        <f>$M$228*$W$228</f>
        <v>257454.78221</v>
      </c>
      <c r="AD228" s="6">
        <f>$O$228*$X$228</f>
        <v>60903.919689999995</v>
      </c>
      <c r="AE228" s="6">
        <f>$K$228*$Y$228</f>
        <v>0</v>
      </c>
      <c r="AF228" s="6">
        <f ca="1">$M$228*$Z$228</f>
        <v>154550.49711999999</v>
      </c>
      <c r="AG228" s="6">
        <f ca="1">$O$228*$AA$228</f>
        <v>61481.213211589413</v>
      </c>
    </row>
    <row r="229" spans="1:33" ht="11.25" customHeight="1" x14ac:dyDescent="0.25">
      <c r="A229" s="4" t="s">
        <v>55</v>
      </c>
      <c r="B229" s="4" t="s">
        <v>35</v>
      </c>
      <c r="C229" s="4" t="s">
        <v>39</v>
      </c>
      <c r="D229" s="4" t="s">
        <v>34</v>
      </c>
      <c r="E229" s="4" t="s">
        <v>25</v>
      </c>
      <c r="F229" s="4" t="s">
        <v>25</v>
      </c>
      <c r="G229" s="4" t="s">
        <v>25</v>
      </c>
      <c r="H229" s="4" t="s">
        <v>37</v>
      </c>
      <c r="I229" s="5">
        <v>44743</v>
      </c>
      <c r="J229" s="6">
        <v>0</v>
      </c>
      <c r="K229" s="6">
        <v>0</v>
      </c>
      <c r="L229" s="6">
        <v>12.361000000000001</v>
      </c>
      <c r="M229" s="6">
        <v>12.361000000000001</v>
      </c>
      <c r="N229" s="6">
        <v>12.361000000000001</v>
      </c>
      <c r="O229" s="6">
        <v>12.361000000000001</v>
      </c>
      <c r="P229" s="6">
        <v>0</v>
      </c>
      <c r="Q229" s="4" t="s">
        <v>26</v>
      </c>
      <c r="R229" s="4">
        <v>0</v>
      </c>
      <c r="S229" s="6">
        <v>0</v>
      </c>
      <c r="T229" s="6">
        <v>5</v>
      </c>
      <c r="U229" s="6">
        <v>69</v>
      </c>
      <c r="V229" s="6">
        <f>IF(ISERROR(VLOOKUP($S$229,'TAR FIN'!$A$1:$O$86,15,0)),0,VLOOKUP($S$229,'TAR FIN'!$A$1:$O$86,15,0))</f>
        <v>0</v>
      </c>
      <c r="W229" s="6">
        <f>IF(ISERROR(VLOOKUP($T$229,'TAR FIN'!$A$1:$O$86,15,0)),0,VLOOKUP($T$229,'TAR FIN'!$A$1:$O$86,15,0))</f>
        <v>1518.97</v>
      </c>
      <c r="X229" s="6">
        <f>IF(ISERROR(VLOOKUP($U$229,'TAR FIN'!$A$1:$O$86,15,0)),0,VLOOKUP($U$229,'TAR FIN'!$A$1:$O$86,15,0))</f>
        <v>359.33</v>
      </c>
      <c r="Y229" s="6"/>
      <c r="Z229" s="6">
        <f ca="1">('TUSD BE'!$AM$11+'TUSD BF_350'!$AM$11+'TUSD CVA'!$AM$11)*1</f>
        <v>911.83999999999992</v>
      </c>
      <c r="AA229" s="6">
        <f ca="1">('TE BE'!$AB$5+'TE BF_350'!$AB$5+'TE CVA'!$AB$5)*1</f>
        <v>362.73600214515886</v>
      </c>
      <c r="AB229" s="6">
        <f>$K$229*$V$229</f>
        <v>0</v>
      </c>
      <c r="AC229" s="6">
        <f>$M$229*$W$229</f>
        <v>18775.988170000001</v>
      </c>
      <c r="AD229" s="6">
        <f>$O$229*$X$229</f>
        <v>4441.6781300000002</v>
      </c>
      <c r="AE229" s="6">
        <f>$K$229*$Y$229</f>
        <v>0</v>
      </c>
      <c r="AF229" s="6">
        <f ca="1">$M$229*$Z$229</f>
        <v>11271.25424</v>
      </c>
      <c r="AG229" s="6">
        <f ca="1">$O$229*$AA$229</f>
        <v>4483.7797225163085</v>
      </c>
    </row>
    <row r="230" spans="1:33" ht="11.25" customHeight="1" x14ac:dyDescent="0.25">
      <c r="A230" s="4" t="s">
        <v>21</v>
      </c>
      <c r="B230" s="4" t="s">
        <v>35</v>
      </c>
      <c r="C230" s="4" t="s">
        <v>39</v>
      </c>
      <c r="D230" s="4" t="s">
        <v>43</v>
      </c>
      <c r="E230" s="4" t="s">
        <v>25</v>
      </c>
      <c r="F230" s="4" t="s">
        <v>25</v>
      </c>
      <c r="G230" s="4" t="s">
        <v>25</v>
      </c>
      <c r="H230" s="4" t="s">
        <v>38</v>
      </c>
      <c r="I230" s="5">
        <v>44409</v>
      </c>
      <c r="J230" s="6">
        <v>0</v>
      </c>
      <c r="K230" s="6">
        <v>0</v>
      </c>
      <c r="L230" s="6">
        <v>22.125</v>
      </c>
      <c r="M230" s="6">
        <v>22.125</v>
      </c>
      <c r="N230" s="6">
        <v>22.125</v>
      </c>
      <c r="O230" s="6">
        <v>22.125</v>
      </c>
      <c r="P230" s="6">
        <v>0</v>
      </c>
      <c r="Q230" s="4" t="s">
        <v>26</v>
      </c>
      <c r="R230" s="4">
        <v>0</v>
      </c>
      <c r="S230" s="6">
        <v>0</v>
      </c>
      <c r="T230" s="6">
        <v>18</v>
      </c>
      <c r="U230" s="6">
        <v>73</v>
      </c>
      <c r="V230" s="6">
        <f>IF(ISERROR(VLOOKUP($S$230,'TAR FIN'!$A$1:$O$86,15,0)),0,VLOOKUP($S$230,'TAR FIN'!$A$1:$O$86,15,0))</f>
        <v>0</v>
      </c>
      <c r="W230" s="6">
        <f>IF(ISERROR(VLOOKUP($T$230,'TAR FIN'!$A$1:$O$86,15,0)),0,VLOOKUP($T$230,'TAR FIN'!$A$1:$O$86,15,0))</f>
        <v>73.19</v>
      </c>
      <c r="X230" s="6">
        <f>IF(ISERROR(VLOOKUP($U$230,'TAR FIN'!$A$1:$O$86,15,0)),0,VLOOKUP($U$230,'TAR FIN'!$A$1:$O$86,15,0))</f>
        <v>211.71</v>
      </c>
      <c r="Y230" s="6"/>
      <c r="Z230" s="6">
        <f ca="1">('TUSD BE'!$AM$12+'TUSD BF_350'!$AM$12+'TUSD CVA'!$AM$12)*1</f>
        <v>126.25</v>
      </c>
      <c r="AA230" s="6">
        <f ca="1">('TE BE'!$AB$6+'TE BF_350'!$AB$6+'TE CVA'!$AB$6)*1</f>
        <v>222.99901551132911</v>
      </c>
      <c r="AB230" s="6">
        <f>$K$230*$V$230</f>
        <v>0</v>
      </c>
      <c r="AC230" s="6">
        <f>$M$230*$W$230</f>
        <v>1619.3287499999999</v>
      </c>
      <c r="AD230" s="6">
        <f>$O$230*$X$230</f>
        <v>4684.0837499999998</v>
      </c>
      <c r="AE230" s="6">
        <f>$K$230*$Y$230</f>
        <v>0</v>
      </c>
      <c r="AF230" s="6">
        <f ca="1">$M$230*$Z$230</f>
        <v>2793.28125</v>
      </c>
      <c r="AG230" s="6">
        <f ca="1">$O$230*$AA$230</f>
        <v>4933.8532181881565</v>
      </c>
    </row>
    <row r="231" spans="1:33" ht="11.25" customHeight="1" x14ac:dyDescent="0.25">
      <c r="A231" s="4" t="s">
        <v>21</v>
      </c>
      <c r="B231" s="4" t="s">
        <v>35</v>
      </c>
      <c r="C231" s="4" t="s">
        <v>39</v>
      </c>
      <c r="D231" s="4" t="s">
        <v>43</v>
      </c>
      <c r="E231" s="4" t="s">
        <v>25</v>
      </c>
      <c r="F231" s="4" t="s">
        <v>25</v>
      </c>
      <c r="G231" s="4" t="s">
        <v>25</v>
      </c>
      <c r="H231" s="4" t="s">
        <v>38</v>
      </c>
      <c r="I231" s="5">
        <v>44440</v>
      </c>
      <c r="J231" s="6">
        <v>0</v>
      </c>
      <c r="K231" s="6">
        <v>0</v>
      </c>
      <c r="L231" s="6">
        <v>25.553999999999998</v>
      </c>
      <c r="M231" s="6">
        <v>25.553999999999998</v>
      </c>
      <c r="N231" s="6">
        <v>25.553999999999998</v>
      </c>
      <c r="O231" s="6">
        <v>25.553999999999998</v>
      </c>
      <c r="P231" s="6">
        <v>0</v>
      </c>
      <c r="Q231" s="4" t="s">
        <v>26</v>
      </c>
      <c r="R231" s="4">
        <v>0</v>
      </c>
      <c r="S231" s="6">
        <v>0</v>
      </c>
      <c r="T231" s="6">
        <v>18</v>
      </c>
      <c r="U231" s="6">
        <v>73</v>
      </c>
      <c r="V231" s="6">
        <f>IF(ISERROR(VLOOKUP($S$231,'TAR FIN'!$A$1:$O$86,15,0)),0,VLOOKUP($S$231,'TAR FIN'!$A$1:$O$86,15,0))</f>
        <v>0</v>
      </c>
      <c r="W231" s="6">
        <f>IF(ISERROR(VLOOKUP($T$231,'TAR FIN'!$A$1:$O$86,15,0)),0,VLOOKUP($T$231,'TAR FIN'!$A$1:$O$86,15,0))</f>
        <v>73.19</v>
      </c>
      <c r="X231" s="6">
        <f>IF(ISERROR(VLOOKUP($U$231,'TAR FIN'!$A$1:$O$86,15,0)),0,VLOOKUP($U$231,'TAR FIN'!$A$1:$O$86,15,0))</f>
        <v>211.71</v>
      </c>
      <c r="Y231" s="6"/>
      <c r="Z231" s="6">
        <f ca="1">('TUSD BE'!$AM$12+'TUSD BF_350'!$AM$12+'TUSD CVA'!$AM$12)*1</f>
        <v>126.25</v>
      </c>
      <c r="AA231" s="6">
        <f ca="1">('TE BE'!$AB$6+'TE BF_350'!$AB$6+'TE CVA'!$AB$6)*1</f>
        <v>222.99901551132911</v>
      </c>
      <c r="AB231" s="6">
        <f>$K$231*$V$231</f>
        <v>0</v>
      </c>
      <c r="AC231" s="6">
        <f>$M$231*$W$231</f>
        <v>1870.2972599999998</v>
      </c>
      <c r="AD231" s="6">
        <f>$O$231*$X$231</f>
        <v>5410.0373399999999</v>
      </c>
      <c r="AE231" s="6">
        <f>$K$231*$Y$231</f>
        <v>0</v>
      </c>
      <c r="AF231" s="6">
        <f ca="1">$M$231*$Z$231</f>
        <v>3226.1924999999997</v>
      </c>
      <c r="AG231" s="6">
        <f ca="1">$O$231*$AA$231</f>
        <v>5698.5168423765035</v>
      </c>
    </row>
    <row r="232" spans="1:33" ht="11.25" customHeight="1" x14ac:dyDescent="0.25">
      <c r="A232" s="4" t="s">
        <v>21</v>
      </c>
      <c r="B232" s="4" t="s">
        <v>35</v>
      </c>
      <c r="C232" s="4" t="s">
        <v>39</v>
      </c>
      <c r="D232" s="4" t="s">
        <v>43</v>
      </c>
      <c r="E232" s="4" t="s">
        <v>25</v>
      </c>
      <c r="F232" s="4" t="s">
        <v>25</v>
      </c>
      <c r="G232" s="4" t="s">
        <v>25</v>
      </c>
      <c r="H232" s="4" t="s">
        <v>38</v>
      </c>
      <c r="I232" s="5">
        <v>44470</v>
      </c>
      <c r="J232" s="6">
        <v>0</v>
      </c>
      <c r="K232" s="6">
        <v>0</v>
      </c>
      <c r="L232" s="6">
        <v>30.795999999999999</v>
      </c>
      <c r="M232" s="6">
        <v>30.795999999999999</v>
      </c>
      <c r="N232" s="6">
        <v>30.795999999999999</v>
      </c>
      <c r="O232" s="6">
        <v>30.795999999999999</v>
      </c>
      <c r="P232" s="6">
        <v>0</v>
      </c>
      <c r="Q232" s="4" t="s">
        <v>26</v>
      </c>
      <c r="R232" s="4">
        <v>0</v>
      </c>
      <c r="S232" s="6">
        <v>0</v>
      </c>
      <c r="T232" s="6">
        <v>18</v>
      </c>
      <c r="U232" s="6">
        <v>73</v>
      </c>
      <c r="V232" s="6">
        <f>IF(ISERROR(VLOOKUP($S$232,'TAR FIN'!$A$1:$O$86,15,0)),0,VLOOKUP($S$232,'TAR FIN'!$A$1:$O$86,15,0))</f>
        <v>0</v>
      </c>
      <c r="W232" s="6">
        <f>IF(ISERROR(VLOOKUP($T$232,'TAR FIN'!$A$1:$O$86,15,0)),0,VLOOKUP($T$232,'TAR FIN'!$A$1:$O$86,15,0))</f>
        <v>73.19</v>
      </c>
      <c r="X232" s="6">
        <f>IF(ISERROR(VLOOKUP($U$232,'TAR FIN'!$A$1:$O$86,15,0)),0,VLOOKUP($U$232,'TAR FIN'!$A$1:$O$86,15,0))</f>
        <v>211.71</v>
      </c>
      <c r="Y232" s="6"/>
      <c r="Z232" s="6">
        <f ca="1">('TUSD BE'!$AM$12+'TUSD BF_350'!$AM$12+'TUSD CVA'!$AM$12)*1</f>
        <v>126.25</v>
      </c>
      <c r="AA232" s="6">
        <f ca="1">('TE BE'!$AB$6+'TE BF_350'!$AB$6+'TE CVA'!$AB$6)*1</f>
        <v>222.99901551132911</v>
      </c>
      <c r="AB232" s="6">
        <f>$K$232*$V$232</f>
        <v>0</v>
      </c>
      <c r="AC232" s="6">
        <f>$M$232*$W$232</f>
        <v>2253.9592399999997</v>
      </c>
      <c r="AD232" s="6">
        <f>$O$232*$X$232</f>
        <v>6519.8211600000004</v>
      </c>
      <c r="AE232" s="6">
        <f>$K$232*$Y$232</f>
        <v>0</v>
      </c>
      <c r="AF232" s="6">
        <f ca="1">$M$232*$Z$232</f>
        <v>3887.9949999999999</v>
      </c>
      <c r="AG232" s="6">
        <f ca="1">$O$232*$AA$232</f>
        <v>6867.4776816868907</v>
      </c>
    </row>
    <row r="233" spans="1:33" ht="11.25" customHeight="1" x14ac:dyDescent="0.25">
      <c r="A233" s="4" t="s">
        <v>21</v>
      </c>
      <c r="B233" s="4" t="s">
        <v>35</v>
      </c>
      <c r="C233" s="4" t="s">
        <v>39</v>
      </c>
      <c r="D233" s="4" t="s">
        <v>43</v>
      </c>
      <c r="E233" s="4" t="s">
        <v>25</v>
      </c>
      <c r="F233" s="4" t="s">
        <v>25</v>
      </c>
      <c r="G233" s="4" t="s">
        <v>25</v>
      </c>
      <c r="H233" s="4" t="s">
        <v>38</v>
      </c>
      <c r="I233" s="5">
        <v>44501</v>
      </c>
      <c r="J233" s="6">
        <v>0</v>
      </c>
      <c r="K233" s="6">
        <v>0</v>
      </c>
      <c r="L233" s="6">
        <v>35.530999999999999</v>
      </c>
      <c r="M233" s="6">
        <v>35.530999999999999</v>
      </c>
      <c r="N233" s="6">
        <v>35.530999999999999</v>
      </c>
      <c r="O233" s="6">
        <v>35.530999999999999</v>
      </c>
      <c r="P233" s="6">
        <v>0</v>
      </c>
      <c r="Q233" s="4" t="s">
        <v>26</v>
      </c>
      <c r="R233" s="4">
        <v>0</v>
      </c>
      <c r="S233" s="6">
        <v>0</v>
      </c>
      <c r="T233" s="6">
        <v>18</v>
      </c>
      <c r="U233" s="6">
        <v>73</v>
      </c>
      <c r="V233" s="6">
        <f>IF(ISERROR(VLOOKUP($S$233,'TAR FIN'!$A$1:$O$86,15,0)),0,VLOOKUP($S$233,'TAR FIN'!$A$1:$O$86,15,0))</f>
        <v>0</v>
      </c>
      <c r="W233" s="6">
        <f>IF(ISERROR(VLOOKUP($T$233,'TAR FIN'!$A$1:$O$86,15,0)),0,VLOOKUP($T$233,'TAR FIN'!$A$1:$O$86,15,0))</f>
        <v>73.19</v>
      </c>
      <c r="X233" s="6">
        <f>IF(ISERROR(VLOOKUP($U$233,'TAR FIN'!$A$1:$O$86,15,0)),0,VLOOKUP($U$233,'TAR FIN'!$A$1:$O$86,15,0))</f>
        <v>211.71</v>
      </c>
      <c r="Y233" s="6"/>
      <c r="Z233" s="6">
        <f ca="1">('TUSD BE'!$AM$12+'TUSD BF_350'!$AM$12+'TUSD CVA'!$AM$12)*1</f>
        <v>126.25</v>
      </c>
      <c r="AA233" s="6">
        <f ca="1">('TE BE'!$AB$6+'TE BF_350'!$AB$6+'TE CVA'!$AB$6)*1</f>
        <v>222.99901551132911</v>
      </c>
      <c r="AB233" s="6">
        <f>$K$233*$V$233</f>
        <v>0</v>
      </c>
      <c r="AC233" s="6">
        <f>$M$233*$W$233</f>
        <v>2600.5138899999997</v>
      </c>
      <c r="AD233" s="6">
        <f>$O$233*$X$233</f>
        <v>7522.2680099999998</v>
      </c>
      <c r="AE233" s="6">
        <f>$K$233*$Y$233</f>
        <v>0</v>
      </c>
      <c r="AF233" s="6">
        <f ca="1">$M$233*$Z$233</f>
        <v>4485.7887499999997</v>
      </c>
      <c r="AG233" s="6">
        <f ca="1">$O$233*$AA$233</f>
        <v>7923.3780201330346</v>
      </c>
    </row>
    <row r="234" spans="1:33" ht="11.25" customHeight="1" x14ac:dyDescent="0.25">
      <c r="A234" s="4" t="s">
        <v>21</v>
      </c>
      <c r="B234" s="4" t="s">
        <v>35</v>
      </c>
      <c r="C234" s="4" t="s">
        <v>39</v>
      </c>
      <c r="D234" s="4" t="s">
        <v>43</v>
      </c>
      <c r="E234" s="4" t="s">
        <v>25</v>
      </c>
      <c r="F234" s="4" t="s">
        <v>25</v>
      </c>
      <c r="G234" s="4" t="s">
        <v>25</v>
      </c>
      <c r="H234" s="4" t="s">
        <v>38</v>
      </c>
      <c r="I234" s="5">
        <v>44531</v>
      </c>
      <c r="J234" s="6">
        <v>0</v>
      </c>
      <c r="K234" s="6">
        <v>0</v>
      </c>
      <c r="L234" s="6">
        <v>5.016</v>
      </c>
      <c r="M234" s="6">
        <v>5.016</v>
      </c>
      <c r="N234" s="6">
        <v>5.016</v>
      </c>
      <c r="O234" s="6">
        <v>5.016</v>
      </c>
      <c r="P234" s="6">
        <v>0</v>
      </c>
      <c r="Q234" s="4" t="s">
        <v>26</v>
      </c>
      <c r="R234" s="4">
        <v>0</v>
      </c>
      <c r="S234" s="6">
        <v>0</v>
      </c>
      <c r="T234" s="6">
        <v>18</v>
      </c>
      <c r="U234" s="6">
        <v>73</v>
      </c>
      <c r="V234" s="6">
        <f>IF(ISERROR(VLOOKUP($S$234,'TAR FIN'!$A$1:$O$86,15,0)),0,VLOOKUP($S$234,'TAR FIN'!$A$1:$O$86,15,0))</f>
        <v>0</v>
      </c>
      <c r="W234" s="6">
        <f>IF(ISERROR(VLOOKUP($T$234,'TAR FIN'!$A$1:$O$86,15,0)),0,VLOOKUP($T$234,'TAR FIN'!$A$1:$O$86,15,0))</f>
        <v>73.19</v>
      </c>
      <c r="X234" s="6">
        <f>IF(ISERROR(VLOOKUP($U$234,'TAR FIN'!$A$1:$O$86,15,0)),0,VLOOKUP($U$234,'TAR FIN'!$A$1:$O$86,15,0))</f>
        <v>211.71</v>
      </c>
      <c r="Y234" s="6"/>
      <c r="Z234" s="6">
        <f ca="1">('TUSD BE'!$AM$12+'TUSD BF_350'!$AM$12+'TUSD CVA'!$AM$12)*1</f>
        <v>126.25</v>
      </c>
      <c r="AA234" s="6">
        <f ca="1">('TE BE'!$AB$6+'TE BF_350'!$AB$6+'TE CVA'!$AB$6)*1</f>
        <v>222.99901551132911</v>
      </c>
      <c r="AB234" s="6">
        <f>$K$234*$V$234</f>
        <v>0</v>
      </c>
      <c r="AC234" s="6">
        <f>$M$234*$W$234</f>
        <v>367.12103999999999</v>
      </c>
      <c r="AD234" s="6">
        <f>$O$234*$X$234</f>
        <v>1061.9373600000001</v>
      </c>
      <c r="AE234" s="6">
        <f>$K$234*$Y$234</f>
        <v>0</v>
      </c>
      <c r="AF234" s="6">
        <f ca="1">$M$234*$Z$234</f>
        <v>633.27</v>
      </c>
      <c r="AG234" s="6">
        <f ca="1">$O$234*$AA$234</f>
        <v>1118.5630618048267</v>
      </c>
    </row>
    <row r="235" spans="1:33" ht="11.25" customHeight="1" x14ac:dyDescent="0.25">
      <c r="A235" s="4" t="s">
        <v>28</v>
      </c>
      <c r="B235" s="4" t="s">
        <v>35</v>
      </c>
      <c r="C235" s="4" t="s">
        <v>39</v>
      </c>
      <c r="D235" s="4" t="s">
        <v>43</v>
      </c>
      <c r="E235" s="4" t="s">
        <v>25</v>
      </c>
      <c r="F235" s="4" t="s">
        <v>25</v>
      </c>
      <c r="G235" s="4" t="s">
        <v>25</v>
      </c>
      <c r="H235" s="4" t="s">
        <v>38</v>
      </c>
      <c r="I235" s="5">
        <v>44531</v>
      </c>
      <c r="J235" s="6">
        <v>0</v>
      </c>
      <c r="K235" s="6">
        <v>0</v>
      </c>
      <c r="L235" s="6">
        <v>24.227</v>
      </c>
      <c r="M235" s="6">
        <v>24.227</v>
      </c>
      <c r="N235" s="6">
        <v>24.227</v>
      </c>
      <c r="O235" s="6">
        <v>24.227</v>
      </c>
      <c r="P235" s="6">
        <v>0</v>
      </c>
      <c r="Q235" s="4" t="s">
        <v>26</v>
      </c>
      <c r="R235" s="4">
        <v>0</v>
      </c>
      <c r="S235" s="6">
        <v>0</v>
      </c>
      <c r="T235" s="6">
        <v>18</v>
      </c>
      <c r="U235" s="6">
        <v>73</v>
      </c>
      <c r="V235" s="6">
        <f>IF(ISERROR(VLOOKUP($S$235,'TAR FIN'!$A$1:$O$86,15,0)),0,VLOOKUP($S$235,'TAR FIN'!$A$1:$O$86,15,0))</f>
        <v>0</v>
      </c>
      <c r="W235" s="6">
        <f>IF(ISERROR(VLOOKUP($T$235,'TAR FIN'!$A$1:$O$86,15,0)),0,VLOOKUP($T$235,'TAR FIN'!$A$1:$O$86,15,0))</f>
        <v>73.19</v>
      </c>
      <c r="X235" s="6">
        <f>IF(ISERROR(VLOOKUP($U$235,'TAR FIN'!$A$1:$O$86,15,0)),0,VLOOKUP($U$235,'TAR FIN'!$A$1:$O$86,15,0))</f>
        <v>211.71</v>
      </c>
      <c r="Y235" s="6"/>
      <c r="Z235" s="6">
        <f ca="1">('TUSD BE'!$AM$12+'TUSD BF_350'!$AM$12+'TUSD CVA'!$AM$12)*1</f>
        <v>126.25</v>
      </c>
      <c r="AA235" s="6">
        <f ca="1">('TE BE'!$AB$6+'TE BF_350'!$AB$6+'TE CVA'!$AB$6)*1</f>
        <v>222.99901551132911</v>
      </c>
      <c r="AB235" s="6">
        <f>$K$235*$V$235</f>
        <v>0</v>
      </c>
      <c r="AC235" s="6">
        <f>$M$235*$W$235</f>
        <v>1773.1741299999999</v>
      </c>
      <c r="AD235" s="6">
        <f>$O$235*$X$235</f>
        <v>5129.0981700000002</v>
      </c>
      <c r="AE235" s="6">
        <f>$K$235*$Y$235</f>
        <v>0</v>
      </c>
      <c r="AF235" s="6">
        <f ca="1">$M$235*$Z$235</f>
        <v>3058.6587500000001</v>
      </c>
      <c r="AG235" s="6">
        <f ca="1">$O$235*$AA$235</f>
        <v>5402.5971487929701</v>
      </c>
    </row>
    <row r="236" spans="1:33" ht="11.25" customHeight="1" x14ac:dyDescent="0.25">
      <c r="A236" s="4" t="s">
        <v>21</v>
      </c>
      <c r="B236" s="4" t="s">
        <v>35</v>
      </c>
      <c r="C236" s="4" t="s">
        <v>39</v>
      </c>
      <c r="D236" s="4" t="s">
        <v>43</v>
      </c>
      <c r="E236" s="4" t="s">
        <v>25</v>
      </c>
      <c r="F236" s="4" t="s">
        <v>25</v>
      </c>
      <c r="G236" s="4" t="s">
        <v>25</v>
      </c>
      <c r="H236" s="4" t="s">
        <v>38</v>
      </c>
      <c r="I236" s="5">
        <v>44562</v>
      </c>
      <c r="J236" s="6">
        <v>0</v>
      </c>
      <c r="K236" s="6">
        <v>0</v>
      </c>
      <c r="L236" s="6">
        <v>6.3380000000000001</v>
      </c>
      <c r="M236" s="6">
        <v>6.3380000000000001</v>
      </c>
      <c r="N236" s="6">
        <v>6.3380000000000001</v>
      </c>
      <c r="O236" s="6">
        <v>6.3380000000000001</v>
      </c>
      <c r="P236" s="6">
        <v>0</v>
      </c>
      <c r="Q236" s="4" t="s">
        <v>26</v>
      </c>
      <c r="R236" s="4">
        <v>0</v>
      </c>
      <c r="S236" s="6">
        <v>0</v>
      </c>
      <c r="T236" s="6">
        <v>18</v>
      </c>
      <c r="U236" s="6">
        <v>73</v>
      </c>
      <c r="V236" s="6">
        <f>IF(ISERROR(VLOOKUP($S$236,'TAR FIN'!$A$1:$O$86,15,0)),0,VLOOKUP($S$236,'TAR FIN'!$A$1:$O$86,15,0))</f>
        <v>0</v>
      </c>
      <c r="W236" s="6">
        <f>IF(ISERROR(VLOOKUP($T$236,'TAR FIN'!$A$1:$O$86,15,0)),0,VLOOKUP($T$236,'TAR FIN'!$A$1:$O$86,15,0))</f>
        <v>73.19</v>
      </c>
      <c r="X236" s="6">
        <f>IF(ISERROR(VLOOKUP($U$236,'TAR FIN'!$A$1:$O$86,15,0)),0,VLOOKUP($U$236,'TAR FIN'!$A$1:$O$86,15,0))</f>
        <v>211.71</v>
      </c>
      <c r="Y236" s="6"/>
      <c r="Z236" s="6">
        <f ca="1">('TUSD BE'!$AM$12+'TUSD BF_350'!$AM$12+'TUSD CVA'!$AM$12)*1</f>
        <v>126.25</v>
      </c>
      <c r="AA236" s="6">
        <f ca="1">('TE BE'!$AB$6+'TE BF_350'!$AB$6+'TE CVA'!$AB$6)*1</f>
        <v>222.99901551132911</v>
      </c>
      <c r="AB236" s="6">
        <f>$K$236*$V$236</f>
        <v>0</v>
      </c>
      <c r="AC236" s="6">
        <f>$M$236*$W$236</f>
        <v>463.87822</v>
      </c>
      <c r="AD236" s="6">
        <f>$O$236*$X$236</f>
        <v>1341.81798</v>
      </c>
      <c r="AE236" s="6">
        <f>$K$236*$Y$236</f>
        <v>0</v>
      </c>
      <c r="AF236" s="6">
        <f ca="1">$M$236*$Z$236</f>
        <v>800.17250000000001</v>
      </c>
      <c r="AG236" s="6">
        <f ca="1">$O$236*$AA$236</f>
        <v>1413.367760310804</v>
      </c>
    </row>
    <row r="237" spans="1:33" ht="11.25" customHeight="1" x14ac:dyDescent="0.25">
      <c r="A237" s="4" t="s">
        <v>28</v>
      </c>
      <c r="B237" s="4" t="s">
        <v>35</v>
      </c>
      <c r="C237" s="4" t="s">
        <v>39</v>
      </c>
      <c r="D237" s="4" t="s">
        <v>43</v>
      </c>
      <c r="E237" s="4" t="s">
        <v>25</v>
      </c>
      <c r="F237" s="4" t="s">
        <v>25</v>
      </c>
      <c r="G237" s="4" t="s">
        <v>25</v>
      </c>
      <c r="H237" s="4" t="s">
        <v>38</v>
      </c>
      <c r="I237" s="5">
        <v>44562</v>
      </c>
      <c r="J237" s="6">
        <v>0</v>
      </c>
      <c r="K237" s="6">
        <v>0</v>
      </c>
      <c r="L237" s="6">
        <v>27.763999999999999</v>
      </c>
      <c r="M237" s="6">
        <v>27.763999999999999</v>
      </c>
      <c r="N237" s="6">
        <v>27.763999999999999</v>
      </c>
      <c r="O237" s="6">
        <v>27.763999999999999</v>
      </c>
      <c r="P237" s="6">
        <v>0</v>
      </c>
      <c r="Q237" s="4" t="s">
        <v>26</v>
      </c>
      <c r="R237" s="4">
        <v>0</v>
      </c>
      <c r="S237" s="6">
        <v>0</v>
      </c>
      <c r="T237" s="6">
        <v>18</v>
      </c>
      <c r="U237" s="6">
        <v>73</v>
      </c>
      <c r="V237" s="6">
        <f>IF(ISERROR(VLOOKUP($S$237,'TAR FIN'!$A$1:$O$86,15,0)),0,VLOOKUP($S$237,'TAR FIN'!$A$1:$O$86,15,0))</f>
        <v>0</v>
      </c>
      <c r="W237" s="6">
        <f>IF(ISERROR(VLOOKUP($T$237,'TAR FIN'!$A$1:$O$86,15,0)),0,VLOOKUP($T$237,'TAR FIN'!$A$1:$O$86,15,0))</f>
        <v>73.19</v>
      </c>
      <c r="X237" s="6">
        <f>IF(ISERROR(VLOOKUP($U$237,'TAR FIN'!$A$1:$O$86,15,0)),0,VLOOKUP($U$237,'TAR FIN'!$A$1:$O$86,15,0))</f>
        <v>211.71</v>
      </c>
      <c r="Y237" s="6"/>
      <c r="Z237" s="6">
        <f ca="1">('TUSD BE'!$AM$12+'TUSD BF_350'!$AM$12+'TUSD CVA'!$AM$12)*1</f>
        <v>126.25</v>
      </c>
      <c r="AA237" s="6">
        <f ca="1">('TE BE'!$AB$6+'TE BF_350'!$AB$6+'TE CVA'!$AB$6)*1</f>
        <v>222.99901551132911</v>
      </c>
      <c r="AB237" s="6">
        <f>$K$237*$V$237</f>
        <v>0</v>
      </c>
      <c r="AC237" s="6">
        <f>$M$237*$W$237</f>
        <v>2032.0471599999998</v>
      </c>
      <c r="AD237" s="6">
        <f>$O$237*$X$237</f>
        <v>5877.91644</v>
      </c>
      <c r="AE237" s="6">
        <f>$K$237*$Y$237</f>
        <v>0</v>
      </c>
      <c r="AF237" s="6">
        <f ca="1">$M$237*$Z$237</f>
        <v>3505.2049999999999</v>
      </c>
      <c r="AG237" s="6">
        <f ca="1">$O$237*$AA$237</f>
        <v>6191.3446666565414</v>
      </c>
    </row>
    <row r="238" spans="1:33" ht="11.25" customHeight="1" x14ac:dyDescent="0.25">
      <c r="A238" s="4" t="s">
        <v>21</v>
      </c>
      <c r="B238" s="4" t="s">
        <v>35</v>
      </c>
      <c r="C238" s="4" t="s">
        <v>39</v>
      </c>
      <c r="D238" s="4" t="s">
        <v>43</v>
      </c>
      <c r="E238" s="4" t="s">
        <v>25</v>
      </c>
      <c r="F238" s="4" t="s">
        <v>25</v>
      </c>
      <c r="G238" s="4" t="s">
        <v>25</v>
      </c>
      <c r="H238" s="4" t="s">
        <v>38</v>
      </c>
      <c r="I238" s="5">
        <v>44593</v>
      </c>
      <c r="J238" s="6">
        <v>0</v>
      </c>
      <c r="K238" s="6">
        <v>0</v>
      </c>
      <c r="L238" s="6">
        <v>6.3890000000000002</v>
      </c>
      <c r="M238" s="6">
        <v>6.3890000000000002</v>
      </c>
      <c r="N238" s="6">
        <v>6.3890000000000002</v>
      </c>
      <c r="O238" s="6">
        <v>6.3890000000000002</v>
      </c>
      <c r="P238" s="6">
        <v>0</v>
      </c>
      <c r="Q238" s="4" t="s">
        <v>26</v>
      </c>
      <c r="R238" s="4">
        <v>0</v>
      </c>
      <c r="S238" s="6">
        <v>0</v>
      </c>
      <c r="T238" s="6">
        <v>18</v>
      </c>
      <c r="U238" s="6">
        <v>73</v>
      </c>
      <c r="V238" s="6">
        <f>IF(ISERROR(VLOOKUP($S$238,'TAR FIN'!$A$1:$O$86,15,0)),0,VLOOKUP($S$238,'TAR FIN'!$A$1:$O$86,15,0))</f>
        <v>0</v>
      </c>
      <c r="W238" s="6">
        <f>IF(ISERROR(VLOOKUP($T$238,'TAR FIN'!$A$1:$O$86,15,0)),0,VLOOKUP($T$238,'TAR FIN'!$A$1:$O$86,15,0))</f>
        <v>73.19</v>
      </c>
      <c r="X238" s="6">
        <f>IF(ISERROR(VLOOKUP($U$238,'TAR FIN'!$A$1:$O$86,15,0)),0,VLOOKUP($U$238,'TAR FIN'!$A$1:$O$86,15,0))</f>
        <v>211.71</v>
      </c>
      <c r="Y238" s="6"/>
      <c r="Z238" s="6">
        <f ca="1">('TUSD BE'!$AM$12+'TUSD BF_350'!$AM$12+'TUSD CVA'!$AM$12)*1</f>
        <v>126.25</v>
      </c>
      <c r="AA238" s="6">
        <f ca="1">('TE BE'!$AB$6+'TE BF_350'!$AB$6+'TE CVA'!$AB$6)*1</f>
        <v>222.99901551132911</v>
      </c>
      <c r="AB238" s="6">
        <f>$K$238*$V$238</f>
        <v>0</v>
      </c>
      <c r="AC238" s="6">
        <f>$M$238*$W$238</f>
        <v>467.61090999999999</v>
      </c>
      <c r="AD238" s="6">
        <f>$O$238*$X$238</f>
        <v>1352.6151900000002</v>
      </c>
      <c r="AE238" s="6">
        <f>$K$238*$Y$238</f>
        <v>0</v>
      </c>
      <c r="AF238" s="6">
        <f ca="1">$M$238*$Z$238</f>
        <v>806.61125000000004</v>
      </c>
      <c r="AG238" s="6">
        <f ca="1">$O$238*$AA$238</f>
        <v>1424.7407101018816</v>
      </c>
    </row>
    <row r="239" spans="1:33" ht="11.25" customHeight="1" x14ac:dyDescent="0.25">
      <c r="A239" s="4" t="s">
        <v>28</v>
      </c>
      <c r="B239" s="4" t="s">
        <v>35</v>
      </c>
      <c r="C239" s="4" t="s">
        <v>39</v>
      </c>
      <c r="D239" s="4" t="s">
        <v>43</v>
      </c>
      <c r="E239" s="4" t="s">
        <v>25</v>
      </c>
      <c r="F239" s="4" t="s">
        <v>25</v>
      </c>
      <c r="G239" s="4" t="s">
        <v>25</v>
      </c>
      <c r="H239" s="4" t="s">
        <v>38</v>
      </c>
      <c r="I239" s="5">
        <v>44593</v>
      </c>
      <c r="J239" s="6">
        <v>0</v>
      </c>
      <c r="K239" s="6">
        <v>0</v>
      </c>
      <c r="L239" s="6">
        <v>24.472000000000001</v>
      </c>
      <c r="M239" s="6">
        <v>24.472000000000001</v>
      </c>
      <c r="N239" s="6">
        <v>24.472000000000001</v>
      </c>
      <c r="O239" s="6">
        <v>24.472000000000001</v>
      </c>
      <c r="P239" s="6">
        <v>0</v>
      </c>
      <c r="Q239" s="4" t="s">
        <v>26</v>
      </c>
      <c r="R239" s="4">
        <v>0</v>
      </c>
      <c r="S239" s="6">
        <v>0</v>
      </c>
      <c r="T239" s="6">
        <v>18</v>
      </c>
      <c r="U239" s="6">
        <v>73</v>
      </c>
      <c r="V239" s="6">
        <f>IF(ISERROR(VLOOKUP($S$239,'TAR FIN'!$A$1:$O$86,15,0)),0,VLOOKUP($S$239,'TAR FIN'!$A$1:$O$86,15,0))</f>
        <v>0</v>
      </c>
      <c r="W239" s="6">
        <f>IF(ISERROR(VLOOKUP($T$239,'TAR FIN'!$A$1:$O$86,15,0)),0,VLOOKUP($T$239,'TAR FIN'!$A$1:$O$86,15,0))</f>
        <v>73.19</v>
      </c>
      <c r="X239" s="6">
        <f>IF(ISERROR(VLOOKUP($U$239,'TAR FIN'!$A$1:$O$86,15,0)),0,VLOOKUP($U$239,'TAR FIN'!$A$1:$O$86,15,0))</f>
        <v>211.71</v>
      </c>
      <c r="Y239" s="6"/>
      <c r="Z239" s="6">
        <f ca="1">('TUSD BE'!$AM$12+'TUSD BF_350'!$AM$12+'TUSD CVA'!$AM$12)*1</f>
        <v>126.25</v>
      </c>
      <c r="AA239" s="6">
        <f ca="1">('TE BE'!$AB$6+'TE BF_350'!$AB$6+'TE CVA'!$AB$6)*1</f>
        <v>222.99901551132911</v>
      </c>
      <c r="AB239" s="6">
        <f>$K$239*$V$239</f>
        <v>0</v>
      </c>
      <c r="AC239" s="6">
        <f>$M$239*$W$239</f>
        <v>1791.1056800000001</v>
      </c>
      <c r="AD239" s="6">
        <f>$O$239*$X$239</f>
        <v>5180.9671200000003</v>
      </c>
      <c r="AE239" s="6">
        <f>$K$239*$Y$239</f>
        <v>0</v>
      </c>
      <c r="AF239" s="6">
        <f ca="1">$M$239*$Z$239</f>
        <v>3089.59</v>
      </c>
      <c r="AG239" s="6">
        <f ca="1">$O$239*$AA$239</f>
        <v>5457.2319075932464</v>
      </c>
    </row>
    <row r="240" spans="1:33" ht="11.25" customHeight="1" x14ac:dyDescent="0.25">
      <c r="A240" s="4" t="s">
        <v>21</v>
      </c>
      <c r="B240" s="4" t="s">
        <v>35</v>
      </c>
      <c r="C240" s="4" t="s">
        <v>39</v>
      </c>
      <c r="D240" s="4" t="s">
        <v>43</v>
      </c>
      <c r="E240" s="4" t="s">
        <v>25</v>
      </c>
      <c r="F240" s="4" t="s">
        <v>25</v>
      </c>
      <c r="G240" s="4" t="s">
        <v>25</v>
      </c>
      <c r="H240" s="4" t="s">
        <v>38</v>
      </c>
      <c r="I240" s="5">
        <v>44621</v>
      </c>
      <c r="J240" s="6">
        <v>0</v>
      </c>
      <c r="K240" s="6">
        <v>0</v>
      </c>
      <c r="L240" s="6">
        <v>6.0259999999999998</v>
      </c>
      <c r="M240" s="6">
        <v>6.0259999999999998</v>
      </c>
      <c r="N240" s="6">
        <v>6.0259999999999998</v>
      </c>
      <c r="O240" s="6">
        <v>6.0259999999999998</v>
      </c>
      <c r="P240" s="6">
        <v>0</v>
      </c>
      <c r="Q240" s="4" t="s">
        <v>26</v>
      </c>
      <c r="R240" s="4">
        <v>0</v>
      </c>
      <c r="S240" s="6">
        <v>0</v>
      </c>
      <c r="T240" s="6">
        <v>18</v>
      </c>
      <c r="U240" s="6">
        <v>73</v>
      </c>
      <c r="V240" s="6">
        <f>IF(ISERROR(VLOOKUP($S$240,'TAR FIN'!$A$1:$O$86,15,0)),0,VLOOKUP($S$240,'TAR FIN'!$A$1:$O$86,15,0))</f>
        <v>0</v>
      </c>
      <c r="W240" s="6">
        <f>IF(ISERROR(VLOOKUP($T$240,'TAR FIN'!$A$1:$O$86,15,0)),0,VLOOKUP($T$240,'TAR FIN'!$A$1:$O$86,15,0))</f>
        <v>73.19</v>
      </c>
      <c r="X240" s="6">
        <f>IF(ISERROR(VLOOKUP($U$240,'TAR FIN'!$A$1:$O$86,15,0)),0,VLOOKUP($U$240,'TAR FIN'!$A$1:$O$86,15,0))</f>
        <v>211.71</v>
      </c>
      <c r="Y240" s="6"/>
      <c r="Z240" s="6">
        <f ca="1">('TUSD BE'!$AM$12+'TUSD BF_350'!$AM$12+'TUSD CVA'!$AM$12)*1</f>
        <v>126.25</v>
      </c>
      <c r="AA240" s="6">
        <f ca="1">('TE BE'!$AB$6+'TE BF_350'!$AB$6+'TE CVA'!$AB$6)*1</f>
        <v>222.99901551132911</v>
      </c>
      <c r="AB240" s="6">
        <f>$K$240*$V$240</f>
        <v>0</v>
      </c>
      <c r="AC240" s="6">
        <f>$M$240*$W$240</f>
        <v>441.04293999999999</v>
      </c>
      <c r="AD240" s="6">
        <f>$O$240*$X$240</f>
        <v>1275.7644600000001</v>
      </c>
      <c r="AE240" s="6">
        <f>$K$240*$Y$240</f>
        <v>0</v>
      </c>
      <c r="AF240" s="6">
        <f ca="1">$M$240*$Z$240</f>
        <v>760.78250000000003</v>
      </c>
      <c r="AG240" s="6">
        <f ca="1">$O$240*$AA$240</f>
        <v>1343.7920674712691</v>
      </c>
    </row>
    <row r="241" spans="1:33" ht="11.25" customHeight="1" x14ac:dyDescent="0.25">
      <c r="A241" s="4" t="s">
        <v>28</v>
      </c>
      <c r="B241" s="4" t="s">
        <v>35</v>
      </c>
      <c r="C241" s="4" t="s">
        <v>39</v>
      </c>
      <c r="D241" s="4" t="s">
        <v>43</v>
      </c>
      <c r="E241" s="4" t="s">
        <v>25</v>
      </c>
      <c r="F241" s="4" t="s">
        <v>25</v>
      </c>
      <c r="G241" s="4" t="s">
        <v>25</v>
      </c>
      <c r="H241" s="4" t="s">
        <v>38</v>
      </c>
      <c r="I241" s="5">
        <v>44621</v>
      </c>
      <c r="J241" s="6">
        <v>0</v>
      </c>
      <c r="K241" s="6">
        <v>0</v>
      </c>
      <c r="L241" s="6">
        <v>25.759</v>
      </c>
      <c r="M241" s="6">
        <v>25.759</v>
      </c>
      <c r="N241" s="6">
        <v>25.759</v>
      </c>
      <c r="O241" s="6">
        <v>25.759</v>
      </c>
      <c r="P241" s="6">
        <v>0</v>
      </c>
      <c r="Q241" s="4" t="s">
        <v>26</v>
      </c>
      <c r="R241" s="4">
        <v>0</v>
      </c>
      <c r="S241" s="6">
        <v>0</v>
      </c>
      <c r="T241" s="6">
        <v>18</v>
      </c>
      <c r="U241" s="6">
        <v>73</v>
      </c>
      <c r="V241" s="6">
        <f>IF(ISERROR(VLOOKUP($S$241,'TAR FIN'!$A$1:$O$86,15,0)),0,VLOOKUP($S$241,'TAR FIN'!$A$1:$O$86,15,0))</f>
        <v>0</v>
      </c>
      <c r="W241" s="6">
        <f>IF(ISERROR(VLOOKUP($T$241,'TAR FIN'!$A$1:$O$86,15,0)),0,VLOOKUP($T$241,'TAR FIN'!$A$1:$O$86,15,0))</f>
        <v>73.19</v>
      </c>
      <c r="X241" s="6">
        <f>IF(ISERROR(VLOOKUP($U$241,'TAR FIN'!$A$1:$O$86,15,0)),0,VLOOKUP($U$241,'TAR FIN'!$A$1:$O$86,15,0))</f>
        <v>211.71</v>
      </c>
      <c r="Y241" s="6"/>
      <c r="Z241" s="6">
        <f ca="1">('TUSD BE'!$AM$12+'TUSD BF_350'!$AM$12+'TUSD CVA'!$AM$12)*1</f>
        <v>126.25</v>
      </c>
      <c r="AA241" s="6">
        <f ca="1">('TE BE'!$AB$6+'TE BF_350'!$AB$6+'TE CVA'!$AB$6)*1</f>
        <v>222.99901551132911</v>
      </c>
      <c r="AB241" s="6">
        <f>$K$241*$V$241</f>
        <v>0</v>
      </c>
      <c r="AC241" s="6">
        <f>$M$241*$W$241</f>
        <v>1885.3012099999999</v>
      </c>
      <c r="AD241" s="6">
        <f>$O$241*$X$241</f>
        <v>5453.4378900000002</v>
      </c>
      <c r="AE241" s="6">
        <f>$K$241*$Y$241</f>
        <v>0</v>
      </c>
      <c r="AF241" s="6">
        <f ca="1">$M$241*$Z$241</f>
        <v>3252.07375</v>
      </c>
      <c r="AG241" s="6">
        <f ca="1">$O$241*$AA$241</f>
        <v>5744.2316405563261</v>
      </c>
    </row>
    <row r="242" spans="1:33" ht="11.25" customHeight="1" x14ac:dyDescent="0.25">
      <c r="A242" s="4" t="s">
        <v>21</v>
      </c>
      <c r="B242" s="4" t="s">
        <v>35</v>
      </c>
      <c r="C242" s="4" t="s">
        <v>39</v>
      </c>
      <c r="D242" s="4" t="s">
        <v>43</v>
      </c>
      <c r="E242" s="4" t="s">
        <v>25</v>
      </c>
      <c r="F242" s="4" t="s">
        <v>25</v>
      </c>
      <c r="G242" s="4" t="s">
        <v>25</v>
      </c>
      <c r="H242" s="4" t="s">
        <v>38</v>
      </c>
      <c r="I242" s="5">
        <v>44652</v>
      </c>
      <c r="J242" s="6">
        <v>0</v>
      </c>
      <c r="K242" s="6">
        <v>0</v>
      </c>
      <c r="L242" s="6">
        <v>4.91</v>
      </c>
      <c r="M242" s="6">
        <v>4.91</v>
      </c>
      <c r="N242" s="6">
        <v>4.91</v>
      </c>
      <c r="O242" s="6">
        <v>4.91</v>
      </c>
      <c r="P242" s="6">
        <v>0</v>
      </c>
      <c r="Q242" s="4" t="s">
        <v>26</v>
      </c>
      <c r="R242" s="4">
        <v>0</v>
      </c>
      <c r="S242" s="6">
        <v>0</v>
      </c>
      <c r="T242" s="6">
        <v>18</v>
      </c>
      <c r="U242" s="6">
        <v>73</v>
      </c>
      <c r="V242" s="6">
        <f>IF(ISERROR(VLOOKUP($S$242,'TAR FIN'!$A$1:$O$86,15,0)),0,VLOOKUP($S$242,'TAR FIN'!$A$1:$O$86,15,0))</f>
        <v>0</v>
      </c>
      <c r="W242" s="6">
        <f>IF(ISERROR(VLOOKUP($T$242,'TAR FIN'!$A$1:$O$86,15,0)),0,VLOOKUP($T$242,'TAR FIN'!$A$1:$O$86,15,0))</f>
        <v>73.19</v>
      </c>
      <c r="X242" s="6">
        <f>IF(ISERROR(VLOOKUP($U$242,'TAR FIN'!$A$1:$O$86,15,0)),0,VLOOKUP($U$242,'TAR FIN'!$A$1:$O$86,15,0))</f>
        <v>211.71</v>
      </c>
      <c r="Y242" s="6"/>
      <c r="Z242" s="6">
        <f ca="1">('TUSD BE'!$AM$12+'TUSD BF_350'!$AM$12+'TUSD CVA'!$AM$12)*1</f>
        <v>126.25</v>
      </c>
      <c r="AA242" s="6">
        <f ca="1">('TE BE'!$AB$6+'TE BF_350'!$AB$6+'TE CVA'!$AB$6)*1</f>
        <v>222.99901551132911</v>
      </c>
      <c r="AB242" s="6">
        <f>$K$242*$V$242</f>
        <v>0</v>
      </c>
      <c r="AC242" s="6">
        <f>$M$242*$W$242</f>
        <v>359.36290000000002</v>
      </c>
      <c r="AD242" s="6">
        <f>$O$242*$X$242</f>
        <v>1039.4961000000001</v>
      </c>
      <c r="AE242" s="6">
        <f>$K$242*$Y$242</f>
        <v>0</v>
      </c>
      <c r="AF242" s="6">
        <f ca="1">$M$242*$Z$242</f>
        <v>619.88750000000005</v>
      </c>
      <c r="AG242" s="6">
        <f ca="1">$O$242*$AA$242</f>
        <v>1094.9251661606258</v>
      </c>
    </row>
    <row r="243" spans="1:33" ht="11.25" customHeight="1" x14ac:dyDescent="0.25">
      <c r="A243" s="4" t="s">
        <v>28</v>
      </c>
      <c r="B243" s="4" t="s">
        <v>35</v>
      </c>
      <c r="C243" s="4" t="s">
        <v>39</v>
      </c>
      <c r="D243" s="4" t="s">
        <v>43</v>
      </c>
      <c r="E243" s="4" t="s">
        <v>25</v>
      </c>
      <c r="F243" s="4" t="s">
        <v>25</v>
      </c>
      <c r="G243" s="4" t="s">
        <v>25</v>
      </c>
      <c r="H243" s="4" t="s">
        <v>38</v>
      </c>
      <c r="I243" s="5">
        <v>44652</v>
      </c>
      <c r="J243" s="6">
        <v>0</v>
      </c>
      <c r="K243" s="6">
        <v>0</v>
      </c>
      <c r="L243" s="6">
        <v>17</v>
      </c>
      <c r="M243" s="6">
        <v>17</v>
      </c>
      <c r="N243" s="6">
        <v>17</v>
      </c>
      <c r="O243" s="6">
        <v>17</v>
      </c>
      <c r="P243" s="6">
        <v>0</v>
      </c>
      <c r="Q243" s="4" t="s">
        <v>26</v>
      </c>
      <c r="R243" s="4">
        <v>0</v>
      </c>
      <c r="S243" s="6">
        <v>0</v>
      </c>
      <c r="T243" s="6">
        <v>18</v>
      </c>
      <c r="U243" s="6">
        <v>73</v>
      </c>
      <c r="V243" s="6">
        <f>IF(ISERROR(VLOOKUP($S$243,'TAR FIN'!$A$1:$O$86,15,0)),0,VLOOKUP($S$243,'TAR FIN'!$A$1:$O$86,15,0))</f>
        <v>0</v>
      </c>
      <c r="W243" s="6">
        <f>IF(ISERROR(VLOOKUP($T$243,'TAR FIN'!$A$1:$O$86,15,0)),0,VLOOKUP($T$243,'TAR FIN'!$A$1:$O$86,15,0))</f>
        <v>73.19</v>
      </c>
      <c r="X243" s="6">
        <f>IF(ISERROR(VLOOKUP($U$243,'TAR FIN'!$A$1:$O$86,15,0)),0,VLOOKUP($U$243,'TAR FIN'!$A$1:$O$86,15,0))</f>
        <v>211.71</v>
      </c>
      <c r="Y243" s="6"/>
      <c r="Z243" s="6">
        <f ca="1">('TUSD BE'!$AM$12+'TUSD BF_350'!$AM$12+'TUSD CVA'!$AM$12)*1</f>
        <v>126.25</v>
      </c>
      <c r="AA243" s="6">
        <f ca="1">('TE BE'!$AB$6+'TE BF_350'!$AB$6+'TE CVA'!$AB$6)*1</f>
        <v>222.99901551132911</v>
      </c>
      <c r="AB243" s="6">
        <f>$K$243*$V$243</f>
        <v>0</v>
      </c>
      <c r="AC243" s="6">
        <f>$M$243*$W$243</f>
        <v>1244.23</v>
      </c>
      <c r="AD243" s="6">
        <f>$O$243*$X$243</f>
        <v>3599.07</v>
      </c>
      <c r="AE243" s="6">
        <f>$K$243*$Y$243</f>
        <v>0</v>
      </c>
      <c r="AF243" s="6">
        <f ca="1">$M$243*$Z$243</f>
        <v>2146.25</v>
      </c>
      <c r="AG243" s="6">
        <f ca="1">$O$243*$AA$243</f>
        <v>3790.9832636925948</v>
      </c>
    </row>
    <row r="244" spans="1:33" ht="11.25" customHeight="1" x14ac:dyDescent="0.25">
      <c r="A244" s="4" t="s">
        <v>21</v>
      </c>
      <c r="B244" s="4" t="s">
        <v>35</v>
      </c>
      <c r="C244" s="4" t="s">
        <v>39</v>
      </c>
      <c r="D244" s="4" t="s">
        <v>43</v>
      </c>
      <c r="E244" s="4" t="s">
        <v>25</v>
      </c>
      <c r="F244" s="4" t="s">
        <v>25</v>
      </c>
      <c r="G244" s="4" t="s">
        <v>25</v>
      </c>
      <c r="H244" s="4" t="s">
        <v>38</v>
      </c>
      <c r="I244" s="5">
        <v>44682</v>
      </c>
      <c r="J244" s="6">
        <v>0</v>
      </c>
      <c r="K244" s="6">
        <v>0</v>
      </c>
      <c r="L244" s="6">
        <v>4.8129999999999997</v>
      </c>
      <c r="M244" s="6">
        <v>4.8129999999999997</v>
      </c>
      <c r="N244" s="6">
        <v>4.8129999999999997</v>
      </c>
      <c r="O244" s="6">
        <v>4.8129999999999997</v>
      </c>
      <c r="P244" s="6">
        <v>0</v>
      </c>
      <c r="Q244" s="4" t="s">
        <v>26</v>
      </c>
      <c r="R244" s="4">
        <v>0</v>
      </c>
      <c r="S244" s="6">
        <v>0</v>
      </c>
      <c r="T244" s="6">
        <v>18</v>
      </c>
      <c r="U244" s="6">
        <v>73</v>
      </c>
      <c r="V244" s="6">
        <f>IF(ISERROR(VLOOKUP($S$244,'TAR FIN'!$A$1:$O$86,15,0)),0,VLOOKUP($S$244,'TAR FIN'!$A$1:$O$86,15,0))</f>
        <v>0</v>
      </c>
      <c r="W244" s="6">
        <f>IF(ISERROR(VLOOKUP($T$244,'TAR FIN'!$A$1:$O$86,15,0)),0,VLOOKUP($T$244,'TAR FIN'!$A$1:$O$86,15,0))</f>
        <v>73.19</v>
      </c>
      <c r="X244" s="6">
        <f>IF(ISERROR(VLOOKUP($U$244,'TAR FIN'!$A$1:$O$86,15,0)),0,VLOOKUP($U$244,'TAR FIN'!$A$1:$O$86,15,0))</f>
        <v>211.71</v>
      </c>
      <c r="Y244" s="6"/>
      <c r="Z244" s="6">
        <f ca="1">('TUSD BE'!$AM$12+'TUSD BF_350'!$AM$12+'TUSD CVA'!$AM$12)*1</f>
        <v>126.25</v>
      </c>
      <c r="AA244" s="6">
        <f ca="1">('TE BE'!$AB$6+'TE BF_350'!$AB$6+'TE CVA'!$AB$6)*1</f>
        <v>222.99901551132911</v>
      </c>
      <c r="AB244" s="6">
        <f>$K$244*$V$244</f>
        <v>0</v>
      </c>
      <c r="AC244" s="6">
        <f>$M$244*$W$244</f>
        <v>352.26346999999998</v>
      </c>
      <c r="AD244" s="6">
        <f>$O$244*$X$244</f>
        <v>1018.96023</v>
      </c>
      <c r="AE244" s="6">
        <f>$K$244*$Y$244</f>
        <v>0</v>
      </c>
      <c r="AF244" s="6">
        <f ca="1">$M$244*$Z$244</f>
        <v>607.64125000000001</v>
      </c>
      <c r="AG244" s="6">
        <f ca="1">$O$244*$AA$244</f>
        <v>1073.2942616560269</v>
      </c>
    </row>
    <row r="245" spans="1:33" ht="11.25" customHeight="1" x14ac:dyDescent="0.25">
      <c r="A245" s="4" t="s">
        <v>28</v>
      </c>
      <c r="B245" s="4" t="s">
        <v>35</v>
      </c>
      <c r="C245" s="4" t="s">
        <v>39</v>
      </c>
      <c r="D245" s="4" t="s">
        <v>43</v>
      </c>
      <c r="E245" s="4" t="s">
        <v>25</v>
      </c>
      <c r="F245" s="4" t="s">
        <v>25</v>
      </c>
      <c r="G245" s="4" t="s">
        <v>25</v>
      </c>
      <c r="H245" s="4" t="s">
        <v>38</v>
      </c>
      <c r="I245" s="5">
        <v>44682</v>
      </c>
      <c r="J245" s="6">
        <v>0</v>
      </c>
      <c r="K245" s="6">
        <v>0</v>
      </c>
      <c r="L245" s="6">
        <v>13.731999999999999</v>
      </c>
      <c r="M245" s="6">
        <v>13.731999999999999</v>
      </c>
      <c r="N245" s="6">
        <v>13.731999999999999</v>
      </c>
      <c r="O245" s="6">
        <v>13.731999999999999</v>
      </c>
      <c r="P245" s="6">
        <v>0</v>
      </c>
      <c r="Q245" s="4" t="s">
        <v>26</v>
      </c>
      <c r="R245" s="4">
        <v>0</v>
      </c>
      <c r="S245" s="6">
        <v>0</v>
      </c>
      <c r="T245" s="6">
        <v>18</v>
      </c>
      <c r="U245" s="6">
        <v>73</v>
      </c>
      <c r="V245" s="6">
        <f>IF(ISERROR(VLOOKUP($S$245,'TAR FIN'!$A$1:$O$86,15,0)),0,VLOOKUP($S$245,'TAR FIN'!$A$1:$O$86,15,0))</f>
        <v>0</v>
      </c>
      <c r="W245" s="6">
        <f>IF(ISERROR(VLOOKUP($T$245,'TAR FIN'!$A$1:$O$86,15,0)),0,VLOOKUP($T$245,'TAR FIN'!$A$1:$O$86,15,0))</f>
        <v>73.19</v>
      </c>
      <c r="X245" s="6">
        <f>IF(ISERROR(VLOOKUP($U$245,'TAR FIN'!$A$1:$O$86,15,0)),0,VLOOKUP($U$245,'TAR FIN'!$A$1:$O$86,15,0))</f>
        <v>211.71</v>
      </c>
      <c r="Y245" s="6"/>
      <c r="Z245" s="6">
        <f ca="1">('TUSD BE'!$AM$12+'TUSD BF_350'!$AM$12+'TUSD CVA'!$AM$12)*1</f>
        <v>126.25</v>
      </c>
      <c r="AA245" s="6">
        <f ca="1">('TE BE'!$AB$6+'TE BF_350'!$AB$6+'TE CVA'!$AB$6)*1</f>
        <v>222.99901551132911</v>
      </c>
      <c r="AB245" s="6">
        <f>$K$245*$V$245</f>
        <v>0</v>
      </c>
      <c r="AC245" s="6">
        <f>$M$245*$W$245</f>
        <v>1005.0450799999999</v>
      </c>
      <c r="AD245" s="6">
        <f>$O$245*$X$245</f>
        <v>2907.20172</v>
      </c>
      <c r="AE245" s="6">
        <f>$K$245*$Y$245</f>
        <v>0</v>
      </c>
      <c r="AF245" s="6">
        <f ca="1">$M$245*$Z$245</f>
        <v>1733.665</v>
      </c>
      <c r="AG245" s="6">
        <f ca="1">$O$245*$AA$245</f>
        <v>3062.2224810015709</v>
      </c>
    </row>
    <row r="246" spans="1:33" ht="11.25" customHeight="1" x14ac:dyDescent="0.25">
      <c r="A246" s="4" t="s">
        <v>21</v>
      </c>
      <c r="B246" s="4" t="s">
        <v>35</v>
      </c>
      <c r="C246" s="4" t="s">
        <v>39</v>
      </c>
      <c r="D246" s="4" t="s">
        <v>43</v>
      </c>
      <c r="E246" s="4" t="s">
        <v>25</v>
      </c>
      <c r="F246" s="4" t="s">
        <v>25</v>
      </c>
      <c r="G246" s="4" t="s">
        <v>25</v>
      </c>
      <c r="H246" s="4" t="s">
        <v>38</v>
      </c>
      <c r="I246" s="5">
        <v>44713</v>
      </c>
      <c r="J246" s="6">
        <v>0</v>
      </c>
      <c r="K246" s="6">
        <v>0</v>
      </c>
      <c r="L246" s="6">
        <v>5.4690000000000003</v>
      </c>
      <c r="M246" s="6">
        <v>5.4690000000000003</v>
      </c>
      <c r="N246" s="6">
        <v>5.4690000000000003</v>
      </c>
      <c r="O246" s="6">
        <v>5.4690000000000003</v>
      </c>
      <c r="P246" s="6">
        <v>0</v>
      </c>
      <c r="Q246" s="4" t="s">
        <v>26</v>
      </c>
      <c r="R246" s="4">
        <v>0</v>
      </c>
      <c r="S246" s="6">
        <v>0</v>
      </c>
      <c r="T246" s="6">
        <v>18</v>
      </c>
      <c r="U246" s="6">
        <v>73</v>
      </c>
      <c r="V246" s="6">
        <f>IF(ISERROR(VLOOKUP($S$246,'TAR FIN'!$A$1:$O$86,15,0)),0,VLOOKUP($S$246,'TAR FIN'!$A$1:$O$86,15,0))</f>
        <v>0</v>
      </c>
      <c r="W246" s="6">
        <f>IF(ISERROR(VLOOKUP($T$246,'TAR FIN'!$A$1:$O$86,15,0)),0,VLOOKUP($T$246,'TAR FIN'!$A$1:$O$86,15,0))</f>
        <v>73.19</v>
      </c>
      <c r="X246" s="6">
        <f>IF(ISERROR(VLOOKUP($U$246,'TAR FIN'!$A$1:$O$86,15,0)),0,VLOOKUP($U$246,'TAR FIN'!$A$1:$O$86,15,0))</f>
        <v>211.71</v>
      </c>
      <c r="Y246" s="6"/>
      <c r="Z246" s="6">
        <f ca="1">('TUSD BE'!$AM$12+'TUSD BF_350'!$AM$12+'TUSD CVA'!$AM$12)*1</f>
        <v>126.25</v>
      </c>
      <c r="AA246" s="6">
        <f ca="1">('TE BE'!$AB$6+'TE BF_350'!$AB$6+'TE CVA'!$AB$6)*1</f>
        <v>222.99901551132911</v>
      </c>
      <c r="AB246" s="6">
        <f>$K$246*$V$246</f>
        <v>0</v>
      </c>
      <c r="AC246" s="6">
        <f>$M$246*$W$246</f>
        <v>400.27611000000002</v>
      </c>
      <c r="AD246" s="6">
        <f>$O$246*$X$246</f>
        <v>1157.8419900000001</v>
      </c>
      <c r="AE246" s="6">
        <f>$K$246*$Y$246</f>
        <v>0</v>
      </c>
      <c r="AF246" s="6">
        <f ca="1">$M$246*$Z$246</f>
        <v>690.46125000000006</v>
      </c>
      <c r="AG246" s="6">
        <f ca="1">$O$246*$AA$246</f>
        <v>1219.581615831459</v>
      </c>
    </row>
    <row r="247" spans="1:33" ht="11.25" customHeight="1" x14ac:dyDescent="0.25">
      <c r="A247" s="4" t="s">
        <v>28</v>
      </c>
      <c r="B247" s="4" t="s">
        <v>35</v>
      </c>
      <c r="C247" s="4" t="s">
        <v>39</v>
      </c>
      <c r="D247" s="4" t="s">
        <v>43</v>
      </c>
      <c r="E247" s="4" t="s">
        <v>25</v>
      </c>
      <c r="F247" s="4" t="s">
        <v>25</v>
      </c>
      <c r="G247" s="4" t="s">
        <v>25</v>
      </c>
      <c r="H247" s="4" t="s">
        <v>38</v>
      </c>
      <c r="I247" s="5">
        <v>44713</v>
      </c>
      <c r="J247" s="6">
        <v>0</v>
      </c>
      <c r="K247" s="6">
        <v>0</v>
      </c>
      <c r="L247" s="6">
        <v>11.313000000000001</v>
      </c>
      <c r="M247" s="6">
        <v>11.313000000000001</v>
      </c>
      <c r="N247" s="6">
        <v>11.313000000000001</v>
      </c>
      <c r="O247" s="6">
        <v>11.313000000000001</v>
      </c>
      <c r="P247" s="6">
        <v>0</v>
      </c>
      <c r="Q247" s="4" t="s">
        <v>26</v>
      </c>
      <c r="R247" s="4">
        <v>0</v>
      </c>
      <c r="S247" s="6">
        <v>0</v>
      </c>
      <c r="T247" s="6">
        <v>18</v>
      </c>
      <c r="U247" s="6">
        <v>73</v>
      </c>
      <c r="V247" s="6">
        <f>IF(ISERROR(VLOOKUP($S$247,'TAR FIN'!$A$1:$O$86,15,0)),0,VLOOKUP($S$247,'TAR FIN'!$A$1:$O$86,15,0))</f>
        <v>0</v>
      </c>
      <c r="W247" s="6">
        <f>IF(ISERROR(VLOOKUP($T$247,'TAR FIN'!$A$1:$O$86,15,0)),0,VLOOKUP($T$247,'TAR FIN'!$A$1:$O$86,15,0))</f>
        <v>73.19</v>
      </c>
      <c r="X247" s="6">
        <f>IF(ISERROR(VLOOKUP($U$247,'TAR FIN'!$A$1:$O$86,15,0)),0,VLOOKUP($U$247,'TAR FIN'!$A$1:$O$86,15,0))</f>
        <v>211.71</v>
      </c>
      <c r="Y247" s="6"/>
      <c r="Z247" s="6">
        <f ca="1">('TUSD BE'!$AM$12+'TUSD BF_350'!$AM$12+'TUSD CVA'!$AM$12)*1</f>
        <v>126.25</v>
      </c>
      <c r="AA247" s="6">
        <f ca="1">('TE BE'!$AB$6+'TE BF_350'!$AB$6+'TE CVA'!$AB$6)*1</f>
        <v>222.99901551132911</v>
      </c>
      <c r="AB247" s="6">
        <f>$K$247*$V$247</f>
        <v>0</v>
      </c>
      <c r="AC247" s="6">
        <f>$M$247*$W$247</f>
        <v>827.99847</v>
      </c>
      <c r="AD247" s="6">
        <f>$O$247*$X$247</f>
        <v>2395.0752300000004</v>
      </c>
      <c r="AE247" s="6">
        <f>$K$247*$Y$247</f>
        <v>0</v>
      </c>
      <c r="AF247" s="6">
        <f ca="1">$M$247*$Z$247</f>
        <v>1428.2662500000001</v>
      </c>
      <c r="AG247" s="6">
        <f ca="1">$O$247*$AA$247</f>
        <v>2522.7878624796663</v>
      </c>
    </row>
    <row r="248" spans="1:33" ht="11.25" customHeight="1" x14ac:dyDescent="0.25">
      <c r="A248" s="4" t="s">
        <v>55</v>
      </c>
      <c r="B248" s="4" t="s">
        <v>35</v>
      </c>
      <c r="C248" s="4" t="s">
        <v>39</v>
      </c>
      <c r="D248" s="4" t="s">
        <v>43</v>
      </c>
      <c r="E248" s="4" t="s">
        <v>25</v>
      </c>
      <c r="F248" s="4" t="s">
        <v>25</v>
      </c>
      <c r="G248" s="4" t="s">
        <v>25</v>
      </c>
      <c r="H248" s="4" t="s">
        <v>38</v>
      </c>
      <c r="I248" s="5">
        <v>44743</v>
      </c>
      <c r="J248" s="6">
        <v>0</v>
      </c>
      <c r="K248" s="6">
        <v>0</v>
      </c>
      <c r="L248" s="6">
        <v>5.4690000000000003</v>
      </c>
      <c r="M248" s="6">
        <v>5.4690000000000003</v>
      </c>
      <c r="N248" s="6">
        <v>5.4690000000000003</v>
      </c>
      <c r="O248" s="6">
        <v>5.4690000000000003</v>
      </c>
      <c r="P248" s="6">
        <v>0</v>
      </c>
      <c r="Q248" s="4" t="s">
        <v>26</v>
      </c>
      <c r="R248" s="4">
        <v>0</v>
      </c>
      <c r="S248" s="6">
        <v>0</v>
      </c>
      <c r="T248" s="6">
        <v>18</v>
      </c>
      <c r="U248" s="6">
        <v>73</v>
      </c>
      <c r="V248" s="6">
        <f>IF(ISERROR(VLOOKUP($S$248,'TAR FIN'!$A$1:$O$86,15,0)),0,VLOOKUP($S$248,'TAR FIN'!$A$1:$O$86,15,0))</f>
        <v>0</v>
      </c>
      <c r="W248" s="6">
        <f>IF(ISERROR(VLOOKUP($T$248,'TAR FIN'!$A$1:$O$86,15,0)),0,VLOOKUP($T$248,'TAR FIN'!$A$1:$O$86,15,0))</f>
        <v>73.19</v>
      </c>
      <c r="X248" s="6">
        <f>IF(ISERROR(VLOOKUP($U$248,'TAR FIN'!$A$1:$O$86,15,0)),0,VLOOKUP($U$248,'TAR FIN'!$A$1:$O$86,15,0))</f>
        <v>211.71</v>
      </c>
      <c r="Y248" s="6"/>
      <c r="Z248" s="6">
        <f ca="1">('TUSD BE'!$AM$12+'TUSD BF_350'!$AM$12+'TUSD CVA'!$AM$12)*1</f>
        <v>126.25</v>
      </c>
      <c r="AA248" s="6">
        <f ca="1">('TE BE'!$AB$6+'TE BF_350'!$AB$6+'TE CVA'!$AB$6)*1</f>
        <v>222.99901551132911</v>
      </c>
      <c r="AB248" s="6">
        <f>$K$248*$V$248</f>
        <v>0</v>
      </c>
      <c r="AC248" s="6">
        <f>$M$248*$W$248</f>
        <v>400.27611000000002</v>
      </c>
      <c r="AD248" s="6">
        <f>$O$248*$X$248</f>
        <v>1157.8419900000001</v>
      </c>
      <c r="AE248" s="6">
        <f>$K$248*$Y$248</f>
        <v>0</v>
      </c>
      <c r="AF248" s="6">
        <f ca="1">$M$248*$Z$248</f>
        <v>690.46125000000006</v>
      </c>
      <c r="AG248" s="6">
        <f ca="1">$O$248*$AA$248</f>
        <v>1219.581615831459</v>
      </c>
    </row>
    <row r="249" spans="1:33" ht="11.25" customHeight="1" x14ac:dyDescent="0.25">
      <c r="A249" s="4" t="s">
        <v>55</v>
      </c>
      <c r="B249" s="4" t="s">
        <v>35</v>
      </c>
      <c r="C249" s="4" t="s">
        <v>39</v>
      </c>
      <c r="D249" s="4" t="s">
        <v>43</v>
      </c>
      <c r="E249" s="4" t="s">
        <v>25</v>
      </c>
      <c r="F249" s="4" t="s">
        <v>25</v>
      </c>
      <c r="G249" s="4" t="s">
        <v>25</v>
      </c>
      <c r="H249" s="4" t="s">
        <v>38</v>
      </c>
      <c r="I249" s="5">
        <v>44743</v>
      </c>
      <c r="J249" s="6">
        <v>0</v>
      </c>
      <c r="K249" s="6">
        <v>0</v>
      </c>
      <c r="L249" s="6">
        <v>11.313000000000001</v>
      </c>
      <c r="M249" s="6">
        <v>11.313000000000001</v>
      </c>
      <c r="N249" s="6">
        <v>11.313000000000001</v>
      </c>
      <c r="O249" s="6">
        <v>11.313000000000001</v>
      </c>
      <c r="P249" s="6">
        <v>0</v>
      </c>
      <c r="Q249" s="4" t="s">
        <v>26</v>
      </c>
      <c r="R249" s="4">
        <v>0</v>
      </c>
      <c r="S249" s="6">
        <v>0</v>
      </c>
      <c r="T249" s="6">
        <v>18</v>
      </c>
      <c r="U249" s="6">
        <v>73</v>
      </c>
      <c r="V249" s="6">
        <f>IF(ISERROR(VLOOKUP($S$249,'TAR FIN'!$A$1:$O$86,15,0)),0,VLOOKUP($S$249,'TAR FIN'!$A$1:$O$86,15,0))</f>
        <v>0</v>
      </c>
      <c r="W249" s="6">
        <f>IF(ISERROR(VLOOKUP($T$249,'TAR FIN'!$A$1:$O$86,15,0)),0,VLOOKUP($T$249,'TAR FIN'!$A$1:$O$86,15,0))</f>
        <v>73.19</v>
      </c>
      <c r="X249" s="6">
        <f>IF(ISERROR(VLOOKUP($U$249,'TAR FIN'!$A$1:$O$86,15,0)),0,VLOOKUP($U$249,'TAR FIN'!$A$1:$O$86,15,0))</f>
        <v>211.71</v>
      </c>
      <c r="Y249" s="6"/>
      <c r="Z249" s="6">
        <f ca="1">('TUSD BE'!$AM$12+'TUSD BF_350'!$AM$12+'TUSD CVA'!$AM$12)*1</f>
        <v>126.25</v>
      </c>
      <c r="AA249" s="6">
        <f ca="1">('TE BE'!$AB$6+'TE BF_350'!$AB$6+'TE CVA'!$AB$6)*1</f>
        <v>222.99901551132911</v>
      </c>
      <c r="AB249" s="6">
        <f>$K$249*$V$249</f>
        <v>0</v>
      </c>
      <c r="AC249" s="6">
        <f>$M$249*$W$249</f>
        <v>827.99847</v>
      </c>
      <c r="AD249" s="6">
        <f>$O$249*$X$249</f>
        <v>2395.0752300000004</v>
      </c>
      <c r="AE249" s="6">
        <f>$K$249*$Y$249</f>
        <v>0</v>
      </c>
      <c r="AF249" s="6">
        <f ca="1">$M$249*$Z$249</f>
        <v>1428.2662500000001</v>
      </c>
      <c r="AG249" s="6">
        <f ca="1">$O$249*$AA$249</f>
        <v>2522.7878624796663</v>
      </c>
    </row>
    <row r="250" spans="1:33" ht="11.25" customHeight="1" x14ac:dyDescent="0.25">
      <c r="A250" s="4" t="s">
        <v>21</v>
      </c>
      <c r="B250" s="4" t="s">
        <v>35</v>
      </c>
      <c r="C250" s="4" t="s">
        <v>39</v>
      </c>
      <c r="D250" s="4" t="s">
        <v>43</v>
      </c>
      <c r="E250" s="4" t="s">
        <v>25</v>
      </c>
      <c r="F250" s="4" t="s">
        <v>25</v>
      </c>
      <c r="G250" s="4" t="s">
        <v>25</v>
      </c>
      <c r="H250" s="4" t="s">
        <v>25</v>
      </c>
      <c r="I250" s="5">
        <v>44409</v>
      </c>
      <c r="J250" s="6">
        <v>227</v>
      </c>
      <c r="K250" s="6">
        <v>227</v>
      </c>
      <c r="L250" s="6">
        <v>0</v>
      </c>
      <c r="M250" s="6">
        <v>0</v>
      </c>
      <c r="N250" s="6">
        <v>0</v>
      </c>
      <c r="O250" s="6">
        <v>0</v>
      </c>
      <c r="P250" s="6">
        <v>2</v>
      </c>
      <c r="Q250" s="4" t="s">
        <v>26</v>
      </c>
      <c r="R250" s="4">
        <v>0</v>
      </c>
      <c r="S250" s="6">
        <v>24</v>
      </c>
      <c r="T250" s="6">
        <v>0</v>
      </c>
      <c r="U250" s="6">
        <v>0</v>
      </c>
      <c r="V250" s="6">
        <f>IF(ISERROR(VLOOKUP($S$250,'TAR FIN'!$A$1:$O$86,15,0)),0,VLOOKUP($S$250,'TAR FIN'!$A$1:$O$86,15,0))</f>
        <v>22.9</v>
      </c>
      <c r="W250" s="6">
        <f>IF(ISERROR(VLOOKUP($T$250,'TAR FIN'!$A$1:$O$86,15,0)),0,VLOOKUP($T$250,'TAR FIN'!$A$1:$O$86,15,0))</f>
        <v>0</v>
      </c>
      <c r="X250" s="6">
        <f>IF(ISERROR(VLOOKUP($U$250,'TAR FIN'!$A$1:$O$86,15,0)),0,VLOOKUP($U$250,'TAR FIN'!$A$1:$O$86,15,0))</f>
        <v>0</v>
      </c>
      <c r="Y250" s="6">
        <f ca="1">('TUSD BE'!$AM$10+'TUSD BF_350'!$AM$10+'TUSD CVA'!$AM$10)*1</f>
        <v>15.64</v>
      </c>
      <c r="Z250" s="6"/>
      <c r="AA250" s="6"/>
      <c r="AB250" s="6">
        <f>$K$250*$V$250</f>
        <v>5198.2999999999993</v>
      </c>
      <c r="AC250" s="6">
        <f>$M$250*$W$250</f>
        <v>0</v>
      </c>
      <c r="AD250" s="6">
        <f>$O$250*$X$250</f>
        <v>0</v>
      </c>
      <c r="AE250" s="6">
        <f ca="1">$K$250*$Y$250</f>
        <v>3550.28</v>
      </c>
      <c r="AF250" s="6">
        <f>$M$250*$Z$250</f>
        <v>0</v>
      </c>
      <c r="AG250" s="6">
        <f>$O$250*$AA$250</f>
        <v>0</v>
      </c>
    </row>
    <row r="251" spans="1:33" ht="11.25" customHeight="1" x14ac:dyDescent="0.25">
      <c r="A251" s="4" t="s">
        <v>21</v>
      </c>
      <c r="B251" s="4" t="s">
        <v>35</v>
      </c>
      <c r="C251" s="4" t="s">
        <v>39</v>
      </c>
      <c r="D251" s="4" t="s">
        <v>43</v>
      </c>
      <c r="E251" s="4" t="s">
        <v>25</v>
      </c>
      <c r="F251" s="4" t="s">
        <v>25</v>
      </c>
      <c r="G251" s="4" t="s">
        <v>25</v>
      </c>
      <c r="H251" s="4" t="s">
        <v>25</v>
      </c>
      <c r="I251" s="5">
        <v>44440</v>
      </c>
      <c r="J251" s="6">
        <v>209</v>
      </c>
      <c r="K251" s="6">
        <v>209</v>
      </c>
      <c r="L251" s="6">
        <v>0</v>
      </c>
      <c r="M251" s="6">
        <v>0</v>
      </c>
      <c r="N251" s="6">
        <v>0</v>
      </c>
      <c r="O251" s="6">
        <v>0</v>
      </c>
      <c r="P251" s="6">
        <v>2</v>
      </c>
      <c r="Q251" s="4" t="s">
        <v>26</v>
      </c>
      <c r="R251" s="4">
        <v>0</v>
      </c>
      <c r="S251" s="6">
        <v>24</v>
      </c>
      <c r="T251" s="6">
        <v>0</v>
      </c>
      <c r="U251" s="6">
        <v>0</v>
      </c>
      <c r="V251" s="6">
        <f>IF(ISERROR(VLOOKUP($S$251,'TAR FIN'!$A$1:$O$86,15,0)),0,VLOOKUP($S$251,'TAR FIN'!$A$1:$O$86,15,0))</f>
        <v>22.9</v>
      </c>
      <c r="W251" s="6">
        <f>IF(ISERROR(VLOOKUP($T$251,'TAR FIN'!$A$1:$O$86,15,0)),0,VLOOKUP($T$251,'TAR FIN'!$A$1:$O$86,15,0))</f>
        <v>0</v>
      </c>
      <c r="X251" s="6">
        <f>IF(ISERROR(VLOOKUP($U$251,'TAR FIN'!$A$1:$O$86,15,0)),0,VLOOKUP($U$251,'TAR FIN'!$A$1:$O$86,15,0))</f>
        <v>0</v>
      </c>
      <c r="Y251" s="6">
        <f ca="1">('TUSD BE'!$AM$10+'TUSD BF_350'!$AM$10+'TUSD CVA'!$AM$10)*1</f>
        <v>15.64</v>
      </c>
      <c r="Z251" s="6"/>
      <c r="AA251" s="6"/>
      <c r="AB251" s="6">
        <f>$K$251*$V$251</f>
        <v>4786.0999999999995</v>
      </c>
      <c r="AC251" s="6">
        <f>$M$251*$W$251</f>
        <v>0</v>
      </c>
      <c r="AD251" s="6">
        <f>$O$251*$X$251</f>
        <v>0</v>
      </c>
      <c r="AE251" s="6">
        <f ca="1">$K$251*$Y$251</f>
        <v>3268.76</v>
      </c>
      <c r="AF251" s="6">
        <f>$M$251*$Z$251</f>
        <v>0</v>
      </c>
      <c r="AG251" s="6">
        <f>$O$251*$AA$251</f>
        <v>0</v>
      </c>
    </row>
    <row r="252" spans="1:33" ht="11.25" customHeight="1" x14ac:dyDescent="0.25">
      <c r="A252" s="4" t="s">
        <v>21</v>
      </c>
      <c r="B252" s="4" t="s">
        <v>35</v>
      </c>
      <c r="C252" s="4" t="s">
        <v>39</v>
      </c>
      <c r="D252" s="4" t="s">
        <v>43</v>
      </c>
      <c r="E252" s="4" t="s">
        <v>25</v>
      </c>
      <c r="F252" s="4" t="s">
        <v>25</v>
      </c>
      <c r="G252" s="4" t="s">
        <v>25</v>
      </c>
      <c r="H252" s="4" t="s">
        <v>25</v>
      </c>
      <c r="I252" s="5">
        <v>44470</v>
      </c>
      <c r="J252" s="6">
        <v>217</v>
      </c>
      <c r="K252" s="6">
        <v>217</v>
      </c>
      <c r="L252" s="6">
        <v>0</v>
      </c>
      <c r="M252" s="6">
        <v>0</v>
      </c>
      <c r="N252" s="6">
        <v>0</v>
      </c>
      <c r="O252" s="6">
        <v>0</v>
      </c>
      <c r="P252" s="6">
        <v>2</v>
      </c>
      <c r="Q252" s="4" t="s">
        <v>26</v>
      </c>
      <c r="R252" s="4">
        <v>0</v>
      </c>
      <c r="S252" s="6">
        <v>24</v>
      </c>
      <c r="T252" s="6">
        <v>0</v>
      </c>
      <c r="U252" s="6">
        <v>0</v>
      </c>
      <c r="V252" s="6">
        <f>IF(ISERROR(VLOOKUP($S$252,'TAR FIN'!$A$1:$O$86,15,0)),0,VLOOKUP($S$252,'TAR FIN'!$A$1:$O$86,15,0))</f>
        <v>22.9</v>
      </c>
      <c r="W252" s="6">
        <f>IF(ISERROR(VLOOKUP($T$252,'TAR FIN'!$A$1:$O$86,15,0)),0,VLOOKUP($T$252,'TAR FIN'!$A$1:$O$86,15,0))</f>
        <v>0</v>
      </c>
      <c r="X252" s="6">
        <f>IF(ISERROR(VLOOKUP($U$252,'TAR FIN'!$A$1:$O$86,15,0)),0,VLOOKUP($U$252,'TAR FIN'!$A$1:$O$86,15,0))</f>
        <v>0</v>
      </c>
      <c r="Y252" s="6">
        <f ca="1">('TUSD BE'!$AM$10+'TUSD BF_350'!$AM$10+'TUSD CVA'!$AM$10)*1</f>
        <v>15.64</v>
      </c>
      <c r="Z252" s="6"/>
      <c r="AA252" s="6"/>
      <c r="AB252" s="6">
        <f>$K$252*$V$252</f>
        <v>4969.2999999999993</v>
      </c>
      <c r="AC252" s="6">
        <f>$M$252*$W$252</f>
        <v>0</v>
      </c>
      <c r="AD252" s="6">
        <f>$O$252*$X$252</f>
        <v>0</v>
      </c>
      <c r="AE252" s="6">
        <f ca="1">$K$252*$Y$252</f>
        <v>3393.88</v>
      </c>
      <c r="AF252" s="6">
        <f>$M$252*$Z$252</f>
        <v>0</v>
      </c>
      <c r="AG252" s="6">
        <f>$O$252*$AA$252</f>
        <v>0</v>
      </c>
    </row>
    <row r="253" spans="1:33" ht="11.25" customHeight="1" x14ac:dyDescent="0.25">
      <c r="A253" s="4" t="s">
        <v>21</v>
      </c>
      <c r="B253" s="4" t="s">
        <v>35</v>
      </c>
      <c r="C253" s="4" t="s">
        <v>39</v>
      </c>
      <c r="D253" s="4" t="s">
        <v>43</v>
      </c>
      <c r="E253" s="4" t="s">
        <v>25</v>
      </c>
      <c r="F253" s="4" t="s">
        <v>25</v>
      </c>
      <c r="G253" s="4" t="s">
        <v>25</v>
      </c>
      <c r="H253" s="4" t="s">
        <v>25</v>
      </c>
      <c r="I253" s="5">
        <v>44501</v>
      </c>
      <c r="J253" s="6">
        <v>255</v>
      </c>
      <c r="K253" s="6">
        <v>255</v>
      </c>
      <c r="L253" s="6">
        <v>0</v>
      </c>
      <c r="M253" s="6">
        <v>0</v>
      </c>
      <c r="N253" s="6">
        <v>0</v>
      </c>
      <c r="O253" s="6">
        <v>0</v>
      </c>
      <c r="P253" s="6">
        <v>2</v>
      </c>
      <c r="Q253" s="4" t="s">
        <v>26</v>
      </c>
      <c r="R253" s="4">
        <v>0</v>
      </c>
      <c r="S253" s="6">
        <v>24</v>
      </c>
      <c r="T253" s="6">
        <v>0</v>
      </c>
      <c r="U253" s="6">
        <v>0</v>
      </c>
      <c r="V253" s="6">
        <f>IF(ISERROR(VLOOKUP($S$253,'TAR FIN'!$A$1:$O$86,15,0)),0,VLOOKUP($S$253,'TAR FIN'!$A$1:$O$86,15,0))</f>
        <v>22.9</v>
      </c>
      <c r="W253" s="6">
        <f>IF(ISERROR(VLOOKUP($T$253,'TAR FIN'!$A$1:$O$86,15,0)),0,VLOOKUP($T$253,'TAR FIN'!$A$1:$O$86,15,0))</f>
        <v>0</v>
      </c>
      <c r="X253" s="6">
        <f>IF(ISERROR(VLOOKUP($U$253,'TAR FIN'!$A$1:$O$86,15,0)),0,VLOOKUP($U$253,'TAR FIN'!$A$1:$O$86,15,0))</f>
        <v>0</v>
      </c>
      <c r="Y253" s="6">
        <f ca="1">('TUSD BE'!$AM$10+'TUSD BF_350'!$AM$10+'TUSD CVA'!$AM$10)*1</f>
        <v>15.64</v>
      </c>
      <c r="Z253" s="6"/>
      <c r="AA253" s="6"/>
      <c r="AB253" s="6">
        <f>$K$253*$V$253</f>
        <v>5839.5</v>
      </c>
      <c r="AC253" s="6">
        <f>$M$253*$W$253</f>
        <v>0</v>
      </c>
      <c r="AD253" s="6">
        <f>$O$253*$X$253</f>
        <v>0</v>
      </c>
      <c r="AE253" s="6">
        <f ca="1">$K$253*$Y$253</f>
        <v>3988.2000000000003</v>
      </c>
      <c r="AF253" s="6">
        <f>$M$253*$Z$253</f>
        <v>0</v>
      </c>
      <c r="AG253" s="6">
        <f>$O$253*$AA$253</f>
        <v>0</v>
      </c>
    </row>
    <row r="254" spans="1:33" ht="11.25" customHeight="1" x14ac:dyDescent="0.25">
      <c r="A254" s="4" t="s">
        <v>21</v>
      </c>
      <c r="B254" s="4" t="s">
        <v>35</v>
      </c>
      <c r="C254" s="4" t="s">
        <v>39</v>
      </c>
      <c r="D254" s="4" t="s">
        <v>43</v>
      </c>
      <c r="E254" s="4" t="s">
        <v>25</v>
      </c>
      <c r="F254" s="4" t="s">
        <v>25</v>
      </c>
      <c r="G254" s="4" t="s">
        <v>25</v>
      </c>
      <c r="H254" s="4" t="s">
        <v>25</v>
      </c>
      <c r="I254" s="5">
        <v>44531</v>
      </c>
      <c r="J254" s="6">
        <v>60</v>
      </c>
      <c r="K254" s="6">
        <v>60</v>
      </c>
      <c r="L254" s="6">
        <v>0</v>
      </c>
      <c r="M254" s="6">
        <v>0</v>
      </c>
      <c r="N254" s="6">
        <v>0</v>
      </c>
      <c r="O254" s="6">
        <v>0</v>
      </c>
      <c r="P254" s="6">
        <v>1</v>
      </c>
      <c r="Q254" s="4" t="s">
        <v>26</v>
      </c>
      <c r="R254" s="4">
        <v>0</v>
      </c>
      <c r="S254" s="6">
        <v>24</v>
      </c>
      <c r="T254" s="6">
        <v>0</v>
      </c>
      <c r="U254" s="6">
        <v>0</v>
      </c>
      <c r="V254" s="6">
        <f>IF(ISERROR(VLOOKUP($S$254,'TAR FIN'!$A$1:$O$86,15,0)),0,VLOOKUP($S$254,'TAR FIN'!$A$1:$O$86,15,0))</f>
        <v>22.9</v>
      </c>
      <c r="W254" s="6">
        <f>IF(ISERROR(VLOOKUP($T$254,'TAR FIN'!$A$1:$O$86,15,0)),0,VLOOKUP($T$254,'TAR FIN'!$A$1:$O$86,15,0))</f>
        <v>0</v>
      </c>
      <c r="X254" s="6">
        <f>IF(ISERROR(VLOOKUP($U$254,'TAR FIN'!$A$1:$O$86,15,0)),0,VLOOKUP($U$254,'TAR FIN'!$A$1:$O$86,15,0))</f>
        <v>0</v>
      </c>
      <c r="Y254" s="6">
        <f ca="1">('TUSD BE'!$AM$10+'TUSD BF_350'!$AM$10+'TUSD CVA'!$AM$10)*1</f>
        <v>15.64</v>
      </c>
      <c r="Z254" s="6"/>
      <c r="AA254" s="6"/>
      <c r="AB254" s="6">
        <f>$K$254*$V$254</f>
        <v>1374</v>
      </c>
      <c r="AC254" s="6">
        <f>$M$254*$W$254</f>
        <v>0</v>
      </c>
      <c r="AD254" s="6">
        <f>$O$254*$X$254</f>
        <v>0</v>
      </c>
      <c r="AE254" s="6">
        <f ca="1">$K$254*$Y$254</f>
        <v>938.40000000000009</v>
      </c>
      <c r="AF254" s="6">
        <f>$M$254*$Z$254</f>
        <v>0</v>
      </c>
      <c r="AG254" s="6">
        <f>$O$254*$AA$254</f>
        <v>0</v>
      </c>
    </row>
    <row r="255" spans="1:33" ht="11.25" customHeight="1" x14ac:dyDescent="0.25">
      <c r="A255" s="4" t="s">
        <v>28</v>
      </c>
      <c r="B255" s="4" t="s">
        <v>35</v>
      </c>
      <c r="C255" s="4" t="s">
        <v>39</v>
      </c>
      <c r="D255" s="4" t="s">
        <v>43</v>
      </c>
      <c r="E255" s="4" t="s">
        <v>25</v>
      </c>
      <c r="F255" s="4" t="s">
        <v>25</v>
      </c>
      <c r="G255" s="4" t="s">
        <v>25</v>
      </c>
      <c r="H255" s="4" t="s">
        <v>25</v>
      </c>
      <c r="I255" s="5">
        <v>44531</v>
      </c>
      <c r="J255" s="6">
        <v>175</v>
      </c>
      <c r="K255" s="6">
        <v>175</v>
      </c>
      <c r="L255" s="6">
        <v>0</v>
      </c>
      <c r="M255" s="6">
        <v>0</v>
      </c>
      <c r="N255" s="6">
        <v>0</v>
      </c>
      <c r="O255" s="6">
        <v>0</v>
      </c>
      <c r="P255" s="6">
        <v>1</v>
      </c>
      <c r="Q255" s="4" t="s">
        <v>26</v>
      </c>
      <c r="R255" s="4">
        <v>0</v>
      </c>
      <c r="S255" s="6">
        <v>24</v>
      </c>
      <c r="T255" s="6">
        <v>0</v>
      </c>
      <c r="U255" s="6">
        <v>0</v>
      </c>
      <c r="V255" s="6">
        <f>IF(ISERROR(VLOOKUP($S$255,'TAR FIN'!$A$1:$O$86,15,0)),0,VLOOKUP($S$255,'TAR FIN'!$A$1:$O$86,15,0))</f>
        <v>22.9</v>
      </c>
      <c r="W255" s="6">
        <f>IF(ISERROR(VLOOKUP($T$255,'TAR FIN'!$A$1:$O$86,15,0)),0,VLOOKUP($T$255,'TAR FIN'!$A$1:$O$86,15,0))</f>
        <v>0</v>
      </c>
      <c r="X255" s="6">
        <f>IF(ISERROR(VLOOKUP($U$255,'TAR FIN'!$A$1:$O$86,15,0)),0,VLOOKUP($U$255,'TAR FIN'!$A$1:$O$86,15,0))</f>
        <v>0</v>
      </c>
      <c r="Y255" s="6">
        <f ca="1">('TUSD BE'!$AM$10+'TUSD BF_350'!$AM$10+'TUSD CVA'!$AM$10)*1</f>
        <v>15.64</v>
      </c>
      <c r="Z255" s="6"/>
      <c r="AA255" s="6"/>
      <c r="AB255" s="6">
        <f>$K$255*$V$255</f>
        <v>4007.4999999999995</v>
      </c>
      <c r="AC255" s="6">
        <f>$M$255*$W$255</f>
        <v>0</v>
      </c>
      <c r="AD255" s="6">
        <f>$O$255*$X$255</f>
        <v>0</v>
      </c>
      <c r="AE255" s="6">
        <f ca="1">$K$255*$Y$255</f>
        <v>2737</v>
      </c>
      <c r="AF255" s="6">
        <f>$M$255*$Z$255</f>
        <v>0</v>
      </c>
      <c r="AG255" s="6">
        <f>$O$255*$AA$255</f>
        <v>0</v>
      </c>
    </row>
    <row r="256" spans="1:33" ht="11.25" customHeight="1" x14ac:dyDescent="0.25">
      <c r="A256" s="4" t="s">
        <v>21</v>
      </c>
      <c r="B256" s="4" t="s">
        <v>35</v>
      </c>
      <c r="C256" s="4" t="s">
        <v>39</v>
      </c>
      <c r="D256" s="4" t="s">
        <v>43</v>
      </c>
      <c r="E256" s="4" t="s">
        <v>25</v>
      </c>
      <c r="F256" s="4" t="s">
        <v>25</v>
      </c>
      <c r="G256" s="4" t="s">
        <v>25</v>
      </c>
      <c r="H256" s="4" t="s">
        <v>25</v>
      </c>
      <c r="I256" s="5">
        <v>44562</v>
      </c>
      <c r="J256" s="6">
        <v>60</v>
      </c>
      <c r="K256" s="6">
        <v>60</v>
      </c>
      <c r="L256" s="6">
        <v>0</v>
      </c>
      <c r="M256" s="6">
        <v>0</v>
      </c>
      <c r="N256" s="6">
        <v>0</v>
      </c>
      <c r="O256" s="6">
        <v>0</v>
      </c>
      <c r="P256" s="6">
        <v>1</v>
      </c>
      <c r="Q256" s="4" t="s">
        <v>26</v>
      </c>
      <c r="R256" s="4">
        <v>0</v>
      </c>
      <c r="S256" s="6">
        <v>24</v>
      </c>
      <c r="T256" s="6">
        <v>0</v>
      </c>
      <c r="U256" s="6">
        <v>0</v>
      </c>
      <c r="V256" s="6">
        <f>IF(ISERROR(VLOOKUP($S$256,'TAR FIN'!$A$1:$O$86,15,0)),0,VLOOKUP($S$256,'TAR FIN'!$A$1:$O$86,15,0))</f>
        <v>22.9</v>
      </c>
      <c r="W256" s="6">
        <f>IF(ISERROR(VLOOKUP($T$256,'TAR FIN'!$A$1:$O$86,15,0)),0,VLOOKUP($T$256,'TAR FIN'!$A$1:$O$86,15,0))</f>
        <v>0</v>
      </c>
      <c r="X256" s="6">
        <f>IF(ISERROR(VLOOKUP($U$256,'TAR FIN'!$A$1:$O$86,15,0)),0,VLOOKUP($U$256,'TAR FIN'!$A$1:$O$86,15,0))</f>
        <v>0</v>
      </c>
      <c r="Y256" s="6">
        <f ca="1">('TUSD BE'!$AM$10+'TUSD BF_350'!$AM$10+'TUSD CVA'!$AM$10)*1</f>
        <v>15.64</v>
      </c>
      <c r="Z256" s="6"/>
      <c r="AA256" s="6"/>
      <c r="AB256" s="6">
        <f>$K$256*$V$256</f>
        <v>1374</v>
      </c>
      <c r="AC256" s="6">
        <f>$M$256*$W$256</f>
        <v>0</v>
      </c>
      <c r="AD256" s="6">
        <f>$O$256*$X$256</f>
        <v>0</v>
      </c>
      <c r="AE256" s="6">
        <f ca="1">$K$256*$Y$256</f>
        <v>938.40000000000009</v>
      </c>
      <c r="AF256" s="6">
        <f>$M$256*$Z$256</f>
        <v>0</v>
      </c>
      <c r="AG256" s="6">
        <f>$O$256*$AA$256</f>
        <v>0</v>
      </c>
    </row>
    <row r="257" spans="1:33" ht="11.25" customHeight="1" x14ac:dyDescent="0.25">
      <c r="A257" s="4" t="s">
        <v>28</v>
      </c>
      <c r="B257" s="4" t="s">
        <v>35</v>
      </c>
      <c r="C257" s="4" t="s">
        <v>39</v>
      </c>
      <c r="D257" s="4" t="s">
        <v>43</v>
      </c>
      <c r="E257" s="4" t="s">
        <v>25</v>
      </c>
      <c r="F257" s="4" t="s">
        <v>25</v>
      </c>
      <c r="G257" s="4" t="s">
        <v>25</v>
      </c>
      <c r="H257" s="4" t="s">
        <v>25</v>
      </c>
      <c r="I257" s="5">
        <v>44562</v>
      </c>
      <c r="J257" s="6">
        <v>188</v>
      </c>
      <c r="K257" s="6">
        <v>188</v>
      </c>
      <c r="L257" s="6">
        <v>0</v>
      </c>
      <c r="M257" s="6">
        <v>0</v>
      </c>
      <c r="N257" s="6">
        <v>0</v>
      </c>
      <c r="O257" s="6">
        <v>0</v>
      </c>
      <c r="P257" s="6">
        <v>1</v>
      </c>
      <c r="Q257" s="4" t="s">
        <v>26</v>
      </c>
      <c r="R257" s="4">
        <v>0</v>
      </c>
      <c r="S257" s="6">
        <v>24</v>
      </c>
      <c r="T257" s="6">
        <v>0</v>
      </c>
      <c r="U257" s="6">
        <v>0</v>
      </c>
      <c r="V257" s="6">
        <f>IF(ISERROR(VLOOKUP($S$257,'TAR FIN'!$A$1:$O$86,15,0)),0,VLOOKUP($S$257,'TAR FIN'!$A$1:$O$86,15,0))</f>
        <v>22.9</v>
      </c>
      <c r="W257" s="6">
        <f>IF(ISERROR(VLOOKUP($T$257,'TAR FIN'!$A$1:$O$86,15,0)),0,VLOOKUP($T$257,'TAR FIN'!$A$1:$O$86,15,0))</f>
        <v>0</v>
      </c>
      <c r="X257" s="6">
        <f>IF(ISERROR(VLOOKUP($U$257,'TAR FIN'!$A$1:$O$86,15,0)),0,VLOOKUP($U$257,'TAR FIN'!$A$1:$O$86,15,0))</f>
        <v>0</v>
      </c>
      <c r="Y257" s="6">
        <f ca="1">('TUSD BE'!$AM$10+'TUSD BF_350'!$AM$10+'TUSD CVA'!$AM$10)*1</f>
        <v>15.64</v>
      </c>
      <c r="Z257" s="6"/>
      <c r="AA257" s="6"/>
      <c r="AB257" s="6">
        <f>$K$257*$V$257</f>
        <v>4305.2</v>
      </c>
      <c r="AC257" s="6">
        <f>$M$257*$W$257</f>
        <v>0</v>
      </c>
      <c r="AD257" s="6">
        <f>$O$257*$X$257</f>
        <v>0</v>
      </c>
      <c r="AE257" s="6">
        <f ca="1">$K$257*$Y$257</f>
        <v>2940.32</v>
      </c>
      <c r="AF257" s="6">
        <f>$M$257*$Z$257</f>
        <v>0</v>
      </c>
      <c r="AG257" s="6">
        <f>$O$257*$AA$257</f>
        <v>0</v>
      </c>
    </row>
    <row r="258" spans="1:33" ht="11.25" customHeight="1" x14ac:dyDescent="0.25">
      <c r="A258" s="4" t="s">
        <v>21</v>
      </c>
      <c r="B258" s="4" t="s">
        <v>35</v>
      </c>
      <c r="C258" s="4" t="s">
        <v>39</v>
      </c>
      <c r="D258" s="4" t="s">
        <v>43</v>
      </c>
      <c r="E258" s="4" t="s">
        <v>25</v>
      </c>
      <c r="F258" s="4" t="s">
        <v>25</v>
      </c>
      <c r="G258" s="4" t="s">
        <v>25</v>
      </c>
      <c r="H258" s="4" t="s">
        <v>25</v>
      </c>
      <c r="I258" s="5">
        <v>44593</v>
      </c>
      <c r="J258" s="6">
        <v>60</v>
      </c>
      <c r="K258" s="6">
        <v>60</v>
      </c>
      <c r="L258" s="6">
        <v>0</v>
      </c>
      <c r="M258" s="6">
        <v>0</v>
      </c>
      <c r="N258" s="6">
        <v>0</v>
      </c>
      <c r="O258" s="6">
        <v>0</v>
      </c>
      <c r="P258" s="6">
        <v>1</v>
      </c>
      <c r="Q258" s="4" t="s">
        <v>26</v>
      </c>
      <c r="R258" s="4">
        <v>0</v>
      </c>
      <c r="S258" s="6">
        <v>24</v>
      </c>
      <c r="T258" s="6">
        <v>0</v>
      </c>
      <c r="U258" s="6">
        <v>0</v>
      </c>
      <c r="V258" s="6">
        <f>IF(ISERROR(VLOOKUP($S$258,'TAR FIN'!$A$1:$O$86,15,0)),0,VLOOKUP($S$258,'TAR FIN'!$A$1:$O$86,15,0))</f>
        <v>22.9</v>
      </c>
      <c r="W258" s="6">
        <f>IF(ISERROR(VLOOKUP($T$258,'TAR FIN'!$A$1:$O$86,15,0)),0,VLOOKUP($T$258,'TAR FIN'!$A$1:$O$86,15,0))</f>
        <v>0</v>
      </c>
      <c r="X258" s="6">
        <f>IF(ISERROR(VLOOKUP($U$258,'TAR FIN'!$A$1:$O$86,15,0)),0,VLOOKUP($U$258,'TAR FIN'!$A$1:$O$86,15,0))</f>
        <v>0</v>
      </c>
      <c r="Y258" s="6">
        <f ca="1">('TUSD BE'!$AM$10+'TUSD BF_350'!$AM$10+'TUSD CVA'!$AM$10)*1</f>
        <v>15.64</v>
      </c>
      <c r="Z258" s="6"/>
      <c r="AA258" s="6"/>
      <c r="AB258" s="6">
        <f>$K$258*$V$258</f>
        <v>1374</v>
      </c>
      <c r="AC258" s="6">
        <f>$M$258*$W$258</f>
        <v>0</v>
      </c>
      <c r="AD258" s="6">
        <f>$O$258*$X$258</f>
        <v>0</v>
      </c>
      <c r="AE258" s="6">
        <f ca="1">$K$258*$Y$258</f>
        <v>938.40000000000009</v>
      </c>
      <c r="AF258" s="6">
        <f>$M$258*$Z$258</f>
        <v>0</v>
      </c>
      <c r="AG258" s="6">
        <f>$O$258*$AA$258</f>
        <v>0</v>
      </c>
    </row>
    <row r="259" spans="1:33" ht="11.25" customHeight="1" x14ac:dyDescent="0.25">
      <c r="A259" s="4" t="s">
        <v>28</v>
      </c>
      <c r="B259" s="4" t="s">
        <v>35</v>
      </c>
      <c r="C259" s="4" t="s">
        <v>39</v>
      </c>
      <c r="D259" s="4" t="s">
        <v>43</v>
      </c>
      <c r="E259" s="4" t="s">
        <v>25</v>
      </c>
      <c r="F259" s="4" t="s">
        <v>25</v>
      </c>
      <c r="G259" s="4" t="s">
        <v>25</v>
      </c>
      <c r="H259" s="4" t="s">
        <v>25</v>
      </c>
      <c r="I259" s="5">
        <v>44593</v>
      </c>
      <c r="J259" s="6">
        <v>184</v>
      </c>
      <c r="K259" s="6">
        <v>184</v>
      </c>
      <c r="L259" s="6">
        <v>0</v>
      </c>
      <c r="M259" s="6">
        <v>0</v>
      </c>
      <c r="N259" s="6">
        <v>0</v>
      </c>
      <c r="O259" s="6">
        <v>0</v>
      </c>
      <c r="P259" s="6">
        <v>1</v>
      </c>
      <c r="Q259" s="4" t="s">
        <v>26</v>
      </c>
      <c r="R259" s="4">
        <v>0</v>
      </c>
      <c r="S259" s="6">
        <v>24</v>
      </c>
      <c r="T259" s="6">
        <v>0</v>
      </c>
      <c r="U259" s="6">
        <v>0</v>
      </c>
      <c r="V259" s="6">
        <f>IF(ISERROR(VLOOKUP($S$259,'TAR FIN'!$A$1:$O$86,15,0)),0,VLOOKUP($S$259,'TAR FIN'!$A$1:$O$86,15,0))</f>
        <v>22.9</v>
      </c>
      <c r="W259" s="6">
        <f>IF(ISERROR(VLOOKUP($T$259,'TAR FIN'!$A$1:$O$86,15,0)),0,VLOOKUP($T$259,'TAR FIN'!$A$1:$O$86,15,0))</f>
        <v>0</v>
      </c>
      <c r="X259" s="6">
        <f>IF(ISERROR(VLOOKUP($U$259,'TAR FIN'!$A$1:$O$86,15,0)),0,VLOOKUP($U$259,'TAR FIN'!$A$1:$O$86,15,0))</f>
        <v>0</v>
      </c>
      <c r="Y259" s="6">
        <f ca="1">('TUSD BE'!$AM$10+'TUSD BF_350'!$AM$10+'TUSD CVA'!$AM$10)*1</f>
        <v>15.64</v>
      </c>
      <c r="Z259" s="6"/>
      <c r="AA259" s="6"/>
      <c r="AB259" s="6">
        <f>$K$259*$V$259</f>
        <v>4213.5999999999995</v>
      </c>
      <c r="AC259" s="6">
        <f>$M$259*$W$259</f>
        <v>0</v>
      </c>
      <c r="AD259" s="6">
        <f>$O$259*$X$259</f>
        <v>0</v>
      </c>
      <c r="AE259" s="6">
        <f ca="1">$K$259*$Y$259</f>
        <v>2877.76</v>
      </c>
      <c r="AF259" s="6">
        <f>$M$259*$Z$259</f>
        <v>0</v>
      </c>
      <c r="AG259" s="6">
        <f>$O$259*$AA$259</f>
        <v>0</v>
      </c>
    </row>
    <row r="260" spans="1:33" ht="11.25" customHeight="1" x14ac:dyDescent="0.25">
      <c r="A260" s="4" t="s">
        <v>21</v>
      </c>
      <c r="B260" s="4" t="s">
        <v>35</v>
      </c>
      <c r="C260" s="4" t="s">
        <v>39</v>
      </c>
      <c r="D260" s="4" t="s">
        <v>43</v>
      </c>
      <c r="E260" s="4" t="s">
        <v>25</v>
      </c>
      <c r="F260" s="4" t="s">
        <v>25</v>
      </c>
      <c r="G260" s="4" t="s">
        <v>25</v>
      </c>
      <c r="H260" s="4" t="s">
        <v>25</v>
      </c>
      <c r="I260" s="5">
        <v>44621</v>
      </c>
      <c r="J260" s="6">
        <v>60</v>
      </c>
      <c r="K260" s="6">
        <v>60</v>
      </c>
      <c r="L260" s="6">
        <v>0</v>
      </c>
      <c r="M260" s="6">
        <v>0</v>
      </c>
      <c r="N260" s="6">
        <v>0</v>
      </c>
      <c r="O260" s="6">
        <v>0</v>
      </c>
      <c r="P260" s="6">
        <v>1</v>
      </c>
      <c r="Q260" s="4" t="s">
        <v>26</v>
      </c>
      <c r="R260" s="4">
        <v>0</v>
      </c>
      <c r="S260" s="6">
        <v>24</v>
      </c>
      <c r="T260" s="6">
        <v>0</v>
      </c>
      <c r="U260" s="6">
        <v>0</v>
      </c>
      <c r="V260" s="6">
        <f>IF(ISERROR(VLOOKUP($S$260,'TAR FIN'!$A$1:$O$86,15,0)),0,VLOOKUP($S$260,'TAR FIN'!$A$1:$O$86,15,0))</f>
        <v>22.9</v>
      </c>
      <c r="W260" s="6">
        <f>IF(ISERROR(VLOOKUP($T$260,'TAR FIN'!$A$1:$O$86,15,0)),0,VLOOKUP($T$260,'TAR FIN'!$A$1:$O$86,15,0))</f>
        <v>0</v>
      </c>
      <c r="X260" s="6">
        <f>IF(ISERROR(VLOOKUP($U$260,'TAR FIN'!$A$1:$O$86,15,0)),0,VLOOKUP($U$260,'TAR FIN'!$A$1:$O$86,15,0))</f>
        <v>0</v>
      </c>
      <c r="Y260" s="6">
        <f ca="1">('TUSD BE'!$AM$10+'TUSD BF_350'!$AM$10+'TUSD CVA'!$AM$10)*1</f>
        <v>15.64</v>
      </c>
      <c r="Z260" s="6"/>
      <c r="AA260" s="6"/>
      <c r="AB260" s="6">
        <f>$K$260*$V$260</f>
        <v>1374</v>
      </c>
      <c r="AC260" s="6">
        <f>$M$260*$W$260</f>
        <v>0</v>
      </c>
      <c r="AD260" s="6">
        <f>$O$260*$X$260</f>
        <v>0</v>
      </c>
      <c r="AE260" s="6">
        <f ca="1">$K$260*$Y$260</f>
        <v>938.40000000000009</v>
      </c>
      <c r="AF260" s="6">
        <f>$M$260*$Z$260</f>
        <v>0</v>
      </c>
      <c r="AG260" s="6">
        <f>$O$260*$AA$260</f>
        <v>0</v>
      </c>
    </row>
    <row r="261" spans="1:33" ht="11.25" customHeight="1" x14ac:dyDescent="0.25">
      <c r="A261" s="4" t="s">
        <v>28</v>
      </c>
      <c r="B261" s="4" t="s">
        <v>35</v>
      </c>
      <c r="C261" s="4" t="s">
        <v>39</v>
      </c>
      <c r="D261" s="4" t="s">
        <v>43</v>
      </c>
      <c r="E261" s="4" t="s">
        <v>25</v>
      </c>
      <c r="F261" s="4" t="s">
        <v>25</v>
      </c>
      <c r="G261" s="4" t="s">
        <v>25</v>
      </c>
      <c r="H261" s="4" t="s">
        <v>25</v>
      </c>
      <c r="I261" s="5">
        <v>44621</v>
      </c>
      <c r="J261" s="6">
        <v>220</v>
      </c>
      <c r="K261" s="6">
        <v>220</v>
      </c>
      <c r="L261" s="6">
        <v>0</v>
      </c>
      <c r="M261" s="6">
        <v>0</v>
      </c>
      <c r="N261" s="6">
        <v>0</v>
      </c>
      <c r="O261" s="6">
        <v>0</v>
      </c>
      <c r="P261" s="6">
        <v>1</v>
      </c>
      <c r="Q261" s="4" t="s">
        <v>26</v>
      </c>
      <c r="R261" s="4">
        <v>0</v>
      </c>
      <c r="S261" s="6">
        <v>24</v>
      </c>
      <c r="T261" s="6">
        <v>0</v>
      </c>
      <c r="U261" s="6">
        <v>0</v>
      </c>
      <c r="V261" s="6">
        <f>IF(ISERROR(VLOOKUP($S$261,'TAR FIN'!$A$1:$O$86,15,0)),0,VLOOKUP($S$261,'TAR FIN'!$A$1:$O$86,15,0))</f>
        <v>22.9</v>
      </c>
      <c r="W261" s="6">
        <f>IF(ISERROR(VLOOKUP($T$261,'TAR FIN'!$A$1:$O$86,15,0)),0,VLOOKUP($T$261,'TAR FIN'!$A$1:$O$86,15,0))</f>
        <v>0</v>
      </c>
      <c r="X261" s="6">
        <f>IF(ISERROR(VLOOKUP($U$261,'TAR FIN'!$A$1:$O$86,15,0)),0,VLOOKUP($U$261,'TAR FIN'!$A$1:$O$86,15,0))</f>
        <v>0</v>
      </c>
      <c r="Y261" s="6">
        <f ca="1">('TUSD BE'!$AM$10+'TUSD BF_350'!$AM$10+'TUSD CVA'!$AM$10)*1</f>
        <v>15.64</v>
      </c>
      <c r="Z261" s="6"/>
      <c r="AA261" s="6"/>
      <c r="AB261" s="6">
        <f>$K$261*$V$261</f>
        <v>5038</v>
      </c>
      <c r="AC261" s="6">
        <f>$M$261*$W$261</f>
        <v>0</v>
      </c>
      <c r="AD261" s="6">
        <f>$O$261*$X$261</f>
        <v>0</v>
      </c>
      <c r="AE261" s="6">
        <f ca="1">$K$261*$Y$261</f>
        <v>3440.8</v>
      </c>
      <c r="AF261" s="6">
        <f>$M$261*$Z$261</f>
        <v>0</v>
      </c>
      <c r="AG261" s="6">
        <f>$O$261*$AA$261</f>
        <v>0</v>
      </c>
    </row>
    <row r="262" spans="1:33" ht="11.25" customHeight="1" x14ac:dyDescent="0.25">
      <c r="A262" s="4" t="s">
        <v>21</v>
      </c>
      <c r="B262" s="4" t="s">
        <v>35</v>
      </c>
      <c r="C262" s="4" t="s">
        <v>39</v>
      </c>
      <c r="D262" s="4" t="s">
        <v>43</v>
      </c>
      <c r="E262" s="4" t="s">
        <v>25</v>
      </c>
      <c r="F262" s="4" t="s">
        <v>25</v>
      </c>
      <c r="G262" s="4" t="s">
        <v>25</v>
      </c>
      <c r="H262" s="4" t="s">
        <v>25</v>
      </c>
      <c r="I262" s="5">
        <v>44652</v>
      </c>
      <c r="J262" s="6">
        <v>60</v>
      </c>
      <c r="K262" s="6">
        <v>60</v>
      </c>
      <c r="L262" s="6">
        <v>0</v>
      </c>
      <c r="M262" s="6">
        <v>0</v>
      </c>
      <c r="N262" s="6">
        <v>0</v>
      </c>
      <c r="O262" s="6">
        <v>0</v>
      </c>
      <c r="P262" s="6">
        <v>1</v>
      </c>
      <c r="Q262" s="4" t="s">
        <v>26</v>
      </c>
      <c r="R262" s="4">
        <v>0</v>
      </c>
      <c r="S262" s="6">
        <v>24</v>
      </c>
      <c r="T262" s="6">
        <v>0</v>
      </c>
      <c r="U262" s="6">
        <v>0</v>
      </c>
      <c r="V262" s="6">
        <f>IF(ISERROR(VLOOKUP($S$262,'TAR FIN'!$A$1:$O$86,15,0)),0,VLOOKUP($S$262,'TAR FIN'!$A$1:$O$86,15,0))</f>
        <v>22.9</v>
      </c>
      <c r="W262" s="6">
        <f>IF(ISERROR(VLOOKUP($T$262,'TAR FIN'!$A$1:$O$86,15,0)),0,VLOOKUP($T$262,'TAR FIN'!$A$1:$O$86,15,0))</f>
        <v>0</v>
      </c>
      <c r="X262" s="6">
        <f>IF(ISERROR(VLOOKUP($U$262,'TAR FIN'!$A$1:$O$86,15,0)),0,VLOOKUP($U$262,'TAR FIN'!$A$1:$O$86,15,0))</f>
        <v>0</v>
      </c>
      <c r="Y262" s="6">
        <f ca="1">('TUSD BE'!$AM$10+'TUSD BF_350'!$AM$10+'TUSD CVA'!$AM$10)*1</f>
        <v>15.64</v>
      </c>
      <c r="Z262" s="6"/>
      <c r="AA262" s="6"/>
      <c r="AB262" s="6">
        <f>$K$262*$V$262</f>
        <v>1374</v>
      </c>
      <c r="AC262" s="6">
        <f>$M$262*$W$262</f>
        <v>0</v>
      </c>
      <c r="AD262" s="6">
        <f>$O$262*$X$262</f>
        <v>0</v>
      </c>
      <c r="AE262" s="6">
        <f ca="1">$K$262*$Y$262</f>
        <v>938.40000000000009</v>
      </c>
      <c r="AF262" s="6">
        <f>$M$262*$Z$262</f>
        <v>0</v>
      </c>
      <c r="AG262" s="6">
        <f>$O$262*$AA$262</f>
        <v>0</v>
      </c>
    </row>
    <row r="263" spans="1:33" ht="11.25" customHeight="1" x14ac:dyDescent="0.25">
      <c r="A263" s="4" t="s">
        <v>28</v>
      </c>
      <c r="B263" s="4" t="s">
        <v>35</v>
      </c>
      <c r="C263" s="4" t="s">
        <v>39</v>
      </c>
      <c r="D263" s="4" t="s">
        <v>43</v>
      </c>
      <c r="E263" s="4" t="s">
        <v>25</v>
      </c>
      <c r="F263" s="4" t="s">
        <v>25</v>
      </c>
      <c r="G263" s="4" t="s">
        <v>25</v>
      </c>
      <c r="H263" s="4" t="s">
        <v>25</v>
      </c>
      <c r="I263" s="5">
        <v>44652</v>
      </c>
      <c r="J263" s="6">
        <v>183</v>
      </c>
      <c r="K263" s="6">
        <v>183</v>
      </c>
      <c r="L263" s="6">
        <v>0</v>
      </c>
      <c r="M263" s="6">
        <v>0</v>
      </c>
      <c r="N263" s="6">
        <v>0</v>
      </c>
      <c r="O263" s="6">
        <v>0</v>
      </c>
      <c r="P263" s="6">
        <v>1</v>
      </c>
      <c r="Q263" s="4" t="s">
        <v>26</v>
      </c>
      <c r="R263" s="4">
        <v>0</v>
      </c>
      <c r="S263" s="6">
        <v>24</v>
      </c>
      <c r="T263" s="6">
        <v>0</v>
      </c>
      <c r="U263" s="6">
        <v>0</v>
      </c>
      <c r="V263" s="6">
        <f>IF(ISERROR(VLOOKUP($S$263,'TAR FIN'!$A$1:$O$86,15,0)),0,VLOOKUP($S$263,'TAR FIN'!$A$1:$O$86,15,0))</f>
        <v>22.9</v>
      </c>
      <c r="W263" s="6">
        <f>IF(ISERROR(VLOOKUP($T$263,'TAR FIN'!$A$1:$O$86,15,0)),0,VLOOKUP($T$263,'TAR FIN'!$A$1:$O$86,15,0))</f>
        <v>0</v>
      </c>
      <c r="X263" s="6">
        <f>IF(ISERROR(VLOOKUP($U$263,'TAR FIN'!$A$1:$O$86,15,0)),0,VLOOKUP($U$263,'TAR FIN'!$A$1:$O$86,15,0))</f>
        <v>0</v>
      </c>
      <c r="Y263" s="6">
        <f ca="1">('TUSD BE'!$AM$10+'TUSD BF_350'!$AM$10+'TUSD CVA'!$AM$10)*1</f>
        <v>15.64</v>
      </c>
      <c r="Z263" s="6"/>
      <c r="AA263" s="6"/>
      <c r="AB263" s="6">
        <f>$K$263*$V$263</f>
        <v>4190.7</v>
      </c>
      <c r="AC263" s="6">
        <f>$M$263*$W$263</f>
        <v>0</v>
      </c>
      <c r="AD263" s="6">
        <f>$O$263*$X$263</f>
        <v>0</v>
      </c>
      <c r="AE263" s="6">
        <f ca="1">$K$263*$Y$263</f>
        <v>2862.12</v>
      </c>
      <c r="AF263" s="6">
        <f>$M$263*$Z$263</f>
        <v>0</v>
      </c>
      <c r="AG263" s="6">
        <f>$O$263*$AA$263</f>
        <v>0</v>
      </c>
    </row>
    <row r="264" spans="1:33" ht="11.25" customHeight="1" x14ac:dyDescent="0.25">
      <c r="A264" s="4" t="s">
        <v>21</v>
      </c>
      <c r="B264" s="4" t="s">
        <v>35</v>
      </c>
      <c r="C264" s="4" t="s">
        <v>39</v>
      </c>
      <c r="D264" s="4" t="s">
        <v>43</v>
      </c>
      <c r="E264" s="4" t="s">
        <v>25</v>
      </c>
      <c r="F264" s="4" t="s">
        <v>25</v>
      </c>
      <c r="G264" s="4" t="s">
        <v>25</v>
      </c>
      <c r="H264" s="4" t="s">
        <v>25</v>
      </c>
      <c r="I264" s="5">
        <v>44682</v>
      </c>
      <c r="J264" s="6">
        <v>60</v>
      </c>
      <c r="K264" s="6">
        <v>60</v>
      </c>
      <c r="L264" s="6">
        <v>0</v>
      </c>
      <c r="M264" s="6">
        <v>0</v>
      </c>
      <c r="N264" s="6">
        <v>0</v>
      </c>
      <c r="O264" s="6">
        <v>0</v>
      </c>
      <c r="P264" s="6">
        <v>1</v>
      </c>
      <c r="Q264" s="4" t="s">
        <v>26</v>
      </c>
      <c r="R264" s="4">
        <v>0</v>
      </c>
      <c r="S264" s="6">
        <v>24</v>
      </c>
      <c r="T264" s="6">
        <v>0</v>
      </c>
      <c r="U264" s="6">
        <v>0</v>
      </c>
      <c r="V264" s="6">
        <f>IF(ISERROR(VLOOKUP($S$264,'TAR FIN'!$A$1:$O$86,15,0)),0,VLOOKUP($S$264,'TAR FIN'!$A$1:$O$86,15,0))</f>
        <v>22.9</v>
      </c>
      <c r="W264" s="6">
        <f>IF(ISERROR(VLOOKUP($T$264,'TAR FIN'!$A$1:$O$86,15,0)),0,VLOOKUP($T$264,'TAR FIN'!$A$1:$O$86,15,0))</f>
        <v>0</v>
      </c>
      <c r="X264" s="6">
        <f>IF(ISERROR(VLOOKUP($U$264,'TAR FIN'!$A$1:$O$86,15,0)),0,VLOOKUP($U$264,'TAR FIN'!$A$1:$O$86,15,0))</f>
        <v>0</v>
      </c>
      <c r="Y264" s="6">
        <f ca="1">('TUSD BE'!$AM$10+'TUSD BF_350'!$AM$10+'TUSD CVA'!$AM$10)*1</f>
        <v>15.64</v>
      </c>
      <c r="Z264" s="6"/>
      <c r="AA264" s="6"/>
      <c r="AB264" s="6">
        <f>$K$264*$V$264</f>
        <v>1374</v>
      </c>
      <c r="AC264" s="6">
        <f>$M$264*$W$264</f>
        <v>0</v>
      </c>
      <c r="AD264" s="6">
        <f>$O$264*$X$264</f>
        <v>0</v>
      </c>
      <c r="AE264" s="6">
        <f ca="1">$K$264*$Y$264</f>
        <v>938.40000000000009</v>
      </c>
      <c r="AF264" s="6">
        <f>$M$264*$Z$264</f>
        <v>0</v>
      </c>
      <c r="AG264" s="6">
        <f>$O$264*$AA$264</f>
        <v>0</v>
      </c>
    </row>
    <row r="265" spans="1:33" ht="11.25" customHeight="1" x14ac:dyDescent="0.25">
      <c r="A265" s="4" t="s">
        <v>28</v>
      </c>
      <c r="B265" s="4" t="s">
        <v>35</v>
      </c>
      <c r="C265" s="4" t="s">
        <v>39</v>
      </c>
      <c r="D265" s="4" t="s">
        <v>43</v>
      </c>
      <c r="E265" s="4" t="s">
        <v>25</v>
      </c>
      <c r="F265" s="4" t="s">
        <v>25</v>
      </c>
      <c r="G265" s="4" t="s">
        <v>25</v>
      </c>
      <c r="H265" s="4" t="s">
        <v>25</v>
      </c>
      <c r="I265" s="5">
        <v>44682</v>
      </c>
      <c r="J265" s="6">
        <v>100</v>
      </c>
      <c r="K265" s="6">
        <v>100</v>
      </c>
      <c r="L265" s="6">
        <v>0</v>
      </c>
      <c r="M265" s="6">
        <v>0</v>
      </c>
      <c r="N265" s="6">
        <v>0</v>
      </c>
      <c r="O265" s="6">
        <v>0</v>
      </c>
      <c r="P265" s="6">
        <v>1</v>
      </c>
      <c r="Q265" s="4" t="s">
        <v>26</v>
      </c>
      <c r="R265" s="4">
        <v>0</v>
      </c>
      <c r="S265" s="6">
        <v>24</v>
      </c>
      <c r="T265" s="6">
        <v>0</v>
      </c>
      <c r="U265" s="6">
        <v>0</v>
      </c>
      <c r="V265" s="6">
        <f>IF(ISERROR(VLOOKUP($S$265,'TAR FIN'!$A$1:$O$86,15,0)),0,VLOOKUP($S$265,'TAR FIN'!$A$1:$O$86,15,0))</f>
        <v>22.9</v>
      </c>
      <c r="W265" s="6">
        <f>IF(ISERROR(VLOOKUP($T$265,'TAR FIN'!$A$1:$O$86,15,0)),0,VLOOKUP($T$265,'TAR FIN'!$A$1:$O$86,15,0))</f>
        <v>0</v>
      </c>
      <c r="X265" s="6">
        <f>IF(ISERROR(VLOOKUP($U$265,'TAR FIN'!$A$1:$O$86,15,0)),0,VLOOKUP($U$265,'TAR FIN'!$A$1:$O$86,15,0))</f>
        <v>0</v>
      </c>
      <c r="Y265" s="6">
        <f ca="1">('TUSD BE'!$AM$10+'TUSD BF_350'!$AM$10+'TUSD CVA'!$AM$10)*1</f>
        <v>15.64</v>
      </c>
      <c r="Z265" s="6"/>
      <c r="AA265" s="6"/>
      <c r="AB265" s="6">
        <f>$K$265*$V$265</f>
        <v>2290</v>
      </c>
      <c r="AC265" s="6">
        <f>$M$265*$W$265</f>
        <v>0</v>
      </c>
      <c r="AD265" s="6">
        <f>$O$265*$X$265</f>
        <v>0</v>
      </c>
      <c r="AE265" s="6">
        <f ca="1">$K$265*$Y$265</f>
        <v>1564</v>
      </c>
      <c r="AF265" s="6">
        <f>$M$265*$Z$265</f>
        <v>0</v>
      </c>
      <c r="AG265" s="6">
        <f>$O$265*$AA$265</f>
        <v>0</v>
      </c>
    </row>
    <row r="266" spans="1:33" ht="11.25" customHeight="1" x14ac:dyDescent="0.25">
      <c r="A266" s="4" t="s">
        <v>21</v>
      </c>
      <c r="B266" s="4" t="s">
        <v>35</v>
      </c>
      <c r="C266" s="4" t="s">
        <v>39</v>
      </c>
      <c r="D266" s="4" t="s">
        <v>43</v>
      </c>
      <c r="E266" s="4" t="s">
        <v>25</v>
      </c>
      <c r="F266" s="4" t="s">
        <v>25</v>
      </c>
      <c r="G266" s="4" t="s">
        <v>25</v>
      </c>
      <c r="H266" s="4" t="s">
        <v>25</v>
      </c>
      <c r="I266" s="5">
        <v>44713</v>
      </c>
      <c r="J266" s="6">
        <v>60</v>
      </c>
      <c r="K266" s="6">
        <v>60</v>
      </c>
      <c r="L266" s="6">
        <v>0</v>
      </c>
      <c r="M266" s="6">
        <v>0</v>
      </c>
      <c r="N266" s="6">
        <v>0</v>
      </c>
      <c r="O266" s="6">
        <v>0</v>
      </c>
      <c r="P266" s="6">
        <v>1</v>
      </c>
      <c r="Q266" s="4" t="s">
        <v>26</v>
      </c>
      <c r="R266" s="4">
        <v>0</v>
      </c>
      <c r="S266" s="6">
        <v>24</v>
      </c>
      <c r="T266" s="6">
        <v>0</v>
      </c>
      <c r="U266" s="6">
        <v>0</v>
      </c>
      <c r="V266" s="6">
        <f>IF(ISERROR(VLOOKUP($S$266,'TAR FIN'!$A$1:$O$86,15,0)),0,VLOOKUP($S$266,'TAR FIN'!$A$1:$O$86,15,0))</f>
        <v>22.9</v>
      </c>
      <c r="W266" s="6">
        <f>IF(ISERROR(VLOOKUP($T$266,'TAR FIN'!$A$1:$O$86,15,0)),0,VLOOKUP($T$266,'TAR FIN'!$A$1:$O$86,15,0))</f>
        <v>0</v>
      </c>
      <c r="X266" s="6">
        <f>IF(ISERROR(VLOOKUP($U$266,'TAR FIN'!$A$1:$O$86,15,0)),0,VLOOKUP($U$266,'TAR FIN'!$A$1:$O$86,15,0))</f>
        <v>0</v>
      </c>
      <c r="Y266" s="6">
        <f ca="1">('TUSD BE'!$AM$10+'TUSD BF_350'!$AM$10+'TUSD CVA'!$AM$10)*1</f>
        <v>15.64</v>
      </c>
      <c r="Z266" s="6"/>
      <c r="AA266" s="6"/>
      <c r="AB266" s="6">
        <f>$K$266*$V$266</f>
        <v>1374</v>
      </c>
      <c r="AC266" s="6">
        <f>$M$266*$W$266</f>
        <v>0</v>
      </c>
      <c r="AD266" s="6">
        <f>$O$266*$X$266</f>
        <v>0</v>
      </c>
      <c r="AE266" s="6">
        <f ca="1">$K$266*$Y$266</f>
        <v>938.40000000000009</v>
      </c>
      <c r="AF266" s="6">
        <f>$M$266*$Z$266</f>
        <v>0</v>
      </c>
      <c r="AG266" s="6">
        <f>$O$266*$AA$266</f>
        <v>0</v>
      </c>
    </row>
    <row r="267" spans="1:33" ht="11.25" customHeight="1" x14ac:dyDescent="0.25">
      <c r="A267" s="4" t="s">
        <v>28</v>
      </c>
      <c r="B267" s="4" t="s">
        <v>35</v>
      </c>
      <c r="C267" s="4" t="s">
        <v>39</v>
      </c>
      <c r="D267" s="4" t="s">
        <v>43</v>
      </c>
      <c r="E267" s="4" t="s">
        <v>25</v>
      </c>
      <c r="F267" s="4" t="s">
        <v>25</v>
      </c>
      <c r="G267" s="4" t="s">
        <v>25</v>
      </c>
      <c r="H267" s="4" t="s">
        <v>25</v>
      </c>
      <c r="I267" s="5">
        <v>44713</v>
      </c>
      <c r="J267" s="6">
        <v>100</v>
      </c>
      <c r="K267" s="6">
        <v>100</v>
      </c>
      <c r="L267" s="6">
        <v>0</v>
      </c>
      <c r="M267" s="6">
        <v>0</v>
      </c>
      <c r="N267" s="6">
        <v>0</v>
      </c>
      <c r="O267" s="6">
        <v>0</v>
      </c>
      <c r="P267" s="6">
        <v>1</v>
      </c>
      <c r="Q267" s="4" t="s">
        <v>26</v>
      </c>
      <c r="R267" s="4">
        <v>0</v>
      </c>
      <c r="S267" s="6">
        <v>24</v>
      </c>
      <c r="T267" s="6">
        <v>0</v>
      </c>
      <c r="U267" s="6">
        <v>0</v>
      </c>
      <c r="V267" s="6">
        <f>IF(ISERROR(VLOOKUP($S$267,'TAR FIN'!$A$1:$O$86,15,0)),0,VLOOKUP($S$267,'TAR FIN'!$A$1:$O$86,15,0))</f>
        <v>22.9</v>
      </c>
      <c r="W267" s="6">
        <f>IF(ISERROR(VLOOKUP($T$267,'TAR FIN'!$A$1:$O$86,15,0)),0,VLOOKUP($T$267,'TAR FIN'!$A$1:$O$86,15,0))</f>
        <v>0</v>
      </c>
      <c r="X267" s="6">
        <f>IF(ISERROR(VLOOKUP($U$267,'TAR FIN'!$A$1:$O$86,15,0)),0,VLOOKUP($U$267,'TAR FIN'!$A$1:$O$86,15,0))</f>
        <v>0</v>
      </c>
      <c r="Y267" s="6">
        <f ca="1">('TUSD BE'!$AM$10+'TUSD BF_350'!$AM$10+'TUSD CVA'!$AM$10)*1</f>
        <v>15.64</v>
      </c>
      <c r="Z267" s="6"/>
      <c r="AA267" s="6"/>
      <c r="AB267" s="6">
        <f>$K$267*$V$267</f>
        <v>2290</v>
      </c>
      <c r="AC267" s="6">
        <f>$M$267*$W$267</f>
        <v>0</v>
      </c>
      <c r="AD267" s="6">
        <f>$O$267*$X$267</f>
        <v>0</v>
      </c>
      <c r="AE267" s="6">
        <f ca="1">$K$267*$Y$267</f>
        <v>1564</v>
      </c>
      <c r="AF267" s="6">
        <f>$M$267*$Z$267</f>
        <v>0</v>
      </c>
      <c r="AG267" s="6">
        <f>$O$267*$AA$267</f>
        <v>0</v>
      </c>
    </row>
    <row r="268" spans="1:33" ht="11.25" customHeight="1" x14ac:dyDescent="0.25">
      <c r="A268" s="4" t="s">
        <v>55</v>
      </c>
      <c r="B268" s="4" t="s">
        <v>35</v>
      </c>
      <c r="C268" s="4" t="s">
        <v>39</v>
      </c>
      <c r="D268" s="4" t="s">
        <v>43</v>
      </c>
      <c r="E268" s="4" t="s">
        <v>25</v>
      </c>
      <c r="F268" s="4" t="s">
        <v>25</v>
      </c>
      <c r="G268" s="4" t="s">
        <v>25</v>
      </c>
      <c r="H268" s="4" t="s">
        <v>25</v>
      </c>
      <c r="I268" s="5">
        <v>44743</v>
      </c>
      <c r="J268" s="6">
        <v>60</v>
      </c>
      <c r="K268" s="6">
        <v>60</v>
      </c>
      <c r="L268" s="6">
        <v>0</v>
      </c>
      <c r="M268" s="6">
        <v>0</v>
      </c>
      <c r="N268" s="6">
        <v>0</v>
      </c>
      <c r="O268" s="6">
        <v>0</v>
      </c>
      <c r="P268" s="6">
        <v>1</v>
      </c>
      <c r="Q268" s="4" t="s">
        <v>26</v>
      </c>
      <c r="R268" s="4">
        <v>0</v>
      </c>
      <c r="S268" s="6">
        <v>24</v>
      </c>
      <c r="T268" s="6">
        <v>0</v>
      </c>
      <c r="U268" s="6">
        <v>0</v>
      </c>
      <c r="V268" s="6">
        <f>IF(ISERROR(VLOOKUP($S$268,'TAR FIN'!$A$1:$O$86,15,0)),0,VLOOKUP($S$268,'TAR FIN'!$A$1:$O$86,15,0))</f>
        <v>22.9</v>
      </c>
      <c r="W268" s="6">
        <f>IF(ISERROR(VLOOKUP($T$268,'TAR FIN'!$A$1:$O$86,15,0)),0,VLOOKUP($T$268,'TAR FIN'!$A$1:$O$86,15,0))</f>
        <v>0</v>
      </c>
      <c r="X268" s="6">
        <f>IF(ISERROR(VLOOKUP($U$268,'TAR FIN'!$A$1:$O$86,15,0)),0,VLOOKUP($U$268,'TAR FIN'!$A$1:$O$86,15,0))</f>
        <v>0</v>
      </c>
      <c r="Y268" s="6">
        <f ca="1">('TUSD BE'!$AM$10+'TUSD BF_350'!$AM$10+'TUSD CVA'!$AM$10)*1</f>
        <v>15.64</v>
      </c>
      <c r="Z268" s="6"/>
      <c r="AA268" s="6"/>
      <c r="AB268" s="6">
        <f>$K$268*$V$268</f>
        <v>1374</v>
      </c>
      <c r="AC268" s="6">
        <f>$M$268*$W$268</f>
        <v>0</v>
      </c>
      <c r="AD268" s="6">
        <f>$O$268*$X$268</f>
        <v>0</v>
      </c>
      <c r="AE268" s="6">
        <f ca="1">$K$268*$Y$268</f>
        <v>938.40000000000009</v>
      </c>
      <c r="AF268" s="6">
        <f>$M$268*$Z$268</f>
        <v>0</v>
      </c>
      <c r="AG268" s="6">
        <f>$O$268*$AA$268</f>
        <v>0</v>
      </c>
    </row>
    <row r="269" spans="1:33" ht="11.25" customHeight="1" x14ac:dyDescent="0.25">
      <c r="A269" s="4" t="s">
        <v>55</v>
      </c>
      <c r="B269" s="4" t="s">
        <v>35</v>
      </c>
      <c r="C269" s="4" t="s">
        <v>39</v>
      </c>
      <c r="D269" s="4" t="s">
        <v>43</v>
      </c>
      <c r="E269" s="4" t="s">
        <v>25</v>
      </c>
      <c r="F269" s="4" t="s">
        <v>25</v>
      </c>
      <c r="G269" s="4" t="s">
        <v>25</v>
      </c>
      <c r="H269" s="4" t="s">
        <v>25</v>
      </c>
      <c r="I269" s="5">
        <v>44743</v>
      </c>
      <c r="J269" s="6">
        <v>100</v>
      </c>
      <c r="K269" s="6">
        <v>100</v>
      </c>
      <c r="L269" s="6">
        <v>0</v>
      </c>
      <c r="M269" s="6">
        <v>0</v>
      </c>
      <c r="N269" s="6">
        <v>0</v>
      </c>
      <c r="O269" s="6">
        <v>0</v>
      </c>
      <c r="P269" s="6">
        <v>1</v>
      </c>
      <c r="Q269" s="4" t="s">
        <v>26</v>
      </c>
      <c r="R269" s="4">
        <v>0</v>
      </c>
      <c r="S269" s="6">
        <v>24</v>
      </c>
      <c r="T269" s="6">
        <v>0</v>
      </c>
      <c r="U269" s="6">
        <v>0</v>
      </c>
      <c r="V269" s="6">
        <f>IF(ISERROR(VLOOKUP($S$269,'TAR FIN'!$A$1:$O$86,15,0)),0,VLOOKUP($S$269,'TAR FIN'!$A$1:$O$86,15,0))</f>
        <v>22.9</v>
      </c>
      <c r="W269" s="6">
        <f>IF(ISERROR(VLOOKUP($T$269,'TAR FIN'!$A$1:$O$86,15,0)),0,VLOOKUP($T$269,'TAR FIN'!$A$1:$O$86,15,0))</f>
        <v>0</v>
      </c>
      <c r="X269" s="6">
        <f>IF(ISERROR(VLOOKUP($U$269,'TAR FIN'!$A$1:$O$86,15,0)),0,VLOOKUP($U$269,'TAR FIN'!$A$1:$O$86,15,0))</f>
        <v>0</v>
      </c>
      <c r="Y269" s="6">
        <f ca="1">('TUSD BE'!$AM$10+'TUSD BF_350'!$AM$10+'TUSD CVA'!$AM$10)*1</f>
        <v>15.64</v>
      </c>
      <c r="Z269" s="6"/>
      <c r="AA269" s="6"/>
      <c r="AB269" s="6">
        <f>$K$269*$V$269</f>
        <v>2290</v>
      </c>
      <c r="AC269" s="6">
        <f>$M$269*$W$269</f>
        <v>0</v>
      </c>
      <c r="AD269" s="6">
        <f>$O$269*$X$269</f>
        <v>0</v>
      </c>
      <c r="AE269" s="6">
        <f ca="1">$K$269*$Y$269</f>
        <v>1564</v>
      </c>
      <c r="AF269" s="6">
        <f>$M$269*$Z$269</f>
        <v>0</v>
      </c>
      <c r="AG269" s="6">
        <f>$O$269*$AA$269</f>
        <v>0</v>
      </c>
    </row>
    <row r="270" spans="1:33" ht="11.25" customHeight="1" x14ac:dyDescent="0.25">
      <c r="A270" s="4" t="s">
        <v>21</v>
      </c>
      <c r="B270" s="4" t="s">
        <v>35</v>
      </c>
      <c r="C270" s="4" t="s">
        <v>39</v>
      </c>
      <c r="D270" s="4" t="s">
        <v>43</v>
      </c>
      <c r="E270" s="4" t="s">
        <v>25</v>
      </c>
      <c r="F270" s="4" t="s">
        <v>25</v>
      </c>
      <c r="G270" s="4" t="s">
        <v>25</v>
      </c>
      <c r="H270" s="4" t="s">
        <v>37</v>
      </c>
      <c r="I270" s="5">
        <v>44409</v>
      </c>
      <c r="J270" s="6">
        <v>0</v>
      </c>
      <c r="K270" s="6">
        <v>0</v>
      </c>
      <c r="L270" s="6">
        <v>1.669</v>
      </c>
      <c r="M270" s="6">
        <v>1.669</v>
      </c>
      <c r="N270" s="6">
        <v>1.669</v>
      </c>
      <c r="O270" s="6">
        <v>1.669</v>
      </c>
      <c r="P270" s="6">
        <v>0</v>
      </c>
      <c r="Q270" s="4" t="s">
        <v>26</v>
      </c>
      <c r="R270" s="4">
        <v>0</v>
      </c>
      <c r="S270" s="6">
        <v>0</v>
      </c>
      <c r="T270" s="6">
        <v>5</v>
      </c>
      <c r="U270" s="6">
        <v>69</v>
      </c>
      <c r="V270" s="6">
        <f>IF(ISERROR(VLOOKUP($S$270,'TAR FIN'!$A$1:$O$86,15,0)),0,VLOOKUP($S$270,'TAR FIN'!$A$1:$O$86,15,0))</f>
        <v>0</v>
      </c>
      <c r="W270" s="6">
        <f>IF(ISERROR(VLOOKUP($T$270,'TAR FIN'!$A$1:$O$86,15,0)),0,VLOOKUP($T$270,'TAR FIN'!$A$1:$O$86,15,0))</f>
        <v>1518.97</v>
      </c>
      <c r="X270" s="6">
        <f>IF(ISERROR(VLOOKUP($U$270,'TAR FIN'!$A$1:$O$86,15,0)),0,VLOOKUP($U$270,'TAR FIN'!$A$1:$O$86,15,0))</f>
        <v>359.33</v>
      </c>
      <c r="Y270" s="6"/>
      <c r="Z270" s="6">
        <f ca="1">('TUSD BE'!$AM$11+'TUSD BF_350'!$AM$11+'TUSD CVA'!$AM$11)*1</f>
        <v>911.83999999999992</v>
      </c>
      <c r="AA270" s="6">
        <f ca="1">('TE BE'!$AB$5+'TE BF_350'!$AB$5+'TE CVA'!$AB$5)*1</f>
        <v>362.73600214515886</v>
      </c>
      <c r="AB270" s="6">
        <f>$K$270*$V$270</f>
        <v>0</v>
      </c>
      <c r="AC270" s="6">
        <f>$M$270*$W$270</f>
        <v>2535.16093</v>
      </c>
      <c r="AD270" s="6">
        <f>$O$270*$X$270</f>
        <v>599.72176999999999</v>
      </c>
      <c r="AE270" s="6">
        <f>$K$270*$Y$270</f>
        <v>0</v>
      </c>
      <c r="AF270" s="6">
        <f ca="1">$M$270*$Z$270</f>
        <v>1521.86096</v>
      </c>
      <c r="AG270" s="6">
        <f ca="1">$O$270*$AA$270</f>
        <v>605.40638758027012</v>
      </c>
    </row>
    <row r="271" spans="1:33" ht="11.25" customHeight="1" x14ac:dyDescent="0.25">
      <c r="A271" s="4" t="s">
        <v>21</v>
      </c>
      <c r="B271" s="4" t="s">
        <v>35</v>
      </c>
      <c r="C271" s="4" t="s">
        <v>39</v>
      </c>
      <c r="D271" s="4" t="s">
        <v>43</v>
      </c>
      <c r="E271" s="4" t="s">
        <v>25</v>
      </c>
      <c r="F271" s="4" t="s">
        <v>25</v>
      </c>
      <c r="G271" s="4" t="s">
        <v>25</v>
      </c>
      <c r="H271" s="4" t="s">
        <v>37</v>
      </c>
      <c r="I271" s="5">
        <v>44440</v>
      </c>
      <c r="J271" s="6">
        <v>0</v>
      </c>
      <c r="K271" s="6">
        <v>0</v>
      </c>
      <c r="L271" s="6">
        <v>1.77</v>
      </c>
      <c r="M271" s="6">
        <v>1.77</v>
      </c>
      <c r="N271" s="6">
        <v>1.77</v>
      </c>
      <c r="O271" s="6">
        <v>1.77</v>
      </c>
      <c r="P271" s="6">
        <v>0</v>
      </c>
      <c r="Q271" s="4" t="s">
        <v>26</v>
      </c>
      <c r="R271" s="4">
        <v>0</v>
      </c>
      <c r="S271" s="6">
        <v>0</v>
      </c>
      <c r="T271" s="6">
        <v>5</v>
      </c>
      <c r="U271" s="6">
        <v>69</v>
      </c>
      <c r="V271" s="6">
        <f>IF(ISERROR(VLOOKUP($S$271,'TAR FIN'!$A$1:$O$86,15,0)),0,VLOOKUP($S$271,'TAR FIN'!$A$1:$O$86,15,0))</f>
        <v>0</v>
      </c>
      <c r="W271" s="6">
        <f>IF(ISERROR(VLOOKUP($T$271,'TAR FIN'!$A$1:$O$86,15,0)),0,VLOOKUP($T$271,'TAR FIN'!$A$1:$O$86,15,0))</f>
        <v>1518.97</v>
      </c>
      <c r="X271" s="6">
        <f>IF(ISERROR(VLOOKUP($U$271,'TAR FIN'!$A$1:$O$86,15,0)),0,VLOOKUP($U$271,'TAR FIN'!$A$1:$O$86,15,0))</f>
        <v>359.33</v>
      </c>
      <c r="Y271" s="6"/>
      <c r="Z271" s="6">
        <f ca="1">('TUSD BE'!$AM$11+'TUSD BF_350'!$AM$11+'TUSD CVA'!$AM$11)*1</f>
        <v>911.83999999999992</v>
      </c>
      <c r="AA271" s="6">
        <f ca="1">('TE BE'!$AB$5+'TE BF_350'!$AB$5+'TE CVA'!$AB$5)*1</f>
        <v>362.73600214515886</v>
      </c>
      <c r="AB271" s="6">
        <f>$K$271*$V$271</f>
        <v>0</v>
      </c>
      <c r="AC271" s="6">
        <f>$M$271*$W$271</f>
        <v>2688.5769</v>
      </c>
      <c r="AD271" s="6">
        <f>$O$271*$X$271</f>
        <v>636.01409999999998</v>
      </c>
      <c r="AE271" s="6">
        <f>$K$271*$Y$271</f>
        <v>0</v>
      </c>
      <c r="AF271" s="6">
        <f ca="1">$M$271*$Z$271</f>
        <v>1613.9567999999999</v>
      </c>
      <c r="AG271" s="6">
        <f ca="1">$O$271*$AA$271</f>
        <v>642.04272379693123</v>
      </c>
    </row>
    <row r="272" spans="1:33" ht="11.25" customHeight="1" x14ac:dyDescent="0.25">
      <c r="A272" s="4" t="s">
        <v>21</v>
      </c>
      <c r="B272" s="4" t="s">
        <v>35</v>
      </c>
      <c r="C272" s="4" t="s">
        <v>39</v>
      </c>
      <c r="D272" s="4" t="s">
        <v>43</v>
      </c>
      <c r="E272" s="4" t="s">
        <v>25</v>
      </c>
      <c r="F272" s="4" t="s">
        <v>25</v>
      </c>
      <c r="G272" s="4" t="s">
        <v>25</v>
      </c>
      <c r="H272" s="4" t="s">
        <v>37</v>
      </c>
      <c r="I272" s="5">
        <v>44470</v>
      </c>
      <c r="J272" s="6">
        <v>0</v>
      </c>
      <c r="K272" s="6">
        <v>0</v>
      </c>
      <c r="L272" s="6">
        <v>1.5740000000000001</v>
      </c>
      <c r="M272" s="6">
        <v>1.5740000000000001</v>
      </c>
      <c r="N272" s="6">
        <v>1.5740000000000001</v>
      </c>
      <c r="O272" s="6">
        <v>1.5740000000000001</v>
      </c>
      <c r="P272" s="6">
        <v>0</v>
      </c>
      <c r="Q272" s="4" t="s">
        <v>26</v>
      </c>
      <c r="R272" s="4">
        <v>0</v>
      </c>
      <c r="S272" s="6">
        <v>0</v>
      </c>
      <c r="T272" s="6">
        <v>5</v>
      </c>
      <c r="U272" s="6">
        <v>69</v>
      </c>
      <c r="V272" s="6">
        <f>IF(ISERROR(VLOOKUP($S$272,'TAR FIN'!$A$1:$O$86,15,0)),0,VLOOKUP($S$272,'TAR FIN'!$A$1:$O$86,15,0))</f>
        <v>0</v>
      </c>
      <c r="W272" s="6">
        <f>IF(ISERROR(VLOOKUP($T$272,'TAR FIN'!$A$1:$O$86,15,0)),0,VLOOKUP($T$272,'TAR FIN'!$A$1:$O$86,15,0))</f>
        <v>1518.97</v>
      </c>
      <c r="X272" s="6">
        <f>IF(ISERROR(VLOOKUP($U$272,'TAR FIN'!$A$1:$O$86,15,0)),0,VLOOKUP($U$272,'TAR FIN'!$A$1:$O$86,15,0))</f>
        <v>359.33</v>
      </c>
      <c r="Y272" s="6"/>
      <c r="Z272" s="6">
        <f ca="1">('TUSD BE'!$AM$11+'TUSD BF_350'!$AM$11+'TUSD CVA'!$AM$11)*1</f>
        <v>911.83999999999992</v>
      </c>
      <c r="AA272" s="6">
        <f ca="1">('TE BE'!$AB$5+'TE BF_350'!$AB$5+'TE CVA'!$AB$5)*1</f>
        <v>362.73600214515886</v>
      </c>
      <c r="AB272" s="6">
        <f>$K$272*$V$272</f>
        <v>0</v>
      </c>
      <c r="AC272" s="6">
        <f>$M$272*$W$272</f>
        <v>2390.85878</v>
      </c>
      <c r="AD272" s="6">
        <f>$O$272*$X$272</f>
        <v>565.58542</v>
      </c>
      <c r="AE272" s="6">
        <f>$K$272*$Y$272</f>
        <v>0</v>
      </c>
      <c r="AF272" s="6">
        <f ca="1">$M$272*$Z$272</f>
        <v>1435.2361599999999</v>
      </c>
      <c r="AG272" s="6">
        <f ca="1">$O$272*$AA$272</f>
        <v>570.94646737648009</v>
      </c>
    </row>
    <row r="273" spans="1:33" ht="11.25" customHeight="1" x14ac:dyDescent="0.25">
      <c r="A273" s="4" t="s">
        <v>21</v>
      </c>
      <c r="B273" s="4" t="s">
        <v>35</v>
      </c>
      <c r="C273" s="4" t="s">
        <v>39</v>
      </c>
      <c r="D273" s="4" t="s">
        <v>43</v>
      </c>
      <c r="E273" s="4" t="s">
        <v>25</v>
      </c>
      <c r="F273" s="4" t="s">
        <v>25</v>
      </c>
      <c r="G273" s="4" t="s">
        <v>25</v>
      </c>
      <c r="H273" s="4" t="s">
        <v>37</v>
      </c>
      <c r="I273" s="5">
        <v>44501</v>
      </c>
      <c r="J273" s="6">
        <v>0</v>
      </c>
      <c r="K273" s="6">
        <v>0</v>
      </c>
      <c r="L273" s="6">
        <v>1.851</v>
      </c>
      <c r="M273" s="6">
        <v>1.851</v>
      </c>
      <c r="N273" s="6">
        <v>1.851</v>
      </c>
      <c r="O273" s="6">
        <v>1.851</v>
      </c>
      <c r="P273" s="6">
        <v>0</v>
      </c>
      <c r="Q273" s="4" t="s">
        <v>26</v>
      </c>
      <c r="R273" s="4">
        <v>0</v>
      </c>
      <c r="S273" s="6">
        <v>0</v>
      </c>
      <c r="T273" s="6">
        <v>5</v>
      </c>
      <c r="U273" s="6">
        <v>69</v>
      </c>
      <c r="V273" s="6">
        <f>IF(ISERROR(VLOOKUP($S$273,'TAR FIN'!$A$1:$O$86,15,0)),0,VLOOKUP($S$273,'TAR FIN'!$A$1:$O$86,15,0))</f>
        <v>0</v>
      </c>
      <c r="W273" s="6">
        <f>IF(ISERROR(VLOOKUP($T$273,'TAR FIN'!$A$1:$O$86,15,0)),0,VLOOKUP($T$273,'TAR FIN'!$A$1:$O$86,15,0))</f>
        <v>1518.97</v>
      </c>
      <c r="X273" s="6">
        <f>IF(ISERROR(VLOOKUP($U$273,'TAR FIN'!$A$1:$O$86,15,0)),0,VLOOKUP($U$273,'TAR FIN'!$A$1:$O$86,15,0))</f>
        <v>359.33</v>
      </c>
      <c r="Y273" s="6"/>
      <c r="Z273" s="6">
        <f ca="1">('TUSD BE'!$AM$11+'TUSD BF_350'!$AM$11+'TUSD CVA'!$AM$11)*1</f>
        <v>911.83999999999992</v>
      </c>
      <c r="AA273" s="6">
        <f ca="1">('TE BE'!$AB$5+'TE BF_350'!$AB$5+'TE CVA'!$AB$5)*1</f>
        <v>362.73600214515886</v>
      </c>
      <c r="AB273" s="6">
        <f>$K$273*$V$273</f>
        <v>0</v>
      </c>
      <c r="AC273" s="6">
        <f>$M$273*$W$273</f>
        <v>2811.6134700000002</v>
      </c>
      <c r="AD273" s="6">
        <f>$O$273*$X$273</f>
        <v>665.11982999999998</v>
      </c>
      <c r="AE273" s="6">
        <f>$K$273*$Y$273</f>
        <v>0</v>
      </c>
      <c r="AF273" s="6">
        <f ca="1">$M$273*$Z$273</f>
        <v>1687.8158399999998</v>
      </c>
      <c r="AG273" s="6">
        <f ca="1">$O$273*$AA$273</f>
        <v>671.42433997068906</v>
      </c>
    </row>
    <row r="274" spans="1:33" ht="11.25" customHeight="1" x14ac:dyDescent="0.25">
      <c r="A274" s="4" t="s">
        <v>21</v>
      </c>
      <c r="B274" s="4" t="s">
        <v>35</v>
      </c>
      <c r="C274" s="4" t="s">
        <v>39</v>
      </c>
      <c r="D274" s="4" t="s">
        <v>43</v>
      </c>
      <c r="E274" s="4" t="s">
        <v>25</v>
      </c>
      <c r="F274" s="4" t="s">
        <v>25</v>
      </c>
      <c r="G274" s="4" t="s">
        <v>25</v>
      </c>
      <c r="H274" s="4" t="s">
        <v>37</v>
      </c>
      <c r="I274" s="5">
        <v>44531</v>
      </c>
      <c r="J274" s="6">
        <v>0</v>
      </c>
      <c r="K274" s="6">
        <v>0</v>
      </c>
      <c r="L274" s="6">
        <v>0.56999999999999995</v>
      </c>
      <c r="M274" s="6">
        <v>0.56999999999999995</v>
      </c>
      <c r="N274" s="6">
        <v>0.56999999999999995</v>
      </c>
      <c r="O274" s="6">
        <v>0.56999999999999995</v>
      </c>
      <c r="P274" s="6">
        <v>0</v>
      </c>
      <c r="Q274" s="4" t="s">
        <v>26</v>
      </c>
      <c r="R274" s="4">
        <v>0</v>
      </c>
      <c r="S274" s="6">
        <v>0</v>
      </c>
      <c r="T274" s="6">
        <v>5</v>
      </c>
      <c r="U274" s="6">
        <v>69</v>
      </c>
      <c r="V274" s="6">
        <f>IF(ISERROR(VLOOKUP($S$274,'TAR FIN'!$A$1:$O$86,15,0)),0,VLOOKUP($S$274,'TAR FIN'!$A$1:$O$86,15,0))</f>
        <v>0</v>
      </c>
      <c r="W274" s="6">
        <f>IF(ISERROR(VLOOKUP($T$274,'TAR FIN'!$A$1:$O$86,15,0)),0,VLOOKUP($T$274,'TAR FIN'!$A$1:$O$86,15,0))</f>
        <v>1518.97</v>
      </c>
      <c r="X274" s="6">
        <f>IF(ISERROR(VLOOKUP($U$274,'TAR FIN'!$A$1:$O$86,15,0)),0,VLOOKUP($U$274,'TAR FIN'!$A$1:$O$86,15,0))</f>
        <v>359.33</v>
      </c>
      <c r="Y274" s="6"/>
      <c r="Z274" s="6">
        <f ca="1">('TUSD BE'!$AM$11+'TUSD BF_350'!$AM$11+'TUSD CVA'!$AM$11)*1</f>
        <v>911.83999999999992</v>
      </c>
      <c r="AA274" s="6">
        <f ca="1">('TE BE'!$AB$5+'TE BF_350'!$AB$5+'TE CVA'!$AB$5)*1</f>
        <v>362.73600214515886</v>
      </c>
      <c r="AB274" s="6">
        <f>$K$274*$V$274</f>
        <v>0</v>
      </c>
      <c r="AC274" s="6">
        <f>$M$274*$W$274</f>
        <v>865.8128999999999</v>
      </c>
      <c r="AD274" s="6">
        <f>$O$274*$X$274</f>
        <v>204.81809999999999</v>
      </c>
      <c r="AE274" s="6">
        <f>$K$274*$Y$274</f>
        <v>0</v>
      </c>
      <c r="AF274" s="6">
        <f ca="1">$M$274*$Z$274</f>
        <v>519.74879999999996</v>
      </c>
      <c r="AG274" s="6">
        <f ca="1">$O$274*$AA$274</f>
        <v>206.75952122274055</v>
      </c>
    </row>
    <row r="275" spans="1:33" ht="11.25" customHeight="1" x14ac:dyDescent="0.25">
      <c r="A275" s="4" t="s">
        <v>28</v>
      </c>
      <c r="B275" s="4" t="s">
        <v>35</v>
      </c>
      <c r="C275" s="4" t="s">
        <v>39</v>
      </c>
      <c r="D275" s="4" t="s">
        <v>43</v>
      </c>
      <c r="E275" s="4" t="s">
        <v>25</v>
      </c>
      <c r="F275" s="4" t="s">
        <v>25</v>
      </c>
      <c r="G275" s="4" t="s">
        <v>25</v>
      </c>
      <c r="H275" s="4" t="s">
        <v>37</v>
      </c>
      <c r="I275" s="5">
        <v>44531</v>
      </c>
      <c r="J275" s="6">
        <v>0</v>
      </c>
      <c r="K275" s="6">
        <v>0</v>
      </c>
      <c r="L275" s="6">
        <v>1.5620000000000001</v>
      </c>
      <c r="M275" s="6">
        <v>1.5620000000000001</v>
      </c>
      <c r="N275" s="6">
        <v>1.5620000000000001</v>
      </c>
      <c r="O275" s="6">
        <v>1.5620000000000001</v>
      </c>
      <c r="P275" s="6">
        <v>0</v>
      </c>
      <c r="Q275" s="4" t="s">
        <v>26</v>
      </c>
      <c r="R275" s="4">
        <v>0</v>
      </c>
      <c r="S275" s="6">
        <v>0</v>
      </c>
      <c r="T275" s="6">
        <v>5</v>
      </c>
      <c r="U275" s="6">
        <v>69</v>
      </c>
      <c r="V275" s="6">
        <f>IF(ISERROR(VLOOKUP($S$275,'TAR FIN'!$A$1:$O$86,15,0)),0,VLOOKUP($S$275,'TAR FIN'!$A$1:$O$86,15,0))</f>
        <v>0</v>
      </c>
      <c r="W275" s="6">
        <f>IF(ISERROR(VLOOKUP($T$275,'TAR FIN'!$A$1:$O$86,15,0)),0,VLOOKUP($T$275,'TAR FIN'!$A$1:$O$86,15,0))</f>
        <v>1518.97</v>
      </c>
      <c r="X275" s="6">
        <f>IF(ISERROR(VLOOKUP($U$275,'TAR FIN'!$A$1:$O$86,15,0)),0,VLOOKUP($U$275,'TAR FIN'!$A$1:$O$86,15,0))</f>
        <v>359.33</v>
      </c>
      <c r="Y275" s="6"/>
      <c r="Z275" s="6">
        <f ca="1">('TUSD BE'!$AM$11+'TUSD BF_350'!$AM$11+'TUSD CVA'!$AM$11)*1</f>
        <v>911.83999999999992</v>
      </c>
      <c r="AA275" s="6">
        <f ca="1">('TE BE'!$AB$5+'TE BF_350'!$AB$5+'TE CVA'!$AB$5)*1</f>
        <v>362.73600214515886</v>
      </c>
      <c r="AB275" s="6">
        <f>$K$275*$V$275</f>
        <v>0</v>
      </c>
      <c r="AC275" s="6">
        <f>$M$275*$W$275</f>
        <v>2372.63114</v>
      </c>
      <c r="AD275" s="6">
        <f>$O$275*$X$275</f>
        <v>561.27346</v>
      </c>
      <c r="AE275" s="6">
        <f>$K$275*$Y$275</f>
        <v>0</v>
      </c>
      <c r="AF275" s="6">
        <f ca="1">$M$275*$Z$275</f>
        <v>1424.2940799999999</v>
      </c>
      <c r="AG275" s="6">
        <f ca="1">$O$275*$AA$275</f>
        <v>566.59363535073817</v>
      </c>
    </row>
    <row r="276" spans="1:33" ht="11.25" customHeight="1" x14ac:dyDescent="0.25">
      <c r="A276" s="4" t="s">
        <v>21</v>
      </c>
      <c r="B276" s="4" t="s">
        <v>35</v>
      </c>
      <c r="C276" s="4" t="s">
        <v>39</v>
      </c>
      <c r="D276" s="4" t="s">
        <v>43</v>
      </c>
      <c r="E276" s="4" t="s">
        <v>25</v>
      </c>
      <c r="F276" s="4" t="s">
        <v>25</v>
      </c>
      <c r="G276" s="4" t="s">
        <v>25</v>
      </c>
      <c r="H276" s="4" t="s">
        <v>37</v>
      </c>
      <c r="I276" s="5">
        <v>44562</v>
      </c>
      <c r="J276" s="6">
        <v>0</v>
      </c>
      <c r="K276" s="6">
        <v>0</v>
      </c>
      <c r="L276" s="6">
        <v>0.57899999999999996</v>
      </c>
      <c r="M276" s="6">
        <v>0.57899999999999996</v>
      </c>
      <c r="N276" s="6">
        <v>0.57899999999999996</v>
      </c>
      <c r="O276" s="6">
        <v>0.57899999999999996</v>
      </c>
      <c r="P276" s="6">
        <v>0</v>
      </c>
      <c r="Q276" s="4" t="s">
        <v>26</v>
      </c>
      <c r="R276" s="4">
        <v>0</v>
      </c>
      <c r="S276" s="6">
        <v>0</v>
      </c>
      <c r="T276" s="6">
        <v>5</v>
      </c>
      <c r="U276" s="6">
        <v>69</v>
      </c>
      <c r="V276" s="6">
        <f>IF(ISERROR(VLOOKUP($S$276,'TAR FIN'!$A$1:$O$86,15,0)),0,VLOOKUP($S$276,'TAR FIN'!$A$1:$O$86,15,0))</f>
        <v>0</v>
      </c>
      <c r="W276" s="6">
        <f>IF(ISERROR(VLOOKUP($T$276,'TAR FIN'!$A$1:$O$86,15,0)),0,VLOOKUP($T$276,'TAR FIN'!$A$1:$O$86,15,0))</f>
        <v>1518.97</v>
      </c>
      <c r="X276" s="6">
        <f>IF(ISERROR(VLOOKUP($U$276,'TAR FIN'!$A$1:$O$86,15,0)),0,VLOOKUP($U$276,'TAR FIN'!$A$1:$O$86,15,0))</f>
        <v>359.33</v>
      </c>
      <c r="Y276" s="6"/>
      <c r="Z276" s="6">
        <f ca="1">('TUSD BE'!$AM$11+'TUSD BF_350'!$AM$11+'TUSD CVA'!$AM$11)*1</f>
        <v>911.83999999999992</v>
      </c>
      <c r="AA276" s="6">
        <f ca="1">('TE BE'!$AB$5+'TE BF_350'!$AB$5+'TE CVA'!$AB$5)*1</f>
        <v>362.73600214515886</v>
      </c>
      <c r="AB276" s="6">
        <f>$K$276*$V$276</f>
        <v>0</v>
      </c>
      <c r="AC276" s="6">
        <f>$M$276*$W$276</f>
        <v>879.48362999999995</v>
      </c>
      <c r="AD276" s="6">
        <f>$O$276*$X$276</f>
        <v>208.05206999999999</v>
      </c>
      <c r="AE276" s="6">
        <f>$K$276*$Y$276</f>
        <v>0</v>
      </c>
      <c r="AF276" s="6">
        <f ca="1">$M$276*$Z$276</f>
        <v>527.95535999999993</v>
      </c>
      <c r="AG276" s="6">
        <f ca="1">$O$276*$AA$276</f>
        <v>210.02414524204696</v>
      </c>
    </row>
    <row r="277" spans="1:33" ht="11.25" customHeight="1" x14ac:dyDescent="0.25">
      <c r="A277" s="4" t="s">
        <v>28</v>
      </c>
      <c r="B277" s="4" t="s">
        <v>35</v>
      </c>
      <c r="C277" s="4" t="s">
        <v>39</v>
      </c>
      <c r="D277" s="4" t="s">
        <v>43</v>
      </c>
      <c r="E277" s="4" t="s">
        <v>25</v>
      </c>
      <c r="F277" s="4" t="s">
        <v>25</v>
      </c>
      <c r="G277" s="4" t="s">
        <v>25</v>
      </c>
      <c r="H277" s="4" t="s">
        <v>37</v>
      </c>
      <c r="I277" s="5">
        <v>44562</v>
      </c>
      <c r="J277" s="6">
        <v>0</v>
      </c>
      <c r="K277" s="6">
        <v>0</v>
      </c>
      <c r="L277" s="6">
        <v>1.25</v>
      </c>
      <c r="M277" s="6">
        <v>1.25</v>
      </c>
      <c r="N277" s="6">
        <v>1.25</v>
      </c>
      <c r="O277" s="6">
        <v>1.25</v>
      </c>
      <c r="P277" s="6">
        <v>0</v>
      </c>
      <c r="Q277" s="4" t="s">
        <v>26</v>
      </c>
      <c r="R277" s="4">
        <v>0</v>
      </c>
      <c r="S277" s="6">
        <v>0</v>
      </c>
      <c r="T277" s="6">
        <v>5</v>
      </c>
      <c r="U277" s="6">
        <v>69</v>
      </c>
      <c r="V277" s="6">
        <f>IF(ISERROR(VLOOKUP($S$277,'TAR FIN'!$A$1:$O$86,15,0)),0,VLOOKUP($S$277,'TAR FIN'!$A$1:$O$86,15,0))</f>
        <v>0</v>
      </c>
      <c r="W277" s="6">
        <f>IF(ISERROR(VLOOKUP($T$277,'TAR FIN'!$A$1:$O$86,15,0)),0,VLOOKUP($T$277,'TAR FIN'!$A$1:$O$86,15,0))</f>
        <v>1518.97</v>
      </c>
      <c r="X277" s="6">
        <f>IF(ISERROR(VLOOKUP($U$277,'TAR FIN'!$A$1:$O$86,15,0)),0,VLOOKUP($U$277,'TAR FIN'!$A$1:$O$86,15,0))</f>
        <v>359.33</v>
      </c>
      <c r="Y277" s="6"/>
      <c r="Z277" s="6">
        <f ca="1">('TUSD BE'!$AM$11+'TUSD BF_350'!$AM$11+'TUSD CVA'!$AM$11)*1</f>
        <v>911.83999999999992</v>
      </c>
      <c r="AA277" s="6">
        <f ca="1">('TE BE'!$AB$5+'TE BF_350'!$AB$5+'TE CVA'!$AB$5)*1</f>
        <v>362.73600214515886</v>
      </c>
      <c r="AB277" s="6">
        <f>$K$277*$V$277</f>
        <v>0</v>
      </c>
      <c r="AC277" s="6">
        <f>$M$277*$W$277</f>
        <v>1898.7125000000001</v>
      </c>
      <c r="AD277" s="6">
        <f>$O$277*$X$277</f>
        <v>449.16249999999997</v>
      </c>
      <c r="AE277" s="6">
        <f>$K$277*$Y$277</f>
        <v>0</v>
      </c>
      <c r="AF277" s="6">
        <f ca="1">$M$277*$Z$277</f>
        <v>1139.8</v>
      </c>
      <c r="AG277" s="6">
        <f ca="1">$O$277*$AA$277</f>
        <v>453.42000268144858</v>
      </c>
    </row>
    <row r="278" spans="1:33" ht="11.25" customHeight="1" x14ac:dyDescent="0.25">
      <c r="A278" s="4" t="s">
        <v>21</v>
      </c>
      <c r="B278" s="4" t="s">
        <v>35</v>
      </c>
      <c r="C278" s="4" t="s">
        <v>39</v>
      </c>
      <c r="D278" s="4" t="s">
        <v>43</v>
      </c>
      <c r="E278" s="4" t="s">
        <v>25</v>
      </c>
      <c r="F278" s="4" t="s">
        <v>25</v>
      </c>
      <c r="G278" s="4" t="s">
        <v>25</v>
      </c>
      <c r="H278" s="4" t="s">
        <v>37</v>
      </c>
      <c r="I278" s="5">
        <v>44593</v>
      </c>
      <c r="J278" s="6">
        <v>0</v>
      </c>
      <c r="K278" s="6">
        <v>0</v>
      </c>
      <c r="L278" s="6">
        <v>0.54400000000000004</v>
      </c>
      <c r="M278" s="6">
        <v>0.54400000000000004</v>
      </c>
      <c r="N278" s="6">
        <v>0.54400000000000004</v>
      </c>
      <c r="O278" s="6">
        <v>0.54400000000000004</v>
      </c>
      <c r="P278" s="6">
        <v>0</v>
      </c>
      <c r="Q278" s="4" t="s">
        <v>26</v>
      </c>
      <c r="R278" s="4">
        <v>0</v>
      </c>
      <c r="S278" s="6">
        <v>0</v>
      </c>
      <c r="T278" s="6">
        <v>5</v>
      </c>
      <c r="U278" s="6">
        <v>69</v>
      </c>
      <c r="V278" s="6">
        <f>IF(ISERROR(VLOOKUP($S$278,'TAR FIN'!$A$1:$O$86,15,0)),0,VLOOKUP($S$278,'TAR FIN'!$A$1:$O$86,15,0))</f>
        <v>0</v>
      </c>
      <c r="W278" s="6">
        <f>IF(ISERROR(VLOOKUP($T$278,'TAR FIN'!$A$1:$O$86,15,0)),0,VLOOKUP($T$278,'TAR FIN'!$A$1:$O$86,15,0))</f>
        <v>1518.97</v>
      </c>
      <c r="X278" s="6">
        <f>IF(ISERROR(VLOOKUP($U$278,'TAR FIN'!$A$1:$O$86,15,0)),0,VLOOKUP($U$278,'TAR FIN'!$A$1:$O$86,15,0))</f>
        <v>359.33</v>
      </c>
      <c r="Y278" s="6"/>
      <c r="Z278" s="6">
        <f ca="1">('TUSD BE'!$AM$11+'TUSD BF_350'!$AM$11+'TUSD CVA'!$AM$11)*1</f>
        <v>911.83999999999992</v>
      </c>
      <c r="AA278" s="6">
        <f ca="1">('TE BE'!$AB$5+'TE BF_350'!$AB$5+'TE CVA'!$AB$5)*1</f>
        <v>362.73600214515886</v>
      </c>
      <c r="AB278" s="6">
        <f>$K$278*$V$278</f>
        <v>0</v>
      </c>
      <c r="AC278" s="6">
        <f>$M$278*$W$278</f>
        <v>826.31968000000006</v>
      </c>
      <c r="AD278" s="6">
        <f>$O$278*$X$278</f>
        <v>195.47552000000002</v>
      </c>
      <c r="AE278" s="6">
        <f>$K$278*$Y$278</f>
        <v>0</v>
      </c>
      <c r="AF278" s="6">
        <f ca="1">$M$278*$Z$278</f>
        <v>496.04095999999998</v>
      </c>
      <c r="AG278" s="6">
        <f ca="1">$O$278*$AA$278</f>
        <v>197.32838516696643</v>
      </c>
    </row>
    <row r="279" spans="1:33" ht="11.25" customHeight="1" x14ac:dyDescent="0.25">
      <c r="A279" s="4" t="s">
        <v>28</v>
      </c>
      <c r="B279" s="4" t="s">
        <v>35</v>
      </c>
      <c r="C279" s="4" t="s">
        <v>39</v>
      </c>
      <c r="D279" s="4" t="s">
        <v>43</v>
      </c>
      <c r="E279" s="4" t="s">
        <v>25</v>
      </c>
      <c r="F279" s="4" t="s">
        <v>25</v>
      </c>
      <c r="G279" s="4" t="s">
        <v>25</v>
      </c>
      <c r="H279" s="4" t="s">
        <v>37</v>
      </c>
      <c r="I279" s="5">
        <v>44593</v>
      </c>
      <c r="J279" s="6">
        <v>0</v>
      </c>
      <c r="K279" s="6">
        <v>0</v>
      </c>
      <c r="L279" s="6">
        <v>1.5529999999999999</v>
      </c>
      <c r="M279" s="6">
        <v>1.5529999999999999</v>
      </c>
      <c r="N279" s="6">
        <v>1.5529999999999999</v>
      </c>
      <c r="O279" s="6">
        <v>1.5529999999999999</v>
      </c>
      <c r="P279" s="6">
        <v>0</v>
      </c>
      <c r="Q279" s="4" t="s">
        <v>26</v>
      </c>
      <c r="R279" s="4">
        <v>0</v>
      </c>
      <c r="S279" s="6">
        <v>0</v>
      </c>
      <c r="T279" s="6">
        <v>5</v>
      </c>
      <c r="U279" s="6">
        <v>69</v>
      </c>
      <c r="V279" s="6">
        <f>IF(ISERROR(VLOOKUP($S$279,'TAR FIN'!$A$1:$O$86,15,0)),0,VLOOKUP($S$279,'TAR FIN'!$A$1:$O$86,15,0))</f>
        <v>0</v>
      </c>
      <c r="W279" s="6">
        <f>IF(ISERROR(VLOOKUP($T$279,'TAR FIN'!$A$1:$O$86,15,0)),0,VLOOKUP($T$279,'TAR FIN'!$A$1:$O$86,15,0))</f>
        <v>1518.97</v>
      </c>
      <c r="X279" s="6">
        <f>IF(ISERROR(VLOOKUP($U$279,'TAR FIN'!$A$1:$O$86,15,0)),0,VLOOKUP($U$279,'TAR FIN'!$A$1:$O$86,15,0))</f>
        <v>359.33</v>
      </c>
      <c r="Y279" s="6"/>
      <c r="Z279" s="6">
        <f ca="1">('TUSD BE'!$AM$11+'TUSD BF_350'!$AM$11+'TUSD CVA'!$AM$11)*1</f>
        <v>911.83999999999992</v>
      </c>
      <c r="AA279" s="6">
        <f ca="1">('TE BE'!$AB$5+'TE BF_350'!$AB$5+'TE CVA'!$AB$5)*1</f>
        <v>362.73600214515886</v>
      </c>
      <c r="AB279" s="6">
        <f>$K$279*$V$279</f>
        <v>0</v>
      </c>
      <c r="AC279" s="6">
        <f>$M$279*$W$279</f>
        <v>2358.9604100000001</v>
      </c>
      <c r="AD279" s="6">
        <f>$O$279*$X$279</f>
        <v>558.03949</v>
      </c>
      <c r="AE279" s="6">
        <f>$K$279*$Y$279</f>
        <v>0</v>
      </c>
      <c r="AF279" s="6">
        <f ca="1">$M$279*$Z$279</f>
        <v>1416.0875199999998</v>
      </c>
      <c r="AG279" s="6">
        <f ca="1">$O$279*$AA$279</f>
        <v>563.32901133143173</v>
      </c>
    </row>
    <row r="280" spans="1:33" ht="11.25" customHeight="1" x14ac:dyDescent="0.25">
      <c r="A280" s="4" t="s">
        <v>21</v>
      </c>
      <c r="B280" s="4" t="s">
        <v>35</v>
      </c>
      <c r="C280" s="4" t="s">
        <v>39</v>
      </c>
      <c r="D280" s="4" t="s">
        <v>43</v>
      </c>
      <c r="E280" s="4" t="s">
        <v>25</v>
      </c>
      <c r="F280" s="4" t="s">
        <v>25</v>
      </c>
      <c r="G280" s="4" t="s">
        <v>25</v>
      </c>
      <c r="H280" s="4" t="s">
        <v>37</v>
      </c>
      <c r="I280" s="5">
        <v>44621</v>
      </c>
      <c r="J280" s="6">
        <v>0</v>
      </c>
      <c r="K280" s="6">
        <v>0</v>
      </c>
      <c r="L280" s="6">
        <v>0.58699999999999997</v>
      </c>
      <c r="M280" s="6">
        <v>0.58699999999999997</v>
      </c>
      <c r="N280" s="6">
        <v>0.58699999999999997</v>
      </c>
      <c r="O280" s="6">
        <v>0.58699999999999997</v>
      </c>
      <c r="P280" s="6">
        <v>0</v>
      </c>
      <c r="Q280" s="4" t="s">
        <v>26</v>
      </c>
      <c r="R280" s="4">
        <v>0</v>
      </c>
      <c r="S280" s="6">
        <v>0</v>
      </c>
      <c r="T280" s="6">
        <v>5</v>
      </c>
      <c r="U280" s="6">
        <v>69</v>
      </c>
      <c r="V280" s="6">
        <f>IF(ISERROR(VLOOKUP($S$280,'TAR FIN'!$A$1:$O$86,15,0)),0,VLOOKUP($S$280,'TAR FIN'!$A$1:$O$86,15,0))</f>
        <v>0</v>
      </c>
      <c r="W280" s="6">
        <f>IF(ISERROR(VLOOKUP($T$280,'TAR FIN'!$A$1:$O$86,15,0)),0,VLOOKUP($T$280,'TAR FIN'!$A$1:$O$86,15,0))</f>
        <v>1518.97</v>
      </c>
      <c r="X280" s="6">
        <f>IF(ISERROR(VLOOKUP($U$280,'TAR FIN'!$A$1:$O$86,15,0)),0,VLOOKUP($U$280,'TAR FIN'!$A$1:$O$86,15,0))</f>
        <v>359.33</v>
      </c>
      <c r="Y280" s="6"/>
      <c r="Z280" s="6">
        <f ca="1">('TUSD BE'!$AM$11+'TUSD BF_350'!$AM$11+'TUSD CVA'!$AM$11)*1</f>
        <v>911.83999999999992</v>
      </c>
      <c r="AA280" s="6">
        <f ca="1">('TE BE'!$AB$5+'TE BF_350'!$AB$5+'TE CVA'!$AB$5)*1</f>
        <v>362.73600214515886</v>
      </c>
      <c r="AB280" s="6">
        <f>$K$280*$V$280</f>
        <v>0</v>
      </c>
      <c r="AC280" s="6">
        <f>$M$280*$W$280</f>
        <v>891.63538999999992</v>
      </c>
      <c r="AD280" s="6">
        <f>$O$280*$X$280</f>
        <v>210.92670999999999</v>
      </c>
      <c r="AE280" s="6">
        <f>$K$280*$Y$280</f>
        <v>0</v>
      </c>
      <c r="AF280" s="6">
        <f ca="1">$M$280*$Z$280</f>
        <v>535.25007999999991</v>
      </c>
      <c r="AG280" s="6">
        <f ca="1">$O$280*$AA$280</f>
        <v>212.92603325920825</v>
      </c>
    </row>
    <row r="281" spans="1:33" ht="11.25" customHeight="1" x14ac:dyDescent="0.25">
      <c r="A281" s="4" t="s">
        <v>28</v>
      </c>
      <c r="B281" s="4" t="s">
        <v>35</v>
      </c>
      <c r="C281" s="4" t="s">
        <v>39</v>
      </c>
      <c r="D281" s="4" t="s">
        <v>43</v>
      </c>
      <c r="E281" s="4" t="s">
        <v>25</v>
      </c>
      <c r="F281" s="4" t="s">
        <v>25</v>
      </c>
      <c r="G281" s="4" t="s">
        <v>25</v>
      </c>
      <c r="H281" s="4" t="s">
        <v>37</v>
      </c>
      <c r="I281" s="5">
        <v>44621</v>
      </c>
      <c r="J281" s="6">
        <v>0</v>
      </c>
      <c r="K281" s="6">
        <v>0</v>
      </c>
      <c r="L281" s="6">
        <v>1.262</v>
      </c>
      <c r="M281" s="6">
        <v>1.262</v>
      </c>
      <c r="N281" s="6">
        <v>1.262</v>
      </c>
      <c r="O281" s="6">
        <v>1.262</v>
      </c>
      <c r="P281" s="6">
        <v>0</v>
      </c>
      <c r="Q281" s="4" t="s">
        <v>26</v>
      </c>
      <c r="R281" s="4">
        <v>0</v>
      </c>
      <c r="S281" s="6">
        <v>0</v>
      </c>
      <c r="T281" s="6">
        <v>5</v>
      </c>
      <c r="U281" s="6">
        <v>69</v>
      </c>
      <c r="V281" s="6">
        <f>IF(ISERROR(VLOOKUP($S$281,'TAR FIN'!$A$1:$O$86,15,0)),0,VLOOKUP($S$281,'TAR FIN'!$A$1:$O$86,15,0))</f>
        <v>0</v>
      </c>
      <c r="W281" s="6">
        <f>IF(ISERROR(VLOOKUP($T$281,'TAR FIN'!$A$1:$O$86,15,0)),0,VLOOKUP($T$281,'TAR FIN'!$A$1:$O$86,15,0))</f>
        <v>1518.97</v>
      </c>
      <c r="X281" s="6">
        <f>IF(ISERROR(VLOOKUP($U$281,'TAR FIN'!$A$1:$O$86,15,0)),0,VLOOKUP($U$281,'TAR FIN'!$A$1:$O$86,15,0))</f>
        <v>359.33</v>
      </c>
      <c r="Y281" s="6"/>
      <c r="Z281" s="6">
        <f ca="1">('TUSD BE'!$AM$11+'TUSD BF_350'!$AM$11+'TUSD CVA'!$AM$11)*1</f>
        <v>911.83999999999992</v>
      </c>
      <c r="AA281" s="6">
        <f ca="1">('TE BE'!$AB$5+'TE BF_350'!$AB$5+'TE CVA'!$AB$5)*1</f>
        <v>362.73600214515886</v>
      </c>
      <c r="AB281" s="6">
        <f>$K$281*$V$281</f>
        <v>0</v>
      </c>
      <c r="AC281" s="6">
        <f>$M$281*$W$281</f>
        <v>1916.9401400000002</v>
      </c>
      <c r="AD281" s="6">
        <f>$O$281*$X$281</f>
        <v>453.47445999999997</v>
      </c>
      <c r="AE281" s="6">
        <f>$K$281*$Y$281</f>
        <v>0</v>
      </c>
      <c r="AF281" s="6">
        <f ca="1">$M$281*$Z$281</f>
        <v>1150.74208</v>
      </c>
      <c r="AG281" s="6">
        <f ca="1">$O$281*$AA$281</f>
        <v>457.7728347071905</v>
      </c>
    </row>
    <row r="282" spans="1:33" ht="11.25" customHeight="1" x14ac:dyDescent="0.25">
      <c r="A282" s="4" t="s">
        <v>21</v>
      </c>
      <c r="B282" s="4" t="s">
        <v>35</v>
      </c>
      <c r="C282" s="4" t="s">
        <v>39</v>
      </c>
      <c r="D282" s="4" t="s">
        <v>43</v>
      </c>
      <c r="E282" s="4" t="s">
        <v>25</v>
      </c>
      <c r="F282" s="4" t="s">
        <v>25</v>
      </c>
      <c r="G282" s="4" t="s">
        <v>25</v>
      </c>
      <c r="H282" s="4" t="s">
        <v>37</v>
      </c>
      <c r="I282" s="5">
        <v>44652</v>
      </c>
      <c r="J282" s="6">
        <v>0</v>
      </c>
      <c r="K282" s="6">
        <v>0</v>
      </c>
      <c r="L282" s="6">
        <v>0.48799999999999999</v>
      </c>
      <c r="M282" s="6">
        <v>0.48799999999999999</v>
      </c>
      <c r="N282" s="6">
        <v>0.48799999999999999</v>
      </c>
      <c r="O282" s="6">
        <v>0.48799999999999999</v>
      </c>
      <c r="P282" s="6">
        <v>0</v>
      </c>
      <c r="Q282" s="4" t="s">
        <v>26</v>
      </c>
      <c r="R282" s="4">
        <v>0</v>
      </c>
      <c r="S282" s="6">
        <v>0</v>
      </c>
      <c r="T282" s="6">
        <v>5</v>
      </c>
      <c r="U282" s="6">
        <v>69</v>
      </c>
      <c r="V282" s="6">
        <f>IF(ISERROR(VLOOKUP($S$282,'TAR FIN'!$A$1:$O$86,15,0)),0,VLOOKUP($S$282,'TAR FIN'!$A$1:$O$86,15,0))</f>
        <v>0</v>
      </c>
      <c r="W282" s="6">
        <f>IF(ISERROR(VLOOKUP($T$282,'TAR FIN'!$A$1:$O$86,15,0)),0,VLOOKUP($T$282,'TAR FIN'!$A$1:$O$86,15,0))</f>
        <v>1518.97</v>
      </c>
      <c r="X282" s="6">
        <f>IF(ISERROR(VLOOKUP($U$282,'TAR FIN'!$A$1:$O$86,15,0)),0,VLOOKUP($U$282,'TAR FIN'!$A$1:$O$86,15,0))</f>
        <v>359.33</v>
      </c>
      <c r="Y282" s="6"/>
      <c r="Z282" s="6">
        <f ca="1">('TUSD BE'!$AM$11+'TUSD BF_350'!$AM$11+'TUSD CVA'!$AM$11)*1</f>
        <v>911.83999999999992</v>
      </c>
      <c r="AA282" s="6">
        <f ca="1">('TE BE'!$AB$5+'TE BF_350'!$AB$5+'TE CVA'!$AB$5)*1</f>
        <v>362.73600214515886</v>
      </c>
      <c r="AB282" s="6">
        <f>$K$282*$V$282</f>
        <v>0</v>
      </c>
      <c r="AC282" s="6">
        <f>$M$282*$W$282</f>
        <v>741.25735999999995</v>
      </c>
      <c r="AD282" s="6">
        <f>$O$282*$X$282</f>
        <v>175.35303999999999</v>
      </c>
      <c r="AE282" s="6">
        <f>$K$282*$Y$282</f>
        <v>0</v>
      </c>
      <c r="AF282" s="6">
        <f ca="1">$M$282*$Z$282</f>
        <v>444.97791999999993</v>
      </c>
      <c r="AG282" s="6">
        <f ca="1">$O$282*$AA$282</f>
        <v>177.01516904683751</v>
      </c>
    </row>
    <row r="283" spans="1:33" ht="11.25" customHeight="1" x14ac:dyDescent="0.25">
      <c r="A283" s="4" t="s">
        <v>28</v>
      </c>
      <c r="B283" s="4" t="s">
        <v>35</v>
      </c>
      <c r="C283" s="4" t="s">
        <v>39</v>
      </c>
      <c r="D283" s="4" t="s">
        <v>43</v>
      </c>
      <c r="E283" s="4" t="s">
        <v>25</v>
      </c>
      <c r="F283" s="4" t="s">
        <v>25</v>
      </c>
      <c r="G283" s="4" t="s">
        <v>25</v>
      </c>
      <c r="H283" s="4" t="s">
        <v>37</v>
      </c>
      <c r="I283" s="5">
        <v>44652</v>
      </c>
      <c r="J283" s="6">
        <v>0</v>
      </c>
      <c r="K283" s="6">
        <v>0</v>
      </c>
      <c r="L283" s="6">
        <v>1.2250000000000001</v>
      </c>
      <c r="M283" s="6">
        <v>1.2250000000000001</v>
      </c>
      <c r="N283" s="6">
        <v>1.2250000000000001</v>
      </c>
      <c r="O283" s="6">
        <v>1.2250000000000001</v>
      </c>
      <c r="P283" s="6">
        <v>0</v>
      </c>
      <c r="Q283" s="4" t="s">
        <v>26</v>
      </c>
      <c r="R283" s="4">
        <v>0</v>
      </c>
      <c r="S283" s="6">
        <v>0</v>
      </c>
      <c r="T283" s="6">
        <v>5</v>
      </c>
      <c r="U283" s="6">
        <v>69</v>
      </c>
      <c r="V283" s="6">
        <f>IF(ISERROR(VLOOKUP($S$283,'TAR FIN'!$A$1:$O$86,15,0)),0,VLOOKUP($S$283,'TAR FIN'!$A$1:$O$86,15,0))</f>
        <v>0</v>
      </c>
      <c r="W283" s="6">
        <f>IF(ISERROR(VLOOKUP($T$283,'TAR FIN'!$A$1:$O$86,15,0)),0,VLOOKUP($T$283,'TAR FIN'!$A$1:$O$86,15,0))</f>
        <v>1518.97</v>
      </c>
      <c r="X283" s="6">
        <f>IF(ISERROR(VLOOKUP($U$283,'TAR FIN'!$A$1:$O$86,15,0)),0,VLOOKUP($U$283,'TAR FIN'!$A$1:$O$86,15,0))</f>
        <v>359.33</v>
      </c>
      <c r="Y283" s="6"/>
      <c r="Z283" s="6">
        <f ca="1">('TUSD BE'!$AM$11+'TUSD BF_350'!$AM$11+'TUSD CVA'!$AM$11)*1</f>
        <v>911.83999999999992</v>
      </c>
      <c r="AA283" s="6">
        <f ca="1">('TE BE'!$AB$5+'TE BF_350'!$AB$5+'TE CVA'!$AB$5)*1</f>
        <v>362.73600214515886</v>
      </c>
      <c r="AB283" s="6">
        <f>$K$283*$V$283</f>
        <v>0</v>
      </c>
      <c r="AC283" s="6">
        <f>$M$283*$W$283</f>
        <v>1860.7382500000001</v>
      </c>
      <c r="AD283" s="6">
        <f>$O$283*$X$283</f>
        <v>440.17925000000002</v>
      </c>
      <c r="AE283" s="6">
        <f>$K$283*$Y$283</f>
        <v>0</v>
      </c>
      <c r="AF283" s="6">
        <f ca="1">$M$283*$Z$283</f>
        <v>1117.0039999999999</v>
      </c>
      <c r="AG283" s="6">
        <f ca="1">$O$283*$AA$283</f>
        <v>444.35160262781966</v>
      </c>
    </row>
    <row r="284" spans="1:33" ht="11.25" customHeight="1" x14ac:dyDescent="0.25">
      <c r="A284" s="4" t="s">
        <v>21</v>
      </c>
      <c r="B284" s="4" t="s">
        <v>35</v>
      </c>
      <c r="C284" s="4" t="s">
        <v>39</v>
      </c>
      <c r="D284" s="4" t="s">
        <v>43</v>
      </c>
      <c r="E284" s="4" t="s">
        <v>25</v>
      </c>
      <c r="F284" s="4" t="s">
        <v>25</v>
      </c>
      <c r="G284" s="4" t="s">
        <v>25</v>
      </c>
      <c r="H284" s="4" t="s">
        <v>37</v>
      </c>
      <c r="I284" s="5">
        <v>44682</v>
      </c>
      <c r="J284" s="6">
        <v>0</v>
      </c>
      <c r="K284" s="6">
        <v>0</v>
      </c>
      <c r="L284" s="6">
        <v>0.53800000000000003</v>
      </c>
      <c r="M284" s="6">
        <v>0.53800000000000003</v>
      </c>
      <c r="N284" s="6">
        <v>0.53800000000000003</v>
      </c>
      <c r="O284" s="6">
        <v>0.53800000000000003</v>
      </c>
      <c r="P284" s="6">
        <v>0</v>
      </c>
      <c r="Q284" s="4" t="s">
        <v>26</v>
      </c>
      <c r="R284" s="4">
        <v>0</v>
      </c>
      <c r="S284" s="6">
        <v>0</v>
      </c>
      <c r="T284" s="6">
        <v>5</v>
      </c>
      <c r="U284" s="6">
        <v>69</v>
      </c>
      <c r="V284" s="6">
        <f>IF(ISERROR(VLOOKUP($S$284,'TAR FIN'!$A$1:$O$86,15,0)),0,VLOOKUP($S$284,'TAR FIN'!$A$1:$O$86,15,0))</f>
        <v>0</v>
      </c>
      <c r="W284" s="6">
        <f>IF(ISERROR(VLOOKUP($T$284,'TAR FIN'!$A$1:$O$86,15,0)),0,VLOOKUP($T$284,'TAR FIN'!$A$1:$O$86,15,0))</f>
        <v>1518.97</v>
      </c>
      <c r="X284" s="6">
        <f>IF(ISERROR(VLOOKUP($U$284,'TAR FIN'!$A$1:$O$86,15,0)),0,VLOOKUP($U$284,'TAR FIN'!$A$1:$O$86,15,0))</f>
        <v>359.33</v>
      </c>
      <c r="Y284" s="6"/>
      <c r="Z284" s="6">
        <f ca="1">('TUSD BE'!$AM$11+'TUSD BF_350'!$AM$11+'TUSD CVA'!$AM$11)*1</f>
        <v>911.83999999999992</v>
      </c>
      <c r="AA284" s="6">
        <f ca="1">('TE BE'!$AB$5+'TE BF_350'!$AB$5+'TE CVA'!$AB$5)*1</f>
        <v>362.73600214515886</v>
      </c>
      <c r="AB284" s="6">
        <f>$K$284*$V$284</f>
        <v>0</v>
      </c>
      <c r="AC284" s="6">
        <f>$M$284*$W$284</f>
        <v>817.20586000000003</v>
      </c>
      <c r="AD284" s="6">
        <f>$O$284*$X$284</f>
        <v>193.31954000000002</v>
      </c>
      <c r="AE284" s="6">
        <f>$K$284*$Y$284</f>
        <v>0</v>
      </c>
      <c r="AF284" s="6">
        <f ca="1">$M$284*$Z$284</f>
        <v>490.56991999999997</v>
      </c>
      <c r="AG284" s="6">
        <f ca="1">$O$284*$AA$284</f>
        <v>195.15196915409547</v>
      </c>
    </row>
    <row r="285" spans="1:33" ht="11.25" customHeight="1" x14ac:dyDescent="0.25">
      <c r="A285" s="4" t="s">
        <v>28</v>
      </c>
      <c r="B285" s="4" t="s">
        <v>35</v>
      </c>
      <c r="C285" s="4" t="s">
        <v>39</v>
      </c>
      <c r="D285" s="4" t="s">
        <v>43</v>
      </c>
      <c r="E285" s="4" t="s">
        <v>25</v>
      </c>
      <c r="F285" s="4" t="s">
        <v>25</v>
      </c>
      <c r="G285" s="4" t="s">
        <v>25</v>
      </c>
      <c r="H285" s="4" t="s">
        <v>37</v>
      </c>
      <c r="I285" s="5">
        <v>44682</v>
      </c>
      <c r="J285" s="6">
        <v>0</v>
      </c>
      <c r="K285" s="6">
        <v>0</v>
      </c>
      <c r="L285" s="6">
        <v>1.3009999999999999</v>
      </c>
      <c r="M285" s="6">
        <v>1.3009999999999999</v>
      </c>
      <c r="N285" s="6">
        <v>1.3009999999999999</v>
      </c>
      <c r="O285" s="6">
        <v>1.3009999999999999</v>
      </c>
      <c r="P285" s="6">
        <v>0</v>
      </c>
      <c r="Q285" s="4" t="s">
        <v>26</v>
      </c>
      <c r="R285" s="4">
        <v>0</v>
      </c>
      <c r="S285" s="6">
        <v>0</v>
      </c>
      <c r="T285" s="6">
        <v>5</v>
      </c>
      <c r="U285" s="6">
        <v>69</v>
      </c>
      <c r="V285" s="6">
        <f>IF(ISERROR(VLOOKUP($S$285,'TAR FIN'!$A$1:$O$86,15,0)),0,VLOOKUP($S$285,'TAR FIN'!$A$1:$O$86,15,0))</f>
        <v>0</v>
      </c>
      <c r="W285" s="6">
        <f>IF(ISERROR(VLOOKUP($T$285,'TAR FIN'!$A$1:$O$86,15,0)),0,VLOOKUP($T$285,'TAR FIN'!$A$1:$O$86,15,0))</f>
        <v>1518.97</v>
      </c>
      <c r="X285" s="6">
        <f>IF(ISERROR(VLOOKUP($U$285,'TAR FIN'!$A$1:$O$86,15,0)),0,VLOOKUP($U$285,'TAR FIN'!$A$1:$O$86,15,0))</f>
        <v>359.33</v>
      </c>
      <c r="Y285" s="6"/>
      <c r="Z285" s="6">
        <f ca="1">('TUSD BE'!$AM$11+'TUSD BF_350'!$AM$11+'TUSD CVA'!$AM$11)*1</f>
        <v>911.83999999999992</v>
      </c>
      <c r="AA285" s="6">
        <f ca="1">('TE BE'!$AB$5+'TE BF_350'!$AB$5+'TE CVA'!$AB$5)*1</f>
        <v>362.73600214515886</v>
      </c>
      <c r="AB285" s="6">
        <f>$K$285*$V$285</f>
        <v>0</v>
      </c>
      <c r="AC285" s="6">
        <f>$M$285*$W$285</f>
        <v>1976.1799699999999</v>
      </c>
      <c r="AD285" s="6">
        <f>$O$285*$X$285</f>
        <v>467.48832999999996</v>
      </c>
      <c r="AE285" s="6">
        <f>$K$285*$Y$285</f>
        <v>0</v>
      </c>
      <c r="AF285" s="6">
        <f ca="1">$M$285*$Z$285</f>
        <v>1186.3038399999998</v>
      </c>
      <c r="AG285" s="6">
        <f ca="1">$O$285*$AA$285</f>
        <v>471.91953879085168</v>
      </c>
    </row>
    <row r="286" spans="1:33" ht="11.25" customHeight="1" x14ac:dyDescent="0.25">
      <c r="A286" s="4" t="s">
        <v>21</v>
      </c>
      <c r="B286" s="4" t="s">
        <v>35</v>
      </c>
      <c r="C286" s="4" t="s">
        <v>39</v>
      </c>
      <c r="D286" s="4" t="s">
        <v>43</v>
      </c>
      <c r="E286" s="4" t="s">
        <v>25</v>
      </c>
      <c r="F286" s="4" t="s">
        <v>25</v>
      </c>
      <c r="G286" s="4" t="s">
        <v>25</v>
      </c>
      <c r="H286" s="4" t="s">
        <v>37</v>
      </c>
      <c r="I286" s="5">
        <v>44713</v>
      </c>
      <c r="J286" s="6">
        <v>0</v>
      </c>
      <c r="K286" s="6">
        <v>0</v>
      </c>
      <c r="L286" s="6">
        <v>0.55900000000000005</v>
      </c>
      <c r="M286" s="6">
        <v>0.55900000000000005</v>
      </c>
      <c r="N286" s="6">
        <v>0.55900000000000005</v>
      </c>
      <c r="O286" s="6">
        <v>0.55900000000000005</v>
      </c>
      <c r="P286" s="6">
        <v>0</v>
      </c>
      <c r="Q286" s="4" t="s">
        <v>26</v>
      </c>
      <c r="R286" s="4">
        <v>0</v>
      </c>
      <c r="S286" s="6">
        <v>0</v>
      </c>
      <c r="T286" s="6">
        <v>5</v>
      </c>
      <c r="U286" s="6">
        <v>69</v>
      </c>
      <c r="V286" s="6">
        <f>IF(ISERROR(VLOOKUP($S$286,'TAR FIN'!$A$1:$O$86,15,0)),0,VLOOKUP($S$286,'TAR FIN'!$A$1:$O$86,15,0))</f>
        <v>0</v>
      </c>
      <c r="W286" s="6">
        <f>IF(ISERROR(VLOOKUP($T$286,'TAR FIN'!$A$1:$O$86,15,0)),0,VLOOKUP($T$286,'TAR FIN'!$A$1:$O$86,15,0))</f>
        <v>1518.97</v>
      </c>
      <c r="X286" s="6">
        <f>IF(ISERROR(VLOOKUP($U$286,'TAR FIN'!$A$1:$O$86,15,0)),0,VLOOKUP($U$286,'TAR FIN'!$A$1:$O$86,15,0))</f>
        <v>359.33</v>
      </c>
      <c r="Y286" s="6"/>
      <c r="Z286" s="6">
        <f ca="1">('TUSD BE'!$AM$11+'TUSD BF_350'!$AM$11+'TUSD CVA'!$AM$11)*1</f>
        <v>911.83999999999992</v>
      </c>
      <c r="AA286" s="6">
        <f ca="1">('TE BE'!$AB$5+'TE BF_350'!$AB$5+'TE CVA'!$AB$5)*1</f>
        <v>362.73600214515886</v>
      </c>
      <c r="AB286" s="6">
        <f>$K$286*$V$286</f>
        <v>0</v>
      </c>
      <c r="AC286" s="6">
        <f>$M$286*$W$286</f>
        <v>849.10423000000014</v>
      </c>
      <c r="AD286" s="6">
        <f>$O$286*$X$286</f>
        <v>200.86547000000002</v>
      </c>
      <c r="AE286" s="6">
        <f>$K$286*$Y$286</f>
        <v>0</v>
      </c>
      <c r="AF286" s="6">
        <f ca="1">$M$286*$Z$286</f>
        <v>509.71856000000002</v>
      </c>
      <c r="AG286" s="6">
        <f ca="1">$O$286*$AA$286</f>
        <v>202.76942519914383</v>
      </c>
    </row>
    <row r="287" spans="1:33" ht="11.25" customHeight="1" x14ac:dyDescent="0.25">
      <c r="A287" s="4" t="s">
        <v>28</v>
      </c>
      <c r="B287" s="4" t="s">
        <v>35</v>
      </c>
      <c r="C287" s="4" t="s">
        <v>39</v>
      </c>
      <c r="D287" s="4" t="s">
        <v>43</v>
      </c>
      <c r="E287" s="4" t="s">
        <v>25</v>
      </c>
      <c r="F287" s="4" t="s">
        <v>25</v>
      </c>
      <c r="G287" s="4" t="s">
        <v>25</v>
      </c>
      <c r="H287" s="4" t="s">
        <v>37</v>
      </c>
      <c r="I287" s="5">
        <v>44713</v>
      </c>
      <c r="J287" s="6">
        <v>0</v>
      </c>
      <c r="K287" s="6">
        <v>0</v>
      </c>
      <c r="L287" s="6">
        <v>1.222</v>
      </c>
      <c r="M287" s="6">
        <v>1.222</v>
      </c>
      <c r="N287" s="6">
        <v>1.222</v>
      </c>
      <c r="O287" s="6">
        <v>1.222</v>
      </c>
      <c r="P287" s="6">
        <v>0</v>
      </c>
      <c r="Q287" s="4" t="s">
        <v>26</v>
      </c>
      <c r="R287" s="4">
        <v>0</v>
      </c>
      <c r="S287" s="6">
        <v>0</v>
      </c>
      <c r="T287" s="6">
        <v>5</v>
      </c>
      <c r="U287" s="6">
        <v>69</v>
      </c>
      <c r="V287" s="6">
        <f>IF(ISERROR(VLOOKUP($S$287,'TAR FIN'!$A$1:$O$86,15,0)),0,VLOOKUP($S$287,'TAR FIN'!$A$1:$O$86,15,0))</f>
        <v>0</v>
      </c>
      <c r="W287" s="6">
        <f>IF(ISERROR(VLOOKUP($T$287,'TAR FIN'!$A$1:$O$86,15,0)),0,VLOOKUP($T$287,'TAR FIN'!$A$1:$O$86,15,0))</f>
        <v>1518.97</v>
      </c>
      <c r="X287" s="6">
        <f>IF(ISERROR(VLOOKUP($U$287,'TAR FIN'!$A$1:$O$86,15,0)),0,VLOOKUP($U$287,'TAR FIN'!$A$1:$O$86,15,0))</f>
        <v>359.33</v>
      </c>
      <c r="Y287" s="6"/>
      <c r="Z287" s="6">
        <f ca="1">('TUSD BE'!$AM$11+'TUSD BF_350'!$AM$11+'TUSD CVA'!$AM$11)*1</f>
        <v>911.83999999999992</v>
      </c>
      <c r="AA287" s="6">
        <f ca="1">('TE BE'!$AB$5+'TE BF_350'!$AB$5+'TE CVA'!$AB$5)*1</f>
        <v>362.73600214515886</v>
      </c>
      <c r="AB287" s="6">
        <f>$K$287*$V$287</f>
        <v>0</v>
      </c>
      <c r="AC287" s="6">
        <f>$M$287*$W$287</f>
        <v>1856.1813400000001</v>
      </c>
      <c r="AD287" s="6">
        <f>$O$287*$X$287</f>
        <v>439.10125999999997</v>
      </c>
      <c r="AE287" s="6">
        <f>$K$287*$Y$287</f>
        <v>0</v>
      </c>
      <c r="AF287" s="6">
        <f ca="1">$M$287*$Z$287</f>
        <v>1114.26848</v>
      </c>
      <c r="AG287" s="6">
        <f ca="1">$O$287*$AA$287</f>
        <v>443.26339462138412</v>
      </c>
    </row>
    <row r="288" spans="1:33" ht="11.25" customHeight="1" x14ac:dyDescent="0.25">
      <c r="A288" s="4" t="s">
        <v>55</v>
      </c>
      <c r="B288" s="4" t="s">
        <v>35</v>
      </c>
      <c r="C288" s="4" t="s">
        <v>39</v>
      </c>
      <c r="D288" s="4" t="s">
        <v>43</v>
      </c>
      <c r="E288" s="4" t="s">
        <v>25</v>
      </c>
      <c r="F288" s="4" t="s">
        <v>25</v>
      </c>
      <c r="G288" s="4" t="s">
        <v>25</v>
      </c>
      <c r="H288" s="4" t="s">
        <v>37</v>
      </c>
      <c r="I288" s="5">
        <v>44743</v>
      </c>
      <c r="J288" s="6">
        <v>0</v>
      </c>
      <c r="K288" s="6">
        <v>0</v>
      </c>
      <c r="L288" s="6">
        <v>0.55900000000000005</v>
      </c>
      <c r="M288" s="6">
        <v>0.55900000000000005</v>
      </c>
      <c r="N288" s="6">
        <v>0.55900000000000005</v>
      </c>
      <c r="O288" s="6">
        <v>0.55900000000000005</v>
      </c>
      <c r="P288" s="6">
        <v>0</v>
      </c>
      <c r="Q288" s="4" t="s">
        <v>26</v>
      </c>
      <c r="R288" s="4">
        <v>0</v>
      </c>
      <c r="S288" s="6">
        <v>0</v>
      </c>
      <c r="T288" s="6">
        <v>5</v>
      </c>
      <c r="U288" s="6">
        <v>69</v>
      </c>
      <c r="V288" s="6">
        <f>IF(ISERROR(VLOOKUP($S$288,'TAR FIN'!$A$1:$O$86,15,0)),0,VLOOKUP($S$288,'TAR FIN'!$A$1:$O$86,15,0))</f>
        <v>0</v>
      </c>
      <c r="W288" s="6">
        <f>IF(ISERROR(VLOOKUP($T$288,'TAR FIN'!$A$1:$O$86,15,0)),0,VLOOKUP($T$288,'TAR FIN'!$A$1:$O$86,15,0))</f>
        <v>1518.97</v>
      </c>
      <c r="X288" s="6">
        <f>IF(ISERROR(VLOOKUP($U$288,'TAR FIN'!$A$1:$O$86,15,0)),0,VLOOKUP($U$288,'TAR FIN'!$A$1:$O$86,15,0))</f>
        <v>359.33</v>
      </c>
      <c r="Y288" s="6"/>
      <c r="Z288" s="6">
        <f ca="1">('TUSD BE'!$AM$11+'TUSD BF_350'!$AM$11+'TUSD CVA'!$AM$11)*1</f>
        <v>911.83999999999992</v>
      </c>
      <c r="AA288" s="6">
        <f ca="1">('TE BE'!$AB$5+'TE BF_350'!$AB$5+'TE CVA'!$AB$5)*1</f>
        <v>362.73600214515886</v>
      </c>
      <c r="AB288" s="6">
        <f>$K$288*$V$288</f>
        <v>0</v>
      </c>
      <c r="AC288" s="6">
        <f>$M$288*$W$288</f>
        <v>849.10423000000014</v>
      </c>
      <c r="AD288" s="6">
        <f>$O$288*$X$288</f>
        <v>200.86547000000002</v>
      </c>
      <c r="AE288" s="6">
        <f>$K$288*$Y$288</f>
        <v>0</v>
      </c>
      <c r="AF288" s="6">
        <f ca="1">$M$288*$Z$288</f>
        <v>509.71856000000002</v>
      </c>
      <c r="AG288" s="6">
        <f ca="1">$O$288*$AA$288</f>
        <v>202.76942519914383</v>
      </c>
    </row>
    <row r="289" spans="1:33" ht="11.25" customHeight="1" x14ac:dyDescent="0.25">
      <c r="A289" s="4" t="s">
        <v>55</v>
      </c>
      <c r="B289" s="4" t="s">
        <v>35</v>
      </c>
      <c r="C289" s="4" t="s">
        <v>39</v>
      </c>
      <c r="D289" s="4" t="s">
        <v>43</v>
      </c>
      <c r="E289" s="4" t="s">
        <v>25</v>
      </c>
      <c r="F289" s="4" t="s">
        <v>25</v>
      </c>
      <c r="G289" s="4" t="s">
        <v>25</v>
      </c>
      <c r="H289" s="4" t="s">
        <v>37</v>
      </c>
      <c r="I289" s="5">
        <v>44743</v>
      </c>
      <c r="J289" s="6">
        <v>0</v>
      </c>
      <c r="K289" s="6">
        <v>0</v>
      </c>
      <c r="L289" s="6">
        <v>1.222</v>
      </c>
      <c r="M289" s="6">
        <v>1.222</v>
      </c>
      <c r="N289" s="6">
        <v>1.222</v>
      </c>
      <c r="O289" s="6">
        <v>1.222</v>
      </c>
      <c r="P289" s="6">
        <v>0</v>
      </c>
      <c r="Q289" s="4" t="s">
        <v>26</v>
      </c>
      <c r="R289" s="4">
        <v>0</v>
      </c>
      <c r="S289" s="6">
        <v>0</v>
      </c>
      <c r="T289" s="6">
        <v>5</v>
      </c>
      <c r="U289" s="6">
        <v>69</v>
      </c>
      <c r="V289" s="6">
        <f>IF(ISERROR(VLOOKUP($S$289,'TAR FIN'!$A$1:$O$86,15,0)),0,VLOOKUP($S$289,'TAR FIN'!$A$1:$O$86,15,0))</f>
        <v>0</v>
      </c>
      <c r="W289" s="6">
        <f>IF(ISERROR(VLOOKUP($T$289,'TAR FIN'!$A$1:$O$86,15,0)),0,VLOOKUP($T$289,'TAR FIN'!$A$1:$O$86,15,0))</f>
        <v>1518.97</v>
      </c>
      <c r="X289" s="6">
        <f>IF(ISERROR(VLOOKUP($U$289,'TAR FIN'!$A$1:$O$86,15,0)),0,VLOOKUP($U$289,'TAR FIN'!$A$1:$O$86,15,0))</f>
        <v>359.33</v>
      </c>
      <c r="Y289" s="6"/>
      <c r="Z289" s="6">
        <f ca="1">('TUSD BE'!$AM$11+'TUSD BF_350'!$AM$11+'TUSD CVA'!$AM$11)*1</f>
        <v>911.83999999999992</v>
      </c>
      <c r="AA289" s="6">
        <f ca="1">('TE BE'!$AB$5+'TE BF_350'!$AB$5+'TE CVA'!$AB$5)*1</f>
        <v>362.73600214515886</v>
      </c>
      <c r="AB289" s="6">
        <f>$K$289*$V$289</f>
        <v>0</v>
      </c>
      <c r="AC289" s="6">
        <f>$M$289*$W$289</f>
        <v>1856.1813400000001</v>
      </c>
      <c r="AD289" s="6">
        <f>$O$289*$X$289</f>
        <v>439.10125999999997</v>
      </c>
      <c r="AE289" s="6">
        <f>$K$289*$Y$289</f>
        <v>0</v>
      </c>
      <c r="AF289" s="6">
        <f ca="1">$M$289*$Z$289</f>
        <v>1114.26848</v>
      </c>
      <c r="AG289" s="6">
        <f ca="1">$O$289*$AA$289</f>
        <v>443.26339462138412</v>
      </c>
    </row>
    <row r="290" spans="1:33" ht="11.25" customHeight="1" x14ac:dyDescent="0.25">
      <c r="A290" s="4" t="s">
        <v>21</v>
      </c>
      <c r="B290" s="4" t="s">
        <v>35</v>
      </c>
      <c r="C290" s="4" t="s">
        <v>39</v>
      </c>
      <c r="D290" s="4" t="s">
        <v>47</v>
      </c>
      <c r="E290" s="4" t="s">
        <v>48</v>
      </c>
      <c r="F290" s="4" t="s">
        <v>25</v>
      </c>
      <c r="G290" s="4" t="s">
        <v>25</v>
      </c>
      <c r="H290" s="4" t="s">
        <v>38</v>
      </c>
      <c r="I290" s="5">
        <v>44409</v>
      </c>
      <c r="J290" s="6">
        <v>0</v>
      </c>
      <c r="K290" s="128">
        <v>0</v>
      </c>
      <c r="L290" s="6">
        <v>144.673</v>
      </c>
      <c r="M290" s="128">
        <v>144.673</v>
      </c>
      <c r="N290" s="6">
        <v>144.673</v>
      </c>
      <c r="O290" s="128">
        <v>144.673</v>
      </c>
      <c r="P290" s="6">
        <v>0</v>
      </c>
      <c r="Q290" s="4" t="s">
        <v>26</v>
      </c>
      <c r="R290" s="4">
        <v>0</v>
      </c>
      <c r="S290" s="6">
        <v>0</v>
      </c>
      <c r="T290" s="6">
        <v>18</v>
      </c>
      <c r="U290" s="6">
        <v>73</v>
      </c>
      <c r="V290" s="128">
        <f>IF(ISERROR(VLOOKUP($S$290,'TAR FIN'!$A$1:$O$86,15,0)),0,VLOOKUP($S$290,'TAR FIN'!$A$1:$O$86,15,0))</f>
        <v>0</v>
      </c>
      <c r="W290" s="128">
        <f>IF(ISERROR(VLOOKUP($T$290,'TAR FIN'!$A$1:$O$86,15,0)),0,VLOOKUP($T$290,'TAR FIN'!$A$1:$O$86,15,0))*(1-0.06)</f>
        <v>68.798599999999993</v>
      </c>
      <c r="X290" s="128">
        <f>IF(ISERROR(VLOOKUP($U$290,'TAR FIN'!$A$1:$O$86,15,0)),0,VLOOKUP($U$290,'TAR FIN'!$A$1:$O$86,15,0))*(1-0.06)</f>
        <v>199.00739999999999</v>
      </c>
      <c r="Y290" s="128"/>
      <c r="Z290" s="128">
        <f ca="1">('TUSD BE'!$AM$12+'TUSD BF_350'!$AM$12+'TUSD CVA'!$AM$12)*1*(1-0.03)</f>
        <v>122.46249999999999</v>
      </c>
      <c r="AA290" s="128">
        <f ca="1">('TE BE'!$AB$6+'TE BF_350'!$AB$6+'TE CVA'!$AB$6)*1*(1-0.03)</f>
        <v>216.30904504598922</v>
      </c>
      <c r="AB290" s="6">
        <f>$K$290*$V$290</f>
        <v>0</v>
      </c>
      <c r="AC290" s="6">
        <f>$M$290*$W$290</f>
        <v>9953.2998577999988</v>
      </c>
      <c r="AD290" s="6">
        <f>$O$290*$X$290</f>
        <v>28790.997580199997</v>
      </c>
      <c r="AE290" s="6">
        <f>$K$290*$Y$290</f>
        <v>0</v>
      </c>
      <c r="AF290" s="6">
        <f ca="1">$M$290*$Z$290</f>
        <v>17717.017262499998</v>
      </c>
      <c r="AG290" s="6">
        <f ca="1">$O$290*$AA$290</f>
        <v>31294.0784739384</v>
      </c>
    </row>
    <row r="291" spans="1:33" ht="11.25" customHeight="1" x14ac:dyDescent="0.25">
      <c r="A291" s="4" t="s">
        <v>21</v>
      </c>
      <c r="B291" s="4" t="s">
        <v>35</v>
      </c>
      <c r="C291" s="4" t="s">
        <v>39</v>
      </c>
      <c r="D291" s="4" t="s">
        <v>47</v>
      </c>
      <c r="E291" s="4" t="s">
        <v>48</v>
      </c>
      <c r="F291" s="4" t="s">
        <v>25</v>
      </c>
      <c r="G291" s="4" t="s">
        <v>25</v>
      </c>
      <c r="H291" s="4" t="s">
        <v>38</v>
      </c>
      <c r="I291" s="5">
        <v>44440</v>
      </c>
      <c r="J291" s="6">
        <v>0</v>
      </c>
      <c r="K291" s="128">
        <v>0</v>
      </c>
      <c r="L291" s="6">
        <v>138.93100000000001</v>
      </c>
      <c r="M291" s="128">
        <v>138.93100000000001</v>
      </c>
      <c r="N291" s="6">
        <v>138.93100000000001</v>
      </c>
      <c r="O291" s="128">
        <v>138.93100000000001</v>
      </c>
      <c r="P291" s="6">
        <v>0</v>
      </c>
      <c r="Q291" s="4" t="s">
        <v>26</v>
      </c>
      <c r="R291" s="4">
        <v>0</v>
      </c>
      <c r="S291" s="6">
        <v>0</v>
      </c>
      <c r="T291" s="6">
        <v>18</v>
      </c>
      <c r="U291" s="6">
        <v>73</v>
      </c>
      <c r="V291" s="128">
        <f>IF(ISERROR(VLOOKUP($S$291,'TAR FIN'!$A$1:$O$86,15,0)),0,VLOOKUP($S$291,'TAR FIN'!$A$1:$O$86,15,0))</f>
        <v>0</v>
      </c>
      <c r="W291" s="128">
        <f>IF(ISERROR(VLOOKUP($T$291,'TAR FIN'!$A$1:$O$86,15,0)),0,VLOOKUP($T$291,'TAR FIN'!$A$1:$O$86,15,0))*(1-0.06)</f>
        <v>68.798599999999993</v>
      </c>
      <c r="X291" s="128">
        <f>IF(ISERROR(VLOOKUP($U$291,'TAR FIN'!$A$1:$O$86,15,0)),0,VLOOKUP($U$291,'TAR FIN'!$A$1:$O$86,15,0))*(1-0.06)</f>
        <v>199.00739999999999</v>
      </c>
      <c r="Y291" s="128"/>
      <c r="Z291" s="128">
        <f ca="1">('TUSD BE'!$AM$12+'TUSD BF_350'!$AM$12+'TUSD CVA'!$AM$12)*1*(1-0.03)</f>
        <v>122.46249999999999</v>
      </c>
      <c r="AA291" s="128">
        <f ca="1">('TE BE'!$AB$6+'TE BF_350'!$AB$6+'TE CVA'!$AB$6)*1*(1-0.03)</f>
        <v>216.30904504598922</v>
      </c>
      <c r="AB291" s="6">
        <f>$K$291*$V$291</f>
        <v>0</v>
      </c>
      <c r="AC291" s="6">
        <f>$M$291*$W$291</f>
        <v>9558.2582965999991</v>
      </c>
      <c r="AD291" s="6">
        <f>$O$291*$X$291</f>
        <v>27648.297089399999</v>
      </c>
      <c r="AE291" s="6">
        <f>$K$291*$Y$291</f>
        <v>0</v>
      </c>
      <c r="AF291" s="6">
        <f ca="1">$M$291*$Z$291</f>
        <v>17013.837587500002</v>
      </c>
      <c r="AG291" s="6">
        <f ca="1">$O$291*$AA$291</f>
        <v>30052.03193728433</v>
      </c>
    </row>
    <row r="292" spans="1:33" ht="11.25" customHeight="1" x14ac:dyDescent="0.25">
      <c r="A292" s="4" t="s">
        <v>21</v>
      </c>
      <c r="B292" s="4" t="s">
        <v>35</v>
      </c>
      <c r="C292" s="4" t="s">
        <v>39</v>
      </c>
      <c r="D292" s="4" t="s">
        <v>47</v>
      </c>
      <c r="E292" s="4" t="s">
        <v>48</v>
      </c>
      <c r="F292" s="4" t="s">
        <v>25</v>
      </c>
      <c r="G292" s="4" t="s">
        <v>25</v>
      </c>
      <c r="H292" s="4" t="s">
        <v>38</v>
      </c>
      <c r="I292" s="5">
        <v>44470</v>
      </c>
      <c r="J292" s="6">
        <v>0</v>
      </c>
      <c r="K292" s="128">
        <v>0</v>
      </c>
      <c r="L292" s="6">
        <v>147.15600000000001</v>
      </c>
      <c r="M292" s="128">
        <v>147.15600000000001</v>
      </c>
      <c r="N292" s="6">
        <v>147.15600000000001</v>
      </c>
      <c r="O292" s="128">
        <v>147.15600000000001</v>
      </c>
      <c r="P292" s="6">
        <v>0</v>
      </c>
      <c r="Q292" s="4" t="s">
        <v>26</v>
      </c>
      <c r="R292" s="4">
        <v>0</v>
      </c>
      <c r="S292" s="6">
        <v>0</v>
      </c>
      <c r="T292" s="6">
        <v>18</v>
      </c>
      <c r="U292" s="6">
        <v>73</v>
      </c>
      <c r="V292" s="128">
        <f>IF(ISERROR(VLOOKUP($S$292,'TAR FIN'!$A$1:$O$86,15,0)),0,VLOOKUP($S$292,'TAR FIN'!$A$1:$O$86,15,0))</f>
        <v>0</v>
      </c>
      <c r="W292" s="128">
        <f>IF(ISERROR(VLOOKUP($T$292,'TAR FIN'!$A$1:$O$86,15,0)),0,VLOOKUP($T$292,'TAR FIN'!$A$1:$O$86,15,0))*(1-0.06)</f>
        <v>68.798599999999993</v>
      </c>
      <c r="X292" s="128">
        <f>IF(ISERROR(VLOOKUP($U$292,'TAR FIN'!$A$1:$O$86,15,0)),0,VLOOKUP($U$292,'TAR FIN'!$A$1:$O$86,15,0))*(1-0.06)</f>
        <v>199.00739999999999</v>
      </c>
      <c r="Y292" s="128"/>
      <c r="Z292" s="128">
        <f ca="1">('TUSD BE'!$AM$12+'TUSD BF_350'!$AM$12+'TUSD CVA'!$AM$12)*1*(1-0.03)</f>
        <v>122.46249999999999</v>
      </c>
      <c r="AA292" s="128">
        <f ca="1">('TE BE'!$AB$6+'TE BF_350'!$AB$6+'TE CVA'!$AB$6)*1*(1-0.03)</f>
        <v>216.30904504598922</v>
      </c>
      <c r="AB292" s="6">
        <f>$K$292*$V$292</f>
        <v>0</v>
      </c>
      <c r="AC292" s="6">
        <f>$M$292*$W$292</f>
        <v>10124.1267816</v>
      </c>
      <c r="AD292" s="6">
        <f>$O$292*$X$292</f>
        <v>29285.1329544</v>
      </c>
      <c r="AE292" s="6">
        <f>$K$292*$Y$292</f>
        <v>0</v>
      </c>
      <c r="AF292" s="6">
        <f ca="1">$M$292*$Z$292</f>
        <v>18021.091649999998</v>
      </c>
      <c r="AG292" s="6">
        <f ca="1">$O$292*$AA$292</f>
        <v>31831.17383278759</v>
      </c>
    </row>
    <row r="293" spans="1:33" ht="11.25" customHeight="1" x14ac:dyDescent="0.25">
      <c r="A293" s="4" t="s">
        <v>21</v>
      </c>
      <c r="B293" s="4" t="s">
        <v>35</v>
      </c>
      <c r="C293" s="4" t="s">
        <v>39</v>
      </c>
      <c r="D293" s="4" t="s">
        <v>47</v>
      </c>
      <c r="E293" s="4" t="s">
        <v>48</v>
      </c>
      <c r="F293" s="4" t="s">
        <v>25</v>
      </c>
      <c r="G293" s="4" t="s">
        <v>25</v>
      </c>
      <c r="H293" s="4" t="s">
        <v>38</v>
      </c>
      <c r="I293" s="5">
        <v>44501</v>
      </c>
      <c r="J293" s="6">
        <v>0</v>
      </c>
      <c r="K293" s="128">
        <v>0</v>
      </c>
      <c r="L293" s="6">
        <v>150.27600000000001</v>
      </c>
      <c r="M293" s="128">
        <v>150.27600000000001</v>
      </c>
      <c r="N293" s="6">
        <v>150.27600000000001</v>
      </c>
      <c r="O293" s="128">
        <v>150.27600000000001</v>
      </c>
      <c r="P293" s="6">
        <v>0</v>
      </c>
      <c r="Q293" s="4" t="s">
        <v>26</v>
      </c>
      <c r="R293" s="4">
        <v>0</v>
      </c>
      <c r="S293" s="6">
        <v>0</v>
      </c>
      <c r="T293" s="6">
        <v>18</v>
      </c>
      <c r="U293" s="6">
        <v>73</v>
      </c>
      <c r="V293" s="128">
        <f>IF(ISERROR(VLOOKUP($S$293,'TAR FIN'!$A$1:$O$86,15,0)),0,VLOOKUP($S$293,'TAR FIN'!$A$1:$O$86,15,0))</f>
        <v>0</v>
      </c>
      <c r="W293" s="128">
        <f>IF(ISERROR(VLOOKUP($T$293,'TAR FIN'!$A$1:$O$86,15,0)),0,VLOOKUP($T$293,'TAR FIN'!$A$1:$O$86,15,0))*(1-0.06)</f>
        <v>68.798599999999993</v>
      </c>
      <c r="X293" s="128">
        <f>IF(ISERROR(VLOOKUP($U$293,'TAR FIN'!$A$1:$O$86,15,0)),0,VLOOKUP($U$293,'TAR FIN'!$A$1:$O$86,15,0))*(1-0.06)</f>
        <v>199.00739999999999</v>
      </c>
      <c r="Y293" s="128"/>
      <c r="Z293" s="128">
        <f ca="1">('TUSD BE'!$AM$12+'TUSD BF_350'!$AM$12+'TUSD CVA'!$AM$12)*1*(1-0.03)</f>
        <v>122.46249999999999</v>
      </c>
      <c r="AA293" s="128">
        <f ca="1">('TE BE'!$AB$6+'TE BF_350'!$AB$6+'TE CVA'!$AB$6)*1*(1-0.03)</f>
        <v>216.30904504598922</v>
      </c>
      <c r="AB293" s="6">
        <f>$K$293*$V$293</f>
        <v>0</v>
      </c>
      <c r="AC293" s="6">
        <f>$M$293*$W$293</f>
        <v>10338.778413599999</v>
      </c>
      <c r="AD293" s="6">
        <f>$O$293*$X$293</f>
        <v>29906.036042399999</v>
      </c>
      <c r="AE293" s="6">
        <f>$K$293*$Y$293</f>
        <v>0</v>
      </c>
      <c r="AF293" s="6">
        <f ca="1">$M$293*$Z$293</f>
        <v>18403.174650000001</v>
      </c>
      <c r="AG293" s="6">
        <f ca="1">$O$293*$AA$293</f>
        <v>32506.058053331079</v>
      </c>
    </row>
    <row r="294" spans="1:33" ht="11.25" customHeight="1" x14ac:dyDescent="0.25">
      <c r="A294" s="4" t="s">
        <v>21</v>
      </c>
      <c r="B294" s="4" t="s">
        <v>35</v>
      </c>
      <c r="C294" s="4" t="s">
        <v>39</v>
      </c>
      <c r="D294" s="4" t="s">
        <v>47</v>
      </c>
      <c r="E294" s="4" t="s">
        <v>48</v>
      </c>
      <c r="F294" s="4" t="s">
        <v>25</v>
      </c>
      <c r="G294" s="4" t="s">
        <v>25</v>
      </c>
      <c r="H294" s="4" t="s">
        <v>38</v>
      </c>
      <c r="I294" s="5">
        <v>44531</v>
      </c>
      <c r="J294" s="6">
        <v>0</v>
      </c>
      <c r="K294" s="128">
        <v>0</v>
      </c>
      <c r="L294" s="6">
        <v>179.06700000000001</v>
      </c>
      <c r="M294" s="128">
        <v>179.06700000000001</v>
      </c>
      <c r="N294" s="6">
        <v>179.06700000000001</v>
      </c>
      <c r="O294" s="128">
        <v>179.06700000000001</v>
      </c>
      <c r="P294" s="6">
        <v>0</v>
      </c>
      <c r="Q294" s="4" t="s">
        <v>26</v>
      </c>
      <c r="R294" s="4">
        <v>0</v>
      </c>
      <c r="S294" s="6">
        <v>0</v>
      </c>
      <c r="T294" s="6">
        <v>18</v>
      </c>
      <c r="U294" s="6">
        <v>73</v>
      </c>
      <c r="V294" s="128">
        <f>IF(ISERROR(VLOOKUP($S$294,'TAR FIN'!$A$1:$O$86,15,0)),0,VLOOKUP($S$294,'TAR FIN'!$A$1:$O$86,15,0))</f>
        <v>0</v>
      </c>
      <c r="W294" s="128">
        <f>IF(ISERROR(VLOOKUP($T$294,'TAR FIN'!$A$1:$O$86,15,0)),0,VLOOKUP($T$294,'TAR FIN'!$A$1:$O$86,15,0))*(1-0.06)</f>
        <v>68.798599999999993</v>
      </c>
      <c r="X294" s="128">
        <f>IF(ISERROR(VLOOKUP($U$294,'TAR FIN'!$A$1:$O$86,15,0)),0,VLOOKUP($U$294,'TAR FIN'!$A$1:$O$86,15,0))*(1-0.06)</f>
        <v>199.00739999999999</v>
      </c>
      <c r="Y294" s="128"/>
      <c r="Z294" s="128">
        <f ca="1">('TUSD BE'!$AM$12+'TUSD BF_350'!$AM$12+'TUSD CVA'!$AM$12)*1*(1-0.03)</f>
        <v>122.46249999999999</v>
      </c>
      <c r="AA294" s="128">
        <f ca="1">('TE BE'!$AB$6+'TE BF_350'!$AB$6+'TE CVA'!$AB$6)*1*(1-0.03)</f>
        <v>216.30904504598922</v>
      </c>
      <c r="AB294" s="6">
        <f>$K$294*$V$294</f>
        <v>0</v>
      </c>
      <c r="AC294" s="6">
        <f>$M$294*$W$294</f>
        <v>12319.5589062</v>
      </c>
      <c r="AD294" s="6">
        <f>$O$294*$X$294</f>
        <v>35635.658095799998</v>
      </c>
      <c r="AE294" s="6">
        <f>$K$294*$Y$294</f>
        <v>0</v>
      </c>
      <c r="AF294" s="6">
        <f ca="1">$M$294*$Z$294</f>
        <v>21928.9924875</v>
      </c>
      <c r="AG294" s="6">
        <f ca="1">$O$294*$AA$294</f>
        <v>38733.811769250155</v>
      </c>
    </row>
    <row r="295" spans="1:33" ht="11.25" customHeight="1" x14ac:dyDescent="0.25">
      <c r="A295" s="4" t="s">
        <v>21</v>
      </c>
      <c r="B295" s="4" t="s">
        <v>35</v>
      </c>
      <c r="C295" s="4" t="s">
        <v>39</v>
      </c>
      <c r="D295" s="4" t="s">
        <v>47</v>
      </c>
      <c r="E295" s="4" t="s">
        <v>48</v>
      </c>
      <c r="F295" s="4" t="s">
        <v>25</v>
      </c>
      <c r="G295" s="4" t="s">
        <v>25</v>
      </c>
      <c r="H295" s="4" t="s">
        <v>38</v>
      </c>
      <c r="I295" s="5">
        <v>44562</v>
      </c>
      <c r="J295" s="6">
        <v>0</v>
      </c>
      <c r="K295" s="128">
        <v>0</v>
      </c>
      <c r="L295" s="6">
        <v>219.52799999999999</v>
      </c>
      <c r="M295" s="128">
        <v>219.52799999999999</v>
      </c>
      <c r="N295" s="6">
        <v>219.52799999999999</v>
      </c>
      <c r="O295" s="128">
        <v>219.52799999999999</v>
      </c>
      <c r="P295" s="6">
        <v>0</v>
      </c>
      <c r="Q295" s="4" t="s">
        <v>26</v>
      </c>
      <c r="R295" s="4">
        <v>0</v>
      </c>
      <c r="S295" s="6">
        <v>0</v>
      </c>
      <c r="T295" s="6">
        <v>18</v>
      </c>
      <c r="U295" s="6">
        <v>73</v>
      </c>
      <c r="V295" s="128">
        <f>IF(ISERROR(VLOOKUP($S$295,'TAR FIN'!$A$1:$O$86,15,0)),0,VLOOKUP($S$295,'TAR FIN'!$A$1:$O$86,15,0))</f>
        <v>0</v>
      </c>
      <c r="W295" s="128">
        <f>IF(ISERROR(VLOOKUP($T$295,'TAR FIN'!$A$1:$O$86,15,0)),0,VLOOKUP($T$295,'TAR FIN'!$A$1:$O$86,15,0))*(1-0.06)</f>
        <v>68.798599999999993</v>
      </c>
      <c r="X295" s="128">
        <f>IF(ISERROR(VLOOKUP($U$295,'TAR FIN'!$A$1:$O$86,15,0)),0,VLOOKUP($U$295,'TAR FIN'!$A$1:$O$86,15,0))*(1-0.06)</f>
        <v>199.00739999999999</v>
      </c>
      <c r="Y295" s="128"/>
      <c r="Z295" s="128">
        <f ca="1">('TUSD BE'!$AM$12+'TUSD BF_350'!$AM$12+'TUSD CVA'!$AM$12)*1*(1-0.03)</f>
        <v>122.46249999999999</v>
      </c>
      <c r="AA295" s="128">
        <f ca="1">('TE BE'!$AB$6+'TE BF_350'!$AB$6+'TE CVA'!$AB$6)*1*(1-0.03)</f>
        <v>216.30904504598922</v>
      </c>
      <c r="AB295" s="6">
        <f>$K$295*$V$295</f>
        <v>0</v>
      </c>
      <c r="AC295" s="6">
        <f>$M$295*$W$295</f>
        <v>15103.219060799998</v>
      </c>
      <c r="AD295" s="6">
        <f>$O$295*$X$295</f>
        <v>43687.696507199995</v>
      </c>
      <c r="AE295" s="6">
        <f>$K$295*$Y$295</f>
        <v>0</v>
      </c>
      <c r="AF295" s="6">
        <f ca="1">$M$295*$Z$295</f>
        <v>26883.947699999997</v>
      </c>
      <c r="AG295" s="6">
        <f ca="1">$O$295*$AA$295</f>
        <v>47485.892040855921</v>
      </c>
    </row>
    <row r="296" spans="1:33" ht="11.25" customHeight="1" x14ac:dyDescent="0.25">
      <c r="A296" s="4" t="s">
        <v>21</v>
      </c>
      <c r="B296" s="4" t="s">
        <v>35</v>
      </c>
      <c r="C296" s="4" t="s">
        <v>39</v>
      </c>
      <c r="D296" s="4" t="s">
        <v>47</v>
      </c>
      <c r="E296" s="4" t="s">
        <v>48</v>
      </c>
      <c r="F296" s="4" t="s">
        <v>25</v>
      </c>
      <c r="G296" s="4" t="s">
        <v>25</v>
      </c>
      <c r="H296" s="4" t="s">
        <v>38</v>
      </c>
      <c r="I296" s="5">
        <v>44593</v>
      </c>
      <c r="J296" s="6">
        <v>0</v>
      </c>
      <c r="K296" s="128">
        <v>0</v>
      </c>
      <c r="L296" s="6">
        <v>177.56899999999999</v>
      </c>
      <c r="M296" s="128">
        <v>177.56899999999999</v>
      </c>
      <c r="N296" s="6">
        <v>177.56899999999999</v>
      </c>
      <c r="O296" s="128">
        <v>177.56899999999999</v>
      </c>
      <c r="P296" s="6">
        <v>0</v>
      </c>
      <c r="Q296" s="4" t="s">
        <v>26</v>
      </c>
      <c r="R296" s="4">
        <v>0</v>
      </c>
      <c r="S296" s="6">
        <v>0</v>
      </c>
      <c r="T296" s="6">
        <v>18</v>
      </c>
      <c r="U296" s="6">
        <v>73</v>
      </c>
      <c r="V296" s="128">
        <f>IF(ISERROR(VLOOKUP($S$296,'TAR FIN'!$A$1:$O$86,15,0)),0,VLOOKUP($S$296,'TAR FIN'!$A$1:$O$86,15,0))</f>
        <v>0</v>
      </c>
      <c r="W296" s="128">
        <f>IF(ISERROR(VLOOKUP($T$296,'TAR FIN'!$A$1:$O$86,15,0)),0,VLOOKUP($T$296,'TAR FIN'!$A$1:$O$86,15,0))*(1-0.06)</f>
        <v>68.798599999999993</v>
      </c>
      <c r="X296" s="128">
        <f>IF(ISERROR(VLOOKUP($U$296,'TAR FIN'!$A$1:$O$86,15,0)),0,VLOOKUP($U$296,'TAR FIN'!$A$1:$O$86,15,0))*(1-0.06)</f>
        <v>199.00739999999999</v>
      </c>
      <c r="Y296" s="128"/>
      <c r="Z296" s="128">
        <f ca="1">('TUSD BE'!$AM$12+'TUSD BF_350'!$AM$12+'TUSD CVA'!$AM$12)*1*(1-0.03)</f>
        <v>122.46249999999999</v>
      </c>
      <c r="AA296" s="128">
        <f ca="1">('TE BE'!$AB$6+'TE BF_350'!$AB$6+'TE CVA'!$AB$6)*1*(1-0.03)</f>
        <v>216.30904504598922</v>
      </c>
      <c r="AB296" s="6">
        <f>$K$296*$V$296</f>
        <v>0</v>
      </c>
      <c r="AC296" s="6">
        <f>$M$296*$W$296</f>
        <v>12216.498603399998</v>
      </c>
      <c r="AD296" s="6">
        <f>$O$296*$X$296</f>
        <v>35337.545010599999</v>
      </c>
      <c r="AE296" s="6">
        <f>$K$296*$Y$296</f>
        <v>0</v>
      </c>
      <c r="AF296" s="6">
        <f ca="1">$M$296*$Z$296</f>
        <v>21745.543662499997</v>
      </c>
      <c r="AG296" s="6">
        <f ca="1">$O$296*$AA$296</f>
        <v>38409.780819771258</v>
      </c>
    </row>
    <row r="297" spans="1:33" ht="11.25" customHeight="1" x14ac:dyDescent="0.25">
      <c r="A297" s="4" t="s">
        <v>21</v>
      </c>
      <c r="B297" s="4" t="s">
        <v>35</v>
      </c>
      <c r="C297" s="4" t="s">
        <v>39</v>
      </c>
      <c r="D297" s="4" t="s">
        <v>47</v>
      </c>
      <c r="E297" s="4" t="s">
        <v>48</v>
      </c>
      <c r="F297" s="4" t="s">
        <v>25</v>
      </c>
      <c r="G297" s="4" t="s">
        <v>25</v>
      </c>
      <c r="H297" s="4" t="s">
        <v>38</v>
      </c>
      <c r="I297" s="5">
        <v>44621</v>
      </c>
      <c r="J297" s="6">
        <v>0</v>
      </c>
      <c r="K297" s="128">
        <v>0</v>
      </c>
      <c r="L297" s="6">
        <v>170.62100000000001</v>
      </c>
      <c r="M297" s="128">
        <v>170.62100000000001</v>
      </c>
      <c r="N297" s="6">
        <v>170.62100000000001</v>
      </c>
      <c r="O297" s="128">
        <v>170.62100000000001</v>
      </c>
      <c r="P297" s="6">
        <v>0</v>
      </c>
      <c r="Q297" s="4" t="s">
        <v>26</v>
      </c>
      <c r="R297" s="4">
        <v>0</v>
      </c>
      <c r="S297" s="6">
        <v>0</v>
      </c>
      <c r="T297" s="6">
        <v>18</v>
      </c>
      <c r="U297" s="6">
        <v>73</v>
      </c>
      <c r="V297" s="128">
        <f>IF(ISERROR(VLOOKUP($S$297,'TAR FIN'!$A$1:$O$86,15,0)),0,VLOOKUP($S$297,'TAR FIN'!$A$1:$O$86,15,0))</f>
        <v>0</v>
      </c>
      <c r="W297" s="128">
        <f>IF(ISERROR(VLOOKUP($T$297,'TAR FIN'!$A$1:$O$86,15,0)),0,VLOOKUP($T$297,'TAR FIN'!$A$1:$O$86,15,0))*(1-0.06)</f>
        <v>68.798599999999993</v>
      </c>
      <c r="X297" s="128">
        <f>IF(ISERROR(VLOOKUP($U$297,'TAR FIN'!$A$1:$O$86,15,0)),0,VLOOKUP($U$297,'TAR FIN'!$A$1:$O$86,15,0))*(1-0.06)</f>
        <v>199.00739999999999</v>
      </c>
      <c r="Y297" s="128"/>
      <c r="Z297" s="128">
        <f ca="1">('TUSD BE'!$AM$12+'TUSD BF_350'!$AM$12+'TUSD CVA'!$AM$12)*1*(1-0.03)</f>
        <v>122.46249999999999</v>
      </c>
      <c r="AA297" s="128">
        <f ca="1">('TE BE'!$AB$6+'TE BF_350'!$AB$6+'TE CVA'!$AB$6)*1*(1-0.03)</f>
        <v>216.30904504598922</v>
      </c>
      <c r="AB297" s="6">
        <f>$K$297*$V$297</f>
        <v>0</v>
      </c>
      <c r="AC297" s="6">
        <f>$M$297*$W$297</f>
        <v>11738.4859306</v>
      </c>
      <c r="AD297" s="6">
        <f>$O$297*$X$297</f>
        <v>33954.841595400001</v>
      </c>
      <c r="AE297" s="6">
        <f>$K$297*$Y$297</f>
        <v>0</v>
      </c>
      <c r="AF297" s="6">
        <f ca="1">$M$297*$Z$297</f>
        <v>20894.674212499998</v>
      </c>
      <c r="AG297" s="6">
        <f ca="1">$O$297*$AA$297</f>
        <v>36906.865574791729</v>
      </c>
    </row>
    <row r="298" spans="1:33" ht="11.25" customHeight="1" x14ac:dyDescent="0.25">
      <c r="A298" s="4" t="s">
        <v>21</v>
      </c>
      <c r="B298" s="4" t="s">
        <v>35</v>
      </c>
      <c r="C298" s="4" t="s">
        <v>39</v>
      </c>
      <c r="D298" s="4" t="s">
        <v>47</v>
      </c>
      <c r="E298" s="4" t="s">
        <v>48</v>
      </c>
      <c r="F298" s="4" t="s">
        <v>25</v>
      </c>
      <c r="G298" s="4" t="s">
        <v>25</v>
      </c>
      <c r="H298" s="4" t="s">
        <v>38</v>
      </c>
      <c r="I298" s="5">
        <v>44652</v>
      </c>
      <c r="J298" s="6">
        <v>0</v>
      </c>
      <c r="K298" s="128">
        <v>0</v>
      </c>
      <c r="L298" s="6">
        <v>164.25200000000001</v>
      </c>
      <c r="M298" s="128">
        <v>164.25200000000001</v>
      </c>
      <c r="N298" s="6">
        <v>164.25200000000001</v>
      </c>
      <c r="O298" s="128">
        <v>164.25200000000001</v>
      </c>
      <c r="P298" s="6">
        <v>0</v>
      </c>
      <c r="Q298" s="4" t="s">
        <v>26</v>
      </c>
      <c r="R298" s="4">
        <v>0</v>
      </c>
      <c r="S298" s="6">
        <v>0</v>
      </c>
      <c r="T298" s="6">
        <v>18</v>
      </c>
      <c r="U298" s="6">
        <v>73</v>
      </c>
      <c r="V298" s="128">
        <f>IF(ISERROR(VLOOKUP($S$298,'TAR FIN'!$A$1:$O$86,15,0)),0,VLOOKUP($S$298,'TAR FIN'!$A$1:$O$86,15,0))</f>
        <v>0</v>
      </c>
      <c r="W298" s="128">
        <f>IF(ISERROR(VLOOKUP($T$298,'TAR FIN'!$A$1:$O$86,15,0)),0,VLOOKUP($T$298,'TAR FIN'!$A$1:$O$86,15,0))*(1-0.06)</f>
        <v>68.798599999999993</v>
      </c>
      <c r="X298" s="128">
        <f>IF(ISERROR(VLOOKUP($U$298,'TAR FIN'!$A$1:$O$86,15,0)),0,VLOOKUP($U$298,'TAR FIN'!$A$1:$O$86,15,0))*(1-0.06)</f>
        <v>199.00739999999999</v>
      </c>
      <c r="Y298" s="128"/>
      <c r="Z298" s="128">
        <f ca="1">('TUSD BE'!$AM$12+'TUSD BF_350'!$AM$12+'TUSD CVA'!$AM$12)*1*(1-0.03)</f>
        <v>122.46249999999999</v>
      </c>
      <c r="AA298" s="128">
        <f ca="1">('TE BE'!$AB$6+'TE BF_350'!$AB$6+'TE CVA'!$AB$6)*1*(1-0.03)</f>
        <v>216.30904504598922</v>
      </c>
      <c r="AB298" s="6">
        <f>$K$298*$V$298</f>
        <v>0</v>
      </c>
      <c r="AC298" s="6">
        <f>$M$298*$W$298</f>
        <v>11300.307647199999</v>
      </c>
      <c r="AD298" s="6">
        <f>$O$298*$X$298</f>
        <v>32687.363464800001</v>
      </c>
      <c r="AE298" s="6">
        <f>$K$298*$Y$298</f>
        <v>0</v>
      </c>
      <c r="AF298" s="6">
        <f ca="1">$M$298*$Z$298</f>
        <v>20114.71055</v>
      </c>
      <c r="AG298" s="6">
        <f ca="1">$O$298*$AA$298</f>
        <v>35529.193266893824</v>
      </c>
    </row>
    <row r="299" spans="1:33" ht="11.25" customHeight="1" x14ac:dyDescent="0.25">
      <c r="A299" s="4" t="s">
        <v>21</v>
      </c>
      <c r="B299" s="4" t="s">
        <v>35</v>
      </c>
      <c r="C299" s="4" t="s">
        <v>39</v>
      </c>
      <c r="D299" s="4" t="s">
        <v>47</v>
      </c>
      <c r="E299" s="4" t="s">
        <v>48</v>
      </c>
      <c r="F299" s="4" t="s">
        <v>25</v>
      </c>
      <c r="G299" s="4" t="s">
        <v>25</v>
      </c>
      <c r="H299" s="4" t="s">
        <v>38</v>
      </c>
      <c r="I299" s="5">
        <v>44682</v>
      </c>
      <c r="J299" s="6">
        <v>0</v>
      </c>
      <c r="K299" s="128">
        <v>0</v>
      </c>
      <c r="L299" s="6">
        <v>160.15100000000001</v>
      </c>
      <c r="M299" s="128">
        <v>160.15100000000001</v>
      </c>
      <c r="N299" s="6">
        <v>160.15100000000001</v>
      </c>
      <c r="O299" s="128">
        <v>160.15100000000001</v>
      </c>
      <c r="P299" s="6">
        <v>0</v>
      </c>
      <c r="Q299" s="4" t="s">
        <v>26</v>
      </c>
      <c r="R299" s="4">
        <v>0</v>
      </c>
      <c r="S299" s="6">
        <v>0</v>
      </c>
      <c r="T299" s="6">
        <v>18</v>
      </c>
      <c r="U299" s="6">
        <v>73</v>
      </c>
      <c r="V299" s="128">
        <f>IF(ISERROR(VLOOKUP($S$299,'TAR FIN'!$A$1:$O$86,15,0)),0,VLOOKUP($S$299,'TAR FIN'!$A$1:$O$86,15,0))</f>
        <v>0</v>
      </c>
      <c r="W299" s="128">
        <f>IF(ISERROR(VLOOKUP($T$299,'TAR FIN'!$A$1:$O$86,15,0)),0,VLOOKUP($T$299,'TAR FIN'!$A$1:$O$86,15,0))*(1-0.06)</f>
        <v>68.798599999999993</v>
      </c>
      <c r="X299" s="128">
        <f>IF(ISERROR(VLOOKUP($U$299,'TAR FIN'!$A$1:$O$86,15,0)),0,VLOOKUP($U$299,'TAR FIN'!$A$1:$O$86,15,0))*(1-0.06)</f>
        <v>199.00739999999999</v>
      </c>
      <c r="Y299" s="128"/>
      <c r="Z299" s="128">
        <f ca="1">('TUSD BE'!$AM$12+'TUSD BF_350'!$AM$12+'TUSD CVA'!$AM$12)*1*(1-0.03)</f>
        <v>122.46249999999999</v>
      </c>
      <c r="AA299" s="128">
        <f ca="1">('TE BE'!$AB$6+'TE BF_350'!$AB$6+'TE CVA'!$AB$6)*1*(1-0.03)</f>
        <v>216.30904504598922</v>
      </c>
      <c r="AB299" s="6">
        <f>$K$299*$V$299</f>
        <v>0</v>
      </c>
      <c r="AC299" s="6">
        <f>$M$299*$W$299</f>
        <v>11018.164588599999</v>
      </c>
      <c r="AD299" s="6">
        <f>$O$299*$X$299</f>
        <v>31871.234117399999</v>
      </c>
      <c r="AE299" s="6">
        <f>$K$299*$Y$299</f>
        <v>0</v>
      </c>
      <c r="AF299" s="6">
        <f ca="1">$M$299*$Z$299</f>
        <v>19612.491837500002</v>
      </c>
      <c r="AG299" s="6">
        <f ca="1">$O$299*$AA$299</f>
        <v>34642.109873160225</v>
      </c>
    </row>
    <row r="300" spans="1:33" ht="11.25" customHeight="1" x14ac:dyDescent="0.25">
      <c r="A300" s="4" t="s">
        <v>21</v>
      </c>
      <c r="B300" s="4" t="s">
        <v>35</v>
      </c>
      <c r="C300" s="4" t="s">
        <v>39</v>
      </c>
      <c r="D300" s="4" t="s">
        <v>47</v>
      </c>
      <c r="E300" s="4" t="s">
        <v>48</v>
      </c>
      <c r="F300" s="4" t="s">
        <v>25</v>
      </c>
      <c r="G300" s="4" t="s">
        <v>25</v>
      </c>
      <c r="H300" s="4" t="s">
        <v>38</v>
      </c>
      <c r="I300" s="5">
        <v>44713</v>
      </c>
      <c r="J300" s="6">
        <v>0</v>
      </c>
      <c r="K300" s="128">
        <v>0</v>
      </c>
      <c r="L300" s="6">
        <v>160.02600000000001</v>
      </c>
      <c r="M300" s="128">
        <v>160.02600000000001</v>
      </c>
      <c r="N300" s="6">
        <v>160.02600000000001</v>
      </c>
      <c r="O300" s="128">
        <v>160.02600000000001</v>
      </c>
      <c r="P300" s="6">
        <v>0</v>
      </c>
      <c r="Q300" s="4" t="s">
        <v>26</v>
      </c>
      <c r="R300" s="4">
        <v>0</v>
      </c>
      <c r="S300" s="6">
        <v>0</v>
      </c>
      <c r="T300" s="6">
        <v>18</v>
      </c>
      <c r="U300" s="6">
        <v>73</v>
      </c>
      <c r="V300" s="128">
        <f>IF(ISERROR(VLOOKUP($S$300,'TAR FIN'!$A$1:$O$86,15,0)),0,VLOOKUP($S$300,'TAR FIN'!$A$1:$O$86,15,0))</f>
        <v>0</v>
      </c>
      <c r="W300" s="128">
        <f>IF(ISERROR(VLOOKUP($T$300,'TAR FIN'!$A$1:$O$86,15,0)),0,VLOOKUP($T$300,'TAR FIN'!$A$1:$O$86,15,0))*(1-0.06)</f>
        <v>68.798599999999993</v>
      </c>
      <c r="X300" s="128">
        <f>IF(ISERROR(VLOOKUP($U$300,'TAR FIN'!$A$1:$O$86,15,0)),0,VLOOKUP($U$300,'TAR FIN'!$A$1:$O$86,15,0))*(1-0.06)</f>
        <v>199.00739999999999</v>
      </c>
      <c r="Y300" s="128"/>
      <c r="Z300" s="128">
        <f ca="1">('TUSD BE'!$AM$12+'TUSD BF_350'!$AM$12+'TUSD CVA'!$AM$12)*1*(1-0.03)</f>
        <v>122.46249999999999</v>
      </c>
      <c r="AA300" s="128">
        <f ca="1">('TE BE'!$AB$6+'TE BF_350'!$AB$6+'TE CVA'!$AB$6)*1*(1-0.03)</f>
        <v>216.30904504598922</v>
      </c>
      <c r="AB300" s="6">
        <f>$K$300*$V$300</f>
        <v>0</v>
      </c>
      <c r="AC300" s="6">
        <f>$M$300*$W$300</f>
        <v>11009.564763599999</v>
      </c>
      <c r="AD300" s="6">
        <f>$O$300*$X$300</f>
        <v>31846.358192399999</v>
      </c>
      <c r="AE300" s="6">
        <f>$K$300*$Y$300</f>
        <v>0</v>
      </c>
      <c r="AF300" s="6">
        <f ca="1">$M$300*$Z$300</f>
        <v>19597.184024999999</v>
      </c>
      <c r="AG300" s="6">
        <f ca="1">$O$300*$AA$300</f>
        <v>34615.071242529477</v>
      </c>
    </row>
    <row r="301" spans="1:33" ht="11.25" customHeight="1" x14ac:dyDescent="0.25">
      <c r="A301" s="4" t="s">
        <v>55</v>
      </c>
      <c r="B301" s="4" t="s">
        <v>35</v>
      </c>
      <c r="C301" s="4" t="s">
        <v>39</v>
      </c>
      <c r="D301" s="4" t="s">
        <v>47</v>
      </c>
      <c r="E301" s="4" t="s">
        <v>48</v>
      </c>
      <c r="F301" s="4" t="s">
        <v>25</v>
      </c>
      <c r="G301" s="4" t="s">
        <v>25</v>
      </c>
      <c r="H301" s="4" t="s">
        <v>38</v>
      </c>
      <c r="I301" s="5">
        <v>44743</v>
      </c>
      <c r="J301" s="6">
        <v>0</v>
      </c>
      <c r="K301" s="128">
        <v>0</v>
      </c>
      <c r="L301" s="6">
        <v>160.02600000000001</v>
      </c>
      <c r="M301" s="128">
        <v>160.02600000000001</v>
      </c>
      <c r="N301" s="6">
        <v>160.02600000000001</v>
      </c>
      <c r="O301" s="128">
        <v>160.02600000000001</v>
      </c>
      <c r="P301" s="6">
        <v>0</v>
      </c>
      <c r="Q301" s="4" t="s">
        <v>26</v>
      </c>
      <c r="R301" s="4">
        <v>0</v>
      </c>
      <c r="S301" s="6">
        <v>0</v>
      </c>
      <c r="T301" s="6">
        <v>18</v>
      </c>
      <c r="U301" s="6">
        <v>73</v>
      </c>
      <c r="V301" s="128">
        <f>IF(ISERROR(VLOOKUP($S$301,'TAR FIN'!$A$1:$O$86,15,0)),0,VLOOKUP($S$301,'TAR FIN'!$A$1:$O$86,15,0))</f>
        <v>0</v>
      </c>
      <c r="W301" s="128">
        <f>IF(ISERROR(VLOOKUP($T$301,'TAR FIN'!$A$1:$O$86,15,0)),0,VLOOKUP($T$301,'TAR FIN'!$A$1:$O$86,15,0))*(1-0.06)</f>
        <v>68.798599999999993</v>
      </c>
      <c r="X301" s="128">
        <f>IF(ISERROR(VLOOKUP($U$301,'TAR FIN'!$A$1:$O$86,15,0)),0,VLOOKUP($U$301,'TAR FIN'!$A$1:$O$86,15,0))*(1-0.06)</f>
        <v>199.00739999999999</v>
      </c>
      <c r="Y301" s="128"/>
      <c r="Z301" s="128">
        <f ca="1">('TUSD BE'!$AM$12+'TUSD BF_350'!$AM$12+'TUSD CVA'!$AM$12)*1*(1-0.03)</f>
        <v>122.46249999999999</v>
      </c>
      <c r="AA301" s="128">
        <f ca="1">('TE BE'!$AB$6+'TE BF_350'!$AB$6+'TE CVA'!$AB$6)*1*(1-0.03)</f>
        <v>216.30904504598922</v>
      </c>
      <c r="AB301" s="6">
        <f>$K$301*$V$301</f>
        <v>0</v>
      </c>
      <c r="AC301" s="6">
        <f>$M$301*$W$301</f>
        <v>11009.564763599999</v>
      </c>
      <c r="AD301" s="6">
        <f>$O$301*$X$301</f>
        <v>31846.358192399999</v>
      </c>
      <c r="AE301" s="6">
        <f>$K$301*$Y$301</f>
        <v>0</v>
      </c>
      <c r="AF301" s="6">
        <f ca="1">$M$301*$Z$301</f>
        <v>19597.184024999999</v>
      </c>
      <c r="AG301" s="6">
        <f ca="1">$O$301*$AA$301</f>
        <v>34615.071242529477</v>
      </c>
    </row>
    <row r="302" spans="1:33" ht="11.25" customHeight="1" x14ac:dyDescent="0.25">
      <c r="A302" s="4" t="s">
        <v>21</v>
      </c>
      <c r="B302" s="4" t="s">
        <v>35</v>
      </c>
      <c r="C302" s="4" t="s">
        <v>39</v>
      </c>
      <c r="D302" s="4" t="s">
        <v>47</v>
      </c>
      <c r="E302" s="4" t="s">
        <v>48</v>
      </c>
      <c r="F302" s="4" t="s">
        <v>25</v>
      </c>
      <c r="G302" s="4" t="s">
        <v>25</v>
      </c>
      <c r="H302" s="4" t="s">
        <v>25</v>
      </c>
      <c r="I302" s="5">
        <v>44409</v>
      </c>
      <c r="J302" s="6">
        <v>400</v>
      </c>
      <c r="K302" s="129">
        <v>400</v>
      </c>
      <c r="L302" s="6">
        <v>0</v>
      </c>
      <c r="M302" s="128">
        <v>0</v>
      </c>
      <c r="N302" s="6">
        <v>0</v>
      </c>
      <c r="O302" s="128">
        <v>0</v>
      </c>
      <c r="P302" s="6">
        <v>1</v>
      </c>
      <c r="Q302" s="4" t="s">
        <v>26</v>
      </c>
      <c r="R302" s="4">
        <v>0</v>
      </c>
      <c r="S302" s="6">
        <v>24</v>
      </c>
      <c r="T302" s="6">
        <v>0</v>
      </c>
      <c r="U302" s="6">
        <v>0</v>
      </c>
      <c r="V302" s="128">
        <f>IF(ISERROR(VLOOKUP($S$302,'TAR FIN'!$A$1:$O$86,15,0)),0,VLOOKUP($S$302,'TAR FIN'!$A$1:$O$86,15,0))*(1-0.06)</f>
        <v>21.525999999999996</v>
      </c>
      <c r="W302" s="128">
        <f>IF(ISERROR(VLOOKUP($T$302,'TAR FIN'!$A$1:$O$86,15,0)),0,VLOOKUP($T$302,'TAR FIN'!$A$1:$O$86,15,0))</f>
        <v>0</v>
      </c>
      <c r="X302" s="128">
        <f>IF(ISERROR(VLOOKUP($U$302,'TAR FIN'!$A$1:$O$86,15,0)),0,VLOOKUP($U$302,'TAR FIN'!$A$1:$O$86,15,0))</f>
        <v>0</v>
      </c>
      <c r="Y302" s="128">
        <f ca="1">('TUSD BE'!$AM$10+'TUSD BF_350'!$AM$10+'TUSD CVA'!$AM$10)*1*(1-0.03)</f>
        <v>15.1708</v>
      </c>
      <c r="Z302" s="128"/>
      <c r="AA302" s="128"/>
      <c r="AB302" s="6">
        <f>$K$302*$V$302</f>
        <v>8610.3999999999978</v>
      </c>
      <c r="AC302" s="6">
        <f>$M$302*$W$302</f>
        <v>0</v>
      </c>
      <c r="AD302" s="6">
        <f>$O$302*$X$302</f>
        <v>0</v>
      </c>
      <c r="AE302" s="6">
        <f ca="1">$K$302*$Y$302</f>
        <v>6068.32</v>
      </c>
      <c r="AF302" s="6">
        <f>$M$302*$Z$302</f>
        <v>0</v>
      </c>
      <c r="AG302" s="6">
        <f>$O$302*$AA$302</f>
        <v>0</v>
      </c>
    </row>
    <row r="303" spans="1:33" ht="11.25" customHeight="1" x14ac:dyDescent="0.25">
      <c r="A303" s="4" t="s">
        <v>21</v>
      </c>
      <c r="B303" s="4" t="s">
        <v>35</v>
      </c>
      <c r="C303" s="4" t="s">
        <v>39</v>
      </c>
      <c r="D303" s="4" t="s">
        <v>47</v>
      </c>
      <c r="E303" s="4" t="s">
        <v>48</v>
      </c>
      <c r="F303" s="4" t="s">
        <v>25</v>
      </c>
      <c r="G303" s="4" t="s">
        <v>25</v>
      </c>
      <c r="H303" s="4" t="s">
        <v>25</v>
      </c>
      <c r="I303" s="5">
        <v>44440</v>
      </c>
      <c r="J303" s="6">
        <v>400</v>
      </c>
      <c r="K303" s="129">
        <v>400</v>
      </c>
      <c r="L303" s="6">
        <v>0</v>
      </c>
      <c r="M303" s="128">
        <v>0</v>
      </c>
      <c r="N303" s="6">
        <v>0</v>
      </c>
      <c r="O303" s="128">
        <v>0</v>
      </c>
      <c r="P303" s="6">
        <v>1</v>
      </c>
      <c r="Q303" s="4" t="s">
        <v>26</v>
      </c>
      <c r="R303" s="4">
        <v>0</v>
      </c>
      <c r="S303" s="6">
        <v>24</v>
      </c>
      <c r="T303" s="6">
        <v>0</v>
      </c>
      <c r="U303" s="6">
        <v>0</v>
      </c>
      <c r="V303" s="128">
        <f>IF(ISERROR(VLOOKUP($S$303,'TAR FIN'!$A$1:$O$86,15,0)),0,VLOOKUP($S$303,'TAR FIN'!$A$1:$O$86,15,0))*(1-0.06)</f>
        <v>21.525999999999996</v>
      </c>
      <c r="W303" s="128">
        <f>IF(ISERROR(VLOOKUP($T$303,'TAR FIN'!$A$1:$O$86,15,0)),0,VLOOKUP($T$303,'TAR FIN'!$A$1:$O$86,15,0))</f>
        <v>0</v>
      </c>
      <c r="X303" s="128">
        <f>IF(ISERROR(VLOOKUP($U$303,'TAR FIN'!$A$1:$O$86,15,0)),0,VLOOKUP($U$303,'TAR FIN'!$A$1:$O$86,15,0))</f>
        <v>0</v>
      </c>
      <c r="Y303" s="128">
        <f ca="1">('TUSD BE'!$AM$10+'TUSD BF_350'!$AM$10+'TUSD CVA'!$AM$10)*1*(1-0.03)</f>
        <v>15.1708</v>
      </c>
      <c r="Z303" s="128"/>
      <c r="AA303" s="128"/>
      <c r="AB303" s="6">
        <f>$K$303*$V$303</f>
        <v>8610.3999999999978</v>
      </c>
      <c r="AC303" s="6">
        <f>$M$303*$W$303</f>
        <v>0</v>
      </c>
      <c r="AD303" s="6">
        <f>$O$303*$X$303</f>
        <v>0</v>
      </c>
      <c r="AE303" s="6">
        <f ca="1">$K$303*$Y$303</f>
        <v>6068.32</v>
      </c>
      <c r="AF303" s="6">
        <f>$M$303*$Z$303</f>
        <v>0</v>
      </c>
      <c r="AG303" s="6">
        <f>$O$303*$AA$303</f>
        <v>0</v>
      </c>
    </row>
    <row r="304" spans="1:33" ht="11.25" customHeight="1" x14ac:dyDescent="0.25">
      <c r="A304" s="4" t="s">
        <v>21</v>
      </c>
      <c r="B304" s="4" t="s">
        <v>35</v>
      </c>
      <c r="C304" s="4" t="s">
        <v>39</v>
      </c>
      <c r="D304" s="4" t="s">
        <v>47</v>
      </c>
      <c r="E304" s="4" t="s">
        <v>48</v>
      </c>
      <c r="F304" s="4" t="s">
        <v>25</v>
      </c>
      <c r="G304" s="4" t="s">
        <v>25</v>
      </c>
      <c r="H304" s="4" t="s">
        <v>25</v>
      </c>
      <c r="I304" s="5">
        <v>44470</v>
      </c>
      <c r="J304" s="6">
        <v>400</v>
      </c>
      <c r="K304" s="129">
        <v>400</v>
      </c>
      <c r="L304" s="6">
        <v>0</v>
      </c>
      <c r="M304" s="128">
        <v>0</v>
      </c>
      <c r="N304" s="6">
        <v>0</v>
      </c>
      <c r="O304" s="128">
        <v>0</v>
      </c>
      <c r="P304" s="6">
        <v>1</v>
      </c>
      <c r="Q304" s="4" t="s">
        <v>26</v>
      </c>
      <c r="R304" s="4">
        <v>0</v>
      </c>
      <c r="S304" s="6">
        <v>24</v>
      </c>
      <c r="T304" s="6">
        <v>0</v>
      </c>
      <c r="U304" s="6">
        <v>0</v>
      </c>
      <c r="V304" s="128">
        <f>IF(ISERROR(VLOOKUP($S$304,'TAR FIN'!$A$1:$O$86,15,0)),0,VLOOKUP($S$304,'TAR FIN'!$A$1:$O$86,15,0))*(1-0.06)</f>
        <v>21.525999999999996</v>
      </c>
      <c r="W304" s="128">
        <f>IF(ISERROR(VLOOKUP($T$304,'TAR FIN'!$A$1:$O$86,15,0)),0,VLOOKUP($T$304,'TAR FIN'!$A$1:$O$86,15,0))</f>
        <v>0</v>
      </c>
      <c r="X304" s="128">
        <f>IF(ISERROR(VLOOKUP($U$304,'TAR FIN'!$A$1:$O$86,15,0)),0,VLOOKUP($U$304,'TAR FIN'!$A$1:$O$86,15,0))</f>
        <v>0</v>
      </c>
      <c r="Y304" s="128">
        <f ca="1">('TUSD BE'!$AM$10+'TUSD BF_350'!$AM$10+'TUSD CVA'!$AM$10)*1*(1-0.03)</f>
        <v>15.1708</v>
      </c>
      <c r="Z304" s="128"/>
      <c r="AA304" s="128"/>
      <c r="AB304" s="6">
        <f>$K$304*$V$304</f>
        <v>8610.3999999999978</v>
      </c>
      <c r="AC304" s="6">
        <f>$M$304*$W$304</f>
        <v>0</v>
      </c>
      <c r="AD304" s="6">
        <f>$O$304*$X$304</f>
        <v>0</v>
      </c>
      <c r="AE304" s="6">
        <f ca="1">$K$304*$Y$304</f>
        <v>6068.32</v>
      </c>
      <c r="AF304" s="6">
        <f>$M$304*$Z$304</f>
        <v>0</v>
      </c>
      <c r="AG304" s="6">
        <f>$O$304*$AA$304</f>
        <v>0</v>
      </c>
    </row>
    <row r="305" spans="1:33" ht="11.25" customHeight="1" x14ac:dyDescent="0.25">
      <c r="A305" s="4" t="s">
        <v>21</v>
      </c>
      <c r="B305" s="4" t="s">
        <v>35</v>
      </c>
      <c r="C305" s="4" t="s">
        <v>39</v>
      </c>
      <c r="D305" s="4" t="s">
        <v>47</v>
      </c>
      <c r="E305" s="4" t="s">
        <v>48</v>
      </c>
      <c r="F305" s="4" t="s">
        <v>25</v>
      </c>
      <c r="G305" s="4" t="s">
        <v>25</v>
      </c>
      <c r="H305" s="4" t="s">
        <v>25</v>
      </c>
      <c r="I305" s="5">
        <v>44501</v>
      </c>
      <c r="J305" s="6">
        <v>400</v>
      </c>
      <c r="K305" s="129">
        <v>400</v>
      </c>
      <c r="L305" s="6">
        <v>0</v>
      </c>
      <c r="M305" s="128">
        <v>0</v>
      </c>
      <c r="N305" s="6">
        <v>0</v>
      </c>
      <c r="O305" s="128">
        <v>0</v>
      </c>
      <c r="P305" s="6">
        <v>1</v>
      </c>
      <c r="Q305" s="4" t="s">
        <v>26</v>
      </c>
      <c r="R305" s="4">
        <v>0</v>
      </c>
      <c r="S305" s="6">
        <v>24</v>
      </c>
      <c r="T305" s="6">
        <v>0</v>
      </c>
      <c r="U305" s="6">
        <v>0</v>
      </c>
      <c r="V305" s="128">
        <f>IF(ISERROR(VLOOKUP($S$305,'TAR FIN'!$A$1:$O$86,15,0)),0,VLOOKUP($S$305,'TAR FIN'!$A$1:$O$86,15,0))*(1-0.06)</f>
        <v>21.525999999999996</v>
      </c>
      <c r="W305" s="128">
        <f>IF(ISERROR(VLOOKUP($T$305,'TAR FIN'!$A$1:$O$86,15,0)),0,VLOOKUP($T$305,'TAR FIN'!$A$1:$O$86,15,0))</f>
        <v>0</v>
      </c>
      <c r="X305" s="128">
        <f>IF(ISERROR(VLOOKUP($U$305,'TAR FIN'!$A$1:$O$86,15,0)),0,VLOOKUP($U$305,'TAR FIN'!$A$1:$O$86,15,0))</f>
        <v>0</v>
      </c>
      <c r="Y305" s="128">
        <f ca="1">('TUSD BE'!$AM$10+'TUSD BF_350'!$AM$10+'TUSD CVA'!$AM$10)*1*(1-0.03)</f>
        <v>15.1708</v>
      </c>
      <c r="Z305" s="128"/>
      <c r="AA305" s="128"/>
      <c r="AB305" s="6">
        <f>$K$305*$V$305</f>
        <v>8610.3999999999978</v>
      </c>
      <c r="AC305" s="6">
        <f>$M$305*$W$305</f>
        <v>0</v>
      </c>
      <c r="AD305" s="6">
        <f>$O$305*$X$305</f>
        <v>0</v>
      </c>
      <c r="AE305" s="6">
        <f ca="1">$K$305*$Y$305</f>
        <v>6068.32</v>
      </c>
      <c r="AF305" s="6">
        <f>$M$305*$Z$305</f>
        <v>0</v>
      </c>
      <c r="AG305" s="6">
        <f>$O$305*$AA$305</f>
        <v>0</v>
      </c>
    </row>
    <row r="306" spans="1:33" ht="11.25" customHeight="1" x14ac:dyDescent="0.25">
      <c r="A306" s="4" t="s">
        <v>21</v>
      </c>
      <c r="B306" s="4" t="s">
        <v>35</v>
      </c>
      <c r="C306" s="4" t="s">
        <v>39</v>
      </c>
      <c r="D306" s="4" t="s">
        <v>47</v>
      </c>
      <c r="E306" s="4" t="s">
        <v>48</v>
      </c>
      <c r="F306" s="4" t="s">
        <v>25</v>
      </c>
      <c r="G306" s="4" t="s">
        <v>25</v>
      </c>
      <c r="H306" s="4" t="s">
        <v>25</v>
      </c>
      <c r="I306" s="5">
        <v>44531</v>
      </c>
      <c r="J306" s="6">
        <v>484</v>
      </c>
      <c r="K306" s="129">
        <v>484</v>
      </c>
      <c r="L306" s="6">
        <v>0</v>
      </c>
      <c r="M306" s="128">
        <v>0</v>
      </c>
      <c r="N306" s="6">
        <v>0</v>
      </c>
      <c r="O306" s="128">
        <v>0</v>
      </c>
      <c r="P306" s="6">
        <v>1</v>
      </c>
      <c r="Q306" s="4" t="s">
        <v>26</v>
      </c>
      <c r="R306" s="4">
        <v>0</v>
      </c>
      <c r="S306" s="6">
        <v>24</v>
      </c>
      <c r="T306" s="6">
        <v>0</v>
      </c>
      <c r="U306" s="6">
        <v>0</v>
      </c>
      <c r="V306" s="128">
        <f>IF(ISERROR(VLOOKUP($S$306,'TAR FIN'!$A$1:$O$86,15,0)),0,VLOOKUP($S$306,'TAR FIN'!$A$1:$O$86,15,0))*(1-0.06)</f>
        <v>21.525999999999996</v>
      </c>
      <c r="W306" s="128">
        <f>IF(ISERROR(VLOOKUP($T$306,'TAR FIN'!$A$1:$O$86,15,0)),0,VLOOKUP($T$306,'TAR FIN'!$A$1:$O$86,15,0))</f>
        <v>0</v>
      </c>
      <c r="X306" s="128">
        <f>IF(ISERROR(VLOOKUP($U$306,'TAR FIN'!$A$1:$O$86,15,0)),0,VLOOKUP($U$306,'TAR FIN'!$A$1:$O$86,15,0))</f>
        <v>0</v>
      </c>
      <c r="Y306" s="128">
        <f ca="1">('TUSD BE'!$AM$10+'TUSD BF_350'!$AM$10+'TUSD CVA'!$AM$10)*1*(1-0.03)</f>
        <v>15.1708</v>
      </c>
      <c r="Z306" s="128"/>
      <c r="AA306" s="128"/>
      <c r="AB306" s="6">
        <f>$K$306*$V$306</f>
        <v>10418.583999999999</v>
      </c>
      <c r="AC306" s="6">
        <f>$M$306*$W$306</f>
        <v>0</v>
      </c>
      <c r="AD306" s="6">
        <f>$O$306*$X$306</f>
        <v>0</v>
      </c>
      <c r="AE306" s="6">
        <f ca="1">$K$306*$Y$306</f>
        <v>7342.6671999999999</v>
      </c>
      <c r="AF306" s="6">
        <f>$M$306*$Z$306</f>
        <v>0</v>
      </c>
      <c r="AG306" s="6">
        <f>$O$306*$AA$306</f>
        <v>0</v>
      </c>
    </row>
    <row r="307" spans="1:33" ht="11.25" customHeight="1" x14ac:dyDescent="0.25">
      <c r="A307" s="4" t="s">
        <v>21</v>
      </c>
      <c r="B307" s="4" t="s">
        <v>35</v>
      </c>
      <c r="C307" s="4" t="s">
        <v>39</v>
      </c>
      <c r="D307" s="4" t="s">
        <v>47</v>
      </c>
      <c r="E307" s="4" t="s">
        <v>48</v>
      </c>
      <c r="F307" s="4" t="s">
        <v>25</v>
      </c>
      <c r="G307" s="4" t="s">
        <v>25</v>
      </c>
      <c r="H307" s="4" t="s">
        <v>25</v>
      </c>
      <c r="I307" s="5">
        <v>44562</v>
      </c>
      <c r="J307" s="6">
        <v>490</v>
      </c>
      <c r="K307" s="129">
        <v>490</v>
      </c>
      <c r="L307" s="6">
        <v>0</v>
      </c>
      <c r="M307" s="128">
        <v>0</v>
      </c>
      <c r="N307" s="6">
        <v>0</v>
      </c>
      <c r="O307" s="128">
        <v>0</v>
      </c>
      <c r="P307" s="6">
        <v>1</v>
      </c>
      <c r="Q307" s="4" t="s">
        <v>26</v>
      </c>
      <c r="R307" s="4">
        <v>0</v>
      </c>
      <c r="S307" s="6">
        <v>24</v>
      </c>
      <c r="T307" s="6">
        <v>0</v>
      </c>
      <c r="U307" s="6">
        <v>0</v>
      </c>
      <c r="V307" s="128">
        <f>IF(ISERROR(VLOOKUP($S$307,'TAR FIN'!$A$1:$O$86,15,0)),0,VLOOKUP($S$307,'TAR FIN'!$A$1:$O$86,15,0))*(1-0.06)</f>
        <v>21.525999999999996</v>
      </c>
      <c r="W307" s="128">
        <f>IF(ISERROR(VLOOKUP($T$307,'TAR FIN'!$A$1:$O$86,15,0)),0,VLOOKUP($T$307,'TAR FIN'!$A$1:$O$86,15,0))</f>
        <v>0</v>
      </c>
      <c r="X307" s="128">
        <f>IF(ISERROR(VLOOKUP($U$307,'TAR FIN'!$A$1:$O$86,15,0)),0,VLOOKUP($U$307,'TAR FIN'!$A$1:$O$86,15,0))</f>
        <v>0</v>
      </c>
      <c r="Y307" s="128">
        <f ca="1">('TUSD BE'!$AM$10+'TUSD BF_350'!$AM$10+'TUSD CVA'!$AM$10)*1*(1-0.03)</f>
        <v>15.1708</v>
      </c>
      <c r="Z307" s="128"/>
      <c r="AA307" s="128"/>
      <c r="AB307" s="6">
        <f>$K$307*$V$307</f>
        <v>10547.739999999998</v>
      </c>
      <c r="AC307" s="6">
        <f>$M$307*$W$307</f>
        <v>0</v>
      </c>
      <c r="AD307" s="6">
        <f>$O$307*$X$307</f>
        <v>0</v>
      </c>
      <c r="AE307" s="6">
        <f ca="1">$K$307*$Y$307</f>
        <v>7433.692</v>
      </c>
      <c r="AF307" s="6">
        <f>$M$307*$Z$307</f>
        <v>0</v>
      </c>
      <c r="AG307" s="6">
        <f>$O$307*$AA$307</f>
        <v>0</v>
      </c>
    </row>
    <row r="308" spans="1:33" ht="11.25" customHeight="1" x14ac:dyDescent="0.25">
      <c r="A308" s="4" t="s">
        <v>21</v>
      </c>
      <c r="B308" s="4" t="s">
        <v>35</v>
      </c>
      <c r="C308" s="4" t="s">
        <v>39</v>
      </c>
      <c r="D308" s="4" t="s">
        <v>47</v>
      </c>
      <c r="E308" s="4" t="s">
        <v>48</v>
      </c>
      <c r="F308" s="4" t="s">
        <v>25</v>
      </c>
      <c r="G308" s="4" t="s">
        <v>25</v>
      </c>
      <c r="H308" s="4" t="s">
        <v>25</v>
      </c>
      <c r="I308" s="5">
        <v>44593</v>
      </c>
      <c r="J308" s="6">
        <v>421</v>
      </c>
      <c r="K308" s="129">
        <v>421</v>
      </c>
      <c r="L308" s="6">
        <v>0</v>
      </c>
      <c r="M308" s="128">
        <v>0</v>
      </c>
      <c r="N308" s="6">
        <v>0</v>
      </c>
      <c r="O308" s="128">
        <v>0</v>
      </c>
      <c r="P308" s="6">
        <v>1</v>
      </c>
      <c r="Q308" s="4" t="s">
        <v>26</v>
      </c>
      <c r="R308" s="4">
        <v>0</v>
      </c>
      <c r="S308" s="6">
        <v>24</v>
      </c>
      <c r="T308" s="6">
        <v>0</v>
      </c>
      <c r="U308" s="6">
        <v>0</v>
      </c>
      <c r="V308" s="128">
        <f>IF(ISERROR(VLOOKUP($S$308,'TAR FIN'!$A$1:$O$86,15,0)),0,VLOOKUP($S$308,'TAR FIN'!$A$1:$O$86,15,0))*(1-0.06)</f>
        <v>21.525999999999996</v>
      </c>
      <c r="W308" s="128">
        <f>IF(ISERROR(VLOOKUP($T$308,'TAR FIN'!$A$1:$O$86,15,0)),0,VLOOKUP($T$308,'TAR FIN'!$A$1:$O$86,15,0))</f>
        <v>0</v>
      </c>
      <c r="X308" s="128">
        <f>IF(ISERROR(VLOOKUP($U$308,'TAR FIN'!$A$1:$O$86,15,0)),0,VLOOKUP($U$308,'TAR FIN'!$A$1:$O$86,15,0))</f>
        <v>0</v>
      </c>
      <c r="Y308" s="128">
        <f ca="1">('TUSD BE'!$AM$10+'TUSD BF_350'!$AM$10+'TUSD CVA'!$AM$10)*1*(1-0.03)</f>
        <v>15.1708</v>
      </c>
      <c r="Z308" s="128"/>
      <c r="AA308" s="128"/>
      <c r="AB308" s="6">
        <f>$K$308*$V$308</f>
        <v>9062.4459999999981</v>
      </c>
      <c r="AC308" s="6">
        <f>$M$308*$W$308</f>
        <v>0</v>
      </c>
      <c r="AD308" s="6">
        <f>$O$308*$X$308</f>
        <v>0</v>
      </c>
      <c r="AE308" s="6">
        <f ca="1">$K$308*$Y$308</f>
        <v>6386.9067999999997</v>
      </c>
      <c r="AF308" s="6">
        <f>$M$308*$Z$308</f>
        <v>0</v>
      </c>
      <c r="AG308" s="6">
        <f>$O$308*$AA$308</f>
        <v>0</v>
      </c>
    </row>
    <row r="309" spans="1:33" ht="11.25" customHeight="1" x14ac:dyDescent="0.25">
      <c r="A309" s="4" t="s">
        <v>21</v>
      </c>
      <c r="B309" s="4" t="s">
        <v>35</v>
      </c>
      <c r="C309" s="4" t="s">
        <v>39</v>
      </c>
      <c r="D309" s="4" t="s">
        <v>47</v>
      </c>
      <c r="E309" s="4" t="s">
        <v>48</v>
      </c>
      <c r="F309" s="4" t="s">
        <v>25</v>
      </c>
      <c r="G309" s="4" t="s">
        <v>25</v>
      </c>
      <c r="H309" s="4" t="s">
        <v>25</v>
      </c>
      <c r="I309" s="5">
        <v>44621</v>
      </c>
      <c r="J309" s="6">
        <v>426</v>
      </c>
      <c r="K309" s="129">
        <v>426</v>
      </c>
      <c r="L309" s="6">
        <v>0</v>
      </c>
      <c r="M309" s="128">
        <v>0</v>
      </c>
      <c r="N309" s="6">
        <v>0</v>
      </c>
      <c r="O309" s="128">
        <v>0</v>
      </c>
      <c r="P309" s="6">
        <v>1</v>
      </c>
      <c r="Q309" s="4" t="s">
        <v>26</v>
      </c>
      <c r="R309" s="4">
        <v>0</v>
      </c>
      <c r="S309" s="6">
        <v>24</v>
      </c>
      <c r="T309" s="6">
        <v>0</v>
      </c>
      <c r="U309" s="6">
        <v>0</v>
      </c>
      <c r="V309" s="128">
        <f>IF(ISERROR(VLOOKUP($S$309,'TAR FIN'!$A$1:$O$86,15,0)),0,VLOOKUP($S$309,'TAR FIN'!$A$1:$O$86,15,0))*(1-0.06)</f>
        <v>21.525999999999996</v>
      </c>
      <c r="W309" s="128">
        <f>IF(ISERROR(VLOOKUP($T$309,'TAR FIN'!$A$1:$O$86,15,0)),0,VLOOKUP($T$309,'TAR FIN'!$A$1:$O$86,15,0))</f>
        <v>0</v>
      </c>
      <c r="X309" s="128">
        <f>IF(ISERROR(VLOOKUP($U$309,'TAR FIN'!$A$1:$O$86,15,0)),0,VLOOKUP($U$309,'TAR FIN'!$A$1:$O$86,15,0))</f>
        <v>0</v>
      </c>
      <c r="Y309" s="128">
        <f ca="1">('TUSD BE'!$AM$10+'TUSD BF_350'!$AM$10+'TUSD CVA'!$AM$10)*1*(1-0.03)</f>
        <v>15.1708</v>
      </c>
      <c r="Z309" s="128"/>
      <c r="AA309" s="128"/>
      <c r="AB309" s="6">
        <f>$K$309*$V$309</f>
        <v>9170.0759999999991</v>
      </c>
      <c r="AC309" s="6">
        <f>$M$309*$W$309</f>
        <v>0</v>
      </c>
      <c r="AD309" s="6">
        <f>$O$309*$X$309</f>
        <v>0</v>
      </c>
      <c r="AE309" s="6">
        <f ca="1">$K$309*$Y$309</f>
        <v>6462.7608</v>
      </c>
      <c r="AF309" s="6">
        <f>$M$309*$Z$309</f>
        <v>0</v>
      </c>
      <c r="AG309" s="6">
        <f>$O$309*$AA$309</f>
        <v>0</v>
      </c>
    </row>
    <row r="310" spans="1:33" ht="11.25" customHeight="1" x14ac:dyDescent="0.25">
      <c r="A310" s="4" t="s">
        <v>21</v>
      </c>
      <c r="B310" s="4" t="s">
        <v>35</v>
      </c>
      <c r="C310" s="4" t="s">
        <v>39</v>
      </c>
      <c r="D310" s="4" t="s">
        <v>47</v>
      </c>
      <c r="E310" s="4" t="s">
        <v>48</v>
      </c>
      <c r="F310" s="4" t="s">
        <v>25</v>
      </c>
      <c r="G310" s="4" t="s">
        <v>25</v>
      </c>
      <c r="H310" s="4" t="s">
        <v>25</v>
      </c>
      <c r="I310" s="5">
        <v>44652</v>
      </c>
      <c r="J310" s="6">
        <v>405</v>
      </c>
      <c r="K310" s="129">
        <v>405</v>
      </c>
      <c r="L310" s="6">
        <v>0</v>
      </c>
      <c r="M310" s="128">
        <v>0</v>
      </c>
      <c r="N310" s="6">
        <v>0</v>
      </c>
      <c r="O310" s="128">
        <v>0</v>
      </c>
      <c r="P310" s="6">
        <v>1</v>
      </c>
      <c r="Q310" s="4" t="s">
        <v>26</v>
      </c>
      <c r="R310" s="4">
        <v>0</v>
      </c>
      <c r="S310" s="6">
        <v>24</v>
      </c>
      <c r="T310" s="6">
        <v>0</v>
      </c>
      <c r="U310" s="6">
        <v>0</v>
      </c>
      <c r="V310" s="128">
        <f>IF(ISERROR(VLOOKUP($S$310,'TAR FIN'!$A$1:$O$86,15,0)),0,VLOOKUP($S$310,'TAR FIN'!$A$1:$O$86,15,0))*(1-0.06)</f>
        <v>21.525999999999996</v>
      </c>
      <c r="W310" s="128">
        <f>IF(ISERROR(VLOOKUP($T$310,'TAR FIN'!$A$1:$O$86,15,0)),0,VLOOKUP($T$310,'TAR FIN'!$A$1:$O$86,15,0))</f>
        <v>0</v>
      </c>
      <c r="X310" s="128">
        <f>IF(ISERROR(VLOOKUP($U$310,'TAR FIN'!$A$1:$O$86,15,0)),0,VLOOKUP($U$310,'TAR FIN'!$A$1:$O$86,15,0))</f>
        <v>0</v>
      </c>
      <c r="Y310" s="128">
        <f ca="1">('TUSD BE'!$AM$10+'TUSD BF_350'!$AM$10+'TUSD CVA'!$AM$10)*1*(1-0.03)</f>
        <v>15.1708</v>
      </c>
      <c r="Z310" s="128"/>
      <c r="AA310" s="128"/>
      <c r="AB310" s="6">
        <f>$K$310*$V$310</f>
        <v>8718.0299999999988</v>
      </c>
      <c r="AC310" s="6">
        <f>$M$310*$W$310</f>
        <v>0</v>
      </c>
      <c r="AD310" s="6">
        <f>$O$310*$X$310</f>
        <v>0</v>
      </c>
      <c r="AE310" s="6">
        <f ca="1">$K$310*$Y$310</f>
        <v>6144.174</v>
      </c>
      <c r="AF310" s="6">
        <f>$M$310*$Z$310</f>
        <v>0</v>
      </c>
      <c r="AG310" s="6">
        <f>$O$310*$AA$310</f>
        <v>0</v>
      </c>
    </row>
    <row r="311" spans="1:33" ht="11.25" customHeight="1" x14ac:dyDescent="0.25">
      <c r="A311" s="4" t="s">
        <v>21</v>
      </c>
      <c r="B311" s="4" t="s">
        <v>35</v>
      </c>
      <c r="C311" s="4" t="s">
        <v>39</v>
      </c>
      <c r="D311" s="4" t="s">
        <v>47</v>
      </c>
      <c r="E311" s="4" t="s">
        <v>48</v>
      </c>
      <c r="F311" s="4" t="s">
        <v>25</v>
      </c>
      <c r="G311" s="4" t="s">
        <v>25</v>
      </c>
      <c r="H311" s="4" t="s">
        <v>25</v>
      </c>
      <c r="I311" s="5">
        <v>44682</v>
      </c>
      <c r="J311" s="6">
        <v>400</v>
      </c>
      <c r="K311" s="129">
        <v>400</v>
      </c>
      <c r="L311" s="6">
        <v>0</v>
      </c>
      <c r="M311" s="128">
        <v>0</v>
      </c>
      <c r="N311" s="6">
        <v>0</v>
      </c>
      <c r="O311" s="128">
        <v>0</v>
      </c>
      <c r="P311" s="6">
        <v>1</v>
      </c>
      <c r="Q311" s="4" t="s">
        <v>26</v>
      </c>
      <c r="R311" s="4">
        <v>0</v>
      </c>
      <c r="S311" s="6">
        <v>24</v>
      </c>
      <c r="T311" s="6">
        <v>0</v>
      </c>
      <c r="U311" s="6">
        <v>0</v>
      </c>
      <c r="V311" s="128">
        <f>IF(ISERROR(VLOOKUP($S$311,'TAR FIN'!$A$1:$O$86,15,0)),0,VLOOKUP($S$311,'TAR FIN'!$A$1:$O$86,15,0))*(1-0.06)</f>
        <v>21.525999999999996</v>
      </c>
      <c r="W311" s="128">
        <f>IF(ISERROR(VLOOKUP($T$311,'TAR FIN'!$A$1:$O$86,15,0)),0,VLOOKUP($T$311,'TAR FIN'!$A$1:$O$86,15,0))</f>
        <v>0</v>
      </c>
      <c r="X311" s="128">
        <f>IF(ISERROR(VLOOKUP($U$311,'TAR FIN'!$A$1:$O$86,15,0)),0,VLOOKUP($U$311,'TAR FIN'!$A$1:$O$86,15,0))</f>
        <v>0</v>
      </c>
      <c r="Y311" s="128">
        <f ca="1">('TUSD BE'!$AM$10+'TUSD BF_350'!$AM$10+'TUSD CVA'!$AM$10)*1*(1-0.03)</f>
        <v>15.1708</v>
      </c>
      <c r="Z311" s="128"/>
      <c r="AA311" s="128"/>
      <c r="AB311" s="6">
        <f>$K$311*$V$311</f>
        <v>8610.3999999999978</v>
      </c>
      <c r="AC311" s="6">
        <f>$M$311*$W$311</f>
        <v>0</v>
      </c>
      <c r="AD311" s="6">
        <f>$O$311*$X$311</f>
        <v>0</v>
      </c>
      <c r="AE311" s="6">
        <f ca="1">$K$311*$Y$311</f>
        <v>6068.32</v>
      </c>
      <c r="AF311" s="6">
        <f>$M$311*$Z$311</f>
        <v>0</v>
      </c>
      <c r="AG311" s="6">
        <f>$O$311*$AA$311</f>
        <v>0</v>
      </c>
    </row>
    <row r="312" spans="1:33" ht="11.25" customHeight="1" x14ac:dyDescent="0.25">
      <c r="A312" s="4" t="s">
        <v>21</v>
      </c>
      <c r="B312" s="4" t="s">
        <v>35</v>
      </c>
      <c r="C312" s="4" t="s">
        <v>39</v>
      </c>
      <c r="D312" s="4" t="s">
        <v>47</v>
      </c>
      <c r="E312" s="4" t="s">
        <v>48</v>
      </c>
      <c r="F312" s="4" t="s">
        <v>25</v>
      </c>
      <c r="G312" s="4" t="s">
        <v>25</v>
      </c>
      <c r="H312" s="4" t="s">
        <v>25</v>
      </c>
      <c r="I312" s="5">
        <v>44713</v>
      </c>
      <c r="J312" s="6">
        <v>400</v>
      </c>
      <c r="K312" s="129">
        <v>400</v>
      </c>
      <c r="L312" s="6">
        <v>0</v>
      </c>
      <c r="M312" s="128">
        <v>0</v>
      </c>
      <c r="N312" s="6">
        <v>0</v>
      </c>
      <c r="O312" s="128">
        <v>0</v>
      </c>
      <c r="P312" s="6">
        <v>1</v>
      </c>
      <c r="Q312" s="4" t="s">
        <v>26</v>
      </c>
      <c r="R312" s="4">
        <v>0</v>
      </c>
      <c r="S312" s="6">
        <v>24</v>
      </c>
      <c r="T312" s="6">
        <v>0</v>
      </c>
      <c r="U312" s="6">
        <v>0</v>
      </c>
      <c r="V312" s="128">
        <f>IF(ISERROR(VLOOKUP($S$312,'TAR FIN'!$A$1:$O$86,15,0)),0,VLOOKUP($S$312,'TAR FIN'!$A$1:$O$86,15,0))*(1-0.06)</f>
        <v>21.525999999999996</v>
      </c>
      <c r="W312" s="128">
        <f>IF(ISERROR(VLOOKUP($T$312,'TAR FIN'!$A$1:$O$86,15,0)),0,VLOOKUP($T$312,'TAR FIN'!$A$1:$O$86,15,0))</f>
        <v>0</v>
      </c>
      <c r="X312" s="128">
        <f>IF(ISERROR(VLOOKUP($U$312,'TAR FIN'!$A$1:$O$86,15,0)),0,VLOOKUP($U$312,'TAR FIN'!$A$1:$O$86,15,0))</f>
        <v>0</v>
      </c>
      <c r="Y312" s="128">
        <f ca="1">('TUSD BE'!$AM$10+'TUSD BF_350'!$AM$10+'TUSD CVA'!$AM$10)*1*(1-0.03)</f>
        <v>15.1708</v>
      </c>
      <c r="Z312" s="128"/>
      <c r="AA312" s="128"/>
      <c r="AB312" s="6">
        <f>$K$312*$V$312</f>
        <v>8610.3999999999978</v>
      </c>
      <c r="AC312" s="6">
        <f>$M$312*$W$312</f>
        <v>0</v>
      </c>
      <c r="AD312" s="6">
        <f>$O$312*$X$312</f>
        <v>0</v>
      </c>
      <c r="AE312" s="6">
        <f ca="1">$K$312*$Y$312</f>
        <v>6068.32</v>
      </c>
      <c r="AF312" s="6">
        <f>$M$312*$Z$312</f>
        <v>0</v>
      </c>
      <c r="AG312" s="6">
        <f>$O$312*$AA$312</f>
        <v>0</v>
      </c>
    </row>
    <row r="313" spans="1:33" ht="11.25" customHeight="1" x14ac:dyDescent="0.25">
      <c r="A313" s="4" t="s">
        <v>55</v>
      </c>
      <c r="B313" s="4" t="s">
        <v>35</v>
      </c>
      <c r="C313" s="4" t="s">
        <v>39</v>
      </c>
      <c r="D313" s="4" t="s">
        <v>47</v>
      </c>
      <c r="E313" s="4" t="s">
        <v>48</v>
      </c>
      <c r="F313" s="4" t="s">
        <v>25</v>
      </c>
      <c r="G313" s="4" t="s">
        <v>25</v>
      </c>
      <c r="H313" s="4" t="s">
        <v>25</v>
      </c>
      <c r="I313" s="5">
        <v>44743</v>
      </c>
      <c r="J313" s="6">
        <v>400</v>
      </c>
      <c r="K313" s="129">
        <v>400</v>
      </c>
      <c r="L313" s="6">
        <v>0</v>
      </c>
      <c r="M313" s="128">
        <v>0</v>
      </c>
      <c r="N313" s="6">
        <v>0</v>
      </c>
      <c r="O313" s="128">
        <v>0</v>
      </c>
      <c r="P313" s="6">
        <v>1</v>
      </c>
      <c r="Q313" s="4" t="s">
        <v>26</v>
      </c>
      <c r="R313" s="4">
        <v>0</v>
      </c>
      <c r="S313" s="6">
        <v>24</v>
      </c>
      <c r="T313" s="6">
        <v>0</v>
      </c>
      <c r="U313" s="6">
        <v>0</v>
      </c>
      <c r="V313" s="128">
        <f>IF(ISERROR(VLOOKUP($S$313,'TAR FIN'!$A$1:$O$86,15,0)),0,VLOOKUP($S$313,'TAR FIN'!$A$1:$O$86,15,0))*(1-0.06)</f>
        <v>21.525999999999996</v>
      </c>
      <c r="W313" s="128">
        <f>IF(ISERROR(VLOOKUP($T$313,'TAR FIN'!$A$1:$O$86,15,0)),0,VLOOKUP($T$313,'TAR FIN'!$A$1:$O$86,15,0))</f>
        <v>0</v>
      </c>
      <c r="X313" s="128">
        <f>IF(ISERROR(VLOOKUP($U$313,'TAR FIN'!$A$1:$O$86,15,0)),0,VLOOKUP($U$313,'TAR FIN'!$A$1:$O$86,15,0))</f>
        <v>0</v>
      </c>
      <c r="Y313" s="128">
        <f ca="1">('TUSD BE'!$AM$10+'TUSD BF_350'!$AM$10+'TUSD CVA'!$AM$10)*1*(1-0.03)</f>
        <v>15.1708</v>
      </c>
      <c r="Z313" s="128"/>
      <c r="AA313" s="128"/>
      <c r="AB313" s="6">
        <f>$K$313*$V$313</f>
        <v>8610.3999999999978</v>
      </c>
      <c r="AC313" s="6">
        <f>$M$313*$W$313</f>
        <v>0</v>
      </c>
      <c r="AD313" s="6">
        <f>$O$313*$X$313</f>
        <v>0</v>
      </c>
      <c r="AE313" s="6">
        <f ca="1">$K$313*$Y$313</f>
        <v>6068.32</v>
      </c>
      <c r="AF313" s="6">
        <f>$M$313*$Z$313</f>
        <v>0</v>
      </c>
      <c r="AG313" s="6">
        <f>$O$313*$AA$313</f>
        <v>0</v>
      </c>
    </row>
    <row r="314" spans="1:33" ht="11.25" customHeight="1" x14ac:dyDescent="0.25">
      <c r="A314" s="4" t="s">
        <v>21</v>
      </c>
      <c r="B314" s="4" t="s">
        <v>35</v>
      </c>
      <c r="C314" s="4" t="s">
        <v>39</v>
      </c>
      <c r="D314" s="4" t="s">
        <v>47</v>
      </c>
      <c r="E314" s="4" t="s">
        <v>48</v>
      </c>
      <c r="F314" s="4" t="s">
        <v>25</v>
      </c>
      <c r="G314" s="4" t="s">
        <v>25</v>
      </c>
      <c r="H314" s="4" t="s">
        <v>37</v>
      </c>
      <c r="I314" s="5">
        <v>44409</v>
      </c>
      <c r="J314" s="6">
        <v>0</v>
      </c>
      <c r="K314" s="128">
        <v>0</v>
      </c>
      <c r="L314" s="6">
        <v>14.43</v>
      </c>
      <c r="M314" s="128">
        <v>14.43</v>
      </c>
      <c r="N314" s="6">
        <v>14.43</v>
      </c>
      <c r="O314" s="128">
        <v>14.43</v>
      </c>
      <c r="P314" s="6">
        <v>0</v>
      </c>
      <c r="Q314" s="4" t="s">
        <v>26</v>
      </c>
      <c r="R314" s="4">
        <v>0</v>
      </c>
      <c r="S314" s="6">
        <v>0</v>
      </c>
      <c r="T314" s="6">
        <v>5</v>
      </c>
      <c r="U314" s="6">
        <v>69</v>
      </c>
      <c r="V314" s="128">
        <f>IF(ISERROR(VLOOKUP($S$314,'TAR FIN'!$A$1:$O$86,15,0)),0,VLOOKUP($S$314,'TAR FIN'!$A$1:$O$86,15,0))</f>
        <v>0</v>
      </c>
      <c r="W314" s="128">
        <f>IF(ISERROR(VLOOKUP($T$314,'TAR FIN'!$A$1:$O$86,15,0)),0,VLOOKUP($T$314,'TAR FIN'!$A$1:$O$86,15,0))*(1-0.06)</f>
        <v>1427.8317999999999</v>
      </c>
      <c r="X314" s="128">
        <f>IF(ISERROR(VLOOKUP($U$314,'TAR FIN'!$A$1:$O$86,15,0)),0,VLOOKUP($U$314,'TAR FIN'!$A$1:$O$86,15,0))*(1-0.06)</f>
        <v>337.77019999999999</v>
      </c>
      <c r="Y314" s="128"/>
      <c r="Z314" s="128">
        <f ca="1">('TUSD BE'!$AM$11+'TUSD BF_350'!$AM$11+'TUSD CVA'!$AM$11)*1*(1-0.03)</f>
        <v>884.48479999999995</v>
      </c>
      <c r="AA314" s="128">
        <f ca="1">('TE BE'!$AB$5+'TE BF_350'!$AB$5+'TE CVA'!$AB$5)*1*(1-0.03)</f>
        <v>351.85392208080407</v>
      </c>
      <c r="AB314" s="6">
        <f>$K$314*$V$314</f>
        <v>0</v>
      </c>
      <c r="AC314" s="6">
        <f>$M$314*$W$314</f>
        <v>20603.612873999999</v>
      </c>
      <c r="AD314" s="6">
        <f>$O$314*$X$314</f>
        <v>4874.0239860000001</v>
      </c>
      <c r="AE314" s="6">
        <f>$K$314*$Y$314</f>
        <v>0</v>
      </c>
      <c r="AF314" s="6">
        <f ca="1">$M$314*$Z$314</f>
        <v>12763.115663999999</v>
      </c>
      <c r="AG314" s="6">
        <f ca="1">$O$314*$AA$314</f>
        <v>5077.2520956260023</v>
      </c>
    </row>
    <row r="315" spans="1:33" ht="11.25" customHeight="1" x14ac:dyDescent="0.25">
      <c r="A315" s="4" t="s">
        <v>21</v>
      </c>
      <c r="B315" s="4" t="s">
        <v>35</v>
      </c>
      <c r="C315" s="4" t="s">
        <v>39</v>
      </c>
      <c r="D315" s="4" t="s">
        <v>47</v>
      </c>
      <c r="E315" s="4" t="s">
        <v>48</v>
      </c>
      <c r="F315" s="4" t="s">
        <v>25</v>
      </c>
      <c r="G315" s="4" t="s">
        <v>25</v>
      </c>
      <c r="H315" s="4" t="s">
        <v>37</v>
      </c>
      <c r="I315" s="5">
        <v>44440</v>
      </c>
      <c r="J315" s="6">
        <v>0</v>
      </c>
      <c r="K315" s="128">
        <v>0</v>
      </c>
      <c r="L315" s="6">
        <v>13.776999999999999</v>
      </c>
      <c r="M315" s="128">
        <v>13.776999999999999</v>
      </c>
      <c r="N315" s="6">
        <v>13.776999999999999</v>
      </c>
      <c r="O315" s="128">
        <v>13.776999999999999</v>
      </c>
      <c r="P315" s="6">
        <v>0</v>
      </c>
      <c r="Q315" s="4" t="s">
        <v>26</v>
      </c>
      <c r="R315" s="4">
        <v>0</v>
      </c>
      <c r="S315" s="6">
        <v>0</v>
      </c>
      <c r="T315" s="6">
        <v>5</v>
      </c>
      <c r="U315" s="6">
        <v>69</v>
      </c>
      <c r="V315" s="128">
        <f>IF(ISERROR(VLOOKUP($S$315,'TAR FIN'!$A$1:$O$86,15,0)),0,VLOOKUP($S$315,'TAR FIN'!$A$1:$O$86,15,0))</f>
        <v>0</v>
      </c>
      <c r="W315" s="128">
        <f>IF(ISERROR(VLOOKUP($T$315,'TAR FIN'!$A$1:$O$86,15,0)),0,VLOOKUP($T$315,'TAR FIN'!$A$1:$O$86,15,0))*(1-0.06)</f>
        <v>1427.8317999999999</v>
      </c>
      <c r="X315" s="128">
        <f>IF(ISERROR(VLOOKUP($U$315,'TAR FIN'!$A$1:$O$86,15,0)),0,VLOOKUP($U$315,'TAR FIN'!$A$1:$O$86,15,0))*(1-0.06)</f>
        <v>337.77019999999999</v>
      </c>
      <c r="Y315" s="128"/>
      <c r="Z315" s="128">
        <f ca="1">('TUSD BE'!$AM$11+'TUSD BF_350'!$AM$11+'TUSD CVA'!$AM$11)*1*(1-0.03)</f>
        <v>884.48479999999995</v>
      </c>
      <c r="AA315" s="128">
        <f ca="1">('TE BE'!$AB$5+'TE BF_350'!$AB$5+'TE CVA'!$AB$5)*1*(1-0.03)</f>
        <v>351.85392208080407</v>
      </c>
      <c r="AB315" s="6">
        <f>$K$315*$V$315</f>
        <v>0</v>
      </c>
      <c r="AC315" s="6">
        <f>$M$315*$W$315</f>
        <v>19671.238708599998</v>
      </c>
      <c r="AD315" s="6">
        <f>$O$315*$X$315</f>
        <v>4653.4600453999992</v>
      </c>
      <c r="AE315" s="6">
        <f>$K$315*$Y$315</f>
        <v>0</v>
      </c>
      <c r="AF315" s="6">
        <f ca="1">$M$315*$Z$315</f>
        <v>12185.547089599999</v>
      </c>
      <c r="AG315" s="6">
        <f ca="1">$O$315*$AA$315</f>
        <v>4847.4914845072371</v>
      </c>
    </row>
    <row r="316" spans="1:33" ht="11.25" customHeight="1" x14ac:dyDescent="0.25">
      <c r="A316" s="4" t="s">
        <v>21</v>
      </c>
      <c r="B316" s="4" t="s">
        <v>35</v>
      </c>
      <c r="C316" s="4" t="s">
        <v>39</v>
      </c>
      <c r="D316" s="4" t="s">
        <v>47</v>
      </c>
      <c r="E316" s="4" t="s">
        <v>48</v>
      </c>
      <c r="F316" s="4" t="s">
        <v>25</v>
      </c>
      <c r="G316" s="4" t="s">
        <v>25</v>
      </c>
      <c r="H316" s="4" t="s">
        <v>37</v>
      </c>
      <c r="I316" s="5">
        <v>44470</v>
      </c>
      <c r="J316" s="6">
        <v>0</v>
      </c>
      <c r="K316" s="128">
        <v>0</v>
      </c>
      <c r="L316" s="6">
        <v>12.991</v>
      </c>
      <c r="M316" s="128">
        <v>12.991</v>
      </c>
      <c r="N316" s="6">
        <v>12.991</v>
      </c>
      <c r="O316" s="128">
        <v>12.991</v>
      </c>
      <c r="P316" s="6">
        <v>0</v>
      </c>
      <c r="Q316" s="4" t="s">
        <v>26</v>
      </c>
      <c r="R316" s="4">
        <v>0</v>
      </c>
      <c r="S316" s="6">
        <v>0</v>
      </c>
      <c r="T316" s="6">
        <v>5</v>
      </c>
      <c r="U316" s="6">
        <v>69</v>
      </c>
      <c r="V316" s="128">
        <f>IF(ISERROR(VLOOKUP($S$316,'TAR FIN'!$A$1:$O$86,15,0)),0,VLOOKUP($S$316,'TAR FIN'!$A$1:$O$86,15,0))</f>
        <v>0</v>
      </c>
      <c r="W316" s="128">
        <f>IF(ISERROR(VLOOKUP($T$316,'TAR FIN'!$A$1:$O$86,15,0)),0,VLOOKUP($T$316,'TAR FIN'!$A$1:$O$86,15,0))*(1-0.06)</f>
        <v>1427.8317999999999</v>
      </c>
      <c r="X316" s="128">
        <f>IF(ISERROR(VLOOKUP($U$316,'TAR FIN'!$A$1:$O$86,15,0)),0,VLOOKUP($U$316,'TAR FIN'!$A$1:$O$86,15,0))*(1-0.06)</f>
        <v>337.77019999999999</v>
      </c>
      <c r="Y316" s="128"/>
      <c r="Z316" s="128">
        <f ca="1">('TUSD BE'!$AM$11+'TUSD BF_350'!$AM$11+'TUSD CVA'!$AM$11)*1*(1-0.03)</f>
        <v>884.48479999999995</v>
      </c>
      <c r="AA316" s="128">
        <f ca="1">('TE BE'!$AB$5+'TE BF_350'!$AB$5+'TE CVA'!$AB$5)*1*(1-0.03)</f>
        <v>351.85392208080407</v>
      </c>
      <c r="AB316" s="6">
        <f>$K$316*$V$316</f>
        <v>0</v>
      </c>
      <c r="AC316" s="6">
        <f>$M$316*$W$316</f>
        <v>18548.962913799998</v>
      </c>
      <c r="AD316" s="6">
        <f>$O$316*$X$316</f>
        <v>4387.9726682</v>
      </c>
      <c r="AE316" s="6">
        <f>$K$316*$Y$316</f>
        <v>0</v>
      </c>
      <c r="AF316" s="6">
        <f ca="1">$M$316*$Z$316</f>
        <v>11490.342036799999</v>
      </c>
      <c r="AG316" s="6">
        <f ca="1">$O$316*$AA$316</f>
        <v>4570.9343017517258</v>
      </c>
    </row>
    <row r="317" spans="1:33" ht="11.25" customHeight="1" x14ac:dyDescent="0.25">
      <c r="A317" s="4" t="s">
        <v>21</v>
      </c>
      <c r="B317" s="4" t="s">
        <v>35</v>
      </c>
      <c r="C317" s="4" t="s">
        <v>39</v>
      </c>
      <c r="D317" s="4" t="s">
        <v>47</v>
      </c>
      <c r="E317" s="4" t="s">
        <v>48</v>
      </c>
      <c r="F317" s="4" t="s">
        <v>25</v>
      </c>
      <c r="G317" s="4" t="s">
        <v>25</v>
      </c>
      <c r="H317" s="4" t="s">
        <v>37</v>
      </c>
      <c r="I317" s="5">
        <v>44501</v>
      </c>
      <c r="J317" s="6">
        <v>0</v>
      </c>
      <c r="K317" s="128">
        <v>0</v>
      </c>
      <c r="L317" s="6">
        <v>14.047000000000001</v>
      </c>
      <c r="M317" s="128">
        <v>14.047000000000001</v>
      </c>
      <c r="N317" s="6">
        <v>14.047000000000001</v>
      </c>
      <c r="O317" s="128">
        <v>14.047000000000001</v>
      </c>
      <c r="P317" s="6">
        <v>0</v>
      </c>
      <c r="Q317" s="4" t="s">
        <v>26</v>
      </c>
      <c r="R317" s="4">
        <v>0</v>
      </c>
      <c r="S317" s="6">
        <v>0</v>
      </c>
      <c r="T317" s="6">
        <v>5</v>
      </c>
      <c r="U317" s="6">
        <v>69</v>
      </c>
      <c r="V317" s="128">
        <f>IF(ISERROR(VLOOKUP($S$317,'TAR FIN'!$A$1:$O$86,15,0)),0,VLOOKUP($S$317,'TAR FIN'!$A$1:$O$86,15,0))</f>
        <v>0</v>
      </c>
      <c r="W317" s="128">
        <f>IF(ISERROR(VLOOKUP($T$317,'TAR FIN'!$A$1:$O$86,15,0)),0,VLOOKUP($T$317,'TAR FIN'!$A$1:$O$86,15,0))*(1-0.06)</f>
        <v>1427.8317999999999</v>
      </c>
      <c r="X317" s="128">
        <f>IF(ISERROR(VLOOKUP($U$317,'TAR FIN'!$A$1:$O$86,15,0)),0,VLOOKUP($U$317,'TAR FIN'!$A$1:$O$86,15,0))*(1-0.06)</f>
        <v>337.77019999999999</v>
      </c>
      <c r="Y317" s="128"/>
      <c r="Z317" s="128">
        <f ca="1">('TUSD BE'!$AM$11+'TUSD BF_350'!$AM$11+'TUSD CVA'!$AM$11)*1*(1-0.03)</f>
        <v>884.48479999999995</v>
      </c>
      <c r="AA317" s="128">
        <f ca="1">('TE BE'!$AB$5+'TE BF_350'!$AB$5+'TE CVA'!$AB$5)*1*(1-0.03)</f>
        <v>351.85392208080407</v>
      </c>
      <c r="AB317" s="6">
        <f>$K$317*$V$317</f>
        <v>0</v>
      </c>
      <c r="AC317" s="6">
        <f>$M$317*$W$317</f>
        <v>20056.753294599999</v>
      </c>
      <c r="AD317" s="6">
        <f>$O$317*$X$317</f>
        <v>4744.6579994000003</v>
      </c>
      <c r="AE317" s="6">
        <f>$K$317*$Y$317</f>
        <v>0</v>
      </c>
      <c r="AF317" s="6">
        <f ca="1">$M$317*$Z$317</f>
        <v>12424.3579856</v>
      </c>
      <c r="AG317" s="6">
        <f ca="1">$O$317*$AA$317</f>
        <v>4942.4920434690548</v>
      </c>
    </row>
    <row r="318" spans="1:33" ht="11.25" customHeight="1" x14ac:dyDescent="0.25">
      <c r="A318" s="4" t="s">
        <v>21</v>
      </c>
      <c r="B318" s="4" t="s">
        <v>35</v>
      </c>
      <c r="C318" s="4" t="s">
        <v>39</v>
      </c>
      <c r="D318" s="4" t="s">
        <v>47</v>
      </c>
      <c r="E318" s="4" t="s">
        <v>48</v>
      </c>
      <c r="F318" s="4" t="s">
        <v>25</v>
      </c>
      <c r="G318" s="4" t="s">
        <v>25</v>
      </c>
      <c r="H318" s="4" t="s">
        <v>37</v>
      </c>
      <c r="I318" s="5">
        <v>44531</v>
      </c>
      <c r="J318" s="6">
        <v>0</v>
      </c>
      <c r="K318" s="128">
        <v>0</v>
      </c>
      <c r="L318" s="6">
        <v>21.306000000000001</v>
      </c>
      <c r="M318" s="128">
        <v>21.306000000000001</v>
      </c>
      <c r="N318" s="6">
        <v>21.306000000000001</v>
      </c>
      <c r="O318" s="128">
        <v>21.306000000000001</v>
      </c>
      <c r="P318" s="6">
        <v>0</v>
      </c>
      <c r="Q318" s="4" t="s">
        <v>26</v>
      </c>
      <c r="R318" s="4">
        <v>0</v>
      </c>
      <c r="S318" s="6">
        <v>0</v>
      </c>
      <c r="T318" s="6">
        <v>5</v>
      </c>
      <c r="U318" s="6">
        <v>69</v>
      </c>
      <c r="V318" s="128">
        <f>IF(ISERROR(VLOOKUP($S$318,'TAR FIN'!$A$1:$O$86,15,0)),0,VLOOKUP($S$318,'TAR FIN'!$A$1:$O$86,15,0))</f>
        <v>0</v>
      </c>
      <c r="W318" s="128">
        <f>IF(ISERROR(VLOOKUP($T$318,'TAR FIN'!$A$1:$O$86,15,0)),0,VLOOKUP($T$318,'TAR FIN'!$A$1:$O$86,15,0))*(1-0.06)</f>
        <v>1427.8317999999999</v>
      </c>
      <c r="X318" s="128">
        <f>IF(ISERROR(VLOOKUP($U$318,'TAR FIN'!$A$1:$O$86,15,0)),0,VLOOKUP($U$318,'TAR FIN'!$A$1:$O$86,15,0))*(1-0.06)</f>
        <v>337.77019999999999</v>
      </c>
      <c r="Y318" s="128"/>
      <c r="Z318" s="128">
        <f ca="1">('TUSD BE'!$AM$11+'TUSD BF_350'!$AM$11+'TUSD CVA'!$AM$11)*1*(1-0.03)</f>
        <v>884.48479999999995</v>
      </c>
      <c r="AA318" s="128">
        <f ca="1">('TE BE'!$AB$5+'TE BF_350'!$AB$5+'TE CVA'!$AB$5)*1*(1-0.03)</f>
        <v>351.85392208080407</v>
      </c>
      <c r="AB318" s="6">
        <f>$K$318*$V$318</f>
        <v>0</v>
      </c>
      <c r="AC318" s="6">
        <f>$M$318*$W$318</f>
        <v>30421.3843308</v>
      </c>
      <c r="AD318" s="6">
        <f>$O$318*$X$318</f>
        <v>7196.5318812000005</v>
      </c>
      <c r="AE318" s="6">
        <f>$K$318*$Y$318</f>
        <v>0</v>
      </c>
      <c r="AF318" s="6">
        <f ca="1">$M$318*$Z$318</f>
        <v>18844.8331488</v>
      </c>
      <c r="AG318" s="6">
        <f ca="1">$O$318*$AA$318</f>
        <v>7496.5996638536117</v>
      </c>
    </row>
    <row r="319" spans="1:33" ht="11.25" customHeight="1" x14ac:dyDescent="0.25">
      <c r="A319" s="4" t="s">
        <v>21</v>
      </c>
      <c r="B319" s="4" t="s">
        <v>35</v>
      </c>
      <c r="C319" s="4" t="s">
        <v>39</v>
      </c>
      <c r="D319" s="4" t="s">
        <v>47</v>
      </c>
      <c r="E319" s="4" t="s">
        <v>48</v>
      </c>
      <c r="F319" s="4" t="s">
        <v>25</v>
      </c>
      <c r="G319" s="4" t="s">
        <v>25</v>
      </c>
      <c r="H319" s="4" t="s">
        <v>37</v>
      </c>
      <c r="I319" s="5">
        <v>44562</v>
      </c>
      <c r="J319" s="6">
        <v>0</v>
      </c>
      <c r="K319" s="128">
        <v>0</v>
      </c>
      <c r="L319" s="6">
        <v>22.757000000000001</v>
      </c>
      <c r="M319" s="128">
        <v>22.757000000000001</v>
      </c>
      <c r="N319" s="6">
        <v>22.757000000000001</v>
      </c>
      <c r="O319" s="128">
        <v>22.757000000000001</v>
      </c>
      <c r="P319" s="6">
        <v>0</v>
      </c>
      <c r="Q319" s="4" t="s">
        <v>26</v>
      </c>
      <c r="R319" s="4">
        <v>0</v>
      </c>
      <c r="S319" s="6">
        <v>0</v>
      </c>
      <c r="T319" s="6">
        <v>5</v>
      </c>
      <c r="U319" s="6">
        <v>69</v>
      </c>
      <c r="V319" s="128">
        <f>IF(ISERROR(VLOOKUP($S$319,'TAR FIN'!$A$1:$O$86,15,0)),0,VLOOKUP($S$319,'TAR FIN'!$A$1:$O$86,15,0))</f>
        <v>0</v>
      </c>
      <c r="W319" s="128">
        <f>IF(ISERROR(VLOOKUP($T$319,'TAR FIN'!$A$1:$O$86,15,0)),0,VLOOKUP($T$319,'TAR FIN'!$A$1:$O$86,15,0))*(1-0.06)</f>
        <v>1427.8317999999999</v>
      </c>
      <c r="X319" s="128">
        <f>IF(ISERROR(VLOOKUP($U$319,'TAR FIN'!$A$1:$O$86,15,0)),0,VLOOKUP($U$319,'TAR FIN'!$A$1:$O$86,15,0))*(1-0.06)</f>
        <v>337.77019999999999</v>
      </c>
      <c r="Y319" s="128"/>
      <c r="Z319" s="128">
        <f ca="1">('TUSD BE'!$AM$11+'TUSD BF_350'!$AM$11+'TUSD CVA'!$AM$11)*1*(1-0.03)</f>
        <v>884.48479999999995</v>
      </c>
      <c r="AA319" s="128">
        <f ca="1">('TE BE'!$AB$5+'TE BF_350'!$AB$5+'TE CVA'!$AB$5)*1*(1-0.03)</f>
        <v>351.85392208080407</v>
      </c>
      <c r="AB319" s="6">
        <f>$K$319*$V$319</f>
        <v>0</v>
      </c>
      <c r="AC319" s="6">
        <f>$M$319*$W$319</f>
        <v>32493.1682726</v>
      </c>
      <c r="AD319" s="6">
        <f>$O$319*$X$319</f>
        <v>7686.6364414</v>
      </c>
      <c r="AE319" s="6">
        <f>$K$319*$Y$319</f>
        <v>0</v>
      </c>
      <c r="AF319" s="6">
        <f ca="1">$M$319*$Z$319</f>
        <v>20128.220593599999</v>
      </c>
      <c r="AG319" s="6">
        <f ca="1">$O$319*$AA$319</f>
        <v>8007.1397047928585</v>
      </c>
    </row>
    <row r="320" spans="1:33" ht="11.25" customHeight="1" x14ac:dyDescent="0.25">
      <c r="A320" s="4" t="s">
        <v>21</v>
      </c>
      <c r="B320" s="4" t="s">
        <v>35</v>
      </c>
      <c r="C320" s="4" t="s">
        <v>39</v>
      </c>
      <c r="D320" s="4" t="s">
        <v>47</v>
      </c>
      <c r="E320" s="4" t="s">
        <v>48</v>
      </c>
      <c r="F320" s="4" t="s">
        <v>25</v>
      </c>
      <c r="G320" s="4" t="s">
        <v>25</v>
      </c>
      <c r="H320" s="4" t="s">
        <v>37</v>
      </c>
      <c r="I320" s="5">
        <v>44593</v>
      </c>
      <c r="J320" s="6">
        <v>0</v>
      </c>
      <c r="K320" s="128">
        <v>0</v>
      </c>
      <c r="L320" s="6">
        <v>18.914000000000001</v>
      </c>
      <c r="M320" s="128">
        <v>18.914000000000001</v>
      </c>
      <c r="N320" s="6">
        <v>18.914000000000001</v>
      </c>
      <c r="O320" s="128">
        <v>18.914000000000001</v>
      </c>
      <c r="P320" s="6">
        <v>0</v>
      </c>
      <c r="Q320" s="4" t="s">
        <v>26</v>
      </c>
      <c r="R320" s="4">
        <v>0</v>
      </c>
      <c r="S320" s="6">
        <v>0</v>
      </c>
      <c r="T320" s="6">
        <v>5</v>
      </c>
      <c r="U320" s="6">
        <v>69</v>
      </c>
      <c r="V320" s="128">
        <f>IF(ISERROR(VLOOKUP($S$320,'TAR FIN'!$A$1:$O$86,15,0)),0,VLOOKUP($S$320,'TAR FIN'!$A$1:$O$86,15,0))</f>
        <v>0</v>
      </c>
      <c r="W320" s="128">
        <f>IF(ISERROR(VLOOKUP($T$320,'TAR FIN'!$A$1:$O$86,15,0)),0,VLOOKUP($T$320,'TAR FIN'!$A$1:$O$86,15,0))*(1-0.06)</f>
        <v>1427.8317999999999</v>
      </c>
      <c r="X320" s="128">
        <f>IF(ISERROR(VLOOKUP($U$320,'TAR FIN'!$A$1:$O$86,15,0)),0,VLOOKUP($U$320,'TAR FIN'!$A$1:$O$86,15,0))*(1-0.06)</f>
        <v>337.77019999999999</v>
      </c>
      <c r="Y320" s="128"/>
      <c r="Z320" s="128">
        <f ca="1">('TUSD BE'!$AM$11+'TUSD BF_350'!$AM$11+'TUSD CVA'!$AM$11)*1*(1-0.03)</f>
        <v>884.48479999999995</v>
      </c>
      <c r="AA320" s="128">
        <f ca="1">('TE BE'!$AB$5+'TE BF_350'!$AB$5+'TE CVA'!$AB$5)*1*(1-0.03)</f>
        <v>351.85392208080407</v>
      </c>
      <c r="AB320" s="6">
        <f>$K$320*$V$320</f>
        <v>0</v>
      </c>
      <c r="AC320" s="6">
        <f>$M$320*$W$320</f>
        <v>27006.010665199999</v>
      </c>
      <c r="AD320" s="6">
        <f>$O$320*$X$320</f>
        <v>6388.5855627999999</v>
      </c>
      <c r="AE320" s="6">
        <f>$K$320*$Y$320</f>
        <v>0</v>
      </c>
      <c r="AF320" s="6">
        <f ca="1">$M$320*$Z$320</f>
        <v>16729.145507199999</v>
      </c>
      <c r="AG320" s="6">
        <f ca="1">$O$320*$AA$320</f>
        <v>6654.9650822363283</v>
      </c>
    </row>
    <row r="321" spans="1:33" ht="11.25" customHeight="1" x14ac:dyDescent="0.25">
      <c r="A321" s="4" t="s">
        <v>21</v>
      </c>
      <c r="B321" s="4" t="s">
        <v>35</v>
      </c>
      <c r="C321" s="4" t="s">
        <v>39</v>
      </c>
      <c r="D321" s="4" t="s">
        <v>47</v>
      </c>
      <c r="E321" s="4" t="s">
        <v>48</v>
      </c>
      <c r="F321" s="4" t="s">
        <v>25</v>
      </c>
      <c r="G321" s="4" t="s">
        <v>25</v>
      </c>
      <c r="H321" s="4" t="s">
        <v>37</v>
      </c>
      <c r="I321" s="5">
        <v>44621</v>
      </c>
      <c r="J321" s="6">
        <v>0</v>
      </c>
      <c r="K321" s="128">
        <v>0</v>
      </c>
      <c r="L321" s="6">
        <v>19.082000000000001</v>
      </c>
      <c r="M321" s="128">
        <v>19.082000000000001</v>
      </c>
      <c r="N321" s="6">
        <v>19.082000000000001</v>
      </c>
      <c r="O321" s="128">
        <v>19.082000000000001</v>
      </c>
      <c r="P321" s="6">
        <v>0</v>
      </c>
      <c r="Q321" s="4" t="s">
        <v>26</v>
      </c>
      <c r="R321" s="4">
        <v>0</v>
      </c>
      <c r="S321" s="6">
        <v>0</v>
      </c>
      <c r="T321" s="6">
        <v>5</v>
      </c>
      <c r="U321" s="6">
        <v>69</v>
      </c>
      <c r="V321" s="128">
        <f>IF(ISERROR(VLOOKUP($S$321,'TAR FIN'!$A$1:$O$86,15,0)),0,VLOOKUP($S$321,'TAR FIN'!$A$1:$O$86,15,0))</f>
        <v>0</v>
      </c>
      <c r="W321" s="128">
        <f>IF(ISERROR(VLOOKUP($T$321,'TAR FIN'!$A$1:$O$86,15,0)),0,VLOOKUP($T$321,'TAR FIN'!$A$1:$O$86,15,0))*(1-0.06)</f>
        <v>1427.8317999999999</v>
      </c>
      <c r="X321" s="128">
        <f>IF(ISERROR(VLOOKUP($U$321,'TAR FIN'!$A$1:$O$86,15,0)),0,VLOOKUP($U$321,'TAR FIN'!$A$1:$O$86,15,0))*(1-0.06)</f>
        <v>337.77019999999999</v>
      </c>
      <c r="Y321" s="128"/>
      <c r="Z321" s="128">
        <f ca="1">('TUSD BE'!$AM$11+'TUSD BF_350'!$AM$11+'TUSD CVA'!$AM$11)*1*(1-0.03)</f>
        <v>884.48479999999995</v>
      </c>
      <c r="AA321" s="128">
        <f ca="1">('TE BE'!$AB$5+'TE BF_350'!$AB$5+'TE CVA'!$AB$5)*1*(1-0.03)</f>
        <v>351.85392208080407</v>
      </c>
      <c r="AB321" s="6">
        <f>$K$321*$V$321</f>
        <v>0</v>
      </c>
      <c r="AC321" s="6">
        <f>$M$321*$W$321</f>
        <v>27245.886407599999</v>
      </c>
      <c r="AD321" s="6">
        <f>$O$321*$X$321</f>
        <v>6445.3309564000001</v>
      </c>
      <c r="AE321" s="6">
        <f>$K$321*$Y$321</f>
        <v>0</v>
      </c>
      <c r="AF321" s="6">
        <f ca="1">$M$321*$Z$321</f>
        <v>16877.738953600001</v>
      </c>
      <c r="AG321" s="6">
        <f ca="1">$O$321*$AA$321</f>
        <v>6714.0765411459033</v>
      </c>
    </row>
    <row r="322" spans="1:33" ht="11.25" customHeight="1" x14ac:dyDescent="0.25">
      <c r="A322" s="4" t="s">
        <v>21</v>
      </c>
      <c r="B322" s="4" t="s">
        <v>35</v>
      </c>
      <c r="C322" s="4" t="s">
        <v>39</v>
      </c>
      <c r="D322" s="4" t="s">
        <v>47</v>
      </c>
      <c r="E322" s="4" t="s">
        <v>48</v>
      </c>
      <c r="F322" s="4" t="s">
        <v>25</v>
      </c>
      <c r="G322" s="4" t="s">
        <v>25</v>
      </c>
      <c r="H322" s="4" t="s">
        <v>37</v>
      </c>
      <c r="I322" s="5">
        <v>44652</v>
      </c>
      <c r="J322" s="6">
        <v>0</v>
      </c>
      <c r="K322" s="128">
        <v>0</v>
      </c>
      <c r="L322" s="6">
        <v>16.46</v>
      </c>
      <c r="M322" s="128">
        <v>16.46</v>
      </c>
      <c r="N322" s="6">
        <v>16.46</v>
      </c>
      <c r="O322" s="128">
        <v>16.46</v>
      </c>
      <c r="P322" s="6">
        <v>0</v>
      </c>
      <c r="Q322" s="4" t="s">
        <v>26</v>
      </c>
      <c r="R322" s="4">
        <v>0</v>
      </c>
      <c r="S322" s="6">
        <v>0</v>
      </c>
      <c r="T322" s="6">
        <v>5</v>
      </c>
      <c r="U322" s="6">
        <v>69</v>
      </c>
      <c r="V322" s="128">
        <f>IF(ISERROR(VLOOKUP($S$322,'TAR FIN'!$A$1:$O$86,15,0)),0,VLOOKUP($S$322,'TAR FIN'!$A$1:$O$86,15,0))</f>
        <v>0</v>
      </c>
      <c r="W322" s="128">
        <f>IF(ISERROR(VLOOKUP($T$322,'TAR FIN'!$A$1:$O$86,15,0)),0,VLOOKUP($T$322,'TAR FIN'!$A$1:$O$86,15,0))*(1-0.06)</f>
        <v>1427.8317999999999</v>
      </c>
      <c r="X322" s="128">
        <f>IF(ISERROR(VLOOKUP($U$322,'TAR FIN'!$A$1:$O$86,15,0)),0,VLOOKUP($U$322,'TAR FIN'!$A$1:$O$86,15,0))*(1-0.06)</f>
        <v>337.77019999999999</v>
      </c>
      <c r="Y322" s="128"/>
      <c r="Z322" s="128">
        <f ca="1">('TUSD BE'!$AM$11+'TUSD BF_350'!$AM$11+'TUSD CVA'!$AM$11)*1*(1-0.03)</f>
        <v>884.48479999999995</v>
      </c>
      <c r="AA322" s="128">
        <f ca="1">('TE BE'!$AB$5+'TE BF_350'!$AB$5+'TE CVA'!$AB$5)*1*(1-0.03)</f>
        <v>351.85392208080407</v>
      </c>
      <c r="AB322" s="6">
        <f>$K$322*$V$322</f>
        <v>0</v>
      </c>
      <c r="AC322" s="6">
        <f>$M$322*$W$322</f>
        <v>23502.111428</v>
      </c>
      <c r="AD322" s="6">
        <f>$O$322*$X$322</f>
        <v>5559.6974920000002</v>
      </c>
      <c r="AE322" s="6">
        <f>$K$322*$Y$322</f>
        <v>0</v>
      </c>
      <c r="AF322" s="6">
        <f ca="1">$M$322*$Z$322</f>
        <v>14558.619807999999</v>
      </c>
      <c r="AG322" s="6">
        <f ca="1">$O$322*$AA$322</f>
        <v>5791.515557450035</v>
      </c>
    </row>
    <row r="323" spans="1:33" ht="11.25" customHeight="1" x14ac:dyDescent="0.25">
      <c r="A323" s="4" t="s">
        <v>21</v>
      </c>
      <c r="B323" s="4" t="s">
        <v>35</v>
      </c>
      <c r="C323" s="4" t="s">
        <v>39</v>
      </c>
      <c r="D323" s="4" t="s">
        <v>47</v>
      </c>
      <c r="E323" s="4" t="s">
        <v>48</v>
      </c>
      <c r="F323" s="4" t="s">
        <v>25</v>
      </c>
      <c r="G323" s="4" t="s">
        <v>25</v>
      </c>
      <c r="H323" s="4" t="s">
        <v>37</v>
      </c>
      <c r="I323" s="5">
        <v>44682</v>
      </c>
      <c r="J323" s="6">
        <v>0</v>
      </c>
      <c r="K323" s="128">
        <v>0</v>
      </c>
      <c r="L323" s="6">
        <v>17.936</v>
      </c>
      <c r="M323" s="128">
        <v>17.936</v>
      </c>
      <c r="N323" s="6">
        <v>17.936</v>
      </c>
      <c r="O323" s="128">
        <v>17.936</v>
      </c>
      <c r="P323" s="6">
        <v>0</v>
      </c>
      <c r="Q323" s="4" t="s">
        <v>26</v>
      </c>
      <c r="R323" s="4">
        <v>0</v>
      </c>
      <c r="S323" s="6">
        <v>0</v>
      </c>
      <c r="T323" s="6">
        <v>5</v>
      </c>
      <c r="U323" s="6">
        <v>69</v>
      </c>
      <c r="V323" s="128">
        <f>IF(ISERROR(VLOOKUP($S$323,'TAR FIN'!$A$1:$O$86,15,0)),0,VLOOKUP($S$323,'TAR FIN'!$A$1:$O$86,15,0))</f>
        <v>0</v>
      </c>
      <c r="W323" s="128">
        <f>IF(ISERROR(VLOOKUP($T$323,'TAR FIN'!$A$1:$O$86,15,0)),0,VLOOKUP($T$323,'TAR FIN'!$A$1:$O$86,15,0))*(1-0.06)</f>
        <v>1427.8317999999999</v>
      </c>
      <c r="X323" s="128">
        <f>IF(ISERROR(VLOOKUP($U$323,'TAR FIN'!$A$1:$O$86,15,0)),0,VLOOKUP($U$323,'TAR FIN'!$A$1:$O$86,15,0))*(1-0.06)</f>
        <v>337.77019999999999</v>
      </c>
      <c r="Y323" s="128"/>
      <c r="Z323" s="128">
        <f ca="1">('TUSD BE'!$AM$11+'TUSD BF_350'!$AM$11+'TUSD CVA'!$AM$11)*1*(1-0.03)</f>
        <v>884.48479999999995</v>
      </c>
      <c r="AA323" s="128">
        <f ca="1">('TE BE'!$AB$5+'TE BF_350'!$AB$5+'TE CVA'!$AB$5)*1*(1-0.03)</f>
        <v>351.85392208080407</v>
      </c>
      <c r="AB323" s="6">
        <f>$K$323*$V$323</f>
        <v>0</v>
      </c>
      <c r="AC323" s="6">
        <f>$M$323*$W$323</f>
        <v>25609.5911648</v>
      </c>
      <c r="AD323" s="6">
        <f>$O$323*$X$323</f>
        <v>6058.2463072</v>
      </c>
      <c r="AE323" s="6">
        <f>$K$323*$Y$323</f>
        <v>0</v>
      </c>
      <c r="AF323" s="6">
        <f ca="1">$M$323*$Z$323</f>
        <v>15864.1193728</v>
      </c>
      <c r="AG323" s="6">
        <f ca="1">$O$323*$AA$323</f>
        <v>6310.8519464413021</v>
      </c>
    </row>
    <row r="324" spans="1:33" ht="11.25" customHeight="1" x14ac:dyDescent="0.25">
      <c r="A324" s="4" t="s">
        <v>21</v>
      </c>
      <c r="B324" s="4" t="s">
        <v>35</v>
      </c>
      <c r="C324" s="4" t="s">
        <v>39</v>
      </c>
      <c r="D324" s="4" t="s">
        <v>47</v>
      </c>
      <c r="E324" s="4" t="s">
        <v>48</v>
      </c>
      <c r="F324" s="4" t="s">
        <v>25</v>
      </c>
      <c r="G324" s="4" t="s">
        <v>25</v>
      </c>
      <c r="H324" s="4" t="s">
        <v>37</v>
      </c>
      <c r="I324" s="5">
        <v>44713</v>
      </c>
      <c r="J324" s="6">
        <v>0</v>
      </c>
      <c r="K324" s="128">
        <v>0</v>
      </c>
      <c r="L324" s="6">
        <v>18.001000000000001</v>
      </c>
      <c r="M324" s="128">
        <v>18.001000000000001</v>
      </c>
      <c r="N324" s="6">
        <v>18.001000000000001</v>
      </c>
      <c r="O324" s="128">
        <v>18.001000000000001</v>
      </c>
      <c r="P324" s="6">
        <v>0</v>
      </c>
      <c r="Q324" s="4" t="s">
        <v>26</v>
      </c>
      <c r="R324" s="4">
        <v>0</v>
      </c>
      <c r="S324" s="6">
        <v>0</v>
      </c>
      <c r="T324" s="6">
        <v>5</v>
      </c>
      <c r="U324" s="6">
        <v>69</v>
      </c>
      <c r="V324" s="128">
        <f>IF(ISERROR(VLOOKUP($S$324,'TAR FIN'!$A$1:$O$86,15,0)),0,VLOOKUP($S$324,'TAR FIN'!$A$1:$O$86,15,0))</f>
        <v>0</v>
      </c>
      <c r="W324" s="128">
        <f>IF(ISERROR(VLOOKUP($T$324,'TAR FIN'!$A$1:$O$86,15,0)),0,VLOOKUP($T$324,'TAR FIN'!$A$1:$O$86,15,0))*(1-0.06)</f>
        <v>1427.8317999999999</v>
      </c>
      <c r="X324" s="128">
        <f>IF(ISERROR(VLOOKUP($U$324,'TAR FIN'!$A$1:$O$86,15,0)),0,VLOOKUP($U$324,'TAR FIN'!$A$1:$O$86,15,0))*(1-0.06)</f>
        <v>337.77019999999999</v>
      </c>
      <c r="Y324" s="128"/>
      <c r="Z324" s="128">
        <f ca="1">('TUSD BE'!$AM$11+'TUSD BF_350'!$AM$11+'TUSD CVA'!$AM$11)*1*(1-0.03)</f>
        <v>884.48479999999995</v>
      </c>
      <c r="AA324" s="128">
        <f ca="1">('TE BE'!$AB$5+'TE BF_350'!$AB$5+'TE CVA'!$AB$5)*1*(1-0.03)</f>
        <v>351.85392208080407</v>
      </c>
      <c r="AB324" s="6">
        <f>$K$324*$V$324</f>
        <v>0</v>
      </c>
      <c r="AC324" s="6">
        <f>$M$324*$W$324</f>
        <v>25702.400231800002</v>
      </c>
      <c r="AD324" s="6">
        <f>$O$324*$X$324</f>
        <v>6080.2013702000004</v>
      </c>
      <c r="AE324" s="6">
        <f>$K$324*$Y$324</f>
        <v>0</v>
      </c>
      <c r="AF324" s="6">
        <f ca="1">$M$324*$Z$324</f>
        <v>15921.6108848</v>
      </c>
      <c r="AG324" s="6">
        <f ca="1">$O$324*$AA$324</f>
        <v>6333.7224513765541</v>
      </c>
    </row>
    <row r="325" spans="1:33" ht="11.25" customHeight="1" x14ac:dyDescent="0.25">
      <c r="A325" s="4" t="s">
        <v>55</v>
      </c>
      <c r="B325" s="4" t="s">
        <v>35</v>
      </c>
      <c r="C325" s="4" t="s">
        <v>39</v>
      </c>
      <c r="D325" s="4" t="s">
        <v>47</v>
      </c>
      <c r="E325" s="4" t="s">
        <v>48</v>
      </c>
      <c r="F325" s="4" t="s">
        <v>25</v>
      </c>
      <c r="G325" s="4" t="s">
        <v>25</v>
      </c>
      <c r="H325" s="4" t="s">
        <v>37</v>
      </c>
      <c r="I325" s="5">
        <v>44743</v>
      </c>
      <c r="J325" s="6">
        <v>0</v>
      </c>
      <c r="K325" s="128">
        <v>0</v>
      </c>
      <c r="L325" s="6">
        <v>18.001000000000001</v>
      </c>
      <c r="M325" s="128">
        <v>18.001000000000001</v>
      </c>
      <c r="N325" s="6">
        <v>18.001000000000001</v>
      </c>
      <c r="O325" s="128">
        <v>18.001000000000001</v>
      </c>
      <c r="P325" s="6">
        <v>0</v>
      </c>
      <c r="Q325" s="4" t="s">
        <v>26</v>
      </c>
      <c r="R325" s="4">
        <v>0</v>
      </c>
      <c r="S325" s="6">
        <v>0</v>
      </c>
      <c r="T325" s="6">
        <v>5</v>
      </c>
      <c r="U325" s="6">
        <v>69</v>
      </c>
      <c r="V325" s="128">
        <f>IF(ISERROR(VLOOKUP($S$325,'TAR FIN'!$A$1:$O$86,15,0)),0,VLOOKUP($S$325,'TAR FIN'!$A$1:$O$86,15,0))</f>
        <v>0</v>
      </c>
      <c r="W325" s="128">
        <f>IF(ISERROR(VLOOKUP($T$325,'TAR FIN'!$A$1:$O$86,15,0)),0,VLOOKUP($T$325,'TAR FIN'!$A$1:$O$86,15,0))*(1-0.06)</f>
        <v>1427.8317999999999</v>
      </c>
      <c r="X325" s="128">
        <f>IF(ISERROR(VLOOKUP($U$325,'TAR FIN'!$A$1:$O$86,15,0)),0,VLOOKUP($U$325,'TAR FIN'!$A$1:$O$86,15,0))*(1-0.06)</f>
        <v>337.77019999999999</v>
      </c>
      <c r="Y325" s="128"/>
      <c r="Z325" s="128">
        <f ca="1">('TUSD BE'!$AM$11+'TUSD BF_350'!$AM$11+'TUSD CVA'!$AM$11)*1*(1-0.03)</f>
        <v>884.48479999999995</v>
      </c>
      <c r="AA325" s="128">
        <f ca="1">('TE BE'!$AB$5+'TE BF_350'!$AB$5+'TE CVA'!$AB$5)*1*(1-0.03)</f>
        <v>351.85392208080407</v>
      </c>
      <c r="AB325" s="6">
        <f>$K$325*$V$325</f>
        <v>0</v>
      </c>
      <c r="AC325" s="6">
        <f>$M$325*$W$325</f>
        <v>25702.400231800002</v>
      </c>
      <c r="AD325" s="6">
        <f>$O$325*$X$325</f>
        <v>6080.2013702000004</v>
      </c>
      <c r="AE325" s="6">
        <f>$K$325*$Y$325</f>
        <v>0</v>
      </c>
      <c r="AF325" s="6">
        <f ca="1">$M$325*$Z$325</f>
        <v>15921.6108848</v>
      </c>
      <c r="AG325" s="6">
        <f ca="1">$O$325*$AA$325</f>
        <v>6333.7224513765541</v>
      </c>
    </row>
    <row r="326" spans="1:33" ht="11.25" customHeight="1" x14ac:dyDescent="0.25">
      <c r="A326" s="4" t="s">
        <v>21</v>
      </c>
      <c r="B326" s="4" t="s">
        <v>22</v>
      </c>
      <c r="C326" s="4" t="s">
        <v>23</v>
      </c>
      <c r="D326" s="4" t="s">
        <v>24</v>
      </c>
      <c r="E326" s="4" t="s">
        <v>24</v>
      </c>
      <c r="F326" s="4" t="s">
        <v>25</v>
      </c>
      <c r="G326" s="4" t="s">
        <v>25</v>
      </c>
      <c r="H326" s="4" t="s">
        <v>25</v>
      </c>
      <c r="I326" s="5">
        <v>44409</v>
      </c>
      <c r="J326" s="6">
        <v>0</v>
      </c>
      <c r="K326" s="6">
        <v>0</v>
      </c>
      <c r="L326" s="6">
        <v>4928.0069999999996</v>
      </c>
      <c r="M326" s="6">
        <v>4928.0069999999996</v>
      </c>
      <c r="N326" s="6">
        <v>4928.0069999999996</v>
      </c>
      <c r="O326" s="6">
        <v>4928.0069999999996</v>
      </c>
      <c r="P326" s="6">
        <v>33874</v>
      </c>
      <c r="Q326" s="4" t="s">
        <v>26</v>
      </c>
      <c r="R326" s="4">
        <v>0</v>
      </c>
      <c r="S326" s="6">
        <v>0</v>
      </c>
      <c r="T326" s="6">
        <v>2</v>
      </c>
      <c r="U326" s="6">
        <v>41</v>
      </c>
      <c r="V326" s="6">
        <f>IF(ISERROR(VLOOKUP($S$326,'TAR FIN'!$A$1:$O$86,15,0)),0,VLOOKUP($S$326,'TAR FIN'!$A$1:$O$86,15,0))</f>
        <v>0</v>
      </c>
      <c r="W326" s="6">
        <f>IF(ISERROR(VLOOKUP($T$326,'TAR FIN'!$A$1:$O$86,15,0)),0,VLOOKUP($T$326,'TAR FIN'!$A$1:$O$86,15,0))</f>
        <v>338.51</v>
      </c>
      <c r="X326" s="6">
        <f>IF(ISERROR(VLOOKUP($U$326,'TAR FIN'!$A$1:$O$86,15,0)),0,VLOOKUP($U$326,'TAR FIN'!$A$1:$O$86,15,0))</f>
        <v>224.01</v>
      </c>
      <c r="Y326" s="6"/>
      <c r="Z326" s="6">
        <f ca="1">('TUSD BE'!$AM$20+'TUSD BF_350'!$AM$20+'TUSD CVA'!$AM$20)*1</f>
        <v>310.49</v>
      </c>
      <c r="AA326" s="6">
        <f ca="1">('TE BE'!$AB$11+'TE BF_350'!$AB$11+'TE CVA'!$AB$11)*1</f>
        <v>262.52999999999997</v>
      </c>
      <c r="AB326" s="6">
        <f>$K$326*$V$326</f>
        <v>0</v>
      </c>
      <c r="AC326" s="6">
        <f>$M$326*$W$326</f>
        <v>1668179.6495699999</v>
      </c>
      <c r="AD326" s="6">
        <f>$O$326*$X$326</f>
        <v>1103922.8480699998</v>
      </c>
      <c r="AE326" s="6">
        <f>$K$326*$Y$326</f>
        <v>0</v>
      </c>
      <c r="AF326" s="6">
        <f ca="1">$M$326*$Z$326</f>
        <v>1530096.8934299999</v>
      </c>
      <c r="AG326" s="6">
        <f ca="1">$O$326*$AA$326</f>
        <v>1293749.6777099997</v>
      </c>
    </row>
    <row r="327" spans="1:33" ht="11.25" customHeight="1" x14ac:dyDescent="0.25">
      <c r="A327" s="4" t="s">
        <v>27</v>
      </c>
      <c r="B327" s="4" t="s">
        <v>22</v>
      </c>
      <c r="C327" s="4" t="s">
        <v>23</v>
      </c>
      <c r="D327" s="4" t="s">
        <v>24</v>
      </c>
      <c r="E327" s="4" t="s">
        <v>24</v>
      </c>
      <c r="F327" s="4" t="s">
        <v>25</v>
      </c>
      <c r="G327" s="4" t="s">
        <v>25</v>
      </c>
      <c r="H327" s="4" t="s">
        <v>25</v>
      </c>
      <c r="I327" s="5">
        <v>44409</v>
      </c>
      <c r="J327" s="6">
        <v>0</v>
      </c>
      <c r="K327" s="6">
        <v>0</v>
      </c>
      <c r="L327" s="6">
        <v>-7.3739999999999997</v>
      </c>
      <c r="M327" s="6">
        <v>-7.3739999999999997</v>
      </c>
      <c r="N327" s="6">
        <v>-7.3739999999999997</v>
      </c>
      <c r="O327" s="6">
        <v>-7.3739999999999997</v>
      </c>
      <c r="P327" s="6">
        <v>0</v>
      </c>
      <c r="Q327" s="4" t="s">
        <v>26</v>
      </c>
      <c r="R327" s="4">
        <v>0</v>
      </c>
      <c r="S327" s="6">
        <v>0</v>
      </c>
      <c r="T327" s="6">
        <v>2</v>
      </c>
      <c r="U327" s="6">
        <v>41</v>
      </c>
      <c r="V327" s="6">
        <f>IF(ISERROR(VLOOKUP($S$327,'TAR FIN'!$A$1:$O$86,15,0)),0,VLOOKUP($S$327,'TAR FIN'!$A$1:$O$86,15,0))</f>
        <v>0</v>
      </c>
      <c r="W327" s="6">
        <f>IF(ISERROR(VLOOKUP($T$327,'TAR FIN'!$A$1:$O$86,15,0)),0,VLOOKUP($T$327,'TAR FIN'!$A$1:$O$86,15,0))</f>
        <v>338.51</v>
      </c>
      <c r="X327" s="6">
        <f>IF(ISERROR(VLOOKUP($U$327,'TAR FIN'!$A$1:$O$86,15,0)),0,VLOOKUP($U$327,'TAR FIN'!$A$1:$O$86,15,0))</f>
        <v>224.01</v>
      </c>
      <c r="Y327" s="6"/>
      <c r="Z327" s="6">
        <f ca="1">('TUSD BE'!$AM$20+'TUSD BF_350'!$AM$20+'TUSD CVA'!$AM$20)*1</f>
        <v>310.49</v>
      </c>
      <c r="AA327" s="6">
        <f ca="1">('TE BE'!$AB$11+'TE BF_350'!$AB$11+'TE CVA'!$AB$11)*1</f>
        <v>262.52999999999997</v>
      </c>
      <c r="AB327" s="6">
        <f>$K$327*$V$327</f>
        <v>0</v>
      </c>
      <c r="AC327" s="6">
        <f>$M$327*$W$327</f>
        <v>-2496.17274</v>
      </c>
      <c r="AD327" s="6">
        <f>$O$327*$X$327</f>
        <v>-1651.8497399999999</v>
      </c>
      <c r="AE327" s="6">
        <f>$K$327*$Y$327</f>
        <v>0</v>
      </c>
      <c r="AF327" s="6">
        <f ca="1">$M$327*$Z$327</f>
        <v>-2289.5532600000001</v>
      </c>
      <c r="AG327" s="6">
        <f ca="1">$O$327*$AA$327</f>
        <v>-1935.8962199999996</v>
      </c>
    </row>
    <row r="328" spans="1:33" ht="11.25" customHeight="1" x14ac:dyDescent="0.25">
      <c r="A328" s="4" t="s">
        <v>28</v>
      </c>
      <c r="B328" s="4" t="s">
        <v>22</v>
      </c>
      <c r="C328" s="4" t="s">
        <v>23</v>
      </c>
      <c r="D328" s="4" t="s">
        <v>24</v>
      </c>
      <c r="E328" s="4" t="s">
        <v>24</v>
      </c>
      <c r="F328" s="4" t="s">
        <v>25</v>
      </c>
      <c r="G328" s="4" t="s">
        <v>25</v>
      </c>
      <c r="H328" s="4" t="s">
        <v>25</v>
      </c>
      <c r="I328" s="5">
        <v>44409</v>
      </c>
      <c r="J328" s="6">
        <v>0</v>
      </c>
      <c r="K328" s="6">
        <v>0</v>
      </c>
      <c r="L328" s="6">
        <v>15.32</v>
      </c>
      <c r="M328" s="6">
        <v>15.32</v>
      </c>
      <c r="N328" s="6">
        <v>15.32</v>
      </c>
      <c r="O328" s="6">
        <v>15.32</v>
      </c>
      <c r="P328" s="6">
        <v>70</v>
      </c>
      <c r="Q328" s="4" t="s">
        <v>26</v>
      </c>
      <c r="R328" s="4">
        <v>0</v>
      </c>
      <c r="S328" s="6">
        <v>0</v>
      </c>
      <c r="T328" s="6">
        <v>2</v>
      </c>
      <c r="U328" s="6">
        <v>41</v>
      </c>
      <c r="V328" s="6">
        <f>IF(ISERROR(VLOOKUP($S$328,'TAR FIN'!$A$1:$O$86,15,0)),0,VLOOKUP($S$328,'TAR FIN'!$A$1:$O$86,15,0))</f>
        <v>0</v>
      </c>
      <c r="W328" s="6">
        <f>IF(ISERROR(VLOOKUP($T$328,'TAR FIN'!$A$1:$O$86,15,0)),0,VLOOKUP($T$328,'TAR FIN'!$A$1:$O$86,15,0))</f>
        <v>338.51</v>
      </c>
      <c r="X328" s="6">
        <f>IF(ISERROR(VLOOKUP($U$328,'TAR FIN'!$A$1:$O$86,15,0)),0,VLOOKUP($U$328,'TAR FIN'!$A$1:$O$86,15,0))</f>
        <v>224.01</v>
      </c>
      <c r="Y328" s="6"/>
      <c r="Z328" s="6">
        <f ca="1">('TUSD BE'!$AM$20+'TUSD BF_350'!$AM$20+'TUSD CVA'!$AM$20)*1</f>
        <v>310.49</v>
      </c>
      <c r="AA328" s="6">
        <f ca="1">('TE BE'!$AB$11+'TE BF_350'!$AB$11+'TE CVA'!$AB$11)*1</f>
        <v>262.52999999999997</v>
      </c>
      <c r="AB328" s="6">
        <f>$K$328*$V$328</f>
        <v>0</v>
      </c>
      <c r="AC328" s="6">
        <f>$M$328*$W$328</f>
        <v>5185.9732000000004</v>
      </c>
      <c r="AD328" s="6">
        <f>$O$328*$X$328</f>
        <v>3431.8332</v>
      </c>
      <c r="AE328" s="6">
        <f>$K$328*$Y$328</f>
        <v>0</v>
      </c>
      <c r="AF328" s="6">
        <f ca="1">$M$328*$Z$328</f>
        <v>4756.7067999999999</v>
      </c>
      <c r="AG328" s="6">
        <f ca="1">$O$328*$AA$328</f>
        <v>4021.9595999999997</v>
      </c>
    </row>
    <row r="329" spans="1:33" ht="11.25" customHeight="1" x14ac:dyDescent="0.25">
      <c r="A329" s="4" t="s">
        <v>21</v>
      </c>
      <c r="B329" s="4" t="s">
        <v>22</v>
      </c>
      <c r="C329" s="4" t="s">
        <v>23</v>
      </c>
      <c r="D329" s="4" t="s">
        <v>24</v>
      </c>
      <c r="E329" s="4" t="s">
        <v>24</v>
      </c>
      <c r="F329" s="4" t="s">
        <v>25</v>
      </c>
      <c r="G329" s="4" t="s">
        <v>25</v>
      </c>
      <c r="H329" s="4" t="s">
        <v>25</v>
      </c>
      <c r="I329" s="5">
        <v>44440</v>
      </c>
      <c r="J329" s="6">
        <v>0</v>
      </c>
      <c r="K329" s="6">
        <v>0</v>
      </c>
      <c r="L329" s="6">
        <v>5208.9440000000004</v>
      </c>
      <c r="M329" s="6">
        <v>5208.9440000000004</v>
      </c>
      <c r="N329" s="6">
        <v>5208.9440000000004</v>
      </c>
      <c r="O329" s="6">
        <v>5208.9440000000004</v>
      </c>
      <c r="P329" s="6">
        <v>33927</v>
      </c>
      <c r="Q329" s="4" t="s">
        <v>26</v>
      </c>
      <c r="R329" s="4">
        <v>0</v>
      </c>
      <c r="S329" s="6">
        <v>0</v>
      </c>
      <c r="T329" s="6">
        <v>2</v>
      </c>
      <c r="U329" s="6">
        <v>41</v>
      </c>
      <c r="V329" s="6">
        <f>IF(ISERROR(VLOOKUP($S$329,'TAR FIN'!$A$1:$O$86,15,0)),0,VLOOKUP($S$329,'TAR FIN'!$A$1:$O$86,15,0))</f>
        <v>0</v>
      </c>
      <c r="W329" s="6">
        <f>IF(ISERROR(VLOOKUP($T$329,'TAR FIN'!$A$1:$O$86,15,0)),0,VLOOKUP($T$329,'TAR FIN'!$A$1:$O$86,15,0))</f>
        <v>338.51</v>
      </c>
      <c r="X329" s="6">
        <f>IF(ISERROR(VLOOKUP($U$329,'TAR FIN'!$A$1:$O$86,15,0)),0,VLOOKUP($U$329,'TAR FIN'!$A$1:$O$86,15,0))</f>
        <v>224.01</v>
      </c>
      <c r="Y329" s="6"/>
      <c r="Z329" s="6">
        <f ca="1">('TUSD BE'!$AM$20+'TUSD BF_350'!$AM$20+'TUSD CVA'!$AM$20)*1</f>
        <v>310.49</v>
      </c>
      <c r="AA329" s="6">
        <f ca="1">('TE BE'!$AB$11+'TE BF_350'!$AB$11+'TE CVA'!$AB$11)*1</f>
        <v>262.52999999999997</v>
      </c>
      <c r="AB329" s="6">
        <f>$K$329*$V$329</f>
        <v>0</v>
      </c>
      <c r="AC329" s="6">
        <f>$M$329*$W$329</f>
        <v>1763279.63344</v>
      </c>
      <c r="AD329" s="6">
        <f>$O$329*$X$329</f>
        <v>1166855.54544</v>
      </c>
      <c r="AE329" s="6">
        <f>$K$329*$Y$329</f>
        <v>0</v>
      </c>
      <c r="AF329" s="6">
        <f ca="1">$M$329*$Z$329</f>
        <v>1617325.0225600002</v>
      </c>
      <c r="AG329" s="6">
        <f ca="1">$O$329*$AA$329</f>
        <v>1367504.0683200001</v>
      </c>
    </row>
    <row r="330" spans="1:33" ht="11.25" customHeight="1" x14ac:dyDescent="0.25">
      <c r="A330" s="4" t="s">
        <v>27</v>
      </c>
      <c r="B330" s="4" t="s">
        <v>22</v>
      </c>
      <c r="C330" s="4" t="s">
        <v>23</v>
      </c>
      <c r="D330" s="4" t="s">
        <v>24</v>
      </c>
      <c r="E330" s="4" t="s">
        <v>24</v>
      </c>
      <c r="F330" s="4" t="s">
        <v>25</v>
      </c>
      <c r="G330" s="4" t="s">
        <v>25</v>
      </c>
      <c r="H330" s="4" t="s">
        <v>25</v>
      </c>
      <c r="I330" s="5">
        <v>44440</v>
      </c>
      <c r="J330" s="6">
        <v>0</v>
      </c>
      <c r="K330" s="6">
        <v>0</v>
      </c>
      <c r="L330" s="6">
        <v>-5.6660000000000004</v>
      </c>
      <c r="M330" s="6">
        <v>-5.6660000000000004</v>
      </c>
      <c r="N330" s="6">
        <v>-5.6660000000000004</v>
      </c>
      <c r="O330" s="6">
        <v>-5.6660000000000004</v>
      </c>
      <c r="P330" s="6">
        <v>0</v>
      </c>
      <c r="Q330" s="4" t="s">
        <v>26</v>
      </c>
      <c r="R330" s="4">
        <v>0</v>
      </c>
      <c r="S330" s="6">
        <v>0</v>
      </c>
      <c r="T330" s="6">
        <v>2</v>
      </c>
      <c r="U330" s="6">
        <v>41</v>
      </c>
      <c r="V330" s="6">
        <f>IF(ISERROR(VLOOKUP($S$330,'TAR FIN'!$A$1:$O$86,15,0)),0,VLOOKUP($S$330,'TAR FIN'!$A$1:$O$86,15,0))</f>
        <v>0</v>
      </c>
      <c r="W330" s="6">
        <f>IF(ISERROR(VLOOKUP($T$330,'TAR FIN'!$A$1:$O$86,15,0)),0,VLOOKUP($T$330,'TAR FIN'!$A$1:$O$86,15,0))</f>
        <v>338.51</v>
      </c>
      <c r="X330" s="6">
        <f>IF(ISERROR(VLOOKUP($U$330,'TAR FIN'!$A$1:$O$86,15,0)),0,VLOOKUP($U$330,'TAR FIN'!$A$1:$O$86,15,0))</f>
        <v>224.01</v>
      </c>
      <c r="Y330" s="6"/>
      <c r="Z330" s="6">
        <f ca="1">('TUSD BE'!$AM$20+'TUSD BF_350'!$AM$20+'TUSD CVA'!$AM$20)*1</f>
        <v>310.49</v>
      </c>
      <c r="AA330" s="6">
        <f ca="1">('TE BE'!$AB$11+'TE BF_350'!$AB$11+'TE CVA'!$AB$11)*1</f>
        <v>262.52999999999997</v>
      </c>
      <c r="AB330" s="6">
        <f>$K$330*$V$330</f>
        <v>0</v>
      </c>
      <c r="AC330" s="6">
        <f>$M$330*$W$330</f>
        <v>-1917.99766</v>
      </c>
      <c r="AD330" s="6">
        <f>$O$330*$X$330</f>
        <v>-1269.2406599999999</v>
      </c>
      <c r="AE330" s="6">
        <f>$K$330*$Y$330</f>
        <v>0</v>
      </c>
      <c r="AF330" s="6">
        <f ca="1">$M$330*$Z$330</f>
        <v>-1759.2363400000002</v>
      </c>
      <c r="AG330" s="6">
        <f ca="1">$O$330*$AA$330</f>
        <v>-1487.4949799999999</v>
      </c>
    </row>
    <row r="331" spans="1:33" ht="11.25" customHeight="1" x14ac:dyDescent="0.25">
      <c r="A331" s="4" t="s">
        <v>28</v>
      </c>
      <c r="B331" s="4" t="s">
        <v>22</v>
      </c>
      <c r="C331" s="4" t="s">
        <v>23</v>
      </c>
      <c r="D331" s="4" t="s">
        <v>24</v>
      </c>
      <c r="E331" s="4" t="s">
        <v>24</v>
      </c>
      <c r="F331" s="4" t="s">
        <v>25</v>
      </c>
      <c r="G331" s="4" t="s">
        <v>25</v>
      </c>
      <c r="H331" s="4" t="s">
        <v>25</v>
      </c>
      <c r="I331" s="5">
        <v>44440</v>
      </c>
      <c r="J331" s="6">
        <v>0</v>
      </c>
      <c r="K331" s="6">
        <v>0</v>
      </c>
      <c r="L331" s="6">
        <v>17.734000000000002</v>
      </c>
      <c r="M331" s="6">
        <v>17.734000000000002</v>
      </c>
      <c r="N331" s="6">
        <v>17.734000000000002</v>
      </c>
      <c r="O331" s="6">
        <v>17.734000000000002</v>
      </c>
      <c r="P331" s="6">
        <v>76</v>
      </c>
      <c r="Q331" s="4" t="s">
        <v>26</v>
      </c>
      <c r="R331" s="4">
        <v>0</v>
      </c>
      <c r="S331" s="6">
        <v>0</v>
      </c>
      <c r="T331" s="6">
        <v>2</v>
      </c>
      <c r="U331" s="6">
        <v>41</v>
      </c>
      <c r="V331" s="6">
        <f>IF(ISERROR(VLOOKUP($S$331,'TAR FIN'!$A$1:$O$86,15,0)),0,VLOOKUP($S$331,'TAR FIN'!$A$1:$O$86,15,0))</f>
        <v>0</v>
      </c>
      <c r="W331" s="6">
        <f>IF(ISERROR(VLOOKUP($T$331,'TAR FIN'!$A$1:$O$86,15,0)),0,VLOOKUP($T$331,'TAR FIN'!$A$1:$O$86,15,0))</f>
        <v>338.51</v>
      </c>
      <c r="X331" s="6">
        <f>IF(ISERROR(VLOOKUP($U$331,'TAR FIN'!$A$1:$O$86,15,0)),0,VLOOKUP($U$331,'TAR FIN'!$A$1:$O$86,15,0))</f>
        <v>224.01</v>
      </c>
      <c r="Y331" s="6"/>
      <c r="Z331" s="6">
        <f ca="1">('TUSD BE'!$AM$20+'TUSD BF_350'!$AM$20+'TUSD CVA'!$AM$20)*1</f>
        <v>310.49</v>
      </c>
      <c r="AA331" s="6">
        <f ca="1">('TE BE'!$AB$11+'TE BF_350'!$AB$11+'TE CVA'!$AB$11)*1</f>
        <v>262.52999999999997</v>
      </c>
      <c r="AB331" s="6">
        <f>$K$331*$V$331</f>
        <v>0</v>
      </c>
      <c r="AC331" s="6">
        <f>$M$331*$W$331</f>
        <v>6003.13634</v>
      </c>
      <c r="AD331" s="6">
        <f>$O$331*$X$331</f>
        <v>3972.5933400000004</v>
      </c>
      <c r="AE331" s="6">
        <f>$K$331*$Y$331</f>
        <v>0</v>
      </c>
      <c r="AF331" s="6">
        <f ca="1">$M$331*$Z$331</f>
        <v>5506.2296600000009</v>
      </c>
      <c r="AG331" s="6">
        <f ca="1">$O$331*$AA$331</f>
        <v>4655.7070199999998</v>
      </c>
    </row>
    <row r="332" spans="1:33" ht="11.25" customHeight="1" x14ac:dyDescent="0.25">
      <c r="A332" s="4" t="s">
        <v>21</v>
      </c>
      <c r="B332" s="4" t="s">
        <v>22</v>
      </c>
      <c r="C332" s="4" t="s">
        <v>23</v>
      </c>
      <c r="D332" s="4" t="s">
        <v>24</v>
      </c>
      <c r="E332" s="4" t="s">
        <v>24</v>
      </c>
      <c r="F332" s="4" t="s">
        <v>25</v>
      </c>
      <c r="G332" s="4" t="s">
        <v>25</v>
      </c>
      <c r="H332" s="4" t="s">
        <v>25</v>
      </c>
      <c r="I332" s="5">
        <v>44470</v>
      </c>
      <c r="J332" s="6">
        <v>0</v>
      </c>
      <c r="K332" s="6">
        <v>0</v>
      </c>
      <c r="L332" s="6">
        <v>4926.8670000000002</v>
      </c>
      <c r="M332" s="6">
        <v>4926.8670000000002</v>
      </c>
      <c r="N332" s="6">
        <v>4926.8670000000002</v>
      </c>
      <c r="O332" s="6">
        <v>4926.8670000000002</v>
      </c>
      <c r="P332" s="6">
        <v>33992</v>
      </c>
      <c r="Q332" s="4" t="s">
        <v>26</v>
      </c>
      <c r="R332" s="4">
        <v>0</v>
      </c>
      <c r="S332" s="6">
        <v>0</v>
      </c>
      <c r="T332" s="6">
        <v>2</v>
      </c>
      <c r="U332" s="6">
        <v>41</v>
      </c>
      <c r="V332" s="6">
        <f>IF(ISERROR(VLOOKUP($S$332,'TAR FIN'!$A$1:$O$86,15,0)),0,VLOOKUP($S$332,'TAR FIN'!$A$1:$O$86,15,0))</f>
        <v>0</v>
      </c>
      <c r="W332" s="6">
        <f>IF(ISERROR(VLOOKUP($T$332,'TAR FIN'!$A$1:$O$86,15,0)),0,VLOOKUP($T$332,'TAR FIN'!$A$1:$O$86,15,0))</f>
        <v>338.51</v>
      </c>
      <c r="X332" s="6">
        <f>IF(ISERROR(VLOOKUP($U$332,'TAR FIN'!$A$1:$O$86,15,0)),0,VLOOKUP($U$332,'TAR FIN'!$A$1:$O$86,15,0))</f>
        <v>224.01</v>
      </c>
      <c r="Y332" s="6"/>
      <c r="Z332" s="6">
        <f ca="1">('TUSD BE'!$AM$20+'TUSD BF_350'!$AM$20+'TUSD CVA'!$AM$20)*1</f>
        <v>310.49</v>
      </c>
      <c r="AA332" s="6">
        <f ca="1">('TE BE'!$AB$11+'TE BF_350'!$AB$11+'TE CVA'!$AB$11)*1</f>
        <v>262.52999999999997</v>
      </c>
      <c r="AB332" s="6">
        <f>$K$332*$V$332</f>
        <v>0</v>
      </c>
      <c r="AC332" s="6">
        <f>$M$332*$W$332</f>
        <v>1667793.74817</v>
      </c>
      <c r="AD332" s="6">
        <f>$O$332*$X$332</f>
        <v>1103667.47667</v>
      </c>
      <c r="AE332" s="6">
        <f>$K$332*$Y$332</f>
        <v>0</v>
      </c>
      <c r="AF332" s="6">
        <f ca="1">$M$332*$Z$332</f>
        <v>1529742.9348300002</v>
      </c>
      <c r="AG332" s="6">
        <f ca="1">$O$332*$AA$332</f>
        <v>1293450.3935099998</v>
      </c>
    </row>
    <row r="333" spans="1:33" ht="11.25" customHeight="1" x14ac:dyDescent="0.25">
      <c r="A333" s="4" t="s">
        <v>27</v>
      </c>
      <c r="B333" s="4" t="s">
        <v>22</v>
      </c>
      <c r="C333" s="4" t="s">
        <v>23</v>
      </c>
      <c r="D333" s="4" t="s">
        <v>24</v>
      </c>
      <c r="E333" s="4" t="s">
        <v>24</v>
      </c>
      <c r="F333" s="4" t="s">
        <v>25</v>
      </c>
      <c r="G333" s="4" t="s">
        <v>25</v>
      </c>
      <c r="H333" s="4" t="s">
        <v>25</v>
      </c>
      <c r="I333" s="5">
        <v>44470</v>
      </c>
      <c r="J333" s="6">
        <v>0</v>
      </c>
      <c r="K333" s="6">
        <v>0</v>
      </c>
      <c r="L333" s="6">
        <v>-4.68</v>
      </c>
      <c r="M333" s="6">
        <v>-4.68</v>
      </c>
      <c r="N333" s="6">
        <v>-4.68</v>
      </c>
      <c r="O333" s="6">
        <v>-4.68</v>
      </c>
      <c r="P333" s="6">
        <v>0</v>
      </c>
      <c r="Q333" s="4" t="s">
        <v>26</v>
      </c>
      <c r="R333" s="4">
        <v>0</v>
      </c>
      <c r="S333" s="6">
        <v>0</v>
      </c>
      <c r="T333" s="6">
        <v>2</v>
      </c>
      <c r="U333" s="6">
        <v>41</v>
      </c>
      <c r="V333" s="6">
        <f>IF(ISERROR(VLOOKUP($S$333,'TAR FIN'!$A$1:$O$86,15,0)),0,VLOOKUP($S$333,'TAR FIN'!$A$1:$O$86,15,0))</f>
        <v>0</v>
      </c>
      <c r="W333" s="6">
        <f>IF(ISERROR(VLOOKUP($T$333,'TAR FIN'!$A$1:$O$86,15,0)),0,VLOOKUP($T$333,'TAR FIN'!$A$1:$O$86,15,0))</f>
        <v>338.51</v>
      </c>
      <c r="X333" s="6">
        <f>IF(ISERROR(VLOOKUP($U$333,'TAR FIN'!$A$1:$O$86,15,0)),0,VLOOKUP($U$333,'TAR FIN'!$A$1:$O$86,15,0))</f>
        <v>224.01</v>
      </c>
      <c r="Y333" s="6"/>
      <c r="Z333" s="6">
        <f ca="1">('TUSD BE'!$AM$20+'TUSD BF_350'!$AM$20+'TUSD CVA'!$AM$20)*1</f>
        <v>310.49</v>
      </c>
      <c r="AA333" s="6">
        <f ca="1">('TE BE'!$AB$11+'TE BF_350'!$AB$11+'TE CVA'!$AB$11)*1</f>
        <v>262.52999999999997</v>
      </c>
      <c r="AB333" s="6">
        <f>$K$333*$V$333</f>
        <v>0</v>
      </c>
      <c r="AC333" s="6">
        <f>$M$333*$W$333</f>
        <v>-1584.2267999999999</v>
      </c>
      <c r="AD333" s="6">
        <f>$O$333*$X$333</f>
        <v>-1048.3667999999998</v>
      </c>
      <c r="AE333" s="6">
        <f>$K$333*$Y$333</f>
        <v>0</v>
      </c>
      <c r="AF333" s="6">
        <f ca="1">$M$333*$Z$333</f>
        <v>-1453.0932</v>
      </c>
      <c r="AG333" s="6">
        <f ca="1">$O$333*$AA$333</f>
        <v>-1228.6403999999998</v>
      </c>
    </row>
    <row r="334" spans="1:33" ht="11.25" customHeight="1" x14ac:dyDescent="0.25">
      <c r="A334" s="4" t="s">
        <v>28</v>
      </c>
      <c r="B334" s="4" t="s">
        <v>22</v>
      </c>
      <c r="C334" s="4" t="s">
        <v>23</v>
      </c>
      <c r="D334" s="4" t="s">
        <v>24</v>
      </c>
      <c r="E334" s="4" t="s">
        <v>24</v>
      </c>
      <c r="F334" s="4" t="s">
        <v>25</v>
      </c>
      <c r="G334" s="4" t="s">
        <v>25</v>
      </c>
      <c r="H334" s="4" t="s">
        <v>25</v>
      </c>
      <c r="I334" s="5">
        <v>44470</v>
      </c>
      <c r="J334" s="6">
        <v>0</v>
      </c>
      <c r="K334" s="6">
        <v>0</v>
      </c>
      <c r="L334" s="6">
        <v>14.765000000000001</v>
      </c>
      <c r="M334" s="6">
        <v>14.765000000000001</v>
      </c>
      <c r="N334" s="6">
        <v>14.765000000000001</v>
      </c>
      <c r="O334" s="6">
        <v>14.765000000000001</v>
      </c>
      <c r="P334" s="6">
        <v>77</v>
      </c>
      <c r="Q334" s="4" t="s">
        <v>26</v>
      </c>
      <c r="R334" s="4">
        <v>0</v>
      </c>
      <c r="S334" s="6">
        <v>0</v>
      </c>
      <c r="T334" s="6">
        <v>2</v>
      </c>
      <c r="U334" s="6">
        <v>41</v>
      </c>
      <c r="V334" s="6">
        <f>IF(ISERROR(VLOOKUP($S$334,'TAR FIN'!$A$1:$O$86,15,0)),0,VLOOKUP($S$334,'TAR FIN'!$A$1:$O$86,15,0))</f>
        <v>0</v>
      </c>
      <c r="W334" s="6">
        <f>IF(ISERROR(VLOOKUP($T$334,'TAR FIN'!$A$1:$O$86,15,0)),0,VLOOKUP($T$334,'TAR FIN'!$A$1:$O$86,15,0))</f>
        <v>338.51</v>
      </c>
      <c r="X334" s="6">
        <f>IF(ISERROR(VLOOKUP($U$334,'TAR FIN'!$A$1:$O$86,15,0)),0,VLOOKUP($U$334,'TAR FIN'!$A$1:$O$86,15,0))</f>
        <v>224.01</v>
      </c>
      <c r="Y334" s="6"/>
      <c r="Z334" s="6">
        <f ca="1">('TUSD BE'!$AM$20+'TUSD BF_350'!$AM$20+'TUSD CVA'!$AM$20)*1</f>
        <v>310.49</v>
      </c>
      <c r="AA334" s="6">
        <f ca="1">('TE BE'!$AB$11+'TE BF_350'!$AB$11+'TE CVA'!$AB$11)*1</f>
        <v>262.52999999999997</v>
      </c>
      <c r="AB334" s="6">
        <f>$K$334*$V$334</f>
        <v>0</v>
      </c>
      <c r="AC334" s="6">
        <f>$M$334*$W$334</f>
        <v>4998.1001500000002</v>
      </c>
      <c r="AD334" s="6">
        <f>$O$334*$X$334</f>
        <v>3307.50765</v>
      </c>
      <c r="AE334" s="6">
        <f>$K$334*$Y$334</f>
        <v>0</v>
      </c>
      <c r="AF334" s="6">
        <f ca="1">$M$334*$Z$334</f>
        <v>4584.3848500000004</v>
      </c>
      <c r="AG334" s="6">
        <f ca="1">$O$334*$AA$334</f>
        <v>3876.2554499999997</v>
      </c>
    </row>
    <row r="335" spans="1:33" ht="11.25" customHeight="1" x14ac:dyDescent="0.25">
      <c r="A335" s="4" t="s">
        <v>21</v>
      </c>
      <c r="B335" s="4" t="s">
        <v>22</v>
      </c>
      <c r="C335" s="4" t="s">
        <v>23</v>
      </c>
      <c r="D335" s="4" t="s">
        <v>24</v>
      </c>
      <c r="E335" s="4" t="s">
        <v>24</v>
      </c>
      <c r="F335" s="4" t="s">
        <v>25</v>
      </c>
      <c r="G335" s="4" t="s">
        <v>25</v>
      </c>
      <c r="H335" s="4" t="s">
        <v>25</v>
      </c>
      <c r="I335" s="5">
        <v>44501</v>
      </c>
      <c r="J335" s="6">
        <v>0</v>
      </c>
      <c r="K335" s="6">
        <v>0</v>
      </c>
      <c r="L335" s="6">
        <v>5126.7280000000001</v>
      </c>
      <c r="M335" s="6">
        <v>5126.7280000000001</v>
      </c>
      <c r="N335" s="6">
        <v>5126.7280000000001</v>
      </c>
      <c r="O335" s="6">
        <v>5126.7280000000001</v>
      </c>
      <c r="P335" s="6">
        <v>34168</v>
      </c>
      <c r="Q335" s="4" t="s">
        <v>26</v>
      </c>
      <c r="R335" s="4">
        <v>0</v>
      </c>
      <c r="S335" s="6">
        <v>0</v>
      </c>
      <c r="T335" s="6">
        <v>2</v>
      </c>
      <c r="U335" s="6">
        <v>41</v>
      </c>
      <c r="V335" s="6">
        <f>IF(ISERROR(VLOOKUP($S$335,'TAR FIN'!$A$1:$O$86,15,0)),0,VLOOKUP($S$335,'TAR FIN'!$A$1:$O$86,15,0))</f>
        <v>0</v>
      </c>
      <c r="W335" s="6">
        <f>IF(ISERROR(VLOOKUP($T$335,'TAR FIN'!$A$1:$O$86,15,0)),0,VLOOKUP($T$335,'TAR FIN'!$A$1:$O$86,15,0))</f>
        <v>338.51</v>
      </c>
      <c r="X335" s="6">
        <f>IF(ISERROR(VLOOKUP($U$335,'TAR FIN'!$A$1:$O$86,15,0)),0,VLOOKUP($U$335,'TAR FIN'!$A$1:$O$86,15,0))</f>
        <v>224.01</v>
      </c>
      <c r="Y335" s="6"/>
      <c r="Z335" s="6">
        <f ca="1">('TUSD BE'!$AM$20+'TUSD BF_350'!$AM$20+'TUSD CVA'!$AM$20)*1</f>
        <v>310.49</v>
      </c>
      <c r="AA335" s="6">
        <f ca="1">('TE BE'!$AB$11+'TE BF_350'!$AB$11+'TE CVA'!$AB$11)*1</f>
        <v>262.52999999999997</v>
      </c>
      <c r="AB335" s="6">
        <f>$K$335*$V$335</f>
        <v>0</v>
      </c>
      <c r="AC335" s="6">
        <f>$M$335*$W$335</f>
        <v>1735448.6952799999</v>
      </c>
      <c r="AD335" s="6">
        <f>$O$335*$X$335</f>
        <v>1148438.33928</v>
      </c>
      <c r="AE335" s="6">
        <f>$K$335*$Y$335</f>
        <v>0</v>
      </c>
      <c r="AF335" s="6">
        <f ca="1">$M$335*$Z$335</f>
        <v>1591797.77672</v>
      </c>
      <c r="AG335" s="6">
        <f ca="1">$O$335*$AA$335</f>
        <v>1345919.9018399999</v>
      </c>
    </row>
    <row r="336" spans="1:33" ht="11.25" customHeight="1" x14ac:dyDescent="0.25">
      <c r="A336" s="4" t="s">
        <v>27</v>
      </c>
      <c r="B336" s="4" t="s">
        <v>22</v>
      </c>
      <c r="C336" s="4" t="s">
        <v>23</v>
      </c>
      <c r="D336" s="4" t="s">
        <v>24</v>
      </c>
      <c r="E336" s="4" t="s">
        <v>24</v>
      </c>
      <c r="F336" s="4" t="s">
        <v>25</v>
      </c>
      <c r="G336" s="4" t="s">
        <v>25</v>
      </c>
      <c r="H336" s="4" t="s">
        <v>25</v>
      </c>
      <c r="I336" s="5">
        <v>44501</v>
      </c>
      <c r="J336" s="6">
        <v>0</v>
      </c>
      <c r="K336" s="6">
        <v>0</v>
      </c>
      <c r="L336" s="6">
        <v>-5.8</v>
      </c>
      <c r="M336" s="6">
        <v>-5.8</v>
      </c>
      <c r="N336" s="6">
        <v>-5.8</v>
      </c>
      <c r="O336" s="6">
        <v>-5.8</v>
      </c>
      <c r="P336" s="6">
        <v>0</v>
      </c>
      <c r="Q336" s="4" t="s">
        <v>26</v>
      </c>
      <c r="R336" s="4">
        <v>0</v>
      </c>
      <c r="S336" s="6">
        <v>0</v>
      </c>
      <c r="T336" s="6">
        <v>2</v>
      </c>
      <c r="U336" s="6">
        <v>41</v>
      </c>
      <c r="V336" s="6">
        <f>IF(ISERROR(VLOOKUP($S$336,'TAR FIN'!$A$1:$O$86,15,0)),0,VLOOKUP($S$336,'TAR FIN'!$A$1:$O$86,15,0))</f>
        <v>0</v>
      </c>
      <c r="W336" s="6">
        <f>IF(ISERROR(VLOOKUP($T$336,'TAR FIN'!$A$1:$O$86,15,0)),0,VLOOKUP($T$336,'TAR FIN'!$A$1:$O$86,15,0))</f>
        <v>338.51</v>
      </c>
      <c r="X336" s="6">
        <f>IF(ISERROR(VLOOKUP($U$336,'TAR FIN'!$A$1:$O$86,15,0)),0,VLOOKUP($U$336,'TAR FIN'!$A$1:$O$86,15,0))</f>
        <v>224.01</v>
      </c>
      <c r="Y336" s="6"/>
      <c r="Z336" s="6">
        <f ca="1">('TUSD BE'!$AM$20+'TUSD BF_350'!$AM$20+'TUSD CVA'!$AM$20)*1</f>
        <v>310.49</v>
      </c>
      <c r="AA336" s="6">
        <f ca="1">('TE BE'!$AB$11+'TE BF_350'!$AB$11+'TE CVA'!$AB$11)*1</f>
        <v>262.52999999999997</v>
      </c>
      <c r="AB336" s="6">
        <f>$K$336*$V$336</f>
        <v>0</v>
      </c>
      <c r="AC336" s="6">
        <f>$M$336*$W$336</f>
        <v>-1963.3579999999999</v>
      </c>
      <c r="AD336" s="6">
        <f>$O$336*$X$336</f>
        <v>-1299.2579999999998</v>
      </c>
      <c r="AE336" s="6">
        <f>$K$336*$Y$336</f>
        <v>0</v>
      </c>
      <c r="AF336" s="6">
        <f ca="1">$M$336*$Z$336</f>
        <v>-1800.8420000000001</v>
      </c>
      <c r="AG336" s="6">
        <f ca="1">$O$336*$AA$336</f>
        <v>-1522.6739999999998</v>
      </c>
    </row>
    <row r="337" spans="1:33" ht="11.25" customHeight="1" x14ac:dyDescent="0.25">
      <c r="A337" s="4" t="s">
        <v>28</v>
      </c>
      <c r="B337" s="4" t="s">
        <v>22</v>
      </c>
      <c r="C337" s="4" t="s">
        <v>23</v>
      </c>
      <c r="D337" s="4" t="s">
        <v>24</v>
      </c>
      <c r="E337" s="4" t="s">
        <v>24</v>
      </c>
      <c r="F337" s="4" t="s">
        <v>25</v>
      </c>
      <c r="G337" s="4" t="s">
        <v>25</v>
      </c>
      <c r="H337" s="4" t="s">
        <v>25</v>
      </c>
      <c r="I337" s="5">
        <v>44501</v>
      </c>
      <c r="J337" s="6">
        <v>0</v>
      </c>
      <c r="K337" s="6">
        <v>0</v>
      </c>
      <c r="L337" s="6">
        <v>12.593</v>
      </c>
      <c r="M337" s="6">
        <v>12.593</v>
      </c>
      <c r="N337" s="6">
        <v>12.593</v>
      </c>
      <c r="O337" s="6">
        <v>12.593</v>
      </c>
      <c r="P337" s="6">
        <v>89</v>
      </c>
      <c r="Q337" s="4" t="s">
        <v>26</v>
      </c>
      <c r="R337" s="4">
        <v>0</v>
      </c>
      <c r="S337" s="6">
        <v>0</v>
      </c>
      <c r="T337" s="6">
        <v>2</v>
      </c>
      <c r="U337" s="6">
        <v>41</v>
      </c>
      <c r="V337" s="6">
        <f>IF(ISERROR(VLOOKUP($S$337,'TAR FIN'!$A$1:$O$86,15,0)),0,VLOOKUP($S$337,'TAR FIN'!$A$1:$O$86,15,0))</f>
        <v>0</v>
      </c>
      <c r="W337" s="6">
        <f>IF(ISERROR(VLOOKUP($T$337,'TAR FIN'!$A$1:$O$86,15,0)),0,VLOOKUP($T$337,'TAR FIN'!$A$1:$O$86,15,0))</f>
        <v>338.51</v>
      </c>
      <c r="X337" s="6">
        <f>IF(ISERROR(VLOOKUP($U$337,'TAR FIN'!$A$1:$O$86,15,0)),0,VLOOKUP($U$337,'TAR FIN'!$A$1:$O$86,15,0))</f>
        <v>224.01</v>
      </c>
      <c r="Y337" s="6"/>
      <c r="Z337" s="6">
        <f ca="1">('TUSD BE'!$AM$20+'TUSD BF_350'!$AM$20+'TUSD CVA'!$AM$20)*1</f>
        <v>310.49</v>
      </c>
      <c r="AA337" s="6">
        <f ca="1">('TE BE'!$AB$11+'TE BF_350'!$AB$11+'TE CVA'!$AB$11)*1</f>
        <v>262.52999999999997</v>
      </c>
      <c r="AB337" s="6">
        <f>$K$337*$V$337</f>
        <v>0</v>
      </c>
      <c r="AC337" s="6">
        <f>$M$337*$W$337</f>
        <v>4262.8564299999998</v>
      </c>
      <c r="AD337" s="6">
        <f>$O$337*$X$337</f>
        <v>2820.95793</v>
      </c>
      <c r="AE337" s="6">
        <f>$K$337*$Y$337</f>
        <v>0</v>
      </c>
      <c r="AF337" s="6">
        <f ca="1">$M$337*$Z$337</f>
        <v>3910.0005700000002</v>
      </c>
      <c r="AG337" s="6">
        <f ca="1">$O$337*$AA$337</f>
        <v>3306.0402899999995</v>
      </c>
    </row>
    <row r="338" spans="1:33" ht="11.25" customHeight="1" x14ac:dyDescent="0.25">
      <c r="A338" s="4" t="s">
        <v>21</v>
      </c>
      <c r="B338" s="4" t="s">
        <v>22</v>
      </c>
      <c r="C338" s="4" t="s">
        <v>23</v>
      </c>
      <c r="D338" s="4" t="s">
        <v>24</v>
      </c>
      <c r="E338" s="4" t="s">
        <v>24</v>
      </c>
      <c r="F338" s="4" t="s">
        <v>25</v>
      </c>
      <c r="G338" s="4" t="s">
        <v>25</v>
      </c>
      <c r="H338" s="4" t="s">
        <v>25</v>
      </c>
      <c r="I338" s="5">
        <v>44531</v>
      </c>
      <c r="J338" s="6">
        <v>0</v>
      </c>
      <c r="K338" s="6">
        <v>0</v>
      </c>
      <c r="L338" s="6">
        <v>5234.1000000000004</v>
      </c>
      <c r="M338" s="6">
        <v>5234.1000000000004</v>
      </c>
      <c r="N338" s="6">
        <v>5234.1000000000004</v>
      </c>
      <c r="O338" s="6">
        <v>5234.1000000000004</v>
      </c>
      <c r="P338" s="6">
        <v>34261</v>
      </c>
      <c r="Q338" s="4" t="s">
        <v>26</v>
      </c>
      <c r="R338" s="4">
        <v>0</v>
      </c>
      <c r="S338" s="6">
        <v>0</v>
      </c>
      <c r="T338" s="6">
        <v>2</v>
      </c>
      <c r="U338" s="6">
        <v>41</v>
      </c>
      <c r="V338" s="6">
        <f>IF(ISERROR(VLOOKUP($S$338,'TAR FIN'!$A$1:$O$86,15,0)),0,VLOOKUP($S$338,'TAR FIN'!$A$1:$O$86,15,0))</f>
        <v>0</v>
      </c>
      <c r="W338" s="6">
        <f>IF(ISERROR(VLOOKUP($T$338,'TAR FIN'!$A$1:$O$86,15,0)),0,VLOOKUP($T$338,'TAR FIN'!$A$1:$O$86,15,0))</f>
        <v>338.51</v>
      </c>
      <c r="X338" s="6">
        <f>IF(ISERROR(VLOOKUP($U$338,'TAR FIN'!$A$1:$O$86,15,0)),0,VLOOKUP($U$338,'TAR FIN'!$A$1:$O$86,15,0))</f>
        <v>224.01</v>
      </c>
      <c r="Y338" s="6"/>
      <c r="Z338" s="6">
        <f ca="1">('TUSD BE'!$AM$20+'TUSD BF_350'!$AM$20+'TUSD CVA'!$AM$20)*1</f>
        <v>310.49</v>
      </c>
      <c r="AA338" s="6">
        <f ca="1">('TE BE'!$AB$11+'TE BF_350'!$AB$11+'TE CVA'!$AB$11)*1</f>
        <v>262.52999999999997</v>
      </c>
      <c r="AB338" s="6">
        <f>$K$338*$V$338</f>
        <v>0</v>
      </c>
      <c r="AC338" s="6">
        <f>$M$338*$W$338</f>
        <v>1771795.1910000001</v>
      </c>
      <c r="AD338" s="6">
        <f>$O$338*$X$338</f>
        <v>1172490.7409999999</v>
      </c>
      <c r="AE338" s="6">
        <f>$K$338*$Y$338</f>
        <v>0</v>
      </c>
      <c r="AF338" s="6">
        <f ca="1">$M$338*$Z$338</f>
        <v>1625135.7090000003</v>
      </c>
      <c r="AG338" s="6">
        <f ca="1">$O$338*$AA$338</f>
        <v>1374108.273</v>
      </c>
    </row>
    <row r="339" spans="1:33" ht="11.25" customHeight="1" x14ac:dyDescent="0.25">
      <c r="A339" s="4" t="s">
        <v>27</v>
      </c>
      <c r="B339" s="4" t="s">
        <v>22</v>
      </c>
      <c r="C339" s="4" t="s">
        <v>23</v>
      </c>
      <c r="D339" s="4" t="s">
        <v>24</v>
      </c>
      <c r="E339" s="4" t="s">
        <v>24</v>
      </c>
      <c r="F339" s="4" t="s">
        <v>25</v>
      </c>
      <c r="G339" s="4" t="s">
        <v>25</v>
      </c>
      <c r="H339" s="4" t="s">
        <v>25</v>
      </c>
      <c r="I339" s="5">
        <v>44531</v>
      </c>
      <c r="J339" s="6">
        <v>0</v>
      </c>
      <c r="K339" s="6">
        <v>0</v>
      </c>
      <c r="L339" s="6">
        <v>-5.3869999999999996</v>
      </c>
      <c r="M339" s="6">
        <v>-5.3869999999999996</v>
      </c>
      <c r="N339" s="6">
        <v>-5.3869999999999996</v>
      </c>
      <c r="O339" s="6">
        <v>-5.3869999999999996</v>
      </c>
      <c r="P339" s="6">
        <v>0</v>
      </c>
      <c r="Q339" s="4" t="s">
        <v>26</v>
      </c>
      <c r="R339" s="4">
        <v>0</v>
      </c>
      <c r="S339" s="6">
        <v>0</v>
      </c>
      <c r="T339" s="6">
        <v>2</v>
      </c>
      <c r="U339" s="6">
        <v>41</v>
      </c>
      <c r="V339" s="6">
        <f>IF(ISERROR(VLOOKUP($S$339,'TAR FIN'!$A$1:$O$86,15,0)),0,VLOOKUP($S$339,'TAR FIN'!$A$1:$O$86,15,0))</f>
        <v>0</v>
      </c>
      <c r="W339" s="6">
        <f>IF(ISERROR(VLOOKUP($T$339,'TAR FIN'!$A$1:$O$86,15,0)),0,VLOOKUP($T$339,'TAR FIN'!$A$1:$O$86,15,0))</f>
        <v>338.51</v>
      </c>
      <c r="X339" s="6">
        <f>IF(ISERROR(VLOOKUP($U$339,'TAR FIN'!$A$1:$O$86,15,0)),0,VLOOKUP($U$339,'TAR FIN'!$A$1:$O$86,15,0))</f>
        <v>224.01</v>
      </c>
      <c r="Y339" s="6"/>
      <c r="Z339" s="6">
        <f ca="1">('TUSD BE'!$AM$20+'TUSD BF_350'!$AM$20+'TUSD CVA'!$AM$20)*1</f>
        <v>310.49</v>
      </c>
      <c r="AA339" s="6">
        <f ca="1">('TE BE'!$AB$11+'TE BF_350'!$AB$11+'TE CVA'!$AB$11)*1</f>
        <v>262.52999999999997</v>
      </c>
      <c r="AB339" s="6">
        <f>$K$339*$V$339</f>
        <v>0</v>
      </c>
      <c r="AC339" s="6">
        <f>$M$339*$W$339</f>
        <v>-1823.5533699999999</v>
      </c>
      <c r="AD339" s="6">
        <f>$O$339*$X$339</f>
        <v>-1206.7418699999998</v>
      </c>
      <c r="AE339" s="6">
        <f>$K$339*$Y$339</f>
        <v>0</v>
      </c>
      <c r="AF339" s="6">
        <f ca="1">$M$339*$Z$339</f>
        <v>-1672.6096299999999</v>
      </c>
      <c r="AG339" s="6">
        <f ca="1">$O$339*$AA$339</f>
        <v>-1414.2491099999997</v>
      </c>
    </row>
    <row r="340" spans="1:33" ht="11.25" customHeight="1" x14ac:dyDescent="0.25">
      <c r="A340" s="4" t="s">
        <v>28</v>
      </c>
      <c r="B340" s="4" t="s">
        <v>22</v>
      </c>
      <c r="C340" s="4" t="s">
        <v>23</v>
      </c>
      <c r="D340" s="4" t="s">
        <v>24</v>
      </c>
      <c r="E340" s="4" t="s">
        <v>24</v>
      </c>
      <c r="F340" s="4" t="s">
        <v>25</v>
      </c>
      <c r="G340" s="4" t="s">
        <v>25</v>
      </c>
      <c r="H340" s="4" t="s">
        <v>25</v>
      </c>
      <c r="I340" s="5">
        <v>44531</v>
      </c>
      <c r="J340" s="6">
        <v>0</v>
      </c>
      <c r="K340" s="6">
        <v>0</v>
      </c>
      <c r="L340" s="6">
        <v>12.22</v>
      </c>
      <c r="M340" s="6">
        <v>12.22</v>
      </c>
      <c r="N340" s="6">
        <v>12.22</v>
      </c>
      <c r="O340" s="6">
        <v>12.22</v>
      </c>
      <c r="P340" s="6">
        <v>97</v>
      </c>
      <c r="Q340" s="4" t="s">
        <v>26</v>
      </c>
      <c r="R340" s="4">
        <v>0</v>
      </c>
      <c r="S340" s="6">
        <v>0</v>
      </c>
      <c r="T340" s="6">
        <v>2</v>
      </c>
      <c r="U340" s="6">
        <v>41</v>
      </c>
      <c r="V340" s="6">
        <f>IF(ISERROR(VLOOKUP($S$340,'TAR FIN'!$A$1:$O$86,15,0)),0,VLOOKUP($S$340,'TAR FIN'!$A$1:$O$86,15,0))</f>
        <v>0</v>
      </c>
      <c r="W340" s="6">
        <f>IF(ISERROR(VLOOKUP($T$340,'TAR FIN'!$A$1:$O$86,15,0)),0,VLOOKUP($T$340,'TAR FIN'!$A$1:$O$86,15,0))</f>
        <v>338.51</v>
      </c>
      <c r="X340" s="6">
        <f>IF(ISERROR(VLOOKUP($U$340,'TAR FIN'!$A$1:$O$86,15,0)),0,VLOOKUP($U$340,'TAR FIN'!$A$1:$O$86,15,0))</f>
        <v>224.01</v>
      </c>
      <c r="Y340" s="6"/>
      <c r="Z340" s="6">
        <f ca="1">('TUSD BE'!$AM$20+'TUSD BF_350'!$AM$20+'TUSD CVA'!$AM$20)*1</f>
        <v>310.49</v>
      </c>
      <c r="AA340" s="6">
        <f ca="1">('TE BE'!$AB$11+'TE BF_350'!$AB$11+'TE CVA'!$AB$11)*1</f>
        <v>262.52999999999997</v>
      </c>
      <c r="AB340" s="6">
        <f>$K$340*$V$340</f>
        <v>0</v>
      </c>
      <c r="AC340" s="6">
        <f>$M$340*$W$340</f>
        <v>4136.5922</v>
      </c>
      <c r="AD340" s="6">
        <f>$O$340*$X$340</f>
        <v>2737.4022</v>
      </c>
      <c r="AE340" s="6">
        <f>$K$340*$Y$340</f>
        <v>0</v>
      </c>
      <c r="AF340" s="6">
        <f ca="1">$M$340*$Z$340</f>
        <v>3794.1878000000002</v>
      </c>
      <c r="AG340" s="6">
        <f ca="1">$O$340*$AA$340</f>
        <v>3208.1165999999998</v>
      </c>
    </row>
    <row r="341" spans="1:33" ht="11.25" customHeight="1" x14ac:dyDescent="0.25">
      <c r="A341" s="4" t="s">
        <v>21</v>
      </c>
      <c r="B341" s="4" t="s">
        <v>22</v>
      </c>
      <c r="C341" s="4" t="s">
        <v>23</v>
      </c>
      <c r="D341" s="4" t="s">
        <v>24</v>
      </c>
      <c r="E341" s="4" t="s">
        <v>24</v>
      </c>
      <c r="F341" s="4" t="s">
        <v>25</v>
      </c>
      <c r="G341" s="4" t="s">
        <v>25</v>
      </c>
      <c r="H341" s="4" t="s">
        <v>25</v>
      </c>
      <c r="I341" s="5">
        <v>44562</v>
      </c>
      <c r="J341" s="6">
        <v>0</v>
      </c>
      <c r="K341" s="6">
        <v>0</v>
      </c>
      <c r="L341" s="6">
        <v>7849.884</v>
      </c>
      <c r="M341" s="6">
        <v>7849.884</v>
      </c>
      <c r="N341" s="6">
        <v>7849.884</v>
      </c>
      <c r="O341" s="6">
        <v>7849.884</v>
      </c>
      <c r="P341" s="6">
        <v>34480</v>
      </c>
      <c r="Q341" s="4" t="s">
        <v>26</v>
      </c>
      <c r="R341" s="4">
        <v>0</v>
      </c>
      <c r="S341" s="6">
        <v>0</v>
      </c>
      <c r="T341" s="6">
        <v>2</v>
      </c>
      <c r="U341" s="6">
        <v>41</v>
      </c>
      <c r="V341" s="6">
        <f>IF(ISERROR(VLOOKUP($S$341,'TAR FIN'!$A$1:$O$86,15,0)),0,VLOOKUP($S$341,'TAR FIN'!$A$1:$O$86,15,0))</f>
        <v>0</v>
      </c>
      <c r="W341" s="6">
        <f>IF(ISERROR(VLOOKUP($T$341,'TAR FIN'!$A$1:$O$86,15,0)),0,VLOOKUP($T$341,'TAR FIN'!$A$1:$O$86,15,0))</f>
        <v>338.51</v>
      </c>
      <c r="X341" s="6">
        <f>IF(ISERROR(VLOOKUP($U$341,'TAR FIN'!$A$1:$O$86,15,0)),0,VLOOKUP($U$341,'TAR FIN'!$A$1:$O$86,15,0))</f>
        <v>224.01</v>
      </c>
      <c r="Y341" s="6"/>
      <c r="Z341" s="6">
        <f ca="1">('TUSD BE'!$AM$20+'TUSD BF_350'!$AM$20+'TUSD CVA'!$AM$20)*1</f>
        <v>310.49</v>
      </c>
      <c r="AA341" s="6">
        <f ca="1">('TE BE'!$AB$11+'TE BF_350'!$AB$11+'TE CVA'!$AB$11)*1</f>
        <v>262.52999999999997</v>
      </c>
      <c r="AB341" s="6">
        <f>$K$341*$V$341</f>
        <v>0</v>
      </c>
      <c r="AC341" s="6">
        <f>$M$341*$W$341</f>
        <v>2657264.2328399997</v>
      </c>
      <c r="AD341" s="6">
        <f>$O$341*$X$341</f>
        <v>1758452.5148399998</v>
      </c>
      <c r="AE341" s="6">
        <f>$K$341*$Y$341</f>
        <v>0</v>
      </c>
      <c r="AF341" s="6">
        <f ca="1">$M$341*$Z$341</f>
        <v>2437310.4831600003</v>
      </c>
      <c r="AG341" s="6">
        <f ca="1">$O$341*$AA$341</f>
        <v>2060830.0465199999</v>
      </c>
    </row>
    <row r="342" spans="1:33" ht="11.25" customHeight="1" x14ac:dyDescent="0.25">
      <c r="A342" s="4" t="s">
        <v>27</v>
      </c>
      <c r="B342" s="4" t="s">
        <v>22</v>
      </c>
      <c r="C342" s="4" t="s">
        <v>23</v>
      </c>
      <c r="D342" s="4" t="s">
        <v>24</v>
      </c>
      <c r="E342" s="4" t="s">
        <v>24</v>
      </c>
      <c r="F342" s="4" t="s">
        <v>25</v>
      </c>
      <c r="G342" s="4" t="s">
        <v>25</v>
      </c>
      <c r="H342" s="4" t="s">
        <v>25</v>
      </c>
      <c r="I342" s="5">
        <v>44562</v>
      </c>
      <c r="J342" s="6">
        <v>0</v>
      </c>
      <c r="K342" s="6">
        <v>0</v>
      </c>
      <c r="L342" s="6">
        <v>-6.492</v>
      </c>
      <c r="M342" s="6">
        <v>-6.492</v>
      </c>
      <c r="N342" s="6">
        <v>-6.492</v>
      </c>
      <c r="O342" s="6">
        <v>-6.492</v>
      </c>
      <c r="P342" s="6">
        <v>0</v>
      </c>
      <c r="Q342" s="4" t="s">
        <v>26</v>
      </c>
      <c r="R342" s="4">
        <v>0</v>
      </c>
      <c r="S342" s="6">
        <v>0</v>
      </c>
      <c r="T342" s="6">
        <v>2</v>
      </c>
      <c r="U342" s="6">
        <v>41</v>
      </c>
      <c r="V342" s="6">
        <f>IF(ISERROR(VLOOKUP($S$342,'TAR FIN'!$A$1:$O$86,15,0)),0,VLOOKUP($S$342,'TAR FIN'!$A$1:$O$86,15,0))</f>
        <v>0</v>
      </c>
      <c r="W342" s="6">
        <f>IF(ISERROR(VLOOKUP($T$342,'TAR FIN'!$A$1:$O$86,15,0)),0,VLOOKUP($T$342,'TAR FIN'!$A$1:$O$86,15,0))</f>
        <v>338.51</v>
      </c>
      <c r="X342" s="6">
        <f>IF(ISERROR(VLOOKUP($U$342,'TAR FIN'!$A$1:$O$86,15,0)),0,VLOOKUP($U$342,'TAR FIN'!$A$1:$O$86,15,0))</f>
        <v>224.01</v>
      </c>
      <c r="Y342" s="6"/>
      <c r="Z342" s="6">
        <f ca="1">('TUSD BE'!$AM$20+'TUSD BF_350'!$AM$20+'TUSD CVA'!$AM$20)*1</f>
        <v>310.49</v>
      </c>
      <c r="AA342" s="6">
        <f ca="1">('TE BE'!$AB$11+'TE BF_350'!$AB$11+'TE CVA'!$AB$11)*1</f>
        <v>262.52999999999997</v>
      </c>
      <c r="AB342" s="6">
        <f>$K$342*$V$342</f>
        <v>0</v>
      </c>
      <c r="AC342" s="6">
        <f>$M$342*$W$342</f>
        <v>-2197.6069199999997</v>
      </c>
      <c r="AD342" s="6">
        <f>$O$342*$X$342</f>
        <v>-1454.2729199999999</v>
      </c>
      <c r="AE342" s="6">
        <f>$K$342*$Y$342</f>
        <v>0</v>
      </c>
      <c r="AF342" s="6">
        <f ca="1">$M$342*$Z$342</f>
        <v>-2015.70108</v>
      </c>
      <c r="AG342" s="6">
        <f ca="1">$O$342*$AA$342</f>
        <v>-1704.3447599999997</v>
      </c>
    </row>
    <row r="343" spans="1:33" ht="11.25" customHeight="1" x14ac:dyDescent="0.25">
      <c r="A343" s="4" t="s">
        <v>28</v>
      </c>
      <c r="B343" s="4" t="s">
        <v>22</v>
      </c>
      <c r="C343" s="4" t="s">
        <v>23</v>
      </c>
      <c r="D343" s="4" t="s">
        <v>24</v>
      </c>
      <c r="E343" s="4" t="s">
        <v>24</v>
      </c>
      <c r="F343" s="4" t="s">
        <v>25</v>
      </c>
      <c r="G343" s="4" t="s">
        <v>25</v>
      </c>
      <c r="H343" s="4" t="s">
        <v>25</v>
      </c>
      <c r="I343" s="5">
        <v>44562</v>
      </c>
      <c r="J343" s="6">
        <v>0</v>
      </c>
      <c r="K343" s="6">
        <v>0</v>
      </c>
      <c r="L343" s="6">
        <v>20.792000000000002</v>
      </c>
      <c r="M343" s="6">
        <v>20.792000000000002</v>
      </c>
      <c r="N343" s="6">
        <v>20.792000000000002</v>
      </c>
      <c r="O343" s="6">
        <v>20.792000000000002</v>
      </c>
      <c r="P343" s="6">
        <v>112</v>
      </c>
      <c r="Q343" s="4" t="s">
        <v>26</v>
      </c>
      <c r="R343" s="4">
        <v>0</v>
      </c>
      <c r="S343" s="6">
        <v>0</v>
      </c>
      <c r="T343" s="6">
        <v>2</v>
      </c>
      <c r="U343" s="6">
        <v>41</v>
      </c>
      <c r="V343" s="6">
        <f>IF(ISERROR(VLOOKUP($S$343,'TAR FIN'!$A$1:$O$86,15,0)),0,VLOOKUP($S$343,'TAR FIN'!$A$1:$O$86,15,0))</f>
        <v>0</v>
      </c>
      <c r="W343" s="6">
        <f>IF(ISERROR(VLOOKUP($T$343,'TAR FIN'!$A$1:$O$86,15,0)),0,VLOOKUP($T$343,'TAR FIN'!$A$1:$O$86,15,0))</f>
        <v>338.51</v>
      </c>
      <c r="X343" s="6">
        <f>IF(ISERROR(VLOOKUP($U$343,'TAR FIN'!$A$1:$O$86,15,0)),0,VLOOKUP($U$343,'TAR FIN'!$A$1:$O$86,15,0))</f>
        <v>224.01</v>
      </c>
      <c r="Y343" s="6"/>
      <c r="Z343" s="6">
        <f ca="1">('TUSD BE'!$AM$20+'TUSD BF_350'!$AM$20+'TUSD CVA'!$AM$20)*1</f>
        <v>310.49</v>
      </c>
      <c r="AA343" s="6">
        <f ca="1">('TE BE'!$AB$11+'TE BF_350'!$AB$11+'TE CVA'!$AB$11)*1</f>
        <v>262.52999999999997</v>
      </c>
      <c r="AB343" s="6">
        <f>$K$343*$V$343</f>
        <v>0</v>
      </c>
      <c r="AC343" s="6">
        <f>$M$343*$W$343</f>
        <v>7038.2999200000004</v>
      </c>
      <c r="AD343" s="6">
        <f>$O$343*$X$343</f>
        <v>4657.6159200000002</v>
      </c>
      <c r="AE343" s="6">
        <f>$K$343*$Y$343</f>
        <v>0</v>
      </c>
      <c r="AF343" s="6">
        <f ca="1">$M$343*$Z$343</f>
        <v>6455.7080800000003</v>
      </c>
      <c r="AG343" s="6">
        <f ca="1">$O$343*$AA$343</f>
        <v>5458.52376</v>
      </c>
    </row>
    <row r="344" spans="1:33" ht="11.25" customHeight="1" x14ac:dyDescent="0.25">
      <c r="A344" s="4" t="s">
        <v>28</v>
      </c>
      <c r="B344" s="4" t="s">
        <v>22</v>
      </c>
      <c r="C344" s="4" t="s">
        <v>23</v>
      </c>
      <c r="D344" s="4" t="s">
        <v>24</v>
      </c>
      <c r="E344" s="4" t="s">
        <v>24</v>
      </c>
      <c r="F344" s="4" t="s">
        <v>25</v>
      </c>
      <c r="G344" s="4" t="s">
        <v>25</v>
      </c>
      <c r="H344" s="4" t="s">
        <v>25</v>
      </c>
      <c r="I344" s="5">
        <v>44562</v>
      </c>
      <c r="J344" s="6">
        <v>0</v>
      </c>
      <c r="K344" s="6">
        <v>0</v>
      </c>
      <c r="L344" s="6">
        <v>-0.123</v>
      </c>
      <c r="M344" s="6">
        <v>-0.123</v>
      </c>
      <c r="N344" s="6">
        <v>-0.123</v>
      </c>
      <c r="O344" s="6">
        <v>-0.123</v>
      </c>
      <c r="P344" s="6">
        <v>2</v>
      </c>
      <c r="Q344" s="4" t="s">
        <v>26</v>
      </c>
      <c r="R344" s="4">
        <v>0</v>
      </c>
      <c r="S344" s="6">
        <v>0</v>
      </c>
      <c r="T344" s="6">
        <v>2</v>
      </c>
      <c r="U344" s="6">
        <v>41</v>
      </c>
      <c r="V344" s="6">
        <f>IF(ISERROR(VLOOKUP($S$344,'TAR FIN'!$A$1:$O$86,15,0)),0,VLOOKUP($S$344,'TAR FIN'!$A$1:$O$86,15,0))</f>
        <v>0</v>
      </c>
      <c r="W344" s="6">
        <f>IF(ISERROR(VLOOKUP($T$344,'TAR FIN'!$A$1:$O$86,15,0)),0,VLOOKUP($T$344,'TAR FIN'!$A$1:$O$86,15,0))</f>
        <v>338.51</v>
      </c>
      <c r="X344" s="6">
        <f>IF(ISERROR(VLOOKUP($U$344,'TAR FIN'!$A$1:$O$86,15,0)),0,VLOOKUP($U$344,'TAR FIN'!$A$1:$O$86,15,0))</f>
        <v>224.01</v>
      </c>
      <c r="Y344" s="6"/>
      <c r="Z344" s="6">
        <f ca="1">('TUSD BE'!$AM$20+'TUSD BF_350'!$AM$20+'TUSD CVA'!$AM$20)*1</f>
        <v>310.49</v>
      </c>
      <c r="AA344" s="6">
        <f ca="1">('TE BE'!$AB$11+'TE BF_350'!$AB$11+'TE CVA'!$AB$11)*1</f>
        <v>262.52999999999997</v>
      </c>
      <c r="AB344" s="6">
        <f>$K$344*$V$344</f>
        <v>0</v>
      </c>
      <c r="AC344" s="6">
        <f>$M$344*$W$344</f>
        <v>-41.63673</v>
      </c>
      <c r="AD344" s="6">
        <f>$O$344*$X$344</f>
        <v>-27.553229999999999</v>
      </c>
      <c r="AE344" s="6">
        <f>$K$344*$Y$344</f>
        <v>0</v>
      </c>
      <c r="AF344" s="6">
        <f ca="1">$M$344*$Z$344</f>
        <v>-38.190269999999998</v>
      </c>
      <c r="AG344" s="6">
        <f ca="1">$O$344*$AA$344</f>
        <v>-32.291189999999993</v>
      </c>
    </row>
    <row r="345" spans="1:33" ht="11.25" customHeight="1" x14ac:dyDescent="0.25">
      <c r="A345" s="4" t="s">
        <v>21</v>
      </c>
      <c r="B345" s="4" t="s">
        <v>22</v>
      </c>
      <c r="C345" s="4" t="s">
        <v>23</v>
      </c>
      <c r="D345" s="4" t="s">
        <v>24</v>
      </c>
      <c r="E345" s="4" t="s">
        <v>24</v>
      </c>
      <c r="F345" s="4" t="s">
        <v>25</v>
      </c>
      <c r="G345" s="4" t="s">
        <v>25</v>
      </c>
      <c r="H345" s="4" t="s">
        <v>25</v>
      </c>
      <c r="I345" s="5">
        <v>44593</v>
      </c>
      <c r="J345" s="6">
        <v>0</v>
      </c>
      <c r="K345" s="6">
        <v>0</v>
      </c>
      <c r="L345" s="6">
        <v>7514.75</v>
      </c>
      <c r="M345" s="6">
        <v>7514.75</v>
      </c>
      <c r="N345" s="6">
        <v>7514.75</v>
      </c>
      <c r="O345" s="6">
        <v>7514.75</v>
      </c>
      <c r="P345" s="6">
        <v>34521</v>
      </c>
      <c r="Q345" s="4" t="s">
        <v>26</v>
      </c>
      <c r="R345" s="4">
        <v>0</v>
      </c>
      <c r="S345" s="6">
        <v>0</v>
      </c>
      <c r="T345" s="6">
        <v>2</v>
      </c>
      <c r="U345" s="6">
        <v>41</v>
      </c>
      <c r="V345" s="6">
        <f>IF(ISERROR(VLOOKUP($S$345,'TAR FIN'!$A$1:$O$86,15,0)),0,VLOOKUP($S$345,'TAR FIN'!$A$1:$O$86,15,0))</f>
        <v>0</v>
      </c>
      <c r="W345" s="6">
        <f>IF(ISERROR(VLOOKUP($T$345,'TAR FIN'!$A$1:$O$86,15,0)),0,VLOOKUP($T$345,'TAR FIN'!$A$1:$O$86,15,0))</f>
        <v>338.51</v>
      </c>
      <c r="X345" s="6">
        <f>IF(ISERROR(VLOOKUP($U$345,'TAR FIN'!$A$1:$O$86,15,0)),0,VLOOKUP($U$345,'TAR FIN'!$A$1:$O$86,15,0))</f>
        <v>224.01</v>
      </c>
      <c r="Y345" s="6"/>
      <c r="Z345" s="6">
        <f ca="1">('TUSD BE'!$AM$20+'TUSD BF_350'!$AM$20+'TUSD CVA'!$AM$20)*1</f>
        <v>310.49</v>
      </c>
      <c r="AA345" s="6">
        <f ca="1">('TE BE'!$AB$11+'TE BF_350'!$AB$11+'TE CVA'!$AB$11)*1</f>
        <v>262.52999999999997</v>
      </c>
      <c r="AB345" s="6">
        <f>$K$345*$V$345</f>
        <v>0</v>
      </c>
      <c r="AC345" s="6">
        <f>$M$345*$W$345</f>
        <v>2543818.0225</v>
      </c>
      <c r="AD345" s="6">
        <f>$O$345*$X$345</f>
        <v>1683379.1475</v>
      </c>
      <c r="AE345" s="6">
        <f>$K$345*$Y$345</f>
        <v>0</v>
      </c>
      <c r="AF345" s="6">
        <f ca="1">$M$345*$Z$345</f>
        <v>2333254.7275</v>
      </c>
      <c r="AG345" s="6">
        <f ca="1">$O$345*$AA$345</f>
        <v>1972847.3174999999</v>
      </c>
    </row>
    <row r="346" spans="1:33" ht="11.25" customHeight="1" x14ac:dyDescent="0.25">
      <c r="A346" s="4" t="s">
        <v>27</v>
      </c>
      <c r="B346" s="4" t="s">
        <v>22</v>
      </c>
      <c r="C346" s="4" t="s">
        <v>23</v>
      </c>
      <c r="D346" s="4" t="s">
        <v>24</v>
      </c>
      <c r="E346" s="4" t="s">
        <v>24</v>
      </c>
      <c r="F346" s="4" t="s">
        <v>25</v>
      </c>
      <c r="G346" s="4" t="s">
        <v>25</v>
      </c>
      <c r="H346" s="4" t="s">
        <v>25</v>
      </c>
      <c r="I346" s="5">
        <v>44593</v>
      </c>
      <c r="J346" s="6">
        <v>0</v>
      </c>
      <c r="K346" s="6">
        <v>0</v>
      </c>
      <c r="L346" s="6">
        <v>-40.649000000000001</v>
      </c>
      <c r="M346" s="6">
        <v>-40.649000000000001</v>
      </c>
      <c r="N346" s="6">
        <v>-40.649000000000001</v>
      </c>
      <c r="O346" s="6">
        <v>-40.649000000000001</v>
      </c>
      <c r="P346" s="6">
        <v>0</v>
      </c>
      <c r="Q346" s="4" t="s">
        <v>26</v>
      </c>
      <c r="R346" s="4">
        <v>0</v>
      </c>
      <c r="S346" s="6">
        <v>0</v>
      </c>
      <c r="T346" s="6">
        <v>2</v>
      </c>
      <c r="U346" s="6">
        <v>41</v>
      </c>
      <c r="V346" s="6">
        <f>IF(ISERROR(VLOOKUP($S$346,'TAR FIN'!$A$1:$O$86,15,0)),0,VLOOKUP($S$346,'TAR FIN'!$A$1:$O$86,15,0))</f>
        <v>0</v>
      </c>
      <c r="W346" s="6">
        <f>IF(ISERROR(VLOOKUP($T$346,'TAR FIN'!$A$1:$O$86,15,0)),0,VLOOKUP($T$346,'TAR FIN'!$A$1:$O$86,15,0))</f>
        <v>338.51</v>
      </c>
      <c r="X346" s="6">
        <f>IF(ISERROR(VLOOKUP($U$346,'TAR FIN'!$A$1:$O$86,15,0)),0,VLOOKUP($U$346,'TAR FIN'!$A$1:$O$86,15,0))</f>
        <v>224.01</v>
      </c>
      <c r="Y346" s="6"/>
      <c r="Z346" s="6">
        <f ca="1">('TUSD BE'!$AM$20+'TUSD BF_350'!$AM$20+'TUSD CVA'!$AM$20)*1</f>
        <v>310.49</v>
      </c>
      <c r="AA346" s="6">
        <f ca="1">('TE BE'!$AB$11+'TE BF_350'!$AB$11+'TE CVA'!$AB$11)*1</f>
        <v>262.52999999999997</v>
      </c>
      <c r="AB346" s="6">
        <f>$K$346*$V$346</f>
        <v>0</v>
      </c>
      <c r="AC346" s="6">
        <f>$M$346*$W$346</f>
        <v>-13760.092989999999</v>
      </c>
      <c r="AD346" s="6">
        <f>$O$346*$X$346</f>
        <v>-9105.7824899999996</v>
      </c>
      <c r="AE346" s="6">
        <f>$K$346*$Y$346</f>
        <v>0</v>
      </c>
      <c r="AF346" s="6">
        <f ca="1">$M$346*$Z$346</f>
        <v>-12621.10801</v>
      </c>
      <c r="AG346" s="6">
        <f ca="1">$O$346*$AA$346</f>
        <v>-10671.581969999999</v>
      </c>
    </row>
    <row r="347" spans="1:33" ht="11.25" customHeight="1" x14ac:dyDescent="0.25">
      <c r="A347" s="4" t="s">
        <v>28</v>
      </c>
      <c r="B347" s="4" t="s">
        <v>22</v>
      </c>
      <c r="C347" s="4" t="s">
        <v>23</v>
      </c>
      <c r="D347" s="4" t="s">
        <v>24</v>
      </c>
      <c r="E347" s="4" t="s">
        <v>24</v>
      </c>
      <c r="F347" s="4" t="s">
        <v>25</v>
      </c>
      <c r="G347" s="4" t="s">
        <v>25</v>
      </c>
      <c r="H347" s="4" t="s">
        <v>25</v>
      </c>
      <c r="I347" s="5">
        <v>44593</v>
      </c>
      <c r="J347" s="6">
        <v>0</v>
      </c>
      <c r="K347" s="6">
        <v>0</v>
      </c>
      <c r="L347" s="6">
        <v>26.545999999999999</v>
      </c>
      <c r="M347" s="6">
        <v>26.545999999999999</v>
      </c>
      <c r="N347" s="6">
        <v>26.545999999999999</v>
      </c>
      <c r="O347" s="6">
        <v>26.545999999999999</v>
      </c>
      <c r="P347" s="6">
        <v>125</v>
      </c>
      <c r="Q347" s="4" t="s">
        <v>26</v>
      </c>
      <c r="R347" s="4">
        <v>0</v>
      </c>
      <c r="S347" s="6">
        <v>0</v>
      </c>
      <c r="T347" s="6">
        <v>2</v>
      </c>
      <c r="U347" s="6">
        <v>41</v>
      </c>
      <c r="V347" s="6">
        <f>IF(ISERROR(VLOOKUP($S$347,'TAR FIN'!$A$1:$O$86,15,0)),0,VLOOKUP($S$347,'TAR FIN'!$A$1:$O$86,15,0))</f>
        <v>0</v>
      </c>
      <c r="W347" s="6">
        <f>IF(ISERROR(VLOOKUP($T$347,'TAR FIN'!$A$1:$O$86,15,0)),0,VLOOKUP($T$347,'TAR FIN'!$A$1:$O$86,15,0))</f>
        <v>338.51</v>
      </c>
      <c r="X347" s="6">
        <f>IF(ISERROR(VLOOKUP($U$347,'TAR FIN'!$A$1:$O$86,15,0)),0,VLOOKUP($U$347,'TAR FIN'!$A$1:$O$86,15,0))</f>
        <v>224.01</v>
      </c>
      <c r="Y347" s="6"/>
      <c r="Z347" s="6">
        <f ca="1">('TUSD BE'!$AM$20+'TUSD BF_350'!$AM$20+'TUSD CVA'!$AM$20)*1</f>
        <v>310.49</v>
      </c>
      <c r="AA347" s="6">
        <f ca="1">('TE BE'!$AB$11+'TE BF_350'!$AB$11+'TE CVA'!$AB$11)*1</f>
        <v>262.52999999999997</v>
      </c>
      <c r="AB347" s="6">
        <f>$K$347*$V$347</f>
        <v>0</v>
      </c>
      <c r="AC347" s="6">
        <f>$M$347*$W$347</f>
        <v>8986.0864600000004</v>
      </c>
      <c r="AD347" s="6">
        <f>$O$347*$X$347</f>
        <v>5946.5694599999997</v>
      </c>
      <c r="AE347" s="6">
        <f>$K$347*$Y$347</f>
        <v>0</v>
      </c>
      <c r="AF347" s="6">
        <f ca="1">$M$347*$Z$347</f>
        <v>8242.2675400000007</v>
      </c>
      <c r="AG347" s="6">
        <f ca="1">$O$347*$AA$347</f>
        <v>6969.1213799999987</v>
      </c>
    </row>
    <row r="348" spans="1:33" ht="11.25" customHeight="1" x14ac:dyDescent="0.25">
      <c r="A348" s="4" t="s">
        <v>28</v>
      </c>
      <c r="B348" s="4" t="s">
        <v>22</v>
      </c>
      <c r="C348" s="4" t="s">
        <v>23</v>
      </c>
      <c r="D348" s="4" t="s">
        <v>24</v>
      </c>
      <c r="E348" s="4" t="s">
        <v>24</v>
      </c>
      <c r="F348" s="4" t="s">
        <v>25</v>
      </c>
      <c r="G348" s="4" t="s">
        <v>25</v>
      </c>
      <c r="H348" s="4" t="s">
        <v>25</v>
      </c>
      <c r="I348" s="5">
        <v>44593</v>
      </c>
      <c r="J348" s="6">
        <v>0</v>
      </c>
      <c r="K348" s="6">
        <v>0</v>
      </c>
      <c r="L348" s="6">
        <v>0.34799999999999998</v>
      </c>
      <c r="M348" s="6">
        <v>0.34799999999999998</v>
      </c>
      <c r="N348" s="6">
        <v>0.34799999999999998</v>
      </c>
      <c r="O348" s="6">
        <v>0.34799999999999998</v>
      </c>
      <c r="P348" s="6">
        <v>2</v>
      </c>
      <c r="Q348" s="4" t="s">
        <v>26</v>
      </c>
      <c r="R348" s="4">
        <v>0</v>
      </c>
      <c r="S348" s="6">
        <v>0</v>
      </c>
      <c r="T348" s="6">
        <v>2</v>
      </c>
      <c r="U348" s="6">
        <v>41</v>
      </c>
      <c r="V348" s="6">
        <f>IF(ISERROR(VLOOKUP($S$348,'TAR FIN'!$A$1:$O$86,15,0)),0,VLOOKUP($S$348,'TAR FIN'!$A$1:$O$86,15,0))</f>
        <v>0</v>
      </c>
      <c r="W348" s="6">
        <f>IF(ISERROR(VLOOKUP($T$348,'TAR FIN'!$A$1:$O$86,15,0)),0,VLOOKUP($T$348,'TAR FIN'!$A$1:$O$86,15,0))</f>
        <v>338.51</v>
      </c>
      <c r="X348" s="6">
        <f>IF(ISERROR(VLOOKUP($U$348,'TAR FIN'!$A$1:$O$86,15,0)),0,VLOOKUP($U$348,'TAR FIN'!$A$1:$O$86,15,0))</f>
        <v>224.01</v>
      </c>
      <c r="Y348" s="6"/>
      <c r="Z348" s="6">
        <f ca="1">('TUSD BE'!$AM$20+'TUSD BF_350'!$AM$20+'TUSD CVA'!$AM$20)*1</f>
        <v>310.49</v>
      </c>
      <c r="AA348" s="6">
        <f ca="1">('TE BE'!$AB$11+'TE BF_350'!$AB$11+'TE CVA'!$AB$11)*1</f>
        <v>262.52999999999997</v>
      </c>
      <c r="AB348" s="6">
        <f>$K$348*$V$348</f>
        <v>0</v>
      </c>
      <c r="AC348" s="6">
        <f>$M$348*$W$348</f>
        <v>117.80147999999998</v>
      </c>
      <c r="AD348" s="6">
        <f>$O$348*$X$348</f>
        <v>77.955479999999994</v>
      </c>
      <c r="AE348" s="6">
        <f>$K$348*$Y$348</f>
        <v>0</v>
      </c>
      <c r="AF348" s="6">
        <f ca="1">$M$348*$Z$348</f>
        <v>108.05051999999999</v>
      </c>
      <c r="AG348" s="6">
        <f ca="1">$O$348*$AA$348</f>
        <v>91.360439999999983</v>
      </c>
    </row>
    <row r="349" spans="1:33" ht="11.25" customHeight="1" x14ac:dyDescent="0.25">
      <c r="A349" s="4" t="s">
        <v>21</v>
      </c>
      <c r="B349" s="4" t="s">
        <v>22</v>
      </c>
      <c r="C349" s="4" t="s">
        <v>23</v>
      </c>
      <c r="D349" s="4" t="s">
        <v>24</v>
      </c>
      <c r="E349" s="4" t="s">
        <v>24</v>
      </c>
      <c r="F349" s="4" t="s">
        <v>25</v>
      </c>
      <c r="G349" s="4" t="s">
        <v>25</v>
      </c>
      <c r="H349" s="4" t="s">
        <v>25</v>
      </c>
      <c r="I349" s="5">
        <v>44621</v>
      </c>
      <c r="J349" s="6">
        <v>0</v>
      </c>
      <c r="K349" s="6">
        <v>0</v>
      </c>
      <c r="L349" s="6">
        <v>6618.0469999999996</v>
      </c>
      <c r="M349" s="6">
        <v>6618.0469999999996</v>
      </c>
      <c r="N349" s="6">
        <v>6618.0469999999996</v>
      </c>
      <c r="O349" s="6">
        <v>6618.0469999999996</v>
      </c>
      <c r="P349" s="6">
        <v>34509</v>
      </c>
      <c r="Q349" s="4" t="s">
        <v>26</v>
      </c>
      <c r="R349" s="4">
        <v>0</v>
      </c>
      <c r="S349" s="6">
        <v>0</v>
      </c>
      <c r="T349" s="6">
        <v>2</v>
      </c>
      <c r="U349" s="6">
        <v>41</v>
      </c>
      <c r="V349" s="6">
        <f>IF(ISERROR(VLOOKUP($S$349,'TAR FIN'!$A$1:$O$86,15,0)),0,VLOOKUP($S$349,'TAR FIN'!$A$1:$O$86,15,0))</f>
        <v>0</v>
      </c>
      <c r="W349" s="6">
        <f>IF(ISERROR(VLOOKUP($T$349,'TAR FIN'!$A$1:$O$86,15,0)),0,VLOOKUP($T$349,'TAR FIN'!$A$1:$O$86,15,0))</f>
        <v>338.51</v>
      </c>
      <c r="X349" s="6">
        <f>IF(ISERROR(VLOOKUP($U$349,'TAR FIN'!$A$1:$O$86,15,0)),0,VLOOKUP($U$349,'TAR FIN'!$A$1:$O$86,15,0))</f>
        <v>224.01</v>
      </c>
      <c r="Y349" s="6"/>
      <c r="Z349" s="6">
        <f ca="1">('TUSD BE'!$AM$20+'TUSD BF_350'!$AM$20+'TUSD CVA'!$AM$20)*1</f>
        <v>310.49</v>
      </c>
      <c r="AA349" s="6">
        <f ca="1">('TE BE'!$AB$11+'TE BF_350'!$AB$11+'TE CVA'!$AB$11)*1</f>
        <v>262.52999999999997</v>
      </c>
      <c r="AB349" s="6">
        <f>$K$349*$V$349</f>
        <v>0</v>
      </c>
      <c r="AC349" s="6">
        <f>$M$349*$W$349</f>
        <v>2240275.0899699996</v>
      </c>
      <c r="AD349" s="6">
        <f>$O$349*$X$349</f>
        <v>1482508.70847</v>
      </c>
      <c r="AE349" s="6">
        <f>$K$349*$Y$349</f>
        <v>0</v>
      </c>
      <c r="AF349" s="6">
        <f ca="1">$M$349*$Z$349</f>
        <v>2054837.4130299999</v>
      </c>
      <c r="AG349" s="6">
        <f ca="1">$O$349*$AA$349</f>
        <v>1737435.8789099997</v>
      </c>
    </row>
    <row r="350" spans="1:33" ht="11.25" customHeight="1" x14ac:dyDescent="0.25">
      <c r="A350" s="4" t="s">
        <v>27</v>
      </c>
      <c r="B350" s="4" t="s">
        <v>22</v>
      </c>
      <c r="C350" s="4" t="s">
        <v>23</v>
      </c>
      <c r="D350" s="4" t="s">
        <v>24</v>
      </c>
      <c r="E350" s="4" t="s">
        <v>24</v>
      </c>
      <c r="F350" s="4" t="s">
        <v>25</v>
      </c>
      <c r="G350" s="4" t="s">
        <v>25</v>
      </c>
      <c r="H350" s="4" t="s">
        <v>25</v>
      </c>
      <c r="I350" s="5">
        <v>44621</v>
      </c>
      <c r="J350" s="6">
        <v>0</v>
      </c>
      <c r="K350" s="6">
        <v>0</v>
      </c>
      <c r="L350" s="6">
        <v>-17.483000000000001</v>
      </c>
      <c r="M350" s="6">
        <v>-17.483000000000001</v>
      </c>
      <c r="N350" s="6">
        <v>-17.483000000000001</v>
      </c>
      <c r="O350" s="6">
        <v>-17.483000000000001</v>
      </c>
      <c r="P350" s="6">
        <v>0</v>
      </c>
      <c r="Q350" s="4" t="s">
        <v>26</v>
      </c>
      <c r="R350" s="4">
        <v>0</v>
      </c>
      <c r="S350" s="6">
        <v>0</v>
      </c>
      <c r="T350" s="6">
        <v>2</v>
      </c>
      <c r="U350" s="6">
        <v>41</v>
      </c>
      <c r="V350" s="6">
        <f>IF(ISERROR(VLOOKUP($S$350,'TAR FIN'!$A$1:$O$86,15,0)),0,VLOOKUP($S$350,'TAR FIN'!$A$1:$O$86,15,0))</f>
        <v>0</v>
      </c>
      <c r="W350" s="6">
        <f>IF(ISERROR(VLOOKUP($T$350,'TAR FIN'!$A$1:$O$86,15,0)),0,VLOOKUP($T$350,'TAR FIN'!$A$1:$O$86,15,0))</f>
        <v>338.51</v>
      </c>
      <c r="X350" s="6">
        <f>IF(ISERROR(VLOOKUP($U$350,'TAR FIN'!$A$1:$O$86,15,0)),0,VLOOKUP($U$350,'TAR FIN'!$A$1:$O$86,15,0))</f>
        <v>224.01</v>
      </c>
      <c r="Y350" s="6"/>
      <c r="Z350" s="6">
        <f ca="1">('TUSD BE'!$AM$20+'TUSD BF_350'!$AM$20+'TUSD CVA'!$AM$20)*1</f>
        <v>310.49</v>
      </c>
      <c r="AA350" s="6">
        <f ca="1">('TE BE'!$AB$11+'TE BF_350'!$AB$11+'TE CVA'!$AB$11)*1</f>
        <v>262.52999999999997</v>
      </c>
      <c r="AB350" s="6">
        <f>$K$350*$V$350</f>
        <v>0</v>
      </c>
      <c r="AC350" s="6">
        <f>$M$350*$W$350</f>
        <v>-5918.1703299999999</v>
      </c>
      <c r="AD350" s="6">
        <f>$O$350*$X$350</f>
        <v>-3916.3668299999999</v>
      </c>
      <c r="AE350" s="6">
        <f>$K$350*$Y$350</f>
        <v>0</v>
      </c>
      <c r="AF350" s="6">
        <f ca="1">$M$350*$Z$350</f>
        <v>-5428.2966700000006</v>
      </c>
      <c r="AG350" s="6">
        <f ca="1">$O$350*$AA$350</f>
        <v>-4589.8119899999992</v>
      </c>
    </row>
    <row r="351" spans="1:33" ht="11.25" customHeight="1" x14ac:dyDescent="0.25">
      <c r="A351" s="4" t="s">
        <v>28</v>
      </c>
      <c r="B351" s="4" t="s">
        <v>22</v>
      </c>
      <c r="C351" s="4" t="s">
        <v>23</v>
      </c>
      <c r="D351" s="4" t="s">
        <v>24</v>
      </c>
      <c r="E351" s="4" t="s">
        <v>24</v>
      </c>
      <c r="F351" s="4" t="s">
        <v>25</v>
      </c>
      <c r="G351" s="4" t="s">
        <v>25</v>
      </c>
      <c r="H351" s="4" t="s">
        <v>25</v>
      </c>
      <c r="I351" s="5">
        <v>44621</v>
      </c>
      <c r="J351" s="6">
        <v>0</v>
      </c>
      <c r="K351" s="6">
        <v>0</v>
      </c>
      <c r="L351" s="6">
        <v>28.388000000000002</v>
      </c>
      <c r="M351" s="6">
        <v>28.388000000000002</v>
      </c>
      <c r="N351" s="6">
        <v>28.388000000000002</v>
      </c>
      <c r="O351" s="6">
        <v>28.388000000000002</v>
      </c>
      <c r="P351" s="6">
        <v>137</v>
      </c>
      <c r="Q351" s="4" t="s">
        <v>26</v>
      </c>
      <c r="R351" s="4">
        <v>0</v>
      </c>
      <c r="S351" s="6">
        <v>0</v>
      </c>
      <c r="T351" s="6">
        <v>2</v>
      </c>
      <c r="U351" s="6">
        <v>41</v>
      </c>
      <c r="V351" s="6">
        <f>IF(ISERROR(VLOOKUP($S$351,'TAR FIN'!$A$1:$O$86,15,0)),0,VLOOKUP($S$351,'TAR FIN'!$A$1:$O$86,15,0))</f>
        <v>0</v>
      </c>
      <c r="W351" s="6">
        <f>IF(ISERROR(VLOOKUP($T$351,'TAR FIN'!$A$1:$O$86,15,0)),0,VLOOKUP($T$351,'TAR FIN'!$A$1:$O$86,15,0))</f>
        <v>338.51</v>
      </c>
      <c r="X351" s="6">
        <f>IF(ISERROR(VLOOKUP($U$351,'TAR FIN'!$A$1:$O$86,15,0)),0,VLOOKUP($U$351,'TAR FIN'!$A$1:$O$86,15,0))</f>
        <v>224.01</v>
      </c>
      <c r="Y351" s="6"/>
      <c r="Z351" s="6">
        <f ca="1">('TUSD BE'!$AM$20+'TUSD BF_350'!$AM$20+'TUSD CVA'!$AM$20)*1</f>
        <v>310.49</v>
      </c>
      <c r="AA351" s="6">
        <f ca="1">('TE BE'!$AB$11+'TE BF_350'!$AB$11+'TE CVA'!$AB$11)*1</f>
        <v>262.52999999999997</v>
      </c>
      <c r="AB351" s="6">
        <f>$K$351*$V$351</f>
        <v>0</v>
      </c>
      <c r="AC351" s="6">
        <f>$M$351*$W$351</f>
        <v>9609.6218800000006</v>
      </c>
      <c r="AD351" s="6">
        <f>$O$351*$X$351</f>
        <v>6359.1958800000002</v>
      </c>
      <c r="AE351" s="6">
        <f>$K$351*$Y$351</f>
        <v>0</v>
      </c>
      <c r="AF351" s="6">
        <f ca="1">$M$351*$Z$351</f>
        <v>8814.1901200000011</v>
      </c>
      <c r="AG351" s="6">
        <f ca="1">$O$351*$AA$351</f>
        <v>7452.7016399999993</v>
      </c>
    </row>
    <row r="352" spans="1:33" ht="11.25" customHeight="1" x14ac:dyDescent="0.25">
      <c r="A352" s="4" t="s">
        <v>21</v>
      </c>
      <c r="B352" s="4" t="s">
        <v>22</v>
      </c>
      <c r="C352" s="4" t="s">
        <v>23</v>
      </c>
      <c r="D352" s="4" t="s">
        <v>24</v>
      </c>
      <c r="E352" s="4" t="s">
        <v>24</v>
      </c>
      <c r="F352" s="4" t="s">
        <v>25</v>
      </c>
      <c r="G352" s="4" t="s">
        <v>25</v>
      </c>
      <c r="H352" s="4" t="s">
        <v>25</v>
      </c>
      <c r="I352" s="5">
        <v>44652</v>
      </c>
      <c r="J352" s="6">
        <v>0</v>
      </c>
      <c r="K352" s="6">
        <v>0</v>
      </c>
      <c r="L352" s="6">
        <v>5701.33</v>
      </c>
      <c r="M352" s="6">
        <v>5701.33</v>
      </c>
      <c r="N352" s="6">
        <v>5701.33</v>
      </c>
      <c r="O352" s="6">
        <v>5701.33</v>
      </c>
      <c r="P352" s="6">
        <v>34551</v>
      </c>
      <c r="Q352" s="4" t="s">
        <v>26</v>
      </c>
      <c r="R352" s="4">
        <v>0</v>
      </c>
      <c r="S352" s="6">
        <v>0</v>
      </c>
      <c r="T352" s="6">
        <v>2</v>
      </c>
      <c r="U352" s="6">
        <v>41</v>
      </c>
      <c r="V352" s="6">
        <f>IF(ISERROR(VLOOKUP($S$352,'TAR FIN'!$A$1:$O$86,15,0)),0,VLOOKUP($S$352,'TAR FIN'!$A$1:$O$86,15,0))</f>
        <v>0</v>
      </c>
      <c r="W352" s="6">
        <f>IF(ISERROR(VLOOKUP($T$352,'TAR FIN'!$A$1:$O$86,15,0)),0,VLOOKUP($T$352,'TAR FIN'!$A$1:$O$86,15,0))</f>
        <v>338.51</v>
      </c>
      <c r="X352" s="6">
        <f>IF(ISERROR(VLOOKUP($U$352,'TAR FIN'!$A$1:$O$86,15,0)),0,VLOOKUP($U$352,'TAR FIN'!$A$1:$O$86,15,0))</f>
        <v>224.01</v>
      </c>
      <c r="Y352" s="6"/>
      <c r="Z352" s="6">
        <f ca="1">('TUSD BE'!$AM$20+'TUSD BF_350'!$AM$20+'TUSD CVA'!$AM$20)*1</f>
        <v>310.49</v>
      </c>
      <c r="AA352" s="6">
        <f ca="1">('TE BE'!$AB$11+'TE BF_350'!$AB$11+'TE CVA'!$AB$11)*1</f>
        <v>262.52999999999997</v>
      </c>
      <c r="AB352" s="6">
        <f>$K$352*$V$352</f>
        <v>0</v>
      </c>
      <c r="AC352" s="6">
        <f>$M$352*$W$352</f>
        <v>1929957.2182999998</v>
      </c>
      <c r="AD352" s="6">
        <f>$O$352*$X$352</f>
        <v>1277154.9332999999</v>
      </c>
      <c r="AE352" s="6">
        <f>$K$352*$Y$352</f>
        <v>0</v>
      </c>
      <c r="AF352" s="6">
        <f ca="1">$M$352*$Z$352</f>
        <v>1770205.9517000001</v>
      </c>
      <c r="AG352" s="6">
        <f ca="1">$O$352*$AA$352</f>
        <v>1496770.1648999997</v>
      </c>
    </row>
    <row r="353" spans="1:33" ht="11.25" customHeight="1" x14ac:dyDescent="0.25">
      <c r="A353" s="4" t="s">
        <v>27</v>
      </c>
      <c r="B353" s="4" t="s">
        <v>22</v>
      </c>
      <c r="C353" s="4" t="s">
        <v>23</v>
      </c>
      <c r="D353" s="4" t="s">
        <v>24</v>
      </c>
      <c r="E353" s="4" t="s">
        <v>24</v>
      </c>
      <c r="F353" s="4" t="s">
        <v>25</v>
      </c>
      <c r="G353" s="4" t="s">
        <v>25</v>
      </c>
      <c r="H353" s="4" t="s">
        <v>25</v>
      </c>
      <c r="I353" s="5">
        <v>44652</v>
      </c>
      <c r="J353" s="6">
        <v>0</v>
      </c>
      <c r="K353" s="6">
        <v>0</v>
      </c>
      <c r="L353" s="6">
        <v>-3.4449999999999998</v>
      </c>
      <c r="M353" s="6">
        <v>-3.4449999999999998</v>
      </c>
      <c r="N353" s="6">
        <v>-3.4449999999999998</v>
      </c>
      <c r="O353" s="6">
        <v>-3.4449999999999998</v>
      </c>
      <c r="P353" s="6">
        <v>0</v>
      </c>
      <c r="Q353" s="4" t="s">
        <v>26</v>
      </c>
      <c r="R353" s="4">
        <v>0</v>
      </c>
      <c r="S353" s="6">
        <v>0</v>
      </c>
      <c r="T353" s="6">
        <v>2</v>
      </c>
      <c r="U353" s="6">
        <v>41</v>
      </c>
      <c r="V353" s="6">
        <f>IF(ISERROR(VLOOKUP($S$353,'TAR FIN'!$A$1:$O$86,15,0)),0,VLOOKUP($S$353,'TAR FIN'!$A$1:$O$86,15,0))</f>
        <v>0</v>
      </c>
      <c r="W353" s="6">
        <f>IF(ISERROR(VLOOKUP($T$353,'TAR FIN'!$A$1:$O$86,15,0)),0,VLOOKUP($T$353,'TAR FIN'!$A$1:$O$86,15,0))</f>
        <v>338.51</v>
      </c>
      <c r="X353" s="6">
        <f>IF(ISERROR(VLOOKUP($U$353,'TAR FIN'!$A$1:$O$86,15,0)),0,VLOOKUP($U$353,'TAR FIN'!$A$1:$O$86,15,0))</f>
        <v>224.01</v>
      </c>
      <c r="Y353" s="6"/>
      <c r="Z353" s="6">
        <f ca="1">('TUSD BE'!$AM$20+'TUSD BF_350'!$AM$20+'TUSD CVA'!$AM$20)*1</f>
        <v>310.49</v>
      </c>
      <c r="AA353" s="6">
        <f ca="1">('TE BE'!$AB$11+'TE BF_350'!$AB$11+'TE CVA'!$AB$11)*1</f>
        <v>262.52999999999997</v>
      </c>
      <c r="AB353" s="6">
        <f>$K$353*$V$353</f>
        <v>0</v>
      </c>
      <c r="AC353" s="6">
        <f>$M$353*$W$353</f>
        <v>-1166.1669499999998</v>
      </c>
      <c r="AD353" s="6">
        <f>$O$353*$X$353</f>
        <v>-771.71444999999994</v>
      </c>
      <c r="AE353" s="6">
        <f>$K$353*$Y$353</f>
        <v>0</v>
      </c>
      <c r="AF353" s="6">
        <f ca="1">$M$353*$Z$353</f>
        <v>-1069.63805</v>
      </c>
      <c r="AG353" s="6">
        <f ca="1">$O$353*$AA$353</f>
        <v>-904.41584999999986</v>
      </c>
    </row>
    <row r="354" spans="1:33" ht="11.25" customHeight="1" x14ac:dyDescent="0.25">
      <c r="A354" s="4" t="s">
        <v>28</v>
      </c>
      <c r="B354" s="4" t="s">
        <v>22</v>
      </c>
      <c r="C354" s="4" t="s">
        <v>23</v>
      </c>
      <c r="D354" s="4" t="s">
        <v>24</v>
      </c>
      <c r="E354" s="4" t="s">
        <v>24</v>
      </c>
      <c r="F354" s="4" t="s">
        <v>25</v>
      </c>
      <c r="G354" s="4" t="s">
        <v>25</v>
      </c>
      <c r="H354" s="4" t="s">
        <v>25</v>
      </c>
      <c r="I354" s="5">
        <v>44652</v>
      </c>
      <c r="J354" s="6">
        <v>0</v>
      </c>
      <c r="K354" s="6">
        <v>0</v>
      </c>
      <c r="L354" s="6">
        <v>25.193000000000001</v>
      </c>
      <c r="M354" s="6">
        <v>25.193000000000001</v>
      </c>
      <c r="N354" s="6">
        <v>25.193000000000001</v>
      </c>
      <c r="O354" s="6">
        <v>25.193000000000001</v>
      </c>
      <c r="P354" s="6">
        <v>149</v>
      </c>
      <c r="Q354" s="4" t="s">
        <v>26</v>
      </c>
      <c r="R354" s="4">
        <v>0</v>
      </c>
      <c r="S354" s="6">
        <v>0</v>
      </c>
      <c r="T354" s="6">
        <v>2</v>
      </c>
      <c r="U354" s="6">
        <v>41</v>
      </c>
      <c r="V354" s="6">
        <f>IF(ISERROR(VLOOKUP($S$354,'TAR FIN'!$A$1:$O$86,15,0)),0,VLOOKUP($S$354,'TAR FIN'!$A$1:$O$86,15,0))</f>
        <v>0</v>
      </c>
      <c r="W354" s="6">
        <f>IF(ISERROR(VLOOKUP($T$354,'TAR FIN'!$A$1:$O$86,15,0)),0,VLOOKUP($T$354,'TAR FIN'!$A$1:$O$86,15,0))</f>
        <v>338.51</v>
      </c>
      <c r="X354" s="6">
        <f>IF(ISERROR(VLOOKUP($U$354,'TAR FIN'!$A$1:$O$86,15,0)),0,VLOOKUP($U$354,'TAR FIN'!$A$1:$O$86,15,0))</f>
        <v>224.01</v>
      </c>
      <c r="Y354" s="6"/>
      <c r="Z354" s="6">
        <f ca="1">('TUSD BE'!$AM$20+'TUSD BF_350'!$AM$20+'TUSD CVA'!$AM$20)*1</f>
        <v>310.49</v>
      </c>
      <c r="AA354" s="6">
        <f ca="1">('TE BE'!$AB$11+'TE BF_350'!$AB$11+'TE CVA'!$AB$11)*1</f>
        <v>262.52999999999997</v>
      </c>
      <c r="AB354" s="6">
        <f>$K$354*$V$354</f>
        <v>0</v>
      </c>
      <c r="AC354" s="6">
        <f>$M$354*$W$354</f>
        <v>8528.0824300000004</v>
      </c>
      <c r="AD354" s="6">
        <f>$O$354*$X$354</f>
        <v>5643.4839300000003</v>
      </c>
      <c r="AE354" s="6">
        <f>$K$354*$Y$354</f>
        <v>0</v>
      </c>
      <c r="AF354" s="6">
        <f ca="1">$M$354*$Z$354</f>
        <v>7822.174570000001</v>
      </c>
      <c r="AG354" s="6">
        <f ca="1">$O$354*$AA$354</f>
        <v>6613.9182899999996</v>
      </c>
    </row>
    <row r="355" spans="1:33" ht="11.25" customHeight="1" x14ac:dyDescent="0.25">
      <c r="A355" s="4" t="s">
        <v>21</v>
      </c>
      <c r="B355" s="4" t="s">
        <v>22</v>
      </c>
      <c r="C355" s="4" t="s">
        <v>23</v>
      </c>
      <c r="D355" s="4" t="s">
        <v>24</v>
      </c>
      <c r="E355" s="4" t="s">
        <v>24</v>
      </c>
      <c r="F355" s="4" t="s">
        <v>25</v>
      </c>
      <c r="G355" s="4" t="s">
        <v>25</v>
      </c>
      <c r="H355" s="4" t="s">
        <v>25</v>
      </c>
      <c r="I355" s="5">
        <v>44682</v>
      </c>
      <c r="J355" s="6">
        <v>0</v>
      </c>
      <c r="K355" s="6">
        <v>0</v>
      </c>
      <c r="L355" s="6">
        <v>5303.0519999999997</v>
      </c>
      <c r="M355" s="6">
        <v>5303.0519999999997</v>
      </c>
      <c r="N355" s="6">
        <v>5303.0519999999997</v>
      </c>
      <c r="O355" s="6">
        <v>5303.0519999999997</v>
      </c>
      <c r="P355" s="6">
        <v>34508</v>
      </c>
      <c r="Q355" s="4" t="s">
        <v>26</v>
      </c>
      <c r="R355" s="4">
        <v>0</v>
      </c>
      <c r="S355" s="6">
        <v>0</v>
      </c>
      <c r="T355" s="6">
        <v>2</v>
      </c>
      <c r="U355" s="6">
        <v>41</v>
      </c>
      <c r="V355" s="6">
        <f>IF(ISERROR(VLOOKUP($S$355,'TAR FIN'!$A$1:$O$86,15,0)),0,VLOOKUP($S$355,'TAR FIN'!$A$1:$O$86,15,0))</f>
        <v>0</v>
      </c>
      <c r="W355" s="6">
        <f>IF(ISERROR(VLOOKUP($T$355,'TAR FIN'!$A$1:$O$86,15,0)),0,VLOOKUP($T$355,'TAR FIN'!$A$1:$O$86,15,0))</f>
        <v>338.51</v>
      </c>
      <c r="X355" s="6">
        <f>IF(ISERROR(VLOOKUP($U$355,'TAR FIN'!$A$1:$O$86,15,0)),0,VLOOKUP($U$355,'TAR FIN'!$A$1:$O$86,15,0))</f>
        <v>224.01</v>
      </c>
      <c r="Y355" s="6"/>
      <c r="Z355" s="6">
        <f ca="1">('TUSD BE'!$AM$20+'TUSD BF_350'!$AM$20+'TUSD CVA'!$AM$20)*1</f>
        <v>310.49</v>
      </c>
      <c r="AA355" s="6">
        <f ca="1">('TE BE'!$AB$11+'TE BF_350'!$AB$11+'TE CVA'!$AB$11)*1</f>
        <v>262.52999999999997</v>
      </c>
      <c r="AB355" s="6">
        <f>$K$355*$V$355</f>
        <v>0</v>
      </c>
      <c r="AC355" s="6">
        <f>$M$355*$W$355</f>
        <v>1795136.1325199998</v>
      </c>
      <c r="AD355" s="6">
        <f>$O$355*$X$355</f>
        <v>1187936.6785199998</v>
      </c>
      <c r="AE355" s="6">
        <f>$K$355*$Y$355</f>
        <v>0</v>
      </c>
      <c r="AF355" s="6">
        <f ca="1">$M$355*$Z$355</f>
        <v>1646544.6154799999</v>
      </c>
      <c r="AG355" s="6">
        <f ca="1">$O$355*$AA$355</f>
        <v>1392210.2415599998</v>
      </c>
    </row>
    <row r="356" spans="1:33" ht="11.25" customHeight="1" x14ac:dyDescent="0.25">
      <c r="A356" s="4" t="s">
        <v>27</v>
      </c>
      <c r="B356" s="4" t="s">
        <v>22</v>
      </c>
      <c r="C356" s="4" t="s">
        <v>23</v>
      </c>
      <c r="D356" s="4" t="s">
        <v>24</v>
      </c>
      <c r="E356" s="4" t="s">
        <v>24</v>
      </c>
      <c r="F356" s="4" t="s">
        <v>25</v>
      </c>
      <c r="G356" s="4" t="s">
        <v>25</v>
      </c>
      <c r="H356" s="4" t="s">
        <v>25</v>
      </c>
      <c r="I356" s="5">
        <v>44682</v>
      </c>
      <c r="J356" s="6">
        <v>0</v>
      </c>
      <c r="K356" s="6">
        <v>0</v>
      </c>
      <c r="L356" s="6">
        <v>-6.3440000000000003</v>
      </c>
      <c r="M356" s="6">
        <v>-6.3440000000000003</v>
      </c>
      <c r="N356" s="6">
        <v>-6.3440000000000003</v>
      </c>
      <c r="O356" s="6">
        <v>-6.3440000000000003</v>
      </c>
      <c r="P356" s="6">
        <v>0</v>
      </c>
      <c r="Q356" s="4" t="s">
        <v>26</v>
      </c>
      <c r="R356" s="4">
        <v>0</v>
      </c>
      <c r="S356" s="6">
        <v>0</v>
      </c>
      <c r="T356" s="6">
        <v>2</v>
      </c>
      <c r="U356" s="6">
        <v>41</v>
      </c>
      <c r="V356" s="6">
        <f>IF(ISERROR(VLOOKUP($S$356,'TAR FIN'!$A$1:$O$86,15,0)),0,VLOOKUP($S$356,'TAR FIN'!$A$1:$O$86,15,0))</f>
        <v>0</v>
      </c>
      <c r="W356" s="6">
        <f>IF(ISERROR(VLOOKUP($T$356,'TAR FIN'!$A$1:$O$86,15,0)),0,VLOOKUP($T$356,'TAR FIN'!$A$1:$O$86,15,0))</f>
        <v>338.51</v>
      </c>
      <c r="X356" s="6">
        <f>IF(ISERROR(VLOOKUP($U$356,'TAR FIN'!$A$1:$O$86,15,0)),0,VLOOKUP($U$356,'TAR FIN'!$A$1:$O$86,15,0))</f>
        <v>224.01</v>
      </c>
      <c r="Y356" s="6"/>
      <c r="Z356" s="6">
        <f ca="1">('TUSD BE'!$AM$20+'TUSD BF_350'!$AM$20+'TUSD CVA'!$AM$20)*1</f>
        <v>310.49</v>
      </c>
      <c r="AA356" s="6">
        <f ca="1">('TE BE'!$AB$11+'TE BF_350'!$AB$11+'TE CVA'!$AB$11)*1</f>
        <v>262.52999999999997</v>
      </c>
      <c r="AB356" s="6">
        <f>$K$356*$V$356</f>
        <v>0</v>
      </c>
      <c r="AC356" s="6">
        <f>$M$356*$W$356</f>
        <v>-2147.5074399999999</v>
      </c>
      <c r="AD356" s="6">
        <f>$O$356*$X$356</f>
        <v>-1421.1194399999999</v>
      </c>
      <c r="AE356" s="6">
        <f>$K$356*$Y$356</f>
        <v>0</v>
      </c>
      <c r="AF356" s="6">
        <f ca="1">$M$356*$Z$356</f>
        <v>-1969.7485600000002</v>
      </c>
      <c r="AG356" s="6">
        <f ca="1">$O$356*$AA$356</f>
        <v>-1665.4903199999999</v>
      </c>
    </row>
    <row r="357" spans="1:33" ht="11.25" customHeight="1" x14ac:dyDescent="0.25">
      <c r="A357" s="4" t="s">
        <v>28</v>
      </c>
      <c r="B357" s="4" t="s">
        <v>22</v>
      </c>
      <c r="C357" s="4" t="s">
        <v>23</v>
      </c>
      <c r="D357" s="4" t="s">
        <v>24</v>
      </c>
      <c r="E357" s="4" t="s">
        <v>24</v>
      </c>
      <c r="F357" s="4" t="s">
        <v>25</v>
      </c>
      <c r="G357" s="4" t="s">
        <v>25</v>
      </c>
      <c r="H357" s="4" t="s">
        <v>25</v>
      </c>
      <c r="I357" s="5">
        <v>44682</v>
      </c>
      <c r="J357" s="6">
        <v>0</v>
      </c>
      <c r="K357" s="6">
        <v>0</v>
      </c>
      <c r="L357" s="6">
        <v>25.428999999999998</v>
      </c>
      <c r="M357" s="6">
        <v>25.428999999999998</v>
      </c>
      <c r="N357" s="6">
        <v>25.428999999999998</v>
      </c>
      <c r="O357" s="6">
        <v>25.428999999999998</v>
      </c>
      <c r="P357" s="6">
        <v>161</v>
      </c>
      <c r="Q357" s="4" t="s">
        <v>26</v>
      </c>
      <c r="R357" s="4">
        <v>0</v>
      </c>
      <c r="S357" s="6">
        <v>0</v>
      </c>
      <c r="T357" s="6">
        <v>2</v>
      </c>
      <c r="U357" s="6">
        <v>41</v>
      </c>
      <c r="V357" s="6">
        <f>IF(ISERROR(VLOOKUP($S$357,'TAR FIN'!$A$1:$O$86,15,0)),0,VLOOKUP($S$357,'TAR FIN'!$A$1:$O$86,15,0))</f>
        <v>0</v>
      </c>
      <c r="W357" s="6">
        <f>IF(ISERROR(VLOOKUP($T$357,'TAR FIN'!$A$1:$O$86,15,0)),0,VLOOKUP($T$357,'TAR FIN'!$A$1:$O$86,15,0))</f>
        <v>338.51</v>
      </c>
      <c r="X357" s="6">
        <f>IF(ISERROR(VLOOKUP($U$357,'TAR FIN'!$A$1:$O$86,15,0)),0,VLOOKUP($U$357,'TAR FIN'!$A$1:$O$86,15,0))</f>
        <v>224.01</v>
      </c>
      <c r="Y357" s="6"/>
      <c r="Z357" s="6">
        <f ca="1">('TUSD BE'!$AM$20+'TUSD BF_350'!$AM$20+'TUSD CVA'!$AM$20)*1</f>
        <v>310.49</v>
      </c>
      <c r="AA357" s="6">
        <f ca="1">('TE BE'!$AB$11+'TE BF_350'!$AB$11+'TE CVA'!$AB$11)*1</f>
        <v>262.52999999999997</v>
      </c>
      <c r="AB357" s="6">
        <f>$K$357*$V$357</f>
        <v>0</v>
      </c>
      <c r="AC357" s="6">
        <f>$M$357*$W$357</f>
        <v>8607.9707899999994</v>
      </c>
      <c r="AD357" s="6">
        <f>$O$357*$X$357</f>
        <v>5696.3502899999994</v>
      </c>
      <c r="AE357" s="6">
        <f>$K$357*$Y$357</f>
        <v>0</v>
      </c>
      <c r="AF357" s="6">
        <f ca="1">$M$357*$Z$357</f>
        <v>7895.45021</v>
      </c>
      <c r="AG357" s="6">
        <f ca="1">$O$357*$AA$357</f>
        <v>6675.8753699999988</v>
      </c>
    </row>
    <row r="358" spans="1:33" ht="11.25" customHeight="1" x14ac:dyDescent="0.25">
      <c r="A358" s="4" t="s">
        <v>21</v>
      </c>
      <c r="B358" s="4" t="s">
        <v>22</v>
      </c>
      <c r="C358" s="4" t="s">
        <v>23</v>
      </c>
      <c r="D358" s="4" t="s">
        <v>24</v>
      </c>
      <c r="E358" s="4" t="s">
        <v>24</v>
      </c>
      <c r="F358" s="4" t="s">
        <v>25</v>
      </c>
      <c r="G358" s="4" t="s">
        <v>25</v>
      </c>
      <c r="H358" s="4" t="s">
        <v>25</v>
      </c>
      <c r="I358" s="5">
        <v>44713</v>
      </c>
      <c r="J358" s="6">
        <v>0</v>
      </c>
      <c r="K358" s="6">
        <v>0</v>
      </c>
      <c r="L358" s="6">
        <v>4975.6130000000003</v>
      </c>
      <c r="M358" s="6">
        <v>4975.6130000000003</v>
      </c>
      <c r="N358" s="6">
        <v>4975.6130000000003</v>
      </c>
      <c r="O358" s="6">
        <v>4975.6130000000003</v>
      </c>
      <c r="P358" s="6">
        <v>34371</v>
      </c>
      <c r="Q358" s="4" t="s">
        <v>26</v>
      </c>
      <c r="R358" s="4">
        <v>0</v>
      </c>
      <c r="S358" s="6">
        <v>0</v>
      </c>
      <c r="T358" s="6">
        <v>2</v>
      </c>
      <c r="U358" s="6">
        <v>41</v>
      </c>
      <c r="V358" s="6">
        <f>IF(ISERROR(VLOOKUP($S$358,'TAR FIN'!$A$1:$O$86,15,0)),0,VLOOKUP($S$358,'TAR FIN'!$A$1:$O$86,15,0))</f>
        <v>0</v>
      </c>
      <c r="W358" s="6">
        <f>IF(ISERROR(VLOOKUP($T$358,'TAR FIN'!$A$1:$O$86,15,0)),0,VLOOKUP($T$358,'TAR FIN'!$A$1:$O$86,15,0))</f>
        <v>338.51</v>
      </c>
      <c r="X358" s="6">
        <f>IF(ISERROR(VLOOKUP($U$358,'TAR FIN'!$A$1:$O$86,15,0)),0,VLOOKUP($U$358,'TAR FIN'!$A$1:$O$86,15,0))</f>
        <v>224.01</v>
      </c>
      <c r="Y358" s="6"/>
      <c r="Z358" s="6">
        <f ca="1">('TUSD BE'!$AM$20+'TUSD BF_350'!$AM$20+'TUSD CVA'!$AM$20)*1</f>
        <v>310.49</v>
      </c>
      <c r="AA358" s="6">
        <f ca="1">('TE BE'!$AB$11+'TE BF_350'!$AB$11+'TE CVA'!$AB$11)*1</f>
        <v>262.52999999999997</v>
      </c>
      <c r="AB358" s="6">
        <f>$K$358*$V$358</f>
        <v>0</v>
      </c>
      <c r="AC358" s="6">
        <f>$M$358*$W$358</f>
        <v>1684294.75663</v>
      </c>
      <c r="AD358" s="6">
        <f>$O$358*$X$358</f>
        <v>1114587.06813</v>
      </c>
      <c r="AE358" s="6">
        <f>$K$358*$Y$358</f>
        <v>0</v>
      </c>
      <c r="AF358" s="6">
        <f ca="1">$M$358*$Z$358</f>
        <v>1544878.0803700001</v>
      </c>
      <c r="AG358" s="6">
        <f ca="1">$O$358*$AA$358</f>
        <v>1306247.68089</v>
      </c>
    </row>
    <row r="359" spans="1:33" ht="11.25" customHeight="1" x14ac:dyDescent="0.25">
      <c r="A359" s="4" t="s">
        <v>27</v>
      </c>
      <c r="B359" s="4" t="s">
        <v>22</v>
      </c>
      <c r="C359" s="4" t="s">
        <v>23</v>
      </c>
      <c r="D359" s="4" t="s">
        <v>24</v>
      </c>
      <c r="E359" s="4" t="s">
        <v>24</v>
      </c>
      <c r="F359" s="4" t="s">
        <v>25</v>
      </c>
      <c r="G359" s="4" t="s">
        <v>25</v>
      </c>
      <c r="H359" s="4" t="s">
        <v>25</v>
      </c>
      <c r="I359" s="5">
        <v>44713</v>
      </c>
      <c r="J359" s="6">
        <v>0</v>
      </c>
      <c r="K359" s="6">
        <v>0</v>
      </c>
      <c r="L359" s="6">
        <v>-300.40899999999999</v>
      </c>
      <c r="M359" s="6">
        <v>-300.40899999999999</v>
      </c>
      <c r="N359" s="6">
        <v>-300.40899999999999</v>
      </c>
      <c r="O359" s="6">
        <v>-300.40899999999999</v>
      </c>
      <c r="P359" s="6">
        <v>0</v>
      </c>
      <c r="Q359" s="4" t="s">
        <v>26</v>
      </c>
      <c r="R359" s="4">
        <v>0</v>
      </c>
      <c r="S359" s="6">
        <v>0</v>
      </c>
      <c r="T359" s="6">
        <v>2</v>
      </c>
      <c r="U359" s="6">
        <v>41</v>
      </c>
      <c r="V359" s="6">
        <f>IF(ISERROR(VLOOKUP($S$359,'TAR FIN'!$A$1:$O$86,15,0)),0,VLOOKUP($S$359,'TAR FIN'!$A$1:$O$86,15,0))</f>
        <v>0</v>
      </c>
      <c r="W359" s="6">
        <f>IF(ISERROR(VLOOKUP($T$359,'TAR FIN'!$A$1:$O$86,15,0)),0,VLOOKUP($T$359,'TAR FIN'!$A$1:$O$86,15,0))</f>
        <v>338.51</v>
      </c>
      <c r="X359" s="6">
        <f>IF(ISERROR(VLOOKUP($U$359,'TAR FIN'!$A$1:$O$86,15,0)),0,VLOOKUP($U$359,'TAR FIN'!$A$1:$O$86,15,0))</f>
        <v>224.01</v>
      </c>
      <c r="Y359" s="6"/>
      <c r="Z359" s="6">
        <f ca="1">('TUSD BE'!$AM$20+'TUSD BF_350'!$AM$20+'TUSD CVA'!$AM$20)*1</f>
        <v>310.49</v>
      </c>
      <c r="AA359" s="6">
        <f ca="1">('TE BE'!$AB$11+'TE BF_350'!$AB$11+'TE CVA'!$AB$11)*1</f>
        <v>262.52999999999997</v>
      </c>
      <c r="AB359" s="6">
        <f>$K$359*$V$359</f>
        <v>0</v>
      </c>
      <c r="AC359" s="6">
        <f>$M$359*$W$359</f>
        <v>-101691.45058999999</v>
      </c>
      <c r="AD359" s="6">
        <f>$O$359*$X$359</f>
        <v>-67294.620089999997</v>
      </c>
      <c r="AE359" s="6">
        <f>$K$359*$Y$359</f>
        <v>0</v>
      </c>
      <c r="AF359" s="6">
        <f ca="1">$M$359*$Z$359</f>
        <v>-93273.990409999999</v>
      </c>
      <c r="AG359" s="6">
        <f ca="1">$O$359*$AA$359</f>
        <v>-78866.374769999995</v>
      </c>
    </row>
    <row r="360" spans="1:33" ht="11.25" customHeight="1" x14ac:dyDescent="0.25">
      <c r="A360" s="4" t="s">
        <v>28</v>
      </c>
      <c r="B360" s="4" t="s">
        <v>22</v>
      </c>
      <c r="C360" s="4" t="s">
        <v>23</v>
      </c>
      <c r="D360" s="4" t="s">
        <v>24</v>
      </c>
      <c r="E360" s="4" t="s">
        <v>24</v>
      </c>
      <c r="F360" s="4" t="s">
        <v>25</v>
      </c>
      <c r="G360" s="4" t="s">
        <v>25</v>
      </c>
      <c r="H360" s="4" t="s">
        <v>25</v>
      </c>
      <c r="I360" s="5">
        <v>44713</v>
      </c>
      <c r="J360" s="6">
        <v>0</v>
      </c>
      <c r="K360" s="6">
        <v>0</v>
      </c>
      <c r="L360" s="6">
        <v>32.904000000000003</v>
      </c>
      <c r="M360" s="6">
        <v>32.904000000000003</v>
      </c>
      <c r="N360" s="6">
        <v>32.904000000000003</v>
      </c>
      <c r="O360" s="6">
        <v>32.904000000000003</v>
      </c>
      <c r="P360" s="6">
        <v>168</v>
      </c>
      <c r="Q360" s="4" t="s">
        <v>26</v>
      </c>
      <c r="R360" s="4">
        <v>0</v>
      </c>
      <c r="S360" s="6">
        <v>0</v>
      </c>
      <c r="T360" s="6">
        <v>2</v>
      </c>
      <c r="U360" s="6">
        <v>41</v>
      </c>
      <c r="V360" s="6">
        <f>IF(ISERROR(VLOOKUP($S$360,'TAR FIN'!$A$1:$O$86,15,0)),0,VLOOKUP($S$360,'TAR FIN'!$A$1:$O$86,15,0))</f>
        <v>0</v>
      </c>
      <c r="W360" s="6">
        <f>IF(ISERROR(VLOOKUP($T$360,'TAR FIN'!$A$1:$O$86,15,0)),0,VLOOKUP($T$360,'TAR FIN'!$A$1:$O$86,15,0))</f>
        <v>338.51</v>
      </c>
      <c r="X360" s="6">
        <f>IF(ISERROR(VLOOKUP($U$360,'TAR FIN'!$A$1:$O$86,15,0)),0,VLOOKUP($U$360,'TAR FIN'!$A$1:$O$86,15,0))</f>
        <v>224.01</v>
      </c>
      <c r="Y360" s="6"/>
      <c r="Z360" s="6">
        <f ca="1">('TUSD BE'!$AM$20+'TUSD BF_350'!$AM$20+'TUSD CVA'!$AM$20)*1</f>
        <v>310.49</v>
      </c>
      <c r="AA360" s="6">
        <f ca="1">('TE BE'!$AB$11+'TE BF_350'!$AB$11+'TE CVA'!$AB$11)*1</f>
        <v>262.52999999999997</v>
      </c>
      <c r="AB360" s="6">
        <f>$K$360*$V$360</f>
        <v>0</v>
      </c>
      <c r="AC360" s="6">
        <f>$M$360*$W$360</f>
        <v>11138.333040000001</v>
      </c>
      <c r="AD360" s="6">
        <f>$O$360*$X$360</f>
        <v>7370.8250400000006</v>
      </c>
      <c r="AE360" s="6">
        <f>$K$360*$Y$360</f>
        <v>0</v>
      </c>
      <c r="AF360" s="6">
        <f ca="1">$M$360*$Z$360</f>
        <v>10216.362960000002</v>
      </c>
      <c r="AG360" s="6">
        <f ca="1">$O$360*$AA$360</f>
        <v>8638.2871200000009</v>
      </c>
    </row>
    <row r="361" spans="1:33" ht="11.25" customHeight="1" x14ac:dyDescent="0.25">
      <c r="A361" s="4" t="s">
        <v>55</v>
      </c>
      <c r="B361" s="4" t="s">
        <v>22</v>
      </c>
      <c r="C361" s="4" t="s">
        <v>23</v>
      </c>
      <c r="D361" s="4" t="s">
        <v>24</v>
      </c>
      <c r="E361" s="4" t="s">
        <v>24</v>
      </c>
      <c r="F361" s="4" t="s">
        <v>25</v>
      </c>
      <c r="G361" s="4" t="s">
        <v>25</v>
      </c>
      <c r="H361" s="4" t="s">
        <v>25</v>
      </c>
      <c r="I361" s="5">
        <v>44743</v>
      </c>
      <c r="J361" s="6">
        <v>0</v>
      </c>
      <c r="K361" s="6">
        <v>0</v>
      </c>
      <c r="L361" s="6">
        <v>4975.6130000000003</v>
      </c>
      <c r="M361" s="6">
        <v>4975.6130000000003</v>
      </c>
      <c r="N361" s="6">
        <v>4975.6130000000003</v>
      </c>
      <c r="O361" s="6">
        <v>4975.6130000000003</v>
      </c>
      <c r="P361" s="6">
        <v>34371</v>
      </c>
      <c r="Q361" s="4" t="s">
        <v>26</v>
      </c>
      <c r="R361" s="4">
        <v>0</v>
      </c>
      <c r="S361" s="6">
        <v>0</v>
      </c>
      <c r="T361" s="6">
        <v>2</v>
      </c>
      <c r="U361" s="6">
        <v>41</v>
      </c>
      <c r="V361" s="6">
        <f>IF(ISERROR(VLOOKUP($S$361,'TAR FIN'!$A$1:$O$86,15,0)),0,VLOOKUP($S$361,'TAR FIN'!$A$1:$O$86,15,0))</f>
        <v>0</v>
      </c>
      <c r="W361" s="6">
        <f>IF(ISERROR(VLOOKUP($T$361,'TAR FIN'!$A$1:$O$86,15,0)),0,VLOOKUP($T$361,'TAR FIN'!$A$1:$O$86,15,0))</f>
        <v>338.51</v>
      </c>
      <c r="X361" s="6">
        <f>IF(ISERROR(VLOOKUP($U$361,'TAR FIN'!$A$1:$O$86,15,0)),0,VLOOKUP($U$361,'TAR FIN'!$A$1:$O$86,15,0))</f>
        <v>224.01</v>
      </c>
      <c r="Y361" s="6"/>
      <c r="Z361" s="6">
        <f ca="1">('TUSD BE'!$AM$20+'TUSD BF_350'!$AM$20+'TUSD CVA'!$AM$20)*1</f>
        <v>310.49</v>
      </c>
      <c r="AA361" s="6">
        <f ca="1">('TE BE'!$AB$11+'TE BF_350'!$AB$11+'TE CVA'!$AB$11)*1</f>
        <v>262.52999999999997</v>
      </c>
      <c r="AB361" s="6">
        <f>$K$361*$V$361</f>
        <v>0</v>
      </c>
      <c r="AC361" s="6">
        <f>$M$361*$W$361</f>
        <v>1684294.75663</v>
      </c>
      <c r="AD361" s="6">
        <f>$O$361*$X$361</f>
        <v>1114587.06813</v>
      </c>
      <c r="AE361" s="6">
        <f>$K$361*$Y$361</f>
        <v>0</v>
      </c>
      <c r="AF361" s="6">
        <f ca="1">$M$361*$Z$361</f>
        <v>1544878.0803700001</v>
      </c>
      <c r="AG361" s="6">
        <f ca="1">$O$361*$AA$361</f>
        <v>1306247.68089</v>
      </c>
    </row>
    <row r="362" spans="1:33" ht="11.25" customHeight="1" x14ac:dyDescent="0.25">
      <c r="A362" s="4" t="s">
        <v>55</v>
      </c>
      <c r="B362" s="4" t="s">
        <v>22</v>
      </c>
      <c r="C362" s="4" t="s">
        <v>23</v>
      </c>
      <c r="D362" s="4" t="s">
        <v>24</v>
      </c>
      <c r="E362" s="4" t="s">
        <v>24</v>
      </c>
      <c r="F362" s="4" t="s">
        <v>25</v>
      </c>
      <c r="G362" s="4" t="s">
        <v>25</v>
      </c>
      <c r="H362" s="4" t="s">
        <v>25</v>
      </c>
      <c r="I362" s="5">
        <v>44743</v>
      </c>
      <c r="J362" s="6">
        <v>0</v>
      </c>
      <c r="K362" s="6">
        <v>0</v>
      </c>
      <c r="L362" s="6">
        <v>-300.40899999999999</v>
      </c>
      <c r="M362" s="6">
        <v>-300.40899999999999</v>
      </c>
      <c r="N362" s="6">
        <v>-300.40899999999999</v>
      </c>
      <c r="O362" s="6">
        <v>-300.40899999999999</v>
      </c>
      <c r="P362" s="6">
        <v>0</v>
      </c>
      <c r="Q362" s="4" t="s">
        <v>26</v>
      </c>
      <c r="R362" s="4">
        <v>0</v>
      </c>
      <c r="S362" s="6">
        <v>0</v>
      </c>
      <c r="T362" s="6">
        <v>2</v>
      </c>
      <c r="U362" s="6">
        <v>41</v>
      </c>
      <c r="V362" s="6">
        <f>IF(ISERROR(VLOOKUP($S$362,'TAR FIN'!$A$1:$O$86,15,0)),0,VLOOKUP($S$362,'TAR FIN'!$A$1:$O$86,15,0))</f>
        <v>0</v>
      </c>
      <c r="W362" s="6">
        <f>IF(ISERROR(VLOOKUP($T$362,'TAR FIN'!$A$1:$O$86,15,0)),0,VLOOKUP($T$362,'TAR FIN'!$A$1:$O$86,15,0))</f>
        <v>338.51</v>
      </c>
      <c r="X362" s="6">
        <f>IF(ISERROR(VLOOKUP($U$362,'TAR FIN'!$A$1:$O$86,15,0)),0,VLOOKUP($U$362,'TAR FIN'!$A$1:$O$86,15,0))</f>
        <v>224.01</v>
      </c>
      <c r="Y362" s="6"/>
      <c r="Z362" s="6">
        <f ca="1">('TUSD BE'!$AM$20+'TUSD BF_350'!$AM$20+'TUSD CVA'!$AM$20)*1</f>
        <v>310.49</v>
      </c>
      <c r="AA362" s="6">
        <f ca="1">('TE BE'!$AB$11+'TE BF_350'!$AB$11+'TE CVA'!$AB$11)*1</f>
        <v>262.52999999999997</v>
      </c>
      <c r="AB362" s="6">
        <f>$K$362*$V$362</f>
        <v>0</v>
      </c>
      <c r="AC362" s="6">
        <f>$M$362*$W$362</f>
        <v>-101691.45058999999</v>
      </c>
      <c r="AD362" s="6">
        <f>$O$362*$X$362</f>
        <v>-67294.620089999997</v>
      </c>
      <c r="AE362" s="6">
        <f>$K$362*$Y$362</f>
        <v>0</v>
      </c>
      <c r="AF362" s="6">
        <f ca="1">$M$362*$Z$362</f>
        <v>-93273.990409999999</v>
      </c>
      <c r="AG362" s="6">
        <f ca="1">$O$362*$AA$362</f>
        <v>-78866.374769999995</v>
      </c>
    </row>
    <row r="363" spans="1:33" ht="11.25" customHeight="1" x14ac:dyDescent="0.25">
      <c r="A363" s="4" t="s">
        <v>55</v>
      </c>
      <c r="B363" s="4" t="s">
        <v>22</v>
      </c>
      <c r="C363" s="4" t="s">
        <v>23</v>
      </c>
      <c r="D363" s="4" t="s">
        <v>24</v>
      </c>
      <c r="E363" s="4" t="s">
        <v>24</v>
      </c>
      <c r="F363" s="4" t="s">
        <v>25</v>
      </c>
      <c r="G363" s="4" t="s">
        <v>25</v>
      </c>
      <c r="H363" s="4" t="s">
        <v>25</v>
      </c>
      <c r="I363" s="5">
        <v>44743</v>
      </c>
      <c r="J363" s="6">
        <v>0</v>
      </c>
      <c r="K363" s="6">
        <v>0</v>
      </c>
      <c r="L363" s="6">
        <v>32.904000000000003</v>
      </c>
      <c r="M363" s="6">
        <v>32.904000000000003</v>
      </c>
      <c r="N363" s="6">
        <v>32.904000000000003</v>
      </c>
      <c r="O363" s="6">
        <v>32.904000000000003</v>
      </c>
      <c r="P363" s="6">
        <v>168</v>
      </c>
      <c r="Q363" s="4" t="s">
        <v>26</v>
      </c>
      <c r="R363" s="4">
        <v>0</v>
      </c>
      <c r="S363" s="6">
        <v>0</v>
      </c>
      <c r="T363" s="6">
        <v>2</v>
      </c>
      <c r="U363" s="6">
        <v>41</v>
      </c>
      <c r="V363" s="6">
        <f>IF(ISERROR(VLOOKUP($S$363,'TAR FIN'!$A$1:$O$86,15,0)),0,VLOOKUP($S$363,'TAR FIN'!$A$1:$O$86,15,0))</f>
        <v>0</v>
      </c>
      <c r="W363" s="6">
        <f>IF(ISERROR(VLOOKUP($T$363,'TAR FIN'!$A$1:$O$86,15,0)),0,VLOOKUP($T$363,'TAR FIN'!$A$1:$O$86,15,0))</f>
        <v>338.51</v>
      </c>
      <c r="X363" s="6">
        <f>IF(ISERROR(VLOOKUP($U$363,'TAR FIN'!$A$1:$O$86,15,0)),0,VLOOKUP($U$363,'TAR FIN'!$A$1:$O$86,15,0))</f>
        <v>224.01</v>
      </c>
      <c r="Y363" s="6"/>
      <c r="Z363" s="6">
        <f ca="1">('TUSD BE'!$AM$20+'TUSD BF_350'!$AM$20+'TUSD CVA'!$AM$20)*1</f>
        <v>310.49</v>
      </c>
      <c r="AA363" s="6">
        <f ca="1">('TE BE'!$AB$11+'TE BF_350'!$AB$11+'TE CVA'!$AB$11)*1</f>
        <v>262.52999999999997</v>
      </c>
      <c r="AB363" s="6">
        <f>$K$363*$V$363</f>
        <v>0</v>
      </c>
      <c r="AC363" s="6">
        <f>$M$363*$W$363</f>
        <v>11138.333040000001</v>
      </c>
      <c r="AD363" s="6">
        <f>$O$363*$X$363</f>
        <v>7370.8250400000006</v>
      </c>
      <c r="AE363" s="6">
        <f>$K$363*$Y$363</f>
        <v>0</v>
      </c>
      <c r="AF363" s="6">
        <f ca="1">$M$363*$Z$363</f>
        <v>10216.362960000002</v>
      </c>
      <c r="AG363" s="6">
        <f ca="1">$O$363*$AA$363</f>
        <v>8638.2871200000009</v>
      </c>
    </row>
    <row r="364" spans="1:33" ht="11.25" customHeight="1" x14ac:dyDescent="0.25">
      <c r="A364" s="4" t="s">
        <v>21</v>
      </c>
      <c r="B364" s="4" t="s">
        <v>22</v>
      </c>
      <c r="C364" s="4" t="s">
        <v>23</v>
      </c>
      <c r="D364" s="4" t="s">
        <v>24</v>
      </c>
      <c r="E364" s="4" t="s">
        <v>29</v>
      </c>
      <c r="F364" s="4" t="s">
        <v>25</v>
      </c>
      <c r="G364" s="4" t="s">
        <v>25</v>
      </c>
      <c r="H364" s="4" t="s">
        <v>25</v>
      </c>
      <c r="I364" s="5">
        <v>44409</v>
      </c>
      <c r="J364" s="6">
        <v>0</v>
      </c>
      <c r="K364" s="6">
        <v>0</v>
      </c>
      <c r="L364" s="6">
        <v>39.646000000000001</v>
      </c>
      <c r="M364" s="6">
        <v>39.646000000000001</v>
      </c>
      <c r="N364" s="6">
        <v>39.646000000000001</v>
      </c>
      <c r="O364" s="6">
        <v>39.646000000000001</v>
      </c>
      <c r="P364" s="6">
        <v>69</v>
      </c>
      <c r="Q364" s="4" t="s">
        <v>26</v>
      </c>
      <c r="R364" s="4">
        <v>0</v>
      </c>
      <c r="S364" s="6">
        <v>0</v>
      </c>
      <c r="T364" s="6">
        <v>28</v>
      </c>
      <c r="U364" s="6">
        <v>64</v>
      </c>
      <c r="V364" s="6">
        <f>IF(ISERROR(VLOOKUP($S$364,'TAR FIN'!$A$1:$O$86,15,0)),0,VLOOKUP($S$364,'TAR FIN'!$A$1:$O$86,15,0))</f>
        <v>0</v>
      </c>
      <c r="W364" s="6">
        <f>IF(ISERROR(VLOOKUP($T$364,'TAR FIN'!$A$1:$O$86,15,0)),0,VLOOKUP($T$364,'TAR FIN'!$A$1:$O$86,15,0))</f>
        <v>94.55</v>
      </c>
      <c r="X364" s="6">
        <f>IF(ISERROR(VLOOKUP($U$364,'TAR FIN'!$A$1:$O$86,15,0)),0,VLOOKUP($U$364,'TAR FIN'!$A$1:$O$86,15,0))</f>
        <v>78.400000000000006</v>
      </c>
      <c r="Y364" s="6"/>
      <c r="Z364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65.722999999999999</v>
      </c>
      <c r="AA364" s="6">
        <f ca="1">('TE BE'!$AB$12+'TE BF_350'!$AB$12+'TE CVA'!$AB$12)*(1-CUSTOS!$M$34)</f>
        <v>91.885499999999979</v>
      </c>
      <c r="AB364" s="6">
        <f>$K$364*$V$364</f>
        <v>0</v>
      </c>
      <c r="AC364" s="6">
        <f>$M$364*$W$364</f>
        <v>3748.5293000000001</v>
      </c>
      <c r="AD364" s="6">
        <f>$O$364*$X$364</f>
        <v>3108.2464000000004</v>
      </c>
      <c r="AE364" s="6">
        <f>$K$364*$Y$364</f>
        <v>0</v>
      </c>
      <c r="AF364" s="6">
        <f ca="1">$M$364*$Z$364</f>
        <v>2605.6540580000001</v>
      </c>
      <c r="AG364" s="6">
        <f ca="1">$O$364*$AA$364</f>
        <v>3642.8925329999993</v>
      </c>
    </row>
    <row r="365" spans="1:33" ht="11.25" customHeight="1" x14ac:dyDescent="0.25">
      <c r="A365" s="4" t="s">
        <v>21</v>
      </c>
      <c r="B365" s="4" t="s">
        <v>22</v>
      </c>
      <c r="C365" s="4" t="s">
        <v>23</v>
      </c>
      <c r="D365" s="4" t="s">
        <v>24</v>
      </c>
      <c r="E365" s="4" t="s">
        <v>29</v>
      </c>
      <c r="F365" s="4" t="s">
        <v>25</v>
      </c>
      <c r="G365" s="4" t="s">
        <v>25</v>
      </c>
      <c r="H365" s="4" t="s">
        <v>25</v>
      </c>
      <c r="I365" s="5">
        <v>44440</v>
      </c>
      <c r="J365" s="6">
        <v>0</v>
      </c>
      <c r="K365" s="6">
        <v>0</v>
      </c>
      <c r="L365" s="6">
        <v>40.024999999999999</v>
      </c>
      <c r="M365" s="6">
        <v>40.024999999999999</v>
      </c>
      <c r="N365" s="6">
        <v>40.024999999999999</v>
      </c>
      <c r="O365" s="6">
        <v>40.024999999999999</v>
      </c>
      <c r="P365" s="6">
        <v>62</v>
      </c>
      <c r="Q365" s="4" t="s">
        <v>26</v>
      </c>
      <c r="R365" s="4">
        <v>0</v>
      </c>
      <c r="S365" s="6">
        <v>0</v>
      </c>
      <c r="T365" s="6">
        <v>28</v>
      </c>
      <c r="U365" s="6">
        <v>64</v>
      </c>
      <c r="V365" s="6">
        <f>IF(ISERROR(VLOOKUP($S$365,'TAR FIN'!$A$1:$O$86,15,0)),0,VLOOKUP($S$365,'TAR FIN'!$A$1:$O$86,15,0))</f>
        <v>0</v>
      </c>
      <c r="W365" s="6">
        <f>IF(ISERROR(VLOOKUP($T$365,'TAR FIN'!$A$1:$O$86,15,0)),0,VLOOKUP($T$365,'TAR FIN'!$A$1:$O$86,15,0))</f>
        <v>94.55</v>
      </c>
      <c r="X365" s="6">
        <f>IF(ISERROR(VLOOKUP($U$365,'TAR FIN'!$A$1:$O$86,15,0)),0,VLOOKUP($U$365,'TAR FIN'!$A$1:$O$86,15,0))</f>
        <v>78.400000000000006</v>
      </c>
      <c r="Y365" s="6"/>
      <c r="Z365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65.722999999999999</v>
      </c>
      <c r="AA365" s="6">
        <f ca="1">('TE BE'!$AB$12+'TE BF_350'!$AB$12+'TE CVA'!$AB$12)*(1-CUSTOS!$M$34)</f>
        <v>91.885499999999979</v>
      </c>
      <c r="AB365" s="6">
        <f>$K$365*$V$365</f>
        <v>0</v>
      </c>
      <c r="AC365" s="6">
        <f>$M$365*$W$365</f>
        <v>3784.3637499999995</v>
      </c>
      <c r="AD365" s="6">
        <f>$O$365*$X$365</f>
        <v>3137.96</v>
      </c>
      <c r="AE365" s="6">
        <f>$K$365*$Y$365</f>
        <v>0</v>
      </c>
      <c r="AF365" s="6">
        <f ca="1">$M$365*$Z$365</f>
        <v>2630.563075</v>
      </c>
      <c r="AG365" s="6">
        <f ca="1">$O$365*$AA$365</f>
        <v>3677.7171374999989</v>
      </c>
    </row>
    <row r="366" spans="1:33" ht="11.25" customHeight="1" x14ac:dyDescent="0.25">
      <c r="A366" s="4" t="s">
        <v>21</v>
      </c>
      <c r="B366" s="4" t="s">
        <v>22</v>
      </c>
      <c r="C366" s="4" t="s">
        <v>23</v>
      </c>
      <c r="D366" s="4" t="s">
        <v>24</v>
      </c>
      <c r="E366" s="4" t="s">
        <v>29</v>
      </c>
      <c r="F366" s="4" t="s">
        <v>25</v>
      </c>
      <c r="G366" s="4" t="s">
        <v>25</v>
      </c>
      <c r="H366" s="4" t="s">
        <v>25</v>
      </c>
      <c r="I366" s="5">
        <v>44470</v>
      </c>
      <c r="J366" s="6">
        <v>0</v>
      </c>
      <c r="K366" s="6">
        <v>0</v>
      </c>
      <c r="L366" s="6">
        <v>40.651000000000003</v>
      </c>
      <c r="M366" s="6">
        <v>40.651000000000003</v>
      </c>
      <c r="N366" s="6">
        <v>40.651000000000003</v>
      </c>
      <c r="O366" s="6">
        <v>40.651000000000003</v>
      </c>
      <c r="P366" s="6">
        <v>62</v>
      </c>
      <c r="Q366" s="4" t="s">
        <v>26</v>
      </c>
      <c r="R366" s="4">
        <v>0</v>
      </c>
      <c r="S366" s="6">
        <v>0</v>
      </c>
      <c r="T366" s="6">
        <v>28</v>
      </c>
      <c r="U366" s="6">
        <v>64</v>
      </c>
      <c r="V366" s="6">
        <f>IF(ISERROR(VLOOKUP($S$366,'TAR FIN'!$A$1:$O$86,15,0)),0,VLOOKUP($S$366,'TAR FIN'!$A$1:$O$86,15,0))</f>
        <v>0</v>
      </c>
      <c r="W366" s="6">
        <f>IF(ISERROR(VLOOKUP($T$366,'TAR FIN'!$A$1:$O$86,15,0)),0,VLOOKUP($T$366,'TAR FIN'!$A$1:$O$86,15,0))</f>
        <v>94.55</v>
      </c>
      <c r="X366" s="6">
        <f>IF(ISERROR(VLOOKUP($U$366,'TAR FIN'!$A$1:$O$86,15,0)),0,VLOOKUP($U$366,'TAR FIN'!$A$1:$O$86,15,0))</f>
        <v>78.400000000000006</v>
      </c>
      <c r="Y366" s="6"/>
      <c r="Z366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65.722999999999999</v>
      </c>
      <c r="AA366" s="6">
        <f ca="1">('TE BE'!$AB$12+'TE BF_350'!$AB$12+'TE CVA'!$AB$12)*(1-CUSTOS!$M$34)</f>
        <v>91.885499999999979</v>
      </c>
      <c r="AB366" s="6">
        <f>$K$366*$V$366</f>
        <v>0</v>
      </c>
      <c r="AC366" s="6">
        <f>$M$366*$W$366</f>
        <v>3843.5520500000002</v>
      </c>
      <c r="AD366" s="6">
        <f>$O$366*$X$366</f>
        <v>3187.0384000000004</v>
      </c>
      <c r="AE366" s="6">
        <f>$K$366*$Y$366</f>
        <v>0</v>
      </c>
      <c r="AF366" s="6">
        <f ca="1">$M$366*$Z$366</f>
        <v>2671.7056730000004</v>
      </c>
      <c r="AG366" s="6">
        <f ca="1">$O$366*$AA$366</f>
        <v>3735.2374604999995</v>
      </c>
    </row>
    <row r="367" spans="1:33" ht="11.25" customHeight="1" x14ac:dyDescent="0.25">
      <c r="A367" s="4" t="s">
        <v>21</v>
      </c>
      <c r="B367" s="4" t="s">
        <v>22</v>
      </c>
      <c r="C367" s="4" t="s">
        <v>23</v>
      </c>
      <c r="D367" s="4" t="s">
        <v>24</v>
      </c>
      <c r="E367" s="4" t="s">
        <v>29</v>
      </c>
      <c r="F367" s="4" t="s">
        <v>25</v>
      </c>
      <c r="G367" s="4" t="s">
        <v>25</v>
      </c>
      <c r="H367" s="4" t="s">
        <v>25</v>
      </c>
      <c r="I367" s="5">
        <v>44501</v>
      </c>
      <c r="J367" s="6">
        <v>0</v>
      </c>
      <c r="K367" s="6">
        <v>0</v>
      </c>
      <c r="L367" s="6">
        <v>40.799999999999997</v>
      </c>
      <c r="M367" s="6">
        <v>40.799999999999997</v>
      </c>
      <c r="N367" s="6">
        <v>40.799999999999997</v>
      </c>
      <c r="O367" s="6">
        <v>40.799999999999997</v>
      </c>
      <c r="P367" s="6">
        <v>62</v>
      </c>
      <c r="Q367" s="4" t="s">
        <v>26</v>
      </c>
      <c r="R367" s="4">
        <v>0</v>
      </c>
      <c r="S367" s="6">
        <v>0</v>
      </c>
      <c r="T367" s="6">
        <v>28</v>
      </c>
      <c r="U367" s="6">
        <v>64</v>
      </c>
      <c r="V367" s="6">
        <f>IF(ISERROR(VLOOKUP($S$367,'TAR FIN'!$A$1:$O$86,15,0)),0,VLOOKUP($S$367,'TAR FIN'!$A$1:$O$86,15,0))</f>
        <v>0</v>
      </c>
      <c r="W367" s="6">
        <f>IF(ISERROR(VLOOKUP($T$367,'TAR FIN'!$A$1:$O$86,15,0)),0,VLOOKUP($T$367,'TAR FIN'!$A$1:$O$86,15,0))</f>
        <v>94.55</v>
      </c>
      <c r="X367" s="6">
        <f>IF(ISERROR(VLOOKUP($U$367,'TAR FIN'!$A$1:$O$86,15,0)),0,VLOOKUP($U$367,'TAR FIN'!$A$1:$O$86,15,0))</f>
        <v>78.400000000000006</v>
      </c>
      <c r="Y367" s="6"/>
      <c r="Z367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65.722999999999999</v>
      </c>
      <c r="AA367" s="6">
        <f ca="1">('TE BE'!$AB$12+'TE BF_350'!$AB$12+'TE CVA'!$AB$12)*(1-CUSTOS!$M$34)</f>
        <v>91.885499999999979</v>
      </c>
      <c r="AB367" s="6">
        <f>$K$367*$V$367</f>
        <v>0</v>
      </c>
      <c r="AC367" s="6">
        <f>$M$367*$W$367</f>
        <v>3857.6399999999994</v>
      </c>
      <c r="AD367" s="6">
        <f>$O$367*$X$367</f>
        <v>3198.72</v>
      </c>
      <c r="AE367" s="6">
        <f>$K$367*$Y$367</f>
        <v>0</v>
      </c>
      <c r="AF367" s="6">
        <f ca="1">$M$367*$Z$367</f>
        <v>2681.4983999999999</v>
      </c>
      <c r="AG367" s="6">
        <f ca="1">$O$367*$AA$367</f>
        <v>3748.9283999999989</v>
      </c>
    </row>
    <row r="368" spans="1:33" ht="11.25" customHeight="1" x14ac:dyDescent="0.25">
      <c r="A368" s="4" t="s">
        <v>21</v>
      </c>
      <c r="B368" s="4" t="s">
        <v>22</v>
      </c>
      <c r="C368" s="4" t="s">
        <v>23</v>
      </c>
      <c r="D368" s="4" t="s">
        <v>24</v>
      </c>
      <c r="E368" s="4" t="s">
        <v>29</v>
      </c>
      <c r="F368" s="4" t="s">
        <v>25</v>
      </c>
      <c r="G368" s="4" t="s">
        <v>25</v>
      </c>
      <c r="H368" s="4" t="s">
        <v>25</v>
      </c>
      <c r="I368" s="5">
        <v>44531</v>
      </c>
      <c r="J368" s="6">
        <v>0</v>
      </c>
      <c r="K368" s="6">
        <v>0</v>
      </c>
      <c r="L368" s="6">
        <v>41.198999999999998</v>
      </c>
      <c r="M368" s="6">
        <v>41.198999999999998</v>
      </c>
      <c r="N368" s="6">
        <v>41.198999999999998</v>
      </c>
      <c r="O368" s="6">
        <v>41.198999999999998</v>
      </c>
      <c r="P368" s="6">
        <v>61</v>
      </c>
      <c r="Q368" s="4" t="s">
        <v>26</v>
      </c>
      <c r="R368" s="4">
        <v>0</v>
      </c>
      <c r="S368" s="6">
        <v>0</v>
      </c>
      <c r="T368" s="6">
        <v>28</v>
      </c>
      <c r="U368" s="6">
        <v>64</v>
      </c>
      <c r="V368" s="6">
        <f>IF(ISERROR(VLOOKUP($S$368,'TAR FIN'!$A$1:$O$86,15,0)),0,VLOOKUP($S$368,'TAR FIN'!$A$1:$O$86,15,0))</f>
        <v>0</v>
      </c>
      <c r="W368" s="6">
        <f>IF(ISERROR(VLOOKUP($T$368,'TAR FIN'!$A$1:$O$86,15,0)),0,VLOOKUP($T$368,'TAR FIN'!$A$1:$O$86,15,0))</f>
        <v>94.55</v>
      </c>
      <c r="X368" s="6">
        <f>IF(ISERROR(VLOOKUP($U$368,'TAR FIN'!$A$1:$O$86,15,0)),0,VLOOKUP($U$368,'TAR FIN'!$A$1:$O$86,15,0))</f>
        <v>78.400000000000006</v>
      </c>
      <c r="Y368" s="6"/>
      <c r="Z368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65.722999999999999</v>
      </c>
      <c r="AA368" s="6">
        <f ca="1">('TE BE'!$AB$12+'TE BF_350'!$AB$12+'TE CVA'!$AB$12)*(1-CUSTOS!$M$34)</f>
        <v>91.885499999999979</v>
      </c>
      <c r="AB368" s="6">
        <f>$K$368*$V$368</f>
        <v>0</v>
      </c>
      <c r="AC368" s="6">
        <f>$M$368*$W$368</f>
        <v>3895.3654499999998</v>
      </c>
      <c r="AD368" s="6">
        <f>$O$368*$X$368</f>
        <v>3230.0016000000001</v>
      </c>
      <c r="AE368" s="6">
        <f>$K$368*$Y$368</f>
        <v>0</v>
      </c>
      <c r="AF368" s="6">
        <f ca="1">$M$368*$Z$368</f>
        <v>2707.7218769999999</v>
      </c>
      <c r="AG368" s="6">
        <f ca="1">$O$368*$AA$368</f>
        <v>3785.5907144999987</v>
      </c>
    </row>
    <row r="369" spans="1:33" ht="11.25" customHeight="1" x14ac:dyDescent="0.25">
      <c r="A369" s="4" t="s">
        <v>21</v>
      </c>
      <c r="B369" s="4" t="s">
        <v>22</v>
      </c>
      <c r="C369" s="4" t="s">
        <v>23</v>
      </c>
      <c r="D369" s="4" t="s">
        <v>24</v>
      </c>
      <c r="E369" s="4" t="s">
        <v>29</v>
      </c>
      <c r="F369" s="4" t="s">
        <v>25</v>
      </c>
      <c r="G369" s="4" t="s">
        <v>25</v>
      </c>
      <c r="H369" s="4" t="s">
        <v>25</v>
      </c>
      <c r="I369" s="5">
        <v>44562</v>
      </c>
      <c r="J369" s="6">
        <v>0</v>
      </c>
      <c r="K369" s="6">
        <v>0</v>
      </c>
      <c r="L369" s="6">
        <v>41.094000000000001</v>
      </c>
      <c r="M369" s="6">
        <v>41.094000000000001</v>
      </c>
      <c r="N369" s="6">
        <v>41.094000000000001</v>
      </c>
      <c r="O369" s="6">
        <v>41.094000000000001</v>
      </c>
      <c r="P369" s="6">
        <v>38</v>
      </c>
      <c r="Q369" s="4" t="s">
        <v>26</v>
      </c>
      <c r="R369" s="4">
        <v>0</v>
      </c>
      <c r="S369" s="6">
        <v>0</v>
      </c>
      <c r="T369" s="6">
        <v>28</v>
      </c>
      <c r="U369" s="6">
        <v>64</v>
      </c>
      <c r="V369" s="6">
        <f>IF(ISERROR(VLOOKUP($S$369,'TAR FIN'!$A$1:$O$86,15,0)),0,VLOOKUP($S$369,'TAR FIN'!$A$1:$O$86,15,0))</f>
        <v>0</v>
      </c>
      <c r="W369" s="6">
        <f>IF(ISERROR(VLOOKUP($T$369,'TAR FIN'!$A$1:$O$86,15,0)),0,VLOOKUP($T$369,'TAR FIN'!$A$1:$O$86,15,0))</f>
        <v>94.55</v>
      </c>
      <c r="X369" s="6">
        <f>IF(ISERROR(VLOOKUP($U$369,'TAR FIN'!$A$1:$O$86,15,0)),0,VLOOKUP($U$369,'TAR FIN'!$A$1:$O$86,15,0))</f>
        <v>78.400000000000006</v>
      </c>
      <c r="Y369" s="6"/>
      <c r="Z369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65.722999999999999</v>
      </c>
      <c r="AA369" s="6">
        <f ca="1">('TE BE'!$AB$12+'TE BF_350'!$AB$12+'TE CVA'!$AB$12)*(1-CUSTOS!$M$34)</f>
        <v>91.885499999999979</v>
      </c>
      <c r="AB369" s="6">
        <f>$K$369*$V$369</f>
        <v>0</v>
      </c>
      <c r="AC369" s="6">
        <f>$M$369*$W$369</f>
        <v>3885.4376999999999</v>
      </c>
      <c r="AD369" s="6">
        <f>$O$369*$X$369</f>
        <v>3221.7696000000005</v>
      </c>
      <c r="AE369" s="6">
        <f>$K$369*$Y$369</f>
        <v>0</v>
      </c>
      <c r="AF369" s="6">
        <f ca="1">$M$369*$Z$369</f>
        <v>2700.8209620000002</v>
      </c>
      <c r="AG369" s="6">
        <f ca="1">$O$369*$AA$369</f>
        <v>3775.9427369999994</v>
      </c>
    </row>
    <row r="370" spans="1:33" ht="11.25" customHeight="1" x14ac:dyDescent="0.25">
      <c r="A370" s="4" t="s">
        <v>21</v>
      </c>
      <c r="B370" s="4" t="s">
        <v>22</v>
      </c>
      <c r="C370" s="4" t="s">
        <v>23</v>
      </c>
      <c r="D370" s="4" t="s">
        <v>24</v>
      </c>
      <c r="E370" s="4" t="s">
        <v>29</v>
      </c>
      <c r="F370" s="4" t="s">
        <v>25</v>
      </c>
      <c r="G370" s="4" t="s">
        <v>25</v>
      </c>
      <c r="H370" s="4" t="s">
        <v>25</v>
      </c>
      <c r="I370" s="5">
        <v>44593</v>
      </c>
      <c r="J370" s="6">
        <v>0</v>
      </c>
      <c r="K370" s="6">
        <v>0</v>
      </c>
      <c r="L370" s="6">
        <v>41.872999999999998</v>
      </c>
      <c r="M370" s="6">
        <v>41.872999999999998</v>
      </c>
      <c r="N370" s="6">
        <v>41.872999999999998</v>
      </c>
      <c r="O370" s="6">
        <v>41.872999999999998</v>
      </c>
      <c r="P370" s="6">
        <v>35</v>
      </c>
      <c r="Q370" s="4" t="s">
        <v>26</v>
      </c>
      <c r="R370" s="4">
        <v>0</v>
      </c>
      <c r="S370" s="6">
        <v>0</v>
      </c>
      <c r="T370" s="6">
        <v>28</v>
      </c>
      <c r="U370" s="6">
        <v>64</v>
      </c>
      <c r="V370" s="6">
        <f>IF(ISERROR(VLOOKUP($S$370,'TAR FIN'!$A$1:$O$86,15,0)),0,VLOOKUP($S$370,'TAR FIN'!$A$1:$O$86,15,0))</f>
        <v>0</v>
      </c>
      <c r="W370" s="6">
        <f>IF(ISERROR(VLOOKUP($T$370,'TAR FIN'!$A$1:$O$86,15,0)),0,VLOOKUP($T$370,'TAR FIN'!$A$1:$O$86,15,0))</f>
        <v>94.55</v>
      </c>
      <c r="X370" s="6">
        <f>IF(ISERROR(VLOOKUP($U$370,'TAR FIN'!$A$1:$O$86,15,0)),0,VLOOKUP($U$370,'TAR FIN'!$A$1:$O$86,15,0))</f>
        <v>78.400000000000006</v>
      </c>
      <c r="Y370" s="6"/>
      <c r="Z370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65.722999999999999</v>
      </c>
      <c r="AA370" s="6">
        <f ca="1">('TE BE'!$AB$12+'TE BF_350'!$AB$12+'TE CVA'!$AB$12)*(1-CUSTOS!$M$34)</f>
        <v>91.885499999999979</v>
      </c>
      <c r="AB370" s="6">
        <f>$K$370*$V$370</f>
        <v>0</v>
      </c>
      <c r="AC370" s="6">
        <f>$M$370*$W$370</f>
        <v>3959.0921499999995</v>
      </c>
      <c r="AD370" s="6">
        <f>$O$370*$X$370</f>
        <v>3282.8432000000003</v>
      </c>
      <c r="AE370" s="6">
        <f>$K$370*$Y$370</f>
        <v>0</v>
      </c>
      <c r="AF370" s="6">
        <f ca="1">$M$370*$Z$370</f>
        <v>2752.0191789999999</v>
      </c>
      <c r="AG370" s="6">
        <f ca="1">$O$370*$AA$370</f>
        <v>3847.5215414999989</v>
      </c>
    </row>
    <row r="371" spans="1:33" ht="11.25" customHeight="1" x14ac:dyDescent="0.25">
      <c r="A371" s="4" t="s">
        <v>21</v>
      </c>
      <c r="B371" s="4" t="s">
        <v>22</v>
      </c>
      <c r="C371" s="4" t="s">
        <v>23</v>
      </c>
      <c r="D371" s="4" t="s">
        <v>24</v>
      </c>
      <c r="E371" s="4" t="s">
        <v>29</v>
      </c>
      <c r="F371" s="4" t="s">
        <v>25</v>
      </c>
      <c r="G371" s="4" t="s">
        <v>25</v>
      </c>
      <c r="H371" s="4" t="s">
        <v>25</v>
      </c>
      <c r="I371" s="5">
        <v>44621</v>
      </c>
      <c r="J371" s="6">
        <v>0</v>
      </c>
      <c r="K371" s="6">
        <v>0</v>
      </c>
      <c r="L371" s="6">
        <v>42.484999999999999</v>
      </c>
      <c r="M371" s="6">
        <v>42.484999999999999</v>
      </c>
      <c r="N371" s="6">
        <v>42.484999999999999</v>
      </c>
      <c r="O371" s="6">
        <v>42.484999999999999</v>
      </c>
      <c r="P371" s="6">
        <v>36</v>
      </c>
      <c r="Q371" s="4" t="s">
        <v>26</v>
      </c>
      <c r="R371" s="4">
        <v>0</v>
      </c>
      <c r="S371" s="6">
        <v>0</v>
      </c>
      <c r="T371" s="6">
        <v>28</v>
      </c>
      <c r="U371" s="6">
        <v>64</v>
      </c>
      <c r="V371" s="6">
        <f>IF(ISERROR(VLOOKUP($S$371,'TAR FIN'!$A$1:$O$86,15,0)),0,VLOOKUP($S$371,'TAR FIN'!$A$1:$O$86,15,0))</f>
        <v>0</v>
      </c>
      <c r="W371" s="6">
        <f>IF(ISERROR(VLOOKUP($T$371,'TAR FIN'!$A$1:$O$86,15,0)),0,VLOOKUP($T$371,'TAR FIN'!$A$1:$O$86,15,0))</f>
        <v>94.55</v>
      </c>
      <c r="X371" s="6">
        <f>IF(ISERROR(VLOOKUP($U$371,'TAR FIN'!$A$1:$O$86,15,0)),0,VLOOKUP($U$371,'TAR FIN'!$A$1:$O$86,15,0))</f>
        <v>78.400000000000006</v>
      </c>
      <c r="Y371" s="6"/>
      <c r="Z371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65.722999999999999</v>
      </c>
      <c r="AA371" s="6">
        <f ca="1">('TE BE'!$AB$12+'TE BF_350'!$AB$12+'TE CVA'!$AB$12)*(1-CUSTOS!$M$34)</f>
        <v>91.885499999999979</v>
      </c>
      <c r="AB371" s="6">
        <f>$K$371*$V$371</f>
        <v>0</v>
      </c>
      <c r="AC371" s="6">
        <f>$M$371*$W$371</f>
        <v>4016.9567499999998</v>
      </c>
      <c r="AD371" s="6">
        <f>$O$371*$X$371</f>
        <v>3330.8240000000001</v>
      </c>
      <c r="AE371" s="6">
        <f>$K$371*$Y$371</f>
        <v>0</v>
      </c>
      <c r="AF371" s="6">
        <f ca="1">$M$371*$Z$371</f>
        <v>2792.2416549999998</v>
      </c>
      <c r="AG371" s="6">
        <f ca="1">$O$371*$AA$371</f>
        <v>3903.7554674999992</v>
      </c>
    </row>
    <row r="372" spans="1:33" ht="11.25" customHeight="1" x14ac:dyDescent="0.25">
      <c r="A372" s="4" t="s">
        <v>21</v>
      </c>
      <c r="B372" s="4" t="s">
        <v>22</v>
      </c>
      <c r="C372" s="4" t="s">
        <v>23</v>
      </c>
      <c r="D372" s="4" t="s">
        <v>24</v>
      </c>
      <c r="E372" s="4" t="s">
        <v>29</v>
      </c>
      <c r="F372" s="4" t="s">
        <v>25</v>
      </c>
      <c r="G372" s="4" t="s">
        <v>25</v>
      </c>
      <c r="H372" s="4" t="s">
        <v>25</v>
      </c>
      <c r="I372" s="5">
        <v>44652</v>
      </c>
      <c r="J372" s="6">
        <v>0</v>
      </c>
      <c r="K372" s="6">
        <v>0</v>
      </c>
      <c r="L372" s="6">
        <v>42.991</v>
      </c>
      <c r="M372" s="6">
        <v>42.991</v>
      </c>
      <c r="N372" s="6">
        <v>42.991</v>
      </c>
      <c r="O372" s="6">
        <v>42.991</v>
      </c>
      <c r="P372" s="6">
        <v>47</v>
      </c>
      <c r="Q372" s="4" t="s">
        <v>26</v>
      </c>
      <c r="R372" s="4">
        <v>0</v>
      </c>
      <c r="S372" s="6">
        <v>0</v>
      </c>
      <c r="T372" s="6">
        <v>28</v>
      </c>
      <c r="U372" s="6">
        <v>64</v>
      </c>
      <c r="V372" s="6">
        <f>IF(ISERROR(VLOOKUP($S$372,'TAR FIN'!$A$1:$O$86,15,0)),0,VLOOKUP($S$372,'TAR FIN'!$A$1:$O$86,15,0))</f>
        <v>0</v>
      </c>
      <c r="W372" s="6">
        <f>IF(ISERROR(VLOOKUP($T$372,'TAR FIN'!$A$1:$O$86,15,0)),0,VLOOKUP($T$372,'TAR FIN'!$A$1:$O$86,15,0))</f>
        <v>94.55</v>
      </c>
      <c r="X372" s="6">
        <f>IF(ISERROR(VLOOKUP($U$372,'TAR FIN'!$A$1:$O$86,15,0)),0,VLOOKUP($U$372,'TAR FIN'!$A$1:$O$86,15,0))</f>
        <v>78.400000000000006</v>
      </c>
      <c r="Y372" s="6"/>
      <c r="Z372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65.722999999999999</v>
      </c>
      <c r="AA372" s="6">
        <f ca="1">('TE BE'!$AB$12+'TE BF_350'!$AB$12+'TE CVA'!$AB$12)*(1-CUSTOS!$M$34)</f>
        <v>91.885499999999979</v>
      </c>
      <c r="AB372" s="6">
        <f>$K$372*$V$372</f>
        <v>0</v>
      </c>
      <c r="AC372" s="6">
        <f>$M$372*$W$372</f>
        <v>4064.7990499999996</v>
      </c>
      <c r="AD372" s="6">
        <f>$O$372*$X$372</f>
        <v>3370.4944</v>
      </c>
      <c r="AE372" s="6">
        <f>$K$372*$Y$372</f>
        <v>0</v>
      </c>
      <c r="AF372" s="6">
        <f ca="1">$M$372*$Z$372</f>
        <v>2825.4974929999998</v>
      </c>
      <c r="AG372" s="6">
        <f ca="1">$O$372*$AA$372</f>
        <v>3950.2495304999989</v>
      </c>
    </row>
    <row r="373" spans="1:33" ht="11.25" customHeight="1" x14ac:dyDescent="0.25">
      <c r="A373" s="4" t="s">
        <v>21</v>
      </c>
      <c r="B373" s="4" t="s">
        <v>22</v>
      </c>
      <c r="C373" s="4" t="s">
        <v>23</v>
      </c>
      <c r="D373" s="4" t="s">
        <v>24</v>
      </c>
      <c r="E373" s="4" t="s">
        <v>29</v>
      </c>
      <c r="F373" s="4" t="s">
        <v>25</v>
      </c>
      <c r="G373" s="4" t="s">
        <v>25</v>
      </c>
      <c r="H373" s="4" t="s">
        <v>25</v>
      </c>
      <c r="I373" s="5">
        <v>44682</v>
      </c>
      <c r="J373" s="6">
        <v>0</v>
      </c>
      <c r="K373" s="6">
        <v>0</v>
      </c>
      <c r="L373" s="6">
        <v>44.802999999999997</v>
      </c>
      <c r="M373" s="6">
        <v>44.802999999999997</v>
      </c>
      <c r="N373" s="6">
        <v>44.802999999999997</v>
      </c>
      <c r="O373" s="6">
        <v>44.802999999999997</v>
      </c>
      <c r="P373" s="6">
        <v>50</v>
      </c>
      <c r="Q373" s="4" t="s">
        <v>26</v>
      </c>
      <c r="R373" s="4">
        <v>0</v>
      </c>
      <c r="S373" s="6">
        <v>0</v>
      </c>
      <c r="T373" s="6">
        <v>28</v>
      </c>
      <c r="U373" s="6">
        <v>64</v>
      </c>
      <c r="V373" s="6">
        <f>IF(ISERROR(VLOOKUP($S$373,'TAR FIN'!$A$1:$O$86,15,0)),0,VLOOKUP($S$373,'TAR FIN'!$A$1:$O$86,15,0))</f>
        <v>0</v>
      </c>
      <c r="W373" s="6">
        <f>IF(ISERROR(VLOOKUP($T$373,'TAR FIN'!$A$1:$O$86,15,0)),0,VLOOKUP($T$373,'TAR FIN'!$A$1:$O$86,15,0))</f>
        <v>94.55</v>
      </c>
      <c r="X373" s="6">
        <f>IF(ISERROR(VLOOKUP($U$373,'TAR FIN'!$A$1:$O$86,15,0)),0,VLOOKUP($U$373,'TAR FIN'!$A$1:$O$86,15,0))</f>
        <v>78.400000000000006</v>
      </c>
      <c r="Y373" s="6"/>
      <c r="Z373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65.722999999999999</v>
      </c>
      <c r="AA373" s="6">
        <f ca="1">('TE BE'!$AB$12+'TE BF_350'!$AB$12+'TE CVA'!$AB$12)*(1-CUSTOS!$M$34)</f>
        <v>91.885499999999979</v>
      </c>
      <c r="AB373" s="6">
        <f>$K$373*$V$373</f>
        <v>0</v>
      </c>
      <c r="AC373" s="6">
        <f>$M$373*$W$373</f>
        <v>4236.1236499999995</v>
      </c>
      <c r="AD373" s="6">
        <f>$O$373*$X$373</f>
        <v>3512.5552000000002</v>
      </c>
      <c r="AE373" s="6">
        <f>$K$373*$Y$373</f>
        <v>0</v>
      </c>
      <c r="AF373" s="6">
        <f ca="1">$M$373*$Z$373</f>
        <v>2944.5875689999998</v>
      </c>
      <c r="AG373" s="6">
        <f ca="1">$O$373*$AA$373</f>
        <v>4116.7460564999992</v>
      </c>
    </row>
    <row r="374" spans="1:33" ht="11.25" customHeight="1" x14ac:dyDescent="0.25">
      <c r="A374" s="4" t="s">
        <v>21</v>
      </c>
      <c r="B374" s="4" t="s">
        <v>22</v>
      </c>
      <c r="C374" s="4" t="s">
        <v>23</v>
      </c>
      <c r="D374" s="4" t="s">
        <v>24</v>
      </c>
      <c r="E374" s="4" t="s">
        <v>29</v>
      </c>
      <c r="F374" s="4" t="s">
        <v>25</v>
      </c>
      <c r="G374" s="4" t="s">
        <v>25</v>
      </c>
      <c r="H374" s="4" t="s">
        <v>25</v>
      </c>
      <c r="I374" s="5">
        <v>44713</v>
      </c>
      <c r="J374" s="6">
        <v>0</v>
      </c>
      <c r="K374" s="6">
        <v>0</v>
      </c>
      <c r="L374" s="6">
        <v>49.92</v>
      </c>
      <c r="M374" s="6">
        <v>49.92</v>
      </c>
      <c r="N374" s="6">
        <v>49.92</v>
      </c>
      <c r="O374" s="6">
        <v>49.92</v>
      </c>
      <c r="P374" s="6">
        <v>71</v>
      </c>
      <c r="Q374" s="4" t="s">
        <v>26</v>
      </c>
      <c r="R374" s="4">
        <v>0</v>
      </c>
      <c r="S374" s="6">
        <v>0</v>
      </c>
      <c r="T374" s="6">
        <v>28</v>
      </c>
      <c r="U374" s="6">
        <v>64</v>
      </c>
      <c r="V374" s="6">
        <f>IF(ISERROR(VLOOKUP($S$374,'TAR FIN'!$A$1:$O$86,15,0)),0,VLOOKUP($S$374,'TAR FIN'!$A$1:$O$86,15,0))</f>
        <v>0</v>
      </c>
      <c r="W374" s="6">
        <f>IF(ISERROR(VLOOKUP($T$374,'TAR FIN'!$A$1:$O$86,15,0)),0,VLOOKUP($T$374,'TAR FIN'!$A$1:$O$86,15,0))</f>
        <v>94.55</v>
      </c>
      <c r="X374" s="6">
        <f>IF(ISERROR(VLOOKUP($U$374,'TAR FIN'!$A$1:$O$86,15,0)),0,VLOOKUP($U$374,'TAR FIN'!$A$1:$O$86,15,0))</f>
        <v>78.400000000000006</v>
      </c>
      <c r="Y374" s="6"/>
      <c r="Z374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65.722999999999999</v>
      </c>
      <c r="AA374" s="6">
        <f ca="1">('TE BE'!$AB$12+'TE BF_350'!$AB$12+'TE CVA'!$AB$12)*(1-CUSTOS!$M$34)</f>
        <v>91.885499999999979</v>
      </c>
      <c r="AB374" s="6">
        <f>$K$374*$V$374</f>
        <v>0</v>
      </c>
      <c r="AC374" s="6">
        <f>$M$374*$W$374</f>
        <v>4719.9359999999997</v>
      </c>
      <c r="AD374" s="6">
        <f>$O$374*$X$374</f>
        <v>3913.7280000000005</v>
      </c>
      <c r="AE374" s="6">
        <f>$K$374*$Y$374</f>
        <v>0</v>
      </c>
      <c r="AF374" s="6">
        <f ca="1">$M$374*$Z$374</f>
        <v>3280.8921599999999</v>
      </c>
      <c r="AG374" s="6">
        <f ca="1">$O$374*$AA$374</f>
        <v>4586.9241599999987</v>
      </c>
    </row>
    <row r="375" spans="1:33" ht="11.25" customHeight="1" x14ac:dyDescent="0.25">
      <c r="A375" s="4" t="s">
        <v>28</v>
      </c>
      <c r="B375" s="4" t="s">
        <v>22</v>
      </c>
      <c r="C375" s="4" t="s">
        <v>23</v>
      </c>
      <c r="D375" s="4" t="s">
        <v>24</v>
      </c>
      <c r="E375" s="4" t="s">
        <v>29</v>
      </c>
      <c r="F375" s="4" t="s">
        <v>25</v>
      </c>
      <c r="G375" s="4" t="s">
        <v>25</v>
      </c>
      <c r="H375" s="4" t="s">
        <v>25</v>
      </c>
      <c r="I375" s="5">
        <v>44713</v>
      </c>
      <c r="J375" s="6">
        <v>0</v>
      </c>
      <c r="K375" s="6">
        <v>0</v>
      </c>
      <c r="L375" s="6">
        <v>0.06</v>
      </c>
      <c r="M375" s="6">
        <v>-1.7999999999999999E-2</v>
      </c>
      <c r="N375" s="6">
        <v>0.06</v>
      </c>
      <c r="O375" s="6">
        <v>-1.7999999999999999E-2</v>
      </c>
      <c r="P375" s="6">
        <v>0</v>
      </c>
      <c r="Q375" s="4" t="s">
        <v>26</v>
      </c>
      <c r="R375" s="4">
        <v>0</v>
      </c>
      <c r="S375" s="6">
        <v>0</v>
      </c>
      <c r="T375" s="6">
        <v>28</v>
      </c>
      <c r="U375" s="6">
        <v>64</v>
      </c>
      <c r="V375" s="6">
        <f>IF(ISERROR(VLOOKUP($S$375,'TAR FIN'!$A$1:$O$86,15,0)),0,VLOOKUP($S$375,'TAR FIN'!$A$1:$O$86,15,0))</f>
        <v>0</v>
      </c>
      <c r="W375" s="6">
        <f>IF(ISERROR(VLOOKUP($T$375,'TAR FIN'!$A$1:$O$86,15,0)),0,VLOOKUP($T$375,'TAR FIN'!$A$1:$O$86,15,0))</f>
        <v>94.55</v>
      </c>
      <c r="X375" s="6">
        <f>IF(ISERROR(VLOOKUP($U$375,'TAR FIN'!$A$1:$O$86,15,0)),0,VLOOKUP($U$375,'TAR FIN'!$A$1:$O$86,15,0))</f>
        <v>78.400000000000006</v>
      </c>
      <c r="Y375" s="6"/>
      <c r="Z375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65.722999999999999</v>
      </c>
      <c r="AA375" s="6">
        <f ca="1">('TE BE'!$AB$12+'TE BF_350'!$AB$12+'TE CVA'!$AB$12)*(1-CUSTOS!$M$34)</f>
        <v>91.885499999999979</v>
      </c>
      <c r="AB375" s="6">
        <f>$K$375*$V$375</f>
        <v>0</v>
      </c>
      <c r="AC375" s="6">
        <f>$M$375*$W$375</f>
        <v>-1.7018999999999997</v>
      </c>
      <c r="AD375" s="6">
        <f>$O$375*$X$375</f>
        <v>-1.4112</v>
      </c>
      <c r="AE375" s="6">
        <f>$K$375*$Y$375</f>
        <v>0</v>
      </c>
      <c r="AF375" s="6">
        <f ca="1">$M$375*$Z$375</f>
        <v>-1.1830139999999998</v>
      </c>
      <c r="AG375" s="6">
        <f ca="1">$O$375*$AA$375</f>
        <v>-1.6539389999999996</v>
      </c>
    </row>
    <row r="376" spans="1:33" ht="11.25" customHeight="1" x14ac:dyDescent="0.25">
      <c r="A376" s="4" t="s">
        <v>55</v>
      </c>
      <c r="B376" s="4" t="s">
        <v>22</v>
      </c>
      <c r="C376" s="4" t="s">
        <v>23</v>
      </c>
      <c r="D376" s="4" t="s">
        <v>24</v>
      </c>
      <c r="E376" s="4" t="s">
        <v>29</v>
      </c>
      <c r="F376" s="4" t="s">
        <v>25</v>
      </c>
      <c r="G376" s="4" t="s">
        <v>25</v>
      </c>
      <c r="H376" s="4" t="s">
        <v>25</v>
      </c>
      <c r="I376" s="5">
        <v>44743</v>
      </c>
      <c r="J376" s="6">
        <v>0</v>
      </c>
      <c r="K376" s="6">
        <v>0</v>
      </c>
      <c r="L376" s="6">
        <v>49.92</v>
      </c>
      <c r="M376" s="6">
        <v>49.92</v>
      </c>
      <c r="N376" s="6">
        <v>49.92</v>
      </c>
      <c r="O376" s="6">
        <v>49.92</v>
      </c>
      <c r="P376" s="6">
        <v>71</v>
      </c>
      <c r="Q376" s="4" t="s">
        <v>26</v>
      </c>
      <c r="R376" s="4">
        <v>0</v>
      </c>
      <c r="S376" s="6">
        <v>0</v>
      </c>
      <c r="T376" s="6">
        <v>28</v>
      </c>
      <c r="U376" s="6">
        <v>64</v>
      </c>
      <c r="V376" s="6">
        <f>IF(ISERROR(VLOOKUP($S$376,'TAR FIN'!$A$1:$O$86,15,0)),0,VLOOKUP($S$376,'TAR FIN'!$A$1:$O$86,15,0))</f>
        <v>0</v>
      </c>
      <c r="W376" s="6">
        <f>IF(ISERROR(VLOOKUP($T$376,'TAR FIN'!$A$1:$O$86,15,0)),0,VLOOKUP($T$376,'TAR FIN'!$A$1:$O$86,15,0))</f>
        <v>94.55</v>
      </c>
      <c r="X376" s="6">
        <f>IF(ISERROR(VLOOKUP($U$376,'TAR FIN'!$A$1:$O$86,15,0)),0,VLOOKUP($U$376,'TAR FIN'!$A$1:$O$86,15,0))</f>
        <v>78.400000000000006</v>
      </c>
      <c r="Y376" s="6"/>
      <c r="Z376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65.722999999999999</v>
      </c>
      <c r="AA376" s="6">
        <f ca="1">('TE BE'!$AB$12+'TE BF_350'!$AB$12+'TE CVA'!$AB$12)*(1-CUSTOS!$M$34)</f>
        <v>91.885499999999979</v>
      </c>
      <c r="AB376" s="6">
        <f>$K$376*$V$376</f>
        <v>0</v>
      </c>
      <c r="AC376" s="6">
        <f>$M$376*$W$376</f>
        <v>4719.9359999999997</v>
      </c>
      <c r="AD376" s="6">
        <f>$O$376*$X$376</f>
        <v>3913.7280000000005</v>
      </c>
      <c r="AE376" s="6">
        <f>$K$376*$Y$376</f>
        <v>0</v>
      </c>
      <c r="AF376" s="6">
        <f ca="1">$M$376*$Z$376</f>
        <v>3280.8921599999999</v>
      </c>
      <c r="AG376" s="6">
        <f ca="1">$O$376*$AA$376</f>
        <v>4586.9241599999987</v>
      </c>
    </row>
    <row r="377" spans="1:33" ht="11.25" customHeight="1" x14ac:dyDescent="0.25">
      <c r="A377" s="4" t="s">
        <v>55</v>
      </c>
      <c r="B377" s="4" t="s">
        <v>22</v>
      </c>
      <c r="C377" s="4" t="s">
        <v>23</v>
      </c>
      <c r="D377" s="4" t="s">
        <v>24</v>
      </c>
      <c r="E377" s="4" t="s">
        <v>29</v>
      </c>
      <c r="F377" s="4" t="s">
        <v>25</v>
      </c>
      <c r="G377" s="4" t="s">
        <v>25</v>
      </c>
      <c r="H377" s="4" t="s">
        <v>25</v>
      </c>
      <c r="I377" s="5">
        <v>44743</v>
      </c>
      <c r="J377" s="6">
        <v>0</v>
      </c>
      <c r="K377" s="6">
        <v>0</v>
      </c>
      <c r="L377" s="6">
        <v>0.06</v>
      </c>
      <c r="M377" s="6">
        <v>-1.7999999999999999E-2</v>
      </c>
      <c r="N377" s="6">
        <v>0.06</v>
      </c>
      <c r="O377" s="6">
        <v>-1.7999999999999999E-2</v>
      </c>
      <c r="P377" s="6">
        <v>0</v>
      </c>
      <c r="Q377" s="4" t="s">
        <v>26</v>
      </c>
      <c r="R377" s="4">
        <v>0</v>
      </c>
      <c r="S377" s="6">
        <v>0</v>
      </c>
      <c r="T377" s="6">
        <v>28</v>
      </c>
      <c r="U377" s="6">
        <v>64</v>
      </c>
      <c r="V377" s="6">
        <f>IF(ISERROR(VLOOKUP($S$377,'TAR FIN'!$A$1:$O$86,15,0)),0,VLOOKUP($S$377,'TAR FIN'!$A$1:$O$86,15,0))</f>
        <v>0</v>
      </c>
      <c r="W377" s="6">
        <f>IF(ISERROR(VLOOKUP($T$377,'TAR FIN'!$A$1:$O$86,15,0)),0,VLOOKUP($T$377,'TAR FIN'!$A$1:$O$86,15,0))</f>
        <v>94.55</v>
      </c>
      <c r="X377" s="6">
        <f>IF(ISERROR(VLOOKUP($U$377,'TAR FIN'!$A$1:$O$86,15,0)),0,VLOOKUP($U$377,'TAR FIN'!$A$1:$O$86,15,0))</f>
        <v>78.400000000000006</v>
      </c>
      <c r="Y377" s="6"/>
      <c r="Z377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65.722999999999999</v>
      </c>
      <c r="AA377" s="6">
        <f ca="1">('TE BE'!$AB$12+'TE BF_350'!$AB$12+'TE CVA'!$AB$12)*(1-CUSTOS!$M$34)</f>
        <v>91.885499999999979</v>
      </c>
      <c r="AB377" s="6">
        <f>$K$377*$V$377</f>
        <v>0</v>
      </c>
      <c r="AC377" s="6">
        <f>$M$377*$W$377</f>
        <v>-1.7018999999999997</v>
      </c>
      <c r="AD377" s="6">
        <f>$O$377*$X$377</f>
        <v>-1.4112</v>
      </c>
      <c r="AE377" s="6">
        <f>$K$377*$Y$377</f>
        <v>0</v>
      </c>
      <c r="AF377" s="6">
        <f ca="1">$M$377*$Z$377</f>
        <v>-1.1830139999999998</v>
      </c>
      <c r="AG377" s="6">
        <f ca="1">$O$377*$AA$377</f>
        <v>-1.6539389999999996</v>
      </c>
    </row>
    <row r="378" spans="1:33" ht="11.25" customHeight="1" x14ac:dyDescent="0.25">
      <c r="A378" s="4" t="s">
        <v>21</v>
      </c>
      <c r="B378" s="4" t="s">
        <v>22</v>
      </c>
      <c r="C378" s="4" t="s">
        <v>23</v>
      </c>
      <c r="D378" s="4" t="s">
        <v>24</v>
      </c>
      <c r="E378" s="4" t="s">
        <v>30</v>
      </c>
      <c r="F378" s="4" t="s">
        <v>25</v>
      </c>
      <c r="G378" s="4" t="s">
        <v>25</v>
      </c>
      <c r="H378" s="4" t="s">
        <v>25</v>
      </c>
      <c r="I378" s="5">
        <v>44409</v>
      </c>
      <c r="J378" s="6">
        <v>0</v>
      </c>
      <c r="K378" s="6">
        <v>0</v>
      </c>
      <c r="L378" s="6">
        <v>79.998000000000005</v>
      </c>
      <c r="M378" s="6">
        <v>79.998000000000005</v>
      </c>
      <c r="N378" s="6">
        <v>79.998000000000005</v>
      </c>
      <c r="O378" s="6">
        <v>79.998000000000005</v>
      </c>
      <c r="P378" s="6">
        <v>276</v>
      </c>
      <c r="Q378" s="4" t="s">
        <v>26</v>
      </c>
      <c r="R378" s="4">
        <v>0</v>
      </c>
      <c r="S378" s="6">
        <v>0</v>
      </c>
      <c r="T378" s="6">
        <v>30</v>
      </c>
      <c r="U378" s="6">
        <v>32</v>
      </c>
      <c r="V378" s="6">
        <f>IF(ISERROR(VLOOKUP($S$378,'TAR FIN'!$A$1:$O$86,15,0)),0,VLOOKUP($S$378,'TAR FIN'!$A$1:$O$86,15,0))</f>
        <v>0</v>
      </c>
      <c r="W378" s="6">
        <f>IF(ISERROR(VLOOKUP($T$378,'TAR FIN'!$A$1:$O$86,15,0)),0,VLOOKUP($T$378,'TAR FIN'!$A$1:$O$86,15,0))</f>
        <v>162.08000000000001</v>
      </c>
      <c r="X378" s="6">
        <f>IF(ISERROR(VLOOKUP($U$378,'TAR FIN'!$A$1:$O$86,15,0)),0,VLOOKUP($U$378,'TAR FIN'!$A$1:$O$86,15,0))</f>
        <v>134.4</v>
      </c>
      <c r="Y378" s="6"/>
      <c r="Z378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112.66799999999999</v>
      </c>
      <c r="AA378" s="6">
        <f ca="1">('TE BE'!$AB$13+'TE BF_350'!$AB$13+'TE CVA'!$AB$13)*(1-CUSTOS!$M$35)</f>
        <v>157.51799999999997</v>
      </c>
      <c r="AB378" s="6">
        <f>$K$378*$V$378</f>
        <v>0</v>
      </c>
      <c r="AC378" s="6">
        <f>$M$378*$W$378</f>
        <v>12966.075840000001</v>
      </c>
      <c r="AD378" s="6">
        <f>$O$378*$X$378</f>
        <v>10751.731200000002</v>
      </c>
      <c r="AE378" s="6">
        <f>$K$378*$Y$378</f>
        <v>0</v>
      </c>
      <c r="AF378" s="6">
        <f ca="1">$M$378*$Z$378</f>
        <v>9013.2146639999992</v>
      </c>
      <c r="AG378" s="6">
        <f ca="1">$O$378*$AA$378</f>
        <v>12601.124963999999</v>
      </c>
    </row>
    <row r="379" spans="1:33" ht="11.25" customHeight="1" x14ac:dyDescent="0.25">
      <c r="A379" s="4" t="s">
        <v>21</v>
      </c>
      <c r="B379" s="4" t="s">
        <v>22</v>
      </c>
      <c r="C379" s="4" t="s">
        <v>23</v>
      </c>
      <c r="D379" s="4" t="s">
        <v>24</v>
      </c>
      <c r="E379" s="4" t="s">
        <v>30</v>
      </c>
      <c r="F379" s="4" t="s">
        <v>25</v>
      </c>
      <c r="G379" s="4" t="s">
        <v>25</v>
      </c>
      <c r="H379" s="4" t="s">
        <v>25</v>
      </c>
      <c r="I379" s="5">
        <v>44440</v>
      </c>
      <c r="J379" s="6">
        <v>0</v>
      </c>
      <c r="K379" s="6">
        <v>0</v>
      </c>
      <c r="L379" s="6">
        <v>83.417000000000002</v>
      </c>
      <c r="M379" s="6">
        <v>83.417000000000002</v>
      </c>
      <c r="N379" s="6">
        <v>83.417000000000002</v>
      </c>
      <c r="O379" s="6">
        <v>83.417000000000002</v>
      </c>
      <c r="P379" s="6">
        <v>230</v>
      </c>
      <c r="Q379" s="4" t="s">
        <v>26</v>
      </c>
      <c r="R379" s="4">
        <v>0</v>
      </c>
      <c r="S379" s="6">
        <v>0</v>
      </c>
      <c r="T379" s="6">
        <v>30</v>
      </c>
      <c r="U379" s="6">
        <v>32</v>
      </c>
      <c r="V379" s="6">
        <f>IF(ISERROR(VLOOKUP($S$379,'TAR FIN'!$A$1:$O$86,15,0)),0,VLOOKUP($S$379,'TAR FIN'!$A$1:$O$86,15,0))</f>
        <v>0</v>
      </c>
      <c r="W379" s="6">
        <f>IF(ISERROR(VLOOKUP($T$379,'TAR FIN'!$A$1:$O$86,15,0)),0,VLOOKUP($T$379,'TAR FIN'!$A$1:$O$86,15,0))</f>
        <v>162.08000000000001</v>
      </c>
      <c r="X379" s="6">
        <f>IF(ISERROR(VLOOKUP($U$379,'TAR FIN'!$A$1:$O$86,15,0)),0,VLOOKUP($U$379,'TAR FIN'!$A$1:$O$86,15,0))</f>
        <v>134.4</v>
      </c>
      <c r="Y379" s="6"/>
      <c r="Z379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112.66799999999999</v>
      </c>
      <c r="AA379" s="6">
        <f ca="1">('TE BE'!$AB$13+'TE BF_350'!$AB$13+'TE CVA'!$AB$13)*(1-CUSTOS!$M$35)</f>
        <v>157.51799999999997</v>
      </c>
      <c r="AB379" s="6">
        <f>$K$379*$V$379</f>
        <v>0</v>
      </c>
      <c r="AC379" s="6">
        <f>$M$379*$W$379</f>
        <v>13520.227360000001</v>
      </c>
      <c r="AD379" s="6">
        <f>$O$379*$X$379</f>
        <v>11211.2448</v>
      </c>
      <c r="AE379" s="6">
        <f>$K$379*$Y$379</f>
        <v>0</v>
      </c>
      <c r="AF379" s="6">
        <f ca="1">$M$379*$Z$379</f>
        <v>9398.4265560000003</v>
      </c>
      <c r="AG379" s="6">
        <f ca="1">$O$379*$AA$379</f>
        <v>13139.679005999998</v>
      </c>
    </row>
    <row r="380" spans="1:33" ht="11.25" customHeight="1" x14ac:dyDescent="0.25">
      <c r="A380" s="4" t="s">
        <v>21</v>
      </c>
      <c r="B380" s="4" t="s">
        <v>22</v>
      </c>
      <c r="C380" s="4" t="s">
        <v>23</v>
      </c>
      <c r="D380" s="4" t="s">
        <v>24</v>
      </c>
      <c r="E380" s="4" t="s">
        <v>30</v>
      </c>
      <c r="F380" s="4" t="s">
        <v>25</v>
      </c>
      <c r="G380" s="4" t="s">
        <v>25</v>
      </c>
      <c r="H380" s="4" t="s">
        <v>25</v>
      </c>
      <c r="I380" s="5">
        <v>44470</v>
      </c>
      <c r="J380" s="6">
        <v>0</v>
      </c>
      <c r="K380" s="6">
        <v>0</v>
      </c>
      <c r="L380" s="6">
        <v>83.188999999999993</v>
      </c>
      <c r="M380" s="6">
        <v>83.188999999999993</v>
      </c>
      <c r="N380" s="6">
        <v>83.188999999999993</v>
      </c>
      <c r="O380" s="6">
        <v>83.188999999999993</v>
      </c>
      <c r="P380" s="6">
        <v>269</v>
      </c>
      <c r="Q380" s="4" t="s">
        <v>26</v>
      </c>
      <c r="R380" s="4">
        <v>0</v>
      </c>
      <c r="S380" s="6">
        <v>0</v>
      </c>
      <c r="T380" s="6">
        <v>30</v>
      </c>
      <c r="U380" s="6">
        <v>32</v>
      </c>
      <c r="V380" s="6">
        <f>IF(ISERROR(VLOOKUP($S$380,'TAR FIN'!$A$1:$O$86,15,0)),0,VLOOKUP($S$380,'TAR FIN'!$A$1:$O$86,15,0))</f>
        <v>0</v>
      </c>
      <c r="W380" s="6">
        <f>IF(ISERROR(VLOOKUP($T$380,'TAR FIN'!$A$1:$O$86,15,0)),0,VLOOKUP($T$380,'TAR FIN'!$A$1:$O$86,15,0))</f>
        <v>162.08000000000001</v>
      </c>
      <c r="X380" s="6">
        <f>IF(ISERROR(VLOOKUP($U$380,'TAR FIN'!$A$1:$O$86,15,0)),0,VLOOKUP($U$380,'TAR FIN'!$A$1:$O$86,15,0))</f>
        <v>134.4</v>
      </c>
      <c r="Y380" s="6"/>
      <c r="Z380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112.66799999999999</v>
      </c>
      <c r="AA380" s="6">
        <f ca="1">('TE BE'!$AB$13+'TE BF_350'!$AB$13+'TE CVA'!$AB$13)*(1-CUSTOS!$M$35)</f>
        <v>157.51799999999997</v>
      </c>
      <c r="AB380" s="6">
        <f>$K$380*$V$380</f>
        <v>0</v>
      </c>
      <c r="AC380" s="6">
        <f>$M$380*$W$380</f>
        <v>13483.27312</v>
      </c>
      <c r="AD380" s="6">
        <f>$O$380*$X$380</f>
        <v>11180.6016</v>
      </c>
      <c r="AE380" s="6">
        <f>$K$380*$Y$380</f>
        <v>0</v>
      </c>
      <c r="AF380" s="6">
        <f ca="1">$M$380*$Z$380</f>
        <v>9372.7382519999992</v>
      </c>
      <c r="AG380" s="6">
        <f ca="1">$O$380*$AA$380</f>
        <v>13103.764901999997</v>
      </c>
    </row>
    <row r="381" spans="1:33" ht="11.25" customHeight="1" x14ac:dyDescent="0.25">
      <c r="A381" s="4" t="s">
        <v>27</v>
      </c>
      <c r="B381" s="4" t="s">
        <v>22</v>
      </c>
      <c r="C381" s="4" t="s">
        <v>23</v>
      </c>
      <c r="D381" s="4" t="s">
        <v>24</v>
      </c>
      <c r="E381" s="4" t="s">
        <v>30</v>
      </c>
      <c r="F381" s="4" t="s">
        <v>25</v>
      </c>
      <c r="G381" s="4" t="s">
        <v>25</v>
      </c>
      <c r="H381" s="4" t="s">
        <v>25</v>
      </c>
      <c r="I381" s="5">
        <v>44470</v>
      </c>
      <c r="J381" s="6">
        <v>0</v>
      </c>
      <c r="K381" s="6">
        <v>0</v>
      </c>
      <c r="L381" s="6">
        <v>6.3E-2</v>
      </c>
      <c r="M381" s="6">
        <v>6.3E-2</v>
      </c>
      <c r="N381" s="6">
        <v>6.3E-2</v>
      </c>
      <c r="O381" s="6">
        <v>6.3E-2</v>
      </c>
      <c r="P381" s="6">
        <v>0</v>
      </c>
      <c r="Q381" s="4" t="s">
        <v>26</v>
      </c>
      <c r="R381" s="4">
        <v>0</v>
      </c>
      <c r="S381" s="6">
        <v>0</v>
      </c>
      <c r="T381" s="6">
        <v>30</v>
      </c>
      <c r="U381" s="6">
        <v>32</v>
      </c>
      <c r="V381" s="6">
        <f>IF(ISERROR(VLOOKUP($S$381,'TAR FIN'!$A$1:$O$86,15,0)),0,VLOOKUP($S$381,'TAR FIN'!$A$1:$O$86,15,0))</f>
        <v>0</v>
      </c>
      <c r="W381" s="6">
        <f>IF(ISERROR(VLOOKUP($T$381,'TAR FIN'!$A$1:$O$86,15,0)),0,VLOOKUP($T$381,'TAR FIN'!$A$1:$O$86,15,0))</f>
        <v>162.08000000000001</v>
      </c>
      <c r="X381" s="6">
        <f>IF(ISERROR(VLOOKUP($U$381,'TAR FIN'!$A$1:$O$86,15,0)),0,VLOOKUP($U$381,'TAR FIN'!$A$1:$O$86,15,0))</f>
        <v>134.4</v>
      </c>
      <c r="Y381" s="6"/>
      <c r="Z381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112.66799999999999</v>
      </c>
      <c r="AA381" s="6">
        <f ca="1">('TE BE'!$AB$13+'TE BF_350'!$AB$13+'TE CVA'!$AB$13)*(1-CUSTOS!$M$35)</f>
        <v>157.51799999999997</v>
      </c>
      <c r="AB381" s="6">
        <f>$K$381*$V$381</f>
        <v>0</v>
      </c>
      <c r="AC381" s="6">
        <f>$M$381*$W$381</f>
        <v>10.211040000000001</v>
      </c>
      <c r="AD381" s="6">
        <f>$O$381*$X$381</f>
        <v>8.4672000000000001</v>
      </c>
      <c r="AE381" s="6">
        <f>$K$381*$Y$381</f>
        <v>0</v>
      </c>
      <c r="AF381" s="6">
        <f ca="1">$M$381*$Z$381</f>
        <v>7.0980839999999992</v>
      </c>
      <c r="AG381" s="6">
        <f ca="1">$O$381*$AA$381</f>
        <v>9.9236339999999981</v>
      </c>
    </row>
    <row r="382" spans="1:33" ht="11.25" customHeight="1" x14ac:dyDescent="0.25">
      <c r="A382" s="4" t="s">
        <v>21</v>
      </c>
      <c r="B382" s="4" t="s">
        <v>22</v>
      </c>
      <c r="C382" s="4" t="s">
        <v>23</v>
      </c>
      <c r="D382" s="4" t="s">
        <v>24</v>
      </c>
      <c r="E382" s="4" t="s">
        <v>30</v>
      </c>
      <c r="F382" s="4" t="s">
        <v>25</v>
      </c>
      <c r="G382" s="4" t="s">
        <v>25</v>
      </c>
      <c r="H382" s="4" t="s">
        <v>25</v>
      </c>
      <c r="I382" s="5">
        <v>44501</v>
      </c>
      <c r="J382" s="6">
        <v>0</v>
      </c>
      <c r="K382" s="6">
        <v>0</v>
      </c>
      <c r="L382" s="6">
        <v>84.503</v>
      </c>
      <c r="M382" s="6">
        <v>84.503</v>
      </c>
      <c r="N382" s="6">
        <v>84.503</v>
      </c>
      <c r="O382" s="6">
        <v>84.503</v>
      </c>
      <c r="P382" s="6">
        <v>244</v>
      </c>
      <c r="Q382" s="4" t="s">
        <v>26</v>
      </c>
      <c r="R382" s="4">
        <v>0</v>
      </c>
      <c r="S382" s="6">
        <v>0</v>
      </c>
      <c r="T382" s="6">
        <v>30</v>
      </c>
      <c r="U382" s="6">
        <v>32</v>
      </c>
      <c r="V382" s="6">
        <f>IF(ISERROR(VLOOKUP($S$382,'TAR FIN'!$A$1:$O$86,15,0)),0,VLOOKUP($S$382,'TAR FIN'!$A$1:$O$86,15,0))</f>
        <v>0</v>
      </c>
      <c r="W382" s="6">
        <f>IF(ISERROR(VLOOKUP($T$382,'TAR FIN'!$A$1:$O$86,15,0)),0,VLOOKUP($T$382,'TAR FIN'!$A$1:$O$86,15,0))</f>
        <v>162.08000000000001</v>
      </c>
      <c r="X382" s="6">
        <f>IF(ISERROR(VLOOKUP($U$382,'TAR FIN'!$A$1:$O$86,15,0)),0,VLOOKUP($U$382,'TAR FIN'!$A$1:$O$86,15,0))</f>
        <v>134.4</v>
      </c>
      <c r="Y382" s="6"/>
      <c r="Z382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112.66799999999999</v>
      </c>
      <c r="AA382" s="6">
        <f ca="1">('TE BE'!$AB$13+'TE BF_350'!$AB$13+'TE CVA'!$AB$13)*(1-CUSTOS!$M$35)</f>
        <v>157.51799999999997</v>
      </c>
      <c r="AB382" s="6">
        <f>$K$382*$V$382</f>
        <v>0</v>
      </c>
      <c r="AC382" s="6">
        <f>$M$382*$W$382</f>
        <v>13696.24624</v>
      </c>
      <c r="AD382" s="6">
        <f>$O$382*$X$382</f>
        <v>11357.2032</v>
      </c>
      <c r="AE382" s="6">
        <f>$K$382*$Y$382</f>
        <v>0</v>
      </c>
      <c r="AF382" s="6">
        <f ca="1">$M$382*$Z$382</f>
        <v>9520.7840039999992</v>
      </c>
      <c r="AG382" s="6">
        <f ca="1">$O$382*$AA$382</f>
        <v>13310.743553999997</v>
      </c>
    </row>
    <row r="383" spans="1:33" ht="11.25" customHeight="1" x14ac:dyDescent="0.25">
      <c r="A383" s="4" t="s">
        <v>21</v>
      </c>
      <c r="B383" s="4" t="s">
        <v>22</v>
      </c>
      <c r="C383" s="4" t="s">
        <v>23</v>
      </c>
      <c r="D383" s="4" t="s">
        <v>24</v>
      </c>
      <c r="E383" s="4" t="s">
        <v>30</v>
      </c>
      <c r="F383" s="4" t="s">
        <v>25</v>
      </c>
      <c r="G383" s="4" t="s">
        <v>25</v>
      </c>
      <c r="H383" s="4" t="s">
        <v>25</v>
      </c>
      <c r="I383" s="5">
        <v>44531</v>
      </c>
      <c r="J383" s="6">
        <v>0</v>
      </c>
      <c r="K383" s="6">
        <v>0</v>
      </c>
      <c r="L383" s="6">
        <v>85.695999999999998</v>
      </c>
      <c r="M383" s="6">
        <v>85.695999999999998</v>
      </c>
      <c r="N383" s="6">
        <v>85.695999999999998</v>
      </c>
      <c r="O383" s="6">
        <v>85.695999999999998</v>
      </c>
      <c r="P383" s="6">
        <v>244</v>
      </c>
      <c r="Q383" s="4" t="s">
        <v>26</v>
      </c>
      <c r="R383" s="4">
        <v>0</v>
      </c>
      <c r="S383" s="6">
        <v>0</v>
      </c>
      <c r="T383" s="6">
        <v>30</v>
      </c>
      <c r="U383" s="6">
        <v>32</v>
      </c>
      <c r="V383" s="6">
        <f>IF(ISERROR(VLOOKUP($S$383,'TAR FIN'!$A$1:$O$86,15,0)),0,VLOOKUP($S$383,'TAR FIN'!$A$1:$O$86,15,0))</f>
        <v>0</v>
      </c>
      <c r="W383" s="6">
        <f>IF(ISERROR(VLOOKUP($T$383,'TAR FIN'!$A$1:$O$86,15,0)),0,VLOOKUP($T$383,'TAR FIN'!$A$1:$O$86,15,0))</f>
        <v>162.08000000000001</v>
      </c>
      <c r="X383" s="6">
        <f>IF(ISERROR(VLOOKUP($U$383,'TAR FIN'!$A$1:$O$86,15,0)),0,VLOOKUP($U$383,'TAR FIN'!$A$1:$O$86,15,0))</f>
        <v>134.4</v>
      </c>
      <c r="Y383" s="6"/>
      <c r="Z383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112.66799999999999</v>
      </c>
      <c r="AA383" s="6">
        <f ca="1">('TE BE'!$AB$13+'TE BF_350'!$AB$13+'TE CVA'!$AB$13)*(1-CUSTOS!$M$35)</f>
        <v>157.51799999999997</v>
      </c>
      <c r="AB383" s="6">
        <f>$K$383*$V$383</f>
        <v>0</v>
      </c>
      <c r="AC383" s="6">
        <f>$M$383*$W$383</f>
        <v>13889.607680000001</v>
      </c>
      <c r="AD383" s="6">
        <f>$O$383*$X$383</f>
        <v>11517.5424</v>
      </c>
      <c r="AE383" s="6">
        <f>$K$383*$Y$383</f>
        <v>0</v>
      </c>
      <c r="AF383" s="6">
        <f ca="1">$M$383*$Z$383</f>
        <v>9655.1969279999994</v>
      </c>
      <c r="AG383" s="6">
        <f ca="1">$O$383*$AA$383</f>
        <v>13498.662527999997</v>
      </c>
    </row>
    <row r="384" spans="1:33" ht="11.25" customHeight="1" x14ac:dyDescent="0.25">
      <c r="A384" s="4" t="s">
        <v>27</v>
      </c>
      <c r="B384" s="4" t="s">
        <v>22</v>
      </c>
      <c r="C384" s="4" t="s">
        <v>23</v>
      </c>
      <c r="D384" s="4" t="s">
        <v>24</v>
      </c>
      <c r="E384" s="4" t="s">
        <v>30</v>
      </c>
      <c r="F384" s="4" t="s">
        <v>25</v>
      </c>
      <c r="G384" s="4" t="s">
        <v>25</v>
      </c>
      <c r="H384" s="4" t="s">
        <v>25</v>
      </c>
      <c r="I384" s="5">
        <v>44531</v>
      </c>
      <c r="J384" s="6">
        <v>0</v>
      </c>
      <c r="K384" s="6">
        <v>0</v>
      </c>
      <c r="L384" s="6">
        <v>4.2999999999999997E-2</v>
      </c>
      <c r="M384" s="6">
        <v>4.2999999999999997E-2</v>
      </c>
      <c r="N384" s="6">
        <v>4.2999999999999997E-2</v>
      </c>
      <c r="O384" s="6">
        <v>4.2999999999999997E-2</v>
      </c>
      <c r="P384" s="6">
        <v>0</v>
      </c>
      <c r="Q384" s="4" t="s">
        <v>26</v>
      </c>
      <c r="R384" s="4">
        <v>0</v>
      </c>
      <c r="S384" s="6">
        <v>0</v>
      </c>
      <c r="T384" s="6">
        <v>30</v>
      </c>
      <c r="U384" s="6">
        <v>32</v>
      </c>
      <c r="V384" s="6">
        <f>IF(ISERROR(VLOOKUP($S$384,'TAR FIN'!$A$1:$O$86,15,0)),0,VLOOKUP($S$384,'TAR FIN'!$A$1:$O$86,15,0))</f>
        <v>0</v>
      </c>
      <c r="W384" s="6">
        <f>IF(ISERROR(VLOOKUP($T$384,'TAR FIN'!$A$1:$O$86,15,0)),0,VLOOKUP($T$384,'TAR FIN'!$A$1:$O$86,15,0))</f>
        <v>162.08000000000001</v>
      </c>
      <c r="X384" s="6">
        <f>IF(ISERROR(VLOOKUP($U$384,'TAR FIN'!$A$1:$O$86,15,0)),0,VLOOKUP($U$384,'TAR FIN'!$A$1:$O$86,15,0))</f>
        <v>134.4</v>
      </c>
      <c r="Y384" s="6"/>
      <c r="Z384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112.66799999999999</v>
      </c>
      <c r="AA384" s="6">
        <f ca="1">('TE BE'!$AB$13+'TE BF_350'!$AB$13+'TE CVA'!$AB$13)*(1-CUSTOS!$M$35)</f>
        <v>157.51799999999997</v>
      </c>
      <c r="AB384" s="6">
        <f>$K$384*$V$384</f>
        <v>0</v>
      </c>
      <c r="AC384" s="6">
        <f>$M$384*$W$384</f>
        <v>6.9694399999999996</v>
      </c>
      <c r="AD384" s="6">
        <f>$O$384*$X$384</f>
        <v>5.7791999999999994</v>
      </c>
      <c r="AE384" s="6">
        <f>$K$384*$Y$384</f>
        <v>0</v>
      </c>
      <c r="AF384" s="6">
        <f ca="1">$M$384*$Z$384</f>
        <v>4.8447239999999994</v>
      </c>
      <c r="AG384" s="6">
        <f ca="1">$O$384*$AA$384</f>
        <v>6.773273999999998</v>
      </c>
    </row>
    <row r="385" spans="1:33" ht="11.25" customHeight="1" x14ac:dyDescent="0.25">
      <c r="A385" s="4" t="s">
        <v>21</v>
      </c>
      <c r="B385" s="4" t="s">
        <v>22</v>
      </c>
      <c r="C385" s="4" t="s">
        <v>23</v>
      </c>
      <c r="D385" s="4" t="s">
        <v>24</v>
      </c>
      <c r="E385" s="4" t="s">
        <v>30</v>
      </c>
      <c r="F385" s="4" t="s">
        <v>25</v>
      </c>
      <c r="G385" s="4" t="s">
        <v>25</v>
      </c>
      <c r="H385" s="4" t="s">
        <v>25</v>
      </c>
      <c r="I385" s="5">
        <v>44562</v>
      </c>
      <c r="J385" s="6">
        <v>0</v>
      </c>
      <c r="K385" s="6">
        <v>0</v>
      </c>
      <c r="L385" s="6">
        <v>89.171000000000006</v>
      </c>
      <c r="M385" s="6">
        <v>89.171000000000006</v>
      </c>
      <c r="N385" s="6">
        <v>89.171000000000006</v>
      </c>
      <c r="O385" s="6">
        <v>89.171000000000006</v>
      </c>
      <c r="P385" s="6">
        <v>161</v>
      </c>
      <c r="Q385" s="4" t="s">
        <v>26</v>
      </c>
      <c r="R385" s="4">
        <v>0</v>
      </c>
      <c r="S385" s="6">
        <v>0</v>
      </c>
      <c r="T385" s="6">
        <v>30</v>
      </c>
      <c r="U385" s="6">
        <v>32</v>
      </c>
      <c r="V385" s="6">
        <f>IF(ISERROR(VLOOKUP($S$385,'TAR FIN'!$A$1:$O$86,15,0)),0,VLOOKUP($S$385,'TAR FIN'!$A$1:$O$86,15,0))</f>
        <v>0</v>
      </c>
      <c r="W385" s="6">
        <f>IF(ISERROR(VLOOKUP($T$385,'TAR FIN'!$A$1:$O$86,15,0)),0,VLOOKUP($T$385,'TAR FIN'!$A$1:$O$86,15,0))</f>
        <v>162.08000000000001</v>
      </c>
      <c r="X385" s="6">
        <f>IF(ISERROR(VLOOKUP($U$385,'TAR FIN'!$A$1:$O$86,15,0)),0,VLOOKUP($U$385,'TAR FIN'!$A$1:$O$86,15,0))</f>
        <v>134.4</v>
      </c>
      <c r="Y385" s="6"/>
      <c r="Z385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112.66799999999999</v>
      </c>
      <c r="AA385" s="6">
        <f ca="1">('TE BE'!$AB$13+'TE BF_350'!$AB$13+'TE CVA'!$AB$13)*(1-CUSTOS!$M$35)</f>
        <v>157.51799999999997</v>
      </c>
      <c r="AB385" s="6">
        <f>$K$385*$V$385</f>
        <v>0</v>
      </c>
      <c r="AC385" s="6">
        <f>$M$385*$W$385</f>
        <v>14452.835680000002</v>
      </c>
      <c r="AD385" s="6">
        <f>$O$385*$X$385</f>
        <v>11984.582400000001</v>
      </c>
      <c r="AE385" s="6">
        <f>$K$385*$Y$385</f>
        <v>0</v>
      </c>
      <c r="AF385" s="6">
        <f ca="1">$M$385*$Z$385</f>
        <v>10046.718228</v>
      </c>
      <c r="AG385" s="6">
        <f ca="1">$O$385*$AA$385</f>
        <v>14046.037577999998</v>
      </c>
    </row>
    <row r="386" spans="1:33" ht="11.25" customHeight="1" x14ac:dyDescent="0.25">
      <c r="A386" s="4" t="s">
        <v>27</v>
      </c>
      <c r="B386" s="4" t="s">
        <v>22</v>
      </c>
      <c r="C386" s="4" t="s">
        <v>23</v>
      </c>
      <c r="D386" s="4" t="s">
        <v>24</v>
      </c>
      <c r="E386" s="4" t="s">
        <v>30</v>
      </c>
      <c r="F386" s="4" t="s">
        <v>25</v>
      </c>
      <c r="G386" s="4" t="s">
        <v>25</v>
      </c>
      <c r="H386" s="4" t="s">
        <v>25</v>
      </c>
      <c r="I386" s="5">
        <v>44562</v>
      </c>
      <c r="J386" s="6">
        <v>0</v>
      </c>
      <c r="K386" s="6">
        <v>0</v>
      </c>
      <c r="L386" s="6">
        <v>-6.8000000000000005E-2</v>
      </c>
      <c r="M386" s="6">
        <v>-6.8000000000000005E-2</v>
      </c>
      <c r="N386" s="6">
        <v>-6.8000000000000005E-2</v>
      </c>
      <c r="O386" s="6">
        <v>-6.8000000000000005E-2</v>
      </c>
      <c r="P386" s="6">
        <v>0</v>
      </c>
      <c r="Q386" s="4" t="s">
        <v>26</v>
      </c>
      <c r="R386" s="4">
        <v>0</v>
      </c>
      <c r="S386" s="6">
        <v>0</v>
      </c>
      <c r="T386" s="6">
        <v>30</v>
      </c>
      <c r="U386" s="6">
        <v>32</v>
      </c>
      <c r="V386" s="6">
        <f>IF(ISERROR(VLOOKUP($S$386,'TAR FIN'!$A$1:$O$86,15,0)),0,VLOOKUP($S$386,'TAR FIN'!$A$1:$O$86,15,0))</f>
        <v>0</v>
      </c>
      <c r="W386" s="6">
        <f>IF(ISERROR(VLOOKUP($T$386,'TAR FIN'!$A$1:$O$86,15,0)),0,VLOOKUP($T$386,'TAR FIN'!$A$1:$O$86,15,0))</f>
        <v>162.08000000000001</v>
      </c>
      <c r="X386" s="6">
        <f>IF(ISERROR(VLOOKUP($U$386,'TAR FIN'!$A$1:$O$86,15,0)),0,VLOOKUP($U$386,'TAR FIN'!$A$1:$O$86,15,0))</f>
        <v>134.4</v>
      </c>
      <c r="Y386" s="6"/>
      <c r="Z386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112.66799999999999</v>
      </c>
      <c r="AA386" s="6">
        <f ca="1">('TE BE'!$AB$13+'TE BF_350'!$AB$13+'TE CVA'!$AB$13)*(1-CUSTOS!$M$35)</f>
        <v>157.51799999999997</v>
      </c>
      <c r="AB386" s="6">
        <f>$K$386*$V$386</f>
        <v>0</v>
      </c>
      <c r="AC386" s="6">
        <f>$M$386*$W$386</f>
        <v>-11.021440000000002</v>
      </c>
      <c r="AD386" s="6">
        <f>$O$386*$X$386</f>
        <v>-9.1392000000000007</v>
      </c>
      <c r="AE386" s="6">
        <f>$K$386*$Y$386</f>
        <v>0</v>
      </c>
      <c r="AF386" s="6">
        <f ca="1">$M$386*$Z$386</f>
        <v>-7.6614240000000002</v>
      </c>
      <c r="AG386" s="6">
        <f ca="1">$O$386*$AA$386</f>
        <v>-10.711224</v>
      </c>
    </row>
    <row r="387" spans="1:33" ht="11.25" customHeight="1" x14ac:dyDescent="0.25">
      <c r="A387" s="4" t="s">
        <v>21</v>
      </c>
      <c r="B387" s="4" t="s">
        <v>22</v>
      </c>
      <c r="C387" s="4" t="s">
        <v>23</v>
      </c>
      <c r="D387" s="4" t="s">
        <v>24</v>
      </c>
      <c r="E387" s="4" t="s">
        <v>30</v>
      </c>
      <c r="F387" s="4" t="s">
        <v>25</v>
      </c>
      <c r="G387" s="4" t="s">
        <v>25</v>
      </c>
      <c r="H387" s="4" t="s">
        <v>25</v>
      </c>
      <c r="I387" s="5">
        <v>44593</v>
      </c>
      <c r="J387" s="6">
        <v>0</v>
      </c>
      <c r="K387" s="6">
        <v>0</v>
      </c>
      <c r="L387" s="6">
        <v>90.623000000000005</v>
      </c>
      <c r="M387" s="6">
        <v>90.623000000000005</v>
      </c>
      <c r="N387" s="6">
        <v>90.623000000000005</v>
      </c>
      <c r="O387" s="6">
        <v>90.623000000000005</v>
      </c>
      <c r="P387" s="6">
        <v>166</v>
      </c>
      <c r="Q387" s="4" t="s">
        <v>26</v>
      </c>
      <c r="R387" s="4">
        <v>0</v>
      </c>
      <c r="S387" s="6">
        <v>0</v>
      </c>
      <c r="T387" s="6">
        <v>30</v>
      </c>
      <c r="U387" s="6">
        <v>32</v>
      </c>
      <c r="V387" s="6">
        <f>IF(ISERROR(VLOOKUP($S$387,'TAR FIN'!$A$1:$O$86,15,0)),0,VLOOKUP($S$387,'TAR FIN'!$A$1:$O$86,15,0))</f>
        <v>0</v>
      </c>
      <c r="W387" s="6">
        <f>IF(ISERROR(VLOOKUP($T$387,'TAR FIN'!$A$1:$O$86,15,0)),0,VLOOKUP($T$387,'TAR FIN'!$A$1:$O$86,15,0))</f>
        <v>162.08000000000001</v>
      </c>
      <c r="X387" s="6">
        <f>IF(ISERROR(VLOOKUP($U$387,'TAR FIN'!$A$1:$O$86,15,0)),0,VLOOKUP($U$387,'TAR FIN'!$A$1:$O$86,15,0))</f>
        <v>134.4</v>
      </c>
      <c r="Y387" s="6"/>
      <c r="Z387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112.66799999999999</v>
      </c>
      <c r="AA387" s="6">
        <f ca="1">('TE BE'!$AB$13+'TE BF_350'!$AB$13+'TE CVA'!$AB$13)*(1-CUSTOS!$M$35)</f>
        <v>157.51799999999997</v>
      </c>
      <c r="AB387" s="6">
        <f>$K$387*$V$387</f>
        <v>0</v>
      </c>
      <c r="AC387" s="6">
        <f>$M$387*$W$387</f>
        <v>14688.175840000002</v>
      </c>
      <c r="AD387" s="6">
        <f>$O$387*$X$387</f>
        <v>12179.731200000002</v>
      </c>
      <c r="AE387" s="6">
        <f>$K$387*$Y$387</f>
        <v>0</v>
      </c>
      <c r="AF387" s="6">
        <f ca="1">$M$387*$Z$387</f>
        <v>10210.312163999999</v>
      </c>
      <c r="AG387" s="6">
        <f ca="1">$O$387*$AA$387</f>
        <v>14274.753713999999</v>
      </c>
    </row>
    <row r="388" spans="1:33" ht="11.25" customHeight="1" x14ac:dyDescent="0.25">
      <c r="A388" s="4" t="s">
        <v>21</v>
      </c>
      <c r="B388" s="4" t="s">
        <v>22</v>
      </c>
      <c r="C388" s="4" t="s">
        <v>23</v>
      </c>
      <c r="D388" s="4" t="s">
        <v>24</v>
      </c>
      <c r="E388" s="4" t="s">
        <v>30</v>
      </c>
      <c r="F388" s="4" t="s">
        <v>25</v>
      </c>
      <c r="G388" s="4" t="s">
        <v>25</v>
      </c>
      <c r="H388" s="4" t="s">
        <v>25</v>
      </c>
      <c r="I388" s="5">
        <v>44621</v>
      </c>
      <c r="J388" s="6">
        <v>0</v>
      </c>
      <c r="K388" s="6">
        <v>0</v>
      </c>
      <c r="L388" s="6">
        <v>91.774000000000001</v>
      </c>
      <c r="M388" s="6">
        <v>91.774000000000001</v>
      </c>
      <c r="N388" s="6">
        <v>91.774000000000001</v>
      </c>
      <c r="O388" s="6">
        <v>91.774000000000001</v>
      </c>
      <c r="P388" s="6">
        <v>177</v>
      </c>
      <c r="Q388" s="4" t="s">
        <v>26</v>
      </c>
      <c r="R388" s="4">
        <v>0</v>
      </c>
      <c r="S388" s="6">
        <v>0</v>
      </c>
      <c r="T388" s="6">
        <v>30</v>
      </c>
      <c r="U388" s="6">
        <v>32</v>
      </c>
      <c r="V388" s="6">
        <f>IF(ISERROR(VLOOKUP($S$388,'TAR FIN'!$A$1:$O$86,15,0)),0,VLOOKUP($S$388,'TAR FIN'!$A$1:$O$86,15,0))</f>
        <v>0</v>
      </c>
      <c r="W388" s="6">
        <f>IF(ISERROR(VLOOKUP($T$388,'TAR FIN'!$A$1:$O$86,15,0)),0,VLOOKUP($T$388,'TAR FIN'!$A$1:$O$86,15,0))</f>
        <v>162.08000000000001</v>
      </c>
      <c r="X388" s="6">
        <f>IF(ISERROR(VLOOKUP($U$388,'TAR FIN'!$A$1:$O$86,15,0)),0,VLOOKUP($U$388,'TAR FIN'!$A$1:$O$86,15,0))</f>
        <v>134.4</v>
      </c>
      <c r="Y388" s="6"/>
      <c r="Z388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112.66799999999999</v>
      </c>
      <c r="AA388" s="6">
        <f ca="1">('TE BE'!$AB$13+'TE BF_350'!$AB$13+'TE CVA'!$AB$13)*(1-CUSTOS!$M$35)</f>
        <v>157.51799999999997</v>
      </c>
      <c r="AB388" s="6">
        <f>$K$388*$V$388</f>
        <v>0</v>
      </c>
      <c r="AC388" s="6">
        <f>$M$388*$W$388</f>
        <v>14874.729920000002</v>
      </c>
      <c r="AD388" s="6">
        <f>$O$388*$X$388</f>
        <v>12334.4256</v>
      </c>
      <c r="AE388" s="6">
        <f>$K$388*$Y$388</f>
        <v>0</v>
      </c>
      <c r="AF388" s="6">
        <f ca="1">$M$388*$Z$388</f>
        <v>10339.993031999998</v>
      </c>
      <c r="AG388" s="6">
        <f ca="1">$O$388*$AA$388</f>
        <v>14456.056931999998</v>
      </c>
    </row>
    <row r="389" spans="1:33" ht="11.25" customHeight="1" x14ac:dyDescent="0.25">
      <c r="A389" s="4" t="s">
        <v>21</v>
      </c>
      <c r="B389" s="4" t="s">
        <v>22</v>
      </c>
      <c r="C389" s="4" t="s">
        <v>23</v>
      </c>
      <c r="D389" s="4" t="s">
        <v>24</v>
      </c>
      <c r="E389" s="4" t="s">
        <v>30</v>
      </c>
      <c r="F389" s="4" t="s">
        <v>25</v>
      </c>
      <c r="G389" s="4" t="s">
        <v>25</v>
      </c>
      <c r="H389" s="4" t="s">
        <v>25</v>
      </c>
      <c r="I389" s="5">
        <v>44652</v>
      </c>
      <c r="J389" s="6">
        <v>0</v>
      </c>
      <c r="K389" s="6">
        <v>0</v>
      </c>
      <c r="L389" s="6">
        <v>92.322999999999993</v>
      </c>
      <c r="M389" s="6">
        <v>92.322999999999993</v>
      </c>
      <c r="N389" s="6">
        <v>92.322999999999993</v>
      </c>
      <c r="O389" s="6">
        <v>92.322999999999993</v>
      </c>
      <c r="P389" s="6">
        <v>189</v>
      </c>
      <c r="Q389" s="4" t="s">
        <v>26</v>
      </c>
      <c r="R389" s="4">
        <v>0</v>
      </c>
      <c r="S389" s="6">
        <v>0</v>
      </c>
      <c r="T389" s="6">
        <v>30</v>
      </c>
      <c r="U389" s="6">
        <v>32</v>
      </c>
      <c r="V389" s="6">
        <f>IF(ISERROR(VLOOKUP($S$389,'TAR FIN'!$A$1:$O$86,15,0)),0,VLOOKUP($S$389,'TAR FIN'!$A$1:$O$86,15,0))</f>
        <v>0</v>
      </c>
      <c r="W389" s="6">
        <f>IF(ISERROR(VLOOKUP($T$389,'TAR FIN'!$A$1:$O$86,15,0)),0,VLOOKUP($T$389,'TAR FIN'!$A$1:$O$86,15,0))</f>
        <v>162.08000000000001</v>
      </c>
      <c r="X389" s="6">
        <f>IF(ISERROR(VLOOKUP($U$389,'TAR FIN'!$A$1:$O$86,15,0)),0,VLOOKUP($U$389,'TAR FIN'!$A$1:$O$86,15,0))</f>
        <v>134.4</v>
      </c>
      <c r="Y389" s="6"/>
      <c r="Z389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112.66799999999999</v>
      </c>
      <c r="AA389" s="6">
        <f ca="1">('TE BE'!$AB$13+'TE BF_350'!$AB$13+'TE CVA'!$AB$13)*(1-CUSTOS!$M$35)</f>
        <v>157.51799999999997</v>
      </c>
      <c r="AB389" s="6">
        <f>$K$389*$V$389</f>
        <v>0</v>
      </c>
      <c r="AC389" s="6">
        <f>$M$389*$W$389</f>
        <v>14963.71184</v>
      </c>
      <c r="AD389" s="6">
        <f>$O$389*$X$389</f>
        <v>12408.2112</v>
      </c>
      <c r="AE389" s="6">
        <f>$K$389*$Y$389</f>
        <v>0</v>
      </c>
      <c r="AF389" s="6">
        <f ca="1">$M$389*$Z$389</f>
        <v>10401.847763999998</v>
      </c>
      <c r="AG389" s="6">
        <f ca="1">$O$389*$AA$389</f>
        <v>14542.534313999997</v>
      </c>
    </row>
    <row r="390" spans="1:33" ht="11.25" customHeight="1" x14ac:dyDescent="0.25">
      <c r="A390" s="4" t="s">
        <v>27</v>
      </c>
      <c r="B390" s="4" t="s">
        <v>22</v>
      </c>
      <c r="C390" s="4" t="s">
        <v>23</v>
      </c>
      <c r="D390" s="4" t="s">
        <v>24</v>
      </c>
      <c r="E390" s="4" t="s">
        <v>30</v>
      </c>
      <c r="F390" s="4" t="s">
        <v>25</v>
      </c>
      <c r="G390" s="4" t="s">
        <v>25</v>
      </c>
      <c r="H390" s="4" t="s">
        <v>25</v>
      </c>
      <c r="I390" s="5">
        <v>44652</v>
      </c>
      <c r="J390" s="6">
        <v>0</v>
      </c>
      <c r="K390" s="6">
        <v>0</v>
      </c>
      <c r="L390" s="6">
        <v>5.8000000000000003E-2</v>
      </c>
      <c r="M390" s="6">
        <v>5.8000000000000003E-2</v>
      </c>
      <c r="N390" s="6">
        <v>5.8000000000000003E-2</v>
      </c>
      <c r="O390" s="6">
        <v>5.8000000000000003E-2</v>
      </c>
      <c r="P390" s="6">
        <v>0</v>
      </c>
      <c r="Q390" s="4" t="s">
        <v>26</v>
      </c>
      <c r="R390" s="4">
        <v>0</v>
      </c>
      <c r="S390" s="6">
        <v>0</v>
      </c>
      <c r="T390" s="6">
        <v>30</v>
      </c>
      <c r="U390" s="6">
        <v>32</v>
      </c>
      <c r="V390" s="6">
        <f>IF(ISERROR(VLOOKUP($S$390,'TAR FIN'!$A$1:$O$86,15,0)),0,VLOOKUP($S$390,'TAR FIN'!$A$1:$O$86,15,0))</f>
        <v>0</v>
      </c>
      <c r="W390" s="6">
        <f>IF(ISERROR(VLOOKUP($T$390,'TAR FIN'!$A$1:$O$86,15,0)),0,VLOOKUP($T$390,'TAR FIN'!$A$1:$O$86,15,0))</f>
        <v>162.08000000000001</v>
      </c>
      <c r="X390" s="6">
        <f>IF(ISERROR(VLOOKUP($U$390,'TAR FIN'!$A$1:$O$86,15,0)),0,VLOOKUP($U$390,'TAR FIN'!$A$1:$O$86,15,0))</f>
        <v>134.4</v>
      </c>
      <c r="Y390" s="6"/>
      <c r="Z390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112.66799999999999</v>
      </c>
      <c r="AA390" s="6">
        <f ca="1">('TE BE'!$AB$13+'TE BF_350'!$AB$13+'TE CVA'!$AB$13)*(1-CUSTOS!$M$35)</f>
        <v>157.51799999999997</v>
      </c>
      <c r="AB390" s="6">
        <f>$K$390*$V$390</f>
        <v>0</v>
      </c>
      <c r="AC390" s="6">
        <f>$M$390*$W$390</f>
        <v>9.400640000000001</v>
      </c>
      <c r="AD390" s="6">
        <f>$O$390*$X$390</f>
        <v>7.7952000000000004</v>
      </c>
      <c r="AE390" s="6">
        <f>$K$390*$Y$390</f>
        <v>0</v>
      </c>
      <c r="AF390" s="6">
        <f ca="1">$M$390*$Z$390</f>
        <v>6.5347439999999999</v>
      </c>
      <c r="AG390" s="6">
        <f ca="1">$O$390*$AA$390</f>
        <v>9.1360439999999983</v>
      </c>
    </row>
    <row r="391" spans="1:33" ht="11.25" customHeight="1" x14ac:dyDescent="0.25">
      <c r="A391" s="4" t="s">
        <v>21</v>
      </c>
      <c r="B391" s="4" t="s">
        <v>22</v>
      </c>
      <c r="C391" s="4" t="s">
        <v>23</v>
      </c>
      <c r="D391" s="4" t="s">
        <v>24</v>
      </c>
      <c r="E391" s="4" t="s">
        <v>30</v>
      </c>
      <c r="F391" s="4" t="s">
        <v>25</v>
      </c>
      <c r="G391" s="4" t="s">
        <v>25</v>
      </c>
      <c r="H391" s="4" t="s">
        <v>25</v>
      </c>
      <c r="I391" s="5">
        <v>44682</v>
      </c>
      <c r="J391" s="6">
        <v>0</v>
      </c>
      <c r="K391" s="6">
        <v>0</v>
      </c>
      <c r="L391" s="6">
        <v>93.614000000000004</v>
      </c>
      <c r="M391" s="6">
        <v>93.614000000000004</v>
      </c>
      <c r="N391" s="6">
        <v>93.614000000000004</v>
      </c>
      <c r="O391" s="6">
        <v>93.614000000000004</v>
      </c>
      <c r="P391" s="6">
        <v>267</v>
      </c>
      <c r="Q391" s="4" t="s">
        <v>26</v>
      </c>
      <c r="R391" s="4">
        <v>0</v>
      </c>
      <c r="S391" s="6">
        <v>0</v>
      </c>
      <c r="T391" s="6">
        <v>30</v>
      </c>
      <c r="U391" s="6">
        <v>32</v>
      </c>
      <c r="V391" s="6">
        <f>IF(ISERROR(VLOOKUP($S$391,'TAR FIN'!$A$1:$O$86,15,0)),0,VLOOKUP($S$391,'TAR FIN'!$A$1:$O$86,15,0))</f>
        <v>0</v>
      </c>
      <c r="W391" s="6">
        <f>IF(ISERROR(VLOOKUP($T$391,'TAR FIN'!$A$1:$O$86,15,0)),0,VLOOKUP($T$391,'TAR FIN'!$A$1:$O$86,15,0))</f>
        <v>162.08000000000001</v>
      </c>
      <c r="X391" s="6">
        <f>IF(ISERROR(VLOOKUP($U$391,'TAR FIN'!$A$1:$O$86,15,0)),0,VLOOKUP($U$391,'TAR FIN'!$A$1:$O$86,15,0))</f>
        <v>134.4</v>
      </c>
      <c r="Y391" s="6"/>
      <c r="Z391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112.66799999999999</v>
      </c>
      <c r="AA391" s="6">
        <f ca="1">('TE BE'!$AB$13+'TE BF_350'!$AB$13+'TE CVA'!$AB$13)*(1-CUSTOS!$M$35)</f>
        <v>157.51799999999997</v>
      </c>
      <c r="AB391" s="6">
        <f>$K$391*$V$391</f>
        <v>0</v>
      </c>
      <c r="AC391" s="6">
        <f>$M$391*$W$391</f>
        <v>15172.957120000003</v>
      </c>
      <c r="AD391" s="6">
        <f>$O$391*$X$391</f>
        <v>12581.721600000001</v>
      </c>
      <c r="AE391" s="6">
        <f>$K$391*$Y$391</f>
        <v>0</v>
      </c>
      <c r="AF391" s="6">
        <f ca="1">$M$391*$Z$391</f>
        <v>10547.302152</v>
      </c>
      <c r="AG391" s="6">
        <f ca="1">$O$391*$AA$391</f>
        <v>14745.890051999999</v>
      </c>
    </row>
    <row r="392" spans="1:33" ht="11.25" customHeight="1" x14ac:dyDescent="0.25">
      <c r="A392" s="4" t="s">
        <v>21</v>
      </c>
      <c r="B392" s="4" t="s">
        <v>22</v>
      </c>
      <c r="C392" s="4" t="s">
        <v>23</v>
      </c>
      <c r="D392" s="4" t="s">
        <v>24</v>
      </c>
      <c r="E392" s="4" t="s">
        <v>30</v>
      </c>
      <c r="F392" s="4" t="s">
        <v>25</v>
      </c>
      <c r="G392" s="4" t="s">
        <v>25</v>
      </c>
      <c r="H392" s="4" t="s">
        <v>25</v>
      </c>
      <c r="I392" s="5">
        <v>44713</v>
      </c>
      <c r="J392" s="6">
        <v>0</v>
      </c>
      <c r="K392" s="6">
        <v>0</v>
      </c>
      <c r="L392" s="6">
        <v>101.9</v>
      </c>
      <c r="M392" s="6">
        <v>101.9</v>
      </c>
      <c r="N392" s="6">
        <v>101.9</v>
      </c>
      <c r="O392" s="6">
        <v>101.9</v>
      </c>
      <c r="P392" s="6">
        <v>333</v>
      </c>
      <c r="Q392" s="4" t="s">
        <v>26</v>
      </c>
      <c r="R392" s="4">
        <v>0</v>
      </c>
      <c r="S392" s="6">
        <v>0</v>
      </c>
      <c r="T392" s="6">
        <v>30</v>
      </c>
      <c r="U392" s="6">
        <v>32</v>
      </c>
      <c r="V392" s="6">
        <f>IF(ISERROR(VLOOKUP($S$392,'TAR FIN'!$A$1:$O$86,15,0)),0,VLOOKUP($S$392,'TAR FIN'!$A$1:$O$86,15,0))</f>
        <v>0</v>
      </c>
      <c r="W392" s="6">
        <f>IF(ISERROR(VLOOKUP($T$392,'TAR FIN'!$A$1:$O$86,15,0)),0,VLOOKUP($T$392,'TAR FIN'!$A$1:$O$86,15,0))</f>
        <v>162.08000000000001</v>
      </c>
      <c r="X392" s="6">
        <f>IF(ISERROR(VLOOKUP($U$392,'TAR FIN'!$A$1:$O$86,15,0)),0,VLOOKUP($U$392,'TAR FIN'!$A$1:$O$86,15,0))</f>
        <v>134.4</v>
      </c>
      <c r="Y392" s="6"/>
      <c r="Z392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112.66799999999999</v>
      </c>
      <c r="AA392" s="6">
        <f ca="1">('TE BE'!$AB$13+'TE BF_350'!$AB$13+'TE CVA'!$AB$13)*(1-CUSTOS!$M$35)</f>
        <v>157.51799999999997</v>
      </c>
      <c r="AB392" s="6">
        <f>$K$392*$V$392</f>
        <v>0</v>
      </c>
      <c r="AC392" s="6">
        <f>$M$392*$W$392</f>
        <v>16515.952000000001</v>
      </c>
      <c r="AD392" s="6">
        <f>$O$392*$X$392</f>
        <v>13695.36</v>
      </c>
      <c r="AE392" s="6">
        <f>$K$392*$Y$392</f>
        <v>0</v>
      </c>
      <c r="AF392" s="6">
        <f ca="1">$M$392*$Z$392</f>
        <v>11480.869199999999</v>
      </c>
      <c r="AG392" s="6">
        <f ca="1">$O$392*$AA$392</f>
        <v>16051.084199999998</v>
      </c>
    </row>
    <row r="393" spans="1:33" ht="11.25" customHeight="1" x14ac:dyDescent="0.25">
      <c r="A393" s="4" t="s">
        <v>28</v>
      </c>
      <c r="B393" s="4" t="s">
        <v>22</v>
      </c>
      <c r="C393" s="4" t="s">
        <v>23</v>
      </c>
      <c r="D393" s="4" t="s">
        <v>24</v>
      </c>
      <c r="E393" s="4" t="s">
        <v>30</v>
      </c>
      <c r="F393" s="4" t="s">
        <v>25</v>
      </c>
      <c r="G393" s="4" t="s">
        <v>25</v>
      </c>
      <c r="H393" s="4" t="s">
        <v>25</v>
      </c>
      <c r="I393" s="5">
        <v>44713</v>
      </c>
      <c r="J393" s="6">
        <v>0</v>
      </c>
      <c r="K393" s="6">
        <v>0</v>
      </c>
      <c r="L393" s="6">
        <v>1.4E-2</v>
      </c>
      <c r="M393" s="6">
        <v>2.8E-3</v>
      </c>
      <c r="N393" s="6">
        <v>1.4E-2</v>
      </c>
      <c r="O393" s="6">
        <v>2.8E-3</v>
      </c>
      <c r="P393" s="6">
        <v>0</v>
      </c>
      <c r="Q393" s="4" t="s">
        <v>26</v>
      </c>
      <c r="R393" s="4">
        <v>0</v>
      </c>
      <c r="S393" s="6">
        <v>0</v>
      </c>
      <c r="T393" s="6">
        <v>30</v>
      </c>
      <c r="U393" s="6">
        <v>32</v>
      </c>
      <c r="V393" s="6">
        <f>IF(ISERROR(VLOOKUP($S$393,'TAR FIN'!$A$1:$O$86,15,0)),0,VLOOKUP($S$393,'TAR FIN'!$A$1:$O$86,15,0))</f>
        <v>0</v>
      </c>
      <c r="W393" s="6">
        <f>IF(ISERROR(VLOOKUP($T$393,'TAR FIN'!$A$1:$O$86,15,0)),0,VLOOKUP($T$393,'TAR FIN'!$A$1:$O$86,15,0))</f>
        <v>162.08000000000001</v>
      </c>
      <c r="X393" s="6">
        <f>IF(ISERROR(VLOOKUP($U$393,'TAR FIN'!$A$1:$O$86,15,0)),0,VLOOKUP($U$393,'TAR FIN'!$A$1:$O$86,15,0))</f>
        <v>134.4</v>
      </c>
      <c r="Y393" s="6"/>
      <c r="Z393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112.66799999999999</v>
      </c>
      <c r="AA393" s="6">
        <f ca="1">('TE BE'!$AB$13+'TE BF_350'!$AB$13+'TE CVA'!$AB$13)*(1-CUSTOS!$M$35)</f>
        <v>157.51799999999997</v>
      </c>
      <c r="AB393" s="6">
        <f>$K$393*$V$393</f>
        <v>0</v>
      </c>
      <c r="AC393" s="6">
        <f>$M$393*$W$393</f>
        <v>0.45382400000000001</v>
      </c>
      <c r="AD393" s="6">
        <f>$O$393*$X$393</f>
        <v>0.37631999999999999</v>
      </c>
      <c r="AE393" s="6">
        <f>$K$393*$Y$393</f>
        <v>0</v>
      </c>
      <c r="AF393" s="6">
        <f ca="1">$M$393*$Z$393</f>
        <v>0.31547039999999998</v>
      </c>
      <c r="AG393" s="6">
        <f ca="1">$O$393*$AA$393</f>
        <v>0.4410503999999999</v>
      </c>
    </row>
    <row r="394" spans="1:33" ht="11.25" customHeight="1" x14ac:dyDescent="0.25">
      <c r="A394" s="4" t="s">
        <v>55</v>
      </c>
      <c r="B394" s="4" t="s">
        <v>22</v>
      </c>
      <c r="C394" s="4" t="s">
        <v>23</v>
      </c>
      <c r="D394" s="4" t="s">
        <v>24</v>
      </c>
      <c r="E394" s="4" t="s">
        <v>30</v>
      </c>
      <c r="F394" s="4" t="s">
        <v>25</v>
      </c>
      <c r="G394" s="4" t="s">
        <v>25</v>
      </c>
      <c r="H394" s="4" t="s">
        <v>25</v>
      </c>
      <c r="I394" s="5">
        <v>44743</v>
      </c>
      <c r="J394" s="6">
        <v>0</v>
      </c>
      <c r="K394" s="6">
        <v>0</v>
      </c>
      <c r="L394" s="6">
        <v>101.9</v>
      </c>
      <c r="M394" s="6">
        <v>101.9</v>
      </c>
      <c r="N394" s="6">
        <v>101.9</v>
      </c>
      <c r="O394" s="6">
        <v>101.9</v>
      </c>
      <c r="P394" s="6">
        <v>333</v>
      </c>
      <c r="Q394" s="4" t="s">
        <v>26</v>
      </c>
      <c r="R394" s="4">
        <v>0</v>
      </c>
      <c r="S394" s="6">
        <v>0</v>
      </c>
      <c r="T394" s="6">
        <v>30</v>
      </c>
      <c r="U394" s="6">
        <v>32</v>
      </c>
      <c r="V394" s="6">
        <f>IF(ISERROR(VLOOKUP($S$394,'TAR FIN'!$A$1:$O$86,15,0)),0,VLOOKUP($S$394,'TAR FIN'!$A$1:$O$86,15,0))</f>
        <v>0</v>
      </c>
      <c r="W394" s="6">
        <f>IF(ISERROR(VLOOKUP($T$394,'TAR FIN'!$A$1:$O$86,15,0)),0,VLOOKUP($T$394,'TAR FIN'!$A$1:$O$86,15,0))</f>
        <v>162.08000000000001</v>
      </c>
      <c r="X394" s="6">
        <f>IF(ISERROR(VLOOKUP($U$394,'TAR FIN'!$A$1:$O$86,15,0)),0,VLOOKUP($U$394,'TAR FIN'!$A$1:$O$86,15,0))</f>
        <v>134.4</v>
      </c>
      <c r="Y394" s="6"/>
      <c r="Z394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112.66799999999999</v>
      </c>
      <c r="AA394" s="6">
        <f ca="1">('TE BE'!$AB$13+'TE BF_350'!$AB$13+'TE CVA'!$AB$13)*(1-CUSTOS!$M$35)</f>
        <v>157.51799999999997</v>
      </c>
      <c r="AB394" s="6">
        <f>$K$394*$V$394</f>
        <v>0</v>
      </c>
      <c r="AC394" s="6">
        <f>$M$394*$W$394</f>
        <v>16515.952000000001</v>
      </c>
      <c r="AD394" s="6">
        <f>$O$394*$X$394</f>
        <v>13695.36</v>
      </c>
      <c r="AE394" s="6">
        <f>$K$394*$Y$394</f>
        <v>0</v>
      </c>
      <c r="AF394" s="6">
        <f ca="1">$M$394*$Z$394</f>
        <v>11480.869199999999</v>
      </c>
      <c r="AG394" s="6">
        <f ca="1">$O$394*$AA$394</f>
        <v>16051.084199999998</v>
      </c>
    </row>
    <row r="395" spans="1:33" ht="11.25" customHeight="1" x14ac:dyDescent="0.25">
      <c r="A395" s="4" t="s">
        <v>55</v>
      </c>
      <c r="B395" s="4" t="s">
        <v>22</v>
      </c>
      <c r="C395" s="4" t="s">
        <v>23</v>
      </c>
      <c r="D395" s="4" t="s">
        <v>24</v>
      </c>
      <c r="E395" s="4" t="s">
        <v>30</v>
      </c>
      <c r="F395" s="4" t="s">
        <v>25</v>
      </c>
      <c r="G395" s="4" t="s">
        <v>25</v>
      </c>
      <c r="H395" s="4" t="s">
        <v>25</v>
      </c>
      <c r="I395" s="5">
        <v>44743</v>
      </c>
      <c r="J395" s="6">
        <v>0</v>
      </c>
      <c r="K395" s="6">
        <v>0</v>
      </c>
      <c r="L395" s="6">
        <v>1.4E-2</v>
      </c>
      <c r="M395" s="6">
        <v>2.8E-3</v>
      </c>
      <c r="N395" s="6">
        <v>1.4E-2</v>
      </c>
      <c r="O395" s="6">
        <v>2.8E-3</v>
      </c>
      <c r="P395" s="6">
        <v>0</v>
      </c>
      <c r="Q395" s="4" t="s">
        <v>26</v>
      </c>
      <c r="R395" s="4">
        <v>0</v>
      </c>
      <c r="S395" s="6">
        <v>0</v>
      </c>
      <c r="T395" s="6">
        <v>30</v>
      </c>
      <c r="U395" s="6">
        <v>32</v>
      </c>
      <c r="V395" s="6">
        <f>IF(ISERROR(VLOOKUP($S$395,'TAR FIN'!$A$1:$O$86,15,0)),0,VLOOKUP($S$395,'TAR FIN'!$A$1:$O$86,15,0))</f>
        <v>0</v>
      </c>
      <c r="W395" s="6">
        <f>IF(ISERROR(VLOOKUP($T$395,'TAR FIN'!$A$1:$O$86,15,0)),0,VLOOKUP($T$395,'TAR FIN'!$A$1:$O$86,15,0))</f>
        <v>162.08000000000001</v>
      </c>
      <c r="X395" s="6">
        <f>IF(ISERROR(VLOOKUP($U$395,'TAR FIN'!$A$1:$O$86,15,0)),0,VLOOKUP($U$395,'TAR FIN'!$A$1:$O$86,15,0))</f>
        <v>134.4</v>
      </c>
      <c r="Y395" s="6"/>
      <c r="Z395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112.66799999999999</v>
      </c>
      <c r="AA395" s="6">
        <f ca="1">('TE BE'!$AB$13+'TE BF_350'!$AB$13+'TE CVA'!$AB$13)*(1-CUSTOS!$M$35)</f>
        <v>157.51799999999997</v>
      </c>
      <c r="AB395" s="6">
        <f>$K$395*$V$395</f>
        <v>0</v>
      </c>
      <c r="AC395" s="6">
        <f>$M$395*$W$395</f>
        <v>0.45382400000000001</v>
      </c>
      <c r="AD395" s="6">
        <f>$O$395*$X$395</f>
        <v>0.37631999999999999</v>
      </c>
      <c r="AE395" s="6">
        <f>$K$395*$Y$395</f>
        <v>0</v>
      </c>
      <c r="AF395" s="6">
        <f ca="1">$M$395*$Z$395</f>
        <v>0.31547039999999998</v>
      </c>
      <c r="AG395" s="6">
        <f ca="1">$O$395*$AA$395</f>
        <v>0.4410503999999999</v>
      </c>
    </row>
    <row r="396" spans="1:33" ht="11.25" customHeight="1" x14ac:dyDescent="0.25">
      <c r="A396" s="4" t="s">
        <v>21</v>
      </c>
      <c r="B396" s="4" t="s">
        <v>22</v>
      </c>
      <c r="C396" s="4" t="s">
        <v>23</v>
      </c>
      <c r="D396" s="4" t="s">
        <v>24</v>
      </c>
      <c r="E396" s="4" t="s">
        <v>31</v>
      </c>
      <c r="F396" s="4" t="s">
        <v>25</v>
      </c>
      <c r="G396" s="4" t="s">
        <v>25</v>
      </c>
      <c r="H396" s="4" t="s">
        <v>25</v>
      </c>
      <c r="I396" s="5">
        <v>44409</v>
      </c>
      <c r="J396" s="6">
        <v>0</v>
      </c>
      <c r="K396" s="6">
        <v>0</v>
      </c>
      <c r="L396" s="6">
        <v>77.028999999999996</v>
      </c>
      <c r="M396" s="6">
        <v>77.028999999999996</v>
      </c>
      <c r="N396" s="6">
        <v>77.028999999999996</v>
      </c>
      <c r="O396" s="6">
        <v>77.028999999999996</v>
      </c>
      <c r="P396" s="6">
        <v>652</v>
      </c>
      <c r="Q396" s="4" t="s">
        <v>26</v>
      </c>
      <c r="R396" s="4">
        <v>0</v>
      </c>
      <c r="S396" s="6">
        <v>0</v>
      </c>
      <c r="T396" s="6">
        <v>37</v>
      </c>
      <c r="U396" s="6">
        <v>58</v>
      </c>
      <c r="V396" s="6">
        <f>IF(ISERROR(VLOOKUP($S$396,'TAR FIN'!$A$1:$O$86,15,0)),0,VLOOKUP($S$396,'TAR FIN'!$A$1:$O$86,15,0))</f>
        <v>0</v>
      </c>
      <c r="W396" s="6">
        <f>IF(ISERROR(VLOOKUP($T$396,'TAR FIN'!$A$1:$O$86,15,0)),0,VLOOKUP($T$396,'TAR FIN'!$A$1:$O$86,15,0))</f>
        <v>243.12</v>
      </c>
      <c r="X396" s="6">
        <f>IF(ISERROR(VLOOKUP($U$396,'TAR FIN'!$A$1:$O$86,15,0)),0,VLOOKUP($U$396,'TAR FIN'!$A$1:$O$86,15,0))</f>
        <v>201.61</v>
      </c>
      <c r="Y396" s="6"/>
      <c r="Z396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169.00200000000001</v>
      </c>
      <c r="AA396" s="6">
        <f ca="1">('TE BE'!$AB$14+'TE BF_350'!$AB$14+'TE CVA'!$AB$14)*(1-CUSTOS!$M$36)</f>
        <v>236.27699999999999</v>
      </c>
      <c r="AB396" s="6">
        <f>$K$396*$V$396</f>
        <v>0</v>
      </c>
      <c r="AC396" s="6">
        <f>$M$396*$W$396</f>
        <v>18727.29048</v>
      </c>
      <c r="AD396" s="6">
        <f>$O$396*$X$396</f>
        <v>15529.81669</v>
      </c>
      <c r="AE396" s="6">
        <f>$K$396*$Y$396</f>
        <v>0</v>
      </c>
      <c r="AF396" s="6">
        <f ca="1">$M$396*$Z$396</f>
        <v>13018.055058</v>
      </c>
      <c r="AG396" s="6">
        <f ca="1">$O$396*$AA$396</f>
        <v>18200.181032999997</v>
      </c>
    </row>
    <row r="397" spans="1:33" ht="11.25" customHeight="1" x14ac:dyDescent="0.25">
      <c r="A397" s="4" t="s">
        <v>27</v>
      </c>
      <c r="B397" s="4" t="s">
        <v>22</v>
      </c>
      <c r="C397" s="4" t="s">
        <v>23</v>
      </c>
      <c r="D397" s="4" t="s">
        <v>24</v>
      </c>
      <c r="E397" s="4" t="s">
        <v>31</v>
      </c>
      <c r="F397" s="4" t="s">
        <v>25</v>
      </c>
      <c r="G397" s="4" t="s">
        <v>25</v>
      </c>
      <c r="H397" s="4" t="s">
        <v>25</v>
      </c>
      <c r="I397" s="5">
        <v>44409</v>
      </c>
      <c r="J397" s="6">
        <v>0</v>
      </c>
      <c r="K397" s="6">
        <v>0</v>
      </c>
      <c r="L397" s="6">
        <v>-6.7000000000000004E-2</v>
      </c>
      <c r="M397" s="6">
        <v>-6.7000000000000004E-2</v>
      </c>
      <c r="N397" s="6">
        <v>-6.7000000000000004E-2</v>
      </c>
      <c r="O397" s="6">
        <v>-6.7000000000000004E-2</v>
      </c>
      <c r="P397" s="6">
        <v>0</v>
      </c>
      <c r="Q397" s="4" t="s">
        <v>26</v>
      </c>
      <c r="R397" s="4">
        <v>0</v>
      </c>
      <c r="S397" s="6">
        <v>0</v>
      </c>
      <c r="T397" s="6">
        <v>37</v>
      </c>
      <c r="U397" s="6">
        <v>58</v>
      </c>
      <c r="V397" s="6">
        <f>IF(ISERROR(VLOOKUP($S$397,'TAR FIN'!$A$1:$O$86,15,0)),0,VLOOKUP($S$397,'TAR FIN'!$A$1:$O$86,15,0))</f>
        <v>0</v>
      </c>
      <c r="W397" s="6">
        <f>IF(ISERROR(VLOOKUP($T$397,'TAR FIN'!$A$1:$O$86,15,0)),0,VLOOKUP($T$397,'TAR FIN'!$A$1:$O$86,15,0))</f>
        <v>243.12</v>
      </c>
      <c r="X397" s="6">
        <f>IF(ISERROR(VLOOKUP($U$397,'TAR FIN'!$A$1:$O$86,15,0)),0,VLOOKUP($U$397,'TAR FIN'!$A$1:$O$86,15,0))</f>
        <v>201.61</v>
      </c>
      <c r="Y397" s="6"/>
      <c r="Z397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169.00200000000001</v>
      </c>
      <c r="AA397" s="6">
        <f ca="1">('TE BE'!$AB$14+'TE BF_350'!$AB$14+'TE CVA'!$AB$14)*(1-CUSTOS!$M$36)</f>
        <v>236.27699999999999</v>
      </c>
      <c r="AB397" s="6">
        <f>$K$397*$V$397</f>
        <v>0</v>
      </c>
      <c r="AC397" s="6">
        <f>$M$397*$W$397</f>
        <v>-16.28904</v>
      </c>
      <c r="AD397" s="6">
        <f>$O$397*$X$397</f>
        <v>-13.507870000000002</v>
      </c>
      <c r="AE397" s="6">
        <f>$K$397*$Y$397</f>
        <v>0</v>
      </c>
      <c r="AF397" s="6">
        <f ca="1">$M$397*$Z$397</f>
        <v>-11.323134000000001</v>
      </c>
      <c r="AG397" s="6">
        <f ca="1">$O$397*$AA$397</f>
        <v>-15.830559000000001</v>
      </c>
    </row>
    <row r="398" spans="1:33" ht="11.25" customHeight="1" x14ac:dyDescent="0.25">
      <c r="A398" s="4" t="s">
        <v>21</v>
      </c>
      <c r="B398" s="4" t="s">
        <v>22</v>
      </c>
      <c r="C398" s="4" t="s">
        <v>23</v>
      </c>
      <c r="D398" s="4" t="s">
        <v>24</v>
      </c>
      <c r="E398" s="4" t="s">
        <v>31</v>
      </c>
      <c r="F398" s="4" t="s">
        <v>25</v>
      </c>
      <c r="G398" s="4" t="s">
        <v>25</v>
      </c>
      <c r="H398" s="4" t="s">
        <v>25</v>
      </c>
      <c r="I398" s="5">
        <v>44440</v>
      </c>
      <c r="J398" s="6">
        <v>0</v>
      </c>
      <c r="K398" s="6">
        <v>0</v>
      </c>
      <c r="L398" s="6">
        <v>85.152000000000001</v>
      </c>
      <c r="M398" s="6">
        <v>85.152000000000001</v>
      </c>
      <c r="N398" s="6">
        <v>85.152000000000001</v>
      </c>
      <c r="O398" s="6">
        <v>85.152000000000001</v>
      </c>
      <c r="P398" s="6">
        <v>652</v>
      </c>
      <c r="Q398" s="4" t="s">
        <v>26</v>
      </c>
      <c r="R398" s="4">
        <v>0</v>
      </c>
      <c r="S398" s="6">
        <v>0</v>
      </c>
      <c r="T398" s="6">
        <v>37</v>
      </c>
      <c r="U398" s="6">
        <v>58</v>
      </c>
      <c r="V398" s="6">
        <f>IF(ISERROR(VLOOKUP($S$398,'TAR FIN'!$A$1:$O$86,15,0)),0,VLOOKUP($S$398,'TAR FIN'!$A$1:$O$86,15,0))</f>
        <v>0</v>
      </c>
      <c r="W398" s="6">
        <f>IF(ISERROR(VLOOKUP($T$398,'TAR FIN'!$A$1:$O$86,15,0)),0,VLOOKUP($T$398,'TAR FIN'!$A$1:$O$86,15,0))</f>
        <v>243.12</v>
      </c>
      <c r="X398" s="6">
        <f>IF(ISERROR(VLOOKUP($U$398,'TAR FIN'!$A$1:$O$86,15,0)),0,VLOOKUP($U$398,'TAR FIN'!$A$1:$O$86,15,0))</f>
        <v>201.61</v>
      </c>
      <c r="Y398" s="6"/>
      <c r="Z398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169.00200000000001</v>
      </c>
      <c r="AA398" s="6">
        <f ca="1">('TE BE'!$AB$14+'TE BF_350'!$AB$14+'TE CVA'!$AB$14)*(1-CUSTOS!$M$36)</f>
        <v>236.27699999999999</v>
      </c>
      <c r="AB398" s="6">
        <f>$K$398*$V$398</f>
        <v>0</v>
      </c>
      <c r="AC398" s="6">
        <f>$M$398*$W$398</f>
        <v>20702.15424</v>
      </c>
      <c r="AD398" s="6">
        <f>$O$398*$X$398</f>
        <v>17167.494720000002</v>
      </c>
      <c r="AE398" s="6">
        <f>$K$398*$Y$398</f>
        <v>0</v>
      </c>
      <c r="AF398" s="6">
        <f ca="1">$M$398*$Z$398</f>
        <v>14390.858304000001</v>
      </c>
      <c r="AG398" s="6">
        <f ca="1">$O$398*$AA$398</f>
        <v>20119.459103999998</v>
      </c>
    </row>
    <row r="399" spans="1:33" ht="11.25" customHeight="1" x14ac:dyDescent="0.25">
      <c r="A399" s="4" t="s">
        <v>27</v>
      </c>
      <c r="B399" s="4" t="s">
        <v>22</v>
      </c>
      <c r="C399" s="4" t="s">
        <v>23</v>
      </c>
      <c r="D399" s="4" t="s">
        <v>24</v>
      </c>
      <c r="E399" s="4" t="s">
        <v>31</v>
      </c>
      <c r="F399" s="4" t="s">
        <v>25</v>
      </c>
      <c r="G399" s="4" t="s">
        <v>25</v>
      </c>
      <c r="H399" s="4" t="s">
        <v>25</v>
      </c>
      <c r="I399" s="5">
        <v>44440</v>
      </c>
      <c r="J399" s="6">
        <v>0</v>
      </c>
      <c r="K399" s="6">
        <v>0</v>
      </c>
      <c r="L399" s="6">
        <v>-8.5000000000000006E-2</v>
      </c>
      <c r="M399" s="6">
        <v>-8.5000000000000006E-2</v>
      </c>
      <c r="N399" s="6">
        <v>-8.5000000000000006E-2</v>
      </c>
      <c r="O399" s="6">
        <v>-8.5000000000000006E-2</v>
      </c>
      <c r="P399" s="6">
        <v>0</v>
      </c>
      <c r="Q399" s="4" t="s">
        <v>26</v>
      </c>
      <c r="R399" s="4">
        <v>0</v>
      </c>
      <c r="S399" s="6">
        <v>0</v>
      </c>
      <c r="T399" s="6">
        <v>37</v>
      </c>
      <c r="U399" s="6">
        <v>58</v>
      </c>
      <c r="V399" s="6">
        <f>IF(ISERROR(VLOOKUP($S$399,'TAR FIN'!$A$1:$O$86,15,0)),0,VLOOKUP($S$399,'TAR FIN'!$A$1:$O$86,15,0))</f>
        <v>0</v>
      </c>
      <c r="W399" s="6">
        <f>IF(ISERROR(VLOOKUP($T$399,'TAR FIN'!$A$1:$O$86,15,0)),0,VLOOKUP($T$399,'TAR FIN'!$A$1:$O$86,15,0))</f>
        <v>243.12</v>
      </c>
      <c r="X399" s="6">
        <f>IF(ISERROR(VLOOKUP($U$399,'TAR FIN'!$A$1:$O$86,15,0)),0,VLOOKUP($U$399,'TAR FIN'!$A$1:$O$86,15,0))</f>
        <v>201.61</v>
      </c>
      <c r="Y399" s="6"/>
      <c r="Z399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169.00200000000001</v>
      </c>
      <c r="AA399" s="6">
        <f ca="1">('TE BE'!$AB$14+'TE BF_350'!$AB$14+'TE CVA'!$AB$14)*(1-CUSTOS!$M$36)</f>
        <v>236.27699999999999</v>
      </c>
      <c r="AB399" s="6">
        <f>$K$399*$V$399</f>
        <v>0</v>
      </c>
      <c r="AC399" s="6">
        <f>$M$399*$W$399</f>
        <v>-20.665200000000002</v>
      </c>
      <c r="AD399" s="6">
        <f>$O$399*$X$399</f>
        <v>-17.136850000000003</v>
      </c>
      <c r="AE399" s="6">
        <f>$K$399*$Y$399</f>
        <v>0</v>
      </c>
      <c r="AF399" s="6">
        <f ca="1">$M$399*$Z$399</f>
        <v>-14.365170000000003</v>
      </c>
      <c r="AG399" s="6">
        <f ca="1">$O$399*$AA$399</f>
        <v>-20.083545000000001</v>
      </c>
    </row>
    <row r="400" spans="1:33" ht="11.25" customHeight="1" x14ac:dyDescent="0.25">
      <c r="A400" s="4" t="s">
        <v>21</v>
      </c>
      <c r="B400" s="4" t="s">
        <v>22</v>
      </c>
      <c r="C400" s="4" t="s">
        <v>23</v>
      </c>
      <c r="D400" s="4" t="s">
        <v>24</v>
      </c>
      <c r="E400" s="4" t="s">
        <v>31</v>
      </c>
      <c r="F400" s="4" t="s">
        <v>25</v>
      </c>
      <c r="G400" s="4" t="s">
        <v>25</v>
      </c>
      <c r="H400" s="4" t="s">
        <v>25</v>
      </c>
      <c r="I400" s="5">
        <v>44470</v>
      </c>
      <c r="J400" s="6">
        <v>0</v>
      </c>
      <c r="K400" s="6">
        <v>0</v>
      </c>
      <c r="L400" s="6">
        <v>79.515000000000001</v>
      </c>
      <c r="M400" s="6">
        <v>79.515000000000001</v>
      </c>
      <c r="N400" s="6">
        <v>79.515000000000001</v>
      </c>
      <c r="O400" s="6">
        <v>79.515000000000001</v>
      </c>
      <c r="P400" s="6">
        <v>705</v>
      </c>
      <c r="Q400" s="4" t="s">
        <v>26</v>
      </c>
      <c r="R400" s="4">
        <v>0</v>
      </c>
      <c r="S400" s="6">
        <v>0</v>
      </c>
      <c r="T400" s="6">
        <v>37</v>
      </c>
      <c r="U400" s="6">
        <v>58</v>
      </c>
      <c r="V400" s="6">
        <f>IF(ISERROR(VLOOKUP($S$400,'TAR FIN'!$A$1:$O$86,15,0)),0,VLOOKUP($S$400,'TAR FIN'!$A$1:$O$86,15,0))</f>
        <v>0</v>
      </c>
      <c r="W400" s="6">
        <f>IF(ISERROR(VLOOKUP($T$400,'TAR FIN'!$A$1:$O$86,15,0)),0,VLOOKUP($T$400,'TAR FIN'!$A$1:$O$86,15,0))</f>
        <v>243.12</v>
      </c>
      <c r="X400" s="6">
        <f>IF(ISERROR(VLOOKUP($U$400,'TAR FIN'!$A$1:$O$86,15,0)),0,VLOOKUP($U$400,'TAR FIN'!$A$1:$O$86,15,0))</f>
        <v>201.61</v>
      </c>
      <c r="Y400" s="6"/>
      <c r="Z400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169.00200000000001</v>
      </c>
      <c r="AA400" s="6">
        <f ca="1">('TE BE'!$AB$14+'TE BF_350'!$AB$14+'TE CVA'!$AB$14)*(1-CUSTOS!$M$36)</f>
        <v>236.27699999999999</v>
      </c>
      <c r="AB400" s="6">
        <f>$K$400*$V$400</f>
        <v>0</v>
      </c>
      <c r="AC400" s="6">
        <f>$M$400*$W$400</f>
        <v>19331.686799999999</v>
      </c>
      <c r="AD400" s="6">
        <f>$O$400*$X$400</f>
        <v>16031.019150000002</v>
      </c>
      <c r="AE400" s="6">
        <f>$K$400*$Y$400</f>
        <v>0</v>
      </c>
      <c r="AF400" s="6">
        <f ca="1">$M$400*$Z$400</f>
        <v>13438.194030000001</v>
      </c>
      <c r="AG400" s="6">
        <f ca="1">$O$400*$AA$400</f>
        <v>18787.565654999999</v>
      </c>
    </row>
    <row r="401" spans="1:33" ht="11.25" customHeight="1" x14ac:dyDescent="0.25">
      <c r="A401" s="4" t="s">
        <v>27</v>
      </c>
      <c r="B401" s="4" t="s">
        <v>22</v>
      </c>
      <c r="C401" s="4" t="s">
        <v>23</v>
      </c>
      <c r="D401" s="4" t="s">
        <v>24</v>
      </c>
      <c r="E401" s="4" t="s">
        <v>31</v>
      </c>
      <c r="F401" s="4" t="s">
        <v>25</v>
      </c>
      <c r="G401" s="4" t="s">
        <v>25</v>
      </c>
      <c r="H401" s="4" t="s">
        <v>25</v>
      </c>
      <c r="I401" s="5">
        <v>44470</v>
      </c>
      <c r="J401" s="6">
        <v>0</v>
      </c>
      <c r="K401" s="6">
        <v>0</v>
      </c>
      <c r="L401" s="6">
        <v>-1.9E-2</v>
      </c>
      <c r="M401" s="6">
        <v>-1.9E-2</v>
      </c>
      <c r="N401" s="6">
        <v>-1.9E-2</v>
      </c>
      <c r="O401" s="6">
        <v>-1.9E-2</v>
      </c>
      <c r="P401" s="6">
        <v>0</v>
      </c>
      <c r="Q401" s="4" t="s">
        <v>26</v>
      </c>
      <c r="R401" s="4">
        <v>0</v>
      </c>
      <c r="S401" s="6">
        <v>0</v>
      </c>
      <c r="T401" s="6">
        <v>37</v>
      </c>
      <c r="U401" s="6">
        <v>58</v>
      </c>
      <c r="V401" s="6">
        <f>IF(ISERROR(VLOOKUP($S$401,'TAR FIN'!$A$1:$O$86,15,0)),0,VLOOKUP($S$401,'TAR FIN'!$A$1:$O$86,15,0))</f>
        <v>0</v>
      </c>
      <c r="W401" s="6">
        <f>IF(ISERROR(VLOOKUP($T$401,'TAR FIN'!$A$1:$O$86,15,0)),0,VLOOKUP($T$401,'TAR FIN'!$A$1:$O$86,15,0))</f>
        <v>243.12</v>
      </c>
      <c r="X401" s="6">
        <f>IF(ISERROR(VLOOKUP($U$401,'TAR FIN'!$A$1:$O$86,15,0)),0,VLOOKUP($U$401,'TAR FIN'!$A$1:$O$86,15,0))</f>
        <v>201.61</v>
      </c>
      <c r="Y401" s="6"/>
      <c r="Z401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169.00200000000001</v>
      </c>
      <c r="AA401" s="6">
        <f ca="1">('TE BE'!$AB$14+'TE BF_350'!$AB$14+'TE CVA'!$AB$14)*(1-CUSTOS!$M$36)</f>
        <v>236.27699999999999</v>
      </c>
      <c r="AB401" s="6">
        <f>$K$401*$V$401</f>
        <v>0</v>
      </c>
      <c r="AC401" s="6">
        <f>$M$401*$W$401</f>
        <v>-4.6192799999999998</v>
      </c>
      <c r="AD401" s="6">
        <f>$O$401*$X$401</f>
        <v>-3.8305900000000004</v>
      </c>
      <c r="AE401" s="6">
        <f>$K$401*$Y$401</f>
        <v>0</v>
      </c>
      <c r="AF401" s="6">
        <f ca="1">$M$401*$Z$401</f>
        <v>-3.2110380000000003</v>
      </c>
      <c r="AG401" s="6">
        <f ca="1">$O$401*$AA$401</f>
        <v>-4.4892629999999993</v>
      </c>
    </row>
    <row r="402" spans="1:33" ht="11.25" customHeight="1" x14ac:dyDescent="0.25">
      <c r="A402" s="4" t="s">
        <v>21</v>
      </c>
      <c r="B402" s="4" t="s">
        <v>22</v>
      </c>
      <c r="C402" s="4" t="s">
        <v>23</v>
      </c>
      <c r="D402" s="4" t="s">
        <v>24</v>
      </c>
      <c r="E402" s="4" t="s">
        <v>31</v>
      </c>
      <c r="F402" s="4" t="s">
        <v>25</v>
      </c>
      <c r="G402" s="4" t="s">
        <v>25</v>
      </c>
      <c r="H402" s="4" t="s">
        <v>25</v>
      </c>
      <c r="I402" s="5">
        <v>44501</v>
      </c>
      <c r="J402" s="6">
        <v>0</v>
      </c>
      <c r="K402" s="6">
        <v>0</v>
      </c>
      <c r="L402" s="6">
        <v>82.828000000000003</v>
      </c>
      <c r="M402" s="6">
        <v>82.828000000000003</v>
      </c>
      <c r="N402" s="6">
        <v>82.828000000000003</v>
      </c>
      <c r="O402" s="6">
        <v>82.828000000000003</v>
      </c>
      <c r="P402" s="6">
        <v>702</v>
      </c>
      <c r="Q402" s="4" t="s">
        <v>26</v>
      </c>
      <c r="R402" s="4">
        <v>0</v>
      </c>
      <c r="S402" s="6">
        <v>0</v>
      </c>
      <c r="T402" s="6">
        <v>37</v>
      </c>
      <c r="U402" s="6">
        <v>58</v>
      </c>
      <c r="V402" s="6">
        <f>IF(ISERROR(VLOOKUP($S$402,'TAR FIN'!$A$1:$O$86,15,0)),0,VLOOKUP($S$402,'TAR FIN'!$A$1:$O$86,15,0))</f>
        <v>0</v>
      </c>
      <c r="W402" s="6">
        <f>IF(ISERROR(VLOOKUP($T$402,'TAR FIN'!$A$1:$O$86,15,0)),0,VLOOKUP($T$402,'TAR FIN'!$A$1:$O$86,15,0))</f>
        <v>243.12</v>
      </c>
      <c r="X402" s="6">
        <f>IF(ISERROR(VLOOKUP($U$402,'TAR FIN'!$A$1:$O$86,15,0)),0,VLOOKUP($U$402,'TAR FIN'!$A$1:$O$86,15,0))</f>
        <v>201.61</v>
      </c>
      <c r="Y402" s="6"/>
      <c r="Z402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169.00200000000001</v>
      </c>
      <c r="AA402" s="6">
        <f ca="1">('TE BE'!$AB$14+'TE BF_350'!$AB$14+'TE CVA'!$AB$14)*(1-CUSTOS!$M$36)</f>
        <v>236.27699999999999</v>
      </c>
      <c r="AB402" s="6">
        <f>$K$402*$V$402</f>
        <v>0</v>
      </c>
      <c r="AC402" s="6">
        <f>$M$402*$W$402</f>
        <v>20137.143360000002</v>
      </c>
      <c r="AD402" s="6">
        <f>$O$402*$X$402</f>
        <v>16698.953080000003</v>
      </c>
      <c r="AE402" s="6">
        <f>$K$402*$Y$402</f>
        <v>0</v>
      </c>
      <c r="AF402" s="6">
        <f ca="1">$M$402*$Z$402</f>
        <v>13998.097656000002</v>
      </c>
      <c r="AG402" s="6">
        <f ca="1">$O$402*$AA$402</f>
        <v>19570.351355999999</v>
      </c>
    </row>
    <row r="403" spans="1:33" ht="11.25" customHeight="1" x14ac:dyDescent="0.25">
      <c r="A403" s="4" t="s">
        <v>27</v>
      </c>
      <c r="B403" s="4" t="s">
        <v>22</v>
      </c>
      <c r="C403" s="4" t="s">
        <v>23</v>
      </c>
      <c r="D403" s="4" t="s">
        <v>24</v>
      </c>
      <c r="E403" s="4" t="s">
        <v>31</v>
      </c>
      <c r="F403" s="4" t="s">
        <v>25</v>
      </c>
      <c r="G403" s="4" t="s">
        <v>25</v>
      </c>
      <c r="H403" s="4" t="s">
        <v>25</v>
      </c>
      <c r="I403" s="5">
        <v>44501</v>
      </c>
      <c r="J403" s="6">
        <v>0</v>
      </c>
      <c r="K403" s="6">
        <v>0</v>
      </c>
      <c r="L403" s="6">
        <v>-0.11</v>
      </c>
      <c r="M403" s="6">
        <v>-0.11</v>
      </c>
      <c r="N403" s="6">
        <v>-0.11</v>
      </c>
      <c r="O403" s="6">
        <v>-0.11</v>
      </c>
      <c r="P403" s="6">
        <v>0</v>
      </c>
      <c r="Q403" s="4" t="s">
        <v>26</v>
      </c>
      <c r="R403" s="4">
        <v>0</v>
      </c>
      <c r="S403" s="6">
        <v>0</v>
      </c>
      <c r="T403" s="6">
        <v>37</v>
      </c>
      <c r="U403" s="6">
        <v>58</v>
      </c>
      <c r="V403" s="6">
        <f>IF(ISERROR(VLOOKUP($S$403,'TAR FIN'!$A$1:$O$86,15,0)),0,VLOOKUP($S$403,'TAR FIN'!$A$1:$O$86,15,0))</f>
        <v>0</v>
      </c>
      <c r="W403" s="6">
        <f>IF(ISERROR(VLOOKUP($T$403,'TAR FIN'!$A$1:$O$86,15,0)),0,VLOOKUP($T$403,'TAR FIN'!$A$1:$O$86,15,0))</f>
        <v>243.12</v>
      </c>
      <c r="X403" s="6">
        <f>IF(ISERROR(VLOOKUP($U$403,'TAR FIN'!$A$1:$O$86,15,0)),0,VLOOKUP($U$403,'TAR FIN'!$A$1:$O$86,15,0))</f>
        <v>201.61</v>
      </c>
      <c r="Y403" s="6"/>
      <c r="Z403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169.00200000000001</v>
      </c>
      <c r="AA403" s="6">
        <f ca="1">('TE BE'!$AB$14+'TE BF_350'!$AB$14+'TE CVA'!$AB$14)*(1-CUSTOS!$M$36)</f>
        <v>236.27699999999999</v>
      </c>
      <c r="AB403" s="6">
        <f>$K$403*$V$403</f>
        <v>0</v>
      </c>
      <c r="AC403" s="6">
        <f>$M$403*$W$403</f>
        <v>-26.743200000000002</v>
      </c>
      <c r="AD403" s="6">
        <f>$O$403*$X$403</f>
        <v>-22.177100000000003</v>
      </c>
      <c r="AE403" s="6">
        <f>$K$403*$Y$403</f>
        <v>0</v>
      </c>
      <c r="AF403" s="6">
        <f ca="1">$M$403*$Z$403</f>
        <v>-18.590220000000002</v>
      </c>
      <c r="AG403" s="6">
        <f ca="1">$O$403*$AA$403</f>
        <v>-25.990469999999998</v>
      </c>
    </row>
    <row r="404" spans="1:33" ht="11.25" customHeight="1" x14ac:dyDescent="0.25">
      <c r="A404" s="4" t="s">
        <v>21</v>
      </c>
      <c r="B404" s="4" t="s">
        <v>22</v>
      </c>
      <c r="C404" s="4" t="s">
        <v>23</v>
      </c>
      <c r="D404" s="4" t="s">
        <v>24</v>
      </c>
      <c r="E404" s="4" t="s">
        <v>31</v>
      </c>
      <c r="F404" s="4" t="s">
        <v>25</v>
      </c>
      <c r="G404" s="4" t="s">
        <v>25</v>
      </c>
      <c r="H404" s="4" t="s">
        <v>25</v>
      </c>
      <c r="I404" s="5">
        <v>44531</v>
      </c>
      <c r="J404" s="6">
        <v>0</v>
      </c>
      <c r="K404" s="6">
        <v>0</v>
      </c>
      <c r="L404" s="6">
        <v>82.319000000000003</v>
      </c>
      <c r="M404" s="6">
        <v>82.319000000000003</v>
      </c>
      <c r="N404" s="6">
        <v>82.319000000000003</v>
      </c>
      <c r="O404" s="6">
        <v>82.319000000000003</v>
      </c>
      <c r="P404" s="6">
        <v>726</v>
      </c>
      <c r="Q404" s="4" t="s">
        <v>26</v>
      </c>
      <c r="R404" s="4">
        <v>0</v>
      </c>
      <c r="S404" s="6">
        <v>0</v>
      </c>
      <c r="T404" s="6">
        <v>37</v>
      </c>
      <c r="U404" s="6">
        <v>58</v>
      </c>
      <c r="V404" s="6">
        <f>IF(ISERROR(VLOOKUP($S$404,'TAR FIN'!$A$1:$O$86,15,0)),0,VLOOKUP($S$404,'TAR FIN'!$A$1:$O$86,15,0))</f>
        <v>0</v>
      </c>
      <c r="W404" s="6">
        <f>IF(ISERROR(VLOOKUP($T$404,'TAR FIN'!$A$1:$O$86,15,0)),0,VLOOKUP($T$404,'TAR FIN'!$A$1:$O$86,15,0))</f>
        <v>243.12</v>
      </c>
      <c r="X404" s="6">
        <f>IF(ISERROR(VLOOKUP($U$404,'TAR FIN'!$A$1:$O$86,15,0)),0,VLOOKUP($U$404,'TAR FIN'!$A$1:$O$86,15,0))</f>
        <v>201.61</v>
      </c>
      <c r="Y404" s="6"/>
      <c r="Z404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169.00200000000001</v>
      </c>
      <c r="AA404" s="6">
        <f ca="1">('TE BE'!$AB$14+'TE BF_350'!$AB$14+'TE CVA'!$AB$14)*(1-CUSTOS!$M$36)</f>
        <v>236.27699999999999</v>
      </c>
      <c r="AB404" s="6">
        <f>$K$404*$V$404</f>
        <v>0</v>
      </c>
      <c r="AC404" s="6">
        <f>$M$404*$W$404</f>
        <v>20013.395280000001</v>
      </c>
      <c r="AD404" s="6">
        <f>$O$404*$X$404</f>
        <v>16596.333590000002</v>
      </c>
      <c r="AE404" s="6">
        <f>$K$404*$Y$404</f>
        <v>0</v>
      </c>
      <c r="AF404" s="6">
        <f ca="1">$M$404*$Z$404</f>
        <v>13912.075638000002</v>
      </c>
      <c r="AG404" s="6">
        <f ca="1">$O$404*$AA$404</f>
        <v>19450.086362999999</v>
      </c>
    </row>
    <row r="405" spans="1:33" ht="11.25" customHeight="1" x14ac:dyDescent="0.25">
      <c r="A405" s="4" t="s">
        <v>27</v>
      </c>
      <c r="B405" s="4" t="s">
        <v>22</v>
      </c>
      <c r="C405" s="4" t="s">
        <v>23</v>
      </c>
      <c r="D405" s="4" t="s">
        <v>24</v>
      </c>
      <c r="E405" s="4" t="s">
        <v>31</v>
      </c>
      <c r="F405" s="4" t="s">
        <v>25</v>
      </c>
      <c r="G405" s="4" t="s">
        <v>25</v>
      </c>
      <c r="H405" s="4" t="s">
        <v>25</v>
      </c>
      <c r="I405" s="5">
        <v>44531</v>
      </c>
      <c r="J405" s="6">
        <v>0</v>
      </c>
      <c r="K405" s="6">
        <v>0</v>
      </c>
      <c r="L405" s="6">
        <v>-5.8000000000000003E-2</v>
      </c>
      <c r="M405" s="6">
        <v>-5.8000000000000003E-2</v>
      </c>
      <c r="N405" s="6">
        <v>-5.8000000000000003E-2</v>
      </c>
      <c r="O405" s="6">
        <v>-5.8000000000000003E-2</v>
      </c>
      <c r="P405" s="6">
        <v>0</v>
      </c>
      <c r="Q405" s="4" t="s">
        <v>26</v>
      </c>
      <c r="R405" s="4">
        <v>0</v>
      </c>
      <c r="S405" s="6">
        <v>0</v>
      </c>
      <c r="T405" s="6">
        <v>37</v>
      </c>
      <c r="U405" s="6">
        <v>58</v>
      </c>
      <c r="V405" s="6">
        <f>IF(ISERROR(VLOOKUP($S$405,'TAR FIN'!$A$1:$O$86,15,0)),0,VLOOKUP($S$405,'TAR FIN'!$A$1:$O$86,15,0))</f>
        <v>0</v>
      </c>
      <c r="W405" s="6">
        <f>IF(ISERROR(VLOOKUP($T$405,'TAR FIN'!$A$1:$O$86,15,0)),0,VLOOKUP($T$405,'TAR FIN'!$A$1:$O$86,15,0))</f>
        <v>243.12</v>
      </c>
      <c r="X405" s="6">
        <f>IF(ISERROR(VLOOKUP($U$405,'TAR FIN'!$A$1:$O$86,15,0)),0,VLOOKUP($U$405,'TAR FIN'!$A$1:$O$86,15,0))</f>
        <v>201.61</v>
      </c>
      <c r="Y405" s="6"/>
      <c r="Z405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169.00200000000001</v>
      </c>
      <c r="AA405" s="6">
        <f ca="1">('TE BE'!$AB$14+'TE BF_350'!$AB$14+'TE CVA'!$AB$14)*(1-CUSTOS!$M$36)</f>
        <v>236.27699999999999</v>
      </c>
      <c r="AB405" s="6">
        <f>$K$405*$V$405</f>
        <v>0</v>
      </c>
      <c r="AC405" s="6">
        <f>$M$405*$W$405</f>
        <v>-14.100960000000001</v>
      </c>
      <c r="AD405" s="6">
        <f>$O$405*$X$405</f>
        <v>-11.693380000000001</v>
      </c>
      <c r="AE405" s="6">
        <f>$K$405*$Y$405</f>
        <v>0</v>
      </c>
      <c r="AF405" s="6">
        <f ca="1">$M$405*$Z$405</f>
        <v>-9.8021160000000016</v>
      </c>
      <c r="AG405" s="6">
        <f ca="1">$O$405*$AA$405</f>
        <v>-13.704065999999999</v>
      </c>
    </row>
    <row r="406" spans="1:33" ht="11.25" customHeight="1" x14ac:dyDescent="0.25">
      <c r="A406" s="4" t="s">
        <v>21</v>
      </c>
      <c r="B406" s="4" t="s">
        <v>22</v>
      </c>
      <c r="C406" s="4" t="s">
        <v>23</v>
      </c>
      <c r="D406" s="4" t="s">
        <v>24</v>
      </c>
      <c r="E406" s="4" t="s">
        <v>31</v>
      </c>
      <c r="F406" s="4" t="s">
        <v>25</v>
      </c>
      <c r="G406" s="4" t="s">
        <v>25</v>
      </c>
      <c r="H406" s="4" t="s">
        <v>25</v>
      </c>
      <c r="I406" s="5">
        <v>44562</v>
      </c>
      <c r="J406" s="6">
        <v>0</v>
      </c>
      <c r="K406" s="6">
        <v>0</v>
      </c>
      <c r="L406" s="6">
        <v>104.45399999999999</v>
      </c>
      <c r="M406" s="6">
        <v>104.45399999999999</v>
      </c>
      <c r="N406" s="6">
        <v>104.45399999999999</v>
      </c>
      <c r="O406" s="6">
        <v>104.45399999999999</v>
      </c>
      <c r="P406" s="6">
        <v>616</v>
      </c>
      <c r="Q406" s="4" t="s">
        <v>26</v>
      </c>
      <c r="R406" s="4">
        <v>0</v>
      </c>
      <c r="S406" s="6">
        <v>0</v>
      </c>
      <c r="T406" s="6">
        <v>37</v>
      </c>
      <c r="U406" s="6">
        <v>58</v>
      </c>
      <c r="V406" s="6">
        <f>IF(ISERROR(VLOOKUP($S$406,'TAR FIN'!$A$1:$O$86,15,0)),0,VLOOKUP($S$406,'TAR FIN'!$A$1:$O$86,15,0))</f>
        <v>0</v>
      </c>
      <c r="W406" s="6">
        <f>IF(ISERROR(VLOOKUP($T$406,'TAR FIN'!$A$1:$O$86,15,0)),0,VLOOKUP($T$406,'TAR FIN'!$A$1:$O$86,15,0))</f>
        <v>243.12</v>
      </c>
      <c r="X406" s="6">
        <f>IF(ISERROR(VLOOKUP($U$406,'TAR FIN'!$A$1:$O$86,15,0)),0,VLOOKUP($U$406,'TAR FIN'!$A$1:$O$86,15,0))</f>
        <v>201.61</v>
      </c>
      <c r="Y406" s="6"/>
      <c r="Z406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169.00200000000001</v>
      </c>
      <c r="AA406" s="6">
        <f ca="1">('TE BE'!$AB$14+'TE BF_350'!$AB$14+'TE CVA'!$AB$14)*(1-CUSTOS!$M$36)</f>
        <v>236.27699999999999</v>
      </c>
      <c r="AB406" s="6">
        <f>$K$406*$V$406</f>
        <v>0</v>
      </c>
      <c r="AC406" s="6">
        <f>$M$406*$W$406</f>
        <v>25394.856479999999</v>
      </c>
      <c r="AD406" s="6">
        <f>$O$406*$X$406</f>
        <v>21058.970939999999</v>
      </c>
      <c r="AE406" s="6">
        <f>$K$406*$Y$406</f>
        <v>0</v>
      </c>
      <c r="AF406" s="6">
        <f ca="1">$M$406*$Z$406</f>
        <v>17652.934907999999</v>
      </c>
      <c r="AG406" s="6">
        <f ca="1">$O$406*$AA$406</f>
        <v>24680.077757999996</v>
      </c>
    </row>
    <row r="407" spans="1:33" ht="11.25" customHeight="1" x14ac:dyDescent="0.25">
      <c r="A407" s="4" t="s">
        <v>27</v>
      </c>
      <c r="B407" s="4" t="s">
        <v>22</v>
      </c>
      <c r="C407" s="4" t="s">
        <v>23</v>
      </c>
      <c r="D407" s="4" t="s">
        <v>24</v>
      </c>
      <c r="E407" s="4" t="s">
        <v>31</v>
      </c>
      <c r="F407" s="4" t="s">
        <v>25</v>
      </c>
      <c r="G407" s="4" t="s">
        <v>25</v>
      </c>
      <c r="H407" s="4" t="s">
        <v>25</v>
      </c>
      <c r="I407" s="5">
        <v>44562</v>
      </c>
      <c r="J407" s="6">
        <v>0</v>
      </c>
      <c r="K407" s="6">
        <v>0</v>
      </c>
      <c r="L407" s="6">
        <v>-0.12</v>
      </c>
      <c r="M407" s="6">
        <v>-0.12</v>
      </c>
      <c r="N407" s="6">
        <v>-0.12</v>
      </c>
      <c r="O407" s="6">
        <v>-0.12</v>
      </c>
      <c r="P407" s="6">
        <v>0</v>
      </c>
      <c r="Q407" s="4" t="s">
        <v>26</v>
      </c>
      <c r="R407" s="4">
        <v>0</v>
      </c>
      <c r="S407" s="6">
        <v>0</v>
      </c>
      <c r="T407" s="6">
        <v>37</v>
      </c>
      <c r="U407" s="6">
        <v>58</v>
      </c>
      <c r="V407" s="6">
        <f>IF(ISERROR(VLOOKUP($S$407,'TAR FIN'!$A$1:$O$86,15,0)),0,VLOOKUP($S$407,'TAR FIN'!$A$1:$O$86,15,0))</f>
        <v>0</v>
      </c>
      <c r="W407" s="6">
        <f>IF(ISERROR(VLOOKUP($T$407,'TAR FIN'!$A$1:$O$86,15,0)),0,VLOOKUP($T$407,'TAR FIN'!$A$1:$O$86,15,0))</f>
        <v>243.12</v>
      </c>
      <c r="X407" s="6">
        <f>IF(ISERROR(VLOOKUP($U$407,'TAR FIN'!$A$1:$O$86,15,0)),0,VLOOKUP($U$407,'TAR FIN'!$A$1:$O$86,15,0))</f>
        <v>201.61</v>
      </c>
      <c r="Y407" s="6"/>
      <c r="Z407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169.00200000000001</v>
      </c>
      <c r="AA407" s="6">
        <f ca="1">('TE BE'!$AB$14+'TE BF_350'!$AB$14+'TE CVA'!$AB$14)*(1-CUSTOS!$M$36)</f>
        <v>236.27699999999999</v>
      </c>
      <c r="AB407" s="6">
        <f>$K$407*$V$407</f>
        <v>0</v>
      </c>
      <c r="AC407" s="6">
        <f>$M$407*$W$407</f>
        <v>-29.174399999999999</v>
      </c>
      <c r="AD407" s="6">
        <f>$O$407*$X$407</f>
        <v>-24.193200000000001</v>
      </c>
      <c r="AE407" s="6">
        <f>$K$407*$Y$407</f>
        <v>0</v>
      </c>
      <c r="AF407" s="6">
        <f ca="1">$M$407*$Z$407</f>
        <v>-20.280239999999999</v>
      </c>
      <c r="AG407" s="6">
        <f ca="1">$O$407*$AA$407</f>
        <v>-28.353239999999996</v>
      </c>
    </row>
    <row r="408" spans="1:33" ht="11.25" customHeight="1" x14ac:dyDescent="0.25">
      <c r="A408" s="4" t="s">
        <v>21</v>
      </c>
      <c r="B408" s="4" t="s">
        <v>22</v>
      </c>
      <c r="C408" s="4" t="s">
        <v>23</v>
      </c>
      <c r="D408" s="4" t="s">
        <v>24</v>
      </c>
      <c r="E408" s="4" t="s">
        <v>31</v>
      </c>
      <c r="F408" s="4" t="s">
        <v>25</v>
      </c>
      <c r="G408" s="4" t="s">
        <v>25</v>
      </c>
      <c r="H408" s="4" t="s">
        <v>25</v>
      </c>
      <c r="I408" s="5">
        <v>44593</v>
      </c>
      <c r="J408" s="6">
        <v>0</v>
      </c>
      <c r="K408" s="6">
        <v>0</v>
      </c>
      <c r="L408" s="6">
        <v>105.911</v>
      </c>
      <c r="M408" s="6">
        <v>105.911</v>
      </c>
      <c r="N408" s="6">
        <v>105.911</v>
      </c>
      <c r="O408" s="6">
        <v>105.911</v>
      </c>
      <c r="P408" s="6">
        <v>626</v>
      </c>
      <c r="Q408" s="4" t="s">
        <v>26</v>
      </c>
      <c r="R408" s="4">
        <v>0</v>
      </c>
      <c r="S408" s="6">
        <v>0</v>
      </c>
      <c r="T408" s="6">
        <v>37</v>
      </c>
      <c r="U408" s="6">
        <v>58</v>
      </c>
      <c r="V408" s="6">
        <f>IF(ISERROR(VLOOKUP($S$408,'TAR FIN'!$A$1:$O$86,15,0)),0,VLOOKUP($S$408,'TAR FIN'!$A$1:$O$86,15,0))</f>
        <v>0</v>
      </c>
      <c r="W408" s="6">
        <f>IF(ISERROR(VLOOKUP($T$408,'TAR FIN'!$A$1:$O$86,15,0)),0,VLOOKUP($T$408,'TAR FIN'!$A$1:$O$86,15,0))</f>
        <v>243.12</v>
      </c>
      <c r="X408" s="6">
        <f>IF(ISERROR(VLOOKUP($U$408,'TAR FIN'!$A$1:$O$86,15,0)),0,VLOOKUP($U$408,'TAR FIN'!$A$1:$O$86,15,0))</f>
        <v>201.61</v>
      </c>
      <c r="Y408" s="6"/>
      <c r="Z408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169.00200000000001</v>
      </c>
      <c r="AA408" s="6">
        <f ca="1">('TE BE'!$AB$14+'TE BF_350'!$AB$14+'TE CVA'!$AB$14)*(1-CUSTOS!$M$36)</f>
        <v>236.27699999999999</v>
      </c>
      <c r="AB408" s="6">
        <f>$K$408*$V$408</f>
        <v>0</v>
      </c>
      <c r="AC408" s="6">
        <f>$M$408*$W$408</f>
        <v>25749.082320000001</v>
      </c>
      <c r="AD408" s="6">
        <f>$O$408*$X$408</f>
        <v>21352.716710000001</v>
      </c>
      <c r="AE408" s="6">
        <f>$K$408*$Y$408</f>
        <v>0</v>
      </c>
      <c r="AF408" s="6">
        <f ca="1">$M$408*$Z$408</f>
        <v>17899.170822</v>
      </c>
      <c r="AG408" s="6">
        <f ca="1">$O$408*$AA$408</f>
        <v>25024.333347</v>
      </c>
    </row>
    <row r="409" spans="1:33" ht="11.25" customHeight="1" x14ac:dyDescent="0.25">
      <c r="A409" s="4" t="s">
        <v>21</v>
      </c>
      <c r="B409" s="4" t="s">
        <v>22</v>
      </c>
      <c r="C409" s="4" t="s">
        <v>23</v>
      </c>
      <c r="D409" s="4" t="s">
        <v>24</v>
      </c>
      <c r="E409" s="4" t="s">
        <v>31</v>
      </c>
      <c r="F409" s="4" t="s">
        <v>25</v>
      </c>
      <c r="G409" s="4" t="s">
        <v>25</v>
      </c>
      <c r="H409" s="4" t="s">
        <v>25</v>
      </c>
      <c r="I409" s="5">
        <v>44621</v>
      </c>
      <c r="J409" s="6">
        <v>0</v>
      </c>
      <c r="K409" s="6">
        <v>0</v>
      </c>
      <c r="L409" s="6">
        <v>103.733</v>
      </c>
      <c r="M409" s="6">
        <v>103.733</v>
      </c>
      <c r="N409" s="6">
        <v>103.733</v>
      </c>
      <c r="O409" s="6">
        <v>103.733</v>
      </c>
      <c r="P409" s="6">
        <v>682</v>
      </c>
      <c r="Q409" s="4" t="s">
        <v>26</v>
      </c>
      <c r="R409" s="4">
        <v>0</v>
      </c>
      <c r="S409" s="6">
        <v>0</v>
      </c>
      <c r="T409" s="6">
        <v>37</v>
      </c>
      <c r="U409" s="6">
        <v>58</v>
      </c>
      <c r="V409" s="6">
        <f>IF(ISERROR(VLOOKUP($S$409,'TAR FIN'!$A$1:$O$86,15,0)),0,VLOOKUP($S$409,'TAR FIN'!$A$1:$O$86,15,0))</f>
        <v>0</v>
      </c>
      <c r="W409" s="6">
        <f>IF(ISERROR(VLOOKUP($T$409,'TAR FIN'!$A$1:$O$86,15,0)),0,VLOOKUP($T$409,'TAR FIN'!$A$1:$O$86,15,0))</f>
        <v>243.12</v>
      </c>
      <c r="X409" s="6">
        <f>IF(ISERROR(VLOOKUP($U$409,'TAR FIN'!$A$1:$O$86,15,0)),0,VLOOKUP($U$409,'TAR FIN'!$A$1:$O$86,15,0))</f>
        <v>201.61</v>
      </c>
      <c r="Y409" s="6"/>
      <c r="Z409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169.00200000000001</v>
      </c>
      <c r="AA409" s="6">
        <f ca="1">('TE BE'!$AB$14+'TE BF_350'!$AB$14+'TE CVA'!$AB$14)*(1-CUSTOS!$M$36)</f>
        <v>236.27699999999999</v>
      </c>
      <c r="AB409" s="6">
        <f>$K$409*$V$409</f>
        <v>0</v>
      </c>
      <c r="AC409" s="6">
        <f>$M$409*$W$409</f>
        <v>25219.56696</v>
      </c>
      <c r="AD409" s="6">
        <f>$O$409*$X$409</f>
        <v>20913.610130000001</v>
      </c>
      <c r="AE409" s="6">
        <f>$K$409*$Y$409</f>
        <v>0</v>
      </c>
      <c r="AF409" s="6">
        <f ca="1">$M$409*$Z$409</f>
        <v>17531.084466</v>
      </c>
      <c r="AG409" s="6">
        <f ca="1">$O$409*$AA$409</f>
        <v>24509.722041000001</v>
      </c>
    </row>
    <row r="410" spans="1:33" ht="11.25" customHeight="1" x14ac:dyDescent="0.25">
      <c r="A410" s="4" t="s">
        <v>27</v>
      </c>
      <c r="B410" s="4" t="s">
        <v>22</v>
      </c>
      <c r="C410" s="4" t="s">
        <v>23</v>
      </c>
      <c r="D410" s="4" t="s">
        <v>24</v>
      </c>
      <c r="E410" s="4" t="s">
        <v>31</v>
      </c>
      <c r="F410" s="4" t="s">
        <v>25</v>
      </c>
      <c r="G410" s="4" t="s">
        <v>25</v>
      </c>
      <c r="H410" s="4" t="s">
        <v>25</v>
      </c>
      <c r="I410" s="5">
        <v>44621</v>
      </c>
      <c r="J410" s="6">
        <v>0</v>
      </c>
      <c r="K410" s="6">
        <v>0</v>
      </c>
      <c r="L410" s="6">
        <v>-4.3999999999999997E-2</v>
      </c>
      <c r="M410" s="6">
        <v>-4.3999999999999997E-2</v>
      </c>
      <c r="N410" s="6">
        <v>-4.3999999999999997E-2</v>
      </c>
      <c r="O410" s="6">
        <v>-4.3999999999999997E-2</v>
      </c>
      <c r="P410" s="6">
        <v>0</v>
      </c>
      <c r="Q410" s="4" t="s">
        <v>26</v>
      </c>
      <c r="R410" s="4">
        <v>0</v>
      </c>
      <c r="S410" s="6">
        <v>0</v>
      </c>
      <c r="T410" s="6">
        <v>37</v>
      </c>
      <c r="U410" s="6">
        <v>58</v>
      </c>
      <c r="V410" s="6">
        <f>IF(ISERROR(VLOOKUP($S$410,'TAR FIN'!$A$1:$O$86,15,0)),0,VLOOKUP($S$410,'TAR FIN'!$A$1:$O$86,15,0))</f>
        <v>0</v>
      </c>
      <c r="W410" s="6">
        <f>IF(ISERROR(VLOOKUP($T$410,'TAR FIN'!$A$1:$O$86,15,0)),0,VLOOKUP($T$410,'TAR FIN'!$A$1:$O$86,15,0))</f>
        <v>243.12</v>
      </c>
      <c r="X410" s="6">
        <f>IF(ISERROR(VLOOKUP($U$410,'TAR FIN'!$A$1:$O$86,15,0)),0,VLOOKUP($U$410,'TAR FIN'!$A$1:$O$86,15,0))</f>
        <v>201.61</v>
      </c>
      <c r="Y410" s="6"/>
      <c r="Z410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169.00200000000001</v>
      </c>
      <c r="AA410" s="6">
        <f ca="1">('TE BE'!$AB$14+'TE BF_350'!$AB$14+'TE CVA'!$AB$14)*(1-CUSTOS!$M$36)</f>
        <v>236.27699999999999</v>
      </c>
      <c r="AB410" s="6">
        <f>$K$410*$V$410</f>
        <v>0</v>
      </c>
      <c r="AC410" s="6">
        <f>$M$410*$W$410</f>
        <v>-10.697279999999999</v>
      </c>
      <c r="AD410" s="6">
        <f>$O$410*$X$410</f>
        <v>-8.8708399999999994</v>
      </c>
      <c r="AE410" s="6">
        <f>$K$410*$Y$410</f>
        <v>0</v>
      </c>
      <c r="AF410" s="6">
        <f ca="1">$M$410*$Z$410</f>
        <v>-7.4360879999999998</v>
      </c>
      <c r="AG410" s="6">
        <f ca="1">$O$410*$AA$410</f>
        <v>-10.396187999999999</v>
      </c>
    </row>
    <row r="411" spans="1:33" ht="11.25" customHeight="1" x14ac:dyDescent="0.25">
      <c r="A411" s="4" t="s">
        <v>21</v>
      </c>
      <c r="B411" s="4" t="s">
        <v>22</v>
      </c>
      <c r="C411" s="4" t="s">
        <v>23</v>
      </c>
      <c r="D411" s="4" t="s">
        <v>24</v>
      </c>
      <c r="E411" s="4" t="s">
        <v>31</v>
      </c>
      <c r="F411" s="4" t="s">
        <v>25</v>
      </c>
      <c r="G411" s="4" t="s">
        <v>25</v>
      </c>
      <c r="H411" s="4" t="s">
        <v>25</v>
      </c>
      <c r="I411" s="5">
        <v>44652</v>
      </c>
      <c r="J411" s="6">
        <v>0</v>
      </c>
      <c r="K411" s="6">
        <v>0</v>
      </c>
      <c r="L411" s="6">
        <v>101.02200000000001</v>
      </c>
      <c r="M411" s="6">
        <v>101.02200000000001</v>
      </c>
      <c r="N411" s="6">
        <v>101.02200000000001</v>
      </c>
      <c r="O411" s="6">
        <v>101.02200000000001</v>
      </c>
      <c r="P411" s="6">
        <v>726</v>
      </c>
      <c r="Q411" s="4" t="s">
        <v>26</v>
      </c>
      <c r="R411" s="4">
        <v>0</v>
      </c>
      <c r="S411" s="6">
        <v>0</v>
      </c>
      <c r="T411" s="6">
        <v>37</v>
      </c>
      <c r="U411" s="6">
        <v>58</v>
      </c>
      <c r="V411" s="6">
        <f>IF(ISERROR(VLOOKUP($S$411,'TAR FIN'!$A$1:$O$86,15,0)),0,VLOOKUP($S$411,'TAR FIN'!$A$1:$O$86,15,0))</f>
        <v>0</v>
      </c>
      <c r="W411" s="6">
        <f>IF(ISERROR(VLOOKUP($T$411,'TAR FIN'!$A$1:$O$86,15,0)),0,VLOOKUP($T$411,'TAR FIN'!$A$1:$O$86,15,0))</f>
        <v>243.12</v>
      </c>
      <c r="X411" s="6">
        <f>IF(ISERROR(VLOOKUP($U$411,'TAR FIN'!$A$1:$O$86,15,0)),0,VLOOKUP($U$411,'TAR FIN'!$A$1:$O$86,15,0))</f>
        <v>201.61</v>
      </c>
      <c r="Y411" s="6"/>
      <c r="Z411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169.00200000000001</v>
      </c>
      <c r="AA411" s="6">
        <f ca="1">('TE BE'!$AB$14+'TE BF_350'!$AB$14+'TE CVA'!$AB$14)*(1-CUSTOS!$M$36)</f>
        <v>236.27699999999999</v>
      </c>
      <c r="AB411" s="6">
        <f>$K$411*$V$411</f>
        <v>0</v>
      </c>
      <c r="AC411" s="6">
        <f>$M$411*$W$411</f>
        <v>24560.468640000003</v>
      </c>
      <c r="AD411" s="6">
        <f>$O$411*$X$411</f>
        <v>20367.045420000002</v>
      </c>
      <c r="AE411" s="6">
        <f>$K$411*$Y$411</f>
        <v>0</v>
      </c>
      <c r="AF411" s="6">
        <f ca="1">$M$411*$Z$411</f>
        <v>17072.920044000002</v>
      </c>
      <c r="AG411" s="6">
        <f ca="1">$O$411*$AA$411</f>
        <v>23869.175093999998</v>
      </c>
    </row>
    <row r="412" spans="1:33" ht="11.25" customHeight="1" x14ac:dyDescent="0.25">
      <c r="A412" s="4" t="s">
        <v>27</v>
      </c>
      <c r="B412" s="4" t="s">
        <v>22</v>
      </c>
      <c r="C412" s="4" t="s">
        <v>23</v>
      </c>
      <c r="D412" s="4" t="s">
        <v>24</v>
      </c>
      <c r="E412" s="4" t="s">
        <v>31</v>
      </c>
      <c r="F412" s="4" t="s">
        <v>25</v>
      </c>
      <c r="G412" s="4" t="s">
        <v>25</v>
      </c>
      <c r="H412" s="4" t="s">
        <v>25</v>
      </c>
      <c r="I412" s="5">
        <v>44652</v>
      </c>
      <c r="J412" s="6">
        <v>0</v>
      </c>
      <c r="K412" s="6">
        <v>0</v>
      </c>
      <c r="L412" s="6">
        <v>5.8999999999999997E-2</v>
      </c>
      <c r="M412" s="6">
        <v>5.8999999999999997E-2</v>
      </c>
      <c r="N412" s="6">
        <v>5.8999999999999997E-2</v>
      </c>
      <c r="O412" s="6">
        <v>5.8999999999999997E-2</v>
      </c>
      <c r="P412" s="6">
        <v>0</v>
      </c>
      <c r="Q412" s="4" t="s">
        <v>26</v>
      </c>
      <c r="R412" s="4">
        <v>0</v>
      </c>
      <c r="S412" s="6">
        <v>0</v>
      </c>
      <c r="T412" s="6">
        <v>37</v>
      </c>
      <c r="U412" s="6">
        <v>58</v>
      </c>
      <c r="V412" s="6">
        <f>IF(ISERROR(VLOOKUP($S$412,'TAR FIN'!$A$1:$O$86,15,0)),0,VLOOKUP($S$412,'TAR FIN'!$A$1:$O$86,15,0))</f>
        <v>0</v>
      </c>
      <c r="W412" s="6">
        <f>IF(ISERROR(VLOOKUP($T$412,'TAR FIN'!$A$1:$O$86,15,0)),0,VLOOKUP($T$412,'TAR FIN'!$A$1:$O$86,15,0))</f>
        <v>243.12</v>
      </c>
      <c r="X412" s="6">
        <f>IF(ISERROR(VLOOKUP($U$412,'TAR FIN'!$A$1:$O$86,15,0)),0,VLOOKUP($U$412,'TAR FIN'!$A$1:$O$86,15,0))</f>
        <v>201.61</v>
      </c>
      <c r="Y412" s="6"/>
      <c r="Z412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169.00200000000001</v>
      </c>
      <c r="AA412" s="6">
        <f ca="1">('TE BE'!$AB$14+'TE BF_350'!$AB$14+'TE CVA'!$AB$14)*(1-CUSTOS!$M$36)</f>
        <v>236.27699999999999</v>
      </c>
      <c r="AB412" s="6">
        <f>$K$412*$V$412</f>
        <v>0</v>
      </c>
      <c r="AC412" s="6">
        <f>$M$412*$W$412</f>
        <v>14.34408</v>
      </c>
      <c r="AD412" s="6">
        <f>$O$412*$X$412</f>
        <v>11.89499</v>
      </c>
      <c r="AE412" s="6">
        <f>$K$412*$Y$412</f>
        <v>0</v>
      </c>
      <c r="AF412" s="6">
        <f ca="1">$M$412*$Z$412</f>
        <v>9.9711180000000006</v>
      </c>
      <c r="AG412" s="6">
        <f ca="1">$O$412*$AA$412</f>
        <v>13.940342999999999</v>
      </c>
    </row>
    <row r="413" spans="1:33" ht="11.25" customHeight="1" x14ac:dyDescent="0.25">
      <c r="A413" s="4" t="s">
        <v>21</v>
      </c>
      <c r="B413" s="4" t="s">
        <v>22</v>
      </c>
      <c r="C413" s="4" t="s">
        <v>23</v>
      </c>
      <c r="D413" s="4" t="s">
        <v>24</v>
      </c>
      <c r="E413" s="4" t="s">
        <v>31</v>
      </c>
      <c r="F413" s="4" t="s">
        <v>25</v>
      </c>
      <c r="G413" s="4" t="s">
        <v>25</v>
      </c>
      <c r="H413" s="4" t="s">
        <v>25</v>
      </c>
      <c r="I413" s="5">
        <v>44682</v>
      </c>
      <c r="J413" s="6">
        <v>0</v>
      </c>
      <c r="K413" s="6">
        <v>0</v>
      </c>
      <c r="L413" s="6">
        <v>91.027000000000001</v>
      </c>
      <c r="M413" s="6">
        <v>91.027000000000001</v>
      </c>
      <c r="N413" s="6">
        <v>91.027000000000001</v>
      </c>
      <c r="O413" s="6">
        <v>91.027000000000001</v>
      </c>
      <c r="P413" s="6">
        <v>817</v>
      </c>
      <c r="Q413" s="4" t="s">
        <v>26</v>
      </c>
      <c r="R413" s="4">
        <v>0</v>
      </c>
      <c r="S413" s="6">
        <v>0</v>
      </c>
      <c r="T413" s="6">
        <v>37</v>
      </c>
      <c r="U413" s="6">
        <v>58</v>
      </c>
      <c r="V413" s="6">
        <f>IF(ISERROR(VLOOKUP($S$413,'TAR FIN'!$A$1:$O$86,15,0)),0,VLOOKUP($S$413,'TAR FIN'!$A$1:$O$86,15,0))</f>
        <v>0</v>
      </c>
      <c r="W413" s="6">
        <f>IF(ISERROR(VLOOKUP($T$413,'TAR FIN'!$A$1:$O$86,15,0)),0,VLOOKUP($T$413,'TAR FIN'!$A$1:$O$86,15,0))</f>
        <v>243.12</v>
      </c>
      <c r="X413" s="6">
        <f>IF(ISERROR(VLOOKUP($U$413,'TAR FIN'!$A$1:$O$86,15,0)),0,VLOOKUP($U$413,'TAR FIN'!$A$1:$O$86,15,0))</f>
        <v>201.61</v>
      </c>
      <c r="Y413" s="6"/>
      <c r="Z413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169.00200000000001</v>
      </c>
      <c r="AA413" s="6">
        <f ca="1">('TE BE'!$AB$14+'TE BF_350'!$AB$14+'TE CVA'!$AB$14)*(1-CUSTOS!$M$36)</f>
        <v>236.27699999999999</v>
      </c>
      <c r="AB413" s="6">
        <f>$K$413*$V$413</f>
        <v>0</v>
      </c>
      <c r="AC413" s="6">
        <f>$M$413*$W$413</f>
        <v>22130.484240000002</v>
      </c>
      <c r="AD413" s="6">
        <f>$O$413*$X$413</f>
        <v>18351.95347</v>
      </c>
      <c r="AE413" s="6">
        <f>$K$413*$Y$413</f>
        <v>0</v>
      </c>
      <c r="AF413" s="6">
        <f ca="1">$M$413*$Z$413</f>
        <v>15383.745054000001</v>
      </c>
      <c r="AG413" s="6">
        <f ca="1">$O$413*$AA$413</f>
        <v>21507.586478999998</v>
      </c>
    </row>
    <row r="414" spans="1:33" ht="11.25" customHeight="1" x14ac:dyDescent="0.25">
      <c r="A414" s="4" t="s">
        <v>21</v>
      </c>
      <c r="B414" s="4" t="s">
        <v>22</v>
      </c>
      <c r="C414" s="4" t="s">
        <v>23</v>
      </c>
      <c r="D414" s="4" t="s">
        <v>24</v>
      </c>
      <c r="E414" s="4" t="s">
        <v>31</v>
      </c>
      <c r="F414" s="4" t="s">
        <v>25</v>
      </c>
      <c r="G414" s="4" t="s">
        <v>25</v>
      </c>
      <c r="H414" s="4" t="s">
        <v>25</v>
      </c>
      <c r="I414" s="5">
        <v>44713</v>
      </c>
      <c r="J414" s="6">
        <v>0</v>
      </c>
      <c r="K414" s="6">
        <v>0</v>
      </c>
      <c r="L414" s="6">
        <v>99.652000000000001</v>
      </c>
      <c r="M414" s="6">
        <v>99.652000000000001</v>
      </c>
      <c r="N414" s="6">
        <v>99.652000000000001</v>
      </c>
      <c r="O414" s="6">
        <v>99.652000000000001</v>
      </c>
      <c r="P414" s="6">
        <v>825</v>
      </c>
      <c r="Q414" s="4" t="s">
        <v>26</v>
      </c>
      <c r="R414" s="4">
        <v>0</v>
      </c>
      <c r="S414" s="6">
        <v>0</v>
      </c>
      <c r="T414" s="6">
        <v>37</v>
      </c>
      <c r="U414" s="6">
        <v>58</v>
      </c>
      <c r="V414" s="6">
        <f>IF(ISERROR(VLOOKUP($S$414,'TAR FIN'!$A$1:$O$86,15,0)),0,VLOOKUP($S$414,'TAR FIN'!$A$1:$O$86,15,0))</f>
        <v>0</v>
      </c>
      <c r="W414" s="6">
        <f>IF(ISERROR(VLOOKUP($T$414,'TAR FIN'!$A$1:$O$86,15,0)),0,VLOOKUP($T$414,'TAR FIN'!$A$1:$O$86,15,0))</f>
        <v>243.12</v>
      </c>
      <c r="X414" s="6">
        <f>IF(ISERROR(VLOOKUP($U$414,'TAR FIN'!$A$1:$O$86,15,0)),0,VLOOKUP($U$414,'TAR FIN'!$A$1:$O$86,15,0))</f>
        <v>201.61</v>
      </c>
      <c r="Y414" s="6"/>
      <c r="Z414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169.00200000000001</v>
      </c>
      <c r="AA414" s="6">
        <f ca="1">('TE BE'!$AB$14+'TE BF_350'!$AB$14+'TE CVA'!$AB$14)*(1-CUSTOS!$M$36)</f>
        <v>236.27699999999999</v>
      </c>
      <c r="AB414" s="6">
        <f>$K$414*$V$414</f>
        <v>0</v>
      </c>
      <c r="AC414" s="6">
        <f>$M$414*$W$414</f>
        <v>24227.394240000001</v>
      </c>
      <c r="AD414" s="6">
        <f>$O$414*$X$414</f>
        <v>20090.83972</v>
      </c>
      <c r="AE414" s="6">
        <f>$K$414*$Y$414</f>
        <v>0</v>
      </c>
      <c r="AF414" s="6">
        <f ca="1">$M$414*$Z$414</f>
        <v>16841.387304</v>
      </c>
      <c r="AG414" s="6">
        <f ca="1">$O$414*$AA$414</f>
        <v>23545.475603999999</v>
      </c>
    </row>
    <row r="415" spans="1:33" ht="11.25" customHeight="1" x14ac:dyDescent="0.25">
      <c r="A415" s="4" t="s">
        <v>55</v>
      </c>
      <c r="B415" s="4" t="s">
        <v>22</v>
      </c>
      <c r="C415" s="4" t="s">
        <v>23</v>
      </c>
      <c r="D415" s="4" t="s">
        <v>24</v>
      </c>
      <c r="E415" s="4" t="s">
        <v>31</v>
      </c>
      <c r="F415" s="4" t="s">
        <v>25</v>
      </c>
      <c r="G415" s="4" t="s">
        <v>25</v>
      </c>
      <c r="H415" s="4" t="s">
        <v>25</v>
      </c>
      <c r="I415" s="5">
        <v>44743</v>
      </c>
      <c r="J415" s="6">
        <v>0</v>
      </c>
      <c r="K415" s="6">
        <v>0</v>
      </c>
      <c r="L415" s="6">
        <v>99.652000000000001</v>
      </c>
      <c r="M415" s="6">
        <v>99.652000000000001</v>
      </c>
      <c r="N415" s="6">
        <v>99.652000000000001</v>
      </c>
      <c r="O415" s="6">
        <v>99.652000000000001</v>
      </c>
      <c r="P415" s="6">
        <v>825</v>
      </c>
      <c r="Q415" s="4" t="s">
        <v>26</v>
      </c>
      <c r="R415" s="4">
        <v>0</v>
      </c>
      <c r="S415" s="6">
        <v>0</v>
      </c>
      <c r="T415" s="6">
        <v>37</v>
      </c>
      <c r="U415" s="6">
        <v>58</v>
      </c>
      <c r="V415" s="6">
        <f>IF(ISERROR(VLOOKUP($S$415,'TAR FIN'!$A$1:$O$86,15,0)),0,VLOOKUP($S$415,'TAR FIN'!$A$1:$O$86,15,0))</f>
        <v>0</v>
      </c>
      <c r="W415" s="6">
        <f>IF(ISERROR(VLOOKUP($T$415,'TAR FIN'!$A$1:$O$86,15,0)),0,VLOOKUP($T$415,'TAR FIN'!$A$1:$O$86,15,0))</f>
        <v>243.12</v>
      </c>
      <c r="X415" s="6">
        <f>IF(ISERROR(VLOOKUP($U$415,'TAR FIN'!$A$1:$O$86,15,0)),0,VLOOKUP($U$415,'TAR FIN'!$A$1:$O$86,15,0))</f>
        <v>201.61</v>
      </c>
      <c r="Y415" s="6"/>
      <c r="Z415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169.00200000000001</v>
      </c>
      <c r="AA415" s="6">
        <f ca="1">('TE BE'!$AB$14+'TE BF_350'!$AB$14+'TE CVA'!$AB$14)*(1-CUSTOS!$M$36)</f>
        <v>236.27699999999999</v>
      </c>
      <c r="AB415" s="6">
        <f>$K$415*$V$415</f>
        <v>0</v>
      </c>
      <c r="AC415" s="6">
        <f>$M$415*$W$415</f>
        <v>24227.394240000001</v>
      </c>
      <c r="AD415" s="6">
        <f>$O$415*$X$415</f>
        <v>20090.83972</v>
      </c>
      <c r="AE415" s="6">
        <f>$K$415*$Y$415</f>
        <v>0</v>
      </c>
      <c r="AF415" s="6">
        <f ca="1">$M$415*$Z$415</f>
        <v>16841.387304</v>
      </c>
      <c r="AG415" s="6">
        <f ca="1">$O$415*$AA$415</f>
        <v>23545.475603999999</v>
      </c>
    </row>
    <row r="416" spans="1:33" ht="11.25" customHeight="1" x14ac:dyDescent="0.25">
      <c r="A416" s="4" t="s">
        <v>21</v>
      </c>
      <c r="B416" s="4" t="s">
        <v>22</v>
      </c>
      <c r="C416" s="4" t="s">
        <v>23</v>
      </c>
      <c r="D416" s="4" t="s">
        <v>24</v>
      </c>
      <c r="E416" s="4" t="s">
        <v>32</v>
      </c>
      <c r="F416" s="4" t="s">
        <v>25</v>
      </c>
      <c r="G416" s="4" t="s">
        <v>25</v>
      </c>
      <c r="H416" s="4" t="s">
        <v>25</v>
      </c>
      <c r="I416" s="5">
        <v>44409</v>
      </c>
      <c r="J416" s="6">
        <v>0</v>
      </c>
      <c r="K416" s="6">
        <v>0</v>
      </c>
      <c r="L416" s="6">
        <v>25.678999999999998</v>
      </c>
      <c r="M416" s="6">
        <v>25.678999999999998</v>
      </c>
      <c r="N416" s="6">
        <v>25.678999999999998</v>
      </c>
      <c r="O416" s="6">
        <v>25.678999999999998</v>
      </c>
      <c r="P416" s="6">
        <v>322</v>
      </c>
      <c r="Q416" s="4" t="s">
        <v>26</v>
      </c>
      <c r="R416" s="4">
        <v>0</v>
      </c>
      <c r="S416" s="6">
        <v>0</v>
      </c>
      <c r="T416" s="6">
        <v>6</v>
      </c>
      <c r="U416" s="6">
        <v>34</v>
      </c>
      <c r="V416" s="6">
        <f>IF(ISERROR(VLOOKUP($S$416,'TAR FIN'!$A$1:$O$86,15,0)),0,VLOOKUP($S$416,'TAR FIN'!$A$1:$O$86,15,0))</f>
        <v>0</v>
      </c>
      <c r="W416" s="6">
        <f>IF(ISERROR(VLOOKUP($T$416,'TAR FIN'!$A$1:$O$86,15,0)),0,VLOOKUP($T$416,'TAR FIN'!$A$1:$O$86,15,0))</f>
        <v>270.13</v>
      </c>
      <c r="X416" s="6">
        <f>IF(ISERROR(VLOOKUP($U$416,'TAR FIN'!$A$1:$O$86,15,0)),0,VLOOKUP($U$416,'TAR FIN'!$A$1:$O$86,15,0))</f>
        <v>224.01</v>
      </c>
      <c r="Y416" s="6"/>
      <c r="Z416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187.78</v>
      </c>
      <c r="AA416" s="6">
        <f ca="1">('TE BE'!$AB$15+'TE BF_350'!$AB$15+'TE CVA'!$AB$15)*(1-CUSTOS!$M$37)</f>
        <v>262.52999999999997</v>
      </c>
      <c r="AB416" s="6">
        <f>$K$416*$V$416</f>
        <v>0</v>
      </c>
      <c r="AC416" s="6">
        <f>$M$416*$W$416</f>
        <v>6936.6682699999992</v>
      </c>
      <c r="AD416" s="6">
        <f>$O$416*$X$416</f>
        <v>5752.352789999999</v>
      </c>
      <c r="AE416" s="6">
        <f>$K$416*$Y$416</f>
        <v>0</v>
      </c>
      <c r="AF416" s="6">
        <f ca="1">$M$416*$Z$416</f>
        <v>4822.0026199999993</v>
      </c>
      <c r="AG416" s="6">
        <f ca="1">$O$416*$AA$416</f>
        <v>6741.5078699999985</v>
      </c>
    </row>
    <row r="417" spans="1:33" ht="11.25" customHeight="1" x14ac:dyDescent="0.25">
      <c r="A417" s="4" t="s">
        <v>27</v>
      </c>
      <c r="B417" s="4" t="s">
        <v>22</v>
      </c>
      <c r="C417" s="4" t="s">
        <v>23</v>
      </c>
      <c r="D417" s="4" t="s">
        <v>24</v>
      </c>
      <c r="E417" s="4" t="s">
        <v>32</v>
      </c>
      <c r="F417" s="4" t="s">
        <v>25</v>
      </c>
      <c r="G417" s="4" t="s">
        <v>25</v>
      </c>
      <c r="H417" s="4" t="s">
        <v>25</v>
      </c>
      <c r="I417" s="5">
        <v>44409</v>
      </c>
      <c r="J417" s="6">
        <v>0</v>
      </c>
      <c r="K417" s="6">
        <v>0</v>
      </c>
      <c r="L417" s="6">
        <v>-0.13300000000000001</v>
      </c>
      <c r="M417" s="6">
        <v>-0.13300000000000001</v>
      </c>
      <c r="N417" s="6">
        <v>-0.13300000000000001</v>
      </c>
      <c r="O417" s="6">
        <v>-0.13300000000000001</v>
      </c>
      <c r="P417" s="6">
        <v>0</v>
      </c>
      <c r="Q417" s="4" t="s">
        <v>26</v>
      </c>
      <c r="R417" s="4">
        <v>0</v>
      </c>
      <c r="S417" s="6">
        <v>0</v>
      </c>
      <c r="T417" s="6">
        <v>6</v>
      </c>
      <c r="U417" s="6">
        <v>34</v>
      </c>
      <c r="V417" s="6">
        <f>IF(ISERROR(VLOOKUP($S$417,'TAR FIN'!$A$1:$O$86,15,0)),0,VLOOKUP($S$417,'TAR FIN'!$A$1:$O$86,15,0))</f>
        <v>0</v>
      </c>
      <c r="W417" s="6">
        <f>IF(ISERROR(VLOOKUP($T$417,'TAR FIN'!$A$1:$O$86,15,0)),0,VLOOKUP($T$417,'TAR FIN'!$A$1:$O$86,15,0))</f>
        <v>270.13</v>
      </c>
      <c r="X417" s="6">
        <f>IF(ISERROR(VLOOKUP($U$417,'TAR FIN'!$A$1:$O$86,15,0)),0,VLOOKUP($U$417,'TAR FIN'!$A$1:$O$86,15,0))</f>
        <v>224.01</v>
      </c>
      <c r="Y417" s="6"/>
      <c r="Z417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187.78</v>
      </c>
      <c r="AA417" s="6">
        <f ca="1">('TE BE'!$AB$15+'TE BF_350'!$AB$15+'TE CVA'!$AB$15)*(1-CUSTOS!$M$37)</f>
        <v>262.52999999999997</v>
      </c>
      <c r="AB417" s="6">
        <f>$K$417*$V$417</f>
        <v>0</v>
      </c>
      <c r="AC417" s="6">
        <f>$M$417*$W$417</f>
        <v>-35.927289999999999</v>
      </c>
      <c r="AD417" s="6">
        <f>$O$417*$X$417</f>
        <v>-29.793330000000001</v>
      </c>
      <c r="AE417" s="6">
        <f>$K$417*$Y$417</f>
        <v>0</v>
      </c>
      <c r="AF417" s="6">
        <f ca="1">$M$417*$Z$417</f>
        <v>-24.974740000000001</v>
      </c>
      <c r="AG417" s="6">
        <f ca="1">$O$417*$AA$417</f>
        <v>-34.916489999999996</v>
      </c>
    </row>
    <row r="418" spans="1:33" ht="11.25" customHeight="1" x14ac:dyDescent="0.25">
      <c r="A418" s="4" t="s">
        <v>21</v>
      </c>
      <c r="B418" s="4" t="s">
        <v>22</v>
      </c>
      <c r="C418" s="4" t="s">
        <v>23</v>
      </c>
      <c r="D418" s="4" t="s">
        <v>24</v>
      </c>
      <c r="E418" s="4" t="s">
        <v>32</v>
      </c>
      <c r="F418" s="4" t="s">
        <v>25</v>
      </c>
      <c r="G418" s="4" t="s">
        <v>25</v>
      </c>
      <c r="H418" s="4" t="s">
        <v>25</v>
      </c>
      <c r="I418" s="5">
        <v>44440</v>
      </c>
      <c r="J418" s="6">
        <v>0</v>
      </c>
      <c r="K418" s="6">
        <v>0</v>
      </c>
      <c r="L418" s="6">
        <v>33.174999999999997</v>
      </c>
      <c r="M418" s="6">
        <v>33.174999999999997</v>
      </c>
      <c r="N418" s="6">
        <v>33.174999999999997</v>
      </c>
      <c r="O418" s="6">
        <v>33.174999999999997</v>
      </c>
      <c r="P418" s="6">
        <v>390</v>
      </c>
      <c r="Q418" s="4" t="s">
        <v>26</v>
      </c>
      <c r="R418" s="4">
        <v>0</v>
      </c>
      <c r="S418" s="6">
        <v>0</v>
      </c>
      <c r="T418" s="6">
        <v>6</v>
      </c>
      <c r="U418" s="6">
        <v>34</v>
      </c>
      <c r="V418" s="6">
        <f>IF(ISERROR(VLOOKUP($S$418,'TAR FIN'!$A$1:$O$86,15,0)),0,VLOOKUP($S$418,'TAR FIN'!$A$1:$O$86,15,0))</f>
        <v>0</v>
      </c>
      <c r="W418" s="6">
        <f>IF(ISERROR(VLOOKUP($T$418,'TAR FIN'!$A$1:$O$86,15,0)),0,VLOOKUP($T$418,'TAR FIN'!$A$1:$O$86,15,0))</f>
        <v>270.13</v>
      </c>
      <c r="X418" s="6">
        <f>IF(ISERROR(VLOOKUP($U$418,'TAR FIN'!$A$1:$O$86,15,0)),0,VLOOKUP($U$418,'TAR FIN'!$A$1:$O$86,15,0))</f>
        <v>224.01</v>
      </c>
      <c r="Y418" s="6"/>
      <c r="Z418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187.78</v>
      </c>
      <c r="AA418" s="6">
        <f ca="1">('TE BE'!$AB$15+'TE BF_350'!$AB$15+'TE CVA'!$AB$15)*(1-CUSTOS!$M$37)</f>
        <v>262.52999999999997</v>
      </c>
      <c r="AB418" s="6">
        <f>$K$418*$V$418</f>
        <v>0</v>
      </c>
      <c r="AC418" s="6">
        <f>$M$418*$W$418</f>
        <v>8961.5627499999991</v>
      </c>
      <c r="AD418" s="6">
        <f>$O$418*$X$418</f>
        <v>7431.5317499999992</v>
      </c>
      <c r="AE418" s="6">
        <f>$K$418*$Y$418</f>
        <v>0</v>
      </c>
      <c r="AF418" s="6">
        <f ca="1">$M$418*$Z$418</f>
        <v>6229.6014999999998</v>
      </c>
      <c r="AG418" s="6">
        <f ca="1">$O$418*$AA$418</f>
        <v>8709.4327499999981</v>
      </c>
    </row>
    <row r="419" spans="1:33" ht="11.25" customHeight="1" x14ac:dyDescent="0.25">
      <c r="A419" s="4" t="s">
        <v>27</v>
      </c>
      <c r="B419" s="4" t="s">
        <v>22</v>
      </c>
      <c r="C419" s="4" t="s">
        <v>23</v>
      </c>
      <c r="D419" s="4" t="s">
        <v>24</v>
      </c>
      <c r="E419" s="4" t="s">
        <v>32</v>
      </c>
      <c r="F419" s="4" t="s">
        <v>25</v>
      </c>
      <c r="G419" s="4" t="s">
        <v>25</v>
      </c>
      <c r="H419" s="4" t="s">
        <v>25</v>
      </c>
      <c r="I419" s="5">
        <v>44440</v>
      </c>
      <c r="J419" s="6">
        <v>0</v>
      </c>
      <c r="K419" s="6">
        <v>0</v>
      </c>
      <c r="L419" s="6">
        <v>-0.115</v>
      </c>
      <c r="M419" s="6">
        <v>-0.115</v>
      </c>
      <c r="N419" s="6">
        <v>-0.115</v>
      </c>
      <c r="O419" s="6">
        <v>-0.115</v>
      </c>
      <c r="P419" s="6">
        <v>0</v>
      </c>
      <c r="Q419" s="4" t="s">
        <v>26</v>
      </c>
      <c r="R419" s="4">
        <v>0</v>
      </c>
      <c r="S419" s="6">
        <v>0</v>
      </c>
      <c r="T419" s="6">
        <v>6</v>
      </c>
      <c r="U419" s="6">
        <v>34</v>
      </c>
      <c r="V419" s="6">
        <f>IF(ISERROR(VLOOKUP($S$419,'TAR FIN'!$A$1:$O$86,15,0)),0,VLOOKUP($S$419,'TAR FIN'!$A$1:$O$86,15,0))</f>
        <v>0</v>
      </c>
      <c r="W419" s="6">
        <f>IF(ISERROR(VLOOKUP($T$419,'TAR FIN'!$A$1:$O$86,15,0)),0,VLOOKUP($T$419,'TAR FIN'!$A$1:$O$86,15,0))</f>
        <v>270.13</v>
      </c>
      <c r="X419" s="6">
        <f>IF(ISERROR(VLOOKUP($U$419,'TAR FIN'!$A$1:$O$86,15,0)),0,VLOOKUP($U$419,'TAR FIN'!$A$1:$O$86,15,0))</f>
        <v>224.01</v>
      </c>
      <c r="Y419" s="6"/>
      <c r="Z419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187.78</v>
      </c>
      <c r="AA419" s="6">
        <f ca="1">('TE BE'!$AB$15+'TE BF_350'!$AB$15+'TE CVA'!$AB$15)*(1-CUSTOS!$M$37)</f>
        <v>262.52999999999997</v>
      </c>
      <c r="AB419" s="6">
        <f>$K$419*$V$419</f>
        <v>0</v>
      </c>
      <c r="AC419" s="6">
        <f>$M$419*$W$419</f>
        <v>-31.06495</v>
      </c>
      <c r="AD419" s="6">
        <f>$O$419*$X$419</f>
        <v>-25.761150000000001</v>
      </c>
      <c r="AE419" s="6">
        <f>$K$419*$Y$419</f>
        <v>0</v>
      </c>
      <c r="AF419" s="6">
        <f ca="1">$M$419*$Z$419</f>
        <v>-21.5947</v>
      </c>
      <c r="AG419" s="6">
        <f ca="1">$O$419*$AA$419</f>
        <v>-30.190949999999997</v>
      </c>
    </row>
    <row r="420" spans="1:33" ht="11.25" customHeight="1" x14ac:dyDescent="0.25">
      <c r="A420" s="4" t="s">
        <v>21</v>
      </c>
      <c r="B420" s="4" t="s">
        <v>22</v>
      </c>
      <c r="C420" s="4" t="s">
        <v>23</v>
      </c>
      <c r="D420" s="4" t="s">
        <v>24</v>
      </c>
      <c r="E420" s="4" t="s">
        <v>32</v>
      </c>
      <c r="F420" s="4" t="s">
        <v>25</v>
      </c>
      <c r="G420" s="4" t="s">
        <v>25</v>
      </c>
      <c r="H420" s="4" t="s">
        <v>25</v>
      </c>
      <c r="I420" s="5">
        <v>44470</v>
      </c>
      <c r="J420" s="6">
        <v>0</v>
      </c>
      <c r="K420" s="6">
        <v>0</v>
      </c>
      <c r="L420" s="6">
        <v>25.416</v>
      </c>
      <c r="M420" s="6">
        <v>25.416</v>
      </c>
      <c r="N420" s="6">
        <v>25.416</v>
      </c>
      <c r="O420" s="6">
        <v>25.416</v>
      </c>
      <c r="P420" s="6">
        <v>317</v>
      </c>
      <c r="Q420" s="4" t="s">
        <v>26</v>
      </c>
      <c r="R420" s="4">
        <v>0</v>
      </c>
      <c r="S420" s="6">
        <v>0</v>
      </c>
      <c r="T420" s="6">
        <v>6</v>
      </c>
      <c r="U420" s="6">
        <v>34</v>
      </c>
      <c r="V420" s="6">
        <f>IF(ISERROR(VLOOKUP($S$420,'TAR FIN'!$A$1:$O$86,15,0)),0,VLOOKUP($S$420,'TAR FIN'!$A$1:$O$86,15,0))</f>
        <v>0</v>
      </c>
      <c r="W420" s="6">
        <f>IF(ISERROR(VLOOKUP($T$420,'TAR FIN'!$A$1:$O$86,15,0)),0,VLOOKUP($T$420,'TAR FIN'!$A$1:$O$86,15,0))</f>
        <v>270.13</v>
      </c>
      <c r="X420" s="6">
        <f>IF(ISERROR(VLOOKUP($U$420,'TAR FIN'!$A$1:$O$86,15,0)),0,VLOOKUP($U$420,'TAR FIN'!$A$1:$O$86,15,0))</f>
        <v>224.01</v>
      </c>
      <c r="Y420" s="6"/>
      <c r="Z420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187.78</v>
      </c>
      <c r="AA420" s="6">
        <f ca="1">('TE BE'!$AB$15+'TE BF_350'!$AB$15+'TE CVA'!$AB$15)*(1-CUSTOS!$M$37)</f>
        <v>262.52999999999997</v>
      </c>
      <c r="AB420" s="6">
        <f>$K$420*$V$420</f>
        <v>0</v>
      </c>
      <c r="AC420" s="6">
        <f>$M$420*$W$420</f>
        <v>6865.6240799999996</v>
      </c>
      <c r="AD420" s="6">
        <f>$O$420*$X$420</f>
        <v>5693.4381599999997</v>
      </c>
      <c r="AE420" s="6">
        <f>$K$420*$Y$420</f>
        <v>0</v>
      </c>
      <c r="AF420" s="6">
        <f ca="1">$M$420*$Z$420</f>
        <v>4772.6164799999997</v>
      </c>
      <c r="AG420" s="6">
        <f ca="1">$O$420*$AA$420</f>
        <v>6672.4624799999992</v>
      </c>
    </row>
    <row r="421" spans="1:33" ht="11.25" customHeight="1" x14ac:dyDescent="0.25">
      <c r="A421" s="4" t="s">
        <v>27</v>
      </c>
      <c r="B421" s="4" t="s">
        <v>22</v>
      </c>
      <c r="C421" s="4" t="s">
        <v>23</v>
      </c>
      <c r="D421" s="4" t="s">
        <v>24</v>
      </c>
      <c r="E421" s="4" t="s">
        <v>32</v>
      </c>
      <c r="F421" s="4" t="s">
        <v>25</v>
      </c>
      <c r="G421" s="4" t="s">
        <v>25</v>
      </c>
      <c r="H421" s="4" t="s">
        <v>25</v>
      </c>
      <c r="I421" s="5">
        <v>44470</v>
      </c>
      <c r="J421" s="6">
        <v>0</v>
      </c>
      <c r="K421" s="6">
        <v>0</v>
      </c>
      <c r="L421" s="6">
        <v>-0.16500000000000001</v>
      </c>
      <c r="M421" s="6">
        <v>-0.16500000000000001</v>
      </c>
      <c r="N421" s="6">
        <v>-0.16500000000000001</v>
      </c>
      <c r="O421" s="6">
        <v>-0.16500000000000001</v>
      </c>
      <c r="P421" s="6">
        <v>0</v>
      </c>
      <c r="Q421" s="4" t="s">
        <v>26</v>
      </c>
      <c r="R421" s="4">
        <v>0</v>
      </c>
      <c r="S421" s="6">
        <v>0</v>
      </c>
      <c r="T421" s="6">
        <v>6</v>
      </c>
      <c r="U421" s="6">
        <v>34</v>
      </c>
      <c r="V421" s="6">
        <f>IF(ISERROR(VLOOKUP($S$421,'TAR FIN'!$A$1:$O$86,15,0)),0,VLOOKUP($S$421,'TAR FIN'!$A$1:$O$86,15,0))</f>
        <v>0</v>
      </c>
      <c r="W421" s="6">
        <f>IF(ISERROR(VLOOKUP($T$421,'TAR FIN'!$A$1:$O$86,15,0)),0,VLOOKUP($T$421,'TAR FIN'!$A$1:$O$86,15,0))</f>
        <v>270.13</v>
      </c>
      <c r="X421" s="6">
        <f>IF(ISERROR(VLOOKUP($U$421,'TAR FIN'!$A$1:$O$86,15,0)),0,VLOOKUP($U$421,'TAR FIN'!$A$1:$O$86,15,0))</f>
        <v>224.01</v>
      </c>
      <c r="Y421" s="6"/>
      <c r="Z421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187.78</v>
      </c>
      <c r="AA421" s="6">
        <f ca="1">('TE BE'!$AB$15+'TE BF_350'!$AB$15+'TE CVA'!$AB$15)*(1-CUSTOS!$M$37)</f>
        <v>262.52999999999997</v>
      </c>
      <c r="AB421" s="6">
        <f>$K$421*$V$421</f>
        <v>0</v>
      </c>
      <c r="AC421" s="6">
        <f>$M$421*$W$421</f>
        <v>-44.571449999999999</v>
      </c>
      <c r="AD421" s="6">
        <f>$O$421*$X$421</f>
        <v>-36.961649999999999</v>
      </c>
      <c r="AE421" s="6">
        <f>$K$421*$Y$421</f>
        <v>0</v>
      </c>
      <c r="AF421" s="6">
        <f ca="1">$M$421*$Z$421</f>
        <v>-30.983700000000002</v>
      </c>
      <c r="AG421" s="6">
        <f ca="1">$O$421*$AA$421</f>
        <v>-43.317450000000001</v>
      </c>
    </row>
    <row r="422" spans="1:33" ht="11.25" customHeight="1" x14ac:dyDescent="0.25">
      <c r="A422" s="4" t="s">
        <v>21</v>
      </c>
      <c r="B422" s="4" t="s">
        <v>22</v>
      </c>
      <c r="C422" s="4" t="s">
        <v>23</v>
      </c>
      <c r="D422" s="4" t="s">
        <v>24</v>
      </c>
      <c r="E422" s="4" t="s">
        <v>32</v>
      </c>
      <c r="F422" s="4" t="s">
        <v>25</v>
      </c>
      <c r="G422" s="4" t="s">
        <v>25</v>
      </c>
      <c r="H422" s="4" t="s">
        <v>25</v>
      </c>
      <c r="I422" s="5">
        <v>44501</v>
      </c>
      <c r="J422" s="6">
        <v>0</v>
      </c>
      <c r="K422" s="6">
        <v>0</v>
      </c>
      <c r="L422" s="6">
        <v>25.062000000000001</v>
      </c>
      <c r="M422" s="6">
        <v>25.062000000000001</v>
      </c>
      <c r="N422" s="6">
        <v>25.062000000000001</v>
      </c>
      <c r="O422" s="6">
        <v>25.062000000000001</v>
      </c>
      <c r="P422" s="6">
        <v>349</v>
      </c>
      <c r="Q422" s="4" t="s">
        <v>26</v>
      </c>
      <c r="R422" s="4">
        <v>0</v>
      </c>
      <c r="S422" s="6">
        <v>0</v>
      </c>
      <c r="T422" s="6">
        <v>6</v>
      </c>
      <c r="U422" s="6">
        <v>34</v>
      </c>
      <c r="V422" s="6">
        <f>IF(ISERROR(VLOOKUP($S$422,'TAR FIN'!$A$1:$O$86,15,0)),0,VLOOKUP($S$422,'TAR FIN'!$A$1:$O$86,15,0))</f>
        <v>0</v>
      </c>
      <c r="W422" s="6">
        <f>IF(ISERROR(VLOOKUP($T$422,'TAR FIN'!$A$1:$O$86,15,0)),0,VLOOKUP($T$422,'TAR FIN'!$A$1:$O$86,15,0))</f>
        <v>270.13</v>
      </c>
      <c r="X422" s="6">
        <f>IF(ISERROR(VLOOKUP($U$422,'TAR FIN'!$A$1:$O$86,15,0)),0,VLOOKUP($U$422,'TAR FIN'!$A$1:$O$86,15,0))</f>
        <v>224.01</v>
      </c>
      <c r="Y422" s="6"/>
      <c r="Z422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187.78</v>
      </c>
      <c r="AA422" s="6">
        <f ca="1">('TE BE'!$AB$15+'TE BF_350'!$AB$15+'TE CVA'!$AB$15)*(1-CUSTOS!$M$37)</f>
        <v>262.52999999999997</v>
      </c>
      <c r="AB422" s="6">
        <f>$K$422*$V$422</f>
        <v>0</v>
      </c>
      <c r="AC422" s="6">
        <f>$M$422*$W$422</f>
        <v>6769.9980599999999</v>
      </c>
      <c r="AD422" s="6">
        <f>$O$422*$X$422</f>
        <v>5614.1386199999997</v>
      </c>
      <c r="AE422" s="6">
        <f>$K$422*$Y$422</f>
        <v>0</v>
      </c>
      <c r="AF422" s="6">
        <f ca="1">$M$422*$Z$422</f>
        <v>4706.1423599999998</v>
      </c>
      <c r="AG422" s="6">
        <f ca="1">$O$422*$AA$422</f>
        <v>6579.5268599999999</v>
      </c>
    </row>
    <row r="423" spans="1:33" ht="11.25" customHeight="1" x14ac:dyDescent="0.25">
      <c r="A423" s="4" t="s">
        <v>27</v>
      </c>
      <c r="B423" s="4" t="s">
        <v>22</v>
      </c>
      <c r="C423" s="4" t="s">
        <v>23</v>
      </c>
      <c r="D423" s="4" t="s">
        <v>24</v>
      </c>
      <c r="E423" s="4" t="s">
        <v>32</v>
      </c>
      <c r="F423" s="4" t="s">
        <v>25</v>
      </c>
      <c r="G423" s="4" t="s">
        <v>25</v>
      </c>
      <c r="H423" s="4" t="s">
        <v>25</v>
      </c>
      <c r="I423" s="5">
        <v>44501</v>
      </c>
      <c r="J423" s="6">
        <v>0</v>
      </c>
      <c r="K423" s="6">
        <v>0</v>
      </c>
      <c r="L423" s="6">
        <v>-8.8999999999999996E-2</v>
      </c>
      <c r="M423" s="6">
        <v>-8.8999999999999996E-2</v>
      </c>
      <c r="N423" s="6">
        <v>-8.8999999999999996E-2</v>
      </c>
      <c r="O423" s="6">
        <v>-8.8999999999999996E-2</v>
      </c>
      <c r="P423" s="6">
        <v>0</v>
      </c>
      <c r="Q423" s="4" t="s">
        <v>26</v>
      </c>
      <c r="R423" s="4">
        <v>0</v>
      </c>
      <c r="S423" s="6">
        <v>0</v>
      </c>
      <c r="T423" s="6">
        <v>6</v>
      </c>
      <c r="U423" s="6">
        <v>34</v>
      </c>
      <c r="V423" s="6">
        <f>IF(ISERROR(VLOOKUP($S$423,'TAR FIN'!$A$1:$O$86,15,0)),0,VLOOKUP($S$423,'TAR FIN'!$A$1:$O$86,15,0))</f>
        <v>0</v>
      </c>
      <c r="W423" s="6">
        <f>IF(ISERROR(VLOOKUP($T$423,'TAR FIN'!$A$1:$O$86,15,0)),0,VLOOKUP($T$423,'TAR FIN'!$A$1:$O$86,15,0))</f>
        <v>270.13</v>
      </c>
      <c r="X423" s="6">
        <f>IF(ISERROR(VLOOKUP($U$423,'TAR FIN'!$A$1:$O$86,15,0)),0,VLOOKUP($U$423,'TAR FIN'!$A$1:$O$86,15,0))</f>
        <v>224.01</v>
      </c>
      <c r="Y423" s="6"/>
      <c r="Z423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187.78</v>
      </c>
      <c r="AA423" s="6">
        <f ca="1">('TE BE'!$AB$15+'TE BF_350'!$AB$15+'TE CVA'!$AB$15)*(1-CUSTOS!$M$37)</f>
        <v>262.52999999999997</v>
      </c>
      <c r="AB423" s="6">
        <f>$K$423*$V$423</f>
        <v>0</v>
      </c>
      <c r="AC423" s="6">
        <f>$M$423*$W$423</f>
        <v>-24.04157</v>
      </c>
      <c r="AD423" s="6">
        <f>$O$423*$X$423</f>
        <v>-19.936889999999998</v>
      </c>
      <c r="AE423" s="6">
        <f>$K$423*$Y$423</f>
        <v>0</v>
      </c>
      <c r="AF423" s="6">
        <f ca="1">$M$423*$Z$423</f>
        <v>-16.712419999999998</v>
      </c>
      <c r="AG423" s="6">
        <f ca="1">$O$423*$AA$423</f>
        <v>-23.365169999999996</v>
      </c>
    </row>
    <row r="424" spans="1:33" ht="11.25" customHeight="1" x14ac:dyDescent="0.25">
      <c r="A424" s="4" t="s">
        <v>21</v>
      </c>
      <c r="B424" s="4" t="s">
        <v>22</v>
      </c>
      <c r="C424" s="4" t="s">
        <v>23</v>
      </c>
      <c r="D424" s="4" t="s">
        <v>24</v>
      </c>
      <c r="E424" s="4" t="s">
        <v>32</v>
      </c>
      <c r="F424" s="4" t="s">
        <v>25</v>
      </c>
      <c r="G424" s="4" t="s">
        <v>25</v>
      </c>
      <c r="H424" s="4" t="s">
        <v>25</v>
      </c>
      <c r="I424" s="5">
        <v>44531</v>
      </c>
      <c r="J424" s="6">
        <v>0</v>
      </c>
      <c r="K424" s="6">
        <v>0</v>
      </c>
      <c r="L424" s="6">
        <v>24.013999999999999</v>
      </c>
      <c r="M424" s="6">
        <v>24.013999999999999</v>
      </c>
      <c r="N424" s="6">
        <v>24.013999999999999</v>
      </c>
      <c r="O424" s="6">
        <v>24.013999999999999</v>
      </c>
      <c r="P424" s="6">
        <v>339</v>
      </c>
      <c r="Q424" s="4" t="s">
        <v>26</v>
      </c>
      <c r="R424" s="4">
        <v>0</v>
      </c>
      <c r="S424" s="6">
        <v>0</v>
      </c>
      <c r="T424" s="6">
        <v>6</v>
      </c>
      <c r="U424" s="6">
        <v>34</v>
      </c>
      <c r="V424" s="6">
        <f>IF(ISERROR(VLOOKUP($S$424,'TAR FIN'!$A$1:$O$86,15,0)),0,VLOOKUP($S$424,'TAR FIN'!$A$1:$O$86,15,0))</f>
        <v>0</v>
      </c>
      <c r="W424" s="6">
        <f>IF(ISERROR(VLOOKUP($T$424,'TAR FIN'!$A$1:$O$86,15,0)),0,VLOOKUP($T$424,'TAR FIN'!$A$1:$O$86,15,0))</f>
        <v>270.13</v>
      </c>
      <c r="X424" s="6">
        <f>IF(ISERROR(VLOOKUP($U$424,'TAR FIN'!$A$1:$O$86,15,0)),0,VLOOKUP($U$424,'TAR FIN'!$A$1:$O$86,15,0))</f>
        <v>224.01</v>
      </c>
      <c r="Y424" s="6"/>
      <c r="Z424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187.78</v>
      </c>
      <c r="AA424" s="6">
        <f ca="1">('TE BE'!$AB$15+'TE BF_350'!$AB$15+'TE CVA'!$AB$15)*(1-CUSTOS!$M$37)</f>
        <v>262.52999999999997</v>
      </c>
      <c r="AB424" s="6">
        <f>$K$424*$V$424</f>
        <v>0</v>
      </c>
      <c r="AC424" s="6">
        <f>$M$424*$W$424</f>
        <v>6486.90182</v>
      </c>
      <c r="AD424" s="6">
        <f>$O$424*$X$424</f>
        <v>5379.3761399999994</v>
      </c>
      <c r="AE424" s="6">
        <f>$K$424*$Y$424</f>
        <v>0</v>
      </c>
      <c r="AF424" s="6">
        <f ca="1">$M$424*$Z$424</f>
        <v>4509.3489199999995</v>
      </c>
      <c r="AG424" s="6">
        <f ca="1">$O$424*$AA$424</f>
        <v>6304.3954199999989</v>
      </c>
    </row>
    <row r="425" spans="1:33" ht="11.25" customHeight="1" x14ac:dyDescent="0.25">
      <c r="A425" s="4" t="s">
        <v>27</v>
      </c>
      <c r="B425" s="4" t="s">
        <v>22</v>
      </c>
      <c r="C425" s="4" t="s">
        <v>23</v>
      </c>
      <c r="D425" s="4" t="s">
        <v>24</v>
      </c>
      <c r="E425" s="4" t="s">
        <v>32</v>
      </c>
      <c r="F425" s="4" t="s">
        <v>25</v>
      </c>
      <c r="G425" s="4" t="s">
        <v>25</v>
      </c>
      <c r="H425" s="4" t="s">
        <v>25</v>
      </c>
      <c r="I425" s="5">
        <v>44531</v>
      </c>
      <c r="J425" s="6">
        <v>0</v>
      </c>
      <c r="K425" s="6">
        <v>0</v>
      </c>
      <c r="L425" s="6">
        <v>-2.3E-2</v>
      </c>
      <c r="M425" s="6">
        <v>-2.3E-2</v>
      </c>
      <c r="N425" s="6">
        <v>-2.3E-2</v>
      </c>
      <c r="O425" s="6">
        <v>-2.3E-2</v>
      </c>
      <c r="P425" s="6">
        <v>0</v>
      </c>
      <c r="Q425" s="4" t="s">
        <v>26</v>
      </c>
      <c r="R425" s="4">
        <v>0</v>
      </c>
      <c r="S425" s="6">
        <v>0</v>
      </c>
      <c r="T425" s="6">
        <v>6</v>
      </c>
      <c r="U425" s="6">
        <v>34</v>
      </c>
      <c r="V425" s="6">
        <f>IF(ISERROR(VLOOKUP($S$425,'TAR FIN'!$A$1:$O$86,15,0)),0,VLOOKUP($S$425,'TAR FIN'!$A$1:$O$86,15,0))</f>
        <v>0</v>
      </c>
      <c r="W425" s="6">
        <f>IF(ISERROR(VLOOKUP($T$425,'TAR FIN'!$A$1:$O$86,15,0)),0,VLOOKUP($T$425,'TAR FIN'!$A$1:$O$86,15,0))</f>
        <v>270.13</v>
      </c>
      <c r="X425" s="6">
        <f>IF(ISERROR(VLOOKUP($U$425,'TAR FIN'!$A$1:$O$86,15,0)),0,VLOOKUP($U$425,'TAR FIN'!$A$1:$O$86,15,0))</f>
        <v>224.01</v>
      </c>
      <c r="Y425" s="6"/>
      <c r="Z425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187.78</v>
      </c>
      <c r="AA425" s="6">
        <f ca="1">('TE BE'!$AB$15+'TE BF_350'!$AB$15+'TE CVA'!$AB$15)*(1-CUSTOS!$M$37)</f>
        <v>262.52999999999997</v>
      </c>
      <c r="AB425" s="6">
        <f>$K$425*$V$425</f>
        <v>0</v>
      </c>
      <c r="AC425" s="6">
        <f>$M$425*$W$425</f>
        <v>-6.2129899999999996</v>
      </c>
      <c r="AD425" s="6">
        <f>$O$425*$X$425</f>
        <v>-5.1522299999999994</v>
      </c>
      <c r="AE425" s="6">
        <f>$K$425*$Y$425</f>
        <v>0</v>
      </c>
      <c r="AF425" s="6">
        <f ca="1">$M$425*$Z$425</f>
        <v>-4.3189399999999996</v>
      </c>
      <c r="AG425" s="6">
        <f ca="1">$O$425*$AA$425</f>
        <v>-6.0381899999999993</v>
      </c>
    </row>
    <row r="426" spans="1:33" ht="11.25" customHeight="1" x14ac:dyDescent="0.25">
      <c r="A426" s="4" t="s">
        <v>21</v>
      </c>
      <c r="B426" s="4" t="s">
        <v>22</v>
      </c>
      <c r="C426" s="4" t="s">
        <v>23</v>
      </c>
      <c r="D426" s="4" t="s">
        <v>24</v>
      </c>
      <c r="E426" s="4" t="s">
        <v>32</v>
      </c>
      <c r="F426" s="4" t="s">
        <v>25</v>
      </c>
      <c r="G426" s="4" t="s">
        <v>25</v>
      </c>
      <c r="H426" s="4" t="s">
        <v>25</v>
      </c>
      <c r="I426" s="5">
        <v>44562</v>
      </c>
      <c r="J426" s="6">
        <v>0</v>
      </c>
      <c r="K426" s="6">
        <v>0</v>
      </c>
      <c r="L426" s="6">
        <v>54.155000000000001</v>
      </c>
      <c r="M426" s="6">
        <v>54.155000000000001</v>
      </c>
      <c r="N426" s="6">
        <v>54.155000000000001</v>
      </c>
      <c r="O426" s="6">
        <v>54.155000000000001</v>
      </c>
      <c r="P426" s="6">
        <v>552</v>
      </c>
      <c r="Q426" s="4" t="s">
        <v>26</v>
      </c>
      <c r="R426" s="4">
        <v>0</v>
      </c>
      <c r="S426" s="6">
        <v>0</v>
      </c>
      <c r="T426" s="6">
        <v>6</v>
      </c>
      <c r="U426" s="6">
        <v>34</v>
      </c>
      <c r="V426" s="6">
        <f>IF(ISERROR(VLOOKUP($S$426,'TAR FIN'!$A$1:$O$86,15,0)),0,VLOOKUP($S$426,'TAR FIN'!$A$1:$O$86,15,0))</f>
        <v>0</v>
      </c>
      <c r="W426" s="6">
        <f>IF(ISERROR(VLOOKUP($T$426,'TAR FIN'!$A$1:$O$86,15,0)),0,VLOOKUP($T$426,'TAR FIN'!$A$1:$O$86,15,0))</f>
        <v>270.13</v>
      </c>
      <c r="X426" s="6">
        <f>IF(ISERROR(VLOOKUP($U$426,'TAR FIN'!$A$1:$O$86,15,0)),0,VLOOKUP($U$426,'TAR FIN'!$A$1:$O$86,15,0))</f>
        <v>224.01</v>
      </c>
      <c r="Y426" s="6"/>
      <c r="Z426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187.78</v>
      </c>
      <c r="AA426" s="6">
        <f ca="1">('TE BE'!$AB$15+'TE BF_350'!$AB$15+'TE CVA'!$AB$15)*(1-CUSTOS!$M$37)</f>
        <v>262.52999999999997</v>
      </c>
      <c r="AB426" s="6">
        <f>$K$426*$V$426</f>
        <v>0</v>
      </c>
      <c r="AC426" s="6">
        <f>$M$426*$W$426</f>
        <v>14628.890149999999</v>
      </c>
      <c r="AD426" s="6">
        <f>$O$426*$X$426</f>
        <v>12131.261549999999</v>
      </c>
      <c r="AE426" s="6">
        <f>$K$426*$Y$426</f>
        <v>0</v>
      </c>
      <c r="AF426" s="6">
        <f ca="1">$M$426*$Z$426</f>
        <v>10169.225899999999</v>
      </c>
      <c r="AG426" s="6">
        <f ca="1">$O$426*$AA$426</f>
        <v>14217.312149999998</v>
      </c>
    </row>
    <row r="427" spans="1:33" ht="11.25" customHeight="1" x14ac:dyDescent="0.25">
      <c r="A427" s="4" t="s">
        <v>27</v>
      </c>
      <c r="B427" s="4" t="s">
        <v>22</v>
      </c>
      <c r="C427" s="4" t="s">
        <v>23</v>
      </c>
      <c r="D427" s="4" t="s">
        <v>24</v>
      </c>
      <c r="E427" s="4" t="s">
        <v>32</v>
      </c>
      <c r="F427" s="4" t="s">
        <v>25</v>
      </c>
      <c r="G427" s="4" t="s">
        <v>25</v>
      </c>
      <c r="H427" s="4" t="s">
        <v>25</v>
      </c>
      <c r="I427" s="5">
        <v>44562</v>
      </c>
      <c r="J427" s="6">
        <v>0</v>
      </c>
      <c r="K427" s="6">
        <v>0</v>
      </c>
      <c r="L427" s="6">
        <v>-0.01</v>
      </c>
      <c r="M427" s="6">
        <v>-0.01</v>
      </c>
      <c r="N427" s="6">
        <v>-0.01</v>
      </c>
      <c r="O427" s="6">
        <v>-0.01</v>
      </c>
      <c r="P427" s="6">
        <v>0</v>
      </c>
      <c r="Q427" s="4" t="s">
        <v>26</v>
      </c>
      <c r="R427" s="4">
        <v>0</v>
      </c>
      <c r="S427" s="6">
        <v>0</v>
      </c>
      <c r="T427" s="6">
        <v>6</v>
      </c>
      <c r="U427" s="6">
        <v>34</v>
      </c>
      <c r="V427" s="6">
        <f>IF(ISERROR(VLOOKUP($S$427,'TAR FIN'!$A$1:$O$86,15,0)),0,VLOOKUP($S$427,'TAR FIN'!$A$1:$O$86,15,0))</f>
        <v>0</v>
      </c>
      <c r="W427" s="6">
        <f>IF(ISERROR(VLOOKUP($T$427,'TAR FIN'!$A$1:$O$86,15,0)),0,VLOOKUP($T$427,'TAR FIN'!$A$1:$O$86,15,0))</f>
        <v>270.13</v>
      </c>
      <c r="X427" s="6">
        <f>IF(ISERROR(VLOOKUP($U$427,'TAR FIN'!$A$1:$O$86,15,0)),0,VLOOKUP($U$427,'TAR FIN'!$A$1:$O$86,15,0))</f>
        <v>224.01</v>
      </c>
      <c r="Y427" s="6"/>
      <c r="Z427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187.78</v>
      </c>
      <c r="AA427" s="6">
        <f ca="1">('TE BE'!$AB$15+'TE BF_350'!$AB$15+'TE CVA'!$AB$15)*(1-CUSTOS!$M$37)</f>
        <v>262.52999999999997</v>
      </c>
      <c r="AB427" s="6">
        <f>$K$427*$V$427</f>
        <v>0</v>
      </c>
      <c r="AC427" s="6">
        <f>$M$427*$W$427</f>
        <v>-2.7012999999999998</v>
      </c>
      <c r="AD427" s="6">
        <f>$O$427*$X$427</f>
        <v>-2.2401</v>
      </c>
      <c r="AE427" s="6">
        <f>$K$427*$Y$427</f>
        <v>0</v>
      </c>
      <c r="AF427" s="6">
        <f ca="1">$M$427*$Z$427</f>
        <v>-1.8778000000000001</v>
      </c>
      <c r="AG427" s="6">
        <f ca="1">$O$427*$AA$427</f>
        <v>-2.6252999999999997</v>
      </c>
    </row>
    <row r="428" spans="1:33" ht="11.25" customHeight="1" x14ac:dyDescent="0.25">
      <c r="A428" s="4" t="s">
        <v>21</v>
      </c>
      <c r="B428" s="4" t="s">
        <v>22</v>
      </c>
      <c r="C428" s="4" t="s">
        <v>23</v>
      </c>
      <c r="D428" s="4" t="s">
        <v>24</v>
      </c>
      <c r="E428" s="4" t="s">
        <v>32</v>
      </c>
      <c r="F428" s="4" t="s">
        <v>25</v>
      </c>
      <c r="G428" s="4" t="s">
        <v>25</v>
      </c>
      <c r="H428" s="4" t="s">
        <v>25</v>
      </c>
      <c r="I428" s="5">
        <v>44593</v>
      </c>
      <c r="J428" s="6">
        <v>0</v>
      </c>
      <c r="K428" s="6">
        <v>0</v>
      </c>
      <c r="L428" s="6">
        <v>63.542000000000002</v>
      </c>
      <c r="M428" s="6">
        <v>63.542000000000002</v>
      </c>
      <c r="N428" s="6">
        <v>63.542000000000002</v>
      </c>
      <c r="O428" s="6">
        <v>63.542000000000002</v>
      </c>
      <c r="P428" s="6">
        <v>567</v>
      </c>
      <c r="Q428" s="4" t="s">
        <v>26</v>
      </c>
      <c r="R428" s="4">
        <v>0</v>
      </c>
      <c r="S428" s="6">
        <v>0</v>
      </c>
      <c r="T428" s="6">
        <v>6</v>
      </c>
      <c r="U428" s="6">
        <v>34</v>
      </c>
      <c r="V428" s="6">
        <f>IF(ISERROR(VLOOKUP($S$428,'TAR FIN'!$A$1:$O$86,15,0)),0,VLOOKUP($S$428,'TAR FIN'!$A$1:$O$86,15,0))</f>
        <v>0</v>
      </c>
      <c r="W428" s="6">
        <f>IF(ISERROR(VLOOKUP($T$428,'TAR FIN'!$A$1:$O$86,15,0)),0,VLOOKUP($T$428,'TAR FIN'!$A$1:$O$86,15,0))</f>
        <v>270.13</v>
      </c>
      <c r="X428" s="6">
        <f>IF(ISERROR(VLOOKUP($U$428,'TAR FIN'!$A$1:$O$86,15,0)),0,VLOOKUP($U$428,'TAR FIN'!$A$1:$O$86,15,0))</f>
        <v>224.01</v>
      </c>
      <c r="Y428" s="6"/>
      <c r="Z428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187.78</v>
      </c>
      <c r="AA428" s="6">
        <f ca="1">('TE BE'!$AB$15+'TE BF_350'!$AB$15+'TE CVA'!$AB$15)*(1-CUSTOS!$M$37)</f>
        <v>262.52999999999997</v>
      </c>
      <c r="AB428" s="6">
        <f>$K$428*$V$428</f>
        <v>0</v>
      </c>
      <c r="AC428" s="6">
        <f>$M$428*$W$428</f>
        <v>17164.600460000001</v>
      </c>
      <c r="AD428" s="6">
        <f>$O$428*$X$428</f>
        <v>14234.04342</v>
      </c>
      <c r="AE428" s="6">
        <f>$K$428*$Y$428</f>
        <v>0</v>
      </c>
      <c r="AF428" s="6">
        <f ca="1">$M$428*$Z$428</f>
        <v>11931.91676</v>
      </c>
      <c r="AG428" s="6">
        <f ca="1">$O$428*$AA$428</f>
        <v>16681.681259999998</v>
      </c>
    </row>
    <row r="429" spans="1:33" ht="11.25" customHeight="1" x14ac:dyDescent="0.25">
      <c r="A429" s="4" t="s">
        <v>21</v>
      </c>
      <c r="B429" s="4" t="s">
        <v>22</v>
      </c>
      <c r="C429" s="4" t="s">
        <v>23</v>
      </c>
      <c r="D429" s="4" t="s">
        <v>24</v>
      </c>
      <c r="E429" s="4" t="s">
        <v>32</v>
      </c>
      <c r="F429" s="4" t="s">
        <v>25</v>
      </c>
      <c r="G429" s="4" t="s">
        <v>25</v>
      </c>
      <c r="H429" s="4" t="s">
        <v>25</v>
      </c>
      <c r="I429" s="5">
        <v>44621</v>
      </c>
      <c r="J429" s="6">
        <v>0</v>
      </c>
      <c r="K429" s="6">
        <v>0</v>
      </c>
      <c r="L429" s="6">
        <v>56.566000000000003</v>
      </c>
      <c r="M429" s="6">
        <v>56.566000000000003</v>
      </c>
      <c r="N429" s="6">
        <v>56.566000000000003</v>
      </c>
      <c r="O429" s="6">
        <v>56.566000000000003</v>
      </c>
      <c r="P429" s="6">
        <v>517</v>
      </c>
      <c r="Q429" s="4" t="s">
        <v>26</v>
      </c>
      <c r="R429" s="4">
        <v>0</v>
      </c>
      <c r="S429" s="6">
        <v>0</v>
      </c>
      <c r="T429" s="6">
        <v>6</v>
      </c>
      <c r="U429" s="6">
        <v>34</v>
      </c>
      <c r="V429" s="6">
        <f>IF(ISERROR(VLOOKUP($S$429,'TAR FIN'!$A$1:$O$86,15,0)),0,VLOOKUP($S$429,'TAR FIN'!$A$1:$O$86,15,0))</f>
        <v>0</v>
      </c>
      <c r="W429" s="6">
        <f>IF(ISERROR(VLOOKUP($T$429,'TAR FIN'!$A$1:$O$86,15,0)),0,VLOOKUP($T$429,'TAR FIN'!$A$1:$O$86,15,0))</f>
        <v>270.13</v>
      </c>
      <c r="X429" s="6">
        <f>IF(ISERROR(VLOOKUP($U$429,'TAR FIN'!$A$1:$O$86,15,0)),0,VLOOKUP($U$429,'TAR FIN'!$A$1:$O$86,15,0))</f>
        <v>224.01</v>
      </c>
      <c r="Y429" s="6"/>
      <c r="Z429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187.78</v>
      </c>
      <c r="AA429" s="6">
        <f ca="1">('TE BE'!$AB$15+'TE BF_350'!$AB$15+'TE CVA'!$AB$15)*(1-CUSTOS!$M$37)</f>
        <v>262.52999999999997</v>
      </c>
      <c r="AB429" s="6">
        <f>$K$429*$V$429</f>
        <v>0</v>
      </c>
      <c r="AC429" s="6">
        <f>$M$429*$W$429</f>
        <v>15280.173580000001</v>
      </c>
      <c r="AD429" s="6">
        <f>$O$429*$X$429</f>
        <v>12671.34966</v>
      </c>
      <c r="AE429" s="6">
        <f>$K$429*$Y$429</f>
        <v>0</v>
      </c>
      <c r="AF429" s="6">
        <f ca="1">$M$429*$Z$429</f>
        <v>10621.96348</v>
      </c>
      <c r="AG429" s="6">
        <f ca="1">$O$429*$AA$429</f>
        <v>14850.27198</v>
      </c>
    </row>
    <row r="430" spans="1:33" ht="11.25" customHeight="1" x14ac:dyDescent="0.25">
      <c r="A430" s="4" t="s">
        <v>27</v>
      </c>
      <c r="B430" s="4" t="s">
        <v>22</v>
      </c>
      <c r="C430" s="4" t="s">
        <v>23</v>
      </c>
      <c r="D430" s="4" t="s">
        <v>24</v>
      </c>
      <c r="E430" s="4" t="s">
        <v>32</v>
      </c>
      <c r="F430" s="4" t="s">
        <v>25</v>
      </c>
      <c r="G430" s="4" t="s">
        <v>25</v>
      </c>
      <c r="H430" s="4" t="s">
        <v>25</v>
      </c>
      <c r="I430" s="5">
        <v>44621</v>
      </c>
      <c r="J430" s="6">
        <v>0</v>
      </c>
      <c r="K430" s="6">
        <v>0</v>
      </c>
      <c r="L430" s="6">
        <v>-1.474</v>
      </c>
      <c r="M430" s="6">
        <v>-1.474</v>
      </c>
      <c r="N430" s="6">
        <v>-1.474</v>
      </c>
      <c r="O430" s="6">
        <v>-1.474</v>
      </c>
      <c r="P430" s="6">
        <v>0</v>
      </c>
      <c r="Q430" s="4" t="s">
        <v>26</v>
      </c>
      <c r="R430" s="4">
        <v>0</v>
      </c>
      <c r="S430" s="6">
        <v>0</v>
      </c>
      <c r="T430" s="6">
        <v>6</v>
      </c>
      <c r="U430" s="6">
        <v>34</v>
      </c>
      <c r="V430" s="6">
        <f>IF(ISERROR(VLOOKUP($S$430,'TAR FIN'!$A$1:$O$86,15,0)),0,VLOOKUP($S$430,'TAR FIN'!$A$1:$O$86,15,0))</f>
        <v>0</v>
      </c>
      <c r="W430" s="6">
        <f>IF(ISERROR(VLOOKUP($T$430,'TAR FIN'!$A$1:$O$86,15,0)),0,VLOOKUP($T$430,'TAR FIN'!$A$1:$O$86,15,0))</f>
        <v>270.13</v>
      </c>
      <c r="X430" s="6">
        <f>IF(ISERROR(VLOOKUP($U$430,'TAR FIN'!$A$1:$O$86,15,0)),0,VLOOKUP($U$430,'TAR FIN'!$A$1:$O$86,15,0))</f>
        <v>224.01</v>
      </c>
      <c r="Y430" s="6"/>
      <c r="Z430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187.78</v>
      </c>
      <c r="AA430" s="6">
        <f ca="1">('TE BE'!$AB$15+'TE BF_350'!$AB$15+'TE CVA'!$AB$15)*(1-CUSTOS!$M$37)</f>
        <v>262.52999999999997</v>
      </c>
      <c r="AB430" s="6">
        <f>$K$430*$V$430</f>
        <v>0</v>
      </c>
      <c r="AC430" s="6">
        <f>$M$430*$W$430</f>
        <v>-398.17161999999996</v>
      </c>
      <c r="AD430" s="6">
        <f>$O$430*$X$430</f>
        <v>-330.19074000000001</v>
      </c>
      <c r="AE430" s="6">
        <f>$K$430*$Y$430</f>
        <v>0</v>
      </c>
      <c r="AF430" s="6">
        <f ca="1">$M$430*$Z$430</f>
        <v>-276.78771999999998</v>
      </c>
      <c r="AG430" s="6">
        <f ca="1">$O$430*$AA$430</f>
        <v>-386.96921999999995</v>
      </c>
    </row>
    <row r="431" spans="1:33" ht="11.25" customHeight="1" x14ac:dyDescent="0.25">
      <c r="A431" s="4" t="s">
        <v>21</v>
      </c>
      <c r="B431" s="4" t="s">
        <v>22</v>
      </c>
      <c r="C431" s="4" t="s">
        <v>23</v>
      </c>
      <c r="D431" s="4" t="s">
        <v>24</v>
      </c>
      <c r="E431" s="4" t="s">
        <v>32</v>
      </c>
      <c r="F431" s="4" t="s">
        <v>25</v>
      </c>
      <c r="G431" s="4" t="s">
        <v>25</v>
      </c>
      <c r="H431" s="4" t="s">
        <v>25</v>
      </c>
      <c r="I431" s="5">
        <v>44652</v>
      </c>
      <c r="J431" s="6">
        <v>0</v>
      </c>
      <c r="K431" s="6">
        <v>0</v>
      </c>
      <c r="L431" s="6">
        <v>42.036000000000001</v>
      </c>
      <c r="M431" s="6">
        <v>42.036000000000001</v>
      </c>
      <c r="N431" s="6">
        <v>42.036000000000001</v>
      </c>
      <c r="O431" s="6">
        <v>42.036000000000001</v>
      </c>
      <c r="P431" s="6">
        <v>470</v>
      </c>
      <c r="Q431" s="4" t="s">
        <v>26</v>
      </c>
      <c r="R431" s="4">
        <v>0</v>
      </c>
      <c r="S431" s="6">
        <v>0</v>
      </c>
      <c r="T431" s="6">
        <v>6</v>
      </c>
      <c r="U431" s="6">
        <v>34</v>
      </c>
      <c r="V431" s="6">
        <f>IF(ISERROR(VLOOKUP($S$431,'TAR FIN'!$A$1:$O$86,15,0)),0,VLOOKUP($S$431,'TAR FIN'!$A$1:$O$86,15,0))</f>
        <v>0</v>
      </c>
      <c r="W431" s="6">
        <f>IF(ISERROR(VLOOKUP($T$431,'TAR FIN'!$A$1:$O$86,15,0)),0,VLOOKUP($T$431,'TAR FIN'!$A$1:$O$86,15,0))</f>
        <v>270.13</v>
      </c>
      <c r="X431" s="6">
        <f>IF(ISERROR(VLOOKUP($U$431,'TAR FIN'!$A$1:$O$86,15,0)),0,VLOOKUP($U$431,'TAR FIN'!$A$1:$O$86,15,0))</f>
        <v>224.01</v>
      </c>
      <c r="Y431" s="6"/>
      <c r="Z431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187.78</v>
      </c>
      <c r="AA431" s="6">
        <f ca="1">('TE BE'!$AB$15+'TE BF_350'!$AB$15+'TE CVA'!$AB$15)*(1-CUSTOS!$M$37)</f>
        <v>262.52999999999997</v>
      </c>
      <c r="AB431" s="6">
        <f>$K$431*$V$431</f>
        <v>0</v>
      </c>
      <c r="AC431" s="6">
        <f>$M$431*$W$431</f>
        <v>11355.18468</v>
      </c>
      <c r="AD431" s="6">
        <f>$O$431*$X$431</f>
        <v>9416.4843600000004</v>
      </c>
      <c r="AE431" s="6">
        <f>$K$431*$Y$431</f>
        <v>0</v>
      </c>
      <c r="AF431" s="6">
        <f ca="1">$M$431*$Z$431</f>
        <v>7893.5200800000002</v>
      </c>
      <c r="AG431" s="6">
        <f ca="1">$O$431*$AA$431</f>
        <v>11035.711079999999</v>
      </c>
    </row>
    <row r="432" spans="1:33" ht="11.25" customHeight="1" x14ac:dyDescent="0.25">
      <c r="A432" s="4" t="s">
        <v>27</v>
      </c>
      <c r="B432" s="4" t="s">
        <v>22</v>
      </c>
      <c r="C432" s="4" t="s">
        <v>23</v>
      </c>
      <c r="D432" s="4" t="s">
        <v>24</v>
      </c>
      <c r="E432" s="4" t="s">
        <v>32</v>
      </c>
      <c r="F432" s="4" t="s">
        <v>25</v>
      </c>
      <c r="G432" s="4" t="s">
        <v>25</v>
      </c>
      <c r="H432" s="4" t="s">
        <v>25</v>
      </c>
      <c r="I432" s="5">
        <v>44652</v>
      </c>
      <c r="J432" s="6">
        <v>0</v>
      </c>
      <c r="K432" s="6">
        <v>0</v>
      </c>
      <c r="L432" s="6">
        <v>-0.28999999999999998</v>
      </c>
      <c r="M432" s="6">
        <v>-0.28999999999999998</v>
      </c>
      <c r="N432" s="6">
        <v>-0.28999999999999998</v>
      </c>
      <c r="O432" s="6">
        <v>-0.28999999999999998</v>
      </c>
      <c r="P432" s="6">
        <v>0</v>
      </c>
      <c r="Q432" s="4" t="s">
        <v>26</v>
      </c>
      <c r="R432" s="4">
        <v>0</v>
      </c>
      <c r="S432" s="6">
        <v>0</v>
      </c>
      <c r="T432" s="6">
        <v>6</v>
      </c>
      <c r="U432" s="6">
        <v>34</v>
      </c>
      <c r="V432" s="6">
        <f>IF(ISERROR(VLOOKUP($S$432,'TAR FIN'!$A$1:$O$86,15,0)),0,VLOOKUP($S$432,'TAR FIN'!$A$1:$O$86,15,0))</f>
        <v>0</v>
      </c>
      <c r="W432" s="6">
        <f>IF(ISERROR(VLOOKUP($T$432,'TAR FIN'!$A$1:$O$86,15,0)),0,VLOOKUP($T$432,'TAR FIN'!$A$1:$O$86,15,0))</f>
        <v>270.13</v>
      </c>
      <c r="X432" s="6">
        <f>IF(ISERROR(VLOOKUP($U$432,'TAR FIN'!$A$1:$O$86,15,0)),0,VLOOKUP($U$432,'TAR FIN'!$A$1:$O$86,15,0))</f>
        <v>224.01</v>
      </c>
      <c r="Y432" s="6"/>
      <c r="Z432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187.78</v>
      </c>
      <c r="AA432" s="6">
        <f ca="1">('TE BE'!$AB$15+'TE BF_350'!$AB$15+'TE CVA'!$AB$15)*(1-CUSTOS!$M$37)</f>
        <v>262.52999999999997</v>
      </c>
      <c r="AB432" s="6">
        <f>$K$432*$V$432</f>
        <v>0</v>
      </c>
      <c r="AC432" s="6">
        <f>$M$432*$W$432</f>
        <v>-78.337699999999998</v>
      </c>
      <c r="AD432" s="6">
        <f>$O$432*$X$432</f>
        <v>-64.962899999999991</v>
      </c>
      <c r="AE432" s="6">
        <f>$K$432*$Y$432</f>
        <v>0</v>
      </c>
      <c r="AF432" s="6">
        <f ca="1">$M$432*$Z$432</f>
        <v>-54.456199999999995</v>
      </c>
      <c r="AG432" s="6">
        <f ca="1">$O$432*$AA$432</f>
        <v>-76.13369999999999</v>
      </c>
    </row>
    <row r="433" spans="1:33" ht="11.25" customHeight="1" x14ac:dyDescent="0.25">
      <c r="A433" s="4" t="s">
        <v>21</v>
      </c>
      <c r="B433" s="4" t="s">
        <v>22</v>
      </c>
      <c r="C433" s="4" t="s">
        <v>23</v>
      </c>
      <c r="D433" s="4" t="s">
        <v>24</v>
      </c>
      <c r="E433" s="4" t="s">
        <v>32</v>
      </c>
      <c r="F433" s="4" t="s">
        <v>25</v>
      </c>
      <c r="G433" s="4" t="s">
        <v>25</v>
      </c>
      <c r="H433" s="4" t="s">
        <v>25</v>
      </c>
      <c r="I433" s="5">
        <v>44682</v>
      </c>
      <c r="J433" s="6">
        <v>0</v>
      </c>
      <c r="K433" s="6">
        <v>0</v>
      </c>
      <c r="L433" s="6">
        <v>29.068999999999999</v>
      </c>
      <c r="M433" s="6">
        <v>29.068999999999999</v>
      </c>
      <c r="N433" s="6">
        <v>29.068999999999999</v>
      </c>
      <c r="O433" s="6">
        <v>29.068999999999999</v>
      </c>
      <c r="P433" s="6">
        <v>361</v>
      </c>
      <c r="Q433" s="4" t="s">
        <v>26</v>
      </c>
      <c r="R433" s="4">
        <v>0</v>
      </c>
      <c r="S433" s="6">
        <v>0</v>
      </c>
      <c r="T433" s="6">
        <v>6</v>
      </c>
      <c r="U433" s="6">
        <v>34</v>
      </c>
      <c r="V433" s="6">
        <f>IF(ISERROR(VLOOKUP($S$433,'TAR FIN'!$A$1:$O$86,15,0)),0,VLOOKUP($S$433,'TAR FIN'!$A$1:$O$86,15,0))</f>
        <v>0</v>
      </c>
      <c r="W433" s="6">
        <f>IF(ISERROR(VLOOKUP($T$433,'TAR FIN'!$A$1:$O$86,15,0)),0,VLOOKUP($T$433,'TAR FIN'!$A$1:$O$86,15,0))</f>
        <v>270.13</v>
      </c>
      <c r="X433" s="6">
        <f>IF(ISERROR(VLOOKUP($U$433,'TAR FIN'!$A$1:$O$86,15,0)),0,VLOOKUP($U$433,'TAR FIN'!$A$1:$O$86,15,0))</f>
        <v>224.01</v>
      </c>
      <c r="Y433" s="6"/>
      <c r="Z433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187.78</v>
      </c>
      <c r="AA433" s="6">
        <f ca="1">('TE BE'!$AB$15+'TE BF_350'!$AB$15+'TE CVA'!$AB$15)*(1-CUSTOS!$M$37)</f>
        <v>262.52999999999997</v>
      </c>
      <c r="AB433" s="6">
        <f>$K$433*$V$433</f>
        <v>0</v>
      </c>
      <c r="AC433" s="6">
        <f>$M$433*$W$433</f>
        <v>7852.4089699999995</v>
      </c>
      <c r="AD433" s="6">
        <f>$O$433*$X$433</f>
        <v>6511.7466899999999</v>
      </c>
      <c r="AE433" s="6">
        <f>$K$433*$Y$433</f>
        <v>0</v>
      </c>
      <c r="AF433" s="6">
        <f ca="1">$M$433*$Z$433</f>
        <v>5458.5768200000002</v>
      </c>
      <c r="AG433" s="6">
        <f ca="1">$O$433*$AA$433</f>
        <v>7631.4845699999987</v>
      </c>
    </row>
    <row r="434" spans="1:33" ht="11.25" customHeight="1" x14ac:dyDescent="0.25">
      <c r="A434" s="4" t="s">
        <v>21</v>
      </c>
      <c r="B434" s="4" t="s">
        <v>22</v>
      </c>
      <c r="C434" s="4" t="s">
        <v>23</v>
      </c>
      <c r="D434" s="4" t="s">
        <v>24</v>
      </c>
      <c r="E434" s="4" t="s">
        <v>32</v>
      </c>
      <c r="F434" s="4" t="s">
        <v>25</v>
      </c>
      <c r="G434" s="4" t="s">
        <v>25</v>
      </c>
      <c r="H434" s="4" t="s">
        <v>25</v>
      </c>
      <c r="I434" s="5">
        <v>44713</v>
      </c>
      <c r="J434" s="6">
        <v>0</v>
      </c>
      <c r="K434" s="6">
        <v>0</v>
      </c>
      <c r="L434" s="6">
        <v>38.725000000000001</v>
      </c>
      <c r="M434" s="6">
        <v>38.725000000000001</v>
      </c>
      <c r="N434" s="6">
        <v>38.725000000000001</v>
      </c>
      <c r="O434" s="6">
        <v>38.725000000000001</v>
      </c>
      <c r="P434" s="6">
        <v>433</v>
      </c>
      <c r="Q434" s="4" t="s">
        <v>26</v>
      </c>
      <c r="R434" s="4">
        <v>0</v>
      </c>
      <c r="S434" s="6">
        <v>0</v>
      </c>
      <c r="T434" s="6">
        <v>6</v>
      </c>
      <c r="U434" s="6">
        <v>34</v>
      </c>
      <c r="V434" s="6">
        <f>IF(ISERROR(VLOOKUP($S$434,'TAR FIN'!$A$1:$O$86,15,0)),0,VLOOKUP($S$434,'TAR FIN'!$A$1:$O$86,15,0))</f>
        <v>0</v>
      </c>
      <c r="W434" s="6">
        <f>IF(ISERROR(VLOOKUP($T$434,'TAR FIN'!$A$1:$O$86,15,0)),0,VLOOKUP($T$434,'TAR FIN'!$A$1:$O$86,15,0))</f>
        <v>270.13</v>
      </c>
      <c r="X434" s="6">
        <f>IF(ISERROR(VLOOKUP($U$434,'TAR FIN'!$A$1:$O$86,15,0)),0,VLOOKUP($U$434,'TAR FIN'!$A$1:$O$86,15,0))</f>
        <v>224.01</v>
      </c>
      <c r="Y434" s="6"/>
      <c r="Z434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187.78</v>
      </c>
      <c r="AA434" s="6">
        <f ca="1">('TE BE'!$AB$15+'TE BF_350'!$AB$15+'TE CVA'!$AB$15)*(1-CUSTOS!$M$37)</f>
        <v>262.52999999999997</v>
      </c>
      <c r="AB434" s="6">
        <f>$K$434*$V$434</f>
        <v>0</v>
      </c>
      <c r="AC434" s="6">
        <f>$M$434*$W$434</f>
        <v>10460.784250000001</v>
      </c>
      <c r="AD434" s="6">
        <f>$O$434*$X$434</f>
        <v>8674.7872499999994</v>
      </c>
      <c r="AE434" s="6">
        <f>$K$434*$Y$434</f>
        <v>0</v>
      </c>
      <c r="AF434" s="6">
        <f ca="1">$M$434*$Z$434</f>
        <v>7271.7805000000008</v>
      </c>
      <c r="AG434" s="6">
        <f ca="1">$O$434*$AA$434</f>
        <v>10166.474249999999</v>
      </c>
    </row>
    <row r="435" spans="1:33" ht="11.25" customHeight="1" x14ac:dyDescent="0.25">
      <c r="A435" s="4" t="s">
        <v>55</v>
      </c>
      <c r="B435" s="4" t="s">
        <v>22</v>
      </c>
      <c r="C435" s="4" t="s">
        <v>23</v>
      </c>
      <c r="D435" s="4" t="s">
        <v>24</v>
      </c>
      <c r="E435" s="4" t="s">
        <v>32</v>
      </c>
      <c r="F435" s="4" t="s">
        <v>25</v>
      </c>
      <c r="G435" s="4" t="s">
        <v>25</v>
      </c>
      <c r="H435" s="4" t="s">
        <v>25</v>
      </c>
      <c r="I435" s="5">
        <v>44743</v>
      </c>
      <c r="J435" s="6">
        <v>0</v>
      </c>
      <c r="K435" s="6">
        <v>0</v>
      </c>
      <c r="L435" s="6">
        <v>38.725000000000001</v>
      </c>
      <c r="M435" s="6">
        <v>38.725000000000001</v>
      </c>
      <c r="N435" s="6">
        <v>38.725000000000001</v>
      </c>
      <c r="O435" s="6">
        <v>38.725000000000001</v>
      </c>
      <c r="P435" s="6">
        <v>433</v>
      </c>
      <c r="Q435" s="4" t="s">
        <v>26</v>
      </c>
      <c r="R435" s="4">
        <v>0</v>
      </c>
      <c r="S435" s="6">
        <v>0</v>
      </c>
      <c r="T435" s="6">
        <v>6</v>
      </c>
      <c r="U435" s="6">
        <v>34</v>
      </c>
      <c r="V435" s="6">
        <f>IF(ISERROR(VLOOKUP($S$435,'TAR FIN'!$A$1:$O$86,15,0)),0,VLOOKUP($S$435,'TAR FIN'!$A$1:$O$86,15,0))</f>
        <v>0</v>
      </c>
      <c r="W435" s="6">
        <f>IF(ISERROR(VLOOKUP($T$435,'TAR FIN'!$A$1:$O$86,15,0)),0,VLOOKUP($T$435,'TAR FIN'!$A$1:$O$86,15,0))</f>
        <v>270.13</v>
      </c>
      <c r="X435" s="6">
        <f>IF(ISERROR(VLOOKUP($U$435,'TAR FIN'!$A$1:$O$86,15,0)),0,VLOOKUP($U$435,'TAR FIN'!$A$1:$O$86,15,0))</f>
        <v>224.01</v>
      </c>
      <c r="Y435" s="6"/>
      <c r="Z435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187.78</v>
      </c>
      <c r="AA435" s="6">
        <f ca="1">('TE BE'!$AB$15+'TE BF_350'!$AB$15+'TE CVA'!$AB$15)*(1-CUSTOS!$M$37)</f>
        <v>262.52999999999997</v>
      </c>
      <c r="AB435" s="6">
        <f>$K$435*$V$435</f>
        <v>0</v>
      </c>
      <c r="AC435" s="6">
        <f>$M$435*$W$435</f>
        <v>10460.784250000001</v>
      </c>
      <c r="AD435" s="6">
        <f>$O$435*$X$435</f>
        <v>8674.7872499999994</v>
      </c>
      <c r="AE435" s="6">
        <f>$K$435*$Y$435</f>
        <v>0</v>
      </c>
      <c r="AF435" s="6">
        <f ca="1">$M$435*$Z$435</f>
        <v>7271.7805000000008</v>
      </c>
      <c r="AG435" s="6">
        <f ca="1">$O$435*$AA$435</f>
        <v>10166.474249999999</v>
      </c>
    </row>
    <row r="436" spans="1:33" ht="11.25" customHeight="1" x14ac:dyDescent="0.25">
      <c r="A436" s="4" t="s">
        <v>21</v>
      </c>
      <c r="B436" s="4" t="s">
        <v>41</v>
      </c>
      <c r="C436" s="4" t="s">
        <v>23</v>
      </c>
      <c r="D436" s="4" t="s">
        <v>42</v>
      </c>
      <c r="E436" s="4" t="s">
        <v>52</v>
      </c>
      <c r="F436" s="4" t="s">
        <v>53</v>
      </c>
      <c r="G436" s="4" t="s">
        <v>25</v>
      </c>
      <c r="H436" s="4" t="s">
        <v>25</v>
      </c>
      <c r="I436" s="5">
        <v>44409</v>
      </c>
      <c r="J436" s="6">
        <v>0</v>
      </c>
      <c r="K436" s="6">
        <v>0</v>
      </c>
      <c r="L436" s="6">
        <v>2.472</v>
      </c>
      <c r="M436" s="6">
        <v>2.472</v>
      </c>
      <c r="N436" s="6">
        <v>2.472</v>
      </c>
      <c r="O436" s="6">
        <v>2.472</v>
      </c>
      <c r="P436" s="6">
        <v>0</v>
      </c>
      <c r="Q436" s="4" t="s">
        <v>26</v>
      </c>
      <c r="R436" s="4">
        <v>0</v>
      </c>
      <c r="S436" s="6">
        <v>0</v>
      </c>
      <c r="T436" s="6">
        <v>16</v>
      </c>
      <c r="U436" s="6">
        <v>54</v>
      </c>
      <c r="V436" s="6">
        <f>IF(ISERROR(VLOOKUP($S$436,'TAR FIN'!$A$1:$O$86,15,0)),0,VLOOKUP($S$436,'TAR FIN'!$A$1:$O$86,15,0))</f>
        <v>0</v>
      </c>
      <c r="W436" s="6">
        <f>IF(ISERROR(VLOOKUP($T$436,'TAR FIN'!$A$1:$O$86,15,0)),0,VLOOKUP($T$436,'TAR FIN'!$A$1:$O$86,15,0))</f>
        <v>297.89</v>
      </c>
      <c r="X436" s="6">
        <f>IF(ISERROR(VLOOKUP($U$436,'TAR FIN'!$A$1:$O$86,15,0)),0,VLOOKUP($U$436,'TAR FIN'!$A$1:$O$86,15,0))</f>
        <v>197.13</v>
      </c>
      <c r="Y436" s="6"/>
      <c r="Z436" s="6">
        <f ca="1">('TUSD BE'!$AM$33+'TUSD BF_350'!$AM$33+'TUSD CVA'!$AM$33)*(1-CUSTOS!$M$38)</f>
        <v>291.86059999999998</v>
      </c>
      <c r="AA436" s="6">
        <f ca="1">('TE BE'!$AB$24+'TE BF_350'!$AB$24+'TE CVA'!$AB$24)*(1-CUSTOS!$M$38)</f>
        <v>246.77819999999997</v>
      </c>
      <c r="AB436" s="6">
        <f>$K$436*$V$436</f>
        <v>0</v>
      </c>
      <c r="AC436" s="6">
        <f>$M$436*$W$436</f>
        <v>736.38407999999993</v>
      </c>
      <c r="AD436" s="6">
        <f>$O$436*$X$436</f>
        <v>487.30536000000001</v>
      </c>
      <c r="AE436" s="6">
        <f>$K$436*$Y$436</f>
        <v>0</v>
      </c>
      <c r="AF436" s="6">
        <f ca="1">$M$436*$Z$436</f>
        <v>721.47940319999998</v>
      </c>
      <c r="AG436" s="6">
        <f ca="1">$O$436*$AA$436</f>
        <v>610.03571039999997</v>
      </c>
    </row>
    <row r="437" spans="1:33" ht="11.25" customHeight="1" x14ac:dyDescent="0.25">
      <c r="A437" s="4" t="s">
        <v>21</v>
      </c>
      <c r="B437" s="4" t="s">
        <v>41</v>
      </c>
      <c r="C437" s="4" t="s">
        <v>23</v>
      </c>
      <c r="D437" s="4" t="s">
        <v>42</v>
      </c>
      <c r="E437" s="4" t="s">
        <v>52</v>
      </c>
      <c r="F437" s="4" t="s">
        <v>53</v>
      </c>
      <c r="G437" s="4" t="s">
        <v>25</v>
      </c>
      <c r="H437" s="4" t="s">
        <v>25</v>
      </c>
      <c r="I437" s="5">
        <v>44440</v>
      </c>
      <c r="J437" s="6">
        <v>0</v>
      </c>
      <c r="K437" s="6">
        <v>0</v>
      </c>
      <c r="L437" s="6">
        <v>3.6890000000000001</v>
      </c>
      <c r="M437" s="6">
        <v>3.6890000000000001</v>
      </c>
      <c r="N437" s="6">
        <v>3.6890000000000001</v>
      </c>
      <c r="O437" s="6">
        <v>3.6890000000000001</v>
      </c>
      <c r="P437" s="6">
        <v>0</v>
      </c>
      <c r="Q437" s="4" t="s">
        <v>26</v>
      </c>
      <c r="R437" s="4">
        <v>0</v>
      </c>
      <c r="S437" s="6">
        <v>0</v>
      </c>
      <c r="T437" s="6">
        <v>16</v>
      </c>
      <c r="U437" s="6">
        <v>54</v>
      </c>
      <c r="V437" s="6">
        <f>IF(ISERROR(VLOOKUP($S$437,'TAR FIN'!$A$1:$O$86,15,0)),0,VLOOKUP($S$437,'TAR FIN'!$A$1:$O$86,15,0))</f>
        <v>0</v>
      </c>
      <c r="W437" s="6">
        <f>IF(ISERROR(VLOOKUP($T$437,'TAR FIN'!$A$1:$O$86,15,0)),0,VLOOKUP($T$437,'TAR FIN'!$A$1:$O$86,15,0))</f>
        <v>297.89</v>
      </c>
      <c r="X437" s="6">
        <f>IF(ISERROR(VLOOKUP($U$437,'TAR FIN'!$A$1:$O$86,15,0)),0,VLOOKUP($U$437,'TAR FIN'!$A$1:$O$86,15,0))</f>
        <v>197.13</v>
      </c>
      <c r="Y437" s="6"/>
      <c r="Z437" s="6">
        <f ca="1">('TUSD BE'!$AM$33+'TUSD BF_350'!$AM$33+'TUSD CVA'!$AM$33)*(1-CUSTOS!$M$38)</f>
        <v>291.86059999999998</v>
      </c>
      <c r="AA437" s="6">
        <f ca="1">('TE BE'!$AB$24+'TE BF_350'!$AB$24+'TE CVA'!$AB$24)*(1-CUSTOS!$M$38)</f>
        <v>246.77819999999997</v>
      </c>
      <c r="AB437" s="6">
        <f>$K$437*$V$437</f>
        <v>0</v>
      </c>
      <c r="AC437" s="6">
        <f>$M$437*$W$437</f>
        <v>1098.9162099999999</v>
      </c>
      <c r="AD437" s="6">
        <f>$O$437*$X$437</f>
        <v>727.21257000000003</v>
      </c>
      <c r="AE437" s="6">
        <f>$K$437*$Y$437</f>
        <v>0</v>
      </c>
      <c r="AF437" s="6">
        <f ca="1">$M$437*$Z$437</f>
        <v>1076.6737533999999</v>
      </c>
      <c r="AG437" s="6">
        <f ca="1">$O$437*$AA$437</f>
        <v>910.36477979999995</v>
      </c>
    </row>
    <row r="438" spans="1:33" ht="11.25" customHeight="1" x14ac:dyDescent="0.25">
      <c r="A438" s="4" t="s">
        <v>21</v>
      </c>
      <c r="B438" s="4" t="s">
        <v>41</v>
      </c>
      <c r="C438" s="4" t="s">
        <v>23</v>
      </c>
      <c r="D438" s="4" t="s">
        <v>42</v>
      </c>
      <c r="E438" s="4" t="s">
        <v>52</v>
      </c>
      <c r="F438" s="4" t="s">
        <v>53</v>
      </c>
      <c r="G438" s="4" t="s">
        <v>25</v>
      </c>
      <c r="H438" s="4" t="s">
        <v>25</v>
      </c>
      <c r="I438" s="5">
        <v>44470</v>
      </c>
      <c r="J438" s="6">
        <v>0</v>
      </c>
      <c r="K438" s="6">
        <v>0</v>
      </c>
      <c r="L438" s="6">
        <v>1.538</v>
      </c>
      <c r="M438" s="6">
        <v>1.538</v>
      </c>
      <c r="N438" s="6">
        <v>1.538</v>
      </c>
      <c r="O438" s="6">
        <v>1.538</v>
      </c>
      <c r="P438" s="6">
        <v>0</v>
      </c>
      <c r="Q438" s="4" t="s">
        <v>26</v>
      </c>
      <c r="R438" s="4">
        <v>0</v>
      </c>
      <c r="S438" s="6">
        <v>0</v>
      </c>
      <c r="T438" s="6">
        <v>16</v>
      </c>
      <c r="U438" s="6">
        <v>54</v>
      </c>
      <c r="V438" s="6">
        <f>IF(ISERROR(VLOOKUP($S$438,'TAR FIN'!$A$1:$O$86,15,0)),0,VLOOKUP($S$438,'TAR FIN'!$A$1:$O$86,15,0))</f>
        <v>0</v>
      </c>
      <c r="W438" s="6">
        <f>IF(ISERROR(VLOOKUP($T$438,'TAR FIN'!$A$1:$O$86,15,0)),0,VLOOKUP($T$438,'TAR FIN'!$A$1:$O$86,15,0))</f>
        <v>297.89</v>
      </c>
      <c r="X438" s="6">
        <f>IF(ISERROR(VLOOKUP($U$438,'TAR FIN'!$A$1:$O$86,15,0)),0,VLOOKUP($U$438,'TAR FIN'!$A$1:$O$86,15,0))</f>
        <v>197.13</v>
      </c>
      <c r="Y438" s="6"/>
      <c r="Z438" s="6">
        <f ca="1">('TUSD BE'!$AM$33+'TUSD BF_350'!$AM$33+'TUSD CVA'!$AM$33)*(1-CUSTOS!$M$38)</f>
        <v>291.86059999999998</v>
      </c>
      <c r="AA438" s="6">
        <f ca="1">('TE BE'!$AB$24+'TE BF_350'!$AB$24+'TE CVA'!$AB$24)*(1-CUSTOS!$M$38)</f>
        <v>246.77819999999997</v>
      </c>
      <c r="AB438" s="6">
        <f>$K$438*$V$438</f>
        <v>0</v>
      </c>
      <c r="AC438" s="6">
        <f>$M$438*$W$438</f>
        <v>458.15481999999997</v>
      </c>
      <c r="AD438" s="6">
        <f>$O$438*$X$438</f>
        <v>303.18594000000002</v>
      </c>
      <c r="AE438" s="6">
        <f>$K$438*$Y$438</f>
        <v>0</v>
      </c>
      <c r="AF438" s="6">
        <f ca="1">$M$438*$Z$438</f>
        <v>448.8816028</v>
      </c>
      <c r="AG438" s="6">
        <f ca="1">$O$438*$AA$438</f>
        <v>379.54487159999996</v>
      </c>
    </row>
    <row r="439" spans="1:33" ht="11.25" customHeight="1" x14ac:dyDescent="0.25">
      <c r="A439" s="4" t="s">
        <v>21</v>
      </c>
      <c r="B439" s="4" t="s">
        <v>41</v>
      </c>
      <c r="C439" s="4" t="s">
        <v>23</v>
      </c>
      <c r="D439" s="4" t="s">
        <v>42</v>
      </c>
      <c r="E439" s="4" t="s">
        <v>52</v>
      </c>
      <c r="F439" s="4" t="s">
        <v>53</v>
      </c>
      <c r="G439" s="4" t="s">
        <v>25</v>
      </c>
      <c r="H439" s="4" t="s">
        <v>25</v>
      </c>
      <c r="I439" s="5">
        <v>44501</v>
      </c>
      <c r="J439" s="6">
        <v>0</v>
      </c>
      <c r="K439" s="6">
        <v>0</v>
      </c>
      <c r="L439" s="6">
        <v>2.7269999999999999</v>
      </c>
      <c r="M439" s="6">
        <v>2.7269999999999999</v>
      </c>
      <c r="N439" s="6">
        <v>2.7269999999999999</v>
      </c>
      <c r="O439" s="6">
        <v>2.7269999999999999</v>
      </c>
      <c r="P439" s="6">
        <v>0</v>
      </c>
      <c r="Q439" s="4" t="s">
        <v>26</v>
      </c>
      <c r="R439" s="4">
        <v>0</v>
      </c>
      <c r="S439" s="6">
        <v>0</v>
      </c>
      <c r="T439" s="6">
        <v>16</v>
      </c>
      <c r="U439" s="6">
        <v>54</v>
      </c>
      <c r="V439" s="6">
        <f>IF(ISERROR(VLOOKUP($S$439,'TAR FIN'!$A$1:$O$86,15,0)),0,VLOOKUP($S$439,'TAR FIN'!$A$1:$O$86,15,0))</f>
        <v>0</v>
      </c>
      <c r="W439" s="6">
        <f>IF(ISERROR(VLOOKUP($T$439,'TAR FIN'!$A$1:$O$86,15,0)),0,VLOOKUP($T$439,'TAR FIN'!$A$1:$O$86,15,0))</f>
        <v>297.89</v>
      </c>
      <c r="X439" s="6">
        <f>IF(ISERROR(VLOOKUP($U$439,'TAR FIN'!$A$1:$O$86,15,0)),0,VLOOKUP($U$439,'TAR FIN'!$A$1:$O$86,15,0))</f>
        <v>197.13</v>
      </c>
      <c r="Y439" s="6"/>
      <c r="Z439" s="6">
        <f ca="1">('TUSD BE'!$AM$33+'TUSD BF_350'!$AM$33+'TUSD CVA'!$AM$33)*(1-CUSTOS!$M$38)</f>
        <v>291.86059999999998</v>
      </c>
      <c r="AA439" s="6">
        <f ca="1">('TE BE'!$AB$24+'TE BF_350'!$AB$24+'TE CVA'!$AB$24)*(1-CUSTOS!$M$38)</f>
        <v>246.77819999999997</v>
      </c>
      <c r="AB439" s="6">
        <f>$K$439*$V$439</f>
        <v>0</v>
      </c>
      <c r="AC439" s="6">
        <f>$M$439*$W$439</f>
        <v>812.34602999999993</v>
      </c>
      <c r="AD439" s="6">
        <f>$O$439*$X$439</f>
        <v>537.57350999999994</v>
      </c>
      <c r="AE439" s="6">
        <f>$K$439*$Y$439</f>
        <v>0</v>
      </c>
      <c r="AF439" s="6">
        <f ca="1">$M$439*$Z$439</f>
        <v>795.90385619999995</v>
      </c>
      <c r="AG439" s="6">
        <f ca="1">$O$439*$AA$439</f>
        <v>672.96415139999988</v>
      </c>
    </row>
    <row r="440" spans="1:33" ht="11.25" customHeight="1" x14ac:dyDescent="0.25">
      <c r="A440" s="4" t="s">
        <v>21</v>
      </c>
      <c r="B440" s="4" t="s">
        <v>41</v>
      </c>
      <c r="C440" s="4" t="s">
        <v>23</v>
      </c>
      <c r="D440" s="4" t="s">
        <v>42</v>
      </c>
      <c r="E440" s="4" t="s">
        <v>52</v>
      </c>
      <c r="F440" s="4" t="s">
        <v>53</v>
      </c>
      <c r="G440" s="4" t="s">
        <v>25</v>
      </c>
      <c r="H440" s="4" t="s">
        <v>25</v>
      </c>
      <c r="I440" s="5">
        <v>44531</v>
      </c>
      <c r="J440" s="6">
        <v>0</v>
      </c>
      <c r="K440" s="6">
        <v>0</v>
      </c>
      <c r="L440" s="6">
        <v>8.2140000000000004</v>
      </c>
      <c r="M440" s="6">
        <v>8.2140000000000004</v>
      </c>
      <c r="N440" s="6">
        <v>8.2140000000000004</v>
      </c>
      <c r="O440" s="6">
        <v>8.2140000000000004</v>
      </c>
      <c r="P440" s="6">
        <v>0</v>
      </c>
      <c r="Q440" s="4" t="s">
        <v>26</v>
      </c>
      <c r="R440" s="4">
        <v>0</v>
      </c>
      <c r="S440" s="6">
        <v>0</v>
      </c>
      <c r="T440" s="6">
        <v>16</v>
      </c>
      <c r="U440" s="6">
        <v>54</v>
      </c>
      <c r="V440" s="6">
        <f>IF(ISERROR(VLOOKUP($S$440,'TAR FIN'!$A$1:$O$86,15,0)),0,VLOOKUP($S$440,'TAR FIN'!$A$1:$O$86,15,0))</f>
        <v>0</v>
      </c>
      <c r="W440" s="6">
        <f>IF(ISERROR(VLOOKUP($T$440,'TAR FIN'!$A$1:$O$86,15,0)),0,VLOOKUP($T$440,'TAR FIN'!$A$1:$O$86,15,0))</f>
        <v>297.89</v>
      </c>
      <c r="X440" s="6">
        <f>IF(ISERROR(VLOOKUP($U$440,'TAR FIN'!$A$1:$O$86,15,0)),0,VLOOKUP($U$440,'TAR FIN'!$A$1:$O$86,15,0))</f>
        <v>197.13</v>
      </c>
      <c r="Y440" s="6"/>
      <c r="Z440" s="6">
        <f ca="1">('TUSD BE'!$AM$33+'TUSD BF_350'!$AM$33+'TUSD CVA'!$AM$33)*(1-CUSTOS!$M$38)</f>
        <v>291.86059999999998</v>
      </c>
      <c r="AA440" s="6">
        <f ca="1">('TE BE'!$AB$24+'TE BF_350'!$AB$24+'TE CVA'!$AB$24)*(1-CUSTOS!$M$38)</f>
        <v>246.77819999999997</v>
      </c>
      <c r="AB440" s="6">
        <f>$K$440*$V$440</f>
        <v>0</v>
      </c>
      <c r="AC440" s="6">
        <f>$M$440*$W$440</f>
        <v>2446.8684600000001</v>
      </c>
      <c r="AD440" s="6">
        <f>$O$440*$X$440</f>
        <v>1619.2258200000001</v>
      </c>
      <c r="AE440" s="6">
        <f>$K$440*$Y$440</f>
        <v>0</v>
      </c>
      <c r="AF440" s="6">
        <f ca="1">$M$440*$Z$440</f>
        <v>2397.3429683999998</v>
      </c>
      <c r="AG440" s="6">
        <f ca="1">$O$440*$AA$440</f>
        <v>2027.0361347999999</v>
      </c>
    </row>
    <row r="441" spans="1:33" ht="11.25" customHeight="1" x14ac:dyDescent="0.25">
      <c r="A441" s="4" t="s">
        <v>27</v>
      </c>
      <c r="B441" s="4" t="s">
        <v>41</v>
      </c>
      <c r="C441" s="4" t="s">
        <v>23</v>
      </c>
      <c r="D441" s="4" t="s">
        <v>42</v>
      </c>
      <c r="E441" s="4" t="s">
        <v>52</v>
      </c>
      <c r="F441" s="4" t="s">
        <v>53</v>
      </c>
      <c r="G441" s="4" t="s">
        <v>25</v>
      </c>
      <c r="H441" s="4" t="s">
        <v>25</v>
      </c>
      <c r="I441" s="5">
        <v>44531</v>
      </c>
      <c r="J441" s="6">
        <v>0</v>
      </c>
      <c r="K441" s="6">
        <v>0</v>
      </c>
      <c r="L441" s="6">
        <v>-0.85299999999999998</v>
      </c>
      <c r="M441" s="6">
        <v>-0.85299999999999998</v>
      </c>
      <c r="N441" s="6">
        <v>-0.85299999999999998</v>
      </c>
      <c r="O441" s="6">
        <v>-0.85299999999999998</v>
      </c>
      <c r="P441" s="6">
        <v>0</v>
      </c>
      <c r="Q441" s="4" t="s">
        <v>26</v>
      </c>
      <c r="R441" s="4">
        <v>0</v>
      </c>
      <c r="S441" s="6">
        <v>0</v>
      </c>
      <c r="T441" s="6">
        <v>16</v>
      </c>
      <c r="U441" s="6">
        <v>54</v>
      </c>
      <c r="V441" s="6">
        <f>IF(ISERROR(VLOOKUP($S$441,'TAR FIN'!$A$1:$O$86,15,0)),0,VLOOKUP($S$441,'TAR FIN'!$A$1:$O$86,15,0))</f>
        <v>0</v>
      </c>
      <c r="W441" s="6">
        <f>IF(ISERROR(VLOOKUP($T$441,'TAR FIN'!$A$1:$O$86,15,0)),0,VLOOKUP($T$441,'TAR FIN'!$A$1:$O$86,15,0))</f>
        <v>297.89</v>
      </c>
      <c r="X441" s="6">
        <f>IF(ISERROR(VLOOKUP($U$441,'TAR FIN'!$A$1:$O$86,15,0)),0,VLOOKUP($U$441,'TAR FIN'!$A$1:$O$86,15,0))</f>
        <v>197.13</v>
      </c>
      <c r="Y441" s="6"/>
      <c r="Z441" s="6">
        <f ca="1">('TUSD BE'!$AM$33+'TUSD BF_350'!$AM$33+'TUSD CVA'!$AM$33)*(1-CUSTOS!$M$38)</f>
        <v>291.86059999999998</v>
      </c>
      <c r="AA441" s="6">
        <f ca="1">('TE BE'!$AB$24+'TE BF_350'!$AB$24+'TE CVA'!$AB$24)*(1-CUSTOS!$M$38)</f>
        <v>246.77819999999997</v>
      </c>
      <c r="AB441" s="6">
        <f>$K$441*$V$441</f>
        <v>0</v>
      </c>
      <c r="AC441" s="6">
        <f>$M$441*$W$441</f>
        <v>-254.10016999999999</v>
      </c>
      <c r="AD441" s="6">
        <f>$O$441*$X$441</f>
        <v>-168.15188999999998</v>
      </c>
      <c r="AE441" s="6">
        <f>$K$441*$Y$441</f>
        <v>0</v>
      </c>
      <c r="AF441" s="6">
        <f ca="1">$M$441*$Z$441</f>
        <v>-248.95709179999997</v>
      </c>
      <c r="AG441" s="6">
        <f ca="1">$O$441*$AA$441</f>
        <v>-210.50180459999996</v>
      </c>
    </row>
    <row r="442" spans="1:33" ht="11.25" customHeight="1" x14ac:dyDescent="0.25">
      <c r="A442" s="4" t="s">
        <v>21</v>
      </c>
      <c r="B442" s="4" t="s">
        <v>41</v>
      </c>
      <c r="C442" s="4" t="s">
        <v>23</v>
      </c>
      <c r="D442" s="4" t="s">
        <v>42</v>
      </c>
      <c r="E442" s="4" t="s">
        <v>52</v>
      </c>
      <c r="F442" s="4" t="s">
        <v>53</v>
      </c>
      <c r="G442" s="4" t="s">
        <v>25</v>
      </c>
      <c r="H442" s="4" t="s">
        <v>25</v>
      </c>
      <c r="I442" s="5">
        <v>44562</v>
      </c>
      <c r="J442" s="6">
        <v>0</v>
      </c>
      <c r="K442" s="6">
        <v>0</v>
      </c>
      <c r="L442" s="6">
        <v>5.101</v>
      </c>
      <c r="M442" s="6">
        <v>5.101</v>
      </c>
      <c r="N442" s="6">
        <v>5.101</v>
      </c>
      <c r="O442" s="6">
        <v>5.101</v>
      </c>
      <c r="P442" s="6">
        <v>0</v>
      </c>
      <c r="Q442" s="4" t="s">
        <v>26</v>
      </c>
      <c r="R442" s="4">
        <v>0</v>
      </c>
      <c r="S442" s="6">
        <v>0</v>
      </c>
      <c r="T442" s="6">
        <v>16</v>
      </c>
      <c r="U442" s="6">
        <v>54</v>
      </c>
      <c r="V442" s="6">
        <f>IF(ISERROR(VLOOKUP($S$442,'TAR FIN'!$A$1:$O$86,15,0)),0,VLOOKUP($S$442,'TAR FIN'!$A$1:$O$86,15,0))</f>
        <v>0</v>
      </c>
      <c r="W442" s="6">
        <f>IF(ISERROR(VLOOKUP($T$442,'TAR FIN'!$A$1:$O$86,15,0)),0,VLOOKUP($T$442,'TAR FIN'!$A$1:$O$86,15,0))</f>
        <v>297.89</v>
      </c>
      <c r="X442" s="6">
        <f>IF(ISERROR(VLOOKUP($U$442,'TAR FIN'!$A$1:$O$86,15,0)),0,VLOOKUP($U$442,'TAR FIN'!$A$1:$O$86,15,0))</f>
        <v>197.13</v>
      </c>
      <c r="Y442" s="6"/>
      <c r="Z442" s="6">
        <f ca="1">('TUSD BE'!$AM$33+'TUSD BF_350'!$AM$33+'TUSD CVA'!$AM$33)*(1-CUSTOS!$M$38)</f>
        <v>291.86059999999998</v>
      </c>
      <c r="AA442" s="6">
        <f ca="1">('TE BE'!$AB$24+'TE BF_350'!$AB$24+'TE CVA'!$AB$24)*(1-CUSTOS!$M$38)</f>
        <v>246.77819999999997</v>
      </c>
      <c r="AB442" s="6">
        <f>$K$442*$V$442</f>
        <v>0</v>
      </c>
      <c r="AC442" s="6">
        <f>$M$442*$W$442</f>
        <v>1519.5368899999999</v>
      </c>
      <c r="AD442" s="6">
        <f>$O$442*$X$442</f>
        <v>1005.56013</v>
      </c>
      <c r="AE442" s="6">
        <f>$K$442*$Y$442</f>
        <v>0</v>
      </c>
      <c r="AF442" s="6">
        <f ca="1">$M$442*$Z$442</f>
        <v>1488.7809205999999</v>
      </c>
      <c r="AG442" s="6">
        <f ca="1">$O$442*$AA$442</f>
        <v>1258.8155981999998</v>
      </c>
    </row>
    <row r="443" spans="1:33" ht="11.25" customHeight="1" x14ac:dyDescent="0.25">
      <c r="A443" s="4" t="s">
        <v>27</v>
      </c>
      <c r="B443" s="4" t="s">
        <v>41</v>
      </c>
      <c r="C443" s="4" t="s">
        <v>23</v>
      </c>
      <c r="D443" s="4" t="s">
        <v>42</v>
      </c>
      <c r="E443" s="4" t="s">
        <v>52</v>
      </c>
      <c r="F443" s="4" t="s">
        <v>53</v>
      </c>
      <c r="G443" s="4" t="s">
        <v>25</v>
      </c>
      <c r="H443" s="4" t="s">
        <v>25</v>
      </c>
      <c r="I443" s="5">
        <v>44562</v>
      </c>
      <c r="J443" s="6">
        <v>0</v>
      </c>
      <c r="K443" s="6">
        <v>0</v>
      </c>
      <c r="L443" s="6">
        <v>-2.6259999999999999</v>
      </c>
      <c r="M443" s="6">
        <v>-2.6259999999999999</v>
      </c>
      <c r="N443" s="6">
        <v>-2.6259999999999999</v>
      </c>
      <c r="O443" s="6">
        <v>-2.6259999999999999</v>
      </c>
      <c r="P443" s="6">
        <v>0</v>
      </c>
      <c r="Q443" s="4" t="s">
        <v>26</v>
      </c>
      <c r="R443" s="4">
        <v>0</v>
      </c>
      <c r="S443" s="6">
        <v>0</v>
      </c>
      <c r="T443" s="6">
        <v>16</v>
      </c>
      <c r="U443" s="6">
        <v>54</v>
      </c>
      <c r="V443" s="6">
        <f>IF(ISERROR(VLOOKUP($S$443,'TAR FIN'!$A$1:$O$86,15,0)),0,VLOOKUP($S$443,'TAR FIN'!$A$1:$O$86,15,0))</f>
        <v>0</v>
      </c>
      <c r="W443" s="6">
        <f>IF(ISERROR(VLOOKUP($T$443,'TAR FIN'!$A$1:$O$86,15,0)),0,VLOOKUP($T$443,'TAR FIN'!$A$1:$O$86,15,0))</f>
        <v>297.89</v>
      </c>
      <c r="X443" s="6">
        <f>IF(ISERROR(VLOOKUP($U$443,'TAR FIN'!$A$1:$O$86,15,0)),0,VLOOKUP($U$443,'TAR FIN'!$A$1:$O$86,15,0))</f>
        <v>197.13</v>
      </c>
      <c r="Y443" s="6"/>
      <c r="Z443" s="6">
        <f ca="1">('TUSD BE'!$AM$33+'TUSD BF_350'!$AM$33+'TUSD CVA'!$AM$33)*(1-CUSTOS!$M$38)</f>
        <v>291.86059999999998</v>
      </c>
      <c r="AA443" s="6">
        <f ca="1">('TE BE'!$AB$24+'TE BF_350'!$AB$24+'TE CVA'!$AB$24)*(1-CUSTOS!$M$38)</f>
        <v>246.77819999999997</v>
      </c>
      <c r="AB443" s="6">
        <f>$K$443*$V$443</f>
        <v>0</v>
      </c>
      <c r="AC443" s="6">
        <f>$M$443*$W$443</f>
        <v>-782.25913999999989</v>
      </c>
      <c r="AD443" s="6">
        <f>$O$443*$X$443</f>
        <v>-517.66337999999996</v>
      </c>
      <c r="AE443" s="6">
        <f>$K$443*$Y$443</f>
        <v>0</v>
      </c>
      <c r="AF443" s="6">
        <f ca="1">$M$443*$Z$443</f>
        <v>-766.42593559999989</v>
      </c>
      <c r="AG443" s="6">
        <f ca="1">$O$443*$AA$443</f>
        <v>-648.03955319999989</v>
      </c>
    </row>
    <row r="444" spans="1:33" ht="11.25" customHeight="1" x14ac:dyDescent="0.25">
      <c r="A444" s="4" t="s">
        <v>21</v>
      </c>
      <c r="B444" s="4" t="s">
        <v>41</v>
      </c>
      <c r="C444" s="4" t="s">
        <v>23</v>
      </c>
      <c r="D444" s="4" t="s">
        <v>42</v>
      </c>
      <c r="E444" s="4" t="s">
        <v>52</v>
      </c>
      <c r="F444" s="4" t="s">
        <v>53</v>
      </c>
      <c r="G444" s="4" t="s">
        <v>25</v>
      </c>
      <c r="H444" s="4" t="s">
        <v>25</v>
      </c>
      <c r="I444" s="5">
        <v>44593</v>
      </c>
      <c r="J444" s="6">
        <v>0</v>
      </c>
      <c r="K444" s="6">
        <v>0</v>
      </c>
      <c r="L444" s="6">
        <v>4.117</v>
      </c>
      <c r="M444" s="6">
        <v>4.117</v>
      </c>
      <c r="N444" s="6">
        <v>4.117</v>
      </c>
      <c r="O444" s="6">
        <v>4.117</v>
      </c>
      <c r="P444" s="6">
        <v>0</v>
      </c>
      <c r="Q444" s="4" t="s">
        <v>26</v>
      </c>
      <c r="R444" s="4">
        <v>0</v>
      </c>
      <c r="S444" s="6">
        <v>0</v>
      </c>
      <c r="T444" s="6">
        <v>16</v>
      </c>
      <c r="U444" s="6">
        <v>54</v>
      </c>
      <c r="V444" s="6">
        <f>IF(ISERROR(VLOOKUP($S$444,'TAR FIN'!$A$1:$O$86,15,0)),0,VLOOKUP($S$444,'TAR FIN'!$A$1:$O$86,15,0))</f>
        <v>0</v>
      </c>
      <c r="W444" s="6">
        <f>IF(ISERROR(VLOOKUP($T$444,'TAR FIN'!$A$1:$O$86,15,0)),0,VLOOKUP($T$444,'TAR FIN'!$A$1:$O$86,15,0))</f>
        <v>297.89</v>
      </c>
      <c r="X444" s="6">
        <f>IF(ISERROR(VLOOKUP($U$444,'TAR FIN'!$A$1:$O$86,15,0)),0,VLOOKUP($U$444,'TAR FIN'!$A$1:$O$86,15,0))</f>
        <v>197.13</v>
      </c>
      <c r="Y444" s="6"/>
      <c r="Z444" s="6">
        <f ca="1">('TUSD BE'!$AM$33+'TUSD BF_350'!$AM$33+'TUSD CVA'!$AM$33)*(1-CUSTOS!$M$38)</f>
        <v>291.86059999999998</v>
      </c>
      <c r="AA444" s="6">
        <f ca="1">('TE BE'!$AB$24+'TE BF_350'!$AB$24+'TE CVA'!$AB$24)*(1-CUSTOS!$M$38)</f>
        <v>246.77819999999997</v>
      </c>
      <c r="AB444" s="6">
        <f>$K$444*$V$444</f>
        <v>0</v>
      </c>
      <c r="AC444" s="6">
        <f>$M$444*$W$444</f>
        <v>1226.4131299999999</v>
      </c>
      <c r="AD444" s="6">
        <f>$O$444*$X$444</f>
        <v>811.58420999999998</v>
      </c>
      <c r="AE444" s="6">
        <f>$K$444*$Y$444</f>
        <v>0</v>
      </c>
      <c r="AF444" s="6">
        <f ca="1">$M$444*$Z$444</f>
        <v>1201.5900901999998</v>
      </c>
      <c r="AG444" s="6">
        <f ca="1">$O$444*$AA$444</f>
        <v>1015.9858493999999</v>
      </c>
    </row>
    <row r="445" spans="1:33" ht="11.25" customHeight="1" x14ac:dyDescent="0.25">
      <c r="A445" s="4" t="s">
        <v>21</v>
      </c>
      <c r="B445" s="4" t="s">
        <v>41</v>
      </c>
      <c r="C445" s="4" t="s">
        <v>23</v>
      </c>
      <c r="D445" s="4" t="s">
        <v>42</v>
      </c>
      <c r="E445" s="4" t="s">
        <v>52</v>
      </c>
      <c r="F445" s="4" t="s">
        <v>53</v>
      </c>
      <c r="G445" s="4" t="s">
        <v>25</v>
      </c>
      <c r="H445" s="4" t="s">
        <v>25</v>
      </c>
      <c r="I445" s="5">
        <v>44621</v>
      </c>
      <c r="J445" s="6">
        <v>0</v>
      </c>
      <c r="K445" s="6">
        <v>0</v>
      </c>
      <c r="L445" s="6">
        <v>1.5509999999999999</v>
      </c>
      <c r="M445" s="6">
        <v>1.5509999999999999</v>
      </c>
      <c r="N445" s="6">
        <v>1.5509999999999999</v>
      </c>
      <c r="O445" s="6">
        <v>1.5509999999999999</v>
      </c>
      <c r="P445" s="6">
        <v>0</v>
      </c>
      <c r="Q445" s="4" t="s">
        <v>26</v>
      </c>
      <c r="R445" s="4">
        <v>0</v>
      </c>
      <c r="S445" s="6">
        <v>0</v>
      </c>
      <c r="T445" s="6">
        <v>16</v>
      </c>
      <c r="U445" s="6">
        <v>54</v>
      </c>
      <c r="V445" s="6">
        <f>IF(ISERROR(VLOOKUP($S$445,'TAR FIN'!$A$1:$O$86,15,0)),0,VLOOKUP($S$445,'TAR FIN'!$A$1:$O$86,15,0))</f>
        <v>0</v>
      </c>
      <c r="W445" s="6">
        <f>IF(ISERROR(VLOOKUP($T$445,'TAR FIN'!$A$1:$O$86,15,0)),0,VLOOKUP($T$445,'TAR FIN'!$A$1:$O$86,15,0))</f>
        <v>297.89</v>
      </c>
      <c r="X445" s="6">
        <f>IF(ISERROR(VLOOKUP($U$445,'TAR FIN'!$A$1:$O$86,15,0)),0,VLOOKUP($U$445,'TAR FIN'!$A$1:$O$86,15,0))</f>
        <v>197.13</v>
      </c>
      <c r="Y445" s="6"/>
      <c r="Z445" s="6">
        <f ca="1">('TUSD BE'!$AM$33+'TUSD BF_350'!$AM$33+'TUSD CVA'!$AM$33)*(1-CUSTOS!$M$38)</f>
        <v>291.86059999999998</v>
      </c>
      <c r="AA445" s="6">
        <f ca="1">('TE BE'!$AB$24+'TE BF_350'!$AB$24+'TE CVA'!$AB$24)*(1-CUSTOS!$M$38)</f>
        <v>246.77819999999997</v>
      </c>
      <c r="AB445" s="6">
        <f>$K$445*$V$445</f>
        <v>0</v>
      </c>
      <c r="AC445" s="6">
        <f>$M$445*$W$445</f>
        <v>462.02738999999997</v>
      </c>
      <c r="AD445" s="6">
        <f>$O$445*$X$445</f>
        <v>305.74862999999999</v>
      </c>
      <c r="AE445" s="6">
        <f>$K$445*$Y$445</f>
        <v>0</v>
      </c>
      <c r="AF445" s="6">
        <f ca="1">$M$445*$Z$445</f>
        <v>452.67579059999997</v>
      </c>
      <c r="AG445" s="6">
        <f ca="1">$O$445*$AA$445</f>
        <v>382.75298819999995</v>
      </c>
    </row>
    <row r="446" spans="1:33" ht="11.25" customHeight="1" x14ac:dyDescent="0.25">
      <c r="A446" s="4" t="s">
        <v>21</v>
      </c>
      <c r="B446" s="4" t="s">
        <v>41</v>
      </c>
      <c r="C446" s="4" t="s">
        <v>23</v>
      </c>
      <c r="D446" s="4" t="s">
        <v>42</v>
      </c>
      <c r="E446" s="4" t="s">
        <v>52</v>
      </c>
      <c r="F446" s="4" t="s">
        <v>53</v>
      </c>
      <c r="G446" s="4" t="s">
        <v>25</v>
      </c>
      <c r="H446" s="4" t="s">
        <v>25</v>
      </c>
      <c r="I446" s="5">
        <v>44652</v>
      </c>
      <c r="J446" s="6">
        <v>0</v>
      </c>
      <c r="K446" s="6">
        <v>0</v>
      </c>
      <c r="L446" s="6">
        <v>1.1870000000000001</v>
      </c>
      <c r="M446" s="6">
        <v>1.1870000000000001</v>
      </c>
      <c r="N446" s="6">
        <v>1.1870000000000001</v>
      </c>
      <c r="O446" s="6">
        <v>1.1870000000000001</v>
      </c>
      <c r="P446" s="6">
        <v>0</v>
      </c>
      <c r="Q446" s="4" t="s">
        <v>26</v>
      </c>
      <c r="R446" s="4">
        <v>0</v>
      </c>
      <c r="S446" s="6">
        <v>0</v>
      </c>
      <c r="T446" s="6">
        <v>16</v>
      </c>
      <c r="U446" s="6">
        <v>54</v>
      </c>
      <c r="V446" s="6">
        <f>IF(ISERROR(VLOOKUP($S$446,'TAR FIN'!$A$1:$O$86,15,0)),0,VLOOKUP($S$446,'TAR FIN'!$A$1:$O$86,15,0))</f>
        <v>0</v>
      </c>
      <c r="W446" s="6">
        <f>IF(ISERROR(VLOOKUP($T$446,'TAR FIN'!$A$1:$O$86,15,0)),0,VLOOKUP($T$446,'TAR FIN'!$A$1:$O$86,15,0))</f>
        <v>297.89</v>
      </c>
      <c r="X446" s="6">
        <f>IF(ISERROR(VLOOKUP($U$446,'TAR FIN'!$A$1:$O$86,15,0)),0,VLOOKUP($U$446,'TAR FIN'!$A$1:$O$86,15,0))</f>
        <v>197.13</v>
      </c>
      <c r="Y446" s="6"/>
      <c r="Z446" s="6">
        <f ca="1">('TUSD BE'!$AM$33+'TUSD BF_350'!$AM$33+'TUSD CVA'!$AM$33)*(1-CUSTOS!$M$38)</f>
        <v>291.86059999999998</v>
      </c>
      <c r="AA446" s="6">
        <f ca="1">('TE BE'!$AB$24+'TE BF_350'!$AB$24+'TE CVA'!$AB$24)*(1-CUSTOS!$M$38)</f>
        <v>246.77819999999997</v>
      </c>
      <c r="AB446" s="6">
        <f>$K$446*$V$446</f>
        <v>0</v>
      </c>
      <c r="AC446" s="6">
        <f>$M$446*$W$446</f>
        <v>353.59543000000002</v>
      </c>
      <c r="AD446" s="6">
        <f>$O$446*$X$446</f>
        <v>233.99331000000001</v>
      </c>
      <c r="AE446" s="6">
        <f>$K$446*$Y$446</f>
        <v>0</v>
      </c>
      <c r="AF446" s="6">
        <f ca="1">$M$446*$Z$446</f>
        <v>346.4385322</v>
      </c>
      <c r="AG446" s="6">
        <f ca="1">$O$446*$AA$446</f>
        <v>292.92572339999998</v>
      </c>
    </row>
    <row r="447" spans="1:33" ht="11.25" customHeight="1" x14ac:dyDescent="0.25">
      <c r="A447" s="4" t="s">
        <v>21</v>
      </c>
      <c r="B447" s="4" t="s">
        <v>41</v>
      </c>
      <c r="C447" s="4" t="s">
        <v>23</v>
      </c>
      <c r="D447" s="4" t="s">
        <v>42</v>
      </c>
      <c r="E447" s="4" t="s">
        <v>52</v>
      </c>
      <c r="F447" s="4" t="s">
        <v>53</v>
      </c>
      <c r="G447" s="4" t="s">
        <v>25</v>
      </c>
      <c r="H447" s="4" t="s">
        <v>25</v>
      </c>
      <c r="I447" s="5">
        <v>44682</v>
      </c>
      <c r="J447" s="6">
        <v>0</v>
      </c>
      <c r="K447" s="6">
        <v>0</v>
      </c>
      <c r="L447" s="6">
        <v>0.27300000000000002</v>
      </c>
      <c r="M447" s="6">
        <v>0.27300000000000002</v>
      </c>
      <c r="N447" s="6">
        <v>0.27300000000000002</v>
      </c>
      <c r="O447" s="6">
        <v>0.27300000000000002</v>
      </c>
      <c r="P447" s="6">
        <v>0</v>
      </c>
      <c r="Q447" s="4" t="s">
        <v>26</v>
      </c>
      <c r="R447" s="4">
        <v>0</v>
      </c>
      <c r="S447" s="6">
        <v>0</v>
      </c>
      <c r="T447" s="6">
        <v>16</v>
      </c>
      <c r="U447" s="6">
        <v>54</v>
      </c>
      <c r="V447" s="6">
        <f>IF(ISERROR(VLOOKUP($S$447,'TAR FIN'!$A$1:$O$86,15,0)),0,VLOOKUP($S$447,'TAR FIN'!$A$1:$O$86,15,0))</f>
        <v>0</v>
      </c>
      <c r="W447" s="6">
        <f>IF(ISERROR(VLOOKUP($T$447,'TAR FIN'!$A$1:$O$86,15,0)),0,VLOOKUP($T$447,'TAR FIN'!$A$1:$O$86,15,0))</f>
        <v>297.89</v>
      </c>
      <c r="X447" s="6">
        <f>IF(ISERROR(VLOOKUP($U$447,'TAR FIN'!$A$1:$O$86,15,0)),0,VLOOKUP($U$447,'TAR FIN'!$A$1:$O$86,15,0))</f>
        <v>197.13</v>
      </c>
      <c r="Y447" s="6"/>
      <c r="Z447" s="6">
        <f ca="1">('TUSD BE'!$AM$33+'TUSD BF_350'!$AM$33+'TUSD CVA'!$AM$33)*(1-CUSTOS!$M$38)</f>
        <v>291.86059999999998</v>
      </c>
      <c r="AA447" s="6">
        <f ca="1">('TE BE'!$AB$24+'TE BF_350'!$AB$24+'TE CVA'!$AB$24)*(1-CUSTOS!$M$38)</f>
        <v>246.77819999999997</v>
      </c>
      <c r="AB447" s="6">
        <f>$K$447*$V$447</f>
        <v>0</v>
      </c>
      <c r="AC447" s="6">
        <f>$M$447*$W$447</f>
        <v>81.323970000000003</v>
      </c>
      <c r="AD447" s="6">
        <f>$O$447*$X$447</f>
        <v>53.816490000000002</v>
      </c>
      <c r="AE447" s="6">
        <f>$K$447*$Y$447</f>
        <v>0</v>
      </c>
      <c r="AF447" s="6">
        <f ca="1">$M$447*$Z$447</f>
        <v>79.677943799999994</v>
      </c>
      <c r="AG447" s="6">
        <f ca="1">$O$447*$AA$447</f>
        <v>67.370448600000003</v>
      </c>
    </row>
    <row r="448" spans="1:33" ht="11.25" customHeight="1" x14ac:dyDescent="0.25">
      <c r="A448" s="4" t="s">
        <v>27</v>
      </c>
      <c r="B448" s="4" t="s">
        <v>41</v>
      </c>
      <c r="C448" s="4" t="s">
        <v>23</v>
      </c>
      <c r="D448" s="4" t="s">
        <v>42</v>
      </c>
      <c r="E448" s="4" t="s">
        <v>52</v>
      </c>
      <c r="F448" s="4" t="s">
        <v>53</v>
      </c>
      <c r="G448" s="4" t="s">
        <v>25</v>
      </c>
      <c r="H448" s="4" t="s">
        <v>25</v>
      </c>
      <c r="I448" s="5">
        <v>44682</v>
      </c>
      <c r="J448" s="6">
        <v>0</v>
      </c>
      <c r="K448" s="6">
        <v>0</v>
      </c>
      <c r="L448" s="6">
        <v>-0.33600000000000002</v>
      </c>
      <c r="M448" s="6">
        <v>-0.33600000000000002</v>
      </c>
      <c r="N448" s="6">
        <v>-0.33600000000000002</v>
      </c>
      <c r="O448" s="6">
        <v>-0.33600000000000002</v>
      </c>
      <c r="P448" s="6">
        <v>0</v>
      </c>
      <c r="Q448" s="4" t="s">
        <v>26</v>
      </c>
      <c r="R448" s="4">
        <v>0</v>
      </c>
      <c r="S448" s="6">
        <v>0</v>
      </c>
      <c r="T448" s="6">
        <v>16</v>
      </c>
      <c r="U448" s="6">
        <v>54</v>
      </c>
      <c r="V448" s="6">
        <f>IF(ISERROR(VLOOKUP($S$448,'TAR FIN'!$A$1:$O$86,15,0)),0,VLOOKUP($S$448,'TAR FIN'!$A$1:$O$86,15,0))</f>
        <v>0</v>
      </c>
      <c r="W448" s="6">
        <f>IF(ISERROR(VLOOKUP($T$448,'TAR FIN'!$A$1:$O$86,15,0)),0,VLOOKUP($T$448,'TAR FIN'!$A$1:$O$86,15,0))</f>
        <v>297.89</v>
      </c>
      <c r="X448" s="6">
        <f>IF(ISERROR(VLOOKUP($U$448,'TAR FIN'!$A$1:$O$86,15,0)),0,VLOOKUP($U$448,'TAR FIN'!$A$1:$O$86,15,0))</f>
        <v>197.13</v>
      </c>
      <c r="Y448" s="6"/>
      <c r="Z448" s="6">
        <f ca="1">('TUSD BE'!$AM$33+'TUSD BF_350'!$AM$33+'TUSD CVA'!$AM$33)*(1-CUSTOS!$M$38)</f>
        <v>291.86059999999998</v>
      </c>
      <c r="AA448" s="6">
        <f ca="1">('TE BE'!$AB$24+'TE BF_350'!$AB$24+'TE CVA'!$AB$24)*(1-CUSTOS!$M$38)</f>
        <v>246.77819999999997</v>
      </c>
      <c r="AB448" s="6">
        <f>$K$448*$V$448</f>
        <v>0</v>
      </c>
      <c r="AC448" s="6">
        <f>$M$448*$W$448</f>
        <v>-100.09104000000001</v>
      </c>
      <c r="AD448" s="6">
        <f>$O$448*$X$448</f>
        <v>-66.235680000000002</v>
      </c>
      <c r="AE448" s="6">
        <f>$K$448*$Y$448</f>
        <v>0</v>
      </c>
      <c r="AF448" s="6">
        <f ca="1">$M$448*$Z$448</f>
        <v>-98.065161599999996</v>
      </c>
      <c r="AG448" s="6">
        <f ca="1">$O$448*$AA$448</f>
        <v>-82.917475199999998</v>
      </c>
    </row>
    <row r="449" spans="1:33" ht="11.25" customHeight="1" x14ac:dyDescent="0.25">
      <c r="A449" s="4" t="s">
        <v>21</v>
      </c>
      <c r="B449" s="4" t="s">
        <v>41</v>
      </c>
      <c r="C449" s="4" t="s">
        <v>23</v>
      </c>
      <c r="D449" s="4" t="s">
        <v>42</v>
      </c>
      <c r="E449" s="4" t="s">
        <v>52</v>
      </c>
      <c r="F449" s="4" t="s">
        <v>53</v>
      </c>
      <c r="G449" s="4" t="s">
        <v>25</v>
      </c>
      <c r="H449" s="4" t="s">
        <v>25</v>
      </c>
      <c r="I449" s="5">
        <v>44713</v>
      </c>
      <c r="J449" s="6">
        <v>0</v>
      </c>
      <c r="K449" s="6">
        <v>0</v>
      </c>
      <c r="L449" s="6">
        <v>0.17699999999999999</v>
      </c>
      <c r="M449" s="6">
        <v>0.17699999999999999</v>
      </c>
      <c r="N449" s="6">
        <v>0.17699999999999999</v>
      </c>
      <c r="O449" s="6">
        <v>0.17699999999999999</v>
      </c>
      <c r="P449" s="6">
        <v>0</v>
      </c>
      <c r="Q449" s="4" t="s">
        <v>26</v>
      </c>
      <c r="R449" s="4">
        <v>0</v>
      </c>
      <c r="S449" s="6">
        <v>0</v>
      </c>
      <c r="T449" s="6">
        <v>16</v>
      </c>
      <c r="U449" s="6">
        <v>54</v>
      </c>
      <c r="V449" s="6">
        <f>IF(ISERROR(VLOOKUP($S$449,'TAR FIN'!$A$1:$O$86,15,0)),0,VLOOKUP($S$449,'TAR FIN'!$A$1:$O$86,15,0))</f>
        <v>0</v>
      </c>
      <c r="W449" s="6">
        <f>IF(ISERROR(VLOOKUP($T$449,'TAR FIN'!$A$1:$O$86,15,0)),0,VLOOKUP($T$449,'TAR FIN'!$A$1:$O$86,15,0))</f>
        <v>297.89</v>
      </c>
      <c r="X449" s="6">
        <f>IF(ISERROR(VLOOKUP($U$449,'TAR FIN'!$A$1:$O$86,15,0)),0,VLOOKUP($U$449,'TAR FIN'!$A$1:$O$86,15,0))</f>
        <v>197.13</v>
      </c>
      <c r="Y449" s="6"/>
      <c r="Z449" s="6">
        <f ca="1">('TUSD BE'!$AM$33+'TUSD BF_350'!$AM$33+'TUSD CVA'!$AM$33)*(1-CUSTOS!$M$38)</f>
        <v>291.86059999999998</v>
      </c>
      <c r="AA449" s="6">
        <f ca="1">('TE BE'!$AB$24+'TE BF_350'!$AB$24+'TE CVA'!$AB$24)*(1-CUSTOS!$M$38)</f>
        <v>246.77819999999997</v>
      </c>
      <c r="AB449" s="6">
        <f>$K$449*$V$449</f>
        <v>0</v>
      </c>
      <c r="AC449" s="6">
        <f>$M$449*$W$449</f>
        <v>52.726529999999997</v>
      </c>
      <c r="AD449" s="6">
        <f>$O$449*$X$449</f>
        <v>34.892009999999999</v>
      </c>
      <c r="AE449" s="6">
        <f>$K$449*$Y$449</f>
        <v>0</v>
      </c>
      <c r="AF449" s="6">
        <f ca="1">$M$449*$Z$449</f>
        <v>51.659326199999995</v>
      </c>
      <c r="AG449" s="6">
        <f ca="1">$O$449*$AA$449</f>
        <v>43.67974139999999</v>
      </c>
    </row>
    <row r="450" spans="1:33" ht="11.25" customHeight="1" x14ac:dyDescent="0.25">
      <c r="A450" s="4" t="s">
        <v>55</v>
      </c>
      <c r="B450" s="4" t="s">
        <v>41</v>
      </c>
      <c r="C450" s="4" t="s">
        <v>23</v>
      </c>
      <c r="D450" s="4" t="s">
        <v>42</v>
      </c>
      <c r="E450" s="4" t="s">
        <v>52</v>
      </c>
      <c r="F450" s="4" t="s">
        <v>53</v>
      </c>
      <c r="G450" s="4" t="s">
        <v>25</v>
      </c>
      <c r="H450" s="4" t="s">
        <v>25</v>
      </c>
      <c r="I450" s="5">
        <v>44743</v>
      </c>
      <c r="J450" s="6">
        <v>0</v>
      </c>
      <c r="K450" s="6">
        <v>0</v>
      </c>
      <c r="L450" s="6">
        <v>0.17699999999999999</v>
      </c>
      <c r="M450" s="6">
        <v>0.17699999999999999</v>
      </c>
      <c r="N450" s="6">
        <v>0.17699999999999999</v>
      </c>
      <c r="O450" s="6">
        <v>0.17699999999999999</v>
      </c>
      <c r="P450" s="6">
        <v>0</v>
      </c>
      <c r="Q450" s="4" t="s">
        <v>26</v>
      </c>
      <c r="R450" s="4">
        <v>0</v>
      </c>
      <c r="S450" s="6">
        <v>0</v>
      </c>
      <c r="T450" s="6">
        <v>16</v>
      </c>
      <c r="U450" s="6">
        <v>54</v>
      </c>
      <c r="V450" s="6">
        <f>IF(ISERROR(VLOOKUP($S$450,'TAR FIN'!$A$1:$O$86,15,0)),0,VLOOKUP($S$450,'TAR FIN'!$A$1:$O$86,15,0))</f>
        <v>0</v>
      </c>
      <c r="W450" s="6">
        <f>IF(ISERROR(VLOOKUP($T$450,'TAR FIN'!$A$1:$O$86,15,0)),0,VLOOKUP($T$450,'TAR FIN'!$A$1:$O$86,15,0))</f>
        <v>297.89</v>
      </c>
      <c r="X450" s="6">
        <f>IF(ISERROR(VLOOKUP($U$450,'TAR FIN'!$A$1:$O$86,15,0)),0,VLOOKUP($U$450,'TAR FIN'!$A$1:$O$86,15,0))</f>
        <v>197.13</v>
      </c>
      <c r="Y450" s="6"/>
      <c r="Z450" s="6">
        <f ca="1">('TUSD BE'!$AM$33+'TUSD BF_350'!$AM$33+'TUSD CVA'!$AM$33)*(1-CUSTOS!$M$38)</f>
        <v>291.86059999999998</v>
      </c>
      <c r="AA450" s="6">
        <f ca="1">('TE BE'!$AB$24+'TE BF_350'!$AB$24+'TE CVA'!$AB$24)*(1-CUSTOS!$M$38)</f>
        <v>246.77819999999997</v>
      </c>
      <c r="AB450" s="6">
        <f>$K$450*$V$450</f>
        <v>0</v>
      </c>
      <c r="AC450" s="6">
        <f>$M$450*$W$450</f>
        <v>52.726529999999997</v>
      </c>
      <c r="AD450" s="6">
        <f>$O$450*$X$450</f>
        <v>34.892009999999999</v>
      </c>
      <c r="AE450" s="6">
        <f>$K$450*$Y$450</f>
        <v>0</v>
      </c>
      <c r="AF450" s="6">
        <f ca="1">$M$450*$Z$450</f>
        <v>51.659326199999995</v>
      </c>
      <c r="AG450" s="6">
        <f ca="1">$O$450*$AA$450</f>
        <v>43.67974139999999</v>
      </c>
    </row>
    <row r="451" spans="1:33" ht="11.25" customHeight="1" x14ac:dyDescent="0.25">
      <c r="A451" s="4" t="s">
        <v>21</v>
      </c>
      <c r="B451" s="4" t="s">
        <v>41</v>
      </c>
      <c r="C451" s="4" t="s">
        <v>23</v>
      </c>
      <c r="D451" s="4" t="s">
        <v>42</v>
      </c>
      <c r="E451" s="4" t="s">
        <v>52</v>
      </c>
      <c r="F451" s="4" t="s">
        <v>54</v>
      </c>
      <c r="G451" s="4" t="s">
        <v>25</v>
      </c>
      <c r="H451" s="4" t="s">
        <v>25</v>
      </c>
      <c r="I451" s="5">
        <v>44409</v>
      </c>
      <c r="J451" s="6">
        <v>0</v>
      </c>
      <c r="K451" s="6">
        <v>0</v>
      </c>
      <c r="L451" s="6">
        <v>1.3129999999999999</v>
      </c>
      <c r="M451" s="6">
        <v>0.5252</v>
      </c>
      <c r="N451" s="6">
        <v>1.3129999999999999</v>
      </c>
      <c r="O451" s="6">
        <v>0.5252</v>
      </c>
      <c r="P451" s="6">
        <v>0</v>
      </c>
      <c r="Q451" s="4" t="s">
        <v>26</v>
      </c>
      <c r="R451" s="4">
        <v>0</v>
      </c>
      <c r="S451" s="6">
        <v>0</v>
      </c>
      <c r="T451" s="6">
        <v>16</v>
      </c>
      <c r="U451" s="6">
        <v>54</v>
      </c>
      <c r="V451" s="6">
        <f>IF(ISERROR(VLOOKUP($S$451,'TAR FIN'!$A$1:$O$86,15,0)),0,VLOOKUP($S$451,'TAR FIN'!$A$1:$O$86,15,0))</f>
        <v>0</v>
      </c>
      <c r="W451" s="6">
        <f>IF(ISERROR(VLOOKUP($T$451,'TAR FIN'!$A$1:$O$86,15,0)),0,VLOOKUP($T$451,'TAR FIN'!$A$1:$O$86,15,0))</f>
        <v>297.89</v>
      </c>
      <c r="X451" s="6">
        <f>IF(ISERROR(VLOOKUP($U$451,'TAR FIN'!$A$1:$O$86,15,0)),0,VLOOKUP($U$451,'TAR FIN'!$A$1:$O$86,15,0))</f>
        <v>197.13</v>
      </c>
      <c r="Y451" s="6"/>
      <c r="Z451" s="6">
        <f ca="1">('TUSD BE'!$AM$33+'TUSD BF_350'!$AM$33+'TUSD CVA'!$AM$33)*(1-CUSTOS!$M$38)</f>
        <v>291.86059999999998</v>
      </c>
      <c r="AA451" s="6">
        <f ca="1">('TE BE'!$AB$24+'TE BF_350'!$AB$24+'TE CVA'!$AB$24)*(1-CUSTOS!$M$38)</f>
        <v>246.77819999999997</v>
      </c>
      <c r="AB451" s="6">
        <f>$K$451*$V$451</f>
        <v>0</v>
      </c>
      <c r="AC451" s="6">
        <f>$M$451*$W$451</f>
        <v>156.45182800000001</v>
      </c>
      <c r="AD451" s="6">
        <f>$O$451*$X$451</f>
        <v>103.532676</v>
      </c>
      <c r="AE451" s="6">
        <f>$K$451*$Y$451</f>
        <v>0</v>
      </c>
      <c r="AF451" s="6">
        <f ca="1">$M$451*$Z$451</f>
        <v>153.28518711999999</v>
      </c>
      <c r="AG451" s="6">
        <f ca="1">$O$451*$AA$451</f>
        <v>129.60791063999997</v>
      </c>
    </row>
    <row r="452" spans="1:33" ht="11.25" customHeight="1" x14ac:dyDescent="0.25">
      <c r="A452" s="4" t="s">
        <v>21</v>
      </c>
      <c r="B452" s="4" t="s">
        <v>41</v>
      </c>
      <c r="C452" s="4" t="s">
        <v>23</v>
      </c>
      <c r="D452" s="4" t="s">
        <v>42</v>
      </c>
      <c r="E452" s="4" t="s">
        <v>52</v>
      </c>
      <c r="F452" s="4" t="s">
        <v>54</v>
      </c>
      <c r="G452" s="4" t="s">
        <v>25</v>
      </c>
      <c r="H452" s="4" t="s">
        <v>25</v>
      </c>
      <c r="I452" s="5">
        <v>44440</v>
      </c>
      <c r="J452" s="6">
        <v>0</v>
      </c>
      <c r="K452" s="6">
        <v>0</v>
      </c>
      <c r="L452" s="6">
        <v>1.7609999999999999</v>
      </c>
      <c r="M452" s="6">
        <v>0.70440000000000003</v>
      </c>
      <c r="N452" s="6">
        <v>1.7609999999999999</v>
      </c>
      <c r="O452" s="6">
        <v>0.70440000000000003</v>
      </c>
      <c r="P452" s="6">
        <v>0</v>
      </c>
      <c r="Q452" s="4" t="s">
        <v>26</v>
      </c>
      <c r="R452" s="4">
        <v>0</v>
      </c>
      <c r="S452" s="6">
        <v>0</v>
      </c>
      <c r="T452" s="6">
        <v>16</v>
      </c>
      <c r="U452" s="6">
        <v>54</v>
      </c>
      <c r="V452" s="6">
        <f>IF(ISERROR(VLOOKUP($S$452,'TAR FIN'!$A$1:$O$86,15,0)),0,VLOOKUP($S$452,'TAR FIN'!$A$1:$O$86,15,0))</f>
        <v>0</v>
      </c>
      <c r="W452" s="6">
        <f>IF(ISERROR(VLOOKUP($T$452,'TAR FIN'!$A$1:$O$86,15,0)),0,VLOOKUP($T$452,'TAR FIN'!$A$1:$O$86,15,0))</f>
        <v>297.89</v>
      </c>
      <c r="X452" s="6">
        <f>IF(ISERROR(VLOOKUP($U$452,'TAR FIN'!$A$1:$O$86,15,0)),0,VLOOKUP($U$452,'TAR FIN'!$A$1:$O$86,15,0))</f>
        <v>197.13</v>
      </c>
      <c r="Y452" s="6"/>
      <c r="Z452" s="6">
        <f ca="1">('TUSD BE'!$AM$33+'TUSD BF_350'!$AM$33+'TUSD CVA'!$AM$33)*(1-CUSTOS!$M$38)</f>
        <v>291.86059999999998</v>
      </c>
      <c r="AA452" s="6">
        <f ca="1">('TE BE'!$AB$24+'TE BF_350'!$AB$24+'TE CVA'!$AB$24)*(1-CUSTOS!$M$38)</f>
        <v>246.77819999999997</v>
      </c>
      <c r="AB452" s="6">
        <f>$K$452*$V$452</f>
        <v>0</v>
      </c>
      <c r="AC452" s="6">
        <f>$M$452*$W$452</f>
        <v>209.83371600000001</v>
      </c>
      <c r="AD452" s="6">
        <f>$O$452*$X$452</f>
        <v>138.858372</v>
      </c>
      <c r="AE452" s="6">
        <f>$K$452*$Y$452</f>
        <v>0</v>
      </c>
      <c r="AF452" s="6">
        <f ca="1">$M$452*$Z$452</f>
        <v>205.58660663999999</v>
      </c>
      <c r="AG452" s="6">
        <f ca="1">$O$452*$AA$452</f>
        <v>173.83056407999999</v>
      </c>
    </row>
    <row r="453" spans="1:33" ht="11.25" customHeight="1" x14ac:dyDescent="0.25">
      <c r="A453" s="4" t="s">
        <v>21</v>
      </c>
      <c r="B453" s="4" t="s">
        <v>41</v>
      </c>
      <c r="C453" s="4" t="s">
        <v>23</v>
      </c>
      <c r="D453" s="4" t="s">
        <v>42</v>
      </c>
      <c r="E453" s="4" t="s">
        <v>52</v>
      </c>
      <c r="F453" s="4" t="s">
        <v>54</v>
      </c>
      <c r="G453" s="4" t="s">
        <v>25</v>
      </c>
      <c r="H453" s="4" t="s">
        <v>25</v>
      </c>
      <c r="I453" s="5">
        <v>44470</v>
      </c>
      <c r="J453" s="6">
        <v>0</v>
      </c>
      <c r="K453" s="6">
        <v>0</v>
      </c>
      <c r="L453" s="6">
        <v>0.82599999999999996</v>
      </c>
      <c r="M453" s="6">
        <v>0.33040000000000003</v>
      </c>
      <c r="N453" s="6">
        <v>0.82599999999999996</v>
      </c>
      <c r="O453" s="6">
        <v>0.33040000000000003</v>
      </c>
      <c r="P453" s="6">
        <v>0</v>
      </c>
      <c r="Q453" s="4" t="s">
        <v>26</v>
      </c>
      <c r="R453" s="4">
        <v>0</v>
      </c>
      <c r="S453" s="6">
        <v>0</v>
      </c>
      <c r="T453" s="6">
        <v>16</v>
      </c>
      <c r="U453" s="6">
        <v>54</v>
      </c>
      <c r="V453" s="6">
        <f>IF(ISERROR(VLOOKUP($S$453,'TAR FIN'!$A$1:$O$86,15,0)),0,VLOOKUP($S$453,'TAR FIN'!$A$1:$O$86,15,0))</f>
        <v>0</v>
      </c>
      <c r="W453" s="6">
        <f>IF(ISERROR(VLOOKUP($T$453,'TAR FIN'!$A$1:$O$86,15,0)),0,VLOOKUP($T$453,'TAR FIN'!$A$1:$O$86,15,0))</f>
        <v>297.89</v>
      </c>
      <c r="X453" s="6">
        <f>IF(ISERROR(VLOOKUP($U$453,'TAR FIN'!$A$1:$O$86,15,0)),0,VLOOKUP($U$453,'TAR FIN'!$A$1:$O$86,15,0))</f>
        <v>197.13</v>
      </c>
      <c r="Y453" s="6"/>
      <c r="Z453" s="6">
        <f ca="1">('TUSD BE'!$AM$33+'TUSD BF_350'!$AM$33+'TUSD CVA'!$AM$33)*(1-CUSTOS!$M$38)</f>
        <v>291.86059999999998</v>
      </c>
      <c r="AA453" s="6">
        <f ca="1">('TE BE'!$AB$24+'TE BF_350'!$AB$24+'TE CVA'!$AB$24)*(1-CUSTOS!$M$38)</f>
        <v>246.77819999999997</v>
      </c>
      <c r="AB453" s="6">
        <f>$K$453*$V$453</f>
        <v>0</v>
      </c>
      <c r="AC453" s="6">
        <f>$M$453*$W$453</f>
        <v>98.42285600000001</v>
      </c>
      <c r="AD453" s="6">
        <f>$O$453*$X$453</f>
        <v>65.131752000000006</v>
      </c>
      <c r="AE453" s="6">
        <f>$K$453*$Y$453</f>
        <v>0</v>
      </c>
      <c r="AF453" s="6">
        <f ca="1">$M$453*$Z$453</f>
        <v>96.430742240000001</v>
      </c>
      <c r="AG453" s="6">
        <f ca="1">$O$453*$AA$453</f>
        <v>81.535517279999993</v>
      </c>
    </row>
    <row r="454" spans="1:33" ht="11.25" customHeight="1" x14ac:dyDescent="0.25">
      <c r="A454" s="4" t="s">
        <v>21</v>
      </c>
      <c r="B454" s="4" t="s">
        <v>41</v>
      </c>
      <c r="C454" s="4" t="s">
        <v>23</v>
      </c>
      <c r="D454" s="4" t="s">
        <v>42</v>
      </c>
      <c r="E454" s="4" t="s">
        <v>52</v>
      </c>
      <c r="F454" s="4" t="s">
        <v>54</v>
      </c>
      <c r="G454" s="4" t="s">
        <v>25</v>
      </c>
      <c r="H454" s="4" t="s">
        <v>25</v>
      </c>
      <c r="I454" s="5">
        <v>44501</v>
      </c>
      <c r="J454" s="6">
        <v>0</v>
      </c>
      <c r="K454" s="6">
        <v>0</v>
      </c>
      <c r="L454" s="6">
        <v>1.579</v>
      </c>
      <c r="M454" s="6">
        <v>0.63160000000000005</v>
      </c>
      <c r="N454" s="6">
        <v>1.579</v>
      </c>
      <c r="O454" s="6">
        <v>0.63160000000000005</v>
      </c>
      <c r="P454" s="6">
        <v>0</v>
      </c>
      <c r="Q454" s="4" t="s">
        <v>26</v>
      </c>
      <c r="R454" s="4">
        <v>0</v>
      </c>
      <c r="S454" s="6">
        <v>0</v>
      </c>
      <c r="T454" s="6">
        <v>16</v>
      </c>
      <c r="U454" s="6">
        <v>54</v>
      </c>
      <c r="V454" s="6">
        <f>IF(ISERROR(VLOOKUP($S$454,'TAR FIN'!$A$1:$O$86,15,0)),0,VLOOKUP($S$454,'TAR FIN'!$A$1:$O$86,15,0))</f>
        <v>0</v>
      </c>
      <c r="W454" s="6">
        <f>IF(ISERROR(VLOOKUP($T$454,'TAR FIN'!$A$1:$O$86,15,0)),0,VLOOKUP($T$454,'TAR FIN'!$A$1:$O$86,15,0))</f>
        <v>297.89</v>
      </c>
      <c r="X454" s="6">
        <f>IF(ISERROR(VLOOKUP($U$454,'TAR FIN'!$A$1:$O$86,15,0)),0,VLOOKUP($U$454,'TAR FIN'!$A$1:$O$86,15,0))</f>
        <v>197.13</v>
      </c>
      <c r="Y454" s="6"/>
      <c r="Z454" s="6">
        <f ca="1">('TUSD BE'!$AM$33+'TUSD BF_350'!$AM$33+'TUSD CVA'!$AM$33)*(1-CUSTOS!$M$38)</f>
        <v>291.86059999999998</v>
      </c>
      <c r="AA454" s="6">
        <f ca="1">('TE BE'!$AB$24+'TE BF_350'!$AB$24+'TE CVA'!$AB$24)*(1-CUSTOS!$M$38)</f>
        <v>246.77819999999997</v>
      </c>
      <c r="AB454" s="6">
        <f>$K$454*$V$454</f>
        <v>0</v>
      </c>
      <c r="AC454" s="6">
        <f>$M$454*$W$454</f>
        <v>188.147324</v>
      </c>
      <c r="AD454" s="6">
        <f>$O$454*$X$454</f>
        <v>124.50730800000001</v>
      </c>
      <c r="AE454" s="6">
        <f>$K$454*$Y$454</f>
        <v>0</v>
      </c>
      <c r="AF454" s="6">
        <f ca="1">$M$454*$Z$454</f>
        <v>184.33915496</v>
      </c>
      <c r="AG454" s="6">
        <f ca="1">$O$454*$AA$454</f>
        <v>155.86511111999999</v>
      </c>
    </row>
    <row r="455" spans="1:33" ht="11.25" customHeight="1" x14ac:dyDescent="0.25">
      <c r="A455" s="4" t="s">
        <v>21</v>
      </c>
      <c r="B455" s="4" t="s">
        <v>41</v>
      </c>
      <c r="C455" s="4" t="s">
        <v>23</v>
      </c>
      <c r="D455" s="4" t="s">
        <v>42</v>
      </c>
      <c r="E455" s="4" t="s">
        <v>52</v>
      </c>
      <c r="F455" s="4" t="s">
        <v>54</v>
      </c>
      <c r="G455" s="4" t="s">
        <v>25</v>
      </c>
      <c r="H455" s="4" t="s">
        <v>25</v>
      </c>
      <c r="I455" s="5">
        <v>44531</v>
      </c>
      <c r="J455" s="6">
        <v>0</v>
      </c>
      <c r="K455" s="6">
        <v>0</v>
      </c>
      <c r="L455" s="6">
        <v>3.202</v>
      </c>
      <c r="M455" s="6">
        <v>1.2807999999999999</v>
      </c>
      <c r="N455" s="6">
        <v>3.202</v>
      </c>
      <c r="O455" s="6">
        <v>1.2807999999999999</v>
      </c>
      <c r="P455" s="6">
        <v>0</v>
      </c>
      <c r="Q455" s="4" t="s">
        <v>26</v>
      </c>
      <c r="R455" s="4">
        <v>0</v>
      </c>
      <c r="S455" s="6">
        <v>0</v>
      </c>
      <c r="T455" s="6">
        <v>16</v>
      </c>
      <c r="U455" s="6">
        <v>54</v>
      </c>
      <c r="V455" s="6">
        <f>IF(ISERROR(VLOOKUP($S$455,'TAR FIN'!$A$1:$O$86,15,0)),0,VLOOKUP($S$455,'TAR FIN'!$A$1:$O$86,15,0))</f>
        <v>0</v>
      </c>
      <c r="W455" s="6">
        <f>IF(ISERROR(VLOOKUP($T$455,'TAR FIN'!$A$1:$O$86,15,0)),0,VLOOKUP($T$455,'TAR FIN'!$A$1:$O$86,15,0))</f>
        <v>297.89</v>
      </c>
      <c r="X455" s="6">
        <f>IF(ISERROR(VLOOKUP($U$455,'TAR FIN'!$A$1:$O$86,15,0)),0,VLOOKUP($U$455,'TAR FIN'!$A$1:$O$86,15,0))</f>
        <v>197.13</v>
      </c>
      <c r="Y455" s="6"/>
      <c r="Z455" s="6">
        <f ca="1">('TUSD BE'!$AM$33+'TUSD BF_350'!$AM$33+'TUSD CVA'!$AM$33)*(1-CUSTOS!$M$38)</f>
        <v>291.86059999999998</v>
      </c>
      <c r="AA455" s="6">
        <f ca="1">('TE BE'!$AB$24+'TE BF_350'!$AB$24+'TE CVA'!$AB$24)*(1-CUSTOS!$M$38)</f>
        <v>246.77819999999997</v>
      </c>
      <c r="AB455" s="6">
        <f>$K$455*$V$455</f>
        <v>0</v>
      </c>
      <c r="AC455" s="6">
        <f>$M$455*$W$455</f>
        <v>381.53751199999999</v>
      </c>
      <c r="AD455" s="6">
        <f>$O$455*$X$455</f>
        <v>252.48410399999997</v>
      </c>
      <c r="AE455" s="6">
        <f>$K$455*$Y$455</f>
        <v>0</v>
      </c>
      <c r="AF455" s="6">
        <f ca="1">$M$455*$Z$455</f>
        <v>373.81505647999995</v>
      </c>
      <c r="AG455" s="6">
        <f ca="1">$O$455*$AA$455</f>
        <v>316.07351855999997</v>
      </c>
    </row>
    <row r="456" spans="1:33" ht="11.25" customHeight="1" x14ac:dyDescent="0.25">
      <c r="A456" s="4" t="s">
        <v>27</v>
      </c>
      <c r="B456" s="4" t="s">
        <v>41</v>
      </c>
      <c r="C456" s="4" t="s">
        <v>23</v>
      </c>
      <c r="D456" s="4" t="s">
        <v>42</v>
      </c>
      <c r="E456" s="4" t="s">
        <v>52</v>
      </c>
      <c r="F456" s="4" t="s">
        <v>54</v>
      </c>
      <c r="G456" s="4" t="s">
        <v>25</v>
      </c>
      <c r="H456" s="4" t="s">
        <v>25</v>
      </c>
      <c r="I456" s="5">
        <v>44531</v>
      </c>
      <c r="J456" s="6">
        <v>0</v>
      </c>
      <c r="K456" s="6">
        <v>0</v>
      </c>
      <c r="L456" s="6">
        <v>0.08</v>
      </c>
      <c r="M456" s="6">
        <v>3.2000000000000001E-2</v>
      </c>
      <c r="N456" s="6">
        <v>0.08</v>
      </c>
      <c r="O456" s="6">
        <v>3.2000000000000001E-2</v>
      </c>
      <c r="P456" s="6">
        <v>0</v>
      </c>
      <c r="Q456" s="4" t="s">
        <v>26</v>
      </c>
      <c r="R456" s="4">
        <v>0</v>
      </c>
      <c r="S456" s="6">
        <v>0</v>
      </c>
      <c r="T456" s="6">
        <v>16</v>
      </c>
      <c r="U456" s="6">
        <v>54</v>
      </c>
      <c r="V456" s="6">
        <f>IF(ISERROR(VLOOKUP($S$456,'TAR FIN'!$A$1:$O$86,15,0)),0,VLOOKUP($S$456,'TAR FIN'!$A$1:$O$86,15,0))</f>
        <v>0</v>
      </c>
      <c r="W456" s="6">
        <f>IF(ISERROR(VLOOKUP($T$456,'TAR FIN'!$A$1:$O$86,15,0)),0,VLOOKUP($T$456,'TAR FIN'!$A$1:$O$86,15,0))</f>
        <v>297.89</v>
      </c>
      <c r="X456" s="6">
        <f>IF(ISERROR(VLOOKUP($U$456,'TAR FIN'!$A$1:$O$86,15,0)),0,VLOOKUP($U$456,'TAR FIN'!$A$1:$O$86,15,0))</f>
        <v>197.13</v>
      </c>
      <c r="Y456" s="6"/>
      <c r="Z456" s="6">
        <f ca="1">('TUSD BE'!$AM$33+'TUSD BF_350'!$AM$33+'TUSD CVA'!$AM$33)*(1-CUSTOS!$M$38)</f>
        <v>291.86059999999998</v>
      </c>
      <c r="AA456" s="6">
        <f ca="1">('TE BE'!$AB$24+'TE BF_350'!$AB$24+'TE CVA'!$AB$24)*(1-CUSTOS!$M$38)</f>
        <v>246.77819999999997</v>
      </c>
      <c r="AB456" s="6">
        <f>$K$456*$V$456</f>
        <v>0</v>
      </c>
      <c r="AC456" s="6">
        <f>$M$456*$W$456</f>
        <v>9.5324799999999996</v>
      </c>
      <c r="AD456" s="6">
        <f>$O$456*$X$456</f>
        <v>6.30816</v>
      </c>
      <c r="AE456" s="6">
        <f>$K$456*$Y$456</f>
        <v>0</v>
      </c>
      <c r="AF456" s="6">
        <f ca="1">$M$456*$Z$456</f>
        <v>9.339539199999999</v>
      </c>
      <c r="AG456" s="6">
        <f ca="1">$O$456*$AA$456</f>
        <v>7.8969023999999992</v>
      </c>
    </row>
    <row r="457" spans="1:33" ht="11.25" customHeight="1" x14ac:dyDescent="0.25">
      <c r="A457" s="4" t="s">
        <v>21</v>
      </c>
      <c r="B457" s="4" t="s">
        <v>41</v>
      </c>
      <c r="C457" s="4" t="s">
        <v>23</v>
      </c>
      <c r="D457" s="4" t="s">
        <v>42</v>
      </c>
      <c r="E457" s="4" t="s">
        <v>52</v>
      </c>
      <c r="F457" s="4" t="s">
        <v>54</v>
      </c>
      <c r="G457" s="4" t="s">
        <v>25</v>
      </c>
      <c r="H457" s="4" t="s">
        <v>25</v>
      </c>
      <c r="I457" s="5">
        <v>44562</v>
      </c>
      <c r="J457" s="6">
        <v>0</v>
      </c>
      <c r="K457" s="6">
        <v>0</v>
      </c>
      <c r="L457" s="6">
        <v>3.0150000000000001</v>
      </c>
      <c r="M457" s="6">
        <v>1.206</v>
      </c>
      <c r="N457" s="6">
        <v>3.0150000000000001</v>
      </c>
      <c r="O457" s="6">
        <v>1.206</v>
      </c>
      <c r="P457" s="6">
        <v>0</v>
      </c>
      <c r="Q457" s="4" t="s">
        <v>26</v>
      </c>
      <c r="R457" s="4">
        <v>0</v>
      </c>
      <c r="S457" s="6">
        <v>0</v>
      </c>
      <c r="T457" s="6">
        <v>16</v>
      </c>
      <c r="U457" s="6">
        <v>54</v>
      </c>
      <c r="V457" s="6">
        <f>IF(ISERROR(VLOOKUP($S$457,'TAR FIN'!$A$1:$O$86,15,0)),0,VLOOKUP($S$457,'TAR FIN'!$A$1:$O$86,15,0))</f>
        <v>0</v>
      </c>
      <c r="W457" s="6">
        <f>IF(ISERROR(VLOOKUP($T$457,'TAR FIN'!$A$1:$O$86,15,0)),0,VLOOKUP($T$457,'TAR FIN'!$A$1:$O$86,15,0))</f>
        <v>297.89</v>
      </c>
      <c r="X457" s="6">
        <f>IF(ISERROR(VLOOKUP($U$457,'TAR FIN'!$A$1:$O$86,15,0)),0,VLOOKUP($U$457,'TAR FIN'!$A$1:$O$86,15,0))</f>
        <v>197.13</v>
      </c>
      <c r="Y457" s="6"/>
      <c r="Z457" s="6">
        <f ca="1">('TUSD BE'!$AM$33+'TUSD BF_350'!$AM$33+'TUSD CVA'!$AM$33)*(1-CUSTOS!$M$38)</f>
        <v>291.86059999999998</v>
      </c>
      <c r="AA457" s="6">
        <f ca="1">('TE BE'!$AB$24+'TE BF_350'!$AB$24+'TE CVA'!$AB$24)*(1-CUSTOS!$M$38)</f>
        <v>246.77819999999997</v>
      </c>
      <c r="AB457" s="6">
        <f>$K$457*$V$457</f>
        <v>0</v>
      </c>
      <c r="AC457" s="6">
        <f>$M$457*$W$457</f>
        <v>359.25533999999999</v>
      </c>
      <c r="AD457" s="6">
        <f>$O$457*$X$457</f>
        <v>237.73877999999999</v>
      </c>
      <c r="AE457" s="6">
        <f>$K$457*$Y$457</f>
        <v>0</v>
      </c>
      <c r="AF457" s="6">
        <f ca="1">$M$457*$Z$457</f>
        <v>351.98388359999996</v>
      </c>
      <c r="AG457" s="6">
        <f ca="1">$O$457*$AA$457</f>
        <v>297.61450919999993</v>
      </c>
    </row>
    <row r="458" spans="1:33" ht="11.25" customHeight="1" x14ac:dyDescent="0.25">
      <c r="A458" s="4" t="s">
        <v>21</v>
      </c>
      <c r="B458" s="4" t="s">
        <v>41</v>
      </c>
      <c r="C458" s="4" t="s">
        <v>23</v>
      </c>
      <c r="D458" s="4" t="s">
        <v>42</v>
      </c>
      <c r="E458" s="4" t="s">
        <v>52</v>
      </c>
      <c r="F458" s="4" t="s">
        <v>54</v>
      </c>
      <c r="G458" s="4" t="s">
        <v>25</v>
      </c>
      <c r="H458" s="4" t="s">
        <v>25</v>
      </c>
      <c r="I458" s="5">
        <v>44593</v>
      </c>
      <c r="J458" s="6">
        <v>0</v>
      </c>
      <c r="K458" s="6">
        <v>0</v>
      </c>
      <c r="L458" s="6">
        <v>2.5670000000000002</v>
      </c>
      <c r="M458" s="6">
        <v>1.0267999999999999</v>
      </c>
      <c r="N458" s="6">
        <v>2.5670000000000002</v>
      </c>
      <c r="O458" s="6">
        <v>1.0267999999999999</v>
      </c>
      <c r="P458" s="6">
        <v>0</v>
      </c>
      <c r="Q458" s="4" t="s">
        <v>26</v>
      </c>
      <c r="R458" s="4">
        <v>0</v>
      </c>
      <c r="S458" s="6">
        <v>0</v>
      </c>
      <c r="T458" s="6">
        <v>16</v>
      </c>
      <c r="U458" s="6">
        <v>54</v>
      </c>
      <c r="V458" s="6">
        <f>IF(ISERROR(VLOOKUP($S$458,'TAR FIN'!$A$1:$O$86,15,0)),0,VLOOKUP($S$458,'TAR FIN'!$A$1:$O$86,15,0))</f>
        <v>0</v>
      </c>
      <c r="W458" s="6">
        <f>IF(ISERROR(VLOOKUP($T$458,'TAR FIN'!$A$1:$O$86,15,0)),0,VLOOKUP($T$458,'TAR FIN'!$A$1:$O$86,15,0))</f>
        <v>297.89</v>
      </c>
      <c r="X458" s="6">
        <f>IF(ISERROR(VLOOKUP($U$458,'TAR FIN'!$A$1:$O$86,15,0)),0,VLOOKUP($U$458,'TAR FIN'!$A$1:$O$86,15,0))</f>
        <v>197.13</v>
      </c>
      <c r="Y458" s="6"/>
      <c r="Z458" s="6">
        <f ca="1">('TUSD BE'!$AM$33+'TUSD BF_350'!$AM$33+'TUSD CVA'!$AM$33)*(1-CUSTOS!$M$38)</f>
        <v>291.86059999999998</v>
      </c>
      <c r="AA458" s="6">
        <f ca="1">('TE BE'!$AB$24+'TE BF_350'!$AB$24+'TE CVA'!$AB$24)*(1-CUSTOS!$M$38)</f>
        <v>246.77819999999997</v>
      </c>
      <c r="AB458" s="6">
        <f>$K$458*$V$458</f>
        <v>0</v>
      </c>
      <c r="AC458" s="6">
        <f>$M$458*$W$458</f>
        <v>305.87345199999999</v>
      </c>
      <c r="AD458" s="6">
        <f>$O$458*$X$458</f>
        <v>202.41308399999997</v>
      </c>
      <c r="AE458" s="6">
        <f>$K$458*$Y$458</f>
        <v>0</v>
      </c>
      <c r="AF458" s="6">
        <f ca="1">$M$458*$Z$458</f>
        <v>299.68246407999993</v>
      </c>
      <c r="AG458" s="6">
        <f ca="1">$O$458*$AA$458</f>
        <v>253.39185575999994</v>
      </c>
    </row>
    <row r="459" spans="1:33" ht="11.25" customHeight="1" x14ac:dyDescent="0.25">
      <c r="A459" s="4" t="s">
        <v>21</v>
      </c>
      <c r="B459" s="4" t="s">
        <v>41</v>
      </c>
      <c r="C459" s="4" t="s">
        <v>23</v>
      </c>
      <c r="D459" s="4" t="s">
        <v>42</v>
      </c>
      <c r="E459" s="4" t="s">
        <v>52</v>
      </c>
      <c r="F459" s="4" t="s">
        <v>54</v>
      </c>
      <c r="G459" s="4" t="s">
        <v>25</v>
      </c>
      <c r="H459" s="4" t="s">
        <v>25</v>
      </c>
      <c r="I459" s="5">
        <v>44621</v>
      </c>
      <c r="J459" s="6">
        <v>0</v>
      </c>
      <c r="K459" s="6">
        <v>0</v>
      </c>
      <c r="L459" s="6">
        <v>0.36399999999999999</v>
      </c>
      <c r="M459" s="6">
        <v>0.14560000000000001</v>
      </c>
      <c r="N459" s="6">
        <v>0.36399999999999999</v>
      </c>
      <c r="O459" s="6">
        <v>0.14560000000000001</v>
      </c>
      <c r="P459" s="6">
        <v>0</v>
      </c>
      <c r="Q459" s="4" t="s">
        <v>26</v>
      </c>
      <c r="R459" s="4">
        <v>0</v>
      </c>
      <c r="S459" s="6">
        <v>0</v>
      </c>
      <c r="T459" s="6">
        <v>16</v>
      </c>
      <c r="U459" s="6">
        <v>54</v>
      </c>
      <c r="V459" s="6">
        <f>IF(ISERROR(VLOOKUP($S$459,'TAR FIN'!$A$1:$O$86,15,0)),0,VLOOKUP($S$459,'TAR FIN'!$A$1:$O$86,15,0))</f>
        <v>0</v>
      </c>
      <c r="W459" s="6">
        <f>IF(ISERROR(VLOOKUP($T$459,'TAR FIN'!$A$1:$O$86,15,0)),0,VLOOKUP($T$459,'TAR FIN'!$A$1:$O$86,15,0))</f>
        <v>297.89</v>
      </c>
      <c r="X459" s="6">
        <f>IF(ISERROR(VLOOKUP($U$459,'TAR FIN'!$A$1:$O$86,15,0)),0,VLOOKUP($U$459,'TAR FIN'!$A$1:$O$86,15,0))</f>
        <v>197.13</v>
      </c>
      <c r="Y459" s="6"/>
      <c r="Z459" s="6">
        <f ca="1">('TUSD BE'!$AM$33+'TUSD BF_350'!$AM$33+'TUSD CVA'!$AM$33)*(1-CUSTOS!$M$38)</f>
        <v>291.86059999999998</v>
      </c>
      <c r="AA459" s="6">
        <f ca="1">('TE BE'!$AB$24+'TE BF_350'!$AB$24+'TE CVA'!$AB$24)*(1-CUSTOS!$M$38)</f>
        <v>246.77819999999997</v>
      </c>
      <c r="AB459" s="6">
        <f>$K$459*$V$459</f>
        <v>0</v>
      </c>
      <c r="AC459" s="6">
        <f>$M$459*$W$459</f>
        <v>43.372784000000003</v>
      </c>
      <c r="AD459" s="6">
        <f>$O$459*$X$459</f>
        <v>28.702128000000002</v>
      </c>
      <c r="AE459" s="6">
        <f>$K$459*$Y$459</f>
        <v>0</v>
      </c>
      <c r="AF459" s="6">
        <f ca="1">$M$459*$Z$459</f>
        <v>42.494903360000002</v>
      </c>
      <c r="AG459" s="6">
        <f ca="1">$O$459*$AA$459</f>
        <v>35.930905920000001</v>
      </c>
    </row>
    <row r="460" spans="1:33" ht="11.25" customHeight="1" x14ac:dyDescent="0.25">
      <c r="A460" s="4" t="s">
        <v>21</v>
      </c>
      <c r="B460" s="4" t="s">
        <v>41</v>
      </c>
      <c r="C460" s="4" t="s">
        <v>23</v>
      </c>
      <c r="D460" s="4" t="s">
        <v>42</v>
      </c>
      <c r="E460" s="4" t="s">
        <v>52</v>
      </c>
      <c r="F460" s="4" t="s">
        <v>54</v>
      </c>
      <c r="G460" s="4" t="s">
        <v>25</v>
      </c>
      <c r="H460" s="4" t="s">
        <v>25</v>
      </c>
      <c r="I460" s="5">
        <v>44652</v>
      </c>
      <c r="J460" s="6">
        <v>0</v>
      </c>
      <c r="K460" s="6">
        <v>0</v>
      </c>
      <c r="L460" s="6">
        <v>2.9000000000000001E-2</v>
      </c>
      <c r="M460" s="6">
        <v>1.1599999999999999E-2</v>
      </c>
      <c r="N460" s="6">
        <v>2.9000000000000001E-2</v>
      </c>
      <c r="O460" s="6">
        <v>1.1599999999999999E-2</v>
      </c>
      <c r="P460" s="6">
        <v>0</v>
      </c>
      <c r="Q460" s="4" t="s">
        <v>26</v>
      </c>
      <c r="R460" s="4">
        <v>0</v>
      </c>
      <c r="S460" s="6">
        <v>0</v>
      </c>
      <c r="T460" s="6">
        <v>16</v>
      </c>
      <c r="U460" s="6">
        <v>54</v>
      </c>
      <c r="V460" s="6">
        <f>IF(ISERROR(VLOOKUP($S$460,'TAR FIN'!$A$1:$O$86,15,0)),0,VLOOKUP($S$460,'TAR FIN'!$A$1:$O$86,15,0))</f>
        <v>0</v>
      </c>
      <c r="W460" s="6">
        <f>IF(ISERROR(VLOOKUP($T$460,'TAR FIN'!$A$1:$O$86,15,0)),0,VLOOKUP($T$460,'TAR FIN'!$A$1:$O$86,15,0))</f>
        <v>297.89</v>
      </c>
      <c r="X460" s="6">
        <f>IF(ISERROR(VLOOKUP($U$460,'TAR FIN'!$A$1:$O$86,15,0)),0,VLOOKUP($U$460,'TAR FIN'!$A$1:$O$86,15,0))</f>
        <v>197.13</v>
      </c>
      <c r="Y460" s="6"/>
      <c r="Z460" s="6">
        <f ca="1">('TUSD BE'!$AM$33+'TUSD BF_350'!$AM$33+'TUSD CVA'!$AM$33)*(1-CUSTOS!$M$38)</f>
        <v>291.86059999999998</v>
      </c>
      <c r="AA460" s="6">
        <f ca="1">('TE BE'!$AB$24+'TE BF_350'!$AB$24+'TE CVA'!$AB$24)*(1-CUSTOS!$M$38)</f>
        <v>246.77819999999997</v>
      </c>
      <c r="AB460" s="6">
        <f>$K$460*$V$460</f>
        <v>0</v>
      </c>
      <c r="AC460" s="6">
        <f>$M$460*$W$460</f>
        <v>3.4555239999999996</v>
      </c>
      <c r="AD460" s="6">
        <f>$O$460*$X$460</f>
        <v>2.286708</v>
      </c>
      <c r="AE460" s="6">
        <f>$K$460*$Y$460</f>
        <v>0</v>
      </c>
      <c r="AF460" s="6">
        <f ca="1">$M$460*$Z$460</f>
        <v>3.3855829599999994</v>
      </c>
      <c r="AG460" s="6">
        <f ca="1">$O$460*$AA$460</f>
        <v>2.8626271199999995</v>
      </c>
    </row>
    <row r="461" spans="1:33" ht="11.25" customHeight="1" x14ac:dyDescent="0.25">
      <c r="A461" s="4" t="s">
        <v>21</v>
      </c>
      <c r="B461" s="4" t="s">
        <v>41</v>
      </c>
      <c r="C461" s="4" t="s">
        <v>23</v>
      </c>
      <c r="D461" s="4" t="s">
        <v>42</v>
      </c>
      <c r="E461" s="4" t="s">
        <v>52</v>
      </c>
      <c r="F461" s="4" t="s">
        <v>54</v>
      </c>
      <c r="G461" s="4" t="s">
        <v>25</v>
      </c>
      <c r="H461" s="4" t="s">
        <v>25</v>
      </c>
      <c r="I461" s="5">
        <v>44682</v>
      </c>
      <c r="J461" s="6">
        <v>0</v>
      </c>
      <c r="K461" s="6">
        <v>0</v>
      </c>
      <c r="L461" s="6">
        <v>2.7E-2</v>
      </c>
      <c r="M461" s="6">
        <v>1.0800000000000001E-2</v>
      </c>
      <c r="N461" s="6">
        <v>2.7E-2</v>
      </c>
      <c r="O461" s="6">
        <v>1.0800000000000001E-2</v>
      </c>
      <c r="P461" s="6">
        <v>0</v>
      </c>
      <c r="Q461" s="4" t="s">
        <v>26</v>
      </c>
      <c r="R461" s="4">
        <v>0</v>
      </c>
      <c r="S461" s="6">
        <v>0</v>
      </c>
      <c r="T461" s="6">
        <v>16</v>
      </c>
      <c r="U461" s="6">
        <v>54</v>
      </c>
      <c r="V461" s="6">
        <f>IF(ISERROR(VLOOKUP($S$461,'TAR FIN'!$A$1:$O$86,15,0)),0,VLOOKUP($S$461,'TAR FIN'!$A$1:$O$86,15,0))</f>
        <v>0</v>
      </c>
      <c r="W461" s="6">
        <f>IF(ISERROR(VLOOKUP($T$461,'TAR FIN'!$A$1:$O$86,15,0)),0,VLOOKUP($T$461,'TAR FIN'!$A$1:$O$86,15,0))</f>
        <v>297.89</v>
      </c>
      <c r="X461" s="6">
        <f>IF(ISERROR(VLOOKUP($U$461,'TAR FIN'!$A$1:$O$86,15,0)),0,VLOOKUP($U$461,'TAR FIN'!$A$1:$O$86,15,0))</f>
        <v>197.13</v>
      </c>
      <c r="Y461" s="6"/>
      <c r="Z461" s="6">
        <f ca="1">('TUSD BE'!$AM$33+'TUSD BF_350'!$AM$33+'TUSD CVA'!$AM$33)*(1-CUSTOS!$M$38)</f>
        <v>291.86059999999998</v>
      </c>
      <c r="AA461" s="6">
        <f ca="1">('TE BE'!$AB$24+'TE BF_350'!$AB$24+'TE CVA'!$AB$24)*(1-CUSTOS!$M$38)</f>
        <v>246.77819999999997</v>
      </c>
      <c r="AB461" s="6">
        <f>$K$461*$V$461</f>
        <v>0</v>
      </c>
      <c r="AC461" s="6">
        <f>$M$461*$W$461</f>
        <v>3.217212</v>
      </c>
      <c r="AD461" s="6">
        <f>$O$461*$X$461</f>
        <v>2.1290040000000001</v>
      </c>
      <c r="AE461" s="6">
        <f>$K$461*$Y$461</f>
        <v>0</v>
      </c>
      <c r="AF461" s="6">
        <f ca="1">$M$461*$Z$461</f>
        <v>3.1520944799999997</v>
      </c>
      <c r="AG461" s="6">
        <f ca="1">$O$461*$AA$461</f>
        <v>2.6652045599999998</v>
      </c>
    </row>
    <row r="462" spans="1:33" ht="11.25" customHeight="1" x14ac:dyDescent="0.25">
      <c r="A462" s="4" t="s">
        <v>27</v>
      </c>
      <c r="B462" s="4" t="s">
        <v>41</v>
      </c>
      <c r="C462" s="4" t="s">
        <v>23</v>
      </c>
      <c r="D462" s="4" t="s">
        <v>42</v>
      </c>
      <c r="E462" s="4" t="s">
        <v>52</v>
      </c>
      <c r="F462" s="4" t="s">
        <v>54</v>
      </c>
      <c r="G462" s="4" t="s">
        <v>25</v>
      </c>
      <c r="H462" s="4" t="s">
        <v>25</v>
      </c>
      <c r="I462" s="5">
        <v>44682</v>
      </c>
      <c r="J462" s="6">
        <v>0</v>
      </c>
      <c r="K462" s="6">
        <v>0</v>
      </c>
      <c r="L462" s="6">
        <v>0.09</v>
      </c>
      <c r="M462" s="6">
        <v>3.5999999999999997E-2</v>
      </c>
      <c r="N462" s="6">
        <v>0.09</v>
      </c>
      <c r="O462" s="6">
        <v>3.5999999999999997E-2</v>
      </c>
      <c r="P462" s="6">
        <v>0</v>
      </c>
      <c r="Q462" s="4" t="s">
        <v>26</v>
      </c>
      <c r="R462" s="4">
        <v>0</v>
      </c>
      <c r="S462" s="6">
        <v>0</v>
      </c>
      <c r="T462" s="6">
        <v>16</v>
      </c>
      <c r="U462" s="6">
        <v>54</v>
      </c>
      <c r="V462" s="6">
        <f>IF(ISERROR(VLOOKUP($S$462,'TAR FIN'!$A$1:$O$86,15,0)),0,VLOOKUP($S$462,'TAR FIN'!$A$1:$O$86,15,0))</f>
        <v>0</v>
      </c>
      <c r="W462" s="6">
        <f>IF(ISERROR(VLOOKUP($T$462,'TAR FIN'!$A$1:$O$86,15,0)),0,VLOOKUP($T$462,'TAR FIN'!$A$1:$O$86,15,0))</f>
        <v>297.89</v>
      </c>
      <c r="X462" s="6">
        <f>IF(ISERROR(VLOOKUP($U$462,'TAR FIN'!$A$1:$O$86,15,0)),0,VLOOKUP($U$462,'TAR FIN'!$A$1:$O$86,15,0))</f>
        <v>197.13</v>
      </c>
      <c r="Y462" s="6"/>
      <c r="Z462" s="6">
        <f ca="1">('TUSD BE'!$AM$33+'TUSD BF_350'!$AM$33+'TUSD CVA'!$AM$33)*(1-CUSTOS!$M$38)</f>
        <v>291.86059999999998</v>
      </c>
      <c r="AA462" s="6">
        <f ca="1">('TE BE'!$AB$24+'TE BF_350'!$AB$24+'TE CVA'!$AB$24)*(1-CUSTOS!$M$38)</f>
        <v>246.77819999999997</v>
      </c>
      <c r="AB462" s="6">
        <f>$K$462*$V$462</f>
        <v>0</v>
      </c>
      <c r="AC462" s="6">
        <f>$M$462*$W$462</f>
        <v>10.724039999999999</v>
      </c>
      <c r="AD462" s="6">
        <f>$O$462*$X$462</f>
        <v>7.0966799999999992</v>
      </c>
      <c r="AE462" s="6">
        <f>$K$462*$Y$462</f>
        <v>0</v>
      </c>
      <c r="AF462" s="6">
        <f ca="1">$M$462*$Z$462</f>
        <v>10.506981599999998</v>
      </c>
      <c r="AG462" s="6">
        <f ca="1">$O$462*$AA$462</f>
        <v>8.8840151999999986</v>
      </c>
    </row>
    <row r="463" spans="1:33" ht="11.25" customHeight="1" x14ac:dyDescent="0.25">
      <c r="A463" s="4" t="s">
        <v>21</v>
      </c>
      <c r="B463" s="4" t="s">
        <v>41</v>
      </c>
      <c r="C463" s="4" t="s">
        <v>23</v>
      </c>
      <c r="D463" s="4" t="s">
        <v>42</v>
      </c>
      <c r="E463" s="4" t="s">
        <v>52</v>
      </c>
      <c r="F463" s="4" t="s">
        <v>54</v>
      </c>
      <c r="G463" s="4" t="s">
        <v>25</v>
      </c>
      <c r="H463" s="4" t="s">
        <v>25</v>
      </c>
      <c r="I463" s="5">
        <v>44713</v>
      </c>
      <c r="J463" s="6">
        <v>0</v>
      </c>
      <c r="K463" s="6">
        <v>0</v>
      </c>
      <c r="L463" s="6">
        <v>2.3E-2</v>
      </c>
      <c r="M463" s="6">
        <v>9.1999999999999998E-3</v>
      </c>
      <c r="N463" s="6">
        <v>2.3E-2</v>
      </c>
      <c r="O463" s="6">
        <v>9.1999999999999998E-3</v>
      </c>
      <c r="P463" s="6">
        <v>0</v>
      </c>
      <c r="Q463" s="4" t="s">
        <v>26</v>
      </c>
      <c r="R463" s="4">
        <v>0</v>
      </c>
      <c r="S463" s="6">
        <v>0</v>
      </c>
      <c r="T463" s="6">
        <v>16</v>
      </c>
      <c r="U463" s="6">
        <v>54</v>
      </c>
      <c r="V463" s="6">
        <f>IF(ISERROR(VLOOKUP($S$463,'TAR FIN'!$A$1:$O$86,15,0)),0,VLOOKUP($S$463,'TAR FIN'!$A$1:$O$86,15,0))</f>
        <v>0</v>
      </c>
      <c r="W463" s="6">
        <f>IF(ISERROR(VLOOKUP($T$463,'TAR FIN'!$A$1:$O$86,15,0)),0,VLOOKUP($T$463,'TAR FIN'!$A$1:$O$86,15,0))</f>
        <v>297.89</v>
      </c>
      <c r="X463" s="6">
        <f>IF(ISERROR(VLOOKUP($U$463,'TAR FIN'!$A$1:$O$86,15,0)),0,VLOOKUP($U$463,'TAR FIN'!$A$1:$O$86,15,0))</f>
        <v>197.13</v>
      </c>
      <c r="Y463" s="6"/>
      <c r="Z463" s="6">
        <f ca="1">('TUSD BE'!$AM$33+'TUSD BF_350'!$AM$33+'TUSD CVA'!$AM$33)*(1-CUSTOS!$M$38)</f>
        <v>291.86059999999998</v>
      </c>
      <c r="AA463" s="6">
        <f ca="1">('TE BE'!$AB$24+'TE BF_350'!$AB$24+'TE CVA'!$AB$24)*(1-CUSTOS!$M$38)</f>
        <v>246.77819999999997</v>
      </c>
      <c r="AB463" s="6">
        <f>$K$463*$V$463</f>
        <v>0</v>
      </c>
      <c r="AC463" s="6">
        <f>$M$463*$W$463</f>
        <v>2.7405879999999998</v>
      </c>
      <c r="AD463" s="6">
        <f>$O$463*$X$463</f>
        <v>1.813596</v>
      </c>
      <c r="AE463" s="6">
        <f>$K$463*$Y$463</f>
        <v>0</v>
      </c>
      <c r="AF463" s="6">
        <f ca="1">$M$463*$Z$463</f>
        <v>2.6851175199999999</v>
      </c>
      <c r="AG463" s="6">
        <f ca="1">$O$463*$AA$463</f>
        <v>2.2703594399999996</v>
      </c>
    </row>
    <row r="464" spans="1:33" ht="11.25" customHeight="1" x14ac:dyDescent="0.25">
      <c r="A464" s="4" t="s">
        <v>55</v>
      </c>
      <c r="B464" s="4" t="s">
        <v>41</v>
      </c>
      <c r="C464" s="4" t="s">
        <v>23</v>
      </c>
      <c r="D464" s="4" t="s">
        <v>42</v>
      </c>
      <c r="E464" s="4" t="s">
        <v>52</v>
      </c>
      <c r="F464" s="4" t="s">
        <v>54</v>
      </c>
      <c r="G464" s="4" t="s">
        <v>25</v>
      </c>
      <c r="H464" s="4" t="s">
        <v>25</v>
      </c>
      <c r="I464" s="5">
        <v>44743</v>
      </c>
      <c r="J464" s="6">
        <v>0</v>
      </c>
      <c r="K464" s="6">
        <v>0</v>
      </c>
      <c r="L464" s="6">
        <v>2.3E-2</v>
      </c>
      <c r="M464" s="6">
        <v>9.1999999999999998E-3</v>
      </c>
      <c r="N464" s="6">
        <v>2.3E-2</v>
      </c>
      <c r="O464" s="6">
        <v>9.1999999999999998E-3</v>
      </c>
      <c r="P464" s="6">
        <v>0</v>
      </c>
      <c r="Q464" s="4" t="s">
        <v>26</v>
      </c>
      <c r="R464" s="4">
        <v>0</v>
      </c>
      <c r="S464" s="6">
        <v>0</v>
      </c>
      <c r="T464" s="6">
        <v>16</v>
      </c>
      <c r="U464" s="6">
        <v>54</v>
      </c>
      <c r="V464" s="6">
        <f>IF(ISERROR(VLOOKUP($S$464,'TAR FIN'!$A$1:$O$86,15,0)),0,VLOOKUP($S$464,'TAR FIN'!$A$1:$O$86,15,0))</f>
        <v>0</v>
      </c>
      <c r="W464" s="6">
        <f>IF(ISERROR(VLOOKUP($T$464,'TAR FIN'!$A$1:$O$86,15,0)),0,VLOOKUP($T$464,'TAR FIN'!$A$1:$O$86,15,0))</f>
        <v>297.89</v>
      </c>
      <c r="X464" s="6">
        <f>IF(ISERROR(VLOOKUP($U$464,'TAR FIN'!$A$1:$O$86,15,0)),0,VLOOKUP($U$464,'TAR FIN'!$A$1:$O$86,15,0))</f>
        <v>197.13</v>
      </c>
      <c r="Y464" s="6"/>
      <c r="Z464" s="6">
        <f ca="1">('TUSD BE'!$AM$33+'TUSD BF_350'!$AM$33+'TUSD CVA'!$AM$33)*(1-CUSTOS!$M$38)</f>
        <v>291.86059999999998</v>
      </c>
      <c r="AA464" s="6">
        <f ca="1">('TE BE'!$AB$24+'TE BF_350'!$AB$24+'TE CVA'!$AB$24)*(1-CUSTOS!$M$38)</f>
        <v>246.77819999999997</v>
      </c>
      <c r="AB464" s="6">
        <f>$K$464*$V$464</f>
        <v>0</v>
      </c>
      <c r="AC464" s="6">
        <f>$M$464*$W$464</f>
        <v>2.7405879999999998</v>
      </c>
      <c r="AD464" s="6">
        <f>$O$464*$X$464</f>
        <v>1.813596</v>
      </c>
      <c r="AE464" s="6">
        <f>$K$464*$Y$464</f>
        <v>0</v>
      </c>
      <c r="AF464" s="6">
        <f ca="1">$M$464*$Z$464</f>
        <v>2.6851175199999999</v>
      </c>
      <c r="AG464" s="6">
        <f ca="1">$O$464*$AA$464</f>
        <v>2.2703594399999996</v>
      </c>
    </row>
    <row r="465" spans="1:33" ht="11.25" customHeight="1" x14ac:dyDescent="0.25">
      <c r="A465" s="4" t="s">
        <v>21</v>
      </c>
      <c r="B465" s="4" t="s">
        <v>41</v>
      </c>
      <c r="C465" s="4" t="s">
        <v>23</v>
      </c>
      <c r="D465" s="4" t="s">
        <v>42</v>
      </c>
      <c r="E465" s="4" t="s">
        <v>25</v>
      </c>
      <c r="F465" s="4" t="s">
        <v>25</v>
      </c>
      <c r="G465" s="4" t="s">
        <v>25</v>
      </c>
      <c r="H465" s="4" t="s">
        <v>25</v>
      </c>
      <c r="I465" s="5">
        <v>44409</v>
      </c>
      <c r="J465" s="6">
        <v>0</v>
      </c>
      <c r="K465" s="6">
        <v>0</v>
      </c>
      <c r="L465" s="6">
        <v>751.04300000000001</v>
      </c>
      <c r="M465" s="6">
        <v>751.04300000000001</v>
      </c>
      <c r="N465" s="6">
        <v>751.04300000000001</v>
      </c>
      <c r="O465" s="6">
        <v>751.04300000000001</v>
      </c>
      <c r="P465" s="6">
        <v>2482</v>
      </c>
      <c r="Q465" s="4" t="s">
        <v>26</v>
      </c>
      <c r="R465" s="4">
        <v>0</v>
      </c>
      <c r="S465" s="6">
        <v>0</v>
      </c>
      <c r="T465" s="6">
        <v>16</v>
      </c>
      <c r="U465" s="6">
        <v>54</v>
      </c>
      <c r="V465" s="6">
        <f>IF(ISERROR(VLOOKUP($S$465,'TAR FIN'!$A$1:$O$86,15,0)),0,VLOOKUP($S$465,'TAR FIN'!$A$1:$O$86,15,0))</f>
        <v>0</v>
      </c>
      <c r="W465" s="6">
        <f>IF(ISERROR(VLOOKUP($T$465,'TAR FIN'!$A$1:$O$86,15,0)),0,VLOOKUP($T$465,'TAR FIN'!$A$1:$O$86,15,0))</f>
        <v>297.89</v>
      </c>
      <c r="X465" s="6">
        <f>IF(ISERROR(VLOOKUP($U$465,'TAR FIN'!$A$1:$O$86,15,0)),0,VLOOKUP($U$465,'TAR FIN'!$A$1:$O$86,15,0))</f>
        <v>197.13</v>
      </c>
      <c r="Y465" s="6"/>
      <c r="Z465" s="6">
        <f ca="1">('TUSD BE'!$AM$33+'TUSD BF_350'!$AM$33+'TUSD CVA'!$AM$33)*(1-CUSTOS!$M$38)</f>
        <v>291.86059999999998</v>
      </c>
      <c r="AA465" s="6">
        <f ca="1">('TE BE'!$AB$24+'TE BF_350'!$AB$24+'TE CVA'!$AB$24)*(1-CUSTOS!$M$38)</f>
        <v>246.77819999999997</v>
      </c>
      <c r="AB465" s="6">
        <f>$K$465*$V$465</f>
        <v>0</v>
      </c>
      <c r="AC465" s="6">
        <f>$M$465*$W$465</f>
        <v>223728.19926999998</v>
      </c>
      <c r="AD465" s="6">
        <f>$O$465*$X$465</f>
        <v>148053.10659000001</v>
      </c>
      <c r="AE465" s="6">
        <f>$K$465*$Y$465</f>
        <v>0</v>
      </c>
      <c r="AF465" s="6">
        <f ca="1">$M$465*$Z$465</f>
        <v>219199.86060579997</v>
      </c>
      <c r="AG465" s="6">
        <f ca="1">$O$465*$AA$465</f>
        <v>185341.03966259997</v>
      </c>
    </row>
    <row r="466" spans="1:33" ht="11.25" customHeight="1" x14ac:dyDescent="0.25">
      <c r="A466" s="4" t="s">
        <v>27</v>
      </c>
      <c r="B466" s="4" t="s">
        <v>41</v>
      </c>
      <c r="C466" s="4" t="s">
        <v>23</v>
      </c>
      <c r="D466" s="4" t="s">
        <v>42</v>
      </c>
      <c r="E466" s="4" t="s">
        <v>25</v>
      </c>
      <c r="F466" s="4" t="s">
        <v>25</v>
      </c>
      <c r="G466" s="4" t="s">
        <v>25</v>
      </c>
      <c r="H466" s="4" t="s">
        <v>25</v>
      </c>
      <c r="I466" s="5">
        <v>44409</v>
      </c>
      <c r="J466" s="6">
        <v>0</v>
      </c>
      <c r="K466" s="6">
        <v>0</v>
      </c>
      <c r="L466" s="6">
        <v>-1.2769999999999999</v>
      </c>
      <c r="M466" s="6">
        <v>-1.2769999999999999</v>
      </c>
      <c r="N466" s="6">
        <v>-1.2769999999999999</v>
      </c>
      <c r="O466" s="6">
        <v>-1.2769999999999999</v>
      </c>
      <c r="P466" s="6">
        <v>0</v>
      </c>
      <c r="Q466" s="4" t="s">
        <v>26</v>
      </c>
      <c r="R466" s="4">
        <v>0</v>
      </c>
      <c r="S466" s="6">
        <v>0</v>
      </c>
      <c r="T466" s="6">
        <v>16</v>
      </c>
      <c r="U466" s="6">
        <v>54</v>
      </c>
      <c r="V466" s="6">
        <f>IF(ISERROR(VLOOKUP($S$466,'TAR FIN'!$A$1:$O$86,15,0)),0,VLOOKUP($S$466,'TAR FIN'!$A$1:$O$86,15,0))</f>
        <v>0</v>
      </c>
      <c r="W466" s="6">
        <f>IF(ISERROR(VLOOKUP($T$466,'TAR FIN'!$A$1:$O$86,15,0)),0,VLOOKUP($T$466,'TAR FIN'!$A$1:$O$86,15,0))</f>
        <v>297.89</v>
      </c>
      <c r="X466" s="6">
        <f>IF(ISERROR(VLOOKUP($U$466,'TAR FIN'!$A$1:$O$86,15,0)),0,VLOOKUP($U$466,'TAR FIN'!$A$1:$O$86,15,0))</f>
        <v>197.13</v>
      </c>
      <c r="Y466" s="6"/>
      <c r="Z466" s="6">
        <f ca="1">('TUSD BE'!$AM$33+'TUSD BF_350'!$AM$33+'TUSD CVA'!$AM$33)*(1-CUSTOS!$M$38)</f>
        <v>291.86059999999998</v>
      </c>
      <c r="AA466" s="6">
        <f ca="1">('TE BE'!$AB$24+'TE BF_350'!$AB$24+'TE CVA'!$AB$24)*(1-CUSTOS!$M$38)</f>
        <v>246.77819999999997</v>
      </c>
      <c r="AB466" s="6">
        <f>$K$466*$V$466</f>
        <v>0</v>
      </c>
      <c r="AC466" s="6">
        <f>$M$466*$W$466</f>
        <v>-380.40552999999994</v>
      </c>
      <c r="AD466" s="6">
        <f>$O$466*$X$466</f>
        <v>-251.73500999999999</v>
      </c>
      <c r="AE466" s="6">
        <f>$K$466*$Y$466</f>
        <v>0</v>
      </c>
      <c r="AF466" s="6">
        <f ca="1">$M$466*$Z$466</f>
        <v>-372.70598619999993</v>
      </c>
      <c r="AG466" s="6">
        <f ca="1">$O$466*$AA$466</f>
        <v>-315.13576139999992</v>
      </c>
    </row>
    <row r="467" spans="1:33" ht="11.25" customHeight="1" x14ac:dyDescent="0.25">
      <c r="A467" s="4" t="s">
        <v>28</v>
      </c>
      <c r="B467" s="4" t="s">
        <v>41</v>
      </c>
      <c r="C467" s="4" t="s">
        <v>23</v>
      </c>
      <c r="D467" s="4" t="s">
        <v>42</v>
      </c>
      <c r="E467" s="4" t="s">
        <v>25</v>
      </c>
      <c r="F467" s="4" t="s">
        <v>25</v>
      </c>
      <c r="G467" s="4" t="s">
        <v>25</v>
      </c>
      <c r="H467" s="4" t="s">
        <v>25</v>
      </c>
      <c r="I467" s="5">
        <v>44409</v>
      </c>
      <c r="J467" s="6">
        <v>0</v>
      </c>
      <c r="K467" s="6">
        <v>0</v>
      </c>
      <c r="L467" s="6">
        <v>6.4160000000000004</v>
      </c>
      <c r="M467" s="6">
        <v>6.4160000000000004</v>
      </c>
      <c r="N467" s="6">
        <v>6.4160000000000004</v>
      </c>
      <c r="O467" s="6">
        <v>6.4160000000000004</v>
      </c>
      <c r="P467" s="6">
        <v>10</v>
      </c>
      <c r="Q467" s="4" t="s">
        <v>26</v>
      </c>
      <c r="R467" s="4">
        <v>0</v>
      </c>
      <c r="S467" s="6">
        <v>0</v>
      </c>
      <c r="T467" s="6">
        <v>16</v>
      </c>
      <c r="U467" s="6">
        <v>54</v>
      </c>
      <c r="V467" s="6">
        <f>IF(ISERROR(VLOOKUP($S$467,'TAR FIN'!$A$1:$O$86,15,0)),0,VLOOKUP($S$467,'TAR FIN'!$A$1:$O$86,15,0))</f>
        <v>0</v>
      </c>
      <c r="W467" s="6">
        <f>IF(ISERROR(VLOOKUP($T$467,'TAR FIN'!$A$1:$O$86,15,0)),0,VLOOKUP($T$467,'TAR FIN'!$A$1:$O$86,15,0))</f>
        <v>297.89</v>
      </c>
      <c r="X467" s="6">
        <f>IF(ISERROR(VLOOKUP($U$467,'TAR FIN'!$A$1:$O$86,15,0)),0,VLOOKUP($U$467,'TAR FIN'!$A$1:$O$86,15,0))</f>
        <v>197.13</v>
      </c>
      <c r="Y467" s="6"/>
      <c r="Z467" s="6">
        <f ca="1">('TUSD BE'!$AM$33+'TUSD BF_350'!$AM$33+'TUSD CVA'!$AM$33)*(1-CUSTOS!$M$38)</f>
        <v>291.86059999999998</v>
      </c>
      <c r="AA467" s="6">
        <f ca="1">('TE BE'!$AB$24+'TE BF_350'!$AB$24+'TE CVA'!$AB$24)*(1-CUSTOS!$M$38)</f>
        <v>246.77819999999997</v>
      </c>
      <c r="AB467" s="6">
        <f>$K$467*$V$467</f>
        <v>0</v>
      </c>
      <c r="AC467" s="6">
        <f>$M$467*$W$467</f>
        <v>1911.26224</v>
      </c>
      <c r="AD467" s="6">
        <f>$O$467*$X$467</f>
        <v>1264.7860800000001</v>
      </c>
      <c r="AE467" s="6">
        <f>$K$467*$Y$467</f>
        <v>0</v>
      </c>
      <c r="AF467" s="6">
        <f ca="1">$M$467*$Z$467</f>
        <v>1872.5776096</v>
      </c>
      <c r="AG467" s="6">
        <f ca="1">$O$467*$AA$467</f>
        <v>1583.3289311999999</v>
      </c>
    </row>
    <row r="468" spans="1:33" ht="11.25" customHeight="1" x14ac:dyDescent="0.25">
      <c r="A468" s="4" t="s">
        <v>21</v>
      </c>
      <c r="B468" s="4" t="s">
        <v>41</v>
      </c>
      <c r="C468" s="4" t="s">
        <v>23</v>
      </c>
      <c r="D468" s="4" t="s">
        <v>42</v>
      </c>
      <c r="E468" s="4" t="s">
        <v>25</v>
      </c>
      <c r="F468" s="4" t="s">
        <v>25</v>
      </c>
      <c r="G468" s="4" t="s">
        <v>25</v>
      </c>
      <c r="H468" s="4" t="s">
        <v>25</v>
      </c>
      <c r="I468" s="5">
        <v>44440</v>
      </c>
      <c r="J468" s="6">
        <v>0</v>
      </c>
      <c r="K468" s="6">
        <v>0</v>
      </c>
      <c r="L468" s="6">
        <v>922.43</v>
      </c>
      <c r="M468" s="6">
        <v>922.43</v>
      </c>
      <c r="N468" s="6">
        <v>922.43</v>
      </c>
      <c r="O468" s="6">
        <v>922.43</v>
      </c>
      <c r="P468" s="6">
        <v>2485</v>
      </c>
      <c r="Q468" s="4" t="s">
        <v>26</v>
      </c>
      <c r="R468" s="4">
        <v>0</v>
      </c>
      <c r="S468" s="6">
        <v>0</v>
      </c>
      <c r="T468" s="6">
        <v>16</v>
      </c>
      <c r="U468" s="6">
        <v>54</v>
      </c>
      <c r="V468" s="6">
        <f>IF(ISERROR(VLOOKUP($S$468,'TAR FIN'!$A$1:$O$86,15,0)),0,VLOOKUP($S$468,'TAR FIN'!$A$1:$O$86,15,0))</f>
        <v>0</v>
      </c>
      <c r="W468" s="6">
        <f>IF(ISERROR(VLOOKUP($T$468,'TAR FIN'!$A$1:$O$86,15,0)),0,VLOOKUP($T$468,'TAR FIN'!$A$1:$O$86,15,0))</f>
        <v>297.89</v>
      </c>
      <c r="X468" s="6">
        <f>IF(ISERROR(VLOOKUP($U$468,'TAR FIN'!$A$1:$O$86,15,0)),0,VLOOKUP($U$468,'TAR FIN'!$A$1:$O$86,15,0))</f>
        <v>197.13</v>
      </c>
      <c r="Y468" s="6"/>
      <c r="Z468" s="6">
        <f ca="1">('TUSD BE'!$AM$33+'TUSD BF_350'!$AM$33+'TUSD CVA'!$AM$33)*(1-CUSTOS!$M$38)</f>
        <v>291.86059999999998</v>
      </c>
      <c r="AA468" s="6">
        <f ca="1">('TE BE'!$AB$24+'TE BF_350'!$AB$24+'TE CVA'!$AB$24)*(1-CUSTOS!$M$38)</f>
        <v>246.77819999999997</v>
      </c>
      <c r="AB468" s="6">
        <f>$K$468*$V$468</f>
        <v>0</v>
      </c>
      <c r="AC468" s="6">
        <f>$M$468*$W$468</f>
        <v>274782.6727</v>
      </c>
      <c r="AD468" s="6">
        <f>$O$468*$X$468</f>
        <v>181838.62589999998</v>
      </c>
      <c r="AE468" s="6">
        <f>$K$468*$Y$468</f>
        <v>0</v>
      </c>
      <c r="AF468" s="6">
        <f ca="1">$M$468*$Z$468</f>
        <v>269220.97325799998</v>
      </c>
      <c r="AG468" s="6">
        <f ca="1">$O$468*$AA$468</f>
        <v>227635.61502599996</v>
      </c>
    </row>
    <row r="469" spans="1:33" ht="11.25" customHeight="1" x14ac:dyDescent="0.25">
      <c r="A469" s="4" t="s">
        <v>27</v>
      </c>
      <c r="B469" s="4" t="s">
        <v>41</v>
      </c>
      <c r="C469" s="4" t="s">
        <v>23</v>
      </c>
      <c r="D469" s="4" t="s">
        <v>42</v>
      </c>
      <c r="E469" s="4" t="s">
        <v>25</v>
      </c>
      <c r="F469" s="4" t="s">
        <v>25</v>
      </c>
      <c r="G469" s="4" t="s">
        <v>25</v>
      </c>
      <c r="H469" s="4" t="s">
        <v>25</v>
      </c>
      <c r="I469" s="5">
        <v>44440</v>
      </c>
      <c r="J469" s="6">
        <v>0</v>
      </c>
      <c r="K469" s="6">
        <v>0</v>
      </c>
      <c r="L469" s="6">
        <v>-0.497</v>
      </c>
      <c r="M469" s="6">
        <v>-0.497</v>
      </c>
      <c r="N469" s="6">
        <v>-0.497</v>
      </c>
      <c r="O469" s="6">
        <v>-0.497</v>
      </c>
      <c r="P469" s="6">
        <v>0</v>
      </c>
      <c r="Q469" s="4" t="s">
        <v>26</v>
      </c>
      <c r="R469" s="4">
        <v>0</v>
      </c>
      <c r="S469" s="6">
        <v>0</v>
      </c>
      <c r="T469" s="6">
        <v>16</v>
      </c>
      <c r="U469" s="6">
        <v>54</v>
      </c>
      <c r="V469" s="6">
        <f>IF(ISERROR(VLOOKUP($S$469,'TAR FIN'!$A$1:$O$86,15,0)),0,VLOOKUP($S$469,'TAR FIN'!$A$1:$O$86,15,0))</f>
        <v>0</v>
      </c>
      <c r="W469" s="6">
        <f>IF(ISERROR(VLOOKUP($T$469,'TAR FIN'!$A$1:$O$86,15,0)),0,VLOOKUP($T$469,'TAR FIN'!$A$1:$O$86,15,0))</f>
        <v>297.89</v>
      </c>
      <c r="X469" s="6">
        <f>IF(ISERROR(VLOOKUP($U$469,'TAR FIN'!$A$1:$O$86,15,0)),0,VLOOKUP($U$469,'TAR FIN'!$A$1:$O$86,15,0))</f>
        <v>197.13</v>
      </c>
      <c r="Y469" s="6"/>
      <c r="Z469" s="6">
        <f ca="1">('TUSD BE'!$AM$33+'TUSD BF_350'!$AM$33+'TUSD CVA'!$AM$33)*(1-CUSTOS!$M$38)</f>
        <v>291.86059999999998</v>
      </c>
      <c r="AA469" s="6">
        <f ca="1">('TE BE'!$AB$24+'TE BF_350'!$AB$24+'TE CVA'!$AB$24)*(1-CUSTOS!$M$38)</f>
        <v>246.77819999999997</v>
      </c>
      <c r="AB469" s="6">
        <f>$K$469*$V$469</f>
        <v>0</v>
      </c>
      <c r="AC469" s="6">
        <f>$M$469*$W$469</f>
        <v>-148.05132999999998</v>
      </c>
      <c r="AD469" s="6">
        <f>$O$469*$X$469</f>
        <v>-97.973609999999994</v>
      </c>
      <c r="AE469" s="6">
        <f>$K$469*$Y$469</f>
        <v>0</v>
      </c>
      <c r="AF469" s="6">
        <f ca="1">$M$469*$Z$469</f>
        <v>-145.0547182</v>
      </c>
      <c r="AG469" s="6">
        <f ca="1">$O$469*$AA$469</f>
        <v>-122.64876539999999</v>
      </c>
    </row>
    <row r="470" spans="1:33" ht="11.25" customHeight="1" x14ac:dyDescent="0.25">
      <c r="A470" s="4" t="s">
        <v>28</v>
      </c>
      <c r="B470" s="4" t="s">
        <v>41</v>
      </c>
      <c r="C470" s="4" t="s">
        <v>23</v>
      </c>
      <c r="D470" s="4" t="s">
        <v>42</v>
      </c>
      <c r="E470" s="4" t="s">
        <v>25</v>
      </c>
      <c r="F470" s="4" t="s">
        <v>25</v>
      </c>
      <c r="G470" s="4" t="s">
        <v>25</v>
      </c>
      <c r="H470" s="4" t="s">
        <v>25</v>
      </c>
      <c r="I470" s="5">
        <v>44440</v>
      </c>
      <c r="J470" s="6">
        <v>0</v>
      </c>
      <c r="K470" s="6">
        <v>0</v>
      </c>
      <c r="L470" s="6">
        <v>8.3219999999999992</v>
      </c>
      <c r="M470" s="6">
        <v>8.3219999999999992</v>
      </c>
      <c r="N470" s="6">
        <v>8.3219999999999992</v>
      </c>
      <c r="O470" s="6">
        <v>8.3219999999999992</v>
      </c>
      <c r="P470" s="6">
        <v>11</v>
      </c>
      <c r="Q470" s="4" t="s">
        <v>26</v>
      </c>
      <c r="R470" s="4">
        <v>0</v>
      </c>
      <c r="S470" s="6">
        <v>0</v>
      </c>
      <c r="T470" s="6">
        <v>16</v>
      </c>
      <c r="U470" s="6">
        <v>54</v>
      </c>
      <c r="V470" s="6">
        <f>IF(ISERROR(VLOOKUP($S$470,'TAR FIN'!$A$1:$O$86,15,0)),0,VLOOKUP($S$470,'TAR FIN'!$A$1:$O$86,15,0))</f>
        <v>0</v>
      </c>
      <c r="W470" s="6">
        <f>IF(ISERROR(VLOOKUP($T$470,'TAR FIN'!$A$1:$O$86,15,0)),0,VLOOKUP($T$470,'TAR FIN'!$A$1:$O$86,15,0))</f>
        <v>297.89</v>
      </c>
      <c r="X470" s="6">
        <f>IF(ISERROR(VLOOKUP($U$470,'TAR FIN'!$A$1:$O$86,15,0)),0,VLOOKUP($U$470,'TAR FIN'!$A$1:$O$86,15,0))</f>
        <v>197.13</v>
      </c>
      <c r="Y470" s="6"/>
      <c r="Z470" s="6">
        <f ca="1">('TUSD BE'!$AM$33+'TUSD BF_350'!$AM$33+'TUSD CVA'!$AM$33)*(1-CUSTOS!$M$38)</f>
        <v>291.86059999999998</v>
      </c>
      <c r="AA470" s="6">
        <f ca="1">('TE BE'!$AB$24+'TE BF_350'!$AB$24+'TE CVA'!$AB$24)*(1-CUSTOS!$M$38)</f>
        <v>246.77819999999997</v>
      </c>
      <c r="AB470" s="6">
        <f>$K$470*$V$470</f>
        <v>0</v>
      </c>
      <c r="AC470" s="6">
        <f>$M$470*$W$470</f>
        <v>2479.0405799999999</v>
      </c>
      <c r="AD470" s="6">
        <f>$O$470*$X$470</f>
        <v>1640.5158599999997</v>
      </c>
      <c r="AE470" s="6">
        <f>$K$470*$Y$470</f>
        <v>0</v>
      </c>
      <c r="AF470" s="6">
        <f ca="1">$M$470*$Z$470</f>
        <v>2428.8639131999994</v>
      </c>
      <c r="AG470" s="6">
        <f ca="1">$O$470*$AA$470</f>
        <v>2053.6881803999995</v>
      </c>
    </row>
    <row r="471" spans="1:33" ht="11.25" customHeight="1" x14ac:dyDescent="0.25">
      <c r="A471" s="4" t="s">
        <v>21</v>
      </c>
      <c r="B471" s="4" t="s">
        <v>41</v>
      </c>
      <c r="C471" s="4" t="s">
        <v>23</v>
      </c>
      <c r="D471" s="4" t="s">
        <v>42</v>
      </c>
      <c r="E471" s="4" t="s">
        <v>25</v>
      </c>
      <c r="F471" s="4" t="s">
        <v>25</v>
      </c>
      <c r="G471" s="4" t="s">
        <v>25</v>
      </c>
      <c r="H471" s="4" t="s">
        <v>25</v>
      </c>
      <c r="I471" s="5">
        <v>44470</v>
      </c>
      <c r="J471" s="6">
        <v>0</v>
      </c>
      <c r="K471" s="6">
        <v>0</v>
      </c>
      <c r="L471" s="6">
        <v>1154.396</v>
      </c>
      <c r="M471" s="6">
        <v>1154.396</v>
      </c>
      <c r="N471" s="6">
        <v>1154.396</v>
      </c>
      <c r="O471" s="6">
        <v>1154.396</v>
      </c>
      <c r="P471" s="6">
        <v>2488</v>
      </c>
      <c r="Q471" s="4" t="s">
        <v>26</v>
      </c>
      <c r="R471" s="4">
        <v>0</v>
      </c>
      <c r="S471" s="6">
        <v>0</v>
      </c>
      <c r="T471" s="6">
        <v>16</v>
      </c>
      <c r="U471" s="6">
        <v>54</v>
      </c>
      <c r="V471" s="6">
        <f>IF(ISERROR(VLOOKUP($S$471,'TAR FIN'!$A$1:$O$86,15,0)),0,VLOOKUP($S$471,'TAR FIN'!$A$1:$O$86,15,0))</f>
        <v>0</v>
      </c>
      <c r="W471" s="6">
        <f>IF(ISERROR(VLOOKUP($T$471,'TAR FIN'!$A$1:$O$86,15,0)),0,VLOOKUP($T$471,'TAR FIN'!$A$1:$O$86,15,0))</f>
        <v>297.89</v>
      </c>
      <c r="X471" s="6">
        <f>IF(ISERROR(VLOOKUP($U$471,'TAR FIN'!$A$1:$O$86,15,0)),0,VLOOKUP($U$471,'TAR FIN'!$A$1:$O$86,15,0))</f>
        <v>197.13</v>
      </c>
      <c r="Y471" s="6"/>
      <c r="Z471" s="6">
        <f ca="1">('TUSD BE'!$AM$33+'TUSD BF_350'!$AM$33+'TUSD CVA'!$AM$33)*(1-CUSTOS!$M$38)</f>
        <v>291.86059999999998</v>
      </c>
      <c r="AA471" s="6">
        <f ca="1">('TE BE'!$AB$24+'TE BF_350'!$AB$24+'TE CVA'!$AB$24)*(1-CUSTOS!$M$38)</f>
        <v>246.77819999999997</v>
      </c>
      <c r="AB471" s="6">
        <f>$K$471*$V$471</f>
        <v>0</v>
      </c>
      <c r="AC471" s="6">
        <f>$M$471*$W$471</f>
        <v>343883.02443999995</v>
      </c>
      <c r="AD471" s="6">
        <f>$O$471*$X$471</f>
        <v>227566.08347999997</v>
      </c>
      <c r="AE471" s="6">
        <f>$K$471*$Y$471</f>
        <v>0</v>
      </c>
      <c r="AF471" s="6">
        <f ca="1">$M$471*$Z$471</f>
        <v>336922.70919759996</v>
      </c>
      <c r="AG471" s="6">
        <f ca="1">$O$471*$AA$471</f>
        <v>284879.76696719998</v>
      </c>
    </row>
    <row r="472" spans="1:33" ht="11.25" customHeight="1" x14ac:dyDescent="0.25">
      <c r="A472" s="4" t="s">
        <v>28</v>
      </c>
      <c r="B472" s="4" t="s">
        <v>41</v>
      </c>
      <c r="C472" s="4" t="s">
        <v>23</v>
      </c>
      <c r="D472" s="4" t="s">
        <v>42</v>
      </c>
      <c r="E472" s="4" t="s">
        <v>25</v>
      </c>
      <c r="F472" s="4" t="s">
        <v>25</v>
      </c>
      <c r="G472" s="4" t="s">
        <v>25</v>
      </c>
      <c r="H472" s="4" t="s">
        <v>25</v>
      </c>
      <c r="I472" s="5">
        <v>44470</v>
      </c>
      <c r="J472" s="6">
        <v>0</v>
      </c>
      <c r="K472" s="6">
        <v>0</v>
      </c>
      <c r="L472" s="6">
        <v>11.291</v>
      </c>
      <c r="M472" s="6">
        <v>11.291</v>
      </c>
      <c r="N472" s="6">
        <v>11.291</v>
      </c>
      <c r="O472" s="6">
        <v>11.291</v>
      </c>
      <c r="P472" s="6">
        <v>12</v>
      </c>
      <c r="Q472" s="4" t="s">
        <v>26</v>
      </c>
      <c r="R472" s="4">
        <v>0</v>
      </c>
      <c r="S472" s="6">
        <v>0</v>
      </c>
      <c r="T472" s="6">
        <v>16</v>
      </c>
      <c r="U472" s="6">
        <v>54</v>
      </c>
      <c r="V472" s="6">
        <f>IF(ISERROR(VLOOKUP($S$472,'TAR FIN'!$A$1:$O$86,15,0)),0,VLOOKUP($S$472,'TAR FIN'!$A$1:$O$86,15,0))</f>
        <v>0</v>
      </c>
      <c r="W472" s="6">
        <f>IF(ISERROR(VLOOKUP($T$472,'TAR FIN'!$A$1:$O$86,15,0)),0,VLOOKUP($T$472,'TAR FIN'!$A$1:$O$86,15,0))</f>
        <v>297.89</v>
      </c>
      <c r="X472" s="6">
        <f>IF(ISERROR(VLOOKUP($U$472,'TAR FIN'!$A$1:$O$86,15,0)),0,VLOOKUP($U$472,'TAR FIN'!$A$1:$O$86,15,0))</f>
        <v>197.13</v>
      </c>
      <c r="Y472" s="6"/>
      <c r="Z472" s="6">
        <f ca="1">('TUSD BE'!$AM$33+'TUSD BF_350'!$AM$33+'TUSD CVA'!$AM$33)*(1-CUSTOS!$M$38)</f>
        <v>291.86059999999998</v>
      </c>
      <c r="AA472" s="6">
        <f ca="1">('TE BE'!$AB$24+'TE BF_350'!$AB$24+'TE CVA'!$AB$24)*(1-CUSTOS!$M$38)</f>
        <v>246.77819999999997</v>
      </c>
      <c r="AB472" s="6">
        <f>$K$472*$V$472</f>
        <v>0</v>
      </c>
      <c r="AC472" s="6">
        <f>$M$472*$W$472</f>
        <v>3363.4759899999999</v>
      </c>
      <c r="AD472" s="6">
        <f>$O$472*$X$472</f>
        <v>2225.7948299999998</v>
      </c>
      <c r="AE472" s="6">
        <f>$K$472*$Y$472</f>
        <v>0</v>
      </c>
      <c r="AF472" s="6">
        <f ca="1">$M$472*$Z$472</f>
        <v>3295.3980345999998</v>
      </c>
      <c r="AG472" s="6">
        <f ca="1">$O$472*$AA$472</f>
        <v>2786.3726561999997</v>
      </c>
    </row>
    <row r="473" spans="1:33" ht="11.25" customHeight="1" x14ac:dyDescent="0.25">
      <c r="A473" s="4" t="s">
        <v>21</v>
      </c>
      <c r="B473" s="4" t="s">
        <v>41</v>
      </c>
      <c r="C473" s="4" t="s">
        <v>23</v>
      </c>
      <c r="D473" s="4" t="s">
        <v>42</v>
      </c>
      <c r="E473" s="4" t="s">
        <v>25</v>
      </c>
      <c r="F473" s="4" t="s">
        <v>25</v>
      </c>
      <c r="G473" s="4" t="s">
        <v>25</v>
      </c>
      <c r="H473" s="4" t="s">
        <v>25</v>
      </c>
      <c r="I473" s="5">
        <v>44501</v>
      </c>
      <c r="J473" s="6">
        <v>0</v>
      </c>
      <c r="K473" s="6">
        <v>0</v>
      </c>
      <c r="L473" s="6">
        <v>1512.5139999999999</v>
      </c>
      <c r="M473" s="6">
        <v>1512.5139999999999</v>
      </c>
      <c r="N473" s="6">
        <v>1512.5139999999999</v>
      </c>
      <c r="O473" s="6">
        <v>1512.5139999999999</v>
      </c>
      <c r="P473" s="6">
        <v>2485</v>
      </c>
      <c r="Q473" s="4" t="s">
        <v>26</v>
      </c>
      <c r="R473" s="4">
        <v>0</v>
      </c>
      <c r="S473" s="6">
        <v>0</v>
      </c>
      <c r="T473" s="6">
        <v>16</v>
      </c>
      <c r="U473" s="6">
        <v>54</v>
      </c>
      <c r="V473" s="6">
        <f>IF(ISERROR(VLOOKUP($S$473,'TAR FIN'!$A$1:$O$86,15,0)),0,VLOOKUP($S$473,'TAR FIN'!$A$1:$O$86,15,0))</f>
        <v>0</v>
      </c>
      <c r="W473" s="6">
        <f>IF(ISERROR(VLOOKUP($T$473,'TAR FIN'!$A$1:$O$86,15,0)),0,VLOOKUP($T$473,'TAR FIN'!$A$1:$O$86,15,0))</f>
        <v>297.89</v>
      </c>
      <c r="X473" s="6">
        <f>IF(ISERROR(VLOOKUP($U$473,'TAR FIN'!$A$1:$O$86,15,0)),0,VLOOKUP($U$473,'TAR FIN'!$A$1:$O$86,15,0))</f>
        <v>197.13</v>
      </c>
      <c r="Y473" s="6"/>
      <c r="Z473" s="6">
        <f ca="1">('TUSD BE'!$AM$33+'TUSD BF_350'!$AM$33+'TUSD CVA'!$AM$33)*(1-CUSTOS!$M$38)</f>
        <v>291.86059999999998</v>
      </c>
      <c r="AA473" s="6">
        <f ca="1">('TE BE'!$AB$24+'TE BF_350'!$AB$24+'TE CVA'!$AB$24)*(1-CUSTOS!$M$38)</f>
        <v>246.77819999999997</v>
      </c>
      <c r="AB473" s="6">
        <f>$K$473*$V$473</f>
        <v>0</v>
      </c>
      <c r="AC473" s="6">
        <f>$M$473*$W$473</f>
        <v>450562.79545999994</v>
      </c>
      <c r="AD473" s="6">
        <f>$O$473*$X$473</f>
        <v>298161.88481999998</v>
      </c>
      <c r="AE473" s="6">
        <f>$K$473*$Y$473</f>
        <v>0</v>
      </c>
      <c r="AF473" s="6">
        <f ca="1">$M$473*$Z$473</f>
        <v>441443.24354839994</v>
      </c>
      <c r="AG473" s="6">
        <f ca="1">$O$473*$AA$473</f>
        <v>373255.48239479994</v>
      </c>
    </row>
    <row r="474" spans="1:33" ht="11.25" customHeight="1" x14ac:dyDescent="0.25">
      <c r="A474" s="4" t="s">
        <v>27</v>
      </c>
      <c r="B474" s="4" t="s">
        <v>41</v>
      </c>
      <c r="C474" s="4" t="s">
        <v>23</v>
      </c>
      <c r="D474" s="4" t="s">
        <v>42</v>
      </c>
      <c r="E474" s="4" t="s">
        <v>25</v>
      </c>
      <c r="F474" s="4" t="s">
        <v>25</v>
      </c>
      <c r="G474" s="4" t="s">
        <v>25</v>
      </c>
      <c r="H474" s="4" t="s">
        <v>25</v>
      </c>
      <c r="I474" s="5">
        <v>44501</v>
      </c>
      <c r="J474" s="6">
        <v>0</v>
      </c>
      <c r="K474" s="6">
        <v>0</v>
      </c>
      <c r="L474" s="6">
        <v>-2.9809999999999999</v>
      </c>
      <c r="M474" s="6">
        <v>-2.9809999999999999</v>
      </c>
      <c r="N474" s="6">
        <v>-2.9809999999999999</v>
      </c>
      <c r="O474" s="6">
        <v>-2.9809999999999999</v>
      </c>
      <c r="P474" s="6">
        <v>0</v>
      </c>
      <c r="Q474" s="4" t="s">
        <v>26</v>
      </c>
      <c r="R474" s="4">
        <v>0</v>
      </c>
      <c r="S474" s="6">
        <v>0</v>
      </c>
      <c r="T474" s="6">
        <v>16</v>
      </c>
      <c r="U474" s="6">
        <v>54</v>
      </c>
      <c r="V474" s="6">
        <f>IF(ISERROR(VLOOKUP($S$474,'TAR FIN'!$A$1:$O$86,15,0)),0,VLOOKUP($S$474,'TAR FIN'!$A$1:$O$86,15,0))</f>
        <v>0</v>
      </c>
      <c r="W474" s="6">
        <f>IF(ISERROR(VLOOKUP($T$474,'TAR FIN'!$A$1:$O$86,15,0)),0,VLOOKUP($T$474,'TAR FIN'!$A$1:$O$86,15,0))</f>
        <v>297.89</v>
      </c>
      <c r="X474" s="6">
        <f>IF(ISERROR(VLOOKUP($U$474,'TAR FIN'!$A$1:$O$86,15,0)),0,VLOOKUP($U$474,'TAR FIN'!$A$1:$O$86,15,0))</f>
        <v>197.13</v>
      </c>
      <c r="Y474" s="6"/>
      <c r="Z474" s="6">
        <f ca="1">('TUSD BE'!$AM$33+'TUSD BF_350'!$AM$33+'TUSD CVA'!$AM$33)*(1-CUSTOS!$M$38)</f>
        <v>291.86059999999998</v>
      </c>
      <c r="AA474" s="6">
        <f ca="1">('TE BE'!$AB$24+'TE BF_350'!$AB$24+'TE CVA'!$AB$24)*(1-CUSTOS!$M$38)</f>
        <v>246.77819999999997</v>
      </c>
      <c r="AB474" s="6">
        <f>$K$474*$V$474</f>
        <v>0</v>
      </c>
      <c r="AC474" s="6">
        <f>$M$474*$W$474</f>
        <v>-888.01008999999988</v>
      </c>
      <c r="AD474" s="6">
        <f>$O$474*$X$474</f>
        <v>-587.64452999999992</v>
      </c>
      <c r="AE474" s="6">
        <f>$K$474*$Y$474</f>
        <v>0</v>
      </c>
      <c r="AF474" s="6">
        <f ca="1">$M$474*$Z$474</f>
        <v>-870.03644859999986</v>
      </c>
      <c r="AG474" s="6">
        <f ca="1">$O$474*$AA$474</f>
        <v>-735.6458141999999</v>
      </c>
    </row>
    <row r="475" spans="1:33" ht="11.25" customHeight="1" x14ac:dyDescent="0.25">
      <c r="A475" s="4" t="s">
        <v>28</v>
      </c>
      <c r="B475" s="4" t="s">
        <v>41</v>
      </c>
      <c r="C475" s="4" t="s">
        <v>23</v>
      </c>
      <c r="D475" s="4" t="s">
        <v>42</v>
      </c>
      <c r="E475" s="4" t="s">
        <v>25</v>
      </c>
      <c r="F475" s="4" t="s">
        <v>25</v>
      </c>
      <c r="G475" s="4" t="s">
        <v>25</v>
      </c>
      <c r="H475" s="4" t="s">
        <v>25</v>
      </c>
      <c r="I475" s="5">
        <v>44501</v>
      </c>
      <c r="J475" s="6">
        <v>0</v>
      </c>
      <c r="K475" s="6">
        <v>0</v>
      </c>
      <c r="L475" s="6">
        <v>8.0329999999999995</v>
      </c>
      <c r="M475" s="6">
        <v>8.0329999999999995</v>
      </c>
      <c r="N475" s="6">
        <v>8.0329999999999995</v>
      </c>
      <c r="O475" s="6">
        <v>8.0329999999999995</v>
      </c>
      <c r="P475" s="6">
        <v>13</v>
      </c>
      <c r="Q475" s="4" t="s">
        <v>26</v>
      </c>
      <c r="R475" s="4">
        <v>0</v>
      </c>
      <c r="S475" s="6">
        <v>0</v>
      </c>
      <c r="T475" s="6">
        <v>16</v>
      </c>
      <c r="U475" s="6">
        <v>54</v>
      </c>
      <c r="V475" s="6">
        <f>IF(ISERROR(VLOOKUP($S$475,'TAR FIN'!$A$1:$O$86,15,0)),0,VLOOKUP($S$475,'TAR FIN'!$A$1:$O$86,15,0))</f>
        <v>0</v>
      </c>
      <c r="W475" s="6">
        <f>IF(ISERROR(VLOOKUP($T$475,'TAR FIN'!$A$1:$O$86,15,0)),0,VLOOKUP($T$475,'TAR FIN'!$A$1:$O$86,15,0))</f>
        <v>297.89</v>
      </c>
      <c r="X475" s="6">
        <f>IF(ISERROR(VLOOKUP($U$475,'TAR FIN'!$A$1:$O$86,15,0)),0,VLOOKUP($U$475,'TAR FIN'!$A$1:$O$86,15,0))</f>
        <v>197.13</v>
      </c>
      <c r="Y475" s="6"/>
      <c r="Z475" s="6">
        <f ca="1">('TUSD BE'!$AM$33+'TUSD BF_350'!$AM$33+'TUSD CVA'!$AM$33)*(1-CUSTOS!$M$38)</f>
        <v>291.86059999999998</v>
      </c>
      <c r="AA475" s="6">
        <f ca="1">('TE BE'!$AB$24+'TE BF_350'!$AB$24+'TE CVA'!$AB$24)*(1-CUSTOS!$M$38)</f>
        <v>246.77819999999997</v>
      </c>
      <c r="AB475" s="6">
        <f>$K$475*$V$475</f>
        <v>0</v>
      </c>
      <c r="AC475" s="6">
        <f>$M$475*$W$475</f>
        <v>2392.9503699999996</v>
      </c>
      <c r="AD475" s="6">
        <f>$O$475*$X$475</f>
        <v>1583.5452899999998</v>
      </c>
      <c r="AE475" s="6">
        <f>$K$475*$Y$475</f>
        <v>0</v>
      </c>
      <c r="AF475" s="6">
        <f ca="1">$M$475*$Z$475</f>
        <v>2344.5161997999999</v>
      </c>
      <c r="AG475" s="6">
        <f ca="1">$O$475*$AA$475</f>
        <v>1982.3692805999997</v>
      </c>
    </row>
    <row r="476" spans="1:33" ht="11.25" customHeight="1" x14ac:dyDescent="0.25">
      <c r="A476" s="4" t="s">
        <v>21</v>
      </c>
      <c r="B476" s="4" t="s">
        <v>41</v>
      </c>
      <c r="C476" s="4" t="s">
        <v>23</v>
      </c>
      <c r="D476" s="4" t="s">
        <v>42</v>
      </c>
      <c r="E476" s="4" t="s">
        <v>25</v>
      </c>
      <c r="F476" s="4" t="s">
        <v>25</v>
      </c>
      <c r="G476" s="4" t="s">
        <v>25</v>
      </c>
      <c r="H476" s="4" t="s">
        <v>25</v>
      </c>
      <c r="I476" s="5">
        <v>44531</v>
      </c>
      <c r="J476" s="6">
        <v>0</v>
      </c>
      <c r="K476" s="6">
        <v>0</v>
      </c>
      <c r="L476" s="6">
        <v>1420.2070000000001</v>
      </c>
      <c r="M476" s="6">
        <v>1420.2070000000001</v>
      </c>
      <c r="N476" s="6">
        <v>1420.2070000000001</v>
      </c>
      <c r="O476" s="6">
        <v>1420.2070000000001</v>
      </c>
      <c r="P476" s="6">
        <v>2491</v>
      </c>
      <c r="Q476" s="4" t="s">
        <v>26</v>
      </c>
      <c r="R476" s="4">
        <v>0</v>
      </c>
      <c r="S476" s="6">
        <v>0</v>
      </c>
      <c r="T476" s="6">
        <v>16</v>
      </c>
      <c r="U476" s="6">
        <v>54</v>
      </c>
      <c r="V476" s="6">
        <f>IF(ISERROR(VLOOKUP($S$476,'TAR FIN'!$A$1:$O$86,15,0)),0,VLOOKUP($S$476,'TAR FIN'!$A$1:$O$86,15,0))</f>
        <v>0</v>
      </c>
      <c r="W476" s="6">
        <f>IF(ISERROR(VLOOKUP($T$476,'TAR FIN'!$A$1:$O$86,15,0)),0,VLOOKUP($T$476,'TAR FIN'!$A$1:$O$86,15,0))</f>
        <v>297.89</v>
      </c>
      <c r="X476" s="6">
        <f>IF(ISERROR(VLOOKUP($U$476,'TAR FIN'!$A$1:$O$86,15,0)),0,VLOOKUP($U$476,'TAR FIN'!$A$1:$O$86,15,0))</f>
        <v>197.13</v>
      </c>
      <c r="Y476" s="6"/>
      <c r="Z476" s="6">
        <f ca="1">('TUSD BE'!$AM$33+'TUSD BF_350'!$AM$33+'TUSD CVA'!$AM$33)*(1-CUSTOS!$M$38)</f>
        <v>291.86059999999998</v>
      </c>
      <c r="AA476" s="6">
        <f ca="1">('TE BE'!$AB$24+'TE BF_350'!$AB$24+'TE CVA'!$AB$24)*(1-CUSTOS!$M$38)</f>
        <v>246.77819999999997</v>
      </c>
      <c r="AB476" s="6">
        <f>$K$476*$V$476</f>
        <v>0</v>
      </c>
      <c r="AC476" s="6">
        <f>$M$476*$W$476</f>
        <v>423065.46322999999</v>
      </c>
      <c r="AD476" s="6">
        <f>$O$476*$X$476</f>
        <v>279965.40591000003</v>
      </c>
      <c r="AE476" s="6">
        <f>$K$476*$Y$476</f>
        <v>0</v>
      </c>
      <c r="AF476" s="6">
        <f ca="1">$M$476*$Z$476</f>
        <v>414502.4671442</v>
      </c>
      <c r="AG476" s="6">
        <f ca="1">$O$476*$AA$476</f>
        <v>350476.1270874</v>
      </c>
    </row>
    <row r="477" spans="1:33" ht="11.25" customHeight="1" x14ac:dyDescent="0.25">
      <c r="A477" s="4" t="s">
        <v>27</v>
      </c>
      <c r="B477" s="4" t="s">
        <v>41</v>
      </c>
      <c r="C477" s="4" t="s">
        <v>23</v>
      </c>
      <c r="D477" s="4" t="s">
        <v>42</v>
      </c>
      <c r="E477" s="4" t="s">
        <v>25</v>
      </c>
      <c r="F477" s="4" t="s">
        <v>25</v>
      </c>
      <c r="G477" s="4" t="s">
        <v>25</v>
      </c>
      <c r="H477" s="4" t="s">
        <v>25</v>
      </c>
      <c r="I477" s="5">
        <v>44531</v>
      </c>
      <c r="J477" s="6">
        <v>0</v>
      </c>
      <c r="K477" s="6">
        <v>0</v>
      </c>
      <c r="L477" s="6">
        <v>-0.28699999999999998</v>
      </c>
      <c r="M477" s="6">
        <v>-0.28699999999999998</v>
      </c>
      <c r="N477" s="6">
        <v>-0.28699999999999998</v>
      </c>
      <c r="O477" s="6">
        <v>-0.28699999999999998</v>
      </c>
      <c r="P477" s="6">
        <v>0</v>
      </c>
      <c r="Q477" s="4" t="s">
        <v>26</v>
      </c>
      <c r="R477" s="4">
        <v>0</v>
      </c>
      <c r="S477" s="6">
        <v>0</v>
      </c>
      <c r="T477" s="6">
        <v>16</v>
      </c>
      <c r="U477" s="6">
        <v>54</v>
      </c>
      <c r="V477" s="6">
        <f>IF(ISERROR(VLOOKUP($S$477,'TAR FIN'!$A$1:$O$86,15,0)),0,VLOOKUP($S$477,'TAR FIN'!$A$1:$O$86,15,0))</f>
        <v>0</v>
      </c>
      <c r="W477" s="6">
        <f>IF(ISERROR(VLOOKUP($T$477,'TAR FIN'!$A$1:$O$86,15,0)),0,VLOOKUP($T$477,'TAR FIN'!$A$1:$O$86,15,0))</f>
        <v>297.89</v>
      </c>
      <c r="X477" s="6">
        <f>IF(ISERROR(VLOOKUP($U$477,'TAR FIN'!$A$1:$O$86,15,0)),0,VLOOKUP($U$477,'TAR FIN'!$A$1:$O$86,15,0))</f>
        <v>197.13</v>
      </c>
      <c r="Y477" s="6"/>
      <c r="Z477" s="6">
        <f ca="1">('TUSD BE'!$AM$33+'TUSD BF_350'!$AM$33+'TUSD CVA'!$AM$33)*(1-CUSTOS!$M$38)</f>
        <v>291.86059999999998</v>
      </c>
      <c r="AA477" s="6">
        <f ca="1">('TE BE'!$AB$24+'TE BF_350'!$AB$24+'TE CVA'!$AB$24)*(1-CUSTOS!$M$38)</f>
        <v>246.77819999999997</v>
      </c>
      <c r="AB477" s="6">
        <f>$K$477*$V$477</f>
        <v>0</v>
      </c>
      <c r="AC477" s="6">
        <f>$M$477*$W$477</f>
        <v>-85.494429999999994</v>
      </c>
      <c r="AD477" s="6">
        <f>$O$477*$X$477</f>
        <v>-56.576309999999992</v>
      </c>
      <c r="AE477" s="6">
        <f>$K$477*$Y$477</f>
        <v>0</v>
      </c>
      <c r="AF477" s="6">
        <f ca="1">$M$477*$Z$477</f>
        <v>-83.76399219999999</v>
      </c>
      <c r="AG477" s="6">
        <f ca="1">$O$477*$AA$477</f>
        <v>-70.82534339999998</v>
      </c>
    </row>
    <row r="478" spans="1:33" ht="11.25" customHeight="1" x14ac:dyDescent="0.25">
      <c r="A478" s="4" t="s">
        <v>28</v>
      </c>
      <c r="B478" s="4" t="s">
        <v>41</v>
      </c>
      <c r="C478" s="4" t="s">
        <v>23</v>
      </c>
      <c r="D478" s="4" t="s">
        <v>42</v>
      </c>
      <c r="E478" s="4" t="s">
        <v>25</v>
      </c>
      <c r="F478" s="4" t="s">
        <v>25</v>
      </c>
      <c r="G478" s="4" t="s">
        <v>25</v>
      </c>
      <c r="H478" s="4" t="s">
        <v>25</v>
      </c>
      <c r="I478" s="5">
        <v>44531</v>
      </c>
      <c r="J478" s="6">
        <v>0</v>
      </c>
      <c r="K478" s="6">
        <v>0</v>
      </c>
      <c r="L478" s="6">
        <v>11.968</v>
      </c>
      <c r="M478" s="6">
        <v>11.968</v>
      </c>
      <c r="N478" s="6">
        <v>11.968</v>
      </c>
      <c r="O478" s="6">
        <v>11.968</v>
      </c>
      <c r="P478" s="6">
        <v>13</v>
      </c>
      <c r="Q478" s="4" t="s">
        <v>26</v>
      </c>
      <c r="R478" s="4">
        <v>0</v>
      </c>
      <c r="S478" s="6">
        <v>0</v>
      </c>
      <c r="T478" s="6">
        <v>16</v>
      </c>
      <c r="U478" s="6">
        <v>54</v>
      </c>
      <c r="V478" s="6">
        <f>IF(ISERROR(VLOOKUP($S$478,'TAR FIN'!$A$1:$O$86,15,0)),0,VLOOKUP($S$478,'TAR FIN'!$A$1:$O$86,15,0))</f>
        <v>0</v>
      </c>
      <c r="W478" s="6">
        <f>IF(ISERROR(VLOOKUP($T$478,'TAR FIN'!$A$1:$O$86,15,0)),0,VLOOKUP($T$478,'TAR FIN'!$A$1:$O$86,15,0))</f>
        <v>297.89</v>
      </c>
      <c r="X478" s="6">
        <f>IF(ISERROR(VLOOKUP($U$478,'TAR FIN'!$A$1:$O$86,15,0)),0,VLOOKUP($U$478,'TAR FIN'!$A$1:$O$86,15,0))</f>
        <v>197.13</v>
      </c>
      <c r="Y478" s="6"/>
      <c r="Z478" s="6">
        <f ca="1">('TUSD BE'!$AM$33+'TUSD BF_350'!$AM$33+'TUSD CVA'!$AM$33)*(1-CUSTOS!$M$38)</f>
        <v>291.86059999999998</v>
      </c>
      <c r="AA478" s="6">
        <f ca="1">('TE BE'!$AB$24+'TE BF_350'!$AB$24+'TE CVA'!$AB$24)*(1-CUSTOS!$M$38)</f>
        <v>246.77819999999997</v>
      </c>
      <c r="AB478" s="6">
        <f>$K$478*$V$478</f>
        <v>0</v>
      </c>
      <c r="AC478" s="6">
        <f>$M$478*$W$478</f>
        <v>3565.14752</v>
      </c>
      <c r="AD478" s="6">
        <f>$O$478*$X$478</f>
        <v>2359.2518399999999</v>
      </c>
      <c r="AE478" s="6">
        <f>$K$478*$Y$478</f>
        <v>0</v>
      </c>
      <c r="AF478" s="6">
        <f ca="1">$M$478*$Z$478</f>
        <v>3492.9876607999995</v>
      </c>
      <c r="AG478" s="6">
        <f ca="1">$O$478*$AA$478</f>
        <v>2953.4414975999998</v>
      </c>
    </row>
    <row r="479" spans="1:33" ht="11.25" customHeight="1" x14ac:dyDescent="0.25">
      <c r="A479" s="4" t="s">
        <v>21</v>
      </c>
      <c r="B479" s="4" t="s">
        <v>41</v>
      </c>
      <c r="C479" s="4" t="s">
        <v>23</v>
      </c>
      <c r="D479" s="4" t="s">
        <v>42</v>
      </c>
      <c r="E479" s="4" t="s">
        <v>25</v>
      </c>
      <c r="F479" s="4" t="s">
        <v>25</v>
      </c>
      <c r="G479" s="4" t="s">
        <v>25</v>
      </c>
      <c r="H479" s="4" t="s">
        <v>25</v>
      </c>
      <c r="I479" s="5">
        <v>44562</v>
      </c>
      <c r="J479" s="6">
        <v>0</v>
      </c>
      <c r="K479" s="6">
        <v>0</v>
      </c>
      <c r="L479" s="6">
        <v>1030.336</v>
      </c>
      <c r="M479" s="6">
        <v>1030.336</v>
      </c>
      <c r="N479" s="6">
        <v>1030.336</v>
      </c>
      <c r="O479" s="6">
        <v>1030.336</v>
      </c>
      <c r="P479" s="6">
        <v>2487</v>
      </c>
      <c r="Q479" s="4" t="s">
        <v>26</v>
      </c>
      <c r="R479" s="4">
        <v>0</v>
      </c>
      <c r="S479" s="6">
        <v>0</v>
      </c>
      <c r="T479" s="6">
        <v>16</v>
      </c>
      <c r="U479" s="6">
        <v>54</v>
      </c>
      <c r="V479" s="6">
        <f>IF(ISERROR(VLOOKUP($S$479,'TAR FIN'!$A$1:$O$86,15,0)),0,VLOOKUP($S$479,'TAR FIN'!$A$1:$O$86,15,0))</f>
        <v>0</v>
      </c>
      <c r="W479" s="6">
        <f>IF(ISERROR(VLOOKUP($T$479,'TAR FIN'!$A$1:$O$86,15,0)),0,VLOOKUP($T$479,'TAR FIN'!$A$1:$O$86,15,0))</f>
        <v>297.89</v>
      </c>
      <c r="X479" s="6">
        <f>IF(ISERROR(VLOOKUP($U$479,'TAR FIN'!$A$1:$O$86,15,0)),0,VLOOKUP($U$479,'TAR FIN'!$A$1:$O$86,15,0))</f>
        <v>197.13</v>
      </c>
      <c r="Y479" s="6"/>
      <c r="Z479" s="6">
        <f ca="1">('TUSD BE'!$AM$33+'TUSD BF_350'!$AM$33+'TUSD CVA'!$AM$33)*(1-CUSTOS!$M$38)</f>
        <v>291.86059999999998</v>
      </c>
      <c r="AA479" s="6">
        <f ca="1">('TE BE'!$AB$24+'TE BF_350'!$AB$24+'TE CVA'!$AB$24)*(1-CUSTOS!$M$38)</f>
        <v>246.77819999999997</v>
      </c>
      <c r="AB479" s="6">
        <f>$K$479*$V$479</f>
        <v>0</v>
      </c>
      <c r="AC479" s="6">
        <f>$M$479*$W$479</f>
        <v>306926.79103999998</v>
      </c>
      <c r="AD479" s="6">
        <f>$O$479*$X$479</f>
        <v>203110.13568000001</v>
      </c>
      <c r="AE479" s="6">
        <f>$K$479*$Y$479</f>
        <v>0</v>
      </c>
      <c r="AF479" s="6">
        <f ca="1">$M$479*$Z$479</f>
        <v>300714.48316159996</v>
      </c>
      <c r="AG479" s="6">
        <f ca="1">$O$479*$AA$479</f>
        <v>254264.46347519997</v>
      </c>
    </row>
    <row r="480" spans="1:33" ht="11.25" customHeight="1" x14ac:dyDescent="0.25">
      <c r="A480" s="4" t="s">
        <v>28</v>
      </c>
      <c r="B480" s="4" t="s">
        <v>41</v>
      </c>
      <c r="C480" s="4" t="s">
        <v>23</v>
      </c>
      <c r="D480" s="4" t="s">
        <v>42</v>
      </c>
      <c r="E480" s="4" t="s">
        <v>25</v>
      </c>
      <c r="F480" s="4" t="s">
        <v>25</v>
      </c>
      <c r="G480" s="4" t="s">
        <v>25</v>
      </c>
      <c r="H480" s="4" t="s">
        <v>25</v>
      </c>
      <c r="I480" s="5">
        <v>44562</v>
      </c>
      <c r="J480" s="6">
        <v>0</v>
      </c>
      <c r="K480" s="6">
        <v>0</v>
      </c>
      <c r="L480" s="6">
        <v>6.9569999999999999</v>
      </c>
      <c r="M480" s="6">
        <v>6.9569999999999999</v>
      </c>
      <c r="N480" s="6">
        <v>6.9569999999999999</v>
      </c>
      <c r="O480" s="6">
        <v>6.9569999999999999</v>
      </c>
      <c r="P480" s="6">
        <v>17</v>
      </c>
      <c r="Q480" s="4" t="s">
        <v>26</v>
      </c>
      <c r="R480" s="4">
        <v>0</v>
      </c>
      <c r="S480" s="6">
        <v>0</v>
      </c>
      <c r="T480" s="6">
        <v>16</v>
      </c>
      <c r="U480" s="6">
        <v>54</v>
      </c>
      <c r="V480" s="6">
        <f>IF(ISERROR(VLOOKUP($S$480,'TAR FIN'!$A$1:$O$86,15,0)),0,VLOOKUP($S$480,'TAR FIN'!$A$1:$O$86,15,0))</f>
        <v>0</v>
      </c>
      <c r="W480" s="6">
        <f>IF(ISERROR(VLOOKUP($T$480,'TAR FIN'!$A$1:$O$86,15,0)),0,VLOOKUP($T$480,'TAR FIN'!$A$1:$O$86,15,0))</f>
        <v>297.89</v>
      </c>
      <c r="X480" s="6">
        <f>IF(ISERROR(VLOOKUP($U$480,'TAR FIN'!$A$1:$O$86,15,0)),0,VLOOKUP($U$480,'TAR FIN'!$A$1:$O$86,15,0))</f>
        <v>197.13</v>
      </c>
      <c r="Y480" s="6"/>
      <c r="Z480" s="6">
        <f ca="1">('TUSD BE'!$AM$33+'TUSD BF_350'!$AM$33+'TUSD CVA'!$AM$33)*(1-CUSTOS!$M$38)</f>
        <v>291.86059999999998</v>
      </c>
      <c r="AA480" s="6">
        <f ca="1">('TE BE'!$AB$24+'TE BF_350'!$AB$24+'TE CVA'!$AB$24)*(1-CUSTOS!$M$38)</f>
        <v>246.77819999999997</v>
      </c>
      <c r="AB480" s="6">
        <f>$K$480*$V$480</f>
        <v>0</v>
      </c>
      <c r="AC480" s="6">
        <f>$M$480*$W$480</f>
        <v>2072.4207299999998</v>
      </c>
      <c r="AD480" s="6">
        <f>$O$480*$X$480</f>
        <v>1371.4334099999999</v>
      </c>
      <c r="AE480" s="6">
        <f>$K$480*$Y$480</f>
        <v>0</v>
      </c>
      <c r="AF480" s="6">
        <f ca="1">$M$480*$Z$480</f>
        <v>2030.4741941999998</v>
      </c>
      <c r="AG480" s="6">
        <f ca="1">$O$480*$AA$480</f>
        <v>1716.8359373999997</v>
      </c>
    </row>
    <row r="481" spans="1:33" ht="11.25" customHeight="1" x14ac:dyDescent="0.25">
      <c r="A481" s="4" t="s">
        <v>21</v>
      </c>
      <c r="B481" s="4" t="s">
        <v>41</v>
      </c>
      <c r="C481" s="4" t="s">
        <v>23</v>
      </c>
      <c r="D481" s="4" t="s">
        <v>42</v>
      </c>
      <c r="E481" s="4" t="s">
        <v>25</v>
      </c>
      <c r="F481" s="4" t="s">
        <v>25</v>
      </c>
      <c r="G481" s="4" t="s">
        <v>25</v>
      </c>
      <c r="H481" s="4" t="s">
        <v>25</v>
      </c>
      <c r="I481" s="5">
        <v>44593</v>
      </c>
      <c r="J481" s="6">
        <v>0</v>
      </c>
      <c r="K481" s="6">
        <v>0</v>
      </c>
      <c r="L481" s="6">
        <v>1003.285</v>
      </c>
      <c r="M481" s="6">
        <v>1003.285</v>
      </c>
      <c r="N481" s="6">
        <v>1003.285</v>
      </c>
      <c r="O481" s="6">
        <v>1003.285</v>
      </c>
      <c r="P481" s="6">
        <v>2481</v>
      </c>
      <c r="Q481" s="4" t="s">
        <v>26</v>
      </c>
      <c r="R481" s="4">
        <v>0</v>
      </c>
      <c r="S481" s="6">
        <v>0</v>
      </c>
      <c r="T481" s="6">
        <v>16</v>
      </c>
      <c r="U481" s="6">
        <v>54</v>
      </c>
      <c r="V481" s="6">
        <f>IF(ISERROR(VLOOKUP($S$481,'TAR FIN'!$A$1:$O$86,15,0)),0,VLOOKUP($S$481,'TAR FIN'!$A$1:$O$86,15,0))</f>
        <v>0</v>
      </c>
      <c r="W481" s="6">
        <f>IF(ISERROR(VLOOKUP($T$481,'TAR FIN'!$A$1:$O$86,15,0)),0,VLOOKUP($T$481,'TAR FIN'!$A$1:$O$86,15,0))</f>
        <v>297.89</v>
      </c>
      <c r="X481" s="6">
        <f>IF(ISERROR(VLOOKUP($U$481,'TAR FIN'!$A$1:$O$86,15,0)),0,VLOOKUP($U$481,'TAR FIN'!$A$1:$O$86,15,0))</f>
        <v>197.13</v>
      </c>
      <c r="Y481" s="6"/>
      <c r="Z481" s="6">
        <f ca="1">('TUSD BE'!$AM$33+'TUSD BF_350'!$AM$33+'TUSD CVA'!$AM$33)*(1-CUSTOS!$M$38)</f>
        <v>291.86059999999998</v>
      </c>
      <c r="AA481" s="6">
        <f ca="1">('TE BE'!$AB$24+'TE BF_350'!$AB$24+'TE CVA'!$AB$24)*(1-CUSTOS!$M$38)</f>
        <v>246.77819999999997</v>
      </c>
      <c r="AB481" s="6">
        <f>$K$481*$V$481</f>
        <v>0</v>
      </c>
      <c r="AC481" s="6">
        <f>$M$481*$W$481</f>
        <v>298868.56864999997</v>
      </c>
      <c r="AD481" s="6">
        <f>$O$481*$X$481</f>
        <v>197777.57204999999</v>
      </c>
      <c r="AE481" s="6">
        <f>$K$481*$Y$481</f>
        <v>0</v>
      </c>
      <c r="AF481" s="6">
        <f ca="1">$M$481*$Z$481</f>
        <v>292819.36207099998</v>
      </c>
      <c r="AG481" s="6">
        <f ca="1">$O$481*$AA$481</f>
        <v>247588.86638699996</v>
      </c>
    </row>
    <row r="482" spans="1:33" ht="11.25" customHeight="1" x14ac:dyDescent="0.25">
      <c r="A482" s="4" t="s">
        <v>27</v>
      </c>
      <c r="B482" s="4" t="s">
        <v>41</v>
      </c>
      <c r="C482" s="4" t="s">
        <v>23</v>
      </c>
      <c r="D482" s="4" t="s">
        <v>42</v>
      </c>
      <c r="E482" s="4" t="s">
        <v>25</v>
      </c>
      <c r="F482" s="4" t="s">
        <v>25</v>
      </c>
      <c r="G482" s="4" t="s">
        <v>25</v>
      </c>
      <c r="H482" s="4" t="s">
        <v>25</v>
      </c>
      <c r="I482" s="5">
        <v>44593</v>
      </c>
      <c r="J482" s="6">
        <v>0</v>
      </c>
      <c r="K482" s="6">
        <v>0</v>
      </c>
      <c r="L482" s="6">
        <v>-2.1040000000000001</v>
      </c>
      <c r="M482" s="6">
        <v>-2.1040000000000001</v>
      </c>
      <c r="N482" s="6">
        <v>-2.1040000000000001</v>
      </c>
      <c r="O482" s="6">
        <v>-2.1040000000000001</v>
      </c>
      <c r="P482" s="6">
        <v>0</v>
      </c>
      <c r="Q482" s="4" t="s">
        <v>26</v>
      </c>
      <c r="R482" s="4">
        <v>0</v>
      </c>
      <c r="S482" s="6">
        <v>0</v>
      </c>
      <c r="T482" s="6">
        <v>16</v>
      </c>
      <c r="U482" s="6">
        <v>54</v>
      </c>
      <c r="V482" s="6">
        <f>IF(ISERROR(VLOOKUP($S$482,'TAR FIN'!$A$1:$O$86,15,0)),0,VLOOKUP($S$482,'TAR FIN'!$A$1:$O$86,15,0))</f>
        <v>0</v>
      </c>
      <c r="W482" s="6">
        <f>IF(ISERROR(VLOOKUP($T$482,'TAR FIN'!$A$1:$O$86,15,0)),0,VLOOKUP($T$482,'TAR FIN'!$A$1:$O$86,15,0))</f>
        <v>297.89</v>
      </c>
      <c r="X482" s="6">
        <f>IF(ISERROR(VLOOKUP($U$482,'TAR FIN'!$A$1:$O$86,15,0)),0,VLOOKUP($U$482,'TAR FIN'!$A$1:$O$86,15,0))</f>
        <v>197.13</v>
      </c>
      <c r="Y482" s="6"/>
      <c r="Z482" s="6">
        <f ca="1">('TUSD BE'!$AM$33+'TUSD BF_350'!$AM$33+'TUSD CVA'!$AM$33)*(1-CUSTOS!$M$38)</f>
        <v>291.86059999999998</v>
      </c>
      <c r="AA482" s="6">
        <f ca="1">('TE BE'!$AB$24+'TE BF_350'!$AB$24+'TE CVA'!$AB$24)*(1-CUSTOS!$M$38)</f>
        <v>246.77819999999997</v>
      </c>
      <c r="AB482" s="6">
        <f>$K$482*$V$482</f>
        <v>0</v>
      </c>
      <c r="AC482" s="6">
        <f>$M$482*$W$482</f>
        <v>-626.76056000000005</v>
      </c>
      <c r="AD482" s="6">
        <f>$O$482*$X$482</f>
        <v>-414.76152000000002</v>
      </c>
      <c r="AE482" s="6">
        <f>$K$482*$Y$482</f>
        <v>0</v>
      </c>
      <c r="AF482" s="6">
        <f ca="1">$M$482*$Z$482</f>
        <v>-614.07470239999998</v>
      </c>
      <c r="AG482" s="6">
        <f ca="1">$O$482*$AA$482</f>
        <v>-519.22133279999991</v>
      </c>
    </row>
    <row r="483" spans="1:33" ht="11.25" customHeight="1" x14ac:dyDescent="0.25">
      <c r="A483" s="4" t="s">
        <v>28</v>
      </c>
      <c r="B483" s="4" t="s">
        <v>41</v>
      </c>
      <c r="C483" s="4" t="s">
        <v>23</v>
      </c>
      <c r="D483" s="4" t="s">
        <v>42</v>
      </c>
      <c r="E483" s="4" t="s">
        <v>25</v>
      </c>
      <c r="F483" s="4" t="s">
        <v>25</v>
      </c>
      <c r="G483" s="4" t="s">
        <v>25</v>
      </c>
      <c r="H483" s="4" t="s">
        <v>25</v>
      </c>
      <c r="I483" s="5">
        <v>44593</v>
      </c>
      <c r="J483" s="6">
        <v>0</v>
      </c>
      <c r="K483" s="6">
        <v>0</v>
      </c>
      <c r="L483" s="6">
        <v>15.468</v>
      </c>
      <c r="M483" s="6">
        <v>15.468</v>
      </c>
      <c r="N483" s="6">
        <v>15.468</v>
      </c>
      <c r="O483" s="6">
        <v>15.468</v>
      </c>
      <c r="P483" s="6">
        <v>22</v>
      </c>
      <c r="Q483" s="4" t="s">
        <v>26</v>
      </c>
      <c r="R483" s="4">
        <v>0</v>
      </c>
      <c r="S483" s="6">
        <v>0</v>
      </c>
      <c r="T483" s="6">
        <v>16</v>
      </c>
      <c r="U483" s="6">
        <v>54</v>
      </c>
      <c r="V483" s="6">
        <f>IF(ISERROR(VLOOKUP($S$483,'TAR FIN'!$A$1:$O$86,15,0)),0,VLOOKUP($S$483,'TAR FIN'!$A$1:$O$86,15,0))</f>
        <v>0</v>
      </c>
      <c r="W483" s="6">
        <f>IF(ISERROR(VLOOKUP($T$483,'TAR FIN'!$A$1:$O$86,15,0)),0,VLOOKUP($T$483,'TAR FIN'!$A$1:$O$86,15,0))</f>
        <v>297.89</v>
      </c>
      <c r="X483" s="6">
        <f>IF(ISERROR(VLOOKUP($U$483,'TAR FIN'!$A$1:$O$86,15,0)),0,VLOOKUP($U$483,'TAR FIN'!$A$1:$O$86,15,0))</f>
        <v>197.13</v>
      </c>
      <c r="Y483" s="6"/>
      <c r="Z483" s="6">
        <f ca="1">('TUSD BE'!$AM$33+'TUSD BF_350'!$AM$33+'TUSD CVA'!$AM$33)*(1-CUSTOS!$M$38)</f>
        <v>291.86059999999998</v>
      </c>
      <c r="AA483" s="6">
        <f ca="1">('TE BE'!$AB$24+'TE BF_350'!$AB$24+'TE CVA'!$AB$24)*(1-CUSTOS!$M$38)</f>
        <v>246.77819999999997</v>
      </c>
      <c r="AB483" s="6">
        <f>$K$483*$V$483</f>
        <v>0</v>
      </c>
      <c r="AC483" s="6">
        <f>$M$483*$W$483</f>
        <v>4607.7625200000002</v>
      </c>
      <c r="AD483" s="6">
        <f>$O$483*$X$483</f>
        <v>3049.2068399999998</v>
      </c>
      <c r="AE483" s="6">
        <f>$K$483*$Y$483</f>
        <v>0</v>
      </c>
      <c r="AF483" s="6">
        <f ca="1">$M$483*$Z$483</f>
        <v>4514.4997607999994</v>
      </c>
      <c r="AG483" s="6">
        <f ca="1">$O$483*$AA$483</f>
        <v>3817.1651975999994</v>
      </c>
    </row>
    <row r="484" spans="1:33" ht="11.25" customHeight="1" x14ac:dyDescent="0.25">
      <c r="A484" s="4" t="s">
        <v>21</v>
      </c>
      <c r="B484" s="4" t="s">
        <v>41</v>
      </c>
      <c r="C484" s="4" t="s">
        <v>23</v>
      </c>
      <c r="D484" s="4" t="s">
        <v>42</v>
      </c>
      <c r="E484" s="4" t="s">
        <v>25</v>
      </c>
      <c r="F484" s="4" t="s">
        <v>25</v>
      </c>
      <c r="G484" s="4" t="s">
        <v>25</v>
      </c>
      <c r="H484" s="4" t="s">
        <v>25</v>
      </c>
      <c r="I484" s="5">
        <v>44621</v>
      </c>
      <c r="J484" s="6">
        <v>0</v>
      </c>
      <c r="K484" s="6">
        <v>0</v>
      </c>
      <c r="L484" s="6">
        <v>877.62300000000005</v>
      </c>
      <c r="M484" s="6">
        <v>877.62300000000005</v>
      </c>
      <c r="N484" s="6">
        <v>877.62300000000005</v>
      </c>
      <c r="O484" s="6">
        <v>877.62300000000005</v>
      </c>
      <c r="P484" s="6">
        <v>2476</v>
      </c>
      <c r="Q484" s="4" t="s">
        <v>26</v>
      </c>
      <c r="R484" s="4">
        <v>0</v>
      </c>
      <c r="S484" s="6">
        <v>0</v>
      </c>
      <c r="T484" s="6">
        <v>16</v>
      </c>
      <c r="U484" s="6">
        <v>54</v>
      </c>
      <c r="V484" s="6">
        <f>IF(ISERROR(VLOOKUP($S$484,'TAR FIN'!$A$1:$O$86,15,0)),0,VLOOKUP($S$484,'TAR FIN'!$A$1:$O$86,15,0))</f>
        <v>0</v>
      </c>
      <c r="W484" s="6">
        <f>IF(ISERROR(VLOOKUP($T$484,'TAR FIN'!$A$1:$O$86,15,0)),0,VLOOKUP($T$484,'TAR FIN'!$A$1:$O$86,15,0))</f>
        <v>297.89</v>
      </c>
      <c r="X484" s="6">
        <f>IF(ISERROR(VLOOKUP($U$484,'TAR FIN'!$A$1:$O$86,15,0)),0,VLOOKUP($U$484,'TAR FIN'!$A$1:$O$86,15,0))</f>
        <v>197.13</v>
      </c>
      <c r="Y484" s="6"/>
      <c r="Z484" s="6">
        <f ca="1">('TUSD BE'!$AM$33+'TUSD BF_350'!$AM$33+'TUSD CVA'!$AM$33)*(1-CUSTOS!$M$38)</f>
        <v>291.86059999999998</v>
      </c>
      <c r="AA484" s="6">
        <f ca="1">('TE BE'!$AB$24+'TE BF_350'!$AB$24+'TE CVA'!$AB$24)*(1-CUSTOS!$M$38)</f>
        <v>246.77819999999997</v>
      </c>
      <c r="AB484" s="6">
        <f>$K$484*$V$484</f>
        <v>0</v>
      </c>
      <c r="AC484" s="6">
        <f>$M$484*$W$484</f>
        <v>261435.11546999999</v>
      </c>
      <c r="AD484" s="6">
        <f>$O$484*$X$484</f>
        <v>173005.82199</v>
      </c>
      <c r="AE484" s="6">
        <f>$K$484*$Y$484</f>
        <v>0</v>
      </c>
      <c r="AF484" s="6">
        <f ca="1">$M$484*$Z$484</f>
        <v>256143.5753538</v>
      </c>
      <c r="AG484" s="6">
        <f ca="1">$O$484*$AA$484</f>
        <v>216578.22421859999</v>
      </c>
    </row>
    <row r="485" spans="1:33" ht="11.25" customHeight="1" x14ac:dyDescent="0.25">
      <c r="A485" s="4" t="s">
        <v>27</v>
      </c>
      <c r="B485" s="4" t="s">
        <v>41</v>
      </c>
      <c r="C485" s="4" t="s">
        <v>23</v>
      </c>
      <c r="D485" s="4" t="s">
        <v>42</v>
      </c>
      <c r="E485" s="4" t="s">
        <v>25</v>
      </c>
      <c r="F485" s="4" t="s">
        <v>25</v>
      </c>
      <c r="G485" s="4" t="s">
        <v>25</v>
      </c>
      <c r="H485" s="4" t="s">
        <v>25</v>
      </c>
      <c r="I485" s="5">
        <v>44621</v>
      </c>
      <c r="J485" s="6">
        <v>0</v>
      </c>
      <c r="K485" s="6">
        <v>0</v>
      </c>
      <c r="L485" s="6">
        <v>-4.6929999999999996</v>
      </c>
      <c r="M485" s="6">
        <v>-4.6929999999999996</v>
      </c>
      <c r="N485" s="6">
        <v>-4.6929999999999996</v>
      </c>
      <c r="O485" s="6">
        <v>-4.6929999999999996</v>
      </c>
      <c r="P485" s="6">
        <v>0</v>
      </c>
      <c r="Q485" s="4" t="s">
        <v>26</v>
      </c>
      <c r="R485" s="4">
        <v>0</v>
      </c>
      <c r="S485" s="6">
        <v>0</v>
      </c>
      <c r="T485" s="6">
        <v>16</v>
      </c>
      <c r="U485" s="6">
        <v>54</v>
      </c>
      <c r="V485" s="6">
        <f>IF(ISERROR(VLOOKUP($S$485,'TAR FIN'!$A$1:$O$86,15,0)),0,VLOOKUP($S$485,'TAR FIN'!$A$1:$O$86,15,0))</f>
        <v>0</v>
      </c>
      <c r="W485" s="6">
        <f>IF(ISERROR(VLOOKUP($T$485,'TAR FIN'!$A$1:$O$86,15,0)),0,VLOOKUP($T$485,'TAR FIN'!$A$1:$O$86,15,0))</f>
        <v>297.89</v>
      </c>
      <c r="X485" s="6">
        <f>IF(ISERROR(VLOOKUP($U$485,'TAR FIN'!$A$1:$O$86,15,0)),0,VLOOKUP($U$485,'TAR FIN'!$A$1:$O$86,15,0))</f>
        <v>197.13</v>
      </c>
      <c r="Y485" s="6"/>
      <c r="Z485" s="6">
        <f ca="1">('TUSD BE'!$AM$33+'TUSD BF_350'!$AM$33+'TUSD CVA'!$AM$33)*(1-CUSTOS!$M$38)</f>
        <v>291.86059999999998</v>
      </c>
      <c r="AA485" s="6">
        <f ca="1">('TE BE'!$AB$24+'TE BF_350'!$AB$24+'TE CVA'!$AB$24)*(1-CUSTOS!$M$38)</f>
        <v>246.77819999999997</v>
      </c>
      <c r="AB485" s="6">
        <f>$K$485*$V$485</f>
        <v>0</v>
      </c>
      <c r="AC485" s="6">
        <f>$M$485*$W$485</f>
        <v>-1397.9977699999997</v>
      </c>
      <c r="AD485" s="6">
        <f>$O$485*$X$485</f>
        <v>-925.13108999999986</v>
      </c>
      <c r="AE485" s="6">
        <f>$K$485*$Y$485</f>
        <v>0</v>
      </c>
      <c r="AF485" s="6">
        <f ca="1">$M$485*$Z$485</f>
        <v>-1369.7017957999997</v>
      </c>
      <c r="AG485" s="6">
        <f ca="1">$O$485*$AA$485</f>
        <v>-1158.1300925999997</v>
      </c>
    </row>
    <row r="486" spans="1:33" ht="11.25" customHeight="1" x14ac:dyDescent="0.25">
      <c r="A486" s="4" t="s">
        <v>28</v>
      </c>
      <c r="B486" s="4" t="s">
        <v>41</v>
      </c>
      <c r="C486" s="4" t="s">
        <v>23</v>
      </c>
      <c r="D486" s="4" t="s">
        <v>42</v>
      </c>
      <c r="E486" s="4" t="s">
        <v>25</v>
      </c>
      <c r="F486" s="4" t="s">
        <v>25</v>
      </c>
      <c r="G486" s="4" t="s">
        <v>25</v>
      </c>
      <c r="H486" s="4" t="s">
        <v>25</v>
      </c>
      <c r="I486" s="5">
        <v>44621</v>
      </c>
      <c r="J486" s="6">
        <v>0</v>
      </c>
      <c r="K486" s="6">
        <v>0</v>
      </c>
      <c r="L486" s="6">
        <v>7.75</v>
      </c>
      <c r="M486" s="6">
        <v>7.75</v>
      </c>
      <c r="N486" s="6">
        <v>7.75</v>
      </c>
      <c r="O486" s="6">
        <v>7.75</v>
      </c>
      <c r="P486" s="6">
        <v>25</v>
      </c>
      <c r="Q486" s="4" t="s">
        <v>26</v>
      </c>
      <c r="R486" s="4">
        <v>0</v>
      </c>
      <c r="S486" s="6">
        <v>0</v>
      </c>
      <c r="T486" s="6">
        <v>16</v>
      </c>
      <c r="U486" s="6">
        <v>54</v>
      </c>
      <c r="V486" s="6">
        <f>IF(ISERROR(VLOOKUP($S$486,'TAR FIN'!$A$1:$O$86,15,0)),0,VLOOKUP($S$486,'TAR FIN'!$A$1:$O$86,15,0))</f>
        <v>0</v>
      </c>
      <c r="W486" s="6">
        <f>IF(ISERROR(VLOOKUP($T$486,'TAR FIN'!$A$1:$O$86,15,0)),0,VLOOKUP($T$486,'TAR FIN'!$A$1:$O$86,15,0))</f>
        <v>297.89</v>
      </c>
      <c r="X486" s="6">
        <f>IF(ISERROR(VLOOKUP($U$486,'TAR FIN'!$A$1:$O$86,15,0)),0,VLOOKUP($U$486,'TAR FIN'!$A$1:$O$86,15,0))</f>
        <v>197.13</v>
      </c>
      <c r="Y486" s="6"/>
      <c r="Z486" s="6">
        <f ca="1">('TUSD BE'!$AM$33+'TUSD BF_350'!$AM$33+'TUSD CVA'!$AM$33)*(1-CUSTOS!$M$38)</f>
        <v>291.86059999999998</v>
      </c>
      <c r="AA486" s="6">
        <f ca="1">('TE BE'!$AB$24+'TE BF_350'!$AB$24+'TE CVA'!$AB$24)*(1-CUSTOS!$M$38)</f>
        <v>246.77819999999997</v>
      </c>
      <c r="AB486" s="6">
        <f>$K$486*$V$486</f>
        <v>0</v>
      </c>
      <c r="AC486" s="6">
        <f>$M$486*$W$486</f>
        <v>2308.6475</v>
      </c>
      <c r="AD486" s="6">
        <f>$O$486*$X$486</f>
        <v>1527.7574999999999</v>
      </c>
      <c r="AE486" s="6">
        <f>$K$486*$Y$486</f>
        <v>0</v>
      </c>
      <c r="AF486" s="6">
        <f ca="1">$M$486*$Z$486</f>
        <v>2261.9196499999998</v>
      </c>
      <c r="AG486" s="6">
        <f ca="1">$O$486*$AA$486</f>
        <v>1912.5310499999998</v>
      </c>
    </row>
    <row r="487" spans="1:33" ht="11.25" customHeight="1" x14ac:dyDescent="0.25">
      <c r="A487" s="4" t="s">
        <v>21</v>
      </c>
      <c r="B487" s="4" t="s">
        <v>41</v>
      </c>
      <c r="C487" s="4" t="s">
        <v>23</v>
      </c>
      <c r="D487" s="4" t="s">
        <v>42</v>
      </c>
      <c r="E487" s="4" t="s">
        <v>25</v>
      </c>
      <c r="F487" s="4" t="s">
        <v>25</v>
      </c>
      <c r="G487" s="4" t="s">
        <v>25</v>
      </c>
      <c r="H487" s="4" t="s">
        <v>25</v>
      </c>
      <c r="I487" s="5">
        <v>44652</v>
      </c>
      <c r="J487" s="6">
        <v>0</v>
      </c>
      <c r="K487" s="6">
        <v>0</v>
      </c>
      <c r="L487" s="6">
        <v>767.22</v>
      </c>
      <c r="M487" s="6">
        <v>767.22</v>
      </c>
      <c r="N487" s="6">
        <v>767.22</v>
      </c>
      <c r="O487" s="6">
        <v>767.22</v>
      </c>
      <c r="P487" s="6">
        <v>2460</v>
      </c>
      <c r="Q487" s="4" t="s">
        <v>26</v>
      </c>
      <c r="R487" s="4">
        <v>0</v>
      </c>
      <c r="S487" s="6">
        <v>0</v>
      </c>
      <c r="T487" s="6">
        <v>16</v>
      </c>
      <c r="U487" s="6">
        <v>54</v>
      </c>
      <c r="V487" s="6">
        <f>IF(ISERROR(VLOOKUP($S$487,'TAR FIN'!$A$1:$O$86,15,0)),0,VLOOKUP($S$487,'TAR FIN'!$A$1:$O$86,15,0))</f>
        <v>0</v>
      </c>
      <c r="W487" s="6">
        <f>IF(ISERROR(VLOOKUP($T$487,'TAR FIN'!$A$1:$O$86,15,0)),0,VLOOKUP($T$487,'TAR FIN'!$A$1:$O$86,15,0))</f>
        <v>297.89</v>
      </c>
      <c r="X487" s="6">
        <f>IF(ISERROR(VLOOKUP($U$487,'TAR FIN'!$A$1:$O$86,15,0)),0,VLOOKUP($U$487,'TAR FIN'!$A$1:$O$86,15,0))</f>
        <v>197.13</v>
      </c>
      <c r="Y487" s="6"/>
      <c r="Z487" s="6">
        <f ca="1">('TUSD BE'!$AM$33+'TUSD BF_350'!$AM$33+'TUSD CVA'!$AM$33)*(1-CUSTOS!$M$38)</f>
        <v>291.86059999999998</v>
      </c>
      <c r="AA487" s="6">
        <f ca="1">('TE BE'!$AB$24+'TE BF_350'!$AB$24+'TE CVA'!$AB$24)*(1-CUSTOS!$M$38)</f>
        <v>246.77819999999997</v>
      </c>
      <c r="AB487" s="6">
        <f>$K$487*$V$487</f>
        <v>0</v>
      </c>
      <c r="AC487" s="6">
        <f>$M$487*$W$487</f>
        <v>228547.16579999999</v>
      </c>
      <c r="AD487" s="6">
        <f>$O$487*$X$487</f>
        <v>151242.07860000001</v>
      </c>
      <c r="AE487" s="6">
        <f>$K$487*$Y$487</f>
        <v>0</v>
      </c>
      <c r="AF487" s="6">
        <f ca="1">$M$487*$Z$487</f>
        <v>223921.289532</v>
      </c>
      <c r="AG487" s="6">
        <f ca="1">$O$487*$AA$487</f>
        <v>189333.17060399998</v>
      </c>
    </row>
    <row r="488" spans="1:33" ht="11.25" customHeight="1" x14ac:dyDescent="0.25">
      <c r="A488" s="4" t="s">
        <v>27</v>
      </c>
      <c r="B488" s="4" t="s">
        <v>41</v>
      </c>
      <c r="C488" s="4" t="s">
        <v>23</v>
      </c>
      <c r="D488" s="4" t="s">
        <v>42</v>
      </c>
      <c r="E488" s="4" t="s">
        <v>25</v>
      </c>
      <c r="F488" s="4" t="s">
        <v>25</v>
      </c>
      <c r="G488" s="4" t="s">
        <v>25</v>
      </c>
      <c r="H488" s="4" t="s">
        <v>25</v>
      </c>
      <c r="I488" s="5">
        <v>44652</v>
      </c>
      <c r="J488" s="6">
        <v>0</v>
      </c>
      <c r="K488" s="6">
        <v>0</v>
      </c>
      <c r="L488" s="6">
        <v>-0.36599999999999999</v>
      </c>
      <c r="M488" s="6">
        <v>-0.36599999999999999</v>
      </c>
      <c r="N488" s="6">
        <v>-0.36599999999999999</v>
      </c>
      <c r="O488" s="6">
        <v>-0.36599999999999999</v>
      </c>
      <c r="P488" s="6">
        <v>0</v>
      </c>
      <c r="Q488" s="4" t="s">
        <v>26</v>
      </c>
      <c r="R488" s="4">
        <v>0</v>
      </c>
      <c r="S488" s="6">
        <v>0</v>
      </c>
      <c r="T488" s="6">
        <v>16</v>
      </c>
      <c r="U488" s="6">
        <v>54</v>
      </c>
      <c r="V488" s="6">
        <f>IF(ISERROR(VLOOKUP($S$488,'TAR FIN'!$A$1:$O$86,15,0)),0,VLOOKUP($S$488,'TAR FIN'!$A$1:$O$86,15,0))</f>
        <v>0</v>
      </c>
      <c r="W488" s="6">
        <f>IF(ISERROR(VLOOKUP($T$488,'TAR FIN'!$A$1:$O$86,15,0)),0,VLOOKUP($T$488,'TAR FIN'!$A$1:$O$86,15,0))</f>
        <v>297.89</v>
      </c>
      <c r="X488" s="6">
        <f>IF(ISERROR(VLOOKUP($U$488,'TAR FIN'!$A$1:$O$86,15,0)),0,VLOOKUP($U$488,'TAR FIN'!$A$1:$O$86,15,0))</f>
        <v>197.13</v>
      </c>
      <c r="Y488" s="6"/>
      <c r="Z488" s="6">
        <f ca="1">('TUSD BE'!$AM$33+'TUSD BF_350'!$AM$33+'TUSD CVA'!$AM$33)*(1-CUSTOS!$M$38)</f>
        <v>291.86059999999998</v>
      </c>
      <c r="AA488" s="6">
        <f ca="1">('TE BE'!$AB$24+'TE BF_350'!$AB$24+'TE CVA'!$AB$24)*(1-CUSTOS!$M$38)</f>
        <v>246.77819999999997</v>
      </c>
      <c r="AB488" s="6">
        <f>$K$488*$V$488</f>
        <v>0</v>
      </c>
      <c r="AC488" s="6">
        <f>$M$488*$W$488</f>
        <v>-109.02773999999999</v>
      </c>
      <c r="AD488" s="6">
        <f>$O$488*$X$488</f>
        <v>-72.14958</v>
      </c>
      <c r="AE488" s="6">
        <f>$K$488*$Y$488</f>
        <v>0</v>
      </c>
      <c r="AF488" s="6">
        <f ca="1">$M$488*$Z$488</f>
        <v>-106.82097959999999</v>
      </c>
      <c r="AG488" s="6">
        <f ca="1">$O$488*$AA$488</f>
        <v>-90.320821199999983</v>
      </c>
    </row>
    <row r="489" spans="1:33" ht="11.25" customHeight="1" x14ac:dyDescent="0.25">
      <c r="A489" s="4" t="s">
        <v>28</v>
      </c>
      <c r="B489" s="4" t="s">
        <v>41</v>
      </c>
      <c r="C489" s="4" t="s">
        <v>23</v>
      </c>
      <c r="D489" s="4" t="s">
        <v>42</v>
      </c>
      <c r="E489" s="4" t="s">
        <v>25</v>
      </c>
      <c r="F489" s="4" t="s">
        <v>25</v>
      </c>
      <c r="G489" s="4" t="s">
        <v>25</v>
      </c>
      <c r="H489" s="4" t="s">
        <v>25</v>
      </c>
      <c r="I489" s="5">
        <v>44652</v>
      </c>
      <c r="J489" s="6">
        <v>0</v>
      </c>
      <c r="K489" s="6">
        <v>0</v>
      </c>
      <c r="L489" s="6">
        <v>9.6259999999999994</v>
      </c>
      <c r="M489" s="6">
        <v>9.6259999999999994</v>
      </c>
      <c r="N489" s="6">
        <v>9.6259999999999994</v>
      </c>
      <c r="O489" s="6">
        <v>9.6259999999999994</v>
      </c>
      <c r="P489" s="6">
        <v>29</v>
      </c>
      <c r="Q489" s="4" t="s">
        <v>26</v>
      </c>
      <c r="R489" s="4">
        <v>0</v>
      </c>
      <c r="S489" s="6">
        <v>0</v>
      </c>
      <c r="T489" s="6">
        <v>16</v>
      </c>
      <c r="U489" s="6">
        <v>54</v>
      </c>
      <c r="V489" s="6">
        <f>IF(ISERROR(VLOOKUP($S$489,'TAR FIN'!$A$1:$O$86,15,0)),0,VLOOKUP($S$489,'TAR FIN'!$A$1:$O$86,15,0))</f>
        <v>0</v>
      </c>
      <c r="W489" s="6">
        <f>IF(ISERROR(VLOOKUP($T$489,'TAR FIN'!$A$1:$O$86,15,0)),0,VLOOKUP($T$489,'TAR FIN'!$A$1:$O$86,15,0))</f>
        <v>297.89</v>
      </c>
      <c r="X489" s="6">
        <f>IF(ISERROR(VLOOKUP($U$489,'TAR FIN'!$A$1:$O$86,15,0)),0,VLOOKUP($U$489,'TAR FIN'!$A$1:$O$86,15,0))</f>
        <v>197.13</v>
      </c>
      <c r="Y489" s="6"/>
      <c r="Z489" s="6">
        <f ca="1">('TUSD BE'!$AM$33+'TUSD BF_350'!$AM$33+'TUSD CVA'!$AM$33)*(1-CUSTOS!$M$38)</f>
        <v>291.86059999999998</v>
      </c>
      <c r="AA489" s="6">
        <f ca="1">('TE BE'!$AB$24+'TE BF_350'!$AB$24+'TE CVA'!$AB$24)*(1-CUSTOS!$M$38)</f>
        <v>246.77819999999997</v>
      </c>
      <c r="AB489" s="6">
        <f>$K$489*$V$489</f>
        <v>0</v>
      </c>
      <c r="AC489" s="6">
        <f>$M$489*$W$489</f>
        <v>2867.4891399999997</v>
      </c>
      <c r="AD489" s="6">
        <f>$O$489*$X$489</f>
        <v>1897.5733799999998</v>
      </c>
      <c r="AE489" s="6">
        <f>$K$489*$Y$489</f>
        <v>0</v>
      </c>
      <c r="AF489" s="6">
        <f ca="1">$M$489*$Z$489</f>
        <v>2809.4501355999996</v>
      </c>
      <c r="AG489" s="6">
        <f ca="1">$O$489*$AA$489</f>
        <v>2375.4869531999998</v>
      </c>
    </row>
    <row r="490" spans="1:33" ht="11.25" customHeight="1" x14ac:dyDescent="0.25">
      <c r="A490" s="4" t="s">
        <v>21</v>
      </c>
      <c r="B490" s="4" t="s">
        <v>41</v>
      </c>
      <c r="C490" s="4" t="s">
        <v>23</v>
      </c>
      <c r="D490" s="4" t="s">
        <v>42</v>
      </c>
      <c r="E490" s="4" t="s">
        <v>25</v>
      </c>
      <c r="F490" s="4" t="s">
        <v>25</v>
      </c>
      <c r="G490" s="4" t="s">
        <v>25</v>
      </c>
      <c r="H490" s="4" t="s">
        <v>25</v>
      </c>
      <c r="I490" s="5">
        <v>44682</v>
      </c>
      <c r="J490" s="6">
        <v>0</v>
      </c>
      <c r="K490" s="6">
        <v>0</v>
      </c>
      <c r="L490" s="6">
        <v>757.27300000000002</v>
      </c>
      <c r="M490" s="6">
        <v>757.27300000000002</v>
      </c>
      <c r="N490" s="6">
        <v>757.27300000000002</v>
      </c>
      <c r="O490" s="6">
        <v>757.27300000000002</v>
      </c>
      <c r="P490" s="6">
        <v>2458</v>
      </c>
      <c r="Q490" s="4" t="s">
        <v>26</v>
      </c>
      <c r="R490" s="4">
        <v>0</v>
      </c>
      <c r="S490" s="6">
        <v>0</v>
      </c>
      <c r="T490" s="6">
        <v>16</v>
      </c>
      <c r="U490" s="6">
        <v>54</v>
      </c>
      <c r="V490" s="6">
        <f>IF(ISERROR(VLOOKUP($S$490,'TAR FIN'!$A$1:$O$86,15,0)),0,VLOOKUP($S$490,'TAR FIN'!$A$1:$O$86,15,0))</f>
        <v>0</v>
      </c>
      <c r="W490" s="6">
        <f>IF(ISERROR(VLOOKUP($T$490,'TAR FIN'!$A$1:$O$86,15,0)),0,VLOOKUP($T$490,'TAR FIN'!$A$1:$O$86,15,0))</f>
        <v>297.89</v>
      </c>
      <c r="X490" s="6">
        <f>IF(ISERROR(VLOOKUP($U$490,'TAR FIN'!$A$1:$O$86,15,0)),0,VLOOKUP($U$490,'TAR FIN'!$A$1:$O$86,15,0))</f>
        <v>197.13</v>
      </c>
      <c r="Y490" s="6"/>
      <c r="Z490" s="6">
        <f ca="1">('TUSD BE'!$AM$33+'TUSD BF_350'!$AM$33+'TUSD CVA'!$AM$33)*(1-CUSTOS!$M$38)</f>
        <v>291.86059999999998</v>
      </c>
      <c r="AA490" s="6">
        <f ca="1">('TE BE'!$AB$24+'TE BF_350'!$AB$24+'TE CVA'!$AB$24)*(1-CUSTOS!$M$38)</f>
        <v>246.77819999999997</v>
      </c>
      <c r="AB490" s="6">
        <f>$K$490*$V$490</f>
        <v>0</v>
      </c>
      <c r="AC490" s="6">
        <f>$M$490*$W$490</f>
        <v>225584.05397000001</v>
      </c>
      <c r="AD490" s="6">
        <f>$O$490*$X$490</f>
        <v>149281.22649</v>
      </c>
      <c r="AE490" s="6">
        <f>$K$490*$Y$490</f>
        <v>0</v>
      </c>
      <c r="AF490" s="6">
        <f ca="1">$M$490*$Z$490</f>
        <v>221018.15214379999</v>
      </c>
      <c r="AG490" s="6">
        <f ca="1">$O$490*$AA$490</f>
        <v>186878.46784859998</v>
      </c>
    </row>
    <row r="491" spans="1:33" ht="11.25" customHeight="1" x14ac:dyDescent="0.25">
      <c r="A491" s="4" t="s">
        <v>28</v>
      </c>
      <c r="B491" s="4" t="s">
        <v>41</v>
      </c>
      <c r="C491" s="4" t="s">
        <v>23</v>
      </c>
      <c r="D491" s="4" t="s">
        <v>42</v>
      </c>
      <c r="E491" s="4" t="s">
        <v>25</v>
      </c>
      <c r="F491" s="4" t="s">
        <v>25</v>
      </c>
      <c r="G491" s="4" t="s">
        <v>25</v>
      </c>
      <c r="H491" s="4" t="s">
        <v>25</v>
      </c>
      <c r="I491" s="5">
        <v>44682</v>
      </c>
      <c r="J491" s="6">
        <v>0</v>
      </c>
      <c r="K491" s="6">
        <v>0</v>
      </c>
      <c r="L491" s="6">
        <v>14.491</v>
      </c>
      <c r="M491" s="6">
        <v>14.491</v>
      </c>
      <c r="N491" s="6">
        <v>14.491</v>
      </c>
      <c r="O491" s="6">
        <v>14.491</v>
      </c>
      <c r="P491" s="6">
        <v>31</v>
      </c>
      <c r="Q491" s="4" t="s">
        <v>26</v>
      </c>
      <c r="R491" s="4">
        <v>0</v>
      </c>
      <c r="S491" s="6">
        <v>0</v>
      </c>
      <c r="T491" s="6">
        <v>16</v>
      </c>
      <c r="U491" s="6">
        <v>54</v>
      </c>
      <c r="V491" s="6">
        <f>IF(ISERROR(VLOOKUP($S$491,'TAR FIN'!$A$1:$O$86,15,0)),0,VLOOKUP($S$491,'TAR FIN'!$A$1:$O$86,15,0))</f>
        <v>0</v>
      </c>
      <c r="W491" s="6">
        <f>IF(ISERROR(VLOOKUP($T$491,'TAR FIN'!$A$1:$O$86,15,0)),0,VLOOKUP($T$491,'TAR FIN'!$A$1:$O$86,15,0))</f>
        <v>297.89</v>
      </c>
      <c r="X491" s="6">
        <f>IF(ISERROR(VLOOKUP($U$491,'TAR FIN'!$A$1:$O$86,15,0)),0,VLOOKUP($U$491,'TAR FIN'!$A$1:$O$86,15,0))</f>
        <v>197.13</v>
      </c>
      <c r="Y491" s="6"/>
      <c r="Z491" s="6">
        <f ca="1">('TUSD BE'!$AM$33+'TUSD BF_350'!$AM$33+'TUSD CVA'!$AM$33)*(1-CUSTOS!$M$38)</f>
        <v>291.86059999999998</v>
      </c>
      <c r="AA491" s="6">
        <f ca="1">('TE BE'!$AB$24+'TE BF_350'!$AB$24+'TE CVA'!$AB$24)*(1-CUSTOS!$M$38)</f>
        <v>246.77819999999997</v>
      </c>
      <c r="AB491" s="6">
        <f>$K$491*$V$491</f>
        <v>0</v>
      </c>
      <c r="AC491" s="6">
        <f>$M$491*$W$491</f>
        <v>4316.7239899999995</v>
      </c>
      <c r="AD491" s="6">
        <f>$O$491*$X$491</f>
        <v>2856.6108300000001</v>
      </c>
      <c r="AE491" s="6">
        <f>$K$491*$Y$491</f>
        <v>0</v>
      </c>
      <c r="AF491" s="6">
        <f ca="1">$M$491*$Z$491</f>
        <v>4229.3519545999998</v>
      </c>
      <c r="AG491" s="6">
        <f ca="1">$O$491*$AA$491</f>
        <v>3576.0628961999996</v>
      </c>
    </row>
    <row r="492" spans="1:33" ht="11.25" customHeight="1" x14ac:dyDescent="0.25">
      <c r="A492" s="4" t="s">
        <v>21</v>
      </c>
      <c r="B492" s="4" t="s">
        <v>41</v>
      </c>
      <c r="C492" s="4" t="s">
        <v>23</v>
      </c>
      <c r="D492" s="4" t="s">
        <v>42</v>
      </c>
      <c r="E492" s="4" t="s">
        <v>25</v>
      </c>
      <c r="F492" s="4" t="s">
        <v>25</v>
      </c>
      <c r="G492" s="4" t="s">
        <v>25</v>
      </c>
      <c r="H492" s="4" t="s">
        <v>25</v>
      </c>
      <c r="I492" s="5">
        <v>44713</v>
      </c>
      <c r="J492" s="6">
        <v>0</v>
      </c>
      <c r="K492" s="6">
        <v>0</v>
      </c>
      <c r="L492" s="6">
        <v>687.50599999999997</v>
      </c>
      <c r="M492" s="6">
        <v>687.50599999999997</v>
      </c>
      <c r="N492" s="6">
        <v>687.50599999999997</v>
      </c>
      <c r="O492" s="6">
        <v>687.50599999999997</v>
      </c>
      <c r="P492" s="6">
        <v>2440</v>
      </c>
      <c r="Q492" s="4" t="s">
        <v>26</v>
      </c>
      <c r="R492" s="4">
        <v>0</v>
      </c>
      <c r="S492" s="6">
        <v>0</v>
      </c>
      <c r="T492" s="6">
        <v>16</v>
      </c>
      <c r="U492" s="6">
        <v>54</v>
      </c>
      <c r="V492" s="6">
        <f>IF(ISERROR(VLOOKUP($S$492,'TAR FIN'!$A$1:$O$86,15,0)),0,VLOOKUP($S$492,'TAR FIN'!$A$1:$O$86,15,0))</f>
        <v>0</v>
      </c>
      <c r="W492" s="6">
        <f>IF(ISERROR(VLOOKUP($T$492,'TAR FIN'!$A$1:$O$86,15,0)),0,VLOOKUP($T$492,'TAR FIN'!$A$1:$O$86,15,0))</f>
        <v>297.89</v>
      </c>
      <c r="X492" s="6">
        <f>IF(ISERROR(VLOOKUP($U$492,'TAR FIN'!$A$1:$O$86,15,0)),0,VLOOKUP($U$492,'TAR FIN'!$A$1:$O$86,15,0))</f>
        <v>197.13</v>
      </c>
      <c r="Y492" s="6"/>
      <c r="Z492" s="6">
        <f ca="1">('TUSD BE'!$AM$33+'TUSD BF_350'!$AM$33+'TUSD CVA'!$AM$33)*(1-CUSTOS!$M$38)</f>
        <v>291.86059999999998</v>
      </c>
      <c r="AA492" s="6">
        <f ca="1">('TE BE'!$AB$24+'TE BF_350'!$AB$24+'TE CVA'!$AB$24)*(1-CUSTOS!$M$38)</f>
        <v>246.77819999999997</v>
      </c>
      <c r="AB492" s="6">
        <f>$K$492*$V$492</f>
        <v>0</v>
      </c>
      <c r="AC492" s="6">
        <f>$M$492*$W$492</f>
        <v>204801.16233999998</v>
      </c>
      <c r="AD492" s="6">
        <f>$O$492*$X$492</f>
        <v>135528.05778</v>
      </c>
      <c r="AE492" s="6">
        <f>$K$492*$Y$492</f>
        <v>0</v>
      </c>
      <c r="AF492" s="6">
        <f ca="1">$M$492*$Z$492</f>
        <v>200655.91366359999</v>
      </c>
      <c r="AG492" s="6">
        <f ca="1">$O$492*$AA$492</f>
        <v>169661.49316919997</v>
      </c>
    </row>
    <row r="493" spans="1:33" ht="11.25" customHeight="1" x14ac:dyDescent="0.25">
      <c r="A493" s="4" t="s">
        <v>27</v>
      </c>
      <c r="B493" s="4" t="s">
        <v>41</v>
      </c>
      <c r="C493" s="4" t="s">
        <v>23</v>
      </c>
      <c r="D493" s="4" t="s">
        <v>42</v>
      </c>
      <c r="E493" s="4" t="s">
        <v>25</v>
      </c>
      <c r="F493" s="4" t="s">
        <v>25</v>
      </c>
      <c r="G493" s="4" t="s">
        <v>25</v>
      </c>
      <c r="H493" s="4" t="s">
        <v>25</v>
      </c>
      <c r="I493" s="5">
        <v>44713</v>
      </c>
      <c r="J493" s="6">
        <v>0</v>
      </c>
      <c r="K493" s="6">
        <v>0</v>
      </c>
      <c r="L493" s="6">
        <v>-2.6579999999999999</v>
      </c>
      <c r="M493" s="6">
        <v>-2.6579999999999999</v>
      </c>
      <c r="N493" s="6">
        <v>-2.6579999999999999</v>
      </c>
      <c r="O493" s="6">
        <v>-2.6579999999999999</v>
      </c>
      <c r="P493" s="6">
        <v>0</v>
      </c>
      <c r="Q493" s="4" t="s">
        <v>26</v>
      </c>
      <c r="R493" s="4">
        <v>0</v>
      </c>
      <c r="S493" s="6">
        <v>0</v>
      </c>
      <c r="T493" s="6">
        <v>16</v>
      </c>
      <c r="U493" s="6">
        <v>54</v>
      </c>
      <c r="V493" s="6">
        <f>IF(ISERROR(VLOOKUP($S$493,'TAR FIN'!$A$1:$O$86,15,0)),0,VLOOKUP($S$493,'TAR FIN'!$A$1:$O$86,15,0))</f>
        <v>0</v>
      </c>
      <c r="W493" s="6">
        <f>IF(ISERROR(VLOOKUP($T$493,'TAR FIN'!$A$1:$O$86,15,0)),0,VLOOKUP($T$493,'TAR FIN'!$A$1:$O$86,15,0))</f>
        <v>297.89</v>
      </c>
      <c r="X493" s="6">
        <f>IF(ISERROR(VLOOKUP($U$493,'TAR FIN'!$A$1:$O$86,15,0)),0,VLOOKUP($U$493,'TAR FIN'!$A$1:$O$86,15,0))</f>
        <v>197.13</v>
      </c>
      <c r="Y493" s="6"/>
      <c r="Z493" s="6">
        <f ca="1">('TUSD BE'!$AM$33+'TUSD BF_350'!$AM$33+'TUSD CVA'!$AM$33)*(1-CUSTOS!$M$38)</f>
        <v>291.86059999999998</v>
      </c>
      <c r="AA493" s="6">
        <f ca="1">('TE BE'!$AB$24+'TE BF_350'!$AB$24+'TE CVA'!$AB$24)*(1-CUSTOS!$M$38)</f>
        <v>246.77819999999997</v>
      </c>
      <c r="AB493" s="6">
        <f>$K$493*$V$493</f>
        <v>0</v>
      </c>
      <c r="AC493" s="6">
        <f>$M$493*$W$493</f>
        <v>-791.79161999999997</v>
      </c>
      <c r="AD493" s="6">
        <f>$O$493*$X$493</f>
        <v>-523.97154</v>
      </c>
      <c r="AE493" s="6">
        <f>$K$493*$Y$493</f>
        <v>0</v>
      </c>
      <c r="AF493" s="6">
        <f ca="1">$M$493*$Z$493</f>
        <v>-775.76547479999988</v>
      </c>
      <c r="AG493" s="6">
        <f ca="1">$O$493*$AA$493</f>
        <v>-655.93645559999993</v>
      </c>
    </row>
    <row r="494" spans="1:33" ht="11.25" customHeight="1" x14ac:dyDescent="0.25">
      <c r="A494" s="4" t="s">
        <v>28</v>
      </c>
      <c r="B494" s="4" t="s">
        <v>41</v>
      </c>
      <c r="C494" s="4" t="s">
        <v>23</v>
      </c>
      <c r="D494" s="4" t="s">
        <v>42</v>
      </c>
      <c r="E494" s="4" t="s">
        <v>25</v>
      </c>
      <c r="F494" s="4" t="s">
        <v>25</v>
      </c>
      <c r="G494" s="4" t="s">
        <v>25</v>
      </c>
      <c r="H494" s="4" t="s">
        <v>25</v>
      </c>
      <c r="I494" s="5">
        <v>44713</v>
      </c>
      <c r="J494" s="6">
        <v>0</v>
      </c>
      <c r="K494" s="6">
        <v>0</v>
      </c>
      <c r="L494" s="6">
        <v>12.61</v>
      </c>
      <c r="M494" s="6">
        <v>12.61</v>
      </c>
      <c r="N494" s="6">
        <v>12.61</v>
      </c>
      <c r="O494" s="6">
        <v>12.61</v>
      </c>
      <c r="P494" s="6">
        <v>37</v>
      </c>
      <c r="Q494" s="4" t="s">
        <v>26</v>
      </c>
      <c r="R494" s="4">
        <v>0</v>
      </c>
      <c r="S494" s="6">
        <v>0</v>
      </c>
      <c r="T494" s="6">
        <v>16</v>
      </c>
      <c r="U494" s="6">
        <v>54</v>
      </c>
      <c r="V494" s="6">
        <f>IF(ISERROR(VLOOKUP($S$494,'TAR FIN'!$A$1:$O$86,15,0)),0,VLOOKUP($S$494,'TAR FIN'!$A$1:$O$86,15,0))</f>
        <v>0</v>
      </c>
      <c r="W494" s="6">
        <f>IF(ISERROR(VLOOKUP($T$494,'TAR FIN'!$A$1:$O$86,15,0)),0,VLOOKUP($T$494,'TAR FIN'!$A$1:$O$86,15,0))</f>
        <v>297.89</v>
      </c>
      <c r="X494" s="6">
        <f>IF(ISERROR(VLOOKUP($U$494,'TAR FIN'!$A$1:$O$86,15,0)),0,VLOOKUP($U$494,'TAR FIN'!$A$1:$O$86,15,0))</f>
        <v>197.13</v>
      </c>
      <c r="Y494" s="6"/>
      <c r="Z494" s="6">
        <f ca="1">('TUSD BE'!$AM$33+'TUSD BF_350'!$AM$33+'TUSD CVA'!$AM$33)*(1-CUSTOS!$M$38)</f>
        <v>291.86059999999998</v>
      </c>
      <c r="AA494" s="6">
        <f ca="1">('TE BE'!$AB$24+'TE BF_350'!$AB$24+'TE CVA'!$AB$24)*(1-CUSTOS!$M$38)</f>
        <v>246.77819999999997</v>
      </c>
      <c r="AB494" s="6">
        <f>$K$494*$V$494</f>
        <v>0</v>
      </c>
      <c r="AC494" s="6">
        <f>$M$494*$W$494</f>
        <v>3756.3928999999998</v>
      </c>
      <c r="AD494" s="6">
        <f>$O$494*$X$494</f>
        <v>2485.8092999999999</v>
      </c>
      <c r="AE494" s="6">
        <f>$K$494*$Y$494</f>
        <v>0</v>
      </c>
      <c r="AF494" s="6">
        <f ca="1">$M$494*$Z$494</f>
        <v>3680.3621659999994</v>
      </c>
      <c r="AG494" s="6">
        <f ca="1">$O$494*$AA$494</f>
        <v>3111.8731019999996</v>
      </c>
    </row>
    <row r="495" spans="1:33" ht="11.25" customHeight="1" x14ac:dyDescent="0.25">
      <c r="A495" s="4" t="s">
        <v>55</v>
      </c>
      <c r="B495" s="4" t="s">
        <v>41</v>
      </c>
      <c r="C495" s="4" t="s">
        <v>23</v>
      </c>
      <c r="D495" s="4" t="s">
        <v>42</v>
      </c>
      <c r="E495" s="4" t="s">
        <v>25</v>
      </c>
      <c r="F495" s="4" t="s">
        <v>25</v>
      </c>
      <c r="G495" s="4" t="s">
        <v>25</v>
      </c>
      <c r="H495" s="4" t="s">
        <v>25</v>
      </c>
      <c r="I495" s="5">
        <v>44743</v>
      </c>
      <c r="J495" s="6">
        <v>0</v>
      </c>
      <c r="K495" s="6">
        <v>0</v>
      </c>
      <c r="L495" s="6">
        <v>687.50599999999997</v>
      </c>
      <c r="M495" s="6">
        <v>687.50599999999997</v>
      </c>
      <c r="N495" s="6">
        <v>687.50599999999997</v>
      </c>
      <c r="O495" s="6">
        <v>687.50599999999997</v>
      </c>
      <c r="P495" s="6">
        <v>2440</v>
      </c>
      <c r="Q495" s="4" t="s">
        <v>26</v>
      </c>
      <c r="R495" s="4">
        <v>0</v>
      </c>
      <c r="S495" s="6">
        <v>0</v>
      </c>
      <c r="T495" s="6">
        <v>16</v>
      </c>
      <c r="U495" s="6">
        <v>54</v>
      </c>
      <c r="V495" s="6">
        <f>IF(ISERROR(VLOOKUP($S$495,'TAR FIN'!$A$1:$O$86,15,0)),0,VLOOKUP($S$495,'TAR FIN'!$A$1:$O$86,15,0))</f>
        <v>0</v>
      </c>
      <c r="W495" s="6">
        <f>IF(ISERROR(VLOOKUP($T$495,'TAR FIN'!$A$1:$O$86,15,0)),0,VLOOKUP($T$495,'TAR FIN'!$A$1:$O$86,15,0))</f>
        <v>297.89</v>
      </c>
      <c r="X495" s="6">
        <f>IF(ISERROR(VLOOKUP($U$495,'TAR FIN'!$A$1:$O$86,15,0)),0,VLOOKUP($U$495,'TAR FIN'!$A$1:$O$86,15,0))</f>
        <v>197.13</v>
      </c>
      <c r="Y495" s="6"/>
      <c r="Z495" s="6">
        <f ca="1">('TUSD BE'!$AM$33+'TUSD BF_350'!$AM$33+'TUSD CVA'!$AM$33)*(1-CUSTOS!$M$38)</f>
        <v>291.86059999999998</v>
      </c>
      <c r="AA495" s="6">
        <f ca="1">('TE BE'!$AB$24+'TE BF_350'!$AB$24+'TE CVA'!$AB$24)*(1-CUSTOS!$M$38)</f>
        <v>246.77819999999997</v>
      </c>
      <c r="AB495" s="6">
        <f>$K$495*$V$495</f>
        <v>0</v>
      </c>
      <c r="AC495" s="6">
        <f>$M$495*$W$495</f>
        <v>204801.16233999998</v>
      </c>
      <c r="AD495" s="6">
        <f>$O$495*$X$495</f>
        <v>135528.05778</v>
      </c>
      <c r="AE495" s="6">
        <f>$K$495*$Y$495</f>
        <v>0</v>
      </c>
      <c r="AF495" s="6">
        <f ca="1">$M$495*$Z$495</f>
        <v>200655.91366359999</v>
      </c>
      <c r="AG495" s="6">
        <f ca="1">$O$495*$AA$495</f>
        <v>169661.49316919997</v>
      </c>
    </row>
    <row r="496" spans="1:33" ht="11.25" customHeight="1" x14ac:dyDescent="0.25">
      <c r="A496" s="4" t="s">
        <v>55</v>
      </c>
      <c r="B496" s="4" t="s">
        <v>41</v>
      </c>
      <c r="C496" s="4" t="s">
        <v>23</v>
      </c>
      <c r="D496" s="4" t="s">
        <v>42</v>
      </c>
      <c r="E496" s="4" t="s">
        <v>25</v>
      </c>
      <c r="F496" s="4" t="s">
        <v>25</v>
      </c>
      <c r="G496" s="4" t="s">
        <v>25</v>
      </c>
      <c r="H496" s="4" t="s">
        <v>25</v>
      </c>
      <c r="I496" s="5">
        <v>44743</v>
      </c>
      <c r="J496" s="6">
        <v>0</v>
      </c>
      <c r="K496" s="6">
        <v>0</v>
      </c>
      <c r="L496" s="6">
        <v>-2.6579999999999999</v>
      </c>
      <c r="M496" s="6">
        <v>-2.6579999999999999</v>
      </c>
      <c r="N496" s="6">
        <v>-2.6579999999999999</v>
      </c>
      <c r="O496" s="6">
        <v>-2.6579999999999999</v>
      </c>
      <c r="P496" s="6">
        <v>0</v>
      </c>
      <c r="Q496" s="4" t="s">
        <v>26</v>
      </c>
      <c r="R496" s="4">
        <v>0</v>
      </c>
      <c r="S496" s="6">
        <v>0</v>
      </c>
      <c r="T496" s="6">
        <v>16</v>
      </c>
      <c r="U496" s="6">
        <v>54</v>
      </c>
      <c r="V496" s="6">
        <f>IF(ISERROR(VLOOKUP($S$496,'TAR FIN'!$A$1:$O$86,15,0)),0,VLOOKUP($S$496,'TAR FIN'!$A$1:$O$86,15,0))</f>
        <v>0</v>
      </c>
      <c r="W496" s="6">
        <f>IF(ISERROR(VLOOKUP($T$496,'TAR FIN'!$A$1:$O$86,15,0)),0,VLOOKUP($T$496,'TAR FIN'!$A$1:$O$86,15,0))</f>
        <v>297.89</v>
      </c>
      <c r="X496" s="6">
        <f>IF(ISERROR(VLOOKUP($U$496,'TAR FIN'!$A$1:$O$86,15,0)),0,VLOOKUP($U$496,'TAR FIN'!$A$1:$O$86,15,0))</f>
        <v>197.13</v>
      </c>
      <c r="Y496" s="6"/>
      <c r="Z496" s="6">
        <f ca="1">('TUSD BE'!$AM$33+'TUSD BF_350'!$AM$33+'TUSD CVA'!$AM$33)*(1-CUSTOS!$M$38)</f>
        <v>291.86059999999998</v>
      </c>
      <c r="AA496" s="6">
        <f ca="1">('TE BE'!$AB$24+'TE BF_350'!$AB$24+'TE CVA'!$AB$24)*(1-CUSTOS!$M$38)</f>
        <v>246.77819999999997</v>
      </c>
      <c r="AB496" s="6">
        <f>$K$496*$V$496</f>
        <v>0</v>
      </c>
      <c r="AC496" s="6">
        <f>$M$496*$W$496</f>
        <v>-791.79161999999997</v>
      </c>
      <c r="AD496" s="6">
        <f>$O$496*$X$496</f>
        <v>-523.97154</v>
      </c>
      <c r="AE496" s="6">
        <f>$K$496*$Y$496</f>
        <v>0</v>
      </c>
      <c r="AF496" s="6">
        <f ca="1">$M$496*$Z$496</f>
        <v>-775.76547479999988</v>
      </c>
      <c r="AG496" s="6">
        <f ca="1">$O$496*$AA$496</f>
        <v>-655.93645559999993</v>
      </c>
    </row>
    <row r="497" spans="1:33" ht="11.25" customHeight="1" x14ac:dyDescent="0.25">
      <c r="A497" s="4" t="s">
        <v>55</v>
      </c>
      <c r="B497" s="4" t="s">
        <v>41</v>
      </c>
      <c r="C497" s="4" t="s">
        <v>23</v>
      </c>
      <c r="D497" s="4" t="s">
        <v>42</v>
      </c>
      <c r="E497" s="4" t="s">
        <v>25</v>
      </c>
      <c r="F497" s="4" t="s">
        <v>25</v>
      </c>
      <c r="G497" s="4" t="s">
        <v>25</v>
      </c>
      <c r="H497" s="4" t="s">
        <v>25</v>
      </c>
      <c r="I497" s="5">
        <v>44743</v>
      </c>
      <c r="J497" s="6">
        <v>0</v>
      </c>
      <c r="K497" s="6">
        <v>0</v>
      </c>
      <c r="L497" s="6">
        <v>12.61</v>
      </c>
      <c r="M497" s="6">
        <v>12.61</v>
      </c>
      <c r="N497" s="6">
        <v>12.61</v>
      </c>
      <c r="O497" s="6">
        <v>12.61</v>
      </c>
      <c r="P497" s="6">
        <v>37</v>
      </c>
      <c r="Q497" s="4" t="s">
        <v>26</v>
      </c>
      <c r="R497" s="4">
        <v>0</v>
      </c>
      <c r="S497" s="6">
        <v>0</v>
      </c>
      <c r="T497" s="6">
        <v>16</v>
      </c>
      <c r="U497" s="6">
        <v>54</v>
      </c>
      <c r="V497" s="6">
        <f>IF(ISERROR(VLOOKUP($S$497,'TAR FIN'!$A$1:$O$86,15,0)),0,VLOOKUP($S$497,'TAR FIN'!$A$1:$O$86,15,0))</f>
        <v>0</v>
      </c>
      <c r="W497" s="6">
        <f>IF(ISERROR(VLOOKUP($T$497,'TAR FIN'!$A$1:$O$86,15,0)),0,VLOOKUP($T$497,'TAR FIN'!$A$1:$O$86,15,0))</f>
        <v>297.89</v>
      </c>
      <c r="X497" s="6">
        <f>IF(ISERROR(VLOOKUP($U$497,'TAR FIN'!$A$1:$O$86,15,0)),0,VLOOKUP($U$497,'TAR FIN'!$A$1:$O$86,15,0))</f>
        <v>197.13</v>
      </c>
      <c r="Y497" s="6"/>
      <c r="Z497" s="6">
        <f ca="1">('TUSD BE'!$AM$33+'TUSD BF_350'!$AM$33+'TUSD CVA'!$AM$33)*(1-CUSTOS!$M$38)</f>
        <v>291.86059999999998</v>
      </c>
      <c r="AA497" s="6">
        <f ca="1">('TE BE'!$AB$24+'TE BF_350'!$AB$24+'TE CVA'!$AB$24)*(1-CUSTOS!$M$38)</f>
        <v>246.77819999999997</v>
      </c>
      <c r="AB497" s="6">
        <f>$K$497*$V$497</f>
        <v>0</v>
      </c>
      <c r="AC497" s="6">
        <f>$M$497*$W$497</f>
        <v>3756.3928999999998</v>
      </c>
      <c r="AD497" s="6">
        <f>$O$497*$X$497</f>
        <v>2485.8092999999999</v>
      </c>
      <c r="AE497" s="6">
        <f>$K$497*$Y$497</f>
        <v>0</v>
      </c>
      <c r="AF497" s="6">
        <f ca="1">$M$497*$Z$497</f>
        <v>3680.3621659999994</v>
      </c>
      <c r="AG497" s="6">
        <f ca="1">$O$497*$AA$497</f>
        <v>3111.8731019999996</v>
      </c>
    </row>
    <row r="498" spans="1:33" ht="11.25" customHeight="1" x14ac:dyDescent="0.25">
      <c r="A498" s="4" t="s">
        <v>21</v>
      </c>
      <c r="B498" s="4" t="s">
        <v>33</v>
      </c>
      <c r="C498" s="4" t="s">
        <v>50</v>
      </c>
      <c r="D498" s="4" t="s">
        <v>49</v>
      </c>
      <c r="E498" s="4" t="s">
        <v>25</v>
      </c>
      <c r="F498" s="4" t="s">
        <v>25</v>
      </c>
      <c r="G498" s="4" t="s">
        <v>25</v>
      </c>
      <c r="H498" s="4" t="s">
        <v>38</v>
      </c>
      <c r="I498" s="5">
        <v>44409</v>
      </c>
      <c r="J498" s="6">
        <v>0</v>
      </c>
      <c r="K498" s="6">
        <v>0</v>
      </c>
      <c r="L498" s="6">
        <v>1.34</v>
      </c>
      <c r="M498" s="6">
        <v>1.34</v>
      </c>
      <c r="N498" s="6">
        <v>1.34</v>
      </c>
      <c r="O498" s="6">
        <v>1.34</v>
      </c>
      <c r="P498" s="6">
        <v>0</v>
      </c>
      <c r="Q498" s="4" t="s">
        <v>26</v>
      </c>
      <c r="R498" s="4">
        <v>0</v>
      </c>
      <c r="S498" s="6">
        <v>0</v>
      </c>
      <c r="T498" s="6">
        <v>31</v>
      </c>
      <c r="U498" s="6">
        <v>83</v>
      </c>
      <c r="V498" s="6">
        <f>IF(ISERROR(VLOOKUP($S$498,'TAR FIN'!$A$1:$O$86,15,0)),0,VLOOKUP($S$498,'TAR FIN'!$A$1:$O$86,15,0))</f>
        <v>0</v>
      </c>
      <c r="W498" s="6">
        <f>IF(ISERROR(VLOOKUP($T$498,'TAR FIN'!$A$1:$O$86,15,0)),0,VLOOKUP($T$498,'TAR FIN'!$A$1:$O$86,15,0))</f>
        <v>275.05</v>
      </c>
      <c r="X498" s="6">
        <f>IF(ISERROR(VLOOKUP($U$498,'TAR FIN'!$A$1:$O$86,15,0)),0,VLOOKUP($U$498,'TAR FIN'!$A$1:$O$86,15,0))</f>
        <v>211.71</v>
      </c>
      <c r="Y498" s="6"/>
      <c r="Z498" s="6">
        <f ca="1">('TUSD BE'!$AM$47+'TUSD BF_350'!$AM$47+'TUSD CVA'!$AM$47)*1</f>
        <v>261.33999999999992</v>
      </c>
      <c r="AA498" s="6">
        <f ca="1">('TE BE'!$AB$38+'TE BF_350'!$AB$38+'TE CVA'!$AB$38)*1</f>
        <v>250.04</v>
      </c>
      <c r="AB498" s="6">
        <f>$K$498*$V$498</f>
        <v>0</v>
      </c>
      <c r="AC498" s="6">
        <f>$M$498*$W$498</f>
        <v>368.56700000000006</v>
      </c>
      <c r="AD498" s="6">
        <f>$O$498*$X$498</f>
        <v>283.69140000000004</v>
      </c>
      <c r="AE498" s="6">
        <f>$K$498*$Y$498</f>
        <v>0</v>
      </c>
      <c r="AF498" s="6">
        <f ca="1">$M$498*$Z$498</f>
        <v>350.1955999999999</v>
      </c>
      <c r="AG498" s="6">
        <f ca="1">$O$498*$AA$498</f>
        <v>335.05360000000002</v>
      </c>
    </row>
    <row r="499" spans="1:33" ht="11.25" customHeight="1" x14ac:dyDescent="0.25">
      <c r="A499" s="4" t="s">
        <v>21</v>
      </c>
      <c r="B499" s="4" t="s">
        <v>33</v>
      </c>
      <c r="C499" s="4" t="s">
        <v>50</v>
      </c>
      <c r="D499" s="4" t="s">
        <v>49</v>
      </c>
      <c r="E499" s="4" t="s">
        <v>25</v>
      </c>
      <c r="F499" s="4" t="s">
        <v>25</v>
      </c>
      <c r="G499" s="4" t="s">
        <v>25</v>
      </c>
      <c r="H499" s="4" t="s">
        <v>38</v>
      </c>
      <c r="I499" s="5">
        <v>44440</v>
      </c>
      <c r="J499" s="6">
        <v>0</v>
      </c>
      <c r="K499" s="6">
        <v>0</v>
      </c>
      <c r="L499" s="6">
        <v>1.484</v>
      </c>
      <c r="M499" s="6">
        <v>1.484</v>
      </c>
      <c r="N499" s="6">
        <v>1.484</v>
      </c>
      <c r="O499" s="6">
        <v>1.484</v>
      </c>
      <c r="P499" s="6">
        <v>0</v>
      </c>
      <c r="Q499" s="4" t="s">
        <v>26</v>
      </c>
      <c r="R499" s="4">
        <v>0</v>
      </c>
      <c r="S499" s="6">
        <v>0</v>
      </c>
      <c r="T499" s="6">
        <v>31</v>
      </c>
      <c r="U499" s="6">
        <v>83</v>
      </c>
      <c r="V499" s="6">
        <f>IF(ISERROR(VLOOKUP($S$499,'TAR FIN'!$A$1:$O$86,15,0)),0,VLOOKUP($S$499,'TAR FIN'!$A$1:$O$86,15,0))</f>
        <v>0</v>
      </c>
      <c r="W499" s="6">
        <f>IF(ISERROR(VLOOKUP($T$499,'TAR FIN'!$A$1:$O$86,15,0)),0,VLOOKUP($T$499,'TAR FIN'!$A$1:$O$86,15,0))</f>
        <v>275.05</v>
      </c>
      <c r="X499" s="6">
        <f>IF(ISERROR(VLOOKUP($U$499,'TAR FIN'!$A$1:$O$86,15,0)),0,VLOOKUP($U$499,'TAR FIN'!$A$1:$O$86,15,0))</f>
        <v>211.71</v>
      </c>
      <c r="Y499" s="6"/>
      <c r="Z499" s="6">
        <f ca="1">('TUSD BE'!$AM$47+'TUSD BF_350'!$AM$47+'TUSD CVA'!$AM$47)*1</f>
        <v>261.33999999999992</v>
      </c>
      <c r="AA499" s="6">
        <f ca="1">('TE BE'!$AB$38+'TE BF_350'!$AB$38+'TE CVA'!$AB$38)*1</f>
        <v>250.04</v>
      </c>
      <c r="AB499" s="6">
        <f>$K$499*$V$499</f>
        <v>0</v>
      </c>
      <c r="AC499" s="6">
        <f>$M$499*$W$499</f>
        <v>408.17419999999998</v>
      </c>
      <c r="AD499" s="6">
        <f>$O$499*$X$499</f>
        <v>314.17764</v>
      </c>
      <c r="AE499" s="6">
        <f>$K$499*$Y$499</f>
        <v>0</v>
      </c>
      <c r="AF499" s="6">
        <f ca="1">$M$499*$Z$499</f>
        <v>387.82855999999987</v>
      </c>
      <c r="AG499" s="6">
        <f ca="1">$O$499*$AA$499</f>
        <v>371.05935999999997</v>
      </c>
    </row>
    <row r="500" spans="1:33" ht="11.25" customHeight="1" x14ac:dyDescent="0.25">
      <c r="A500" s="4" t="s">
        <v>21</v>
      </c>
      <c r="B500" s="4" t="s">
        <v>33</v>
      </c>
      <c r="C500" s="4" t="s">
        <v>50</v>
      </c>
      <c r="D500" s="4" t="s">
        <v>49</v>
      </c>
      <c r="E500" s="4" t="s">
        <v>25</v>
      </c>
      <c r="F500" s="4" t="s">
        <v>25</v>
      </c>
      <c r="G500" s="4" t="s">
        <v>25</v>
      </c>
      <c r="H500" s="4" t="s">
        <v>38</v>
      </c>
      <c r="I500" s="5">
        <v>44470</v>
      </c>
      <c r="J500" s="6">
        <v>0</v>
      </c>
      <c r="K500" s="6">
        <v>0</v>
      </c>
      <c r="L500" s="6">
        <v>1.3839999999999999</v>
      </c>
      <c r="M500" s="6">
        <v>1.3839999999999999</v>
      </c>
      <c r="N500" s="6">
        <v>1.3839999999999999</v>
      </c>
      <c r="O500" s="6">
        <v>1.3839999999999999</v>
      </c>
      <c r="P500" s="6">
        <v>0</v>
      </c>
      <c r="Q500" s="4" t="s">
        <v>26</v>
      </c>
      <c r="R500" s="4">
        <v>0</v>
      </c>
      <c r="S500" s="6">
        <v>0</v>
      </c>
      <c r="T500" s="6">
        <v>31</v>
      </c>
      <c r="U500" s="6">
        <v>83</v>
      </c>
      <c r="V500" s="6">
        <f>IF(ISERROR(VLOOKUP($S$500,'TAR FIN'!$A$1:$O$86,15,0)),0,VLOOKUP($S$500,'TAR FIN'!$A$1:$O$86,15,0))</f>
        <v>0</v>
      </c>
      <c r="W500" s="6">
        <f>IF(ISERROR(VLOOKUP($T$500,'TAR FIN'!$A$1:$O$86,15,0)),0,VLOOKUP($T$500,'TAR FIN'!$A$1:$O$86,15,0))</f>
        <v>275.05</v>
      </c>
      <c r="X500" s="6">
        <f>IF(ISERROR(VLOOKUP($U$500,'TAR FIN'!$A$1:$O$86,15,0)),0,VLOOKUP($U$500,'TAR FIN'!$A$1:$O$86,15,0))</f>
        <v>211.71</v>
      </c>
      <c r="Y500" s="6"/>
      <c r="Z500" s="6">
        <f ca="1">('TUSD BE'!$AM$47+'TUSD BF_350'!$AM$47+'TUSD CVA'!$AM$47)*1</f>
        <v>261.33999999999992</v>
      </c>
      <c r="AA500" s="6">
        <f ca="1">('TE BE'!$AB$38+'TE BF_350'!$AB$38+'TE CVA'!$AB$38)*1</f>
        <v>250.04</v>
      </c>
      <c r="AB500" s="6">
        <f>$K$500*$V$500</f>
        <v>0</v>
      </c>
      <c r="AC500" s="6">
        <f>$M$500*$W$500</f>
        <v>380.66919999999999</v>
      </c>
      <c r="AD500" s="6">
        <f>$O$500*$X$500</f>
        <v>293.00664</v>
      </c>
      <c r="AE500" s="6">
        <f>$K$500*$Y$500</f>
        <v>0</v>
      </c>
      <c r="AF500" s="6">
        <f ca="1">$M$500*$Z$500</f>
        <v>361.69455999999985</v>
      </c>
      <c r="AG500" s="6">
        <f ca="1">$O$500*$AA$500</f>
        <v>346.05535999999995</v>
      </c>
    </row>
    <row r="501" spans="1:33" ht="11.25" customHeight="1" x14ac:dyDescent="0.25">
      <c r="A501" s="4" t="s">
        <v>21</v>
      </c>
      <c r="B501" s="4" t="s">
        <v>33</v>
      </c>
      <c r="C501" s="4" t="s">
        <v>50</v>
      </c>
      <c r="D501" s="4" t="s">
        <v>49</v>
      </c>
      <c r="E501" s="4" t="s">
        <v>25</v>
      </c>
      <c r="F501" s="4" t="s">
        <v>25</v>
      </c>
      <c r="G501" s="4" t="s">
        <v>25</v>
      </c>
      <c r="H501" s="4" t="s">
        <v>38</v>
      </c>
      <c r="I501" s="5">
        <v>44501</v>
      </c>
      <c r="J501" s="6">
        <v>0</v>
      </c>
      <c r="K501" s="6">
        <v>0</v>
      </c>
      <c r="L501" s="6">
        <v>1.597</v>
      </c>
      <c r="M501" s="6">
        <v>1.597</v>
      </c>
      <c r="N501" s="6">
        <v>1.597</v>
      </c>
      <c r="O501" s="6">
        <v>1.597</v>
      </c>
      <c r="P501" s="6">
        <v>0</v>
      </c>
      <c r="Q501" s="4" t="s">
        <v>26</v>
      </c>
      <c r="R501" s="4">
        <v>0</v>
      </c>
      <c r="S501" s="6">
        <v>0</v>
      </c>
      <c r="T501" s="6">
        <v>31</v>
      </c>
      <c r="U501" s="6">
        <v>83</v>
      </c>
      <c r="V501" s="6">
        <f>IF(ISERROR(VLOOKUP($S$501,'TAR FIN'!$A$1:$O$86,15,0)),0,VLOOKUP($S$501,'TAR FIN'!$A$1:$O$86,15,0))</f>
        <v>0</v>
      </c>
      <c r="W501" s="6">
        <f>IF(ISERROR(VLOOKUP($T$501,'TAR FIN'!$A$1:$O$86,15,0)),0,VLOOKUP($T$501,'TAR FIN'!$A$1:$O$86,15,0))</f>
        <v>275.05</v>
      </c>
      <c r="X501" s="6">
        <f>IF(ISERROR(VLOOKUP($U$501,'TAR FIN'!$A$1:$O$86,15,0)),0,VLOOKUP($U$501,'TAR FIN'!$A$1:$O$86,15,0))</f>
        <v>211.71</v>
      </c>
      <c r="Y501" s="6"/>
      <c r="Z501" s="6">
        <f ca="1">('TUSD BE'!$AM$47+'TUSD BF_350'!$AM$47+'TUSD CVA'!$AM$47)*1</f>
        <v>261.33999999999992</v>
      </c>
      <c r="AA501" s="6">
        <f ca="1">('TE BE'!$AB$38+'TE BF_350'!$AB$38+'TE CVA'!$AB$38)*1</f>
        <v>250.04</v>
      </c>
      <c r="AB501" s="6">
        <f>$K$501*$V$501</f>
        <v>0</v>
      </c>
      <c r="AC501" s="6">
        <f>$M$501*$W$501</f>
        <v>439.25485000000003</v>
      </c>
      <c r="AD501" s="6">
        <f>$O$501*$X$501</f>
        <v>338.10086999999999</v>
      </c>
      <c r="AE501" s="6">
        <f>$K$501*$Y$501</f>
        <v>0</v>
      </c>
      <c r="AF501" s="6">
        <f ca="1">$M$501*$Z$501</f>
        <v>417.35997999999984</v>
      </c>
      <c r="AG501" s="6">
        <f ca="1">$O$501*$AA$501</f>
        <v>399.31387999999998</v>
      </c>
    </row>
    <row r="502" spans="1:33" ht="11.25" customHeight="1" x14ac:dyDescent="0.25">
      <c r="A502" s="4" t="s">
        <v>21</v>
      </c>
      <c r="B502" s="4" t="s">
        <v>33</v>
      </c>
      <c r="C502" s="4" t="s">
        <v>50</v>
      </c>
      <c r="D502" s="4" t="s">
        <v>49</v>
      </c>
      <c r="E502" s="4" t="s">
        <v>25</v>
      </c>
      <c r="F502" s="4" t="s">
        <v>25</v>
      </c>
      <c r="G502" s="4" t="s">
        <v>25</v>
      </c>
      <c r="H502" s="4" t="s">
        <v>38</v>
      </c>
      <c r="I502" s="5">
        <v>44531</v>
      </c>
      <c r="J502" s="6">
        <v>0</v>
      </c>
      <c r="K502" s="6">
        <v>0</v>
      </c>
      <c r="L502" s="6">
        <v>2.2639999999999998</v>
      </c>
      <c r="M502" s="6">
        <v>2.2639999999999998</v>
      </c>
      <c r="N502" s="6">
        <v>2.2639999999999998</v>
      </c>
      <c r="O502" s="6">
        <v>2.2639999999999998</v>
      </c>
      <c r="P502" s="6">
        <v>0</v>
      </c>
      <c r="Q502" s="4" t="s">
        <v>26</v>
      </c>
      <c r="R502" s="4">
        <v>0</v>
      </c>
      <c r="S502" s="6">
        <v>0</v>
      </c>
      <c r="T502" s="6">
        <v>31</v>
      </c>
      <c r="U502" s="6">
        <v>83</v>
      </c>
      <c r="V502" s="6">
        <f>IF(ISERROR(VLOOKUP($S$502,'TAR FIN'!$A$1:$O$86,15,0)),0,VLOOKUP($S$502,'TAR FIN'!$A$1:$O$86,15,0))</f>
        <v>0</v>
      </c>
      <c r="W502" s="6">
        <f>IF(ISERROR(VLOOKUP($T$502,'TAR FIN'!$A$1:$O$86,15,0)),0,VLOOKUP($T$502,'TAR FIN'!$A$1:$O$86,15,0))</f>
        <v>275.05</v>
      </c>
      <c r="X502" s="6">
        <f>IF(ISERROR(VLOOKUP($U$502,'TAR FIN'!$A$1:$O$86,15,0)),0,VLOOKUP($U$502,'TAR FIN'!$A$1:$O$86,15,0))</f>
        <v>211.71</v>
      </c>
      <c r="Y502" s="6"/>
      <c r="Z502" s="6">
        <f ca="1">('TUSD BE'!$AM$47+'TUSD BF_350'!$AM$47+'TUSD CVA'!$AM$47)*1</f>
        <v>261.33999999999992</v>
      </c>
      <c r="AA502" s="6">
        <f ca="1">('TE BE'!$AB$38+'TE BF_350'!$AB$38+'TE CVA'!$AB$38)*1</f>
        <v>250.04</v>
      </c>
      <c r="AB502" s="6">
        <f>$K$502*$V$502</f>
        <v>0</v>
      </c>
      <c r="AC502" s="6">
        <f>$M$502*$W$502</f>
        <v>622.71319999999992</v>
      </c>
      <c r="AD502" s="6">
        <f>$O$502*$X$502</f>
        <v>479.31143999999995</v>
      </c>
      <c r="AE502" s="6">
        <f>$K$502*$Y$502</f>
        <v>0</v>
      </c>
      <c r="AF502" s="6">
        <f ca="1">$M$502*$Z$502</f>
        <v>591.67375999999979</v>
      </c>
      <c r="AG502" s="6">
        <f ca="1">$O$502*$AA$502</f>
        <v>566.09055999999998</v>
      </c>
    </row>
    <row r="503" spans="1:33" ht="11.25" customHeight="1" x14ac:dyDescent="0.25">
      <c r="A503" s="4" t="s">
        <v>21</v>
      </c>
      <c r="B503" s="4" t="s">
        <v>33</v>
      </c>
      <c r="C503" s="4" t="s">
        <v>50</v>
      </c>
      <c r="D503" s="4" t="s">
        <v>49</v>
      </c>
      <c r="E503" s="4" t="s">
        <v>25</v>
      </c>
      <c r="F503" s="4" t="s">
        <v>25</v>
      </c>
      <c r="G503" s="4" t="s">
        <v>25</v>
      </c>
      <c r="H503" s="4" t="s">
        <v>38</v>
      </c>
      <c r="I503" s="5">
        <v>44562</v>
      </c>
      <c r="J503" s="6">
        <v>0</v>
      </c>
      <c r="K503" s="6">
        <v>0</v>
      </c>
      <c r="L503" s="6">
        <v>3.24</v>
      </c>
      <c r="M503" s="6">
        <v>3.24</v>
      </c>
      <c r="N503" s="6">
        <v>3.24</v>
      </c>
      <c r="O503" s="6">
        <v>3.24</v>
      </c>
      <c r="P503" s="6">
        <v>0</v>
      </c>
      <c r="Q503" s="4" t="s">
        <v>26</v>
      </c>
      <c r="R503" s="4">
        <v>0</v>
      </c>
      <c r="S503" s="6">
        <v>0</v>
      </c>
      <c r="T503" s="6">
        <v>31</v>
      </c>
      <c r="U503" s="6">
        <v>83</v>
      </c>
      <c r="V503" s="6">
        <f>IF(ISERROR(VLOOKUP($S$503,'TAR FIN'!$A$1:$O$86,15,0)),0,VLOOKUP($S$503,'TAR FIN'!$A$1:$O$86,15,0))</f>
        <v>0</v>
      </c>
      <c r="W503" s="6">
        <f>IF(ISERROR(VLOOKUP($T$503,'TAR FIN'!$A$1:$O$86,15,0)),0,VLOOKUP($T$503,'TAR FIN'!$A$1:$O$86,15,0))</f>
        <v>275.05</v>
      </c>
      <c r="X503" s="6">
        <f>IF(ISERROR(VLOOKUP($U$503,'TAR FIN'!$A$1:$O$86,15,0)),0,VLOOKUP($U$503,'TAR FIN'!$A$1:$O$86,15,0))</f>
        <v>211.71</v>
      </c>
      <c r="Y503" s="6"/>
      <c r="Z503" s="6">
        <f ca="1">('TUSD BE'!$AM$47+'TUSD BF_350'!$AM$47+'TUSD CVA'!$AM$47)*1</f>
        <v>261.33999999999992</v>
      </c>
      <c r="AA503" s="6">
        <f ca="1">('TE BE'!$AB$38+'TE BF_350'!$AB$38+'TE CVA'!$AB$38)*1</f>
        <v>250.04</v>
      </c>
      <c r="AB503" s="6">
        <f>$K$503*$V$503</f>
        <v>0</v>
      </c>
      <c r="AC503" s="6">
        <f>$M$503*$W$503</f>
        <v>891.16200000000015</v>
      </c>
      <c r="AD503" s="6">
        <f>$O$503*$X$503</f>
        <v>685.94040000000007</v>
      </c>
      <c r="AE503" s="6">
        <f>$K$503*$Y$503</f>
        <v>0</v>
      </c>
      <c r="AF503" s="6">
        <f ca="1">$M$503*$Z$503</f>
        <v>846.74159999999983</v>
      </c>
      <c r="AG503" s="6">
        <f ca="1">$O$503*$AA$503</f>
        <v>810.12959999999998</v>
      </c>
    </row>
    <row r="504" spans="1:33" ht="11.25" customHeight="1" x14ac:dyDescent="0.25">
      <c r="A504" s="4" t="s">
        <v>21</v>
      </c>
      <c r="B504" s="4" t="s">
        <v>33</v>
      </c>
      <c r="C504" s="4" t="s">
        <v>50</v>
      </c>
      <c r="D504" s="4" t="s">
        <v>49</v>
      </c>
      <c r="E504" s="4" t="s">
        <v>25</v>
      </c>
      <c r="F504" s="4" t="s">
        <v>25</v>
      </c>
      <c r="G504" s="4" t="s">
        <v>25</v>
      </c>
      <c r="H504" s="4" t="s">
        <v>38</v>
      </c>
      <c r="I504" s="5">
        <v>44593</v>
      </c>
      <c r="J504" s="6">
        <v>0</v>
      </c>
      <c r="K504" s="6">
        <v>0</v>
      </c>
      <c r="L504" s="6">
        <v>4.7839999999999998</v>
      </c>
      <c r="M504" s="6">
        <v>4.7839999999999998</v>
      </c>
      <c r="N504" s="6">
        <v>4.7839999999999998</v>
      </c>
      <c r="O504" s="6">
        <v>4.7839999999999998</v>
      </c>
      <c r="P504" s="6">
        <v>0</v>
      </c>
      <c r="Q504" s="4" t="s">
        <v>26</v>
      </c>
      <c r="R504" s="4">
        <v>0</v>
      </c>
      <c r="S504" s="6">
        <v>0</v>
      </c>
      <c r="T504" s="6">
        <v>31</v>
      </c>
      <c r="U504" s="6">
        <v>83</v>
      </c>
      <c r="V504" s="6">
        <f>IF(ISERROR(VLOOKUP($S$504,'TAR FIN'!$A$1:$O$86,15,0)),0,VLOOKUP($S$504,'TAR FIN'!$A$1:$O$86,15,0))</f>
        <v>0</v>
      </c>
      <c r="W504" s="6">
        <f>IF(ISERROR(VLOOKUP($T$504,'TAR FIN'!$A$1:$O$86,15,0)),0,VLOOKUP($T$504,'TAR FIN'!$A$1:$O$86,15,0))</f>
        <v>275.05</v>
      </c>
      <c r="X504" s="6">
        <f>IF(ISERROR(VLOOKUP($U$504,'TAR FIN'!$A$1:$O$86,15,0)),0,VLOOKUP($U$504,'TAR FIN'!$A$1:$O$86,15,0))</f>
        <v>211.71</v>
      </c>
      <c r="Y504" s="6"/>
      <c r="Z504" s="6">
        <f ca="1">('TUSD BE'!$AM$47+'TUSD BF_350'!$AM$47+'TUSD CVA'!$AM$47)*1</f>
        <v>261.33999999999992</v>
      </c>
      <c r="AA504" s="6">
        <f ca="1">('TE BE'!$AB$38+'TE BF_350'!$AB$38+'TE CVA'!$AB$38)*1</f>
        <v>250.04</v>
      </c>
      <c r="AB504" s="6">
        <f>$K$504*$V$504</f>
        <v>0</v>
      </c>
      <c r="AC504" s="6">
        <f>$M$504*$W$504</f>
        <v>1315.8391999999999</v>
      </c>
      <c r="AD504" s="6">
        <f>$O$504*$X$504</f>
        <v>1012.82064</v>
      </c>
      <c r="AE504" s="6">
        <f>$K$504*$Y$504</f>
        <v>0</v>
      </c>
      <c r="AF504" s="6">
        <f ca="1">$M$504*$Z$504</f>
        <v>1250.2505599999995</v>
      </c>
      <c r="AG504" s="6">
        <f ca="1">$O$504*$AA$504</f>
        <v>1196.1913599999998</v>
      </c>
    </row>
    <row r="505" spans="1:33" ht="11.25" customHeight="1" x14ac:dyDescent="0.25">
      <c r="A505" s="4" t="s">
        <v>21</v>
      </c>
      <c r="B505" s="4" t="s">
        <v>33</v>
      </c>
      <c r="C505" s="4" t="s">
        <v>50</v>
      </c>
      <c r="D505" s="4" t="s">
        <v>49</v>
      </c>
      <c r="E505" s="4" t="s">
        <v>25</v>
      </c>
      <c r="F505" s="4" t="s">
        <v>25</v>
      </c>
      <c r="G505" s="4" t="s">
        <v>25</v>
      </c>
      <c r="H505" s="4" t="s">
        <v>38</v>
      </c>
      <c r="I505" s="5">
        <v>44621</v>
      </c>
      <c r="J505" s="6">
        <v>0</v>
      </c>
      <c r="K505" s="6">
        <v>0</v>
      </c>
      <c r="L505" s="6">
        <v>3.4209999999999998</v>
      </c>
      <c r="M505" s="6">
        <v>3.4209999999999998</v>
      </c>
      <c r="N505" s="6">
        <v>3.4209999999999998</v>
      </c>
      <c r="O505" s="6">
        <v>3.4209999999999998</v>
      </c>
      <c r="P505" s="6">
        <v>0</v>
      </c>
      <c r="Q505" s="4" t="s">
        <v>26</v>
      </c>
      <c r="R505" s="4">
        <v>0</v>
      </c>
      <c r="S505" s="6">
        <v>0</v>
      </c>
      <c r="T505" s="6">
        <v>31</v>
      </c>
      <c r="U505" s="6">
        <v>83</v>
      </c>
      <c r="V505" s="6">
        <f>IF(ISERROR(VLOOKUP($S$505,'TAR FIN'!$A$1:$O$86,15,0)),0,VLOOKUP($S$505,'TAR FIN'!$A$1:$O$86,15,0))</f>
        <v>0</v>
      </c>
      <c r="W505" s="6">
        <f>IF(ISERROR(VLOOKUP($T$505,'TAR FIN'!$A$1:$O$86,15,0)),0,VLOOKUP($T$505,'TAR FIN'!$A$1:$O$86,15,0))</f>
        <v>275.05</v>
      </c>
      <c r="X505" s="6">
        <f>IF(ISERROR(VLOOKUP($U$505,'TAR FIN'!$A$1:$O$86,15,0)),0,VLOOKUP($U$505,'TAR FIN'!$A$1:$O$86,15,0))</f>
        <v>211.71</v>
      </c>
      <c r="Y505" s="6"/>
      <c r="Z505" s="6">
        <f ca="1">('TUSD BE'!$AM$47+'TUSD BF_350'!$AM$47+'TUSD CVA'!$AM$47)*1</f>
        <v>261.33999999999992</v>
      </c>
      <c r="AA505" s="6">
        <f ca="1">('TE BE'!$AB$38+'TE BF_350'!$AB$38+'TE CVA'!$AB$38)*1</f>
        <v>250.04</v>
      </c>
      <c r="AB505" s="6">
        <f>$K$505*$V$505</f>
        <v>0</v>
      </c>
      <c r="AC505" s="6">
        <f>$M$505*$W$505</f>
        <v>940.94605000000001</v>
      </c>
      <c r="AD505" s="6">
        <f>$O$505*$X$505</f>
        <v>724.25990999999999</v>
      </c>
      <c r="AE505" s="6">
        <f>$K$505*$Y$505</f>
        <v>0</v>
      </c>
      <c r="AF505" s="6">
        <f ca="1">$M$505*$Z$505</f>
        <v>894.04413999999963</v>
      </c>
      <c r="AG505" s="6">
        <f ca="1">$O$505*$AA$505</f>
        <v>855.38683999999989</v>
      </c>
    </row>
    <row r="506" spans="1:33" ht="11.25" customHeight="1" x14ac:dyDescent="0.25">
      <c r="A506" s="4" t="s">
        <v>21</v>
      </c>
      <c r="B506" s="4" t="s">
        <v>33</v>
      </c>
      <c r="C506" s="4" t="s">
        <v>50</v>
      </c>
      <c r="D506" s="4" t="s">
        <v>49</v>
      </c>
      <c r="E506" s="4" t="s">
        <v>25</v>
      </c>
      <c r="F506" s="4" t="s">
        <v>25</v>
      </c>
      <c r="G506" s="4" t="s">
        <v>25</v>
      </c>
      <c r="H506" s="4" t="s">
        <v>38</v>
      </c>
      <c r="I506" s="5">
        <v>44652</v>
      </c>
      <c r="J506" s="6">
        <v>0</v>
      </c>
      <c r="K506" s="6">
        <v>0</v>
      </c>
      <c r="L506" s="6">
        <v>3.141</v>
      </c>
      <c r="M506" s="6">
        <v>3.141</v>
      </c>
      <c r="N506" s="6">
        <v>3.141</v>
      </c>
      <c r="O506" s="6">
        <v>3.141</v>
      </c>
      <c r="P506" s="6">
        <v>0</v>
      </c>
      <c r="Q506" s="4" t="s">
        <v>26</v>
      </c>
      <c r="R506" s="4">
        <v>0</v>
      </c>
      <c r="S506" s="6">
        <v>0</v>
      </c>
      <c r="T506" s="6">
        <v>31</v>
      </c>
      <c r="U506" s="6">
        <v>83</v>
      </c>
      <c r="V506" s="6">
        <f>IF(ISERROR(VLOOKUP($S$506,'TAR FIN'!$A$1:$O$86,15,0)),0,VLOOKUP($S$506,'TAR FIN'!$A$1:$O$86,15,0))</f>
        <v>0</v>
      </c>
      <c r="W506" s="6">
        <f>IF(ISERROR(VLOOKUP($T$506,'TAR FIN'!$A$1:$O$86,15,0)),0,VLOOKUP($T$506,'TAR FIN'!$A$1:$O$86,15,0))</f>
        <v>275.05</v>
      </c>
      <c r="X506" s="6">
        <f>IF(ISERROR(VLOOKUP($U$506,'TAR FIN'!$A$1:$O$86,15,0)),0,VLOOKUP($U$506,'TAR FIN'!$A$1:$O$86,15,0))</f>
        <v>211.71</v>
      </c>
      <c r="Y506" s="6"/>
      <c r="Z506" s="6">
        <f ca="1">('TUSD BE'!$AM$47+'TUSD BF_350'!$AM$47+'TUSD CVA'!$AM$47)*1</f>
        <v>261.33999999999992</v>
      </c>
      <c r="AA506" s="6">
        <f ca="1">('TE BE'!$AB$38+'TE BF_350'!$AB$38+'TE CVA'!$AB$38)*1</f>
        <v>250.04</v>
      </c>
      <c r="AB506" s="6">
        <f>$K$506*$V$506</f>
        <v>0</v>
      </c>
      <c r="AC506" s="6">
        <f>$M$506*$W$506</f>
        <v>863.93205</v>
      </c>
      <c r="AD506" s="6">
        <f>$O$506*$X$506</f>
        <v>664.98111000000006</v>
      </c>
      <c r="AE506" s="6">
        <f>$K$506*$Y$506</f>
        <v>0</v>
      </c>
      <c r="AF506" s="6">
        <f ca="1">$M$506*$Z$506</f>
        <v>820.86893999999972</v>
      </c>
      <c r="AG506" s="6">
        <f ca="1">$O$506*$AA$506</f>
        <v>785.37563999999998</v>
      </c>
    </row>
    <row r="507" spans="1:33" ht="11.25" customHeight="1" x14ac:dyDescent="0.25">
      <c r="A507" s="4" t="s">
        <v>21</v>
      </c>
      <c r="B507" s="4" t="s">
        <v>33</v>
      </c>
      <c r="C507" s="4" t="s">
        <v>50</v>
      </c>
      <c r="D507" s="4" t="s">
        <v>49</v>
      </c>
      <c r="E507" s="4" t="s">
        <v>25</v>
      </c>
      <c r="F507" s="4" t="s">
        <v>25</v>
      </c>
      <c r="G507" s="4" t="s">
        <v>25</v>
      </c>
      <c r="H507" s="4" t="s">
        <v>38</v>
      </c>
      <c r="I507" s="5">
        <v>44682</v>
      </c>
      <c r="J507" s="6">
        <v>0</v>
      </c>
      <c r="K507" s="6">
        <v>0</v>
      </c>
      <c r="L507" s="6">
        <v>1.8620000000000001</v>
      </c>
      <c r="M507" s="6">
        <v>1.8620000000000001</v>
      </c>
      <c r="N507" s="6">
        <v>1.8620000000000001</v>
      </c>
      <c r="O507" s="6">
        <v>1.8620000000000001</v>
      </c>
      <c r="P507" s="6">
        <v>0</v>
      </c>
      <c r="Q507" s="4" t="s">
        <v>26</v>
      </c>
      <c r="R507" s="4">
        <v>0</v>
      </c>
      <c r="S507" s="6">
        <v>0</v>
      </c>
      <c r="T507" s="6">
        <v>31</v>
      </c>
      <c r="U507" s="6">
        <v>83</v>
      </c>
      <c r="V507" s="6">
        <f>IF(ISERROR(VLOOKUP($S$507,'TAR FIN'!$A$1:$O$86,15,0)),0,VLOOKUP($S$507,'TAR FIN'!$A$1:$O$86,15,0))</f>
        <v>0</v>
      </c>
      <c r="W507" s="6">
        <f>IF(ISERROR(VLOOKUP($T$507,'TAR FIN'!$A$1:$O$86,15,0)),0,VLOOKUP($T$507,'TAR FIN'!$A$1:$O$86,15,0))</f>
        <v>275.05</v>
      </c>
      <c r="X507" s="6">
        <f>IF(ISERROR(VLOOKUP($U$507,'TAR FIN'!$A$1:$O$86,15,0)),0,VLOOKUP($U$507,'TAR FIN'!$A$1:$O$86,15,0))</f>
        <v>211.71</v>
      </c>
      <c r="Y507" s="6"/>
      <c r="Z507" s="6">
        <f ca="1">('TUSD BE'!$AM$47+'TUSD BF_350'!$AM$47+'TUSD CVA'!$AM$47)*1</f>
        <v>261.33999999999992</v>
      </c>
      <c r="AA507" s="6">
        <f ca="1">('TE BE'!$AB$38+'TE BF_350'!$AB$38+'TE CVA'!$AB$38)*1</f>
        <v>250.04</v>
      </c>
      <c r="AB507" s="6">
        <f>$K$507*$V$507</f>
        <v>0</v>
      </c>
      <c r="AC507" s="6">
        <f>$M$507*$W$507</f>
        <v>512.1431</v>
      </c>
      <c r="AD507" s="6">
        <f>$O$507*$X$507</f>
        <v>394.20402000000001</v>
      </c>
      <c r="AE507" s="6">
        <f>$K$507*$Y$507</f>
        <v>0</v>
      </c>
      <c r="AF507" s="6">
        <f ca="1">$M$507*$Z$507</f>
        <v>486.61507999999986</v>
      </c>
      <c r="AG507" s="6">
        <f ca="1">$O$507*$AA$507</f>
        <v>465.57447999999999</v>
      </c>
    </row>
    <row r="508" spans="1:33" ht="11.25" customHeight="1" x14ac:dyDescent="0.25">
      <c r="A508" s="4" t="s">
        <v>21</v>
      </c>
      <c r="B508" s="4" t="s">
        <v>33</v>
      </c>
      <c r="C508" s="4" t="s">
        <v>50</v>
      </c>
      <c r="D508" s="4" t="s">
        <v>49</v>
      </c>
      <c r="E508" s="4" t="s">
        <v>25</v>
      </c>
      <c r="F508" s="4" t="s">
        <v>25</v>
      </c>
      <c r="G508" s="4" t="s">
        <v>25</v>
      </c>
      <c r="H508" s="4" t="s">
        <v>38</v>
      </c>
      <c r="I508" s="5">
        <v>44713</v>
      </c>
      <c r="J508" s="6">
        <v>0</v>
      </c>
      <c r="K508" s="6">
        <v>0</v>
      </c>
      <c r="L508" s="6">
        <v>1.3380000000000001</v>
      </c>
      <c r="M508" s="6">
        <v>1.3380000000000001</v>
      </c>
      <c r="N508" s="6">
        <v>1.3380000000000001</v>
      </c>
      <c r="O508" s="6">
        <v>1.3380000000000001</v>
      </c>
      <c r="P508" s="6">
        <v>0</v>
      </c>
      <c r="Q508" s="4" t="s">
        <v>26</v>
      </c>
      <c r="R508" s="4">
        <v>0</v>
      </c>
      <c r="S508" s="6">
        <v>0</v>
      </c>
      <c r="T508" s="6">
        <v>31</v>
      </c>
      <c r="U508" s="6">
        <v>83</v>
      </c>
      <c r="V508" s="6">
        <f>IF(ISERROR(VLOOKUP($S$508,'TAR FIN'!$A$1:$O$86,15,0)),0,VLOOKUP($S$508,'TAR FIN'!$A$1:$O$86,15,0))</f>
        <v>0</v>
      </c>
      <c r="W508" s="6">
        <f>IF(ISERROR(VLOOKUP($T$508,'TAR FIN'!$A$1:$O$86,15,0)),0,VLOOKUP($T$508,'TAR FIN'!$A$1:$O$86,15,0))</f>
        <v>275.05</v>
      </c>
      <c r="X508" s="6">
        <f>IF(ISERROR(VLOOKUP($U$508,'TAR FIN'!$A$1:$O$86,15,0)),0,VLOOKUP($U$508,'TAR FIN'!$A$1:$O$86,15,0))</f>
        <v>211.71</v>
      </c>
      <c r="Y508" s="6"/>
      <c r="Z508" s="6">
        <f ca="1">('TUSD BE'!$AM$47+'TUSD BF_350'!$AM$47+'TUSD CVA'!$AM$47)*1</f>
        <v>261.33999999999992</v>
      </c>
      <c r="AA508" s="6">
        <f ca="1">('TE BE'!$AB$38+'TE BF_350'!$AB$38+'TE CVA'!$AB$38)*1</f>
        <v>250.04</v>
      </c>
      <c r="AB508" s="6">
        <f>$K$508*$V$508</f>
        <v>0</v>
      </c>
      <c r="AC508" s="6">
        <f>$M$508*$W$508</f>
        <v>368.01690000000002</v>
      </c>
      <c r="AD508" s="6">
        <f>$O$508*$X$508</f>
        <v>283.26798000000002</v>
      </c>
      <c r="AE508" s="6">
        <f>$K$508*$Y$508</f>
        <v>0</v>
      </c>
      <c r="AF508" s="6">
        <f ca="1">$M$508*$Z$508</f>
        <v>349.67291999999992</v>
      </c>
      <c r="AG508" s="6">
        <f ca="1">$O$508*$AA$508</f>
        <v>334.55351999999999</v>
      </c>
    </row>
    <row r="509" spans="1:33" ht="11.25" customHeight="1" x14ac:dyDescent="0.25">
      <c r="A509" s="4" t="s">
        <v>55</v>
      </c>
      <c r="B509" s="4" t="s">
        <v>33</v>
      </c>
      <c r="C509" s="4" t="s">
        <v>50</v>
      </c>
      <c r="D509" s="4" t="s">
        <v>49</v>
      </c>
      <c r="E509" s="4" t="s">
        <v>25</v>
      </c>
      <c r="F509" s="4" t="s">
        <v>25</v>
      </c>
      <c r="G509" s="4" t="s">
        <v>25</v>
      </c>
      <c r="H509" s="4" t="s">
        <v>38</v>
      </c>
      <c r="I509" s="5">
        <v>44743</v>
      </c>
      <c r="J509" s="6">
        <v>0</v>
      </c>
      <c r="K509" s="6">
        <v>0</v>
      </c>
      <c r="L509" s="6">
        <v>1.3380000000000001</v>
      </c>
      <c r="M509" s="6">
        <v>1.3380000000000001</v>
      </c>
      <c r="N509" s="6">
        <v>1.3380000000000001</v>
      </c>
      <c r="O509" s="6">
        <v>1.3380000000000001</v>
      </c>
      <c r="P509" s="6">
        <v>0</v>
      </c>
      <c r="Q509" s="4" t="s">
        <v>26</v>
      </c>
      <c r="R509" s="4">
        <v>0</v>
      </c>
      <c r="S509" s="6">
        <v>0</v>
      </c>
      <c r="T509" s="6">
        <v>31</v>
      </c>
      <c r="U509" s="6">
        <v>83</v>
      </c>
      <c r="V509" s="6">
        <f>IF(ISERROR(VLOOKUP($S$509,'TAR FIN'!$A$1:$O$86,15,0)),0,VLOOKUP($S$509,'TAR FIN'!$A$1:$O$86,15,0))</f>
        <v>0</v>
      </c>
      <c r="W509" s="6">
        <f>IF(ISERROR(VLOOKUP($T$509,'TAR FIN'!$A$1:$O$86,15,0)),0,VLOOKUP($T$509,'TAR FIN'!$A$1:$O$86,15,0))</f>
        <v>275.05</v>
      </c>
      <c r="X509" s="6">
        <f>IF(ISERROR(VLOOKUP($U$509,'TAR FIN'!$A$1:$O$86,15,0)),0,VLOOKUP($U$509,'TAR FIN'!$A$1:$O$86,15,0))</f>
        <v>211.71</v>
      </c>
      <c r="Y509" s="6"/>
      <c r="Z509" s="6">
        <f ca="1">('TUSD BE'!$AM$47+'TUSD BF_350'!$AM$47+'TUSD CVA'!$AM$47)*1</f>
        <v>261.33999999999992</v>
      </c>
      <c r="AA509" s="6">
        <f ca="1">('TE BE'!$AB$38+'TE BF_350'!$AB$38+'TE CVA'!$AB$38)*1</f>
        <v>250.04</v>
      </c>
      <c r="AB509" s="6">
        <f>$K$509*$V$509</f>
        <v>0</v>
      </c>
      <c r="AC509" s="6">
        <f>$M$509*$W$509</f>
        <v>368.01690000000002</v>
      </c>
      <c r="AD509" s="6">
        <f>$O$509*$X$509</f>
        <v>283.26798000000002</v>
      </c>
      <c r="AE509" s="6">
        <f>$K$509*$Y$509</f>
        <v>0</v>
      </c>
      <c r="AF509" s="6">
        <f ca="1">$M$509*$Z$509</f>
        <v>349.67291999999992</v>
      </c>
      <c r="AG509" s="6">
        <f ca="1">$O$509*$AA$509</f>
        <v>334.55351999999999</v>
      </c>
    </row>
    <row r="510" spans="1:33" ht="11.25" customHeight="1" x14ac:dyDescent="0.25">
      <c r="A510" s="4" t="s">
        <v>21</v>
      </c>
      <c r="B510" s="4" t="s">
        <v>33</v>
      </c>
      <c r="C510" s="4" t="s">
        <v>50</v>
      </c>
      <c r="D510" s="4" t="s">
        <v>49</v>
      </c>
      <c r="E510" s="4" t="s">
        <v>25</v>
      </c>
      <c r="F510" s="4" t="s">
        <v>25</v>
      </c>
      <c r="G510" s="4" t="s">
        <v>25</v>
      </c>
      <c r="H510" s="4" t="s">
        <v>51</v>
      </c>
      <c r="I510" s="5">
        <v>44409</v>
      </c>
      <c r="J510" s="6">
        <v>0</v>
      </c>
      <c r="K510" s="6">
        <v>0</v>
      </c>
      <c r="L510" s="6">
        <v>8.7999999999999995E-2</v>
      </c>
      <c r="M510" s="6">
        <v>8.7999999999999995E-2</v>
      </c>
      <c r="N510" s="6">
        <v>8.7999999999999995E-2</v>
      </c>
      <c r="O510" s="6">
        <v>8.7999999999999995E-2</v>
      </c>
      <c r="P510" s="6">
        <v>0</v>
      </c>
      <c r="Q510" s="4" t="s">
        <v>26</v>
      </c>
      <c r="R510" s="4">
        <v>0</v>
      </c>
      <c r="S510" s="6">
        <v>0</v>
      </c>
      <c r="T510" s="6">
        <v>81</v>
      </c>
      <c r="U510" s="6">
        <v>55</v>
      </c>
      <c r="V510" s="6">
        <f>IF(ISERROR(VLOOKUP($S$510,'TAR FIN'!$A$1:$O$86,15,0)),0,VLOOKUP($S$510,'TAR FIN'!$A$1:$O$86,15,0))</f>
        <v>0</v>
      </c>
      <c r="W510" s="6">
        <f>IF(ISERROR(VLOOKUP($T$510,'TAR FIN'!$A$1:$O$86,15,0)),0,VLOOKUP($T$510,'TAR FIN'!$A$1:$O$86,15,0))</f>
        <v>636.30999999999995</v>
      </c>
      <c r="X510" s="6">
        <f>IF(ISERROR(VLOOKUP($U$510,'TAR FIN'!$A$1:$O$86,15,0)),0,VLOOKUP($U$510,'TAR FIN'!$A$1:$O$86,15,0))</f>
        <v>211.71</v>
      </c>
      <c r="Y510" s="6"/>
      <c r="Z510" s="6">
        <f ca="1">('TUSD BE'!$AM$46+'TUSD BF_350'!$AM$46+'TUSD CVA'!$AM$46)*1</f>
        <v>470.22</v>
      </c>
      <c r="AA510" s="6">
        <f ca="1">('TE BE'!$AB$37+'TE BF_350'!$AB$37+'TE CVA'!$AB$37)*1</f>
        <v>250.04</v>
      </c>
      <c r="AB510" s="6">
        <f>$K$510*$V$510</f>
        <v>0</v>
      </c>
      <c r="AC510" s="6">
        <f>$M$510*$W$510</f>
        <v>55.995279999999994</v>
      </c>
      <c r="AD510" s="6">
        <f>$O$510*$X$510</f>
        <v>18.630479999999999</v>
      </c>
      <c r="AE510" s="6">
        <f>$K$510*$Y$510</f>
        <v>0</v>
      </c>
      <c r="AF510" s="6">
        <f ca="1">$M$510*$Z$510</f>
        <v>41.379359999999998</v>
      </c>
      <c r="AG510" s="6">
        <f ca="1">$O$510*$AA$510</f>
        <v>22.003519999999998</v>
      </c>
    </row>
    <row r="511" spans="1:33" ht="11.25" customHeight="1" x14ac:dyDescent="0.25">
      <c r="A511" s="4" t="s">
        <v>21</v>
      </c>
      <c r="B511" s="4" t="s">
        <v>33</v>
      </c>
      <c r="C511" s="4" t="s">
        <v>50</v>
      </c>
      <c r="D511" s="4" t="s">
        <v>49</v>
      </c>
      <c r="E511" s="4" t="s">
        <v>25</v>
      </c>
      <c r="F511" s="4" t="s">
        <v>25</v>
      </c>
      <c r="G511" s="4" t="s">
        <v>25</v>
      </c>
      <c r="H511" s="4" t="s">
        <v>51</v>
      </c>
      <c r="I511" s="5">
        <v>44440</v>
      </c>
      <c r="J511" s="6">
        <v>0</v>
      </c>
      <c r="K511" s="6">
        <v>0</v>
      </c>
      <c r="L511" s="6">
        <v>0.10100000000000001</v>
      </c>
      <c r="M511" s="6">
        <v>0.10100000000000001</v>
      </c>
      <c r="N511" s="6">
        <v>0.10100000000000001</v>
      </c>
      <c r="O511" s="6">
        <v>0.10100000000000001</v>
      </c>
      <c r="P511" s="6">
        <v>0</v>
      </c>
      <c r="Q511" s="4" t="s">
        <v>26</v>
      </c>
      <c r="R511" s="4">
        <v>0</v>
      </c>
      <c r="S511" s="6">
        <v>0</v>
      </c>
      <c r="T511" s="6">
        <v>81</v>
      </c>
      <c r="U511" s="6">
        <v>55</v>
      </c>
      <c r="V511" s="6">
        <f>IF(ISERROR(VLOOKUP($S$511,'TAR FIN'!$A$1:$O$86,15,0)),0,VLOOKUP($S$511,'TAR FIN'!$A$1:$O$86,15,0))</f>
        <v>0</v>
      </c>
      <c r="W511" s="6">
        <f>IF(ISERROR(VLOOKUP($T$511,'TAR FIN'!$A$1:$O$86,15,0)),0,VLOOKUP($T$511,'TAR FIN'!$A$1:$O$86,15,0))</f>
        <v>636.30999999999995</v>
      </c>
      <c r="X511" s="6">
        <f>IF(ISERROR(VLOOKUP($U$511,'TAR FIN'!$A$1:$O$86,15,0)),0,VLOOKUP($U$511,'TAR FIN'!$A$1:$O$86,15,0))</f>
        <v>211.71</v>
      </c>
      <c r="Y511" s="6"/>
      <c r="Z511" s="6">
        <f ca="1">('TUSD BE'!$AM$46+'TUSD BF_350'!$AM$46+'TUSD CVA'!$AM$46)*1</f>
        <v>470.22</v>
      </c>
      <c r="AA511" s="6">
        <f ca="1">('TE BE'!$AB$37+'TE BF_350'!$AB$37+'TE CVA'!$AB$37)*1</f>
        <v>250.04</v>
      </c>
      <c r="AB511" s="6">
        <f>$K$511*$V$511</f>
        <v>0</v>
      </c>
      <c r="AC511" s="6">
        <f>$M$511*$W$511</f>
        <v>64.267309999999995</v>
      </c>
      <c r="AD511" s="6">
        <f>$O$511*$X$511</f>
        <v>21.382710000000003</v>
      </c>
      <c r="AE511" s="6">
        <f>$K$511*$Y$511</f>
        <v>0</v>
      </c>
      <c r="AF511" s="6">
        <f ca="1">$M$511*$Z$511</f>
        <v>47.492220000000003</v>
      </c>
      <c r="AG511" s="6">
        <f ca="1">$O$511*$AA$511</f>
        <v>25.25404</v>
      </c>
    </row>
    <row r="512" spans="1:33" ht="11.25" customHeight="1" x14ac:dyDescent="0.25">
      <c r="A512" s="4" t="s">
        <v>21</v>
      </c>
      <c r="B512" s="4" t="s">
        <v>33</v>
      </c>
      <c r="C512" s="4" t="s">
        <v>50</v>
      </c>
      <c r="D512" s="4" t="s">
        <v>49</v>
      </c>
      <c r="E512" s="4" t="s">
        <v>25</v>
      </c>
      <c r="F512" s="4" t="s">
        <v>25</v>
      </c>
      <c r="G512" s="4" t="s">
        <v>25</v>
      </c>
      <c r="H512" s="4" t="s">
        <v>51</v>
      </c>
      <c r="I512" s="5">
        <v>44470</v>
      </c>
      <c r="J512" s="6">
        <v>0</v>
      </c>
      <c r="K512" s="6">
        <v>0</v>
      </c>
      <c r="L512" s="6">
        <v>9.0999999999999998E-2</v>
      </c>
      <c r="M512" s="6">
        <v>9.0999999999999998E-2</v>
      </c>
      <c r="N512" s="6">
        <v>9.0999999999999998E-2</v>
      </c>
      <c r="O512" s="6">
        <v>9.0999999999999998E-2</v>
      </c>
      <c r="P512" s="6">
        <v>0</v>
      </c>
      <c r="Q512" s="4" t="s">
        <v>26</v>
      </c>
      <c r="R512" s="4">
        <v>0</v>
      </c>
      <c r="S512" s="6">
        <v>0</v>
      </c>
      <c r="T512" s="6">
        <v>81</v>
      </c>
      <c r="U512" s="6">
        <v>55</v>
      </c>
      <c r="V512" s="6">
        <f>IF(ISERROR(VLOOKUP($S$512,'TAR FIN'!$A$1:$O$86,15,0)),0,VLOOKUP($S$512,'TAR FIN'!$A$1:$O$86,15,0))</f>
        <v>0</v>
      </c>
      <c r="W512" s="6">
        <f>IF(ISERROR(VLOOKUP($T$512,'TAR FIN'!$A$1:$O$86,15,0)),0,VLOOKUP($T$512,'TAR FIN'!$A$1:$O$86,15,0))</f>
        <v>636.30999999999995</v>
      </c>
      <c r="X512" s="6">
        <f>IF(ISERROR(VLOOKUP($U$512,'TAR FIN'!$A$1:$O$86,15,0)),0,VLOOKUP($U$512,'TAR FIN'!$A$1:$O$86,15,0))</f>
        <v>211.71</v>
      </c>
      <c r="Y512" s="6"/>
      <c r="Z512" s="6">
        <f ca="1">('TUSD BE'!$AM$46+'TUSD BF_350'!$AM$46+'TUSD CVA'!$AM$46)*1</f>
        <v>470.22</v>
      </c>
      <c r="AA512" s="6">
        <f ca="1">('TE BE'!$AB$37+'TE BF_350'!$AB$37+'TE CVA'!$AB$37)*1</f>
        <v>250.04</v>
      </c>
      <c r="AB512" s="6">
        <f>$K$512*$V$512</f>
        <v>0</v>
      </c>
      <c r="AC512" s="6">
        <f>$M$512*$W$512</f>
        <v>57.904209999999992</v>
      </c>
      <c r="AD512" s="6">
        <f>$O$512*$X$512</f>
        <v>19.265609999999999</v>
      </c>
      <c r="AE512" s="6">
        <f>$K$512*$Y$512</f>
        <v>0</v>
      </c>
      <c r="AF512" s="6">
        <f ca="1">$M$512*$Z$512</f>
        <v>42.790019999999998</v>
      </c>
      <c r="AG512" s="6">
        <f ca="1">$O$512*$AA$512</f>
        <v>22.753639999999997</v>
      </c>
    </row>
    <row r="513" spans="1:33" ht="11.25" customHeight="1" x14ac:dyDescent="0.25">
      <c r="A513" s="4" t="s">
        <v>21</v>
      </c>
      <c r="B513" s="4" t="s">
        <v>33</v>
      </c>
      <c r="C513" s="4" t="s">
        <v>50</v>
      </c>
      <c r="D513" s="4" t="s">
        <v>49</v>
      </c>
      <c r="E513" s="4" t="s">
        <v>25</v>
      </c>
      <c r="F513" s="4" t="s">
        <v>25</v>
      </c>
      <c r="G513" s="4" t="s">
        <v>25</v>
      </c>
      <c r="H513" s="4" t="s">
        <v>51</v>
      </c>
      <c r="I513" s="5">
        <v>44501</v>
      </c>
      <c r="J513" s="6">
        <v>0</v>
      </c>
      <c r="K513" s="6">
        <v>0</v>
      </c>
      <c r="L513" s="6">
        <v>9.8000000000000004E-2</v>
      </c>
      <c r="M513" s="6">
        <v>9.8000000000000004E-2</v>
      </c>
      <c r="N513" s="6">
        <v>9.8000000000000004E-2</v>
      </c>
      <c r="O513" s="6">
        <v>9.8000000000000004E-2</v>
      </c>
      <c r="P513" s="6">
        <v>0</v>
      </c>
      <c r="Q513" s="4" t="s">
        <v>26</v>
      </c>
      <c r="R513" s="4">
        <v>0</v>
      </c>
      <c r="S513" s="6">
        <v>0</v>
      </c>
      <c r="T513" s="6">
        <v>81</v>
      </c>
      <c r="U513" s="6">
        <v>55</v>
      </c>
      <c r="V513" s="6">
        <f>IF(ISERROR(VLOOKUP($S$513,'TAR FIN'!$A$1:$O$86,15,0)),0,VLOOKUP($S$513,'TAR FIN'!$A$1:$O$86,15,0))</f>
        <v>0</v>
      </c>
      <c r="W513" s="6">
        <f>IF(ISERROR(VLOOKUP($T$513,'TAR FIN'!$A$1:$O$86,15,0)),0,VLOOKUP($T$513,'TAR FIN'!$A$1:$O$86,15,0))</f>
        <v>636.30999999999995</v>
      </c>
      <c r="X513" s="6">
        <f>IF(ISERROR(VLOOKUP($U$513,'TAR FIN'!$A$1:$O$86,15,0)),0,VLOOKUP($U$513,'TAR FIN'!$A$1:$O$86,15,0))</f>
        <v>211.71</v>
      </c>
      <c r="Y513" s="6"/>
      <c r="Z513" s="6">
        <f ca="1">('TUSD BE'!$AM$46+'TUSD BF_350'!$AM$46+'TUSD CVA'!$AM$46)*1</f>
        <v>470.22</v>
      </c>
      <c r="AA513" s="6">
        <f ca="1">('TE BE'!$AB$37+'TE BF_350'!$AB$37+'TE CVA'!$AB$37)*1</f>
        <v>250.04</v>
      </c>
      <c r="AB513" s="6">
        <f>$K$513*$V$513</f>
        <v>0</v>
      </c>
      <c r="AC513" s="6">
        <f>$M$513*$W$513</f>
        <v>62.358379999999997</v>
      </c>
      <c r="AD513" s="6">
        <f>$O$513*$X$513</f>
        <v>20.747580000000003</v>
      </c>
      <c r="AE513" s="6">
        <f>$K$513*$Y$513</f>
        <v>0</v>
      </c>
      <c r="AF513" s="6">
        <f ca="1">$M$513*$Z$513</f>
        <v>46.081560000000003</v>
      </c>
      <c r="AG513" s="6">
        <f ca="1">$O$513*$AA$513</f>
        <v>24.503920000000001</v>
      </c>
    </row>
    <row r="514" spans="1:33" ht="11.25" customHeight="1" x14ac:dyDescent="0.25">
      <c r="A514" s="4" t="s">
        <v>21</v>
      </c>
      <c r="B514" s="4" t="s">
        <v>33</v>
      </c>
      <c r="C514" s="4" t="s">
        <v>50</v>
      </c>
      <c r="D514" s="4" t="s">
        <v>49</v>
      </c>
      <c r="E514" s="4" t="s">
        <v>25</v>
      </c>
      <c r="F514" s="4" t="s">
        <v>25</v>
      </c>
      <c r="G514" s="4" t="s">
        <v>25</v>
      </c>
      <c r="H514" s="4" t="s">
        <v>51</v>
      </c>
      <c r="I514" s="5">
        <v>44531</v>
      </c>
      <c r="J514" s="6">
        <v>0</v>
      </c>
      <c r="K514" s="6">
        <v>0</v>
      </c>
      <c r="L514" s="6">
        <v>0.107</v>
      </c>
      <c r="M514" s="6">
        <v>0.107</v>
      </c>
      <c r="N514" s="6">
        <v>0.107</v>
      </c>
      <c r="O514" s="6">
        <v>0.107</v>
      </c>
      <c r="P514" s="6">
        <v>0</v>
      </c>
      <c r="Q514" s="4" t="s">
        <v>26</v>
      </c>
      <c r="R514" s="4">
        <v>0</v>
      </c>
      <c r="S514" s="6">
        <v>0</v>
      </c>
      <c r="T514" s="6">
        <v>81</v>
      </c>
      <c r="U514" s="6">
        <v>55</v>
      </c>
      <c r="V514" s="6">
        <f>IF(ISERROR(VLOOKUP($S$514,'TAR FIN'!$A$1:$O$86,15,0)),0,VLOOKUP($S$514,'TAR FIN'!$A$1:$O$86,15,0))</f>
        <v>0</v>
      </c>
      <c r="W514" s="6">
        <f>IF(ISERROR(VLOOKUP($T$514,'TAR FIN'!$A$1:$O$86,15,0)),0,VLOOKUP($T$514,'TAR FIN'!$A$1:$O$86,15,0))</f>
        <v>636.30999999999995</v>
      </c>
      <c r="X514" s="6">
        <f>IF(ISERROR(VLOOKUP($U$514,'TAR FIN'!$A$1:$O$86,15,0)),0,VLOOKUP($U$514,'TAR FIN'!$A$1:$O$86,15,0))</f>
        <v>211.71</v>
      </c>
      <c r="Y514" s="6"/>
      <c r="Z514" s="6">
        <f ca="1">('TUSD BE'!$AM$46+'TUSD BF_350'!$AM$46+'TUSD CVA'!$AM$46)*1</f>
        <v>470.22</v>
      </c>
      <c r="AA514" s="6">
        <f ca="1">('TE BE'!$AB$37+'TE BF_350'!$AB$37+'TE CVA'!$AB$37)*1</f>
        <v>250.04</v>
      </c>
      <c r="AB514" s="6">
        <f>$K$514*$V$514</f>
        <v>0</v>
      </c>
      <c r="AC514" s="6">
        <f>$M$514*$W$514</f>
        <v>68.085169999999991</v>
      </c>
      <c r="AD514" s="6">
        <f>$O$514*$X$514</f>
        <v>22.65297</v>
      </c>
      <c r="AE514" s="6">
        <f>$K$514*$Y$514</f>
        <v>0</v>
      </c>
      <c r="AF514" s="6">
        <f ca="1">$M$514*$Z$514</f>
        <v>50.313540000000003</v>
      </c>
      <c r="AG514" s="6">
        <f ca="1">$O$514*$AA$514</f>
        <v>26.754279999999998</v>
      </c>
    </row>
    <row r="515" spans="1:33" ht="11.25" customHeight="1" x14ac:dyDescent="0.25">
      <c r="A515" s="4" t="s">
        <v>21</v>
      </c>
      <c r="B515" s="4" t="s">
        <v>33</v>
      </c>
      <c r="C515" s="4" t="s">
        <v>50</v>
      </c>
      <c r="D515" s="4" t="s">
        <v>49</v>
      </c>
      <c r="E515" s="4" t="s">
        <v>25</v>
      </c>
      <c r="F515" s="4" t="s">
        <v>25</v>
      </c>
      <c r="G515" s="4" t="s">
        <v>25</v>
      </c>
      <c r="H515" s="4" t="s">
        <v>51</v>
      </c>
      <c r="I515" s="5">
        <v>44562</v>
      </c>
      <c r="J515" s="6">
        <v>0</v>
      </c>
      <c r="K515" s="6">
        <v>0</v>
      </c>
      <c r="L515" s="6">
        <v>0.161</v>
      </c>
      <c r="M515" s="6">
        <v>0.161</v>
      </c>
      <c r="N515" s="6">
        <v>0.161</v>
      </c>
      <c r="O515" s="6">
        <v>0.161</v>
      </c>
      <c r="P515" s="6">
        <v>0</v>
      </c>
      <c r="Q515" s="4" t="s">
        <v>26</v>
      </c>
      <c r="R515" s="4">
        <v>0</v>
      </c>
      <c r="S515" s="6">
        <v>0</v>
      </c>
      <c r="T515" s="6">
        <v>81</v>
      </c>
      <c r="U515" s="6">
        <v>55</v>
      </c>
      <c r="V515" s="6">
        <f>IF(ISERROR(VLOOKUP($S$515,'TAR FIN'!$A$1:$O$86,15,0)),0,VLOOKUP($S$515,'TAR FIN'!$A$1:$O$86,15,0))</f>
        <v>0</v>
      </c>
      <c r="W515" s="6">
        <f>IF(ISERROR(VLOOKUP($T$515,'TAR FIN'!$A$1:$O$86,15,0)),0,VLOOKUP($T$515,'TAR FIN'!$A$1:$O$86,15,0))</f>
        <v>636.30999999999995</v>
      </c>
      <c r="X515" s="6">
        <f>IF(ISERROR(VLOOKUP($U$515,'TAR FIN'!$A$1:$O$86,15,0)),0,VLOOKUP($U$515,'TAR FIN'!$A$1:$O$86,15,0))</f>
        <v>211.71</v>
      </c>
      <c r="Y515" s="6"/>
      <c r="Z515" s="6">
        <f ca="1">('TUSD BE'!$AM$46+'TUSD BF_350'!$AM$46+'TUSD CVA'!$AM$46)*1</f>
        <v>470.22</v>
      </c>
      <c r="AA515" s="6">
        <f ca="1">('TE BE'!$AB$37+'TE BF_350'!$AB$37+'TE CVA'!$AB$37)*1</f>
        <v>250.04</v>
      </c>
      <c r="AB515" s="6">
        <f>$K$515*$V$515</f>
        <v>0</v>
      </c>
      <c r="AC515" s="6">
        <f>$M$515*$W$515</f>
        <v>102.44591</v>
      </c>
      <c r="AD515" s="6">
        <f>$O$515*$X$515</f>
        <v>34.08531</v>
      </c>
      <c r="AE515" s="6">
        <f>$K$515*$Y$515</f>
        <v>0</v>
      </c>
      <c r="AF515" s="6">
        <f ca="1">$M$515*$Z$515</f>
        <v>75.705420000000004</v>
      </c>
      <c r="AG515" s="6">
        <f ca="1">$O$515*$AA$515</f>
        <v>40.256439999999998</v>
      </c>
    </row>
    <row r="516" spans="1:33" ht="11.25" customHeight="1" x14ac:dyDescent="0.25">
      <c r="A516" s="4" t="s">
        <v>21</v>
      </c>
      <c r="B516" s="4" t="s">
        <v>33</v>
      </c>
      <c r="C516" s="4" t="s">
        <v>50</v>
      </c>
      <c r="D516" s="4" t="s">
        <v>49</v>
      </c>
      <c r="E516" s="4" t="s">
        <v>25</v>
      </c>
      <c r="F516" s="4" t="s">
        <v>25</v>
      </c>
      <c r="G516" s="4" t="s">
        <v>25</v>
      </c>
      <c r="H516" s="4" t="s">
        <v>51</v>
      </c>
      <c r="I516" s="5">
        <v>44593</v>
      </c>
      <c r="J516" s="6">
        <v>0</v>
      </c>
      <c r="K516" s="6">
        <v>0</v>
      </c>
      <c r="L516" s="6">
        <v>0.22700000000000001</v>
      </c>
      <c r="M516" s="6">
        <v>0.22700000000000001</v>
      </c>
      <c r="N516" s="6">
        <v>0.22700000000000001</v>
      </c>
      <c r="O516" s="6">
        <v>0.22700000000000001</v>
      </c>
      <c r="P516" s="6">
        <v>0</v>
      </c>
      <c r="Q516" s="4" t="s">
        <v>26</v>
      </c>
      <c r="R516" s="4">
        <v>0</v>
      </c>
      <c r="S516" s="6">
        <v>0</v>
      </c>
      <c r="T516" s="6">
        <v>81</v>
      </c>
      <c r="U516" s="6">
        <v>55</v>
      </c>
      <c r="V516" s="6">
        <f>IF(ISERROR(VLOOKUP($S$516,'TAR FIN'!$A$1:$O$86,15,0)),0,VLOOKUP($S$516,'TAR FIN'!$A$1:$O$86,15,0))</f>
        <v>0</v>
      </c>
      <c r="W516" s="6">
        <f>IF(ISERROR(VLOOKUP($T$516,'TAR FIN'!$A$1:$O$86,15,0)),0,VLOOKUP($T$516,'TAR FIN'!$A$1:$O$86,15,0))</f>
        <v>636.30999999999995</v>
      </c>
      <c r="X516" s="6">
        <f>IF(ISERROR(VLOOKUP($U$516,'TAR FIN'!$A$1:$O$86,15,0)),0,VLOOKUP($U$516,'TAR FIN'!$A$1:$O$86,15,0))</f>
        <v>211.71</v>
      </c>
      <c r="Y516" s="6"/>
      <c r="Z516" s="6">
        <f ca="1">('TUSD BE'!$AM$46+'TUSD BF_350'!$AM$46+'TUSD CVA'!$AM$46)*1</f>
        <v>470.22</v>
      </c>
      <c r="AA516" s="6">
        <f ca="1">('TE BE'!$AB$37+'TE BF_350'!$AB$37+'TE CVA'!$AB$37)*1</f>
        <v>250.04</v>
      </c>
      <c r="AB516" s="6">
        <f>$K$516*$V$516</f>
        <v>0</v>
      </c>
      <c r="AC516" s="6">
        <f>$M$516*$W$516</f>
        <v>144.44236999999998</v>
      </c>
      <c r="AD516" s="6">
        <f>$O$516*$X$516</f>
        <v>48.058170000000004</v>
      </c>
      <c r="AE516" s="6">
        <f>$K$516*$Y$516</f>
        <v>0</v>
      </c>
      <c r="AF516" s="6">
        <f ca="1">$M$516*$Z$516</f>
        <v>106.73994</v>
      </c>
      <c r="AG516" s="6">
        <f ca="1">$O$516*$AA$516</f>
        <v>56.759079999999997</v>
      </c>
    </row>
    <row r="517" spans="1:33" ht="11.25" customHeight="1" x14ac:dyDescent="0.25">
      <c r="A517" s="4" t="s">
        <v>21</v>
      </c>
      <c r="B517" s="4" t="s">
        <v>33</v>
      </c>
      <c r="C517" s="4" t="s">
        <v>50</v>
      </c>
      <c r="D517" s="4" t="s">
        <v>49</v>
      </c>
      <c r="E517" s="4" t="s">
        <v>25</v>
      </c>
      <c r="F517" s="4" t="s">
        <v>25</v>
      </c>
      <c r="G517" s="4" t="s">
        <v>25</v>
      </c>
      <c r="H517" s="4" t="s">
        <v>51</v>
      </c>
      <c r="I517" s="5">
        <v>44621</v>
      </c>
      <c r="J517" s="6">
        <v>0</v>
      </c>
      <c r="K517" s="6">
        <v>0</v>
      </c>
      <c r="L517" s="6">
        <v>0.17899999999999999</v>
      </c>
      <c r="M517" s="6">
        <v>0.17899999999999999</v>
      </c>
      <c r="N517" s="6">
        <v>0.17899999999999999</v>
      </c>
      <c r="O517" s="6">
        <v>0.17899999999999999</v>
      </c>
      <c r="P517" s="6">
        <v>0</v>
      </c>
      <c r="Q517" s="4" t="s">
        <v>26</v>
      </c>
      <c r="R517" s="4">
        <v>0</v>
      </c>
      <c r="S517" s="6">
        <v>0</v>
      </c>
      <c r="T517" s="6">
        <v>81</v>
      </c>
      <c r="U517" s="6">
        <v>55</v>
      </c>
      <c r="V517" s="6">
        <f>IF(ISERROR(VLOOKUP($S$517,'TAR FIN'!$A$1:$O$86,15,0)),0,VLOOKUP($S$517,'TAR FIN'!$A$1:$O$86,15,0))</f>
        <v>0</v>
      </c>
      <c r="W517" s="6">
        <f>IF(ISERROR(VLOOKUP($T$517,'TAR FIN'!$A$1:$O$86,15,0)),0,VLOOKUP($T$517,'TAR FIN'!$A$1:$O$86,15,0))</f>
        <v>636.30999999999995</v>
      </c>
      <c r="X517" s="6">
        <f>IF(ISERROR(VLOOKUP($U$517,'TAR FIN'!$A$1:$O$86,15,0)),0,VLOOKUP($U$517,'TAR FIN'!$A$1:$O$86,15,0))</f>
        <v>211.71</v>
      </c>
      <c r="Y517" s="6"/>
      <c r="Z517" s="6">
        <f ca="1">('TUSD BE'!$AM$46+'TUSD BF_350'!$AM$46+'TUSD CVA'!$AM$46)*1</f>
        <v>470.22</v>
      </c>
      <c r="AA517" s="6">
        <f ca="1">('TE BE'!$AB$37+'TE BF_350'!$AB$37+'TE CVA'!$AB$37)*1</f>
        <v>250.04</v>
      </c>
      <c r="AB517" s="6">
        <f>$K$517*$V$517</f>
        <v>0</v>
      </c>
      <c r="AC517" s="6">
        <f>$M$517*$W$517</f>
        <v>113.89948999999999</v>
      </c>
      <c r="AD517" s="6">
        <f>$O$517*$X$517</f>
        <v>37.896090000000001</v>
      </c>
      <c r="AE517" s="6">
        <f>$K$517*$Y$517</f>
        <v>0</v>
      </c>
      <c r="AF517" s="6">
        <f ca="1">$M$517*$Z$517</f>
        <v>84.169380000000004</v>
      </c>
      <c r="AG517" s="6">
        <f ca="1">$O$517*$AA$517</f>
        <v>44.757159999999999</v>
      </c>
    </row>
    <row r="518" spans="1:33" ht="11.25" customHeight="1" x14ac:dyDescent="0.25">
      <c r="A518" s="4" t="s">
        <v>21</v>
      </c>
      <c r="B518" s="4" t="s">
        <v>33</v>
      </c>
      <c r="C518" s="4" t="s">
        <v>50</v>
      </c>
      <c r="D518" s="4" t="s">
        <v>49</v>
      </c>
      <c r="E518" s="4" t="s">
        <v>25</v>
      </c>
      <c r="F518" s="4" t="s">
        <v>25</v>
      </c>
      <c r="G518" s="4" t="s">
        <v>25</v>
      </c>
      <c r="H518" s="4" t="s">
        <v>51</v>
      </c>
      <c r="I518" s="5">
        <v>44652</v>
      </c>
      <c r="J518" s="6">
        <v>0</v>
      </c>
      <c r="K518" s="6">
        <v>0</v>
      </c>
      <c r="L518" s="6">
        <v>0.19</v>
      </c>
      <c r="M518" s="6">
        <v>0.19</v>
      </c>
      <c r="N518" s="6">
        <v>0.19</v>
      </c>
      <c r="O518" s="6">
        <v>0.19</v>
      </c>
      <c r="P518" s="6">
        <v>0</v>
      </c>
      <c r="Q518" s="4" t="s">
        <v>26</v>
      </c>
      <c r="R518" s="4">
        <v>0</v>
      </c>
      <c r="S518" s="6">
        <v>0</v>
      </c>
      <c r="T518" s="6">
        <v>81</v>
      </c>
      <c r="U518" s="6">
        <v>55</v>
      </c>
      <c r="V518" s="6">
        <f>IF(ISERROR(VLOOKUP($S$518,'TAR FIN'!$A$1:$O$86,15,0)),0,VLOOKUP($S$518,'TAR FIN'!$A$1:$O$86,15,0))</f>
        <v>0</v>
      </c>
      <c r="W518" s="6">
        <f>IF(ISERROR(VLOOKUP($T$518,'TAR FIN'!$A$1:$O$86,15,0)),0,VLOOKUP($T$518,'TAR FIN'!$A$1:$O$86,15,0))</f>
        <v>636.30999999999995</v>
      </c>
      <c r="X518" s="6">
        <f>IF(ISERROR(VLOOKUP($U$518,'TAR FIN'!$A$1:$O$86,15,0)),0,VLOOKUP($U$518,'TAR FIN'!$A$1:$O$86,15,0))</f>
        <v>211.71</v>
      </c>
      <c r="Y518" s="6"/>
      <c r="Z518" s="6">
        <f ca="1">('TUSD BE'!$AM$46+'TUSD BF_350'!$AM$46+'TUSD CVA'!$AM$46)*1</f>
        <v>470.22</v>
      </c>
      <c r="AA518" s="6">
        <f ca="1">('TE BE'!$AB$37+'TE BF_350'!$AB$37+'TE CVA'!$AB$37)*1</f>
        <v>250.04</v>
      </c>
      <c r="AB518" s="6">
        <f>$K$518*$V$518</f>
        <v>0</v>
      </c>
      <c r="AC518" s="6">
        <f>$M$518*$W$518</f>
        <v>120.8989</v>
      </c>
      <c r="AD518" s="6">
        <f>$O$518*$X$518</f>
        <v>40.224900000000005</v>
      </c>
      <c r="AE518" s="6">
        <f>$K$518*$Y$518</f>
        <v>0</v>
      </c>
      <c r="AF518" s="6">
        <f ca="1">$M$518*$Z$518</f>
        <v>89.341800000000006</v>
      </c>
      <c r="AG518" s="6">
        <f ca="1">$O$518*$AA$518</f>
        <v>47.507599999999996</v>
      </c>
    </row>
    <row r="519" spans="1:33" ht="11.25" customHeight="1" x14ac:dyDescent="0.25">
      <c r="A519" s="4" t="s">
        <v>21</v>
      </c>
      <c r="B519" s="4" t="s">
        <v>33</v>
      </c>
      <c r="C519" s="4" t="s">
        <v>50</v>
      </c>
      <c r="D519" s="4" t="s">
        <v>49</v>
      </c>
      <c r="E519" s="4" t="s">
        <v>25</v>
      </c>
      <c r="F519" s="4" t="s">
        <v>25</v>
      </c>
      <c r="G519" s="4" t="s">
        <v>25</v>
      </c>
      <c r="H519" s="4" t="s">
        <v>51</v>
      </c>
      <c r="I519" s="5">
        <v>44682</v>
      </c>
      <c r="J519" s="6">
        <v>0</v>
      </c>
      <c r="K519" s="6">
        <v>0</v>
      </c>
      <c r="L519" s="6">
        <v>0.11600000000000001</v>
      </c>
      <c r="M519" s="6">
        <v>0.11600000000000001</v>
      </c>
      <c r="N519" s="6">
        <v>0.11600000000000001</v>
      </c>
      <c r="O519" s="6">
        <v>0.11600000000000001</v>
      </c>
      <c r="P519" s="6">
        <v>0</v>
      </c>
      <c r="Q519" s="4" t="s">
        <v>26</v>
      </c>
      <c r="R519" s="4">
        <v>0</v>
      </c>
      <c r="S519" s="6">
        <v>0</v>
      </c>
      <c r="T519" s="6">
        <v>81</v>
      </c>
      <c r="U519" s="6">
        <v>55</v>
      </c>
      <c r="V519" s="6">
        <f>IF(ISERROR(VLOOKUP($S$519,'TAR FIN'!$A$1:$O$86,15,0)),0,VLOOKUP($S$519,'TAR FIN'!$A$1:$O$86,15,0))</f>
        <v>0</v>
      </c>
      <c r="W519" s="6">
        <f>IF(ISERROR(VLOOKUP($T$519,'TAR FIN'!$A$1:$O$86,15,0)),0,VLOOKUP($T$519,'TAR FIN'!$A$1:$O$86,15,0))</f>
        <v>636.30999999999995</v>
      </c>
      <c r="X519" s="6">
        <f>IF(ISERROR(VLOOKUP($U$519,'TAR FIN'!$A$1:$O$86,15,0)),0,VLOOKUP($U$519,'TAR FIN'!$A$1:$O$86,15,0))</f>
        <v>211.71</v>
      </c>
      <c r="Y519" s="6"/>
      <c r="Z519" s="6">
        <f ca="1">('TUSD BE'!$AM$46+'TUSD BF_350'!$AM$46+'TUSD CVA'!$AM$46)*1</f>
        <v>470.22</v>
      </c>
      <c r="AA519" s="6">
        <f ca="1">('TE BE'!$AB$37+'TE BF_350'!$AB$37+'TE CVA'!$AB$37)*1</f>
        <v>250.04</v>
      </c>
      <c r="AB519" s="6">
        <f>$K$519*$V$519</f>
        <v>0</v>
      </c>
      <c r="AC519" s="6">
        <f>$M$519*$W$519</f>
        <v>73.811959999999999</v>
      </c>
      <c r="AD519" s="6">
        <f>$O$519*$X$519</f>
        <v>24.55836</v>
      </c>
      <c r="AE519" s="6">
        <f>$K$519*$Y$519</f>
        <v>0</v>
      </c>
      <c r="AF519" s="6">
        <f ca="1">$M$519*$Z$519</f>
        <v>54.545520000000003</v>
      </c>
      <c r="AG519" s="6">
        <f ca="1">$O$519*$AA$519</f>
        <v>29.004640000000002</v>
      </c>
    </row>
    <row r="520" spans="1:33" ht="11.25" customHeight="1" x14ac:dyDescent="0.25">
      <c r="A520" s="4" t="s">
        <v>21</v>
      </c>
      <c r="B520" s="4" t="s">
        <v>33</v>
      </c>
      <c r="C520" s="4" t="s">
        <v>50</v>
      </c>
      <c r="D520" s="4" t="s">
        <v>49</v>
      </c>
      <c r="E520" s="4" t="s">
        <v>25</v>
      </c>
      <c r="F520" s="4" t="s">
        <v>25</v>
      </c>
      <c r="G520" s="4" t="s">
        <v>25</v>
      </c>
      <c r="H520" s="4" t="s">
        <v>51</v>
      </c>
      <c r="I520" s="5">
        <v>44713</v>
      </c>
      <c r="J520" s="6">
        <v>0</v>
      </c>
      <c r="K520" s="6">
        <v>0</v>
      </c>
      <c r="L520" s="6">
        <v>8.7999999999999995E-2</v>
      </c>
      <c r="M520" s="6">
        <v>8.7999999999999995E-2</v>
      </c>
      <c r="N520" s="6">
        <v>8.7999999999999995E-2</v>
      </c>
      <c r="O520" s="6">
        <v>8.7999999999999995E-2</v>
      </c>
      <c r="P520" s="6">
        <v>0</v>
      </c>
      <c r="Q520" s="4" t="s">
        <v>26</v>
      </c>
      <c r="R520" s="4">
        <v>0</v>
      </c>
      <c r="S520" s="6">
        <v>0</v>
      </c>
      <c r="T520" s="6">
        <v>81</v>
      </c>
      <c r="U520" s="6">
        <v>55</v>
      </c>
      <c r="V520" s="6">
        <f>IF(ISERROR(VLOOKUP($S$520,'TAR FIN'!$A$1:$O$86,15,0)),0,VLOOKUP($S$520,'TAR FIN'!$A$1:$O$86,15,0))</f>
        <v>0</v>
      </c>
      <c r="W520" s="6">
        <f>IF(ISERROR(VLOOKUP($T$520,'TAR FIN'!$A$1:$O$86,15,0)),0,VLOOKUP($T$520,'TAR FIN'!$A$1:$O$86,15,0))</f>
        <v>636.30999999999995</v>
      </c>
      <c r="X520" s="6">
        <f>IF(ISERROR(VLOOKUP($U$520,'TAR FIN'!$A$1:$O$86,15,0)),0,VLOOKUP($U$520,'TAR FIN'!$A$1:$O$86,15,0))</f>
        <v>211.71</v>
      </c>
      <c r="Y520" s="6"/>
      <c r="Z520" s="6">
        <f ca="1">('TUSD BE'!$AM$46+'TUSD BF_350'!$AM$46+'TUSD CVA'!$AM$46)*1</f>
        <v>470.22</v>
      </c>
      <c r="AA520" s="6">
        <f ca="1">('TE BE'!$AB$37+'TE BF_350'!$AB$37+'TE CVA'!$AB$37)*1</f>
        <v>250.04</v>
      </c>
      <c r="AB520" s="6">
        <f>$K$520*$V$520</f>
        <v>0</v>
      </c>
      <c r="AC520" s="6">
        <f>$M$520*$W$520</f>
        <v>55.995279999999994</v>
      </c>
      <c r="AD520" s="6">
        <f>$O$520*$X$520</f>
        <v>18.630479999999999</v>
      </c>
      <c r="AE520" s="6">
        <f>$K$520*$Y$520</f>
        <v>0</v>
      </c>
      <c r="AF520" s="6">
        <f ca="1">$M$520*$Z$520</f>
        <v>41.379359999999998</v>
      </c>
      <c r="AG520" s="6">
        <f ca="1">$O$520*$AA$520</f>
        <v>22.003519999999998</v>
      </c>
    </row>
    <row r="521" spans="1:33" ht="11.25" customHeight="1" x14ac:dyDescent="0.25">
      <c r="A521" s="4" t="s">
        <v>55</v>
      </c>
      <c r="B521" s="4" t="s">
        <v>33</v>
      </c>
      <c r="C521" s="4" t="s">
        <v>50</v>
      </c>
      <c r="D521" s="4" t="s">
        <v>49</v>
      </c>
      <c r="E521" s="4" t="s">
        <v>25</v>
      </c>
      <c r="F521" s="4" t="s">
        <v>25</v>
      </c>
      <c r="G521" s="4" t="s">
        <v>25</v>
      </c>
      <c r="H521" s="4" t="s">
        <v>51</v>
      </c>
      <c r="I521" s="5">
        <v>44743</v>
      </c>
      <c r="J521" s="6">
        <v>0</v>
      </c>
      <c r="K521" s="6">
        <v>0</v>
      </c>
      <c r="L521" s="6">
        <v>8.7999999999999995E-2</v>
      </c>
      <c r="M521" s="6">
        <v>8.7999999999999995E-2</v>
      </c>
      <c r="N521" s="6">
        <v>8.7999999999999995E-2</v>
      </c>
      <c r="O521" s="6">
        <v>8.7999999999999995E-2</v>
      </c>
      <c r="P521" s="6">
        <v>0</v>
      </c>
      <c r="Q521" s="4" t="s">
        <v>26</v>
      </c>
      <c r="R521" s="4">
        <v>0</v>
      </c>
      <c r="S521" s="6">
        <v>0</v>
      </c>
      <c r="T521" s="6">
        <v>81</v>
      </c>
      <c r="U521" s="6">
        <v>55</v>
      </c>
      <c r="V521" s="6">
        <f>IF(ISERROR(VLOOKUP($S$521,'TAR FIN'!$A$1:$O$86,15,0)),0,VLOOKUP($S$521,'TAR FIN'!$A$1:$O$86,15,0))</f>
        <v>0</v>
      </c>
      <c r="W521" s="6">
        <f>IF(ISERROR(VLOOKUP($T$521,'TAR FIN'!$A$1:$O$86,15,0)),0,VLOOKUP($T$521,'TAR FIN'!$A$1:$O$86,15,0))</f>
        <v>636.30999999999995</v>
      </c>
      <c r="X521" s="6">
        <f>IF(ISERROR(VLOOKUP($U$521,'TAR FIN'!$A$1:$O$86,15,0)),0,VLOOKUP($U$521,'TAR FIN'!$A$1:$O$86,15,0))</f>
        <v>211.71</v>
      </c>
      <c r="Y521" s="6"/>
      <c r="Z521" s="6">
        <f ca="1">('TUSD BE'!$AM$46+'TUSD BF_350'!$AM$46+'TUSD CVA'!$AM$46)*1</f>
        <v>470.22</v>
      </c>
      <c r="AA521" s="6">
        <f ca="1">('TE BE'!$AB$37+'TE BF_350'!$AB$37+'TE CVA'!$AB$37)*1</f>
        <v>250.04</v>
      </c>
      <c r="AB521" s="6">
        <f>$K$521*$V$521</f>
        <v>0</v>
      </c>
      <c r="AC521" s="6">
        <f>$M$521*$W$521</f>
        <v>55.995279999999994</v>
      </c>
      <c r="AD521" s="6">
        <f>$O$521*$X$521</f>
        <v>18.630479999999999</v>
      </c>
      <c r="AE521" s="6">
        <f>$K$521*$Y$521</f>
        <v>0</v>
      </c>
      <c r="AF521" s="6">
        <f ca="1">$M$521*$Z$521</f>
        <v>41.379359999999998</v>
      </c>
      <c r="AG521" s="6">
        <f ca="1">$O$521*$AA$521</f>
        <v>22.003519999999998</v>
      </c>
    </row>
    <row r="522" spans="1:33" ht="11.25" customHeight="1" x14ac:dyDescent="0.25">
      <c r="A522" s="4" t="s">
        <v>21</v>
      </c>
      <c r="B522" s="4" t="s">
        <v>33</v>
      </c>
      <c r="C522" s="4" t="s">
        <v>50</v>
      </c>
      <c r="D522" s="4" t="s">
        <v>49</v>
      </c>
      <c r="E522" s="4" t="s">
        <v>25</v>
      </c>
      <c r="F522" s="4" t="s">
        <v>25</v>
      </c>
      <c r="G522" s="4" t="s">
        <v>25</v>
      </c>
      <c r="H522" s="4" t="s">
        <v>37</v>
      </c>
      <c r="I522" s="5">
        <v>44409</v>
      </c>
      <c r="J522" s="6">
        <v>0</v>
      </c>
      <c r="K522" s="6">
        <v>0</v>
      </c>
      <c r="L522" s="6">
        <v>7.0999999999999994E-2</v>
      </c>
      <c r="M522" s="6">
        <v>7.0999999999999994E-2</v>
      </c>
      <c r="N522" s="6">
        <v>7.0999999999999994E-2</v>
      </c>
      <c r="O522" s="6">
        <v>7.0999999999999994E-2</v>
      </c>
      <c r="P522" s="6">
        <v>0</v>
      </c>
      <c r="Q522" s="4" t="s">
        <v>26</v>
      </c>
      <c r="R522" s="4">
        <v>0</v>
      </c>
      <c r="S522" s="6">
        <v>0</v>
      </c>
      <c r="T522" s="6">
        <v>42</v>
      </c>
      <c r="U522" s="6">
        <v>60</v>
      </c>
      <c r="V522" s="6">
        <f>IF(ISERROR(VLOOKUP($S$522,'TAR FIN'!$A$1:$O$86,15,0)),0,VLOOKUP($S$522,'TAR FIN'!$A$1:$O$86,15,0))</f>
        <v>0</v>
      </c>
      <c r="W522" s="6">
        <f>IF(ISERROR(VLOOKUP($T$522,'TAR FIN'!$A$1:$O$86,15,0)),0,VLOOKUP($T$522,'TAR FIN'!$A$1:$O$86,15,0))</f>
        <v>997.57</v>
      </c>
      <c r="X522" s="6">
        <f>IF(ISERROR(VLOOKUP($U$522,'TAR FIN'!$A$1:$O$86,15,0)),0,VLOOKUP($U$522,'TAR FIN'!$A$1:$O$86,15,0))</f>
        <v>359.33</v>
      </c>
      <c r="Y522" s="6"/>
      <c r="Z522" s="6">
        <f ca="1">('TUSD BE'!$AM$45+'TUSD BF_350'!$AM$45+'TUSD CVA'!$AM$45)*1</f>
        <v>679.11</v>
      </c>
      <c r="AA522" s="6">
        <f ca="1">('TE BE'!$AB$36+'TE BF_350'!$AB$36+'TE CVA'!$AB$36)*1</f>
        <v>399.84</v>
      </c>
      <c r="AB522" s="6">
        <f>$K$522*$V$522</f>
        <v>0</v>
      </c>
      <c r="AC522" s="6">
        <f>$M$522*$W$522</f>
        <v>70.827469999999991</v>
      </c>
      <c r="AD522" s="6">
        <f>$O$522*$X$522</f>
        <v>25.512429999999995</v>
      </c>
      <c r="AE522" s="6">
        <f>$K$522*$Y$522</f>
        <v>0</v>
      </c>
      <c r="AF522" s="6">
        <f ca="1">$M$522*$Z$522</f>
        <v>48.216809999999995</v>
      </c>
      <c r="AG522" s="6">
        <f ca="1">$O$522*$AA$522</f>
        <v>28.388639999999995</v>
      </c>
    </row>
    <row r="523" spans="1:33" ht="11.25" customHeight="1" x14ac:dyDescent="0.25">
      <c r="A523" s="4" t="s">
        <v>21</v>
      </c>
      <c r="B523" s="4" t="s">
        <v>33</v>
      </c>
      <c r="C523" s="4" t="s">
        <v>50</v>
      </c>
      <c r="D523" s="4" t="s">
        <v>49</v>
      </c>
      <c r="E523" s="4" t="s">
        <v>25</v>
      </c>
      <c r="F523" s="4" t="s">
        <v>25</v>
      </c>
      <c r="G523" s="4" t="s">
        <v>25</v>
      </c>
      <c r="H523" s="4" t="s">
        <v>37</v>
      </c>
      <c r="I523" s="5">
        <v>44440</v>
      </c>
      <c r="J523" s="6">
        <v>0</v>
      </c>
      <c r="K523" s="6">
        <v>0</v>
      </c>
      <c r="L523" s="6">
        <v>8.5999999999999993E-2</v>
      </c>
      <c r="M523" s="6">
        <v>8.5999999999999993E-2</v>
      </c>
      <c r="N523" s="6">
        <v>8.5999999999999993E-2</v>
      </c>
      <c r="O523" s="6">
        <v>8.5999999999999993E-2</v>
      </c>
      <c r="P523" s="6">
        <v>0</v>
      </c>
      <c r="Q523" s="4" t="s">
        <v>26</v>
      </c>
      <c r="R523" s="4">
        <v>0</v>
      </c>
      <c r="S523" s="6">
        <v>0</v>
      </c>
      <c r="T523" s="6">
        <v>42</v>
      </c>
      <c r="U523" s="6">
        <v>60</v>
      </c>
      <c r="V523" s="6">
        <f>IF(ISERROR(VLOOKUP($S$523,'TAR FIN'!$A$1:$O$86,15,0)),0,VLOOKUP($S$523,'TAR FIN'!$A$1:$O$86,15,0))</f>
        <v>0</v>
      </c>
      <c r="W523" s="6">
        <f>IF(ISERROR(VLOOKUP($T$523,'TAR FIN'!$A$1:$O$86,15,0)),0,VLOOKUP($T$523,'TAR FIN'!$A$1:$O$86,15,0))</f>
        <v>997.57</v>
      </c>
      <c r="X523" s="6">
        <f>IF(ISERROR(VLOOKUP($U$523,'TAR FIN'!$A$1:$O$86,15,0)),0,VLOOKUP($U$523,'TAR FIN'!$A$1:$O$86,15,0))</f>
        <v>359.33</v>
      </c>
      <c r="Y523" s="6"/>
      <c r="Z523" s="6">
        <f ca="1">('TUSD BE'!$AM$45+'TUSD BF_350'!$AM$45+'TUSD CVA'!$AM$45)*1</f>
        <v>679.11</v>
      </c>
      <c r="AA523" s="6">
        <f ca="1">('TE BE'!$AB$36+'TE BF_350'!$AB$36+'TE CVA'!$AB$36)*1</f>
        <v>399.84</v>
      </c>
      <c r="AB523" s="6">
        <f>$K$523*$V$523</f>
        <v>0</v>
      </c>
      <c r="AC523" s="6">
        <f>$M$523*$W$523</f>
        <v>85.791020000000003</v>
      </c>
      <c r="AD523" s="6">
        <f>$O$523*$X$523</f>
        <v>30.902379999999997</v>
      </c>
      <c r="AE523" s="6">
        <f>$K$523*$Y$523</f>
        <v>0</v>
      </c>
      <c r="AF523" s="6">
        <f ca="1">$M$523*$Z$523</f>
        <v>58.403459999999995</v>
      </c>
      <c r="AG523" s="6">
        <f ca="1">$O$523*$AA$523</f>
        <v>34.386239999999994</v>
      </c>
    </row>
    <row r="524" spans="1:33" ht="11.25" customHeight="1" x14ac:dyDescent="0.25">
      <c r="A524" s="4" t="s">
        <v>21</v>
      </c>
      <c r="B524" s="4" t="s">
        <v>33</v>
      </c>
      <c r="C524" s="4" t="s">
        <v>50</v>
      </c>
      <c r="D524" s="4" t="s">
        <v>49</v>
      </c>
      <c r="E524" s="4" t="s">
        <v>25</v>
      </c>
      <c r="F524" s="4" t="s">
        <v>25</v>
      </c>
      <c r="G524" s="4" t="s">
        <v>25</v>
      </c>
      <c r="H524" s="4" t="s">
        <v>37</v>
      </c>
      <c r="I524" s="5">
        <v>44470</v>
      </c>
      <c r="J524" s="6">
        <v>0</v>
      </c>
      <c r="K524" s="6">
        <v>0</v>
      </c>
      <c r="L524" s="6">
        <v>8.7999999999999995E-2</v>
      </c>
      <c r="M524" s="6">
        <v>8.7999999999999995E-2</v>
      </c>
      <c r="N524" s="6">
        <v>8.7999999999999995E-2</v>
      </c>
      <c r="O524" s="6">
        <v>8.7999999999999995E-2</v>
      </c>
      <c r="P524" s="6">
        <v>0</v>
      </c>
      <c r="Q524" s="4" t="s">
        <v>26</v>
      </c>
      <c r="R524" s="4">
        <v>0</v>
      </c>
      <c r="S524" s="6">
        <v>0</v>
      </c>
      <c r="T524" s="6">
        <v>42</v>
      </c>
      <c r="U524" s="6">
        <v>60</v>
      </c>
      <c r="V524" s="6">
        <f>IF(ISERROR(VLOOKUP($S$524,'TAR FIN'!$A$1:$O$86,15,0)),0,VLOOKUP($S$524,'TAR FIN'!$A$1:$O$86,15,0))</f>
        <v>0</v>
      </c>
      <c r="W524" s="6">
        <f>IF(ISERROR(VLOOKUP($T$524,'TAR FIN'!$A$1:$O$86,15,0)),0,VLOOKUP($T$524,'TAR FIN'!$A$1:$O$86,15,0))</f>
        <v>997.57</v>
      </c>
      <c r="X524" s="6">
        <f>IF(ISERROR(VLOOKUP($U$524,'TAR FIN'!$A$1:$O$86,15,0)),0,VLOOKUP($U$524,'TAR FIN'!$A$1:$O$86,15,0))</f>
        <v>359.33</v>
      </c>
      <c r="Y524" s="6"/>
      <c r="Z524" s="6">
        <f ca="1">('TUSD BE'!$AM$45+'TUSD BF_350'!$AM$45+'TUSD CVA'!$AM$45)*1</f>
        <v>679.11</v>
      </c>
      <c r="AA524" s="6">
        <f ca="1">('TE BE'!$AB$36+'TE BF_350'!$AB$36+'TE CVA'!$AB$36)*1</f>
        <v>399.84</v>
      </c>
      <c r="AB524" s="6">
        <f>$K$524*$V$524</f>
        <v>0</v>
      </c>
      <c r="AC524" s="6">
        <f>$M$524*$W$524</f>
        <v>87.786159999999995</v>
      </c>
      <c r="AD524" s="6">
        <f>$O$524*$X$524</f>
        <v>31.621039999999997</v>
      </c>
      <c r="AE524" s="6">
        <f>$K$524*$Y$524</f>
        <v>0</v>
      </c>
      <c r="AF524" s="6">
        <f ca="1">$M$524*$Z$524</f>
        <v>59.761679999999998</v>
      </c>
      <c r="AG524" s="6">
        <f ca="1">$O$524*$AA$524</f>
        <v>35.185919999999996</v>
      </c>
    </row>
    <row r="525" spans="1:33" ht="11.25" customHeight="1" x14ac:dyDescent="0.25">
      <c r="A525" s="4" t="s">
        <v>21</v>
      </c>
      <c r="B525" s="4" t="s">
        <v>33</v>
      </c>
      <c r="C525" s="4" t="s">
        <v>50</v>
      </c>
      <c r="D525" s="4" t="s">
        <v>49</v>
      </c>
      <c r="E525" s="4" t="s">
        <v>25</v>
      </c>
      <c r="F525" s="4" t="s">
        <v>25</v>
      </c>
      <c r="G525" s="4" t="s">
        <v>25</v>
      </c>
      <c r="H525" s="4" t="s">
        <v>37</v>
      </c>
      <c r="I525" s="5">
        <v>44501</v>
      </c>
      <c r="J525" s="6">
        <v>0</v>
      </c>
      <c r="K525" s="6">
        <v>0</v>
      </c>
      <c r="L525" s="6">
        <v>6.4000000000000001E-2</v>
      </c>
      <c r="M525" s="6">
        <v>6.4000000000000001E-2</v>
      </c>
      <c r="N525" s="6">
        <v>6.4000000000000001E-2</v>
      </c>
      <c r="O525" s="6">
        <v>6.4000000000000001E-2</v>
      </c>
      <c r="P525" s="6">
        <v>0</v>
      </c>
      <c r="Q525" s="4" t="s">
        <v>26</v>
      </c>
      <c r="R525" s="4">
        <v>0</v>
      </c>
      <c r="S525" s="6">
        <v>0</v>
      </c>
      <c r="T525" s="6">
        <v>42</v>
      </c>
      <c r="U525" s="6">
        <v>60</v>
      </c>
      <c r="V525" s="6">
        <f>IF(ISERROR(VLOOKUP($S$525,'TAR FIN'!$A$1:$O$86,15,0)),0,VLOOKUP($S$525,'TAR FIN'!$A$1:$O$86,15,0))</f>
        <v>0</v>
      </c>
      <c r="W525" s="6">
        <f>IF(ISERROR(VLOOKUP($T$525,'TAR FIN'!$A$1:$O$86,15,0)),0,VLOOKUP($T$525,'TAR FIN'!$A$1:$O$86,15,0))</f>
        <v>997.57</v>
      </c>
      <c r="X525" s="6">
        <f>IF(ISERROR(VLOOKUP($U$525,'TAR FIN'!$A$1:$O$86,15,0)),0,VLOOKUP($U$525,'TAR FIN'!$A$1:$O$86,15,0))</f>
        <v>359.33</v>
      </c>
      <c r="Y525" s="6"/>
      <c r="Z525" s="6">
        <f ca="1">('TUSD BE'!$AM$45+'TUSD BF_350'!$AM$45+'TUSD CVA'!$AM$45)*1</f>
        <v>679.11</v>
      </c>
      <c r="AA525" s="6">
        <f ca="1">('TE BE'!$AB$36+'TE BF_350'!$AB$36+'TE CVA'!$AB$36)*1</f>
        <v>399.84</v>
      </c>
      <c r="AB525" s="6">
        <f>$K$525*$V$525</f>
        <v>0</v>
      </c>
      <c r="AC525" s="6">
        <f>$M$525*$W$525</f>
        <v>63.844480000000004</v>
      </c>
      <c r="AD525" s="6">
        <f>$O$525*$X$525</f>
        <v>22.997119999999999</v>
      </c>
      <c r="AE525" s="6">
        <f>$K$525*$Y$525</f>
        <v>0</v>
      </c>
      <c r="AF525" s="6">
        <f ca="1">$M$525*$Z$525</f>
        <v>43.463039999999999</v>
      </c>
      <c r="AG525" s="6">
        <f ca="1">$O$525*$AA$525</f>
        <v>25.589759999999998</v>
      </c>
    </row>
    <row r="526" spans="1:33" ht="11.25" customHeight="1" x14ac:dyDescent="0.25">
      <c r="A526" s="4" t="s">
        <v>21</v>
      </c>
      <c r="B526" s="4" t="s">
        <v>33</v>
      </c>
      <c r="C526" s="4" t="s">
        <v>50</v>
      </c>
      <c r="D526" s="4" t="s">
        <v>49</v>
      </c>
      <c r="E526" s="4" t="s">
        <v>25</v>
      </c>
      <c r="F526" s="4" t="s">
        <v>25</v>
      </c>
      <c r="G526" s="4" t="s">
        <v>25</v>
      </c>
      <c r="H526" s="4" t="s">
        <v>37</v>
      </c>
      <c r="I526" s="5">
        <v>44531</v>
      </c>
      <c r="J526" s="6">
        <v>0</v>
      </c>
      <c r="K526" s="6">
        <v>0</v>
      </c>
      <c r="L526" s="6">
        <v>7.1999999999999995E-2</v>
      </c>
      <c r="M526" s="6">
        <v>7.1999999999999995E-2</v>
      </c>
      <c r="N526" s="6">
        <v>7.1999999999999995E-2</v>
      </c>
      <c r="O526" s="6">
        <v>7.1999999999999995E-2</v>
      </c>
      <c r="P526" s="6">
        <v>0</v>
      </c>
      <c r="Q526" s="4" t="s">
        <v>26</v>
      </c>
      <c r="R526" s="4">
        <v>0</v>
      </c>
      <c r="S526" s="6">
        <v>0</v>
      </c>
      <c r="T526" s="6">
        <v>42</v>
      </c>
      <c r="U526" s="6">
        <v>60</v>
      </c>
      <c r="V526" s="6">
        <f>IF(ISERROR(VLOOKUP($S$526,'TAR FIN'!$A$1:$O$86,15,0)),0,VLOOKUP($S$526,'TAR FIN'!$A$1:$O$86,15,0))</f>
        <v>0</v>
      </c>
      <c r="W526" s="6">
        <f>IF(ISERROR(VLOOKUP($T$526,'TAR FIN'!$A$1:$O$86,15,0)),0,VLOOKUP($T$526,'TAR FIN'!$A$1:$O$86,15,0))</f>
        <v>997.57</v>
      </c>
      <c r="X526" s="6">
        <f>IF(ISERROR(VLOOKUP($U$526,'TAR FIN'!$A$1:$O$86,15,0)),0,VLOOKUP($U$526,'TAR FIN'!$A$1:$O$86,15,0))</f>
        <v>359.33</v>
      </c>
      <c r="Y526" s="6"/>
      <c r="Z526" s="6">
        <f ca="1">('TUSD BE'!$AM$45+'TUSD BF_350'!$AM$45+'TUSD CVA'!$AM$45)*1</f>
        <v>679.11</v>
      </c>
      <c r="AA526" s="6">
        <f ca="1">('TE BE'!$AB$36+'TE BF_350'!$AB$36+'TE CVA'!$AB$36)*1</f>
        <v>399.84</v>
      </c>
      <c r="AB526" s="6">
        <f>$K$526*$V$526</f>
        <v>0</v>
      </c>
      <c r="AC526" s="6">
        <f>$M$526*$W$526</f>
        <v>71.825040000000001</v>
      </c>
      <c r="AD526" s="6">
        <f>$O$526*$X$526</f>
        <v>25.871759999999998</v>
      </c>
      <c r="AE526" s="6">
        <f>$K$526*$Y$526</f>
        <v>0</v>
      </c>
      <c r="AF526" s="6">
        <f ca="1">$M$526*$Z$526</f>
        <v>48.895919999999997</v>
      </c>
      <c r="AG526" s="6">
        <f ca="1">$O$526*$AA$526</f>
        <v>28.788479999999996</v>
      </c>
    </row>
    <row r="527" spans="1:33" ht="11.25" customHeight="1" x14ac:dyDescent="0.25">
      <c r="A527" s="4" t="s">
        <v>21</v>
      </c>
      <c r="B527" s="4" t="s">
        <v>33</v>
      </c>
      <c r="C527" s="4" t="s">
        <v>50</v>
      </c>
      <c r="D527" s="4" t="s">
        <v>49</v>
      </c>
      <c r="E527" s="4" t="s">
        <v>25</v>
      </c>
      <c r="F527" s="4" t="s">
        <v>25</v>
      </c>
      <c r="G527" s="4" t="s">
        <v>25</v>
      </c>
      <c r="H527" s="4" t="s">
        <v>37</v>
      </c>
      <c r="I527" s="5">
        <v>44562</v>
      </c>
      <c r="J527" s="6">
        <v>0</v>
      </c>
      <c r="K527" s="6">
        <v>0</v>
      </c>
      <c r="L527" s="6">
        <v>0.13500000000000001</v>
      </c>
      <c r="M527" s="6">
        <v>0.13500000000000001</v>
      </c>
      <c r="N527" s="6">
        <v>0.13500000000000001</v>
      </c>
      <c r="O527" s="6">
        <v>0.13500000000000001</v>
      </c>
      <c r="P527" s="6">
        <v>0</v>
      </c>
      <c r="Q527" s="4" t="s">
        <v>26</v>
      </c>
      <c r="R527" s="4">
        <v>0</v>
      </c>
      <c r="S527" s="6">
        <v>0</v>
      </c>
      <c r="T527" s="6">
        <v>42</v>
      </c>
      <c r="U527" s="6">
        <v>60</v>
      </c>
      <c r="V527" s="6">
        <f>IF(ISERROR(VLOOKUP($S$527,'TAR FIN'!$A$1:$O$86,15,0)),0,VLOOKUP($S$527,'TAR FIN'!$A$1:$O$86,15,0))</f>
        <v>0</v>
      </c>
      <c r="W527" s="6">
        <f>IF(ISERROR(VLOOKUP($T$527,'TAR FIN'!$A$1:$O$86,15,0)),0,VLOOKUP($T$527,'TAR FIN'!$A$1:$O$86,15,0))</f>
        <v>997.57</v>
      </c>
      <c r="X527" s="6">
        <f>IF(ISERROR(VLOOKUP($U$527,'TAR FIN'!$A$1:$O$86,15,0)),0,VLOOKUP($U$527,'TAR FIN'!$A$1:$O$86,15,0))</f>
        <v>359.33</v>
      </c>
      <c r="Y527" s="6"/>
      <c r="Z527" s="6">
        <f ca="1">('TUSD BE'!$AM$45+'TUSD BF_350'!$AM$45+'TUSD CVA'!$AM$45)*1</f>
        <v>679.11</v>
      </c>
      <c r="AA527" s="6">
        <f ca="1">('TE BE'!$AB$36+'TE BF_350'!$AB$36+'TE CVA'!$AB$36)*1</f>
        <v>399.84</v>
      </c>
      <c r="AB527" s="6">
        <f>$K$527*$V$527</f>
        <v>0</v>
      </c>
      <c r="AC527" s="6">
        <f>$M$527*$W$527</f>
        <v>134.67195000000001</v>
      </c>
      <c r="AD527" s="6">
        <f>$O$527*$X$527</f>
        <v>48.509550000000004</v>
      </c>
      <c r="AE527" s="6">
        <f>$K$527*$Y$527</f>
        <v>0</v>
      </c>
      <c r="AF527" s="6">
        <f ca="1">$M$527*$Z$527</f>
        <v>91.679850000000002</v>
      </c>
      <c r="AG527" s="6">
        <f ca="1">$O$527*$AA$527</f>
        <v>53.978400000000001</v>
      </c>
    </row>
    <row r="528" spans="1:33" ht="11.25" customHeight="1" x14ac:dyDescent="0.25">
      <c r="A528" s="4" t="s">
        <v>21</v>
      </c>
      <c r="B528" s="4" t="s">
        <v>33</v>
      </c>
      <c r="C528" s="4" t="s">
        <v>50</v>
      </c>
      <c r="D528" s="4" t="s">
        <v>49</v>
      </c>
      <c r="E528" s="4" t="s">
        <v>25</v>
      </c>
      <c r="F528" s="4" t="s">
        <v>25</v>
      </c>
      <c r="G528" s="4" t="s">
        <v>25</v>
      </c>
      <c r="H528" s="4" t="s">
        <v>37</v>
      </c>
      <c r="I528" s="5">
        <v>44593</v>
      </c>
      <c r="J528" s="6">
        <v>0</v>
      </c>
      <c r="K528" s="6">
        <v>0</v>
      </c>
      <c r="L528" s="6">
        <v>0.107</v>
      </c>
      <c r="M528" s="6">
        <v>0.107</v>
      </c>
      <c r="N528" s="6">
        <v>0.107</v>
      </c>
      <c r="O528" s="6">
        <v>0.107</v>
      </c>
      <c r="P528" s="6">
        <v>0</v>
      </c>
      <c r="Q528" s="4" t="s">
        <v>26</v>
      </c>
      <c r="R528" s="4">
        <v>0</v>
      </c>
      <c r="S528" s="6">
        <v>0</v>
      </c>
      <c r="T528" s="6">
        <v>42</v>
      </c>
      <c r="U528" s="6">
        <v>60</v>
      </c>
      <c r="V528" s="6">
        <f>IF(ISERROR(VLOOKUP($S$528,'TAR FIN'!$A$1:$O$86,15,0)),0,VLOOKUP($S$528,'TAR FIN'!$A$1:$O$86,15,0))</f>
        <v>0</v>
      </c>
      <c r="W528" s="6">
        <f>IF(ISERROR(VLOOKUP($T$528,'TAR FIN'!$A$1:$O$86,15,0)),0,VLOOKUP($T$528,'TAR FIN'!$A$1:$O$86,15,0))</f>
        <v>997.57</v>
      </c>
      <c r="X528" s="6">
        <f>IF(ISERROR(VLOOKUP($U$528,'TAR FIN'!$A$1:$O$86,15,0)),0,VLOOKUP($U$528,'TAR FIN'!$A$1:$O$86,15,0))</f>
        <v>359.33</v>
      </c>
      <c r="Y528" s="6"/>
      <c r="Z528" s="6">
        <f ca="1">('TUSD BE'!$AM$45+'TUSD BF_350'!$AM$45+'TUSD CVA'!$AM$45)*1</f>
        <v>679.11</v>
      </c>
      <c r="AA528" s="6">
        <f ca="1">('TE BE'!$AB$36+'TE BF_350'!$AB$36+'TE CVA'!$AB$36)*1</f>
        <v>399.84</v>
      </c>
      <c r="AB528" s="6">
        <f>$K$528*$V$528</f>
        <v>0</v>
      </c>
      <c r="AC528" s="6">
        <f>$M$528*$W$528</f>
        <v>106.73999000000001</v>
      </c>
      <c r="AD528" s="6">
        <f>$O$528*$X$528</f>
        <v>38.448309999999999</v>
      </c>
      <c r="AE528" s="6">
        <f>$K$528*$Y$528</f>
        <v>0</v>
      </c>
      <c r="AF528" s="6">
        <f ca="1">$M$528*$Z$528</f>
        <v>72.664770000000004</v>
      </c>
      <c r="AG528" s="6">
        <f ca="1">$O$528*$AA$528</f>
        <v>42.782879999999999</v>
      </c>
    </row>
    <row r="529" spans="1:33" ht="11.25" customHeight="1" x14ac:dyDescent="0.25">
      <c r="A529" s="4" t="s">
        <v>21</v>
      </c>
      <c r="B529" s="4" t="s">
        <v>33</v>
      </c>
      <c r="C529" s="4" t="s">
        <v>50</v>
      </c>
      <c r="D529" s="4" t="s">
        <v>49</v>
      </c>
      <c r="E529" s="4" t="s">
        <v>25</v>
      </c>
      <c r="F529" s="4" t="s">
        <v>25</v>
      </c>
      <c r="G529" s="4" t="s">
        <v>25</v>
      </c>
      <c r="H529" s="4" t="s">
        <v>37</v>
      </c>
      <c r="I529" s="5">
        <v>44621</v>
      </c>
      <c r="J529" s="6">
        <v>0</v>
      </c>
      <c r="K529" s="6">
        <v>0</v>
      </c>
      <c r="L529" s="6">
        <v>0.122</v>
      </c>
      <c r="M529" s="6">
        <v>0.122</v>
      </c>
      <c r="N529" s="6">
        <v>0.122</v>
      </c>
      <c r="O529" s="6">
        <v>0.122</v>
      </c>
      <c r="P529" s="6">
        <v>0</v>
      </c>
      <c r="Q529" s="4" t="s">
        <v>26</v>
      </c>
      <c r="R529" s="4">
        <v>0</v>
      </c>
      <c r="S529" s="6">
        <v>0</v>
      </c>
      <c r="T529" s="6">
        <v>42</v>
      </c>
      <c r="U529" s="6">
        <v>60</v>
      </c>
      <c r="V529" s="6">
        <f>IF(ISERROR(VLOOKUP($S$529,'TAR FIN'!$A$1:$O$86,15,0)),0,VLOOKUP($S$529,'TAR FIN'!$A$1:$O$86,15,0))</f>
        <v>0</v>
      </c>
      <c r="W529" s="6">
        <f>IF(ISERROR(VLOOKUP($T$529,'TAR FIN'!$A$1:$O$86,15,0)),0,VLOOKUP($T$529,'TAR FIN'!$A$1:$O$86,15,0))</f>
        <v>997.57</v>
      </c>
      <c r="X529" s="6">
        <f>IF(ISERROR(VLOOKUP($U$529,'TAR FIN'!$A$1:$O$86,15,0)),0,VLOOKUP($U$529,'TAR FIN'!$A$1:$O$86,15,0))</f>
        <v>359.33</v>
      </c>
      <c r="Y529" s="6"/>
      <c r="Z529" s="6">
        <f ca="1">('TUSD BE'!$AM$45+'TUSD BF_350'!$AM$45+'TUSD CVA'!$AM$45)*1</f>
        <v>679.11</v>
      </c>
      <c r="AA529" s="6">
        <f ca="1">('TE BE'!$AB$36+'TE BF_350'!$AB$36+'TE CVA'!$AB$36)*1</f>
        <v>399.84</v>
      </c>
      <c r="AB529" s="6">
        <f>$K$529*$V$529</f>
        <v>0</v>
      </c>
      <c r="AC529" s="6">
        <f>$M$529*$W$529</f>
        <v>121.70354</v>
      </c>
      <c r="AD529" s="6">
        <f>$O$529*$X$529</f>
        <v>43.838259999999998</v>
      </c>
      <c r="AE529" s="6">
        <f>$K$529*$Y$529</f>
        <v>0</v>
      </c>
      <c r="AF529" s="6">
        <f ca="1">$M$529*$Z$529</f>
        <v>82.851420000000005</v>
      </c>
      <c r="AG529" s="6">
        <f ca="1">$O$529*$AA$529</f>
        <v>48.780479999999997</v>
      </c>
    </row>
    <row r="530" spans="1:33" ht="11.25" customHeight="1" x14ac:dyDescent="0.25">
      <c r="A530" s="4" t="s">
        <v>21</v>
      </c>
      <c r="B530" s="4" t="s">
        <v>33</v>
      </c>
      <c r="C530" s="4" t="s">
        <v>50</v>
      </c>
      <c r="D530" s="4" t="s">
        <v>49</v>
      </c>
      <c r="E530" s="4" t="s">
        <v>25</v>
      </c>
      <c r="F530" s="4" t="s">
        <v>25</v>
      </c>
      <c r="G530" s="4" t="s">
        <v>25</v>
      </c>
      <c r="H530" s="4" t="s">
        <v>37</v>
      </c>
      <c r="I530" s="5">
        <v>44652</v>
      </c>
      <c r="J530" s="6">
        <v>0</v>
      </c>
      <c r="K530" s="6">
        <v>0</v>
      </c>
      <c r="L530" s="6">
        <v>0.14899999999999999</v>
      </c>
      <c r="M530" s="6">
        <v>0.14899999999999999</v>
      </c>
      <c r="N530" s="6">
        <v>0.14899999999999999</v>
      </c>
      <c r="O530" s="6">
        <v>0.14899999999999999</v>
      </c>
      <c r="P530" s="6">
        <v>0</v>
      </c>
      <c r="Q530" s="4" t="s">
        <v>26</v>
      </c>
      <c r="R530" s="4">
        <v>0</v>
      </c>
      <c r="S530" s="6">
        <v>0</v>
      </c>
      <c r="T530" s="6">
        <v>42</v>
      </c>
      <c r="U530" s="6">
        <v>60</v>
      </c>
      <c r="V530" s="6">
        <f>IF(ISERROR(VLOOKUP($S$530,'TAR FIN'!$A$1:$O$86,15,0)),0,VLOOKUP($S$530,'TAR FIN'!$A$1:$O$86,15,0))</f>
        <v>0</v>
      </c>
      <c r="W530" s="6">
        <f>IF(ISERROR(VLOOKUP($T$530,'TAR FIN'!$A$1:$O$86,15,0)),0,VLOOKUP($T$530,'TAR FIN'!$A$1:$O$86,15,0))</f>
        <v>997.57</v>
      </c>
      <c r="X530" s="6">
        <f>IF(ISERROR(VLOOKUP($U$530,'TAR FIN'!$A$1:$O$86,15,0)),0,VLOOKUP($U$530,'TAR FIN'!$A$1:$O$86,15,0))</f>
        <v>359.33</v>
      </c>
      <c r="Y530" s="6"/>
      <c r="Z530" s="6">
        <f ca="1">('TUSD BE'!$AM$45+'TUSD BF_350'!$AM$45+'TUSD CVA'!$AM$45)*1</f>
        <v>679.11</v>
      </c>
      <c r="AA530" s="6">
        <f ca="1">('TE BE'!$AB$36+'TE BF_350'!$AB$36+'TE CVA'!$AB$36)*1</f>
        <v>399.84</v>
      </c>
      <c r="AB530" s="6">
        <f>$K$530*$V$530</f>
        <v>0</v>
      </c>
      <c r="AC530" s="6">
        <f>$M$530*$W$530</f>
        <v>148.63793000000001</v>
      </c>
      <c r="AD530" s="6">
        <f>$O$530*$X$530</f>
        <v>53.540169999999996</v>
      </c>
      <c r="AE530" s="6">
        <f>$K$530*$Y$530</f>
        <v>0</v>
      </c>
      <c r="AF530" s="6">
        <f ca="1">$M$530*$Z$530</f>
        <v>101.18738999999999</v>
      </c>
      <c r="AG530" s="6">
        <f ca="1">$O$530*$AA$530</f>
        <v>59.576159999999994</v>
      </c>
    </row>
    <row r="531" spans="1:33" ht="11.25" customHeight="1" x14ac:dyDescent="0.25">
      <c r="A531" s="4" t="s">
        <v>21</v>
      </c>
      <c r="B531" s="4" t="s">
        <v>33</v>
      </c>
      <c r="C531" s="4" t="s">
        <v>50</v>
      </c>
      <c r="D531" s="4" t="s">
        <v>49</v>
      </c>
      <c r="E531" s="4" t="s">
        <v>25</v>
      </c>
      <c r="F531" s="4" t="s">
        <v>25</v>
      </c>
      <c r="G531" s="4" t="s">
        <v>25</v>
      </c>
      <c r="H531" s="4" t="s">
        <v>37</v>
      </c>
      <c r="I531" s="5">
        <v>44682</v>
      </c>
      <c r="J531" s="6">
        <v>0</v>
      </c>
      <c r="K531" s="6">
        <v>0</v>
      </c>
      <c r="L531" s="6">
        <v>9.1999999999999998E-2</v>
      </c>
      <c r="M531" s="6">
        <v>9.1999999999999998E-2</v>
      </c>
      <c r="N531" s="6">
        <v>9.1999999999999998E-2</v>
      </c>
      <c r="O531" s="6">
        <v>9.1999999999999998E-2</v>
      </c>
      <c r="P531" s="6">
        <v>0</v>
      </c>
      <c r="Q531" s="4" t="s">
        <v>26</v>
      </c>
      <c r="R531" s="4">
        <v>0</v>
      </c>
      <c r="S531" s="6">
        <v>0</v>
      </c>
      <c r="T531" s="6">
        <v>42</v>
      </c>
      <c r="U531" s="6">
        <v>60</v>
      </c>
      <c r="V531" s="6">
        <f>IF(ISERROR(VLOOKUP($S$531,'TAR FIN'!$A$1:$O$86,15,0)),0,VLOOKUP($S$531,'TAR FIN'!$A$1:$O$86,15,0))</f>
        <v>0</v>
      </c>
      <c r="W531" s="6">
        <f>IF(ISERROR(VLOOKUP($T$531,'TAR FIN'!$A$1:$O$86,15,0)),0,VLOOKUP($T$531,'TAR FIN'!$A$1:$O$86,15,0))</f>
        <v>997.57</v>
      </c>
      <c r="X531" s="6">
        <f>IF(ISERROR(VLOOKUP($U$531,'TAR FIN'!$A$1:$O$86,15,0)),0,VLOOKUP($U$531,'TAR FIN'!$A$1:$O$86,15,0))</f>
        <v>359.33</v>
      </c>
      <c r="Y531" s="6"/>
      <c r="Z531" s="6">
        <f ca="1">('TUSD BE'!$AM$45+'TUSD BF_350'!$AM$45+'TUSD CVA'!$AM$45)*1</f>
        <v>679.11</v>
      </c>
      <c r="AA531" s="6">
        <f ca="1">('TE BE'!$AB$36+'TE BF_350'!$AB$36+'TE CVA'!$AB$36)*1</f>
        <v>399.84</v>
      </c>
      <c r="AB531" s="6">
        <f>$K$531*$V$531</f>
        <v>0</v>
      </c>
      <c r="AC531" s="6">
        <f>$M$531*$W$531</f>
        <v>91.776440000000008</v>
      </c>
      <c r="AD531" s="6">
        <f>$O$531*$X$531</f>
        <v>33.05836</v>
      </c>
      <c r="AE531" s="6">
        <f>$K$531*$Y$531</f>
        <v>0</v>
      </c>
      <c r="AF531" s="6">
        <f ca="1">$M$531*$Z$531</f>
        <v>62.478119999999997</v>
      </c>
      <c r="AG531" s="6">
        <f ca="1">$O$531*$AA$531</f>
        <v>36.78528</v>
      </c>
    </row>
    <row r="532" spans="1:33" ht="11.25" customHeight="1" x14ac:dyDescent="0.25">
      <c r="A532" s="4" t="s">
        <v>21</v>
      </c>
      <c r="B532" s="4" t="s">
        <v>33</v>
      </c>
      <c r="C532" s="4" t="s">
        <v>50</v>
      </c>
      <c r="D532" s="4" t="s">
        <v>49</v>
      </c>
      <c r="E532" s="4" t="s">
        <v>25</v>
      </c>
      <c r="F532" s="4" t="s">
        <v>25</v>
      </c>
      <c r="G532" s="4" t="s">
        <v>25</v>
      </c>
      <c r="H532" s="4" t="s">
        <v>37</v>
      </c>
      <c r="I532" s="5">
        <v>44713</v>
      </c>
      <c r="J532" s="6">
        <v>0</v>
      </c>
      <c r="K532" s="6">
        <v>0</v>
      </c>
      <c r="L532" s="6">
        <v>7.6999999999999999E-2</v>
      </c>
      <c r="M532" s="6">
        <v>7.6999999999999999E-2</v>
      </c>
      <c r="N532" s="6">
        <v>7.6999999999999999E-2</v>
      </c>
      <c r="O532" s="6">
        <v>7.6999999999999999E-2</v>
      </c>
      <c r="P532" s="6">
        <v>0</v>
      </c>
      <c r="Q532" s="4" t="s">
        <v>26</v>
      </c>
      <c r="R532" s="4">
        <v>0</v>
      </c>
      <c r="S532" s="6">
        <v>0</v>
      </c>
      <c r="T532" s="6">
        <v>42</v>
      </c>
      <c r="U532" s="6">
        <v>60</v>
      </c>
      <c r="V532" s="6">
        <f>IF(ISERROR(VLOOKUP($S$532,'TAR FIN'!$A$1:$O$86,15,0)),0,VLOOKUP($S$532,'TAR FIN'!$A$1:$O$86,15,0))</f>
        <v>0</v>
      </c>
      <c r="W532" s="6">
        <f>IF(ISERROR(VLOOKUP($T$532,'TAR FIN'!$A$1:$O$86,15,0)),0,VLOOKUP($T$532,'TAR FIN'!$A$1:$O$86,15,0))</f>
        <v>997.57</v>
      </c>
      <c r="X532" s="6">
        <f>IF(ISERROR(VLOOKUP($U$532,'TAR FIN'!$A$1:$O$86,15,0)),0,VLOOKUP($U$532,'TAR FIN'!$A$1:$O$86,15,0))</f>
        <v>359.33</v>
      </c>
      <c r="Y532" s="6"/>
      <c r="Z532" s="6">
        <f ca="1">('TUSD BE'!$AM$45+'TUSD BF_350'!$AM$45+'TUSD CVA'!$AM$45)*1</f>
        <v>679.11</v>
      </c>
      <c r="AA532" s="6">
        <f ca="1">('TE BE'!$AB$36+'TE BF_350'!$AB$36+'TE CVA'!$AB$36)*1</f>
        <v>399.84</v>
      </c>
      <c r="AB532" s="6">
        <f>$K$532*$V$532</f>
        <v>0</v>
      </c>
      <c r="AC532" s="6">
        <f>$M$532*$W$532</f>
        <v>76.812889999999996</v>
      </c>
      <c r="AD532" s="6">
        <f>$O$532*$X$532</f>
        <v>27.668409999999998</v>
      </c>
      <c r="AE532" s="6">
        <f>$K$532*$Y$532</f>
        <v>0</v>
      </c>
      <c r="AF532" s="6">
        <f ca="1">$M$532*$Z$532</f>
        <v>52.291470000000004</v>
      </c>
      <c r="AG532" s="6">
        <f ca="1">$O$532*$AA$532</f>
        <v>30.787679999999998</v>
      </c>
    </row>
    <row r="533" spans="1:33" ht="11.25" customHeight="1" x14ac:dyDescent="0.25">
      <c r="A533" s="4" t="s">
        <v>55</v>
      </c>
      <c r="B533" s="4" t="s">
        <v>33</v>
      </c>
      <c r="C533" s="4" t="s">
        <v>50</v>
      </c>
      <c r="D533" s="4" t="s">
        <v>49</v>
      </c>
      <c r="E533" s="4" t="s">
        <v>25</v>
      </c>
      <c r="F533" s="4" t="s">
        <v>25</v>
      </c>
      <c r="G533" s="4" t="s">
        <v>25</v>
      </c>
      <c r="H533" s="4" t="s">
        <v>37</v>
      </c>
      <c r="I533" s="5">
        <v>44743</v>
      </c>
      <c r="J533" s="6">
        <v>0</v>
      </c>
      <c r="K533" s="6">
        <v>0</v>
      </c>
      <c r="L533" s="6">
        <v>7.6999999999999999E-2</v>
      </c>
      <c r="M533" s="6">
        <v>7.6999999999999999E-2</v>
      </c>
      <c r="N533" s="6">
        <v>7.6999999999999999E-2</v>
      </c>
      <c r="O533" s="6">
        <v>7.6999999999999999E-2</v>
      </c>
      <c r="P533" s="6">
        <v>0</v>
      </c>
      <c r="Q533" s="4" t="s">
        <v>26</v>
      </c>
      <c r="R533" s="4">
        <v>0</v>
      </c>
      <c r="S533" s="6">
        <v>0</v>
      </c>
      <c r="T533" s="6">
        <v>42</v>
      </c>
      <c r="U533" s="6">
        <v>60</v>
      </c>
      <c r="V533" s="6">
        <f>IF(ISERROR(VLOOKUP($S$533,'TAR FIN'!$A$1:$O$86,15,0)),0,VLOOKUP($S$533,'TAR FIN'!$A$1:$O$86,15,0))</f>
        <v>0</v>
      </c>
      <c r="W533" s="6">
        <f>IF(ISERROR(VLOOKUP($T$533,'TAR FIN'!$A$1:$O$86,15,0)),0,VLOOKUP($T$533,'TAR FIN'!$A$1:$O$86,15,0))</f>
        <v>997.57</v>
      </c>
      <c r="X533" s="6">
        <f>IF(ISERROR(VLOOKUP($U$533,'TAR FIN'!$A$1:$O$86,15,0)),0,VLOOKUP($U$533,'TAR FIN'!$A$1:$O$86,15,0))</f>
        <v>359.33</v>
      </c>
      <c r="Y533" s="6"/>
      <c r="Z533" s="6">
        <f ca="1">('TUSD BE'!$AM$45+'TUSD BF_350'!$AM$45+'TUSD CVA'!$AM$45)*1</f>
        <v>679.11</v>
      </c>
      <c r="AA533" s="6">
        <f ca="1">('TE BE'!$AB$36+'TE BF_350'!$AB$36+'TE CVA'!$AB$36)*1</f>
        <v>399.84</v>
      </c>
      <c r="AB533" s="6">
        <f>$K$533*$V$533</f>
        <v>0</v>
      </c>
      <c r="AC533" s="6">
        <f>$M$533*$W$533</f>
        <v>76.812889999999996</v>
      </c>
      <c r="AD533" s="6">
        <f>$O$533*$X$533</f>
        <v>27.668409999999998</v>
      </c>
      <c r="AE533" s="6">
        <f>$K$533*$Y$533</f>
        <v>0</v>
      </c>
      <c r="AF533" s="6">
        <f ca="1">$M$533*$Z$533</f>
        <v>52.291470000000004</v>
      </c>
      <c r="AG533" s="6">
        <f ca="1">$O$533*$AA$533</f>
        <v>30.787679999999998</v>
      </c>
    </row>
    <row r="534" spans="1:33" ht="11.25" customHeight="1" x14ac:dyDescent="0.25">
      <c r="A534" s="4" t="s">
        <v>21</v>
      </c>
      <c r="B534" s="4" t="s">
        <v>33</v>
      </c>
      <c r="C534" s="4" t="s">
        <v>23</v>
      </c>
      <c r="D534" s="4" t="s">
        <v>40</v>
      </c>
      <c r="E534" s="4" t="s">
        <v>25</v>
      </c>
      <c r="F534" s="4" t="s">
        <v>25</v>
      </c>
      <c r="G534" s="4" t="s">
        <v>25</v>
      </c>
      <c r="H534" s="4" t="s">
        <v>25</v>
      </c>
      <c r="I534" s="5">
        <v>44409</v>
      </c>
      <c r="J534" s="6">
        <v>0</v>
      </c>
      <c r="K534" s="6">
        <v>0</v>
      </c>
      <c r="L534" s="6">
        <v>1481.481</v>
      </c>
      <c r="M534" s="6">
        <v>1481.481</v>
      </c>
      <c r="N534" s="6">
        <v>1481.481</v>
      </c>
      <c r="O534" s="6">
        <v>1481.481</v>
      </c>
      <c r="P534" s="6">
        <v>2811</v>
      </c>
      <c r="Q534" s="4" t="s">
        <v>26</v>
      </c>
      <c r="R534" s="4">
        <v>0</v>
      </c>
      <c r="S534" s="6">
        <v>0</v>
      </c>
      <c r="T534" s="6">
        <v>33</v>
      </c>
      <c r="U534" s="6">
        <v>85</v>
      </c>
      <c r="V534" s="6">
        <f>IF(ISERROR(VLOOKUP($S$534,'TAR FIN'!$A$1:$O$86,15,0)),0,VLOOKUP($S$534,'TAR FIN'!$A$1:$O$86,15,0))</f>
        <v>0</v>
      </c>
      <c r="W534" s="6">
        <f>IF(ISERROR(VLOOKUP($T$534,'TAR FIN'!$A$1:$O$86,15,0)),0,VLOOKUP($T$534,'TAR FIN'!$A$1:$O$86,15,0))</f>
        <v>338.51</v>
      </c>
      <c r="X534" s="6">
        <f>IF(ISERROR(VLOOKUP($U$534,'TAR FIN'!$A$1:$O$86,15,0)),0,VLOOKUP($U$534,'TAR FIN'!$A$1:$O$86,15,0))</f>
        <v>224.01</v>
      </c>
      <c r="Y534" s="6"/>
      <c r="Z534" s="6">
        <f ca="1">('TUSD BE'!$AM$48+'TUSD BF_350'!$AM$48+'TUSD CVA'!$AM$48)*1</f>
        <v>310.49</v>
      </c>
      <c r="AA534" s="6">
        <f ca="1">('TE BE'!$AB$39+'TE BF_350'!$AB$39+'TE CVA'!$AB$39)*1</f>
        <v>262.52999999999997</v>
      </c>
      <c r="AB534" s="6">
        <f>$K$534*$V$534</f>
        <v>0</v>
      </c>
      <c r="AC534" s="6">
        <f>$M$534*$W$534</f>
        <v>501496.13331</v>
      </c>
      <c r="AD534" s="6">
        <f>$O$534*$X$534</f>
        <v>331866.55880999996</v>
      </c>
      <c r="AE534" s="6">
        <f>$K$534*$Y$534</f>
        <v>0</v>
      </c>
      <c r="AF534" s="6">
        <f ca="1">$M$534*$Z$534</f>
        <v>459985.03568999999</v>
      </c>
      <c r="AG534" s="6">
        <f ca="1">$O$534*$AA$534</f>
        <v>388933.20692999999</v>
      </c>
    </row>
    <row r="535" spans="1:33" ht="11.25" customHeight="1" x14ac:dyDescent="0.25">
      <c r="A535" s="4" t="s">
        <v>27</v>
      </c>
      <c r="B535" s="4" t="s">
        <v>33</v>
      </c>
      <c r="C535" s="4" t="s">
        <v>23</v>
      </c>
      <c r="D535" s="4" t="s">
        <v>40</v>
      </c>
      <c r="E535" s="4" t="s">
        <v>25</v>
      </c>
      <c r="F535" s="4" t="s">
        <v>25</v>
      </c>
      <c r="G535" s="4" t="s">
        <v>25</v>
      </c>
      <c r="H535" s="4" t="s">
        <v>25</v>
      </c>
      <c r="I535" s="5">
        <v>44409</v>
      </c>
      <c r="J535" s="6">
        <v>0</v>
      </c>
      <c r="K535" s="6">
        <v>0</v>
      </c>
      <c r="L535" s="6">
        <v>-3.5790000000000002</v>
      </c>
      <c r="M535" s="6">
        <v>-3.5790000000000002</v>
      </c>
      <c r="N535" s="6">
        <v>-3.5790000000000002</v>
      </c>
      <c r="O535" s="6">
        <v>-3.5790000000000002</v>
      </c>
      <c r="P535" s="6">
        <v>0</v>
      </c>
      <c r="Q535" s="4" t="s">
        <v>26</v>
      </c>
      <c r="R535" s="4">
        <v>0</v>
      </c>
      <c r="S535" s="6">
        <v>0</v>
      </c>
      <c r="T535" s="6">
        <v>33</v>
      </c>
      <c r="U535" s="6">
        <v>85</v>
      </c>
      <c r="V535" s="6">
        <f>IF(ISERROR(VLOOKUP($S$535,'TAR FIN'!$A$1:$O$86,15,0)),0,VLOOKUP($S$535,'TAR FIN'!$A$1:$O$86,15,0))</f>
        <v>0</v>
      </c>
      <c r="W535" s="6">
        <f>IF(ISERROR(VLOOKUP($T$535,'TAR FIN'!$A$1:$O$86,15,0)),0,VLOOKUP($T$535,'TAR FIN'!$A$1:$O$86,15,0))</f>
        <v>338.51</v>
      </c>
      <c r="X535" s="6">
        <f>IF(ISERROR(VLOOKUP($U$535,'TAR FIN'!$A$1:$O$86,15,0)),0,VLOOKUP($U$535,'TAR FIN'!$A$1:$O$86,15,0))</f>
        <v>224.01</v>
      </c>
      <c r="Y535" s="6"/>
      <c r="Z535" s="6">
        <f ca="1">('TUSD BE'!$AM$48+'TUSD BF_350'!$AM$48+'TUSD CVA'!$AM$48)*1</f>
        <v>310.49</v>
      </c>
      <c r="AA535" s="6">
        <f ca="1">('TE BE'!$AB$39+'TE BF_350'!$AB$39+'TE CVA'!$AB$39)*1</f>
        <v>262.52999999999997</v>
      </c>
      <c r="AB535" s="6">
        <f>$K$535*$V$535</f>
        <v>0</v>
      </c>
      <c r="AC535" s="6">
        <f>$M$535*$W$535</f>
        <v>-1211.52729</v>
      </c>
      <c r="AD535" s="6">
        <f>$O$535*$X$535</f>
        <v>-801.73179000000005</v>
      </c>
      <c r="AE535" s="6">
        <f>$K$535*$Y$535</f>
        <v>0</v>
      </c>
      <c r="AF535" s="6">
        <f ca="1">$M$535*$Z$535</f>
        <v>-1111.2437100000002</v>
      </c>
      <c r="AG535" s="6">
        <f ca="1">$O$535*$AA$535</f>
        <v>-939.5948699999999</v>
      </c>
    </row>
    <row r="536" spans="1:33" ht="11.25" customHeight="1" x14ac:dyDescent="0.25">
      <c r="A536" s="4" t="s">
        <v>28</v>
      </c>
      <c r="B536" s="4" t="s">
        <v>33</v>
      </c>
      <c r="C536" s="4" t="s">
        <v>23</v>
      </c>
      <c r="D536" s="4" t="s">
        <v>40</v>
      </c>
      <c r="E536" s="4" t="s">
        <v>25</v>
      </c>
      <c r="F536" s="4" t="s">
        <v>25</v>
      </c>
      <c r="G536" s="4" t="s">
        <v>25</v>
      </c>
      <c r="H536" s="4" t="s">
        <v>25</v>
      </c>
      <c r="I536" s="5">
        <v>44409</v>
      </c>
      <c r="J536" s="6">
        <v>0</v>
      </c>
      <c r="K536" s="6">
        <v>0</v>
      </c>
      <c r="L536" s="6">
        <v>33.616999999999997</v>
      </c>
      <c r="M536" s="6">
        <v>33.616999999999997</v>
      </c>
      <c r="N536" s="6">
        <v>33.616999999999997</v>
      </c>
      <c r="O536" s="6">
        <v>33.616999999999997</v>
      </c>
      <c r="P536" s="6">
        <v>31</v>
      </c>
      <c r="Q536" s="4" t="s">
        <v>26</v>
      </c>
      <c r="R536" s="4">
        <v>0</v>
      </c>
      <c r="S536" s="6">
        <v>0</v>
      </c>
      <c r="T536" s="6">
        <v>33</v>
      </c>
      <c r="U536" s="6">
        <v>85</v>
      </c>
      <c r="V536" s="6">
        <f>IF(ISERROR(VLOOKUP($S$536,'TAR FIN'!$A$1:$O$86,15,0)),0,VLOOKUP($S$536,'TAR FIN'!$A$1:$O$86,15,0))</f>
        <v>0</v>
      </c>
      <c r="W536" s="6">
        <f>IF(ISERROR(VLOOKUP($T$536,'TAR FIN'!$A$1:$O$86,15,0)),0,VLOOKUP($T$536,'TAR FIN'!$A$1:$O$86,15,0))</f>
        <v>338.51</v>
      </c>
      <c r="X536" s="6">
        <f>IF(ISERROR(VLOOKUP($U$536,'TAR FIN'!$A$1:$O$86,15,0)),0,VLOOKUP($U$536,'TAR FIN'!$A$1:$O$86,15,0))</f>
        <v>224.01</v>
      </c>
      <c r="Y536" s="6"/>
      <c r="Z536" s="6">
        <f ca="1">('TUSD BE'!$AM$48+'TUSD BF_350'!$AM$48+'TUSD CVA'!$AM$48)*1</f>
        <v>310.49</v>
      </c>
      <c r="AA536" s="6">
        <f ca="1">('TE BE'!$AB$39+'TE BF_350'!$AB$39+'TE CVA'!$AB$39)*1</f>
        <v>262.52999999999997</v>
      </c>
      <c r="AB536" s="6">
        <f>$K$536*$V$536</f>
        <v>0</v>
      </c>
      <c r="AC536" s="6">
        <f>$M$536*$W$536</f>
        <v>11379.690669999998</v>
      </c>
      <c r="AD536" s="6">
        <f>$O$536*$X$536</f>
        <v>7530.5441699999992</v>
      </c>
      <c r="AE536" s="6">
        <f>$K$536*$Y$536</f>
        <v>0</v>
      </c>
      <c r="AF536" s="6">
        <f ca="1">$M$536*$Z$536</f>
        <v>10437.742329999999</v>
      </c>
      <c r="AG536" s="6">
        <f ca="1">$O$536*$AA$536</f>
        <v>8825.4710099999975</v>
      </c>
    </row>
    <row r="537" spans="1:33" ht="11.25" customHeight="1" x14ac:dyDescent="0.25">
      <c r="A537" s="4" t="s">
        <v>21</v>
      </c>
      <c r="B537" s="4" t="s">
        <v>33</v>
      </c>
      <c r="C537" s="4" t="s">
        <v>23</v>
      </c>
      <c r="D537" s="4" t="s">
        <v>40</v>
      </c>
      <c r="E537" s="4" t="s">
        <v>25</v>
      </c>
      <c r="F537" s="4" t="s">
        <v>25</v>
      </c>
      <c r="G537" s="4" t="s">
        <v>25</v>
      </c>
      <c r="H537" s="4" t="s">
        <v>25</v>
      </c>
      <c r="I537" s="5">
        <v>44440</v>
      </c>
      <c r="J537" s="6">
        <v>0</v>
      </c>
      <c r="K537" s="6">
        <v>0</v>
      </c>
      <c r="L537" s="6">
        <v>1661.9949999999999</v>
      </c>
      <c r="M537" s="6">
        <v>1661.9949999999999</v>
      </c>
      <c r="N537" s="6">
        <v>1661.9949999999999</v>
      </c>
      <c r="O537" s="6">
        <v>1661.9949999999999</v>
      </c>
      <c r="P537" s="6">
        <v>2838</v>
      </c>
      <c r="Q537" s="4" t="s">
        <v>26</v>
      </c>
      <c r="R537" s="4">
        <v>0</v>
      </c>
      <c r="S537" s="6">
        <v>0</v>
      </c>
      <c r="T537" s="6">
        <v>33</v>
      </c>
      <c r="U537" s="6">
        <v>85</v>
      </c>
      <c r="V537" s="6">
        <f>IF(ISERROR(VLOOKUP($S$537,'TAR FIN'!$A$1:$O$86,15,0)),0,VLOOKUP($S$537,'TAR FIN'!$A$1:$O$86,15,0))</f>
        <v>0</v>
      </c>
      <c r="W537" s="6">
        <f>IF(ISERROR(VLOOKUP($T$537,'TAR FIN'!$A$1:$O$86,15,0)),0,VLOOKUP($T$537,'TAR FIN'!$A$1:$O$86,15,0))</f>
        <v>338.51</v>
      </c>
      <c r="X537" s="6">
        <f>IF(ISERROR(VLOOKUP($U$537,'TAR FIN'!$A$1:$O$86,15,0)),0,VLOOKUP($U$537,'TAR FIN'!$A$1:$O$86,15,0))</f>
        <v>224.01</v>
      </c>
      <c r="Y537" s="6"/>
      <c r="Z537" s="6">
        <f ca="1">('TUSD BE'!$AM$48+'TUSD BF_350'!$AM$48+'TUSD CVA'!$AM$48)*1</f>
        <v>310.49</v>
      </c>
      <c r="AA537" s="6">
        <f ca="1">('TE BE'!$AB$39+'TE BF_350'!$AB$39+'TE CVA'!$AB$39)*1</f>
        <v>262.52999999999997</v>
      </c>
      <c r="AB537" s="6">
        <f>$K$537*$V$537</f>
        <v>0</v>
      </c>
      <c r="AC537" s="6">
        <f>$M$537*$W$537</f>
        <v>562601.92744999996</v>
      </c>
      <c r="AD537" s="6">
        <f>$O$537*$X$537</f>
        <v>372303.49994999997</v>
      </c>
      <c r="AE537" s="6">
        <f>$K$537*$Y$537</f>
        <v>0</v>
      </c>
      <c r="AF537" s="6">
        <f ca="1">$M$537*$Z$537</f>
        <v>516032.82754999999</v>
      </c>
      <c r="AG537" s="6">
        <f ca="1">$O$537*$AA$537</f>
        <v>436323.54734999995</v>
      </c>
    </row>
    <row r="538" spans="1:33" ht="11.25" customHeight="1" x14ac:dyDescent="0.25">
      <c r="A538" s="4" t="s">
        <v>27</v>
      </c>
      <c r="B538" s="4" t="s">
        <v>33</v>
      </c>
      <c r="C538" s="4" t="s">
        <v>23</v>
      </c>
      <c r="D538" s="4" t="s">
        <v>40</v>
      </c>
      <c r="E538" s="4" t="s">
        <v>25</v>
      </c>
      <c r="F538" s="4" t="s">
        <v>25</v>
      </c>
      <c r="G538" s="4" t="s">
        <v>25</v>
      </c>
      <c r="H538" s="4" t="s">
        <v>25</v>
      </c>
      <c r="I538" s="5">
        <v>44440</v>
      </c>
      <c r="J538" s="6">
        <v>0</v>
      </c>
      <c r="K538" s="6">
        <v>0</v>
      </c>
      <c r="L538" s="6">
        <v>-0.36899999999999999</v>
      </c>
      <c r="M538" s="6">
        <v>-0.36899999999999999</v>
      </c>
      <c r="N538" s="6">
        <v>-0.36899999999999999</v>
      </c>
      <c r="O538" s="6">
        <v>-0.36899999999999999</v>
      </c>
      <c r="P538" s="6">
        <v>0</v>
      </c>
      <c r="Q538" s="4" t="s">
        <v>26</v>
      </c>
      <c r="R538" s="4">
        <v>0</v>
      </c>
      <c r="S538" s="6">
        <v>0</v>
      </c>
      <c r="T538" s="6">
        <v>33</v>
      </c>
      <c r="U538" s="6">
        <v>85</v>
      </c>
      <c r="V538" s="6">
        <f>IF(ISERROR(VLOOKUP($S$538,'TAR FIN'!$A$1:$O$86,15,0)),0,VLOOKUP($S$538,'TAR FIN'!$A$1:$O$86,15,0))</f>
        <v>0</v>
      </c>
      <c r="W538" s="6">
        <f>IF(ISERROR(VLOOKUP($T$538,'TAR FIN'!$A$1:$O$86,15,0)),0,VLOOKUP($T$538,'TAR FIN'!$A$1:$O$86,15,0))</f>
        <v>338.51</v>
      </c>
      <c r="X538" s="6">
        <f>IF(ISERROR(VLOOKUP($U$538,'TAR FIN'!$A$1:$O$86,15,0)),0,VLOOKUP($U$538,'TAR FIN'!$A$1:$O$86,15,0))</f>
        <v>224.01</v>
      </c>
      <c r="Y538" s="6"/>
      <c r="Z538" s="6">
        <f ca="1">('TUSD BE'!$AM$48+'TUSD BF_350'!$AM$48+'TUSD CVA'!$AM$48)*1</f>
        <v>310.49</v>
      </c>
      <c r="AA538" s="6">
        <f ca="1">('TE BE'!$AB$39+'TE BF_350'!$AB$39+'TE CVA'!$AB$39)*1</f>
        <v>262.52999999999997</v>
      </c>
      <c r="AB538" s="6">
        <f>$K$538*$V$538</f>
        <v>0</v>
      </c>
      <c r="AC538" s="6">
        <f>$M$538*$W$538</f>
        <v>-124.91019</v>
      </c>
      <c r="AD538" s="6">
        <f>$O$538*$X$538</f>
        <v>-82.659689999999998</v>
      </c>
      <c r="AE538" s="6">
        <f>$K$538*$Y$538</f>
        <v>0</v>
      </c>
      <c r="AF538" s="6">
        <f ca="1">$M$538*$Z$538</f>
        <v>-114.57081000000001</v>
      </c>
      <c r="AG538" s="6">
        <f ca="1">$O$538*$AA$538</f>
        <v>-96.873569999999987</v>
      </c>
    </row>
    <row r="539" spans="1:33" ht="11.25" customHeight="1" x14ac:dyDescent="0.25">
      <c r="A539" s="4" t="s">
        <v>28</v>
      </c>
      <c r="B539" s="4" t="s">
        <v>33</v>
      </c>
      <c r="C539" s="4" t="s">
        <v>23</v>
      </c>
      <c r="D539" s="4" t="s">
        <v>40</v>
      </c>
      <c r="E539" s="4" t="s">
        <v>25</v>
      </c>
      <c r="F539" s="4" t="s">
        <v>25</v>
      </c>
      <c r="G539" s="4" t="s">
        <v>25</v>
      </c>
      <c r="H539" s="4" t="s">
        <v>25</v>
      </c>
      <c r="I539" s="5">
        <v>44440</v>
      </c>
      <c r="J539" s="6">
        <v>0</v>
      </c>
      <c r="K539" s="6">
        <v>0</v>
      </c>
      <c r="L539" s="6">
        <v>36.232999999999997</v>
      </c>
      <c r="M539" s="6">
        <v>36.232999999999997</v>
      </c>
      <c r="N539" s="6">
        <v>36.232999999999997</v>
      </c>
      <c r="O539" s="6">
        <v>36.232999999999997</v>
      </c>
      <c r="P539" s="6">
        <v>33</v>
      </c>
      <c r="Q539" s="4" t="s">
        <v>26</v>
      </c>
      <c r="R539" s="4">
        <v>0</v>
      </c>
      <c r="S539" s="6">
        <v>0</v>
      </c>
      <c r="T539" s="6">
        <v>33</v>
      </c>
      <c r="U539" s="6">
        <v>85</v>
      </c>
      <c r="V539" s="6">
        <f>IF(ISERROR(VLOOKUP($S$539,'TAR FIN'!$A$1:$O$86,15,0)),0,VLOOKUP($S$539,'TAR FIN'!$A$1:$O$86,15,0))</f>
        <v>0</v>
      </c>
      <c r="W539" s="6">
        <f>IF(ISERROR(VLOOKUP($T$539,'TAR FIN'!$A$1:$O$86,15,0)),0,VLOOKUP($T$539,'TAR FIN'!$A$1:$O$86,15,0))</f>
        <v>338.51</v>
      </c>
      <c r="X539" s="6">
        <f>IF(ISERROR(VLOOKUP($U$539,'TAR FIN'!$A$1:$O$86,15,0)),0,VLOOKUP($U$539,'TAR FIN'!$A$1:$O$86,15,0))</f>
        <v>224.01</v>
      </c>
      <c r="Y539" s="6"/>
      <c r="Z539" s="6">
        <f ca="1">('TUSD BE'!$AM$48+'TUSD BF_350'!$AM$48+'TUSD CVA'!$AM$48)*1</f>
        <v>310.49</v>
      </c>
      <c r="AA539" s="6">
        <f ca="1">('TE BE'!$AB$39+'TE BF_350'!$AB$39+'TE CVA'!$AB$39)*1</f>
        <v>262.52999999999997</v>
      </c>
      <c r="AB539" s="6">
        <f>$K$539*$V$539</f>
        <v>0</v>
      </c>
      <c r="AC539" s="6">
        <f>$M$539*$W$539</f>
        <v>12265.232829999999</v>
      </c>
      <c r="AD539" s="6">
        <f>$O$539*$X$539</f>
        <v>8116.554329999999</v>
      </c>
      <c r="AE539" s="6">
        <f>$K$539*$Y$539</f>
        <v>0</v>
      </c>
      <c r="AF539" s="6">
        <f ca="1">$M$539*$Z$539</f>
        <v>11249.98417</v>
      </c>
      <c r="AG539" s="6">
        <f ca="1">$O$539*$AA$539</f>
        <v>9512.2494899999983</v>
      </c>
    </row>
    <row r="540" spans="1:33" ht="11.25" customHeight="1" x14ac:dyDescent="0.25">
      <c r="A540" s="4" t="s">
        <v>21</v>
      </c>
      <c r="B540" s="4" t="s">
        <v>33</v>
      </c>
      <c r="C540" s="4" t="s">
        <v>23</v>
      </c>
      <c r="D540" s="4" t="s">
        <v>40</v>
      </c>
      <c r="E540" s="4" t="s">
        <v>25</v>
      </c>
      <c r="F540" s="4" t="s">
        <v>25</v>
      </c>
      <c r="G540" s="4" t="s">
        <v>25</v>
      </c>
      <c r="H540" s="4" t="s">
        <v>25</v>
      </c>
      <c r="I540" s="5">
        <v>44470</v>
      </c>
      <c r="J540" s="6">
        <v>0</v>
      </c>
      <c r="K540" s="6">
        <v>0</v>
      </c>
      <c r="L540" s="6">
        <v>1580.373</v>
      </c>
      <c r="M540" s="6">
        <v>1580.373</v>
      </c>
      <c r="N540" s="6">
        <v>1580.373</v>
      </c>
      <c r="O540" s="6">
        <v>1580.373</v>
      </c>
      <c r="P540" s="6">
        <v>2861</v>
      </c>
      <c r="Q540" s="4" t="s">
        <v>26</v>
      </c>
      <c r="R540" s="4">
        <v>0</v>
      </c>
      <c r="S540" s="6">
        <v>0</v>
      </c>
      <c r="T540" s="6">
        <v>33</v>
      </c>
      <c r="U540" s="6">
        <v>85</v>
      </c>
      <c r="V540" s="6">
        <f>IF(ISERROR(VLOOKUP($S$540,'TAR FIN'!$A$1:$O$86,15,0)),0,VLOOKUP($S$540,'TAR FIN'!$A$1:$O$86,15,0))</f>
        <v>0</v>
      </c>
      <c r="W540" s="6">
        <f>IF(ISERROR(VLOOKUP($T$540,'TAR FIN'!$A$1:$O$86,15,0)),0,VLOOKUP($T$540,'TAR FIN'!$A$1:$O$86,15,0))</f>
        <v>338.51</v>
      </c>
      <c r="X540" s="6">
        <f>IF(ISERROR(VLOOKUP($U$540,'TAR FIN'!$A$1:$O$86,15,0)),0,VLOOKUP($U$540,'TAR FIN'!$A$1:$O$86,15,0))</f>
        <v>224.01</v>
      </c>
      <c r="Y540" s="6"/>
      <c r="Z540" s="6">
        <f ca="1">('TUSD BE'!$AM$48+'TUSD BF_350'!$AM$48+'TUSD CVA'!$AM$48)*1</f>
        <v>310.49</v>
      </c>
      <c r="AA540" s="6">
        <f ca="1">('TE BE'!$AB$39+'TE BF_350'!$AB$39+'TE CVA'!$AB$39)*1</f>
        <v>262.52999999999997</v>
      </c>
      <c r="AB540" s="6">
        <f>$K$540*$V$540</f>
        <v>0</v>
      </c>
      <c r="AC540" s="6">
        <f>$M$540*$W$540</f>
        <v>534972.06423000002</v>
      </c>
      <c r="AD540" s="6">
        <f>$O$540*$X$540</f>
        <v>354019.35573000001</v>
      </c>
      <c r="AE540" s="6">
        <f>$K$540*$Y$540</f>
        <v>0</v>
      </c>
      <c r="AF540" s="6">
        <f ca="1">$M$540*$Z$540</f>
        <v>490690.01277000003</v>
      </c>
      <c r="AG540" s="6">
        <f ca="1">$O$540*$AA$540</f>
        <v>414895.32368999999</v>
      </c>
    </row>
    <row r="541" spans="1:33" ht="11.25" customHeight="1" x14ac:dyDescent="0.25">
      <c r="A541" s="4" t="s">
        <v>27</v>
      </c>
      <c r="B541" s="4" t="s">
        <v>33</v>
      </c>
      <c r="C541" s="4" t="s">
        <v>23</v>
      </c>
      <c r="D541" s="4" t="s">
        <v>40</v>
      </c>
      <c r="E541" s="4" t="s">
        <v>25</v>
      </c>
      <c r="F541" s="4" t="s">
        <v>25</v>
      </c>
      <c r="G541" s="4" t="s">
        <v>25</v>
      </c>
      <c r="H541" s="4" t="s">
        <v>25</v>
      </c>
      <c r="I541" s="5">
        <v>44470</v>
      </c>
      <c r="J541" s="6">
        <v>0</v>
      </c>
      <c r="K541" s="6">
        <v>0</v>
      </c>
      <c r="L541" s="6">
        <v>-1.498</v>
      </c>
      <c r="M541" s="6">
        <v>-1.498</v>
      </c>
      <c r="N541" s="6">
        <v>-1.498</v>
      </c>
      <c r="O541" s="6">
        <v>-1.498</v>
      </c>
      <c r="P541" s="6">
        <v>0</v>
      </c>
      <c r="Q541" s="4" t="s">
        <v>26</v>
      </c>
      <c r="R541" s="4">
        <v>0</v>
      </c>
      <c r="S541" s="6">
        <v>0</v>
      </c>
      <c r="T541" s="6">
        <v>33</v>
      </c>
      <c r="U541" s="6">
        <v>85</v>
      </c>
      <c r="V541" s="6">
        <f>IF(ISERROR(VLOOKUP($S$541,'TAR FIN'!$A$1:$O$86,15,0)),0,VLOOKUP($S$541,'TAR FIN'!$A$1:$O$86,15,0))</f>
        <v>0</v>
      </c>
      <c r="W541" s="6">
        <f>IF(ISERROR(VLOOKUP($T$541,'TAR FIN'!$A$1:$O$86,15,0)),0,VLOOKUP($T$541,'TAR FIN'!$A$1:$O$86,15,0))</f>
        <v>338.51</v>
      </c>
      <c r="X541" s="6">
        <f>IF(ISERROR(VLOOKUP($U$541,'TAR FIN'!$A$1:$O$86,15,0)),0,VLOOKUP($U$541,'TAR FIN'!$A$1:$O$86,15,0))</f>
        <v>224.01</v>
      </c>
      <c r="Y541" s="6"/>
      <c r="Z541" s="6">
        <f ca="1">('TUSD BE'!$AM$48+'TUSD BF_350'!$AM$48+'TUSD CVA'!$AM$48)*1</f>
        <v>310.49</v>
      </c>
      <c r="AA541" s="6">
        <f ca="1">('TE BE'!$AB$39+'TE BF_350'!$AB$39+'TE CVA'!$AB$39)*1</f>
        <v>262.52999999999997</v>
      </c>
      <c r="AB541" s="6">
        <f>$K$541*$V$541</f>
        <v>0</v>
      </c>
      <c r="AC541" s="6">
        <f>$M$541*$W$541</f>
        <v>-507.08797999999996</v>
      </c>
      <c r="AD541" s="6">
        <f>$O$541*$X$541</f>
        <v>-335.56698</v>
      </c>
      <c r="AE541" s="6">
        <f>$K$541*$Y$541</f>
        <v>0</v>
      </c>
      <c r="AF541" s="6">
        <f ca="1">$M$541*$Z$541</f>
        <v>-465.11402000000004</v>
      </c>
      <c r="AG541" s="6">
        <f ca="1">$O$541*$AA$541</f>
        <v>-393.26993999999996</v>
      </c>
    </row>
    <row r="542" spans="1:33" ht="11.25" customHeight="1" x14ac:dyDescent="0.25">
      <c r="A542" s="4" t="s">
        <v>28</v>
      </c>
      <c r="B542" s="4" t="s">
        <v>33</v>
      </c>
      <c r="C542" s="4" t="s">
        <v>23</v>
      </c>
      <c r="D542" s="4" t="s">
        <v>40</v>
      </c>
      <c r="E542" s="4" t="s">
        <v>25</v>
      </c>
      <c r="F542" s="4" t="s">
        <v>25</v>
      </c>
      <c r="G542" s="4" t="s">
        <v>25</v>
      </c>
      <c r="H542" s="4" t="s">
        <v>25</v>
      </c>
      <c r="I542" s="5">
        <v>44470</v>
      </c>
      <c r="J542" s="6">
        <v>0</v>
      </c>
      <c r="K542" s="6">
        <v>0</v>
      </c>
      <c r="L542" s="6">
        <v>32.225000000000001</v>
      </c>
      <c r="M542" s="6">
        <v>32.225000000000001</v>
      </c>
      <c r="N542" s="6">
        <v>32.225000000000001</v>
      </c>
      <c r="O542" s="6">
        <v>32.225000000000001</v>
      </c>
      <c r="P542" s="6">
        <v>36</v>
      </c>
      <c r="Q542" s="4" t="s">
        <v>26</v>
      </c>
      <c r="R542" s="4">
        <v>0</v>
      </c>
      <c r="S542" s="6">
        <v>0</v>
      </c>
      <c r="T542" s="6">
        <v>33</v>
      </c>
      <c r="U542" s="6">
        <v>85</v>
      </c>
      <c r="V542" s="6">
        <f>IF(ISERROR(VLOOKUP($S$542,'TAR FIN'!$A$1:$O$86,15,0)),0,VLOOKUP($S$542,'TAR FIN'!$A$1:$O$86,15,0))</f>
        <v>0</v>
      </c>
      <c r="W542" s="6">
        <f>IF(ISERROR(VLOOKUP($T$542,'TAR FIN'!$A$1:$O$86,15,0)),0,VLOOKUP($T$542,'TAR FIN'!$A$1:$O$86,15,0))</f>
        <v>338.51</v>
      </c>
      <c r="X542" s="6">
        <f>IF(ISERROR(VLOOKUP($U$542,'TAR FIN'!$A$1:$O$86,15,0)),0,VLOOKUP($U$542,'TAR FIN'!$A$1:$O$86,15,0))</f>
        <v>224.01</v>
      </c>
      <c r="Y542" s="6"/>
      <c r="Z542" s="6">
        <f ca="1">('TUSD BE'!$AM$48+'TUSD BF_350'!$AM$48+'TUSD CVA'!$AM$48)*1</f>
        <v>310.49</v>
      </c>
      <c r="AA542" s="6">
        <f ca="1">('TE BE'!$AB$39+'TE BF_350'!$AB$39+'TE CVA'!$AB$39)*1</f>
        <v>262.52999999999997</v>
      </c>
      <c r="AB542" s="6">
        <f>$K$542*$V$542</f>
        <v>0</v>
      </c>
      <c r="AC542" s="6">
        <f>$M$542*$W$542</f>
        <v>10908.48475</v>
      </c>
      <c r="AD542" s="6">
        <f>$O$542*$X$542</f>
        <v>7218.7222499999998</v>
      </c>
      <c r="AE542" s="6">
        <f>$K$542*$Y$542</f>
        <v>0</v>
      </c>
      <c r="AF542" s="6">
        <f ca="1">$M$542*$Z$542</f>
        <v>10005.54025</v>
      </c>
      <c r="AG542" s="6">
        <f ca="1">$O$542*$AA$542</f>
        <v>8460.0292499999996</v>
      </c>
    </row>
    <row r="543" spans="1:33" ht="11.25" customHeight="1" x14ac:dyDescent="0.25">
      <c r="A543" s="4" t="s">
        <v>21</v>
      </c>
      <c r="B543" s="4" t="s">
        <v>33</v>
      </c>
      <c r="C543" s="4" t="s">
        <v>23</v>
      </c>
      <c r="D543" s="4" t="s">
        <v>40</v>
      </c>
      <c r="E543" s="4" t="s">
        <v>25</v>
      </c>
      <c r="F543" s="4" t="s">
        <v>25</v>
      </c>
      <c r="G543" s="4" t="s">
        <v>25</v>
      </c>
      <c r="H543" s="4" t="s">
        <v>25</v>
      </c>
      <c r="I543" s="5">
        <v>44501</v>
      </c>
      <c r="J543" s="6">
        <v>0</v>
      </c>
      <c r="K543" s="6">
        <v>0</v>
      </c>
      <c r="L543" s="6">
        <v>1949.5609999999999</v>
      </c>
      <c r="M543" s="6">
        <v>1949.5609999999999</v>
      </c>
      <c r="N543" s="6">
        <v>1949.5609999999999</v>
      </c>
      <c r="O543" s="6">
        <v>1949.5609999999999</v>
      </c>
      <c r="P543" s="6">
        <v>2897</v>
      </c>
      <c r="Q543" s="4" t="s">
        <v>26</v>
      </c>
      <c r="R543" s="4">
        <v>0</v>
      </c>
      <c r="S543" s="6">
        <v>0</v>
      </c>
      <c r="T543" s="6">
        <v>33</v>
      </c>
      <c r="U543" s="6">
        <v>85</v>
      </c>
      <c r="V543" s="6">
        <f>IF(ISERROR(VLOOKUP($S$543,'TAR FIN'!$A$1:$O$86,15,0)),0,VLOOKUP($S$543,'TAR FIN'!$A$1:$O$86,15,0))</f>
        <v>0</v>
      </c>
      <c r="W543" s="6">
        <f>IF(ISERROR(VLOOKUP($T$543,'TAR FIN'!$A$1:$O$86,15,0)),0,VLOOKUP($T$543,'TAR FIN'!$A$1:$O$86,15,0))</f>
        <v>338.51</v>
      </c>
      <c r="X543" s="6">
        <f>IF(ISERROR(VLOOKUP($U$543,'TAR FIN'!$A$1:$O$86,15,0)),0,VLOOKUP($U$543,'TAR FIN'!$A$1:$O$86,15,0))</f>
        <v>224.01</v>
      </c>
      <c r="Y543" s="6"/>
      <c r="Z543" s="6">
        <f ca="1">('TUSD BE'!$AM$48+'TUSD BF_350'!$AM$48+'TUSD CVA'!$AM$48)*1</f>
        <v>310.49</v>
      </c>
      <c r="AA543" s="6">
        <f ca="1">('TE BE'!$AB$39+'TE BF_350'!$AB$39+'TE CVA'!$AB$39)*1</f>
        <v>262.52999999999997</v>
      </c>
      <c r="AB543" s="6">
        <f>$K$543*$V$543</f>
        <v>0</v>
      </c>
      <c r="AC543" s="6">
        <f>$M$543*$W$543</f>
        <v>659945.89410999999</v>
      </c>
      <c r="AD543" s="6">
        <f>$O$543*$X$543</f>
        <v>436721.15960999997</v>
      </c>
      <c r="AE543" s="6">
        <f>$K$543*$Y$543</f>
        <v>0</v>
      </c>
      <c r="AF543" s="6">
        <f ca="1">$M$543*$Z$543</f>
        <v>605319.19489000004</v>
      </c>
      <c r="AG543" s="6">
        <f ca="1">$O$543*$AA$543</f>
        <v>511818.2493299999</v>
      </c>
    </row>
    <row r="544" spans="1:33" ht="11.25" customHeight="1" x14ac:dyDescent="0.25">
      <c r="A544" s="4" t="s">
        <v>27</v>
      </c>
      <c r="B544" s="4" t="s">
        <v>33</v>
      </c>
      <c r="C544" s="4" t="s">
        <v>23</v>
      </c>
      <c r="D544" s="4" t="s">
        <v>40</v>
      </c>
      <c r="E544" s="4" t="s">
        <v>25</v>
      </c>
      <c r="F544" s="4" t="s">
        <v>25</v>
      </c>
      <c r="G544" s="4" t="s">
        <v>25</v>
      </c>
      <c r="H544" s="4" t="s">
        <v>25</v>
      </c>
      <c r="I544" s="5">
        <v>44501</v>
      </c>
      <c r="J544" s="6">
        <v>0</v>
      </c>
      <c r="K544" s="6">
        <v>0</v>
      </c>
      <c r="L544" s="6">
        <v>-0.27500000000000002</v>
      </c>
      <c r="M544" s="6">
        <v>-0.27500000000000002</v>
      </c>
      <c r="N544" s="6">
        <v>-0.27500000000000002</v>
      </c>
      <c r="O544" s="6">
        <v>-0.27500000000000002</v>
      </c>
      <c r="P544" s="6">
        <v>0</v>
      </c>
      <c r="Q544" s="4" t="s">
        <v>26</v>
      </c>
      <c r="R544" s="4">
        <v>0</v>
      </c>
      <c r="S544" s="6">
        <v>0</v>
      </c>
      <c r="T544" s="6">
        <v>33</v>
      </c>
      <c r="U544" s="6">
        <v>85</v>
      </c>
      <c r="V544" s="6">
        <f>IF(ISERROR(VLOOKUP($S$544,'TAR FIN'!$A$1:$O$86,15,0)),0,VLOOKUP($S$544,'TAR FIN'!$A$1:$O$86,15,0))</f>
        <v>0</v>
      </c>
      <c r="W544" s="6">
        <f>IF(ISERROR(VLOOKUP($T$544,'TAR FIN'!$A$1:$O$86,15,0)),0,VLOOKUP($T$544,'TAR FIN'!$A$1:$O$86,15,0))</f>
        <v>338.51</v>
      </c>
      <c r="X544" s="6">
        <f>IF(ISERROR(VLOOKUP($U$544,'TAR FIN'!$A$1:$O$86,15,0)),0,VLOOKUP($U$544,'TAR FIN'!$A$1:$O$86,15,0))</f>
        <v>224.01</v>
      </c>
      <c r="Y544" s="6"/>
      <c r="Z544" s="6">
        <f ca="1">('TUSD BE'!$AM$48+'TUSD BF_350'!$AM$48+'TUSD CVA'!$AM$48)*1</f>
        <v>310.49</v>
      </c>
      <c r="AA544" s="6">
        <f ca="1">('TE BE'!$AB$39+'TE BF_350'!$AB$39+'TE CVA'!$AB$39)*1</f>
        <v>262.52999999999997</v>
      </c>
      <c r="AB544" s="6">
        <f>$K$544*$V$544</f>
        <v>0</v>
      </c>
      <c r="AC544" s="6">
        <f>$M$544*$W$544</f>
        <v>-93.090250000000012</v>
      </c>
      <c r="AD544" s="6">
        <f>$O$544*$X$544</f>
        <v>-61.60275</v>
      </c>
      <c r="AE544" s="6">
        <f>$K$544*$Y$544</f>
        <v>0</v>
      </c>
      <c r="AF544" s="6">
        <f ca="1">$M$544*$Z$544</f>
        <v>-85.384750000000011</v>
      </c>
      <c r="AG544" s="6">
        <f ca="1">$O$544*$AA$544</f>
        <v>-72.195750000000004</v>
      </c>
    </row>
    <row r="545" spans="1:33" ht="11.25" customHeight="1" x14ac:dyDescent="0.25">
      <c r="A545" s="4" t="s">
        <v>28</v>
      </c>
      <c r="B545" s="4" t="s">
        <v>33</v>
      </c>
      <c r="C545" s="4" t="s">
        <v>23</v>
      </c>
      <c r="D545" s="4" t="s">
        <v>40</v>
      </c>
      <c r="E545" s="4" t="s">
        <v>25</v>
      </c>
      <c r="F545" s="4" t="s">
        <v>25</v>
      </c>
      <c r="G545" s="4" t="s">
        <v>25</v>
      </c>
      <c r="H545" s="4" t="s">
        <v>25</v>
      </c>
      <c r="I545" s="5">
        <v>44501</v>
      </c>
      <c r="J545" s="6">
        <v>0</v>
      </c>
      <c r="K545" s="6">
        <v>0</v>
      </c>
      <c r="L545" s="6">
        <v>21.347999999999999</v>
      </c>
      <c r="M545" s="6">
        <v>21.347999999999999</v>
      </c>
      <c r="N545" s="6">
        <v>21.347999999999999</v>
      </c>
      <c r="O545" s="6">
        <v>21.347999999999999</v>
      </c>
      <c r="P545" s="6">
        <v>36</v>
      </c>
      <c r="Q545" s="4" t="s">
        <v>26</v>
      </c>
      <c r="R545" s="4">
        <v>0</v>
      </c>
      <c r="S545" s="6">
        <v>0</v>
      </c>
      <c r="T545" s="6">
        <v>33</v>
      </c>
      <c r="U545" s="6">
        <v>85</v>
      </c>
      <c r="V545" s="6">
        <f>IF(ISERROR(VLOOKUP($S$545,'TAR FIN'!$A$1:$O$86,15,0)),0,VLOOKUP($S$545,'TAR FIN'!$A$1:$O$86,15,0))</f>
        <v>0</v>
      </c>
      <c r="W545" s="6">
        <f>IF(ISERROR(VLOOKUP($T$545,'TAR FIN'!$A$1:$O$86,15,0)),0,VLOOKUP($T$545,'TAR FIN'!$A$1:$O$86,15,0))</f>
        <v>338.51</v>
      </c>
      <c r="X545" s="6">
        <f>IF(ISERROR(VLOOKUP($U$545,'TAR FIN'!$A$1:$O$86,15,0)),0,VLOOKUP($U$545,'TAR FIN'!$A$1:$O$86,15,0))</f>
        <v>224.01</v>
      </c>
      <c r="Y545" s="6"/>
      <c r="Z545" s="6">
        <f ca="1">('TUSD BE'!$AM$48+'TUSD BF_350'!$AM$48+'TUSD CVA'!$AM$48)*1</f>
        <v>310.49</v>
      </c>
      <c r="AA545" s="6">
        <f ca="1">('TE BE'!$AB$39+'TE BF_350'!$AB$39+'TE CVA'!$AB$39)*1</f>
        <v>262.52999999999997</v>
      </c>
      <c r="AB545" s="6">
        <f>$K$545*$V$545</f>
        <v>0</v>
      </c>
      <c r="AC545" s="6">
        <f>$M$545*$W$545</f>
        <v>7226.5114799999992</v>
      </c>
      <c r="AD545" s="6">
        <f>$O$545*$X$545</f>
        <v>4782.1654799999997</v>
      </c>
      <c r="AE545" s="6">
        <f>$K$545*$Y$545</f>
        <v>0</v>
      </c>
      <c r="AF545" s="6">
        <f ca="1">$M$545*$Z$545</f>
        <v>6628.3405199999997</v>
      </c>
      <c r="AG545" s="6">
        <f ca="1">$O$545*$AA$545</f>
        <v>5604.4904399999996</v>
      </c>
    </row>
    <row r="546" spans="1:33" ht="11.25" customHeight="1" x14ac:dyDescent="0.25">
      <c r="A546" s="4" t="s">
        <v>21</v>
      </c>
      <c r="B546" s="4" t="s">
        <v>33</v>
      </c>
      <c r="C546" s="4" t="s">
        <v>23</v>
      </c>
      <c r="D546" s="4" t="s">
        <v>40</v>
      </c>
      <c r="E546" s="4" t="s">
        <v>25</v>
      </c>
      <c r="F546" s="4" t="s">
        <v>25</v>
      </c>
      <c r="G546" s="4" t="s">
        <v>25</v>
      </c>
      <c r="H546" s="4" t="s">
        <v>25</v>
      </c>
      <c r="I546" s="5">
        <v>44531</v>
      </c>
      <c r="J546" s="6">
        <v>0</v>
      </c>
      <c r="K546" s="6">
        <v>0</v>
      </c>
      <c r="L546" s="6">
        <v>1955.549</v>
      </c>
      <c r="M546" s="6">
        <v>1955.549</v>
      </c>
      <c r="N546" s="6">
        <v>1955.549</v>
      </c>
      <c r="O546" s="6">
        <v>1955.549</v>
      </c>
      <c r="P546" s="6">
        <v>2918</v>
      </c>
      <c r="Q546" s="4" t="s">
        <v>26</v>
      </c>
      <c r="R546" s="4">
        <v>0</v>
      </c>
      <c r="S546" s="6">
        <v>0</v>
      </c>
      <c r="T546" s="6">
        <v>33</v>
      </c>
      <c r="U546" s="6">
        <v>85</v>
      </c>
      <c r="V546" s="6">
        <f>IF(ISERROR(VLOOKUP($S$546,'TAR FIN'!$A$1:$O$86,15,0)),0,VLOOKUP($S$546,'TAR FIN'!$A$1:$O$86,15,0))</f>
        <v>0</v>
      </c>
      <c r="W546" s="6">
        <f>IF(ISERROR(VLOOKUP($T$546,'TAR FIN'!$A$1:$O$86,15,0)),0,VLOOKUP($T$546,'TAR FIN'!$A$1:$O$86,15,0))</f>
        <v>338.51</v>
      </c>
      <c r="X546" s="6">
        <f>IF(ISERROR(VLOOKUP($U$546,'TAR FIN'!$A$1:$O$86,15,0)),0,VLOOKUP($U$546,'TAR FIN'!$A$1:$O$86,15,0))</f>
        <v>224.01</v>
      </c>
      <c r="Y546" s="6"/>
      <c r="Z546" s="6">
        <f ca="1">('TUSD BE'!$AM$48+'TUSD BF_350'!$AM$48+'TUSD CVA'!$AM$48)*1</f>
        <v>310.49</v>
      </c>
      <c r="AA546" s="6">
        <f ca="1">('TE BE'!$AB$39+'TE BF_350'!$AB$39+'TE CVA'!$AB$39)*1</f>
        <v>262.52999999999997</v>
      </c>
      <c r="AB546" s="6">
        <f>$K$546*$V$546</f>
        <v>0</v>
      </c>
      <c r="AC546" s="6">
        <f>$M$546*$W$546</f>
        <v>661972.89199000003</v>
      </c>
      <c r="AD546" s="6">
        <f>$O$546*$X$546</f>
        <v>438062.53148999996</v>
      </c>
      <c r="AE546" s="6">
        <f>$K$546*$Y$546</f>
        <v>0</v>
      </c>
      <c r="AF546" s="6">
        <f ca="1">$M$546*$Z$546</f>
        <v>607178.40901000006</v>
      </c>
      <c r="AG546" s="6">
        <f ca="1">$O$546*$AA$546</f>
        <v>513390.27896999993</v>
      </c>
    </row>
    <row r="547" spans="1:33" ht="11.25" customHeight="1" x14ac:dyDescent="0.25">
      <c r="A547" s="4" t="s">
        <v>27</v>
      </c>
      <c r="B547" s="4" t="s">
        <v>33</v>
      </c>
      <c r="C547" s="4" t="s">
        <v>23</v>
      </c>
      <c r="D547" s="4" t="s">
        <v>40</v>
      </c>
      <c r="E547" s="4" t="s">
        <v>25</v>
      </c>
      <c r="F547" s="4" t="s">
        <v>25</v>
      </c>
      <c r="G547" s="4" t="s">
        <v>25</v>
      </c>
      <c r="H547" s="4" t="s">
        <v>25</v>
      </c>
      <c r="I547" s="5">
        <v>44531</v>
      </c>
      <c r="J547" s="6">
        <v>0</v>
      </c>
      <c r="K547" s="6">
        <v>0</v>
      </c>
      <c r="L547" s="6">
        <v>-0.54100000000000004</v>
      </c>
      <c r="M547" s="6">
        <v>-0.54100000000000004</v>
      </c>
      <c r="N547" s="6">
        <v>-0.54100000000000004</v>
      </c>
      <c r="O547" s="6">
        <v>-0.54100000000000004</v>
      </c>
      <c r="P547" s="6">
        <v>0</v>
      </c>
      <c r="Q547" s="4" t="s">
        <v>26</v>
      </c>
      <c r="R547" s="4">
        <v>0</v>
      </c>
      <c r="S547" s="6">
        <v>0</v>
      </c>
      <c r="T547" s="6">
        <v>33</v>
      </c>
      <c r="U547" s="6">
        <v>85</v>
      </c>
      <c r="V547" s="6">
        <f>IF(ISERROR(VLOOKUP($S$547,'TAR FIN'!$A$1:$O$86,15,0)),0,VLOOKUP($S$547,'TAR FIN'!$A$1:$O$86,15,0))</f>
        <v>0</v>
      </c>
      <c r="W547" s="6">
        <f>IF(ISERROR(VLOOKUP($T$547,'TAR FIN'!$A$1:$O$86,15,0)),0,VLOOKUP($T$547,'TAR FIN'!$A$1:$O$86,15,0))</f>
        <v>338.51</v>
      </c>
      <c r="X547" s="6">
        <f>IF(ISERROR(VLOOKUP($U$547,'TAR FIN'!$A$1:$O$86,15,0)),0,VLOOKUP($U$547,'TAR FIN'!$A$1:$O$86,15,0))</f>
        <v>224.01</v>
      </c>
      <c r="Y547" s="6"/>
      <c r="Z547" s="6">
        <f ca="1">('TUSD BE'!$AM$48+'TUSD BF_350'!$AM$48+'TUSD CVA'!$AM$48)*1</f>
        <v>310.49</v>
      </c>
      <c r="AA547" s="6">
        <f ca="1">('TE BE'!$AB$39+'TE BF_350'!$AB$39+'TE CVA'!$AB$39)*1</f>
        <v>262.52999999999997</v>
      </c>
      <c r="AB547" s="6">
        <f>$K$547*$V$547</f>
        <v>0</v>
      </c>
      <c r="AC547" s="6">
        <f>$M$547*$W$547</f>
        <v>-183.13391000000001</v>
      </c>
      <c r="AD547" s="6">
        <f>$O$547*$X$547</f>
        <v>-121.18941000000001</v>
      </c>
      <c r="AE547" s="6">
        <f>$K$547*$Y$547</f>
        <v>0</v>
      </c>
      <c r="AF547" s="6">
        <f ca="1">$M$547*$Z$547</f>
        <v>-167.97509000000002</v>
      </c>
      <c r="AG547" s="6">
        <f ca="1">$O$547*$AA$547</f>
        <v>-142.02873</v>
      </c>
    </row>
    <row r="548" spans="1:33" ht="11.25" customHeight="1" x14ac:dyDescent="0.25">
      <c r="A548" s="4" t="s">
        <v>28</v>
      </c>
      <c r="B548" s="4" t="s">
        <v>33</v>
      </c>
      <c r="C548" s="4" t="s">
        <v>23</v>
      </c>
      <c r="D548" s="4" t="s">
        <v>40</v>
      </c>
      <c r="E548" s="4" t="s">
        <v>25</v>
      </c>
      <c r="F548" s="4" t="s">
        <v>25</v>
      </c>
      <c r="G548" s="4" t="s">
        <v>25</v>
      </c>
      <c r="H548" s="4" t="s">
        <v>25</v>
      </c>
      <c r="I548" s="5">
        <v>44531</v>
      </c>
      <c r="J548" s="6">
        <v>0</v>
      </c>
      <c r="K548" s="6">
        <v>0</v>
      </c>
      <c r="L548" s="6">
        <v>22.797000000000001</v>
      </c>
      <c r="M548" s="6">
        <v>22.797000000000001</v>
      </c>
      <c r="N548" s="6">
        <v>22.797000000000001</v>
      </c>
      <c r="O548" s="6">
        <v>22.797000000000001</v>
      </c>
      <c r="P548" s="6">
        <v>35</v>
      </c>
      <c r="Q548" s="4" t="s">
        <v>26</v>
      </c>
      <c r="R548" s="4">
        <v>0</v>
      </c>
      <c r="S548" s="6">
        <v>0</v>
      </c>
      <c r="T548" s="6">
        <v>33</v>
      </c>
      <c r="U548" s="6">
        <v>85</v>
      </c>
      <c r="V548" s="6">
        <f>IF(ISERROR(VLOOKUP($S$548,'TAR FIN'!$A$1:$O$86,15,0)),0,VLOOKUP($S$548,'TAR FIN'!$A$1:$O$86,15,0))</f>
        <v>0</v>
      </c>
      <c r="W548" s="6">
        <f>IF(ISERROR(VLOOKUP($T$548,'TAR FIN'!$A$1:$O$86,15,0)),0,VLOOKUP($T$548,'TAR FIN'!$A$1:$O$86,15,0))</f>
        <v>338.51</v>
      </c>
      <c r="X548" s="6">
        <f>IF(ISERROR(VLOOKUP($U$548,'TAR FIN'!$A$1:$O$86,15,0)),0,VLOOKUP($U$548,'TAR FIN'!$A$1:$O$86,15,0))</f>
        <v>224.01</v>
      </c>
      <c r="Y548" s="6"/>
      <c r="Z548" s="6">
        <f ca="1">('TUSD BE'!$AM$48+'TUSD BF_350'!$AM$48+'TUSD CVA'!$AM$48)*1</f>
        <v>310.49</v>
      </c>
      <c r="AA548" s="6">
        <f ca="1">('TE BE'!$AB$39+'TE BF_350'!$AB$39+'TE CVA'!$AB$39)*1</f>
        <v>262.52999999999997</v>
      </c>
      <c r="AB548" s="6">
        <f>$K$548*$V$548</f>
        <v>0</v>
      </c>
      <c r="AC548" s="6">
        <f>$M$548*$W$548</f>
        <v>7717.0124699999997</v>
      </c>
      <c r="AD548" s="6">
        <f>$O$548*$X$548</f>
        <v>5106.7559700000002</v>
      </c>
      <c r="AE548" s="6">
        <f>$K$548*$Y$548</f>
        <v>0</v>
      </c>
      <c r="AF548" s="6">
        <f ca="1">$M$548*$Z$548</f>
        <v>7078.24053</v>
      </c>
      <c r="AG548" s="6">
        <f ca="1">$O$548*$AA$548</f>
        <v>5984.8964099999994</v>
      </c>
    </row>
    <row r="549" spans="1:33" ht="11.25" customHeight="1" x14ac:dyDescent="0.25">
      <c r="A549" s="4" t="s">
        <v>21</v>
      </c>
      <c r="B549" s="4" t="s">
        <v>33</v>
      </c>
      <c r="C549" s="4" t="s">
        <v>23</v>
      </c>
      <c r="D549" s="4" t="s">
        <v>40</v>
      </c>
      <c r="E549" s="4" t="s">
        <v>25</v>
      </c>
      <c r="F549" s="4" t="s">
        <v>25</v>
      </c>
      <c r="G549" s="4" t="s">
        <v>25</v>
      </c>
      <c r="H549" s="4" t="s">
        <v>25</v>
      </c>
      <c r="I549" s="5">
        <v>44562</v>
      </c>
      <c r="J549" s="6">
        <v>0</v>
      </c>
      <c r="K549" s="6">
        <v>0</v>
      </c>
      <c r="L549" s="6">
        <v>2394.1460000000002</v>
      </c>
      <c r="M549" s="6">
        <v>2394.1460000000002</v>
      </c>
      <c r="N549" s="6">
        <v>2394.1460000000002</v>
      </c>
      <c r="O549" s="6">
        <v>2394.1460000000002</v>
      </c>
      <c r="P549" s="6">
        <v>2952</v>
      </c>
      <c r="Q549" s="4" t="s">
        <v>26</v>
      </c>
      <c r="R549" s="4">
        <v>0</v>
      </c>
      <c r="S549" s="6">
        <v>0</v>
      </c>
      <c r="T549" s="6">
        <v>33</v>
      </c>
      <c r="U549" s="6">
        <v>85</v>
      </c>
      <c r="V549" s="6">
        <f>IF(ISERROR(VLOOKUP($S$549,'TAR FIN'!$A$1:$O$86,15,0)),0,VLOOKUP($S$549,'TAR FIN'!$A$1:$O$86,15,0))</f>
        <v>0</v>
      </c>
      <c r="W549" s="6">
        <f>IF(ISERROR(VLOOKUP($T$549,'TAR FIN'!$A$1:$O$86,15,0)),0,VLOOKUP($T$549,'TAR FIN'!$A$1:$O$86,15,0))</f>
        <v>338.51</v>
      </c>
      <c r="X549" s="6">
        <f>IF(ISERROR(VLOOKUP($U$549,'TAR FIN'!$A$1:$O$86,15,0)),0,VLOOKUP($U$549,'TAR FIN'!$A$1:$O$86,15,0))</f>
        <v>224.01</v>
      </c>
      <c r="Y549" s="6"/>
      <c r="Z549" s="6">
        <f ca="1">('TUSD BE'!$AM$48+'TUSD BF_350'!$AM$48+'TUSD CVA'!$AM$48)*1</f>
        <v>310.49</v>
      </c>
      <c r="AA549" s="6">
        <f ca="1">('TE BE'!$AB$39+'TE BF_350'!$AB$39+'TE CVA'!$AB$39)*1</f>
        <v>262.52999999999997</v>
      </c>
      <c r="AB549" s="6">
        <f>$K$549*$V$549</f>
        <v>0</v>
      </c>
      <c r="AC549" s="6">
        <f>$M$549*$W$549</f>
        <v>810442.36246000009</v>
      </c>
      <c r="AD549" s="6">
        <f>$O$549*$X$549</f>
        <v>536312.64546000003</v>
      </c>
      <c r="AE549" s="6">
        <f>$K$549*$Y$549</f>
        <v>0</v>
      </c>
      <c r="AF549" s="6">
        <f ca="1">$M$549*$Z$549</f>
        <v>743358.3915400001</v>
      </c>
      <c r="AG549" s="6">
        <f ca="1">$O$549*$AA$549</f>
        <v>628535.14937999996</v>
      </c>
    </row>
    <row r="550" spans="1:33" ht="11.25" customHeight="1" x14ac:dyDescent="0.25">
      <c r="A550" s="4" t="s">
        <v>27</v>
      </c>
      <c r="B550" s="4" t="s">
        <v>33</v>
      </c>
      <c r="C550" s="4" t="s">
        <v>23</v>
      </c>
      <c r="D550" s="4" t="s">
        <v>40</v>
      </c>
      <c r="E550" s="4" t="s">
        <v>25</v>
      </c>
      <c r="F550" s="4" t="s">
        <v>25</v>
      </c>
      <c r="G550" s="4" t="s">
        <v>25</v>
      </c>
      <c r="H550" s="4" t="s">
        <v>25</v>
      </c>
      <c r="I550" s="5">
        <v>44562</v>
      </c>
      <c r="J550" s="6">
        <v>0</v>
      </c>
      <c r="K550" s="6">
        <v>0</v>
      </c>
      <c r="L550" s="6">
        <v>8.0440000000000005</v>
      </c>
      <c r="M550" s="6">
        <v>8.0440000000000005</v>
      </c>
      <c r="N550" s="6">
        <v>8.0440000000000005</v>
      </c>
      <c r="O550" s="6">
        <v>8.0440000000000005</v>
      </c>
      <c r="P550" s="6">
        <v>0</v>
      </c>
      <c r="Q550" s="4" t="s">
        <v>26</v>
      </c>
      <c r="R550" s="4">
        <v>0</v>
      </c>
      <c r="S550" s="6">
        <v>0</v>
      </c>
      <c r="T550" s="6">
        <v>33</v>
      </c>
      <c r="U550" s="6">
        <v>85</v>
      </c>
      <c r="V550" s="6">
        <f>IF(ISERROR(VLOOKUP($S$550,'TAR FIN'!$A$1:$O$86,15,0)),0,VLOOKUP($S$550,'TAR FIN'!$A$1:$O$86,15,0))</f>
        <v>0</v>
      </c>
      <c r="W550" s="6">
        <f>IF(ISERROR(VLOOKUP($T$550,'TAR FIN'!$A$1:$O$86,15,0)),0,VLOOKUP($T$550,'TAR FIN'!$A$1:$O$86,15,0))</f>
        <v>338.51</v>
      </c>
      <c r="X550" s="6">
        <f>IF(ISERROR(VLOOKUP($U$550,'TAR FIN'!$A$1:$O$86,15,0)),0,VLOOKUP($U$550,'TAR FIN'!$A$1:$O$86,15,0))</f>
        <v>224.01</v>
      </c>
      <c r="Y550" s="6"/>
      <c r="Z550" s="6">
        <f ca="1">('TUSD BE'!$AM$48+'TUSD BF_350'!$AM$48+'TUSD CVA'!$AM$48)*1</f>
        <v>310.49</v>
      </c>
      <c r="AA550" s="6">
        <f ca="1">('TE BE'!$AB$39+'TE BF_350'!$AB$39+'TE CVA'!$AB$39)*1</f>
        <v>262.52999999999997</v>
      </c>
      <c r="AB550" s="6">
        <f>$K$550*$V$550</f>
        <v>0</v>
      </c>
      <c r="AC550" s="6">
        <f>$M$550*$W$550</f>
        <v>2722.97444</v>
      </c>
      <c r="AD550" s="6">
        <f>$O$550*$X$550</f>
        <v>1801.9364399999999</v>
      </c>
      <c r="AE550" s="6">
        <f>$K$550*$Y$550</f>
        <v>0</v>
      </c>
      <c r="AF550" s="6">
        <f ca="1">$M$550*$Z$550</f>
        <v>2497.5815600000001</v>
      </c>
      <c r="AG550" s="6">
        <f ca="1">$O$550*$AA$550</f>
        <v>2111.7913199999998</v>
      </c>
    </row>
    <row r="551" spans="1:33" ht="11.25" customHeight="1" x14ac:dyDescent="0.25">
      <c r="A551" s="4" t="s">
        <v>28</v>
      </c>
      <c r="B551" s="4" t="s">
        <v>33</v>
      </c>
      <c r="C551" s="4" t="s">
        <v>23</v>
      </c>
      <c r="D551" s="4" t="s">
        <v>40</v>
      </c>
      <c r="E551" s="4" t="s">
        <v>25</v>
      </c>
      <c r="F551" s="4" t="s">
        <v>25</v>
      </c>
      <c r="G551" s="4" t="s">
        <v>25</v>
      </c>
      <c r="H551" s="4" t="s">
        <v>25</v>
      </c>
      <c r="I551" s="5">
        <v>44562</v>
      </c>
      <c r="J551" s="6">
        <v>0</v>
      </c>
      <c r="K551" s="6">
        <v>0</v>
      </c>
      <c r="L551" s="6">
        <v>25.462</v>
      </c>
      <c r="M551" s="6">
        <v>25.462</v>
      </c>
      <c r="N551" s="6">
        <v>25.462</v>
      </c>
      <c r="O551" s="6">
        <v>25.462</v>
      </c>
      <c r="P551" s="6">
        <v>37</v>
      </c>
      <c r="Q551" s="4" t="s">
        <v>26</v>
      </c>
      <c r="R551" s="4">
        <v>0</v>
      </c>
      <c r="S551" s="6">
        <v>0</v>
      </c>
      <c r="T551" s="6">
        <v>33</v>
      </c>
      <c r="U551" s="6">
        <v>85</v>
      </c>
      <c r="V551" s="6">
        <f>IF(ISERROR(VLOOKUP($S$551,'TAR FIN'!$A$1:$O$86,15,0)),0,VLOOKUP($S$551,'TAR FIN'!$A$1:$O$86,15,0))</f>
        <v>0</v>
      </c>
      <c r="W551" s="6">
        <f>IF(ISERROR(VLOOKUP($T$551,'TAR FIN'!$A$1:$O$86,15,0)),0,VLOOKUP($T$551,'TAR FIN'!$A$1:$O$86,15,0))</f>
        <v>338.51</v>
      </c>
      <c r="X551" s="6">
        <f>IF(ISERROR(VLOOKUP($U$551,'TAR FIN'!$A$1:$O$86,15,0)),0,VLOOKUP($U$551,'TAR FIN'!$A$1:$O$86,15,0))</f>
        <v>224.01</v>
      </c>
      <c r="Y551" s="6"/>
      <c r="Z551" s="6">
        <f ca="1">('TUSD BE'!$AM$48+'TUSD BF_350'!$AM$48+'TUSD CVA'!$AM$48)*1</f>
        <v>310.49</v>
      </c>
      <c r="AA551" s="6">
        <f ca="1">('TE BE'!$AB$39+'TE BF_350'!$AB$39+'TE CVA'!$AB$39)*1</f>
        <v>262.52999999999997</v>
      </c>
      <c r="AB551" s="6">
        <f>$K$551*$V$551</f>
        <v>0</v>
      </c>
      <c r="AC551" s="6">
        <f>$M$551*$W$551</f>
        <v>8619.1416200000003</v>
      </c>
      <c r="AD551" s="6">
        <f>$O$551*$X$551</f>
        <v>5703.74262</v>
      </c>
      <c r="AE551" s="6">
        <f>$K$551*$Y$551</f>
        <v>0</v>
      </c>
      <c r="AF551" s="6">
        <f ca="1">$M$551*$Z$551</f>
        <v>7905.6963800000003</v>
      </c>
      <c r="AG551" s="6">
        <f ca="1">$O$551*$AA$551</f>
        <v>6684.5388599999997</v>
      </c>
    </row>
    <row r="552" spans="1:33" ht="11.25" customHeight="1" x14ac:dyDescent="0.25">
      <c r="A552" s="4" t="s">
        <v>21</v>
      </c>
      <c r="B552" s="4" t="s">
        <v>33</v>
      </c>
      <c r="C552" s="4" t="s">
        <v>23</v>
      </c>
      <c r="D552" s="4" t="s">
        <v>40</v>
      </c>
      <c r="E552" s="4" t="s">
        <v>25</v>
      </c>
      <c r="F552" s="4" t="s">
        <v>25</v>
      </c>
      <c r="G552" s="4" t="s">
        <v>25</v>
      </c>
      <c r="H552" s="4" t="s">
        <v>25</v>
      </c>
      <c r="I552" s="5">
        <v>44593</v>
      </c>
      <c r="J552" s="6">
        <v>0</v>
      </c>
      <c r="K552" s="6">
        <v>0</v>
      </c>
      <c r="L552" s="6">
        <v>2488.9639999999999</v>
      </c>
      <c r="M552" s="6">
        <v>2488.9639999999999</v>
      </c>
      <c r="N552" s="6">
        <v>2488.9639999999999</v>
      </c>
      <c r="O552" s="6">
        <v>2488.9639999999999</v>
      </c>
      <c r="P552" s="6">
        <v>2959</v>
      </c>
      <c r="Q552" s="4" t="s">
        <v>26</v>
      </c>
      <c r="R552" s="4">
        <v>0</v>
      </c>
      <c r="S552" s="6">
        <v>0</v>
      </c>
      <c r="T552" s="6">
        <v>33</v>
      </c>
      <c r="U552" s="6">
        <v>85</v>
      </c>
      <c r="V552" s="6">
        <f>IF(ISERROR(VLOOKUP($S$552,'TAR FIN'!$A$1:$O$86,15,0)),0,VLOOKUP($S$552,'TAR FIN'!$A$1:$O$86,15,0))</f>
        <v>0</v>
      </c>
      <c r="W552" s="6">
        <f>IF(ISERROR(VLOOKUP($T$552,'TAR FIN'!$A$1:$O$86,15,0)),0,VLOOKUP($T$552,'TAR FIN'!$A$1:$O$86,15,0))</f>
        <v>338.51</v>
      </c>
      <c r="X552" s="6">
        <f>IF(ISERROR(VLOOKUP($U$552,'TAR FIN'!$A$1:$O$86,15,0)),0,VLOOKUP($U$552,'TAR FIN'!$A$1:$O$86,15,0))</f>
        <v>224.01</v>
      </c>
      <c r="Y552" s="6"/>
      <c r="Z552" s="6">
        <f ca="1">('TUSD BE'!$AM$48+'TUSD BF_350'!$AM$48+'TUSD CVA'!$AM$48)*1</f>
        <v>310.49</v>
      </c>
      <c r="AA552" s="6">
        <f ca="1">('TE BE'!$AB$39+'TE BF_350'!$AB$39+'TE CVA'!$AB$39)*1</f>
        <v>262.52999999999997</v>
      </c>
      <c r="AB552" s="6">
        <f>$K$552*$V$552</f>
        <v>0</v>
      </c>
      <c r="AC552" s="6">
        <f>$M$552*$W$552</f>
        <v>842539.20363999996</v>
      </c>
      <c r="AD552" s="6">
        <f>$O$552*$X$552</f>
        <v>557552.82563999994</v>
      </c>
      <c r="AE552" s="6">
        <f>$K$552*$Y$552</f>
        <v>0</v>
      </c>
      <c r="AF552" s="6">
        <f ca="1">$M$552*$Z$552</f>
        <v>772798.43235999998</v>
      </c>
      <c r="AG552" s="6">
        <f ca="1">$O$552*$AA$552</f>
        <v>653427.7189199999</v>
      </c>
    </row>
    <row r="553" spans="1:33" ht="11.25" customHeight="1" x14ac:dyDescent="0.25">
      <c r="A553" s="4" t="s">
        <v>27</v>
      </c>
      <c r="B553" s="4" t="s">
        <v>33</v>
      </c>
      <c r="C553" s="4" t="s">
        <v>23</v>
      </c>
      <c r="D553" s="4" t="s">
        <v>40</v>
      </c>
      <c r="E553" s="4" t="s">
        <v>25</v>
      </c>
      <c r="F553" s="4" t="s">
        <v>25</v>
      </c>
      <c r="G553" s="4" t="s">
        <v>25</v>
      </c>
      <c r="H553" s="4" t="s">
        <v>25</v>
      </c>
      <c r="I553" s="5">
        <v>44593</v>
      </c>
      <c r="J553" s="6">
        <v>0</v>
      </c>
      <c r="K553" s="6">
        <v>0</v>
      </c>
      <c r="L553" s="6">
        <v>1.1240000000000001</v>
      </c>
      <c r="M553" s="6">
        <v>1.1240000000000001</v>
      </c>
      <c r="N553" s="6">
        <v>1.1240000000000001</v>
      </c>
      <c r="O553" s="6">
        <v>1.1240000000000001</v>
      </c>
      <c r="P553" s="6">
        <v>0</v>
      </c>
      <c r="Q553" s="4" t="s">
        <v>26</v>
      </c>
      <c r="R553" s="4">
        <v>0</v>
      </c>
      <c r="S553" s="6">
        <v>0</v>
      </c>
      <c r="T553" s="6">
        <v>33</v>
      </c>
      <c r="U553" s="6">
        <v>85</v>
      </c>
      <c r="V553" s="6">
        <f>IF(ISERROR(VLOOKUP($S$553,'TAR FIN'!$A$1:$O$86,15,0)),0,VLOOKUP($S$553,'TAR FIN'!$A$1:$O$86,15,0))</f>
        <v>0</v>
      </c>
      <c r="W553" s="6">
        <f>IF(ISERROR(VLOOKUP($T$553,'TAR FIN'!$A$1:$O$86,15,0)),0,VLOOKUP($T$553,'TAR FIN'!$A$1:$O$86,15,0))</f>
        <v>338.51</v>
      </c>
      <c r="X553" s="6">
        <f>IF(ISERROR(VLOOKUP($U$553,'TAR FIN'!$A$1:$O$86,15,0)),0,VLOOKUP($U$553,'TAR FIN'!$A$1:$O$86,15,0))</f>
        <v>224.01</v>
      </c>
      <c r="Y553" s="6"/>
      <c r="Z553" s="6">
        <f ca="1">('TUSD BE'!$AM$48+'TUSD BF_350'!$AM$48+'TUSD CVA'!$AM$48)*1</f>
        <v>310.49</v>
      </c>
      <c r="AA553" s="6">
        <f ca="1">('TE BE'!$AB$39+'TE BF_350'!$AB$39+'TE CVA'!$AB$39)*1</f>
        <v>262.52999999999997</v>
      </c>
      <c r="AB553" s="6">
        <f>$K$553*$V$553</f>
        <v>0</v>
      </c>
      <c r="AC553" s="6">
        <f>$M$553*$W$553</f>
        <v>380.48524000000003</v>
      </c>
      <c r="AD553" s="6">
        <f>$O$553*$X$553</f>
        <v>251.78724000000003</v>
      </c>
      <c r="AE553" s="6">
        <f>$K$553*$Y$553</f>
        <v>0</v>
      </c>
      <c r="AF553" s="6">
        <f ca="1">$M$553*$Z$553</f>
        <v>348.99076000000002</v>
      </c>
      <c r="AG553" s="6">
        <f ca="1">$O$553*$AA$553</f>
        <v>295.08371999999997</v>
      </c>
    </row>
    <row r="554" spans="1:33" ht="11.25" customHeight="1" x14ac:dyDescent="0.25">
      <c r="A554" s="4" t="s">
        <v>28</v>
      </c>
      <c r="B554" s="4" t="s">
        <v>33</v>
      </c>
      <c r="C554" s="4" t="s">
        <v>23</v>
      </c>
      <c r="D554" s="4" t="s">
        <v>40</v>
      </c>
      <c r="E554" s="4" t="s">
        <v>25</v>
      </c>
      <c r="F554" s="4" t="s">
        <v>25</v>
      </c>
      <c r="G554" s="4" t="s">
        <v>25</v>
      </c>
      <c r="H554" s="4" t="s">
        <v>25</v>
      </c>
      <c r="I554" s="5">
        <v>44593</v>
      </c>
      <c r="J554" s="6">
        <v>0</v>
      </c>
      <c r="K554" s="6">
        <v>0</v>
      </c>
      <c r="L554" s="6">
        <v>33.875999999999998</v>
      </c>
      <c r="M554" s="6">
        <v>33.875999999999998</v>
      </c>
      <c r="N554" s="6">
        <v>33.875999999999998</v>
      </c>
      <c r="O554" s="6">
        <v>33.875999999999998</v>
      </c>
      <c r="P554" s="6">
        <v>40</v>
      </c>
      <c r="Q554" s="4" t="s">
        <v>26</v>
      </c>
      <c r="R554" s="4">
        <v>0</v>
      </c>
      <c r="S554" s="6">
        <v>0</v>
      </c>
      <c r="T554" s="6">
        <v>33</v>
      </c>
      <c r="U554" s="6">
        <v>85</v>
      </c>
      <c r="V554" s="6">
        <f>IF(ISERROR(VLOOKUP($S$554,'TAR FIN'!$A$1:$O$86,15,0)),0,VLOOKUP($S$554,'TAR FIN'!$A$1:$O$86,15,0))</f>
        <v>0</v>
      </c>
      <c r="W554" s="6">
        <f>IF(ISERROR(VLOOKUP($T$554,'TAR FIN'!$A$1:$O$86,15,0)),0,VLOOKUP($T$554,'TAR FIN'!$A$1:$O$86,15,0))</f>
        <v>338.51</v>
      </c>
      <c r="X554" s="6">
        <f>IF(ISERROR(VLOOKUP($U$554,'TAR FIN'!$A$1:$O$86,15,0)),0,VLOOKUP($U$554,'TAR FIN'!$A$1:$O$86,15,0))</f>
        <v>224.01</v>
      </c>
      <c r="Y554" s="6"/>
      <c r="Z554" s="6">
        <f ca="1">('TUSD BE'!$AM$48+'TUSD BF_350'!$AM$48+'TUSD CVA'!$AM$48)*1</f>
        <v>310.49</v>
      </c>
      <c r="AA554" s="6">
        <f ca="1">('TE BE'!$AB$39+'TE BF_350'!$AB$39+'TE CVA'!$AB$39)*1</f>
        <v>262.52999999999997</v>
      </c>
      <c r="AB554" s="6">
        <f>$K$554*$V$554</f>
        <v>0</v>
      </c>
      <c r="AC554" s="6">
        <f>$M$554*$W$554</f>
        <v>11467.364759999999</v>
      </c>
      <c r="AD554" s="6">
        <f>$O$554*$X$554</f>
        <v>7588.5627599999989</v>
      </c>
      <c r="AE554" s="6">
        <f>$K$554*$Y$554</f>
        <v>0</v>
      </c>
      <c r="AF554" s="6">
        <f ca="1">$M$554*$Z$554</f>
        <v>10518.159239999999</v>
      </c>
      <c r="AG554" s="6">
        <f ca="1">$O$554*$AA$554</f>
        <v>8893.4662799999987</v>
      </c>
    </row>
    <row r="555" spans="1:33" ht="11.25" customHeight="1" x14ac:dyDescent="0.25">
      <c r="A555" s="4" t="s">
        <v>21</v>
      </c>
      <c r="B555" s="4" t="s">
        <v>33</v>
      </c>
      <c r="C555" s="4" t="s">
        <v>23</v>
      </c>
      <c r="D555" s="4" t="s">
        <v>40</v>
      </c>
      <c r="E555" s="4" t="s">
        <v>25</v>
      </c>
      <c r="F555" s="4" t="s">
        <v>25</v>
      </c>
      <c r="G555" s="4" t="s">
        <v>25</v>
      </c>
      <c r="H555" s="4" t="s">
        <v>25</v>
      </c>
      <c r="I555" s="5">
        <v>44621</v>
      </c>
      <c r="J555" s="6">
        <v>0</v>
      </c>
      <c r="K555" s="6">
        <v>0</v>
      </c>
      <c r="L555" s="6">
        <v>2283.8829999999998</v>
      </c>
      <c r="M555" s="6">
        <v>2283.8829999999998</v>
      </c>
      <c r="N555" s="6">
        <v>2283.8829999999998</v>
      </c>
      <c r="O555" s="6">
        <v>2283.8829999999998</v>
      </c>
      <c r="P555" s="6">
        <v>2949</v>
      </c>
      <c r="Q555" s="4" t="s">
        <v>26</v>
      </c>
      <c r="R555" s="4">
        <v>0</v>
      </c>
      <c r="S555" s="6">
        <v>0</v>
      </c>
      <c r="T555" s="6">
        <v>33</v>
      </c>
      <c r="U555" s="6">
        <v>85</v>
      </c>
      <c r="V555" s="6">
        <f>IF(ISERROR(VLOOKUP($S$555,'TAR FIN'!$A$1:$O$86,15,0)),0,VLOOKUP($S$555,'TAR FIN'!$A$1:$O$86,15,0))</f>
        <v>0</v>
      </c>
      <c r="W555" s="6">
        <f>IF(ISERROR(VLOOKUP($T$555,'TAR FIN'!$A$1:$O$86,15,0)),0,VLOOKUP($T$555,'TAR FIN'!$A$1:$O$86,15,0))</f>
        <v>338.51</v>
      </c>
      <c r="X555" s="6">
        <f>IF(ISERROR(VLOOKUP($U$555,'TAR FIN'!$A$1:$O$86,15,0)),0,VLOOKUP($U$555,'TAR FIN'!$A$1:$O$86,15,0))</f>
        <v>224.01</v>
      </c>
      <c r="Y555" s="6"/>
      <c r="Z555" s="6">
        <f ca="1">('TUSD BE'!$AM$48+'TUSD BF_350'!$AM$48+'TUSD CVA'!$AM$48)*1</f>
        <v>310.49</v>
      </c>
      <c r="AA555" s="6">
        <f ca="1">('TE BE'!$AB$39+'TE BF_350'!$AB$39+'TE CVA'!$AB$39)*1</f>
        <v>262.52999999999997</v>
      </c>
      <c r="AB555" s="6">
        <f>$K$555*$V$555</f>
        <v>0</v>
      </c>
      <c r="AC555" s="6">
        <f>$M$555*$W$555</f>
        <v>773117.23432999989</v>
      </c>
      <c r="AD555" s="6">
        <f>$O$555*$X$555</f>
        <v>511612.63082999992</v>
      </c>
      <c r="AE555" s="6">
        <f>$K$555*$Y$555</f>
        <v>0</v>
      </c>
      <c r="AF555" s="6">
        <f ca="1">$M$555*$Z$555</f>
        <v>709122.83266999992</v>
      </c>
      <c r="AG555" s="6">
        <f ca="1">$O$555*$AA$555</f>
        <v>599587.80398999993</v>
      </c>
    </row>
    <row r="556" spans="1:33" ht="11.25" customHeight="1" x14ac:dyDescent="0.25">
      <c r="A556" s="4" t="s">
        <v>27</v>
      </c>
      <c r="B556" s="4" t="s">
        <v>33</v>
      </c>
      <c r="C556" s="4" t="s">
        <v>23</v>
      </c>
      <c r="D556" s="4" t="s">
        <v>40</v>
      </c>
      <c r="E556" s="4" t="s">
        <v>25</v>
      </c>
      <c r="F556" s="4" t="s">
        <v>25</v>
      </c>
      <c r="G556" s="4" t="s">
        <v>25</v>
      </c>
      <c r="H556" s="4" t="s">
        <v>25</v>
      </c>
      <c r="I556" s="5">
        <v>44621</v>
      </c>
      <c r="J556" s="6">
        <v>0</v>
      </c>
      <c r="K556" s="6">
        <v>0</v>
      </c>
      <c r="L556" s="6">
        <v>1.954</v>
      </c>
      <c r="M556" s="6">
        <v>1.954</v>
      </c>
      <c r="N556" s="6">
        <v>1.954</v>
      </c>
      <c r="O556" s="6">
        <v>1.954</v>
      </c>
      <c r="P556" s="6">
        <v>0</v>
      </c>
      <c r="Q556" s="4" t="s">
        <v>26</v>
      </c>
      <c r="R556" s="4">
        <v>0</v>
      </c>
      <c r="S556" s="6">
        <v>0</v>
      </c>
      <c r="T556" s="6">
        <v>33</v>
      </c>
      <c r="U556" s="6">
        <v>85</v>
      </c>
      <c r="V556" s="6">
        <f>IF(ISERROR(VLOOKUP($S$556,'TAR FIN'!$A$1:$O$86,15,0)),0,VLOOKUP($S$556,'TAR FIN'!$A$1:$O$86,15,0))</f>
        <v>0</v>
      </c>
      <c r="W556" s="6">
        <f>IF(ISERROR(VLOOKUP($T$556,'TAR FIN'!$A$1:$O$86,15,0)),0,VLOOKUP($T$556,'TAR FIN'!$A$1:$O$86,15,0))</f>
        <v>338.51</v>
      </c>
      <c r="X556" s="6">
        <f>IF(ISERROR(VLOOKUP($U$556,'TAR FIN'!$A$1:$O$86,15,0)),0,VLOOKUP($U$556,'TAR FIN'!$A$1:$O$86,15,0))</f>
        <v>224.01</v>
      </c>
      <c r="Y556" s="6"/>
      <c r="Z556" s="6">
        <f ca="1">('TUSD BE'!$AM$48+'TUSD BF_350'!$AM$48+'TUSD CVA'!$AM$48)*1</f>
        <v>310.49</v>
      </c>
      <c r="AA556" s="6">
        <f ca="1">('TE BE'!$AB$39+'TE BF_350'!$AB$39+'TE CVA'!$AB$39)*1</f>
        <v>262.52999999999997</v>
      </c>
      <c r="AB556" s="6">
        <f>$K$556*$V$556</f>
        <v>0</v>
      </c>
      <c r="AC556" s="6">
        <f>$M$556*$W$556</f>
        <v>661.44853999999998</v>
      </c>
      <c r="AD556" s="6">
        <f>$O$556*$X$556</f>
        <v>437.71553999999998</v>
      </c>
      <c r="AE556" s="6">
        <f>$K$556*$Y$556</f>
        <v>0</v>
      </c>
      <c r="AF556" s="6">
        <f ca="1">$M$556*$Z$556</f>
        <v>606.69745999999998</v>
      </c>
      <c r="AG556" s="6">
        <f ca="1">$O$556*$AA$556</f>
        <v>512.98361999999997</v>
      </c>
    </row>
    <row r="557" spans="1:33" ht="11.25" customHeight="1" x14ac:dyDescent="0.25">
      <c r="A557" s="4" t="s">
        <v>28</v>
      </c>
      <c r="B557" s="4" t="s">
        <v>33</v>
      </c>
      <c r="C557" s="4" t="s">
        <v>23</v>
      </c>
      <c r="D557" s="4" t="s">
        <v>40</v>
      </c>
      <c r="E557" s="4" t="s">
        <v>25</v>
      </c>
      <c r="F557" s="4" t="s">
        <v>25</v>
      </c>
      <c r="G557" s="4" t="s">
        <v>25</v>
      </c>
      <c r="H557" s="4" t="s">
        <v>25</v>
      </c>
      <c r="I557" s="5">
        <v>44621</v>
      </c>
      <c r="J557" s="6">
        <v>0</v>
      </c>
      <c r="K557" s="6">
        <v>0</v>
      </c>
      <c r="L557" s="6">
        <v>48.832000000000001</v>
      </c>
      <c r="M557" s="6">
        <v>48.832000000000001</v>
      </c>
      <c r="N557" s="6">
        <v>48.832000000000001</v>
      </c>
      <c r="O557" s="6">
        <v>48.832000000000001</v>
      </c>
      <c r="P557" s="6">
        <v>44</v>
      </c>
      <c r="Q557" s="4" t="s">
        <v>26</v>
      </c>
      <c r="R557" s="4">
        <v>0</v>
      </c>
      <c r="S557" s="6">
        <v>0</v>
      </c>
      <c r="T557" s="6">
        <v>33</v>
      </c>
      <c r="U557" s="6">
        <v>85</v>
      </c>
      <c r="V557" s="6">
        <f>IF(ISERROR(VLOOKUP($S$557,'TAR FIN'!$A$1:$O$86,15,0)),0,VLOOKUP($S$557,'TAR FIN'!$A$1:$O$86,15,0))</f>
        <v>0</v>
      </c>
      <c r="W557" s="6">
        <f>IF(ISERROR(VLOOKUP($T$557,'TAR FIN'!$A$1:$O$86,15,0)),0,VLOOKUP($T$557,'TAR FIN'!$A$1:$O$86,15,0))</f>
        <v>338.51</v>
      </c>
      <c r="X557" s="6">
        <f>IF(ISERROR(VLOOKUP($U$557,'TAR FIN'!$A$1:$O$86,15,0)),0,VLOOKUP($U$557,'TAR FIN'!$A$1:$O$86,15,0))</f>
        <v>224.01</v>
      </c>
      <c r="Y557" s="6"/>
      <c r="Z557" s="6">
        <f ca="1">('TUSD BE'!$AM$48+'TUSD BF_350'!$AM$48+'TUSD CVA'!$AM$48)*1</f>
        <v>310.49</v>
      </c>
      <c r="AA557" s="6">
        <f ca="1">('TE BE'!$AB$39+'TE BF_350'!$AB$39+'TE CVA'!$AB$39)*1</f>
        <v>262.52999999999997</v>
      </c>
      <c r="AB557" s="6">
        <f>$K$557*$V$557</f>
        <v>0</v>
      </c>
      <c r="AC557" s="6">
        <f>$M$557*$W$557</f>
        <v>16530.120319999998</v>
      </c>
      <c r="AD557" s="6">
        <f>$O$557*$X$557</f>
        <v>10938.856319999999</v>
      </c>
      <c r="AE557" s="6">
        <f>$K$557*$Y$557</f>
        <v>0</v>
      </c>
      <c r="AF557" s="6">
        <f ca="1">$M$557*$Z$557</f>
        <v>15161.847680000001</v>
      </c>
      <c r="AG557" s="6">
        <f ca="1">$O$557*$AA$557</f>
        <v>12819.864959999999</v>
      </c>
    </row>
    <row r="558" spans="1:33" ht="11.25" customHeight="1" x14ac:dyDescent="0.25">
      <c r="A558" s="4" t="s">
        <v>21</v>
      </c>
      <c r="B558" s="4" t="s">
        <v>33</v>
      </c>
      <c r="C558" s="4" t="s">
        <v>23</v>
      </c>
      <c r="D558" s="4" t="s">
        <v>40</v>
      </c>
      <c r="E558" s="4" t="s">
        <v>25</v>
      </c>
      <c r="F558" s="4" t="s">
        <v>25</v>
      </c>
      <c r="G558" s="4" t="s">
        <v>25</v>
      </c>
      <c r="H558" s="4" t="s">
        <v>25</v>
      </c>
      <c r="I558" s="5">
        <v>44652</v>
      </c>
      <c r="J558" s="6">
        <v>0</v>
      </c>
      <c r="K558" s="6">
        <v>0</v>
      </c>
      <c r="L558" s="6">
        <v>2069.9580000000001</v>
      </c>
      <c r="M558" s="6">
        <v>2069.9580000000001</v>
      </c>
      <c r="N558" s="6">
        <v>2069.9580000000001</v>
      </c>
      <c r="O558" s="6">
        <v>2069.9580000000001</v>
      </c>
      <c r="P558" s="6">
        <v>2966</v>
      </c>
      <c r="Q558" s="4" t="s">
        <v>26</v>
      </c>
      <c r="R558" s="4">
        <v>0</v>
      </c>
      <c r="S558" s="6">
        <v>0</v>
      </c>
      <c r="T558" s="6">
        <v>33</v>
      </c>
      <c r="U558" s="6">
        <v>85</v>
      </c>
      <c r="V558" s="6">
        <f>IF(ISERROR(VLOOKUP($S$558,'TAR FIN'!$A$1:$O$86,15,0)),0,VLOOKUP($S$558,'TAR FIN'!$A$1:$O$86,15,0))</f>
        <v>0</v>
      </c>
      <c r="W558" s="6">
        <f>IF(ISERROR(VLOOKUP($T$558,'TAR FIN'!$A$1:$O$86,15,0)),0,VLOOKUP($T$558,'TAR FIN'!$A$1:$O$86,15,0))</f>
        <v>338.51</v>
      </c>
      <c r="X558" s="6">
        <f>IF(ISERROR(VLOOKUP($U$558,'TAR FIN'!$A$1:$O$86,15,0)),0,VLOOKUP($U$558,'TAR FIN'!$A$1:$O$86,15,0))</f>
        <v>224.01</v>
      </c>
      <c r="Y558" s="6"/>
      <c r="Z558" s="6">
        <f ca="1">('TUSD BE'!$AM$48+'TUSD BF_350'!$AM$48+'TUSD CVA'!$AM$48)*1</f>
        <v>310.49</v>
      </c>
      <c r="AA558" s="6">
        <f ca="1">('TE BE'!$AB$39+'TE BF_350'!$AB$39+'TE CVA'!$AB$39)*1</f>
        <v>262.52999999999997</v>
      </c>
      <c r="AB558" s="6">
        <f>$K$558*$V$558</f>
        <v>0</v>
      </c>
      <c r="AC558" s="6">
        <f>$M$558*$W$558</f>
        <v>700701.48257999995</v>
      </c>
      <c r="AD558" s="6">
        <f>$O$558*$X$558</f>
        <v>463691.29158000002</v>
      </c>
      <c r="AE558" s="6">
        <f>$K$558*$Y$558</f>
        <v>0</v>
      </c>
      <c r="AF558" s="6">
        <f ca="1">$M$558*$Z$558</f>
        <v>642701.25942000002</v>
      </c>
      <c r="AG558" s="6">
        <f ca="1">$O$558*$AA$558</f>
        <v>543426.07374000002</v>
      </c>
    </row>
    <row r="559" spans="1:33" ht="11.25" customHeight="1" x14ac:dyDescent="0.25">
      <c r="A559" s="4" t="s">
        <v>27</v>
      </c>
      <c r="B559" s="4" t="s">
        <v>33</v>
      </c>
      <c r="C559" s="4" t="s">
        <v>23</v>
      </c>
      <c r="D559" s="4" t="s">
        <v>40</v>
      </c>
      <c r="E559" s="4" t="s">
        <v>25</v>
      </c>
      <c r="F559" s="4" t="s">
        <v>25</v>
      </c>
      <c r="G559" s="4" t="s">
        <v>25</v>
      </c>
      <c r="H559" s="4" t="s">
        <v>25</v>
      </c>
      <c r="I559" s="5">
        <v>44652</v>
      </c>
      <c r="J559" s="6">
        <v>0</v>
      </c>
      <c r="K559" s="6">
        <v>0</v>
      </c>
      <c r="L559" s="6">
        <v>0.53100000000000003</v>
      </c>
      <c r="M559" s="6">
        <v>0.53100000000000003</v>
      </c>
      <c r="N559" s="6">
        <v>0.53100000000000003</v>
      </c>
      <c r="O559" s="6">
        <v>0.53100000000000003</v>
      </c>
      <c r="P559" s="6">
        <v>0</v>
      </c>
      <c r="Q559" s="4" t="s">
        <v>26</v>
      </c>
      <c r="R559" s="4">
        <v>0</v>
      </c>
      <c r="S559" s="6">
        <v>0</v>
      </c>
      <c r="T559" s="6">
        <v>33</v>
      </c>
      <c r="U559" s="6">
        <v>85</v>
      </c>
      <c r="V559" s="6">
        <f>IF(ISERROR(VLOOKUP($S$559,'TAR FIN'!$A$1:$O$86,15,0)),0,VLOOKUP($S$559,'TAR FIN'!$A$1:$O$86,15,0))</f>
        <v>0</v>
      </c>
      <c r="W559" s="6">
        <f>IF(ISERROR(VLOOKUP($T$559,'TAR FIN'!$A$1:$O$86,15,0)),0,VLOOKUP($T$559,'TAR FIN'!$A$1:$O$86,15,0))</f>
        <v>338.51</v>
      </c>
      <c r="X559" s="6">
        <f>IF(ISERROR(VLOOKUP($U$559,'TAR FIN'!$A$1:$O$86,15,0)),0,VLOOKUP($U$559,'TAR FIN'!$A$1:$O$86,15,0))</f>
        <v>224.01</v>
      </c>
      <c r="Y559" s="6"/>
      <c r="Z559" s="6">
        <f ca="1">('TUSD BE'!$AM$48+'TUSD BF_350'!$AM$48+'TUSD CVA'!$AM$48)*1</f>
        <v>310.49</v>
      </c>
      <c r="AA559" s="6">
        <f ca="1">('TE BE'!$AB$39+'TE BF_350'!$AB$39+'TE CVA'!$AB$39)*1</f>
        <v>262.52999999999997</v>
      </c>
      <c r="AB559" s="6">
        <f>$K$559*$V$559</f>
        <v>0</v>
      </c>
      <c r="AC559" s="6">
        <f>$M$559*$W$559</f>
        <v>179.74880999999999</v>
      </c>
      <c r="AD559" s="6">
        <f>$O$559*$X$559</f>
        <v>118.94931</v>
      </c>
      <c r="AE559" s="6">
        <f>$K$559*$Y$559</f>
        <v>0</v>
      </c>
      <c r="AF559" s="6">
        <f ca="1">$M$559*$Z$559</f>
        <v>164.87019000000001</v>
      </c>
      <c r="AG559" s="6">
        <f ca="1">$O$559*$AA$559</f>
        <v>139.40342999999999</v>
      </c>
    </row>
    <row r="560" spans="1:33" ht="11.25" customHeight="1" x14ac:dyDescent="0.25">
      <c r="A560" s="4" t="s">
        <v>28</v>
      </c>
      <c r="B560" s="4" t="s">
        <v>33</v>
      </c>
      <c r="C560" s="4" t="s">
        <v>23</v>
      </c>
      <c r="D560" s="4" t="s">
        <v>40</v>
      </c>
      <c r="E560" s="4" t="s">
        <v>25</v>
      </c>
      <c r="F560" s="4" t="s">
        <v>25</v>
      </c>
      <c r="G560" s="4" t="s">
        <v>25</v>
      </c>
      <c r="H560" s="4" t="s">
        <v>25</v>
      </c>
      <c r="I560" s="5">
        <v>44652</v>
      </c>
      <c r="J560" s="6">
        <v>0</v>
      </c>
      <c r="K560" s="6">
        <v>0</v>
      </c>
      <c r="L560" s="6">
        <v>52.225000000000001</v>
      </c>
      <c r="M560" s="6">
        <v>52.225000000000001</v>
      </c>
      <c r="N560" s="6">
        <v>52.225000000000001</v>
      </c>
      <c r="O560" s="6">
        <v>52.225000000000001</v>
      </c>
      <c r="P560" s="6">
        <v>47</v>
      </c>
      <c r="Q560" s="4" t="s">
        <v>26</v>
      </c>
      <c r="R560" s="4">
        <v>0</v>
      </c>
      <c r="S560" s="6">
        <v>0</v>
      </c>
      <c r="T560" s="6">
        <v>33</v>
      </c>
      <c r="U560" s="6">
        <v>85</v>
      </c>
      <c r="V560" s="6">
        <f>IF(ISERROR(VLOOKUP($S$560,'TAR FIN'!$A$1:$O$86,15,0)),0,VLOOKUP($S$560,'TAR FIN'!$A$1:$O$86,15,0))</f>
        <v>0</v>
      </c>
      <c r="W560" s="6">
        <f>IF(ISERROR(VLOOKUP($T$560,'TAR FIN'!$A$1:$O$86,15,0)),0,VLOOKUP($T$560,'TAR FIN'!$A$1:$O$86,15,0))</f>
        <v>338.51</v>
      </c>
      <c r="X560" s="6">
        <f>IF(ISERROR(VLOOKUP($U$560,'TAR FIN'!$A$1:$O$86,15,0)),0,VLOOKUP($U$560,'TAR FIN'!$A$1:$O$86,15,0))</f>
        <v>224.01</v>
      </c>
      <c r="Y560" s="6"/>
      <c r="Z560" s="6">
        <f ca="1">('TUSD BE'!$AM$48+'TUSD BF_350'!$AM$48+'TUSD CVA'!$AM$48)*1</f>
        <v>310.49</v>
      </c>
      <c r="AA560" s="6">
        <f ca="1">('TE BE'!$AB$39+'TE BF_350'!$AB$39+'TE CVA'!$AB$39)*1</f>
        <v>262.52999999999997</v>
      </c>
      <c r="AB560" s="6">
        <f>$K$560*$V$560</f>
        <v>0</v>
      </c>
      <c r="AC560" s="6">
        <f>$M$560*$W$560</f>
        <v>17678.68475</v>
      </c>
      <c r="AD560" s="6">
        <f>$O$560*$X$560</f>
        <v>11698.92225</v>
      </c>
      <c r="AE560" s="6">
        <f>$K$560*$Y$560</f>
        <v>0</v>
      </c>
      <c r="AF560" s="6">
        <f ca="1">$M$560*$Z$560</f>
        <v>16215.340250000001</v>
      </c>
      <c r="AG560" s="6">
        <f ca="1">$O$560*$AA$560</f>
        <v>13710.629249999998</v>
      </c>
    </row>
    <row r="561" spans="1:33" ht="11.25" customHeight="1" x14ac:dyDescent="0.25">
      <c r="A561" s="4" t="s">
        <v>21</v>
      </c>
      <c r="B561" s="4" t="s">
        <v>33</v>
      </c>
      <c r="C561" s="4" t="s">
        <v>23</v>
      </c>
      <c r="D561" s="4" t="s">
        <v>40</v>
      </c>
      <c r="E561" s="4" t="s">
        <v>25</v>
      </c>
      <c r="F561" s="4" t="s">
        <v>25</v>
      </c>
      <c r="G561" s="4" t="s">
        <v>25</v>
      </c>
      <c r="H561" s="4" t="s">
        <v>25</v>
      </c>
      <c r="I561" s="5">
        <v>44682</v>
      </c>
      <c r="J561" s="6">
        <v>0</v>
      </c>
      <c r="K561" s="6">
        <v>0</v>
      </c>
      <c r="L561" s="6">
        <v>1746.81</v>
      </c>
      <c r="M561" s="6">
        <v>1746.81</v>
      </c>
      <c r="N561" s="6">
        <v>1746.81</v>
      </c>
      <c r="O561" s="6">
        <v>1746.81</v>
      </c>
      <c r="P561" s="6">
        <v>2962</v>
      </c>
      <c r="Q561" s="4" t="s">
        <v>26</v>
      </c>
      <c r="R561" s="4">
        <v>0</v>
      </c>
      <c r="S561" s="6">
        <v>0</v>
      </c>
      <c r="T561" s="6">
        <v>33</v>
      </c>
      <c r="U561" s="6">
        <v>85</v>
      </c>
      <c r="V561" s="6">
        <f>IF(ISERROR(VLOOKUP($S$561,'TAR FIN'!$A$1:$O$86,15,0)),0,VLOOKUP($S$561,'TAR FIN'!$A$1:$O$86,15,0))</f>
        <v>0</v>
      </c>
      <c r="W561" s="6">
        <f>IF(ISERROR(VLOOKUP($T$561,'TAR FIN'!$A$1:$O$86,15,0)),0,VLOOKUP($T$561,'TAR FIN'!$A$1:$O$86,15,0))</f>
        <v>338.51</v>
      </c>
      <c r="X561" s="6">
        <f>IF(ISERROR(VLOOKUP($U$561,'TAR FIN'!$A$1:$O$86,15,0)),0,VLOOKUP($U$561,'TAR FIN'!$A$1:$O$86,15,0))</f>
        <v>224.01</v>
      </c>
      <c r="Y561" s="6"/>
      <c r="Z561" s="6">
        <f ca="1">('TUSD BE'!$AM$48+'TUSD BF_350'!$AM$48+'TUSD CVA'!$AM$48)*1</f>
        <v>310.49</v>
      </c>
      <c r="AA561" s="6">
        <f ca="1">('TE BE'!$AB$39+'TE BF_350'!$AB$39+'TE CVA'!$AB$39)*1</f>
        <v>262.52999999999997</v>
      </c>
      <c r="AB561" s="6">
        <f>$K$561*$V$561</f>
        <v>0</v>
      </c>
      <c r="AC561" s="6">
        <f>$M$561*$W$561</f>
        <v>591312.6531</v>
      </c>
      <c r="AD561" s="6">
        <f>$O$561*$X$561</f>
        <v>391302.9081</v>
      </c>
      <c r="AE561" s="6">
        <f>$K$561*$Y$561</f>
        <v>0</v>
      </c>
      <c r="AF561" s="6">
        <f ca="1">$M$561*$Z$561</f>
        <v>542367.03689999995</v>
      </c>
      <c r="AG561" s="6">
        <f ca="1">$O$561*$AA$561</f>
        <v>458590.02929999994</v>
      </c>
    </row>
    <row r="562" spans="1:33" ht="11.25" customHeight="1" x14ac:dyDescent="0.25">
      <c r="A562" s="4" t="s">
        <v>27</v>
      </c>
      <c r="B562" s="4" t="s">
        <v>33</v>
      </c>
      <c r="C562" s="4" t="s">
        <v>23</v>
      </c>
      <c r="D562" s="4" t="s">
        <v>40</v>
      </c>
      <c r="E562" s="4" t="s">
        <v>25</v>
      </c>
      <c r="F562" s="4" t="s">
        <v>25</v>
      </c>
      <c r="G562" s="4" t="s">
        <v>25</v>
      </c>
      <c r="H562" s="4" t="s">
        <v>25</v>
      </c>
      <c r="I562" s="5">
        <v>44682</v>
      </c>
      <c r="J562" s="6">
        <v>0</v>
      </c>
      <c r="K562" s="6">
        <v>0</v>
      </c>
      <c r="L562" s="6">
        <v>-1.7529999999999999</v>
      </c>
      <c r="M562" s="6">
        <v>-1.7529999999999999</v>
      </c>
      <c r="N562" s="6">
        <v>-1.7529999999999999</v>
      </c>
      <c r="O562" s="6">
        <v>-1.7529999999999999</v>
      </c>
      <c r="P562" s="6">
        <v>0</v>
      </c>
      <c r="Q562" s="4" t="s">
        <v>26</v>
      </c>
      <c r="R562" s="4">
        <v>0</v>
      </c>
      <c r="S562" s="6">
        <v>0</v>
      </c>
      <c r="T562" s="6">
        <v>33</v>
      </c>
      <c r="U562" s="6">
        <v>85</v>
      </c>
      <c r="V562" s="6">
        <f>IF(ISERROR(VLOOKUP($S$562,'TAR FIN'!$A$1:$O$86,15,0)),0,VLOOKUP($S$562,'TAR FIN'!$A$1:$O$86,15,0))</f>
        <v>0</v>
      </c>
      <c r="W562" s="6">
        <f>IF(ISERROR(VLOOKUP($T$562,'TAR FIN'!$A$1:$O$86,15,0)),0,VLOOKUP($T$562,'TAR FIN'!$A$1:$O$86,15,0))</f>
        <v>338.51</v>
      </c>
      <c r="X562" s="6">
        <f>IF(ISERROR(VLOOKUP($U$562,'TAR FIN'!$A$1:$O$86,15,0)),0,VLOOKUP($U$562,'TAR FIN'!$A$1:$O$86,15,0))</f>
        <v>224.01</v>
      </c>
      <c r="Y562" s="6"/>
      <c r="Z562" s="6">
        <f ca="1">('TUSD BE'!$AM$48+'TUSD BF_350'!$AM$48+'TUSD CVA'!$AM$48)*1</f>
        <v>310.49</v>
      </c>
      <c r="AA562" s="6">
        <f ca="1">('TE BE'!$AB$39+'TE BF_350'!$AB$39+'TE CVA'!$AB$39)*1</f>
        <v>262.52999999999997</v>
      </c>
      <c r="AB562" s="6">
        <f>$K$562*$V$562</f>
        <v>0</v>
      </c>
      <c r="AC562" s="6">
        <f>$M$562*$W$562</f>
        <v>-593.40802999999994</v>
      </c>
      <c r="AD562" s="6">
        <f>$O$562*$X$562</f>
        <v>-392.68952999999993</v>
      </c>
      <c r="AE562" s="6">
        <f>$K$562*$Y$562</f>
        <v>0</v>
      </c>
      <c r="AF562" s="6">
        <f ca="1">$M$562*$Z$562</f>
        <v>-544.28896999999995</v>
      </c>
      <c r="AG562" s="6">
        <f ca="1">$O$562*$AA$562</f>
        <v>-460.21508999999992</v>
      </c>
    </row>
    <row r="563" spans="1:33" ht="11.25" customHeight="1" x14ac:dyDescent="0.25">
      <c r="A563" s="4" t="s">
        <v>28</v>
      </c>
      <c r="B563" s="4" t="s">
        <v>33</v>
      </c>
      <c r="C563" s="4" t="s">
        <v>23</v>
      </c>
      <c r="D563" s="4" t="s">
        <v>40</v>
      </c>
      <c r="E563" s="4" t="s">
        <v>25</v>
      </c>
      <c r="F563" s="4" t="s">
        <v>25</v>
      </c>
      <c r="G563" s="4" t="s">
        <v>25</v>
      </c>
      <c r="H563" s="4" t="s">
        <v>25</v>
      </c>
      <c r="I563" s="5">
        <v>44682</v>
      </c>
      <c r="J563" s="6">
        <v>0</v>
      </c>
      <c r="K563" s="6">
        <v>0</v>
      </c>
      <c r="L563" s="6">
        <v>62.741</v>
      </c>
      <c r="M563" s="6">
        <v>62.741</v>
      </c>
      <c r="N563" s="6">
        <v>62.741</v>
      </c>
      <c r="O563" s="6">
        <v>62.741</v>
      </c>
      <c r="P563" s="6">
        <v>52</v>
      </c>
      <c r="Q563" s="4" t="s">
        <v>26</v>
      </c>
      <c r="R563" s="4">
        <v>0</v>
      </c>
      <c r="S563" s="6">
        <v>0</v>
      </c>
      <c r="T563" s="6">
        <v>33</v>
      </c>
      <c r="U563" s="6">
        <v>85</v>
      </c>
      <c r="V563" s="6">
        <f>IF(ISERROR(VLOOKUP($S$563,'TAR FIN'!$A$1:$O$86,15,0)),0,VLOOKUP($S$563,'TAR FIN'!$A$1:$O$86,15,0))</f>
        <v>0</v>
      </c>
      <c r="W563" s="6">
        <f>IF(ISERROR(VLOOKUP($T$563,'TAR FIN'!$A$1:$O$86,15,0)),0,VLOOKUP($T$563,'TAR FIN'!$A$1:$O$86,15,0))</f>
        <v>338.51</v>
      </c>
      <c r="X563" s="6">
        <f>IF(ISERROR(VLOOKUP($U$563,'TAR FIN'!$A$1:$O$86,15,0)),0,VLOOKUP($U$563,'TAR FIN'!$A$1:$O$86,15,0))</f>
        <v>224.01</v>
      </c>
      <c r="Y563" s="6"/>
      <c r="Z563" s="6">
        <f ca="1">('TUSD BE'!$AM$48+'TUSD BF_350'!$AM$48+'TUSD CVA'!$AM$48)*1</f>
        <v>310.49</v>
      </c>
      <c r="AA563" s="6">
        <f ca="1">('TE BE'!$AB$39+'TE BF_350'!$AB$39+'TE CVA'!$AB$39)*1</f>
        <v>262.52999999999997</v>
      </c>
      <c r="AB563" s="6">
        <f>$K$563*$V$563</f>
        <v>0</v>
      </c>
      <c r="AC563" s="6">
        <f>$M$563*$W$563</f>
        <v>21238.455910000001</v>
      </c>
      <c r="AD563" s="6">
        <f>$O$563*$X$563</f>
        <v>14054.61141</v>
      </c>
      <c r="AE563" s="6">
        <f>$K$563*$Y$563</f>
        <v>0</v>
      </c>
      <c r="AF563" s="6">
        <f ca="1">$M$563*$Z$563</f>
        <v>19480.453089999999</v>
      </c>
      <c r="AG563" s="6">
        <f ca="1">$O$563*$AA$563</f>
        <v>16471.39473</v>
      </c>
    </row>
    <row r="564" spans="1:33" ht="11.25" customHeight="1" x14ac:dyDescent="0.25">
      <c r="A564" s="4" t="s">
        <v>21</v>
      </c>
      <c r="B564" s="4" t="s">
        <v>33</v>
      </c>
      <c r="C564" s="4" t="s">
        <v>23</v>
      </c>
      <c r="D564" s="4" t="s">
        <v>40</v>
      </c>
      <c r="E564" s="4" t="s">
        <v>25</v>
      </c>
      <c r="F564" s="4" t="s">
        <v>25</v>
      </c>
      <c r="G564" s="4" t="s">
        <v>25</v>
      </c>
      <c r="H564" s="4" t="s">
        <v>25</v>
      </c>
      <c r="I564" s="5">
        <v>44713</v>
      </c>
      <c r="J564" s="6">
        <v>0</v>
      </c>
      <c r="K564" s="6">
        <v>0</v>
      </c>
      <c r="L564" s="6">
        <v>1601.3679999999999</v>
      </c>
      <c r="M564" s="6">
        <v>1601.3679999999999</v>
      </c>
      <c r="N564" s="6">
        <v>1601.3679999999999</v>
      </c>
      <c r="O564" s="6">
        <v>1601.3679999999999</v>
      </c>
      <c r="P564" s="6">
        <v>2964</v>
      </c>
      <c r="Q564" s="4" t="s">
        <v>26</v>
      </c>
      <c r="R564" s="4">
        <v>0</v>
      </c>
      <c r="S564" s="6">
        <v>0</v>
      </c>
      <c r="T564" s="6">
        <v>33</v>
      </c>
      <c r="U564" s="6">
        <v>85</v>
      </c>
      <c r="V564" s="6">
        <f>IF(ISERROR(VLOOKUP($S$564,'TAR FIN'!$A$1:$O$86,15,0)),0,VLOOKUP($S$564,'TAR FIN'!$A$1:$O$86,15,0))</f>
        <v>0</v>
      </c>
      <c r="W564" s="6">
        <f>IF(ISERROR(VLOOKUP($T$564,'TAR FIN'!$A$1:$O$86,15,0)),0,VLOOKUP($T$564,'TAR FIN'!$A$1:$O$86,15,0))</f>
        <v>338.51</v>
      </c>
      <c r="X564" s="6">
        <f>IF(ISERROR(VLOOKUP($U$564,'TAR FIN'!$A$1:$O$86,15,0)),0,VLOOKUP($U$564,'TAR FIN'!$A$1:$O$86,15,0))</f>
        <v>224.01</v>
      </c>
      <c r="Y564" s="6"/>
      <c r="Z564" s="6">
        <f ca="1">('TUSD BE'!$AM$48+'TUSD BF_350'!$AM$48+'TUSD CVA'!$AM$48)*1</f>
        <v>310.49</v>
      </c>
      <c r="AA564" s="6">
        <f ca="1">('TE BE'!$AB$39+'TE BF_350'!$AB$39+'TE CVA'!$AB$39)*1</f>
        <v>262.52999999999997</v>
      </c>
      <c r="AB564" s="6">
        <f>$K$564*$V$564</f>
        <v>0</v>
      </c>
      <c r="AC564" s="6">
        <f>$M$564*$W$564</f>
        <v>542079.08167999994</v>
      </c>
      <c r="AD564" s="6">
        <f>$O$564*$X$564</f>
        <v>358722.44567999995</v>
      </c>
      <c r="AE564" s="6">
        <f>$K$564*$Y$564</f>
        <v>0</v>
      </c>
      <c r="AF564" s="6">
        <f ca="1">$M$564*$Z$564</f>
        <v>497208.75031999999</v>
      </c>
      <c r="AG564" s="6">
        <f ca="1">$O$564*$AA$564</f>
        <v>420407.14103999996</v>
      </c>
    </row>
    <row r="565" spans="1:33" ht="11.25" customHeight="1" x14ac:dyDescent="0.25">
      <c r="A565" s="4" t="s">
        <v>28</v>
      </c>
      <c r="B565" s="4" t="s">
        <v>33</v>
      </c>
      <c r="C565" s="4" t="s">
        <v>23</v>
      </c>
      <c r="D565" s="4" t="s">
        <v>40</v>
      </c>
      <c r="E565" s="4" t="s">
        <v>25</v>
      </c>
      <c r="F565" s="4" t="s">
        <v>25</v>
      </c>
      <c r="G565" s="4" t="s">
        <v>25</v>
      </c>
      <c r="H565" s="4" t="s">
        <v>25</v>
      </c>
      <c r="I565" s="5">
        <v>44713</v>
      </c>
      <c r="J565" s="6">
        <v>0</v>
      </c>
      <c r="K565" s="6">
        <v>0</v>
      </c>
      <c r="L565" s="6">
        <v>77.203999999999994</v>
      </c>
      <c r="M565" s="6">
        <v>77.203999999999994</v>
      </c>
      <c r="N565" s="6">
        <v>77.203999999999994</v>
      </c>
      <c r="O565" s="6">
        <v>77.203999999999994</v>
      </c>
      <c r="P565" s="6">
        <v>57</v>
      </c>
      <c r="Q565" s="4" t="s">
        <v>26</v>
      </c>
      <c r="R565" s="4">
        <v>0</v>
      </c>
      <c r="S565" s="6">
        <v>0</v>
      </c>
      <c r="T565" s="6">
        <v>33</v>
      </c>
      <c r="U565" s="6">
        <v>85</v>
      </c>
      <c r="V565" s="6">
        <f>IF(ISERROR(VLOOKUP($S$565,'TAR FIN'!$A$1:$O$86,15,0)),0,VLOOKUP($S$565,'TAR FIN'!$A$1:$O$86,15,0))</f>
        <v>0</v>
      </c>
      <c r="W565" s="6">
        <f>IF(ISERROR(VLOOKUP($T$565,'TAR FIN'!$A$1:$O$86,15,0)),0,VLOOKUP($T$565,'TAR FIN'!$A$1:$O$86,15,0))</f>
        <v>338.51</v>
      </c>
      <c r="X565" s="6">
        <f>IF(ISERROR(VLOOKUP($U$565,'TAR FIN'!$A$1:$O$86,15,0)),0,VLOOKUP($U$565,'TAR FIN'!$A$1:$O$86,15,0))</f>
        <v>224.01</v>
      </c>
      <c r="Y565" s="6"/>
      <c r="Z565" s="6">
        <f ca="1">('TUSD BE'!$AM$48+'TUSD BF_350'!$AM$48+'TUSD CVA'!$AM$48)*1</f>
        <v>310.49</v>
      </c>
      <c r="AA565" s="6">
        <f ca="1">('TE BE'!$AB$39+'TE BF_350'!$AB$39+'TE CVA'!$AB$39)*1</f>
        <v>262.52999999999997</v>
      </c>
      <c r="AB565" s="6">
        <f>$K$565*$V$565</f>
        <v>0</v>
      </c>
      <c r="AC565" s="6">
        <f>$M$565*$W$565</f>
        <v>26134.326039999996</v>
      </c>
      <c r="AD565" s="6">
        <f>$O$565*$X$565</f>
        <v>17294.468039999996</v>
      </c>
      <c r="AE565" s="6">
        <f>$K$565*$Y$565</f>
        <v>0</v>
      </c>
      <c r="AF565" s="6">
        <f ca="1">$M$565*$Z$565</f>
        <v>23971.069959999997</v>
      </c>
      <c r="AG565" s="6">
        <f ca="1">$O$565*$AA$565</f>
        <v>20268.366119999995</v>
      </c>
    </row>
    <row r="566" spans="1:33" ht="11.25" customHeight="1" x14ac:dyDescent="0.25">
      <c r="A566" s="4" t="s">
        <v>55</v>
      </c>
      <c r="B566" s="4" t="s">
        <v>33</v>
      </c>
      <c r="C566" s="4" t="s">
        <v>23</v>
      </c>
      <c r="D566" s="4" t="s">
        <v>40</v>
      </c>
      <c r="E566" s="4" t="s">
        <v>25</v>
      </c>
      <c r="F566" s="4" t="s">
        <v>25</v>
      </c>
      <c r="G566" s="4" t="s">
        <v>25</v>
      </c>
      <c r="H566" s="4" t="s">
        <v>25</v>
      </c>
      <c r="I566" s="5">
        <v>44743</v>
      </c>
      <c r="J566" s="6">
        <v>0</v>
      </c>
      <c r="K566" s="6">
        <v>0</v>
      </c>
      <c r="L566" s="6">
        <v>1601.3679999999999</v>
      </c>
      <c r="M566" s="6">
        <v>1601.3679999999999</v>
      </c>
      <c r="N566" s="6">
        <v>1601.3679999999999</v>
      </c>
      <c r="O566" s="6">
        <v>1601.3679999999999</v>
      </c>
      <c r="P566" s="6">
        <v>2964</v>
      </c>
      <c r="Q566" s="4" t="s">
        <v>26</v>
      </c>
      <c r="R566" s="4">
        <v>0</v>
      </c>
      <c r="S566" s="6">
        <v>0</v>
      </c>
      <c r="T566" s="6">
        <v>33</v>
      </c>
      <c r="U566" s="6">
        <v>85</v>
      </c>
      <c r="V566" s="6">
        <f>IF(ISERROR(VLOOKUP($S$566,'TAR FIN'!$A$1:$O$86,15,0)),0,VLOOKUP($S$566,'TAR FIN'!$A$1:$O$86,15,0))</f>
        <v>0</v>
      </c>
      <c r="W566" s="6">
        <f>IF(ISERROR(VLOOKUP($T$566,'TAR FIN'!$A$1:$O$86,15,0)),0,VLOOKUP($T$566,'TAR FIN'!$A$1:$O$86,15,0))</f>
        <v>338.51</v>
      </c>
      <c r="X566" s="6">
        <f>IF(ISERROR(VLOOKUP($U$566,'TAR FIN'!$A$1:$O$86,15,0)),0,VLOOKUP($U$566,'TAR FIN'!$A$1:$O$86,15,0))</f>
        <v>224.01</v>
      </c>
      <c r="Y566" s="6"/>
      <c r="Z566" s="6">
        <f ca="1">('TUSD BE'!$AM$48+'TUSD BF_350'!$AM$48+'TUSD CVA'!$AM$48)*1</f>
        <v>310.49</v>
      </c>
      <c r="AA566" s="6">
        <f ca="1">('TE BE'!$AB$39+'TE BF_350'!$AB$39+'TE CVA'!$AB$39)*1</f>
        <v>262.52999999999997</v>
      </c>
      <c r="AB566" s="6">
        <f>$K$566*$V$566</f>
        <v>0</v>
      </c>
      <c r="AC566" s="6">
        <f>$M$566*$W$566</f>
        <v>542079.08167999994</v>
      </c>
      <c r="AD566" s="6">
        <f>$O$566*$X$566</f>
        <v>358722.44567999995</v>
      </c>
      <c r="AE566" s="6">
        <f>$K$566*$Y$566</f>
        <v>0</v>
      </c>
      <c r="AF566" s="6">
        <f ca="1">$M$566*$Z$566</f>
        <v>497208.75031999999</v>
      </c>
      <c r="AG566" s="6">
        <f ca="1">$O$566*$AA$566</f>
        <v>420407.14103999996</v>
      </c>
    </row>
    <row r="567" spans="1:33" ht="11.25" customHeight="1" x14ac:dyDescent="0.25">
      <c r="A567" s="4" t="s">
        <v>55</v>
      </c>
      <c r="B567" s="4" t="s">
        <v>33</v>
      </c>
      <c r="C567" s="4" t="s">
        <v>23</v>
      </c>
      <c r="D567" s="4" t="s">
        <v>40</v>
      </c>
      <c r="E567" s="4" t="s">
        <v>25</v>
      </c>
      <c r="F567" s="4" t="s">
        <v>25</v>
      </c>
      <c r="G567" s="4" t="s">
        <v>25</v>
      </c>
      <c r="H567" s="4" t="s">
        <v>25</v>
      </c>
      <c r="I567" s="5">
        <v>44743</v>
      </c>
      <c r="J567" s="6">
        <v>0</v>
      </c>
      <c r="K567" s="6">
        <v>0</v>
      </c>
      <c r="L567" s="6">
        <v>77.203999999999994</v>
      </c>
      <c r="M567" s="6">
        <v>77.203999999999994</v>
      </c>
      <c r="N567" s="6">
        <v>77.203999999999994</v>
      </c>
      <c r="O567" s="6">
        <v>77.203999999999994</v>
      </c>
      <c r="P567" s="6">
        <v>57</v>
      </c>
      <c r="Q567" s="4" t="s">
        <v>26</v>
      </c>
      <c r="R567" s="4">
        <v>0</v>
      </c>
      <c r="S567" s="6">
        <v>0</v>
      </c>
      <c r="T567" s="6">
        <v>33</v>
      </c>
      <c r="U567" s="6">
        <v>85</v>
      </c>
      <c r="V567" s="6">
        <f>IF(ISERROR(VLOOKUP($S$567,'TAR FIN'!$A$1:$O$86,15,0)),0,VLOOKUP($S$567,'TAR FIN'!$A$1:$O$86,15,0))</f>
        <v>0</v>
      </c>
      <c r="W567" s="6">
        <f>IF(ISERROR(VLOOKUP($T$567,'TAR FIN'!$A$1:$O$86,15,0)),0,VLOOKUP($T$567,'TAR FIN'!$A$1:$O$86,15,0))</f>
        <v>338.51</v>
      </c>
      <c r="X567" s="6">
        <f>IF(ISERROR(VLOOKUP($U$567,'TAR FIN'!$A$1:$O$86,15,0)),0,VLOOKUP($U$567,'TAR FIN'!$A$1:$O$86,15,0))</f>
        <v>224.01</v>
      </c>
      <c r="Y567" s="6"/>
      <c r="Z567" s="6">
        <f ca="1">('TUSD BE'!$AM$48+'TUSD BF_350'!$AM$48+'TUSD CVA'!$AM$48)*1</f>
        <v>310.49</v>
      </c>
      <c r="AA567" s="6">
        <f ca="1">('TE BE'!$AB$39+'TE BF_350'!$AB$39+'TE CVA'!$AB$39)*1</f>
        <v>262.52999999999997</v>
      </c>
      <c r="AB567" s="6">
        <f>$K$567*$V$567</f>
        <v>0</v>
      </c>
      <c r="AC567" s="6">
        <f>$M$567*$W$567</f>
        <v>26134.326039999996</v>
      </c>
      <c r="AD567" s="6">
        <f>$O$567*$X$567</f>
        <v>17294.468039999996</v>
      </c>
      <c r="AE567" s="6">
        <f>$K$567*$Y$567</f>
        <v>0</v>
      </c>
      <c r="AF567" s="6">
        <f ca="1">$M$567*$Z$567</f>
        <v>23971.069959999997</v>
      </c>
      <c r="AG567" s="6">
        <f ca="1">$O$567*$AA$567</f>
        <v>20268.366119999995</v>
      </c>
    </row>
    <row r="568" spans="1:33" ht="11.25" customHeight="1" x14ac:dyDescent="0.25">
      <c r="A568" s="4" t="s">
        <v>21</v>
      </c>
      <c r="B568" s="4" t="s">
        <v>33</v>
      </c>
      <c r="C568" s="4" t="s">
        <v>23</v>
      </c>
      <c r="D568" s="4" t="s">
        <v>49</v>
      </c>
      <c r="E568" s="4" t="s">
        <v>25</v>
      </c>
      <c r="F568" s="4" t="s">
        <v>25</v>
      </c>
      <c r="G568" s="4" t="s">
        <v>25</v>
      </c>
      <c r="H568" s="4" t="s">
        <v>25</v>
      </c>
      <c r="I568" s="5">
        <v>44409</v>
      </c>
      <c r="J568" s="6">
        <v>0</v>
      </c>
      <c r="K568" s="6">
        <v>0</v>
      </c>
      <c r="L568" s="6">
        <v>5.5549999999999997</v>
      </c>
      <c r="M568" s="6">
        <v>5.5549999999999997</v>
      </c>
      <c r="N568" s="6">
        <v>5.5549999999999997</v>
      </c>
      <c r="O568" s="6">
        <v>5.5549999999999997</v>
      </c>
      <c r="P568" s="6">
        <v>4</v>
      </c>
      <c r="Q568" s="4" t="s">
        <v>26</v>
      </c>
      <c r="R568" s="4">
        <v>0</v>
      </c>
      <c r="S568" s="6">
        <v>0</v>
      </c>
      <c r="T568" s="6">
        <v>33</v>
      </c>
      <c r="U568" s="6">
        <v>85</v>
      </c>
      <c r="V568" s="6">
        <f>IF(ISERROR(VLOOKUP($S$568,'TAR FIN'!$A$1:$O$86,15,0)),0,VLOOKUP($S$568,'TAR FIN'!$A$1:$O$86,15,0))</f>
        <v>0</v>
      </c>
      <c r="W568" s="6">
        <f>IF(ISERROR(VLOOKUP($T$568,'TAR FIN'!$A$1:$O$86,15,0)),0,VLOOKUP($T$568,'TAR FIN'!$A$1:$O$86,15,0))</f>
        <v>338.51</v>
      </c>
      <c r="X568" s="6">
        <f>IF(ISERROR(VLOOKUP($U$568,'TAR FIN'!$A$1:$O$86,15,0)),0,VLOOKUP($U$568,'TAR FIN'!$A$1:$O$86,15,0))</f>
        <v>224.01</v>
      </c>
      <c r="Y568" s="6"/>
      <c r="Z568" s="6">
        <f ca="1">('TUSD BE'!$AM$48+'TUSD BF_350'!$AM$48+'TUSD CVA'!$AM$48)*1</f>
        <v>310.49</v>
      </c>
      <c r="AA568" s="6">
        <f ca="1">('TE BE'!$AB$39+'TE BF_350'!$AB$39+'TE CVA'!$AB$39)*1</f>
        <v>262.52999999999997</v>
      </c>
      <c r="AB568" s="6">
        <f>$K$568*$V$568</f>
        <v>0</v>
      </c>
      <c r="AC568" s="6">
        <f>$M$568*$W$568</f>
        <v>1880.4230499999999</v>
      </c>
      <c r="AD568" s="6">
        <f>$O$568*$X$568</f>
        <v>1244.37555</v>
      </c>
      <c r="AE568" s="6">
        <f>$K$568*$Y$568</f>
        <v>0</v>
      </c>
      <c r="AF568" s="6">
        <f ca="1">$M$568*$Z$568</f>
        <v>1724.7719500000001</v>
      </c>
      <c r="AG568" s="6">
        <f ca="1">$O$568*$AA$568</f>
        <v>1458.3541499999997</v>
      </c>
    </row>
    <row r="569" spans="1:33" ht="11.25" customHeight="1" x14ac:dyDescent="0.25">
      <c r="A569" s="4" t="s">
        <v>21</v>
      </c>
      <c r="B569" s="4" t="s">
        <v>33</v>
      </c>
      <c r="C569" s="4" t="s">
        <v>23</v>
      </c>
      <c r="D569" s="4" t="s">
        <v>49</v>
      </c>
      <c r="E569" s="4" t="s">
        <v>25</v>
      </c>
      <c r="F569" s="4" t="s">
        <v>25</v>
      </c>
      <c r="G569" s="4" t="s">
        <v>25</v>
      </c>
      <c r="H569" s="4" t="s">
        <v>25</v>
      </c>
      <c r="I569" s="5">
        <v>44440</v>
      </c>
      <c r="J569" s="6">
        <v>0</v>
      </c>
      <c r="K569" s="6">
        <v>0</v>
      </c>
      <c r="L569" s="6">
        <v>5.6970000000000001</v>
      </c>
      <c r="M569" s="6">
        <v>5.6970000000000001</v>
      </c>
      <c r="N569" s="6">
        <v>5.6970000000000001</v>
      </c>
      <c r="O569" s="6">
        <v>5.6970000000000001</v>
      </c>
      <c r="P569" s="6">
        <v>4</v>
      </c>
      <c r="Q569" s="4" t="s">
        <v>26</v>
      </c>
      <c r="R569" s="4">
        <v>0</v>
      </c>
      <c r="S569" s="6">
        <v>0</v>
      </c>
      <c r="T569" s="6">
        <v>33</v>
      </c>
      <c r="U569" s="6">
        <v>85</v>
      </c>
      <c r="V569" s="6">
        <f>IF(ISERROR(VLOOKUP($S$569,'TAR FIN'!$A$1:$O$86,15,0)),0,VLOOKUP($S$569,'TAR FIN'!$A$1:$O$86,15,0))</f>
        <v>0</v>
      </c>
      <c r="W569" s="6">
        <f>IF(ISERROR(VLOOKUP($T$569,'TAR FIN'!$A$1:$O$86,15,0)),0,VLOOKUP($T$569,'TAR FIN'!$A$1:$O$86,15,0))</f>
        <v>338.51</v>
      </c>
      <c r="X569" s="6">
        <f>IF(ISERROR(VLOOKUP($U$569,'TAR FIN'!$A$1:$O$86,15,0)),0,VLOOKUP($U$569,'TAR FIN'!$A$1:$O$86,15,0))</f>
        <v>224.01</v>
      </c>
      <c r="Y569" s="6"/>
      <c r="Z569" s="6">
        <f ca="1">('TUSD BE'!$AM$48+'TUSD BF_350'!$AM$48+'TUSD CVA'!$AM$48)*1</f>
        <v>310.49</v>
      </c>
      <c r="AA569" s="6">
        <f ca="1">('TE BE'!$AB$39+'TE BF_350'!$AB$39+'TE CVA'!$AB$39)*1</f>
        <v>262.52999999999997</v>
      </c>
      <c r="AB569" s="6">
        <f>$K$569*$V$569</f>
        <v>0</v>
      </c>
      <c r="AC569" s="6">
        <f>$M$569*$W$569</f>
        <v>1928.4914699999999</v>
      </c>
      <c r="AD569" s="6">
        <f>$O$569*$X$569</f>
        <v>1276.18497</v>
      </c>
      <c r="AE569" s="6">
        <f>$K$569*$Y$569</f>
        <v>0</v>
      </c>
      <c r="AF569" s="6">
        <f ca="1">$M$569*$Z$569</f>
        <v>1768.8615300000001</v>
      </c>
      <c r="AG569" s="6">
        <f ca="1">$O$569*$AA$569</f>
        <v>1495.6334099999999</v>
      </c>
    </row>
    <row r="570" spans="1:33" ht="11.25" customHeight="1" x14ac:dyDescent="0.25">
      <c r="A570" s="4" t="s">
        <v>21</v>
      </c>
      <c r="B570" s="4" t="s">
        <v>33</v>
      </c>
      <c r="C570" s="4" t="s">
        <v>23</v>
      </c>
      <c r="D570" s="4" t="s">
        <v>49</v>
      </c>
      <c r="E570" s="4" t="s">
        <v>25</v>
      </c>
      <c r="F570" s="4" t="s">
        <v>25</v>
      </c>
      <c r="G570" s="4" t="s">
        <v>25</v>
      </c>
      <c r="H570" s="4" t="s">
        <v>25</v>
      </c>
      <c r="I570" s="5">
        <v>44470</v>
      </c>
      <c r="J570" s="6">
        <v>0</v>
      </c>
      <c r="K570" s="6">
        <v>0</v>
      </c>
      <c r="L570" s="6">
        <v>5.7779999999999996</v>
      </c>
      <c r="M570" s="6">
        <v>5.7779999999999996</v>
      </c>
      <c r="N570" s="6">
        <v>5.7779999999999996</v>
      </c>
      <c r="O570" s="6">
        <v>5.7779999999999996</v>
      </c>
      <c r="P570" s="6">
        <v>4</v>
      </c>
      <c r="Q570" s="4" t="s">
        <v>26</v>
      </c>
      <c r="R570" s="4">
        <v>0</v>
      </c>
      <c r="S570" s="6">
        <v>0</v>
      </c>
      <c r="T570" s="6">
        <v>33</v>
      </c>
      <c r="U570" s="6">
        <v>85</v>
      </c>
      <c r="V570" s="6">
        <f>IF(ISERROR(VLOOKUP($S$570,'TAR FIN'!$A$1:$O$86,15,0)),0,VLOOKUP($S$570,'TAR FIN'!$A$1:$O$86,15,0))</f>
        <v>0</v>
      </c>
      <c r="W570" s="6">
        <f>IF(ISERROR(VLOOKUP($T$570,'TAR FIN'!$A$1:$O$86,15,0)),0,VLOOKUP($T$570,'TAR FIN'!$A$1:$O$86,15,0))</f>
        <v>338.51</v>
      </c>
      <c r="X570" s="6">
        <f>IF(ISERROR(VLOOKUP($U$570,'TAR FIN'!$A$1:$O$86,15,0)),0,VLOOKUP($U$570,'TAR FIN'!$A$1:$O$86,15,0))</f>
        <v>224.01</v>
      </c>
      <c r="Y570" s="6"/>
      <c r="Z570" s="6">
        <f ca="1">('TUSD BE'!$AM$48+'TUSD BF_350'!$AM$48+'TUSD CVA'!$AM$48)*1</f>
        <v>310.49</v>
      </c>
      <c r="AA570" s="6">
        <f ca="1">('TE BE'!$AB$39+'TE BF_350'!$AB$39+'TE CVA'!$AB$39)*1</f>
        <v>262.52999999999997</v>
      </c>
      <c r="AB570" s="6">
        <f>$K$570*$V$570</f>
        <v>0</v>
      </c>
      <c r="AC570" s="6">
        <f>$M$570*$W$570</f>
        <v>1955.9107799999997</v>
      </c>
      <c r="AD570" s="6">
        <f>$O$570*$X$570</f>
        <v>1294.3297799999998</v>
      </c>
      <c r="AE570" s="6">
        <f>$K$570*$Y$570</f>
        <v>0</v>
      </c>
      <c r="AF570" s="6">
        <f ca="1">$M$570*$Z$570</f>
        <v>1794.0112199999999</v>
      </c>
      <c r="AG570" s="6">
        <f ca="1">$O$570*$AA$570</f>
        <v>1516.8983399999997</v>
      </c>
    </row>
    <row r="571" spans="1:33" ht="11.25" customHeight="1" x14ac:dyDescent="0.25">
      <c r="A571" s="4" t="s">
        <v>21</v>
      </c>
      <c r="B571" s="4" t="s">
        <v>33</v>
      </c>
      <c r="C571" s="4" t="s">
        <v>23</v>
      </c>
      <c r="D571" s="4" t="s">
        <v>49</v>
      </c>
      <c r="E571" s="4" t="s">
        <v>25</v>
      </c>
      <c r="F571" s="4" t="s">
        <v>25</v>
      </c>
      <c r="G571" s="4" t="s">
        <v>25</v>
      </c>
      <c r="H571" s="4" t="s">
        <v>25</v>
      </c>
      <c r="I571" s="5">
        <v>44501</v>
      </c>
      <c r="J571" s="6">
        <v>0</v>
      </c>
      <c r="K571" s="6">
        <v>0</v>
      </c>
      <c r="L571" s="6">
        <v>6.2530000000000001</v>
      </c>
      <c r="M571" s="6">
        <v>6.2530000000000001</v>
      </c>
      <c r="N571" s="6">
        <v>6.2530000000000001</v>
      </c>
      <c r="O571" s="6">
        <v>6.2530000000000001</v>
      </c>
      <c r="P571" s="6">
        <v>4</v>
      </c>
      <c r="Q571" s="4" t="s">
        <v>26</v>
      </c>
      <c r="R571" s="4">
        <v>0</v>
      </c>
      <c r="S571" s="6">
        <v>0</v>
      </c>
      <c r="T571" s="6">
        <v>33</v>
      </c>
      <c r="U571" s="6">
        <v>85</v>
      </c>
      <c r="V571" s="6">
        <f>IF(ISERROR(VLOOKUP($S$571,'TAR FIN'!$A$1:$O$86,15,0)),0,VLOOKUP($S$571,'TAR FIN'!$A$1:$O$86,15,0))</f>
        <v>0</v>
      </c>
      <c r="W571" s="6">
        <f>IF(ISERROR(VLOOKUP($T$571,'TAR FIN'!$A$1:$O$86,15,0)),0,VLOOKUP($T$571,'TAR FIN'!$A$1:$O$86,15,0))</f>
        <v>338.51</v>
      </c>
      <c r="X571" s="6">
        <f>IF(ISERROR(VLOOKUP($U$571,'TAR FIN'!$A$1:$O$86,15,0)),0,VLOOKUP($U$571,'TAR FIN'!$A$1:$O$86,15,0))</f>
        <v>224.01</v>
      </c>
      <c r="Y571" s="6"/>
      <c r="Z571" s="6">
        <f ca="1">('TUSD BE'!$AM$48+'TUSD BF_350'!$AM$48+'TUSD CVA'!$AM$48)*1</f>
        <v>310.49</v>
      </c>
      <c r="AA571" s="6">
        <f ca="1">('TE BE'!$AB$39+'TE BF_350'!$AB$39+'TE CVA'!$AB$39)*1</f>
        <v>262.52999999999997</v>
      </c>
      <c r="AB571" s="6">
        <f>$K$571*$V$571</f>
        <v>0</v>
      </c>
      <c r="AC571" s="6">
        <f>$M$571*$W$571</f>
        <v>2116.7030300000001</v>
      </c>
      <c r="AD571" s="6">
        <f>$O$571*$X$571</f>
        <v>1400.7345299999999</v>
      </c>
      <c r="AE571" s="6">
        <f>$K$571*$Y$571</f>
        <v>0</v>
      </c>
      <c r="AF571" s="6">
        <f ca="1">$M$571*$Z$571</f>
        <v>1941.49397</v>
      </c>
      <c r="AG571" s="6">
        <f ca="1">$O$571*$AA$571</f>
        <v>1641.6000899999999</v>
      </c>
    </row>
    <row r="572" spans="1:33" ht="11.25" customHeight="1" x14ac:dyDescent="0.25">
      <c r="A572" s="4" t="s">
        <v>21</v>
      </c>
      <c r="B572" s="4" t="s">
        <v>33</v>
      </c>
      <c r="C572" s="4" t="s">
        <v>23</v>
      </c>
      <c r="D572" s="4" t="s">
        <v>49</v>
      </c>
      <c r="E572" s="4" t="s">
        <v>25</v>
      </c>
      <c r="F572" s="4" t="s">
        <v>25</v>
      </c>
      <c r="G572" s="4" t="s">
        <v>25</v>
      </c>
      <c r="H572" s="4" t="s">
        <v>25</v>
      </c>
      <c r="I572" s="5">
        <v>44531</v>
      </c>
      <c r="J572" s="6">
        <v>0</v>
      </c>
      <c r="K572" s="6">
        <v>0</v>
      </c>
      <c r="L572" s="6">
        <v>7.17</v>
      </c>
      <c r="M572" s="6">
        <v>7.17</v>
      </c>
      <c r="N572" s="6">
        <v>7.17</v>
      </c>
      <c r="O572" s="6">
        <v>7.17</v>
      </c>
      <c r="P572" s="6">
        <v>4</v>
      </c>
      <c r="Q572" s="4" t="s">
        <v>26</v>
      </c>
      <c r="R572" s="4">
        <v>0</v>
      </c>
      <c r="S572" s="6">
        <v>0</v>
      </c>
      <c r="T572" s="6">
        <v>33</v>
      </c>
      <c r="U572" s="6">
        <v>85</v>
      </c>
      <c r="V572" s="6">
        <f>IF(ISERROR(VLOOKUP($S$572,'TAR FIN'!$A$1:$O$86,15,0)),0,VLOOKUP($S$572,'TAR FIN'!$A$1:$O$86,15,0))</f>
        <v>0</v>
      </c>
      <c r="W572" s="6">
        <f>IF(ISERROR(VLOOKUP($T$572,'TAR FIN'!$A$1:$O$86,15,0)),0,VLOOKUP($T$572,'TAR FIN'!$A$1:$O$86,15,0))</f>
        <v>338.51</v>
      </c>
      <c r="X572" s="6">
        <f>IF(ISERROR(VLOOKUP($U$572,'TAR FIN'!$A$1:$O$86,15,0)),0,VLOOKUP($U$572,'TAR FIN'!$A$1:$O$86,15,0))</f>
        <v>224.01</v>
      </c>
      <c r="Y572" s="6"/>
      <c r="Z572" s="6">
        <f ca="1">('TUSD BE'!$AM$48+'TUSD BF_350'!$AM$48+'TUSD CVA'!$AM$48)*1</f>
        <v>310.49</v>
      </c>
      <c r="AA572" s="6">
        <f ca="1">('TE BE'!$AB$39+'TE BF_350'!$AB$39+'TE CVA'!$AB$39)*1</f>
        <v>262.52999999999997</v>
      </c>
      <c r="AB572" s="6">
        <f>$K$572*$V$572</f>
        <v>0</v>
      </c>
      <c r="AC572" s="6">
        <f>$M$572*$W$572</f>
        <v>2427.1167</v>
      </c>
      <c r="AD572" s="6">
        <f>$O$572*$X$572</f>
        <v>1606.1516999999999</v>
      </c>
      <c r="AE572" s="6">
        <f>$K$572*$Y$572</f>
        <v>0</v>
      </c>
      <c r="AF572" s="6">
        <f ca="1">$M$572*$Z$572</f>
        <v>2226.2132999999999</v>
      </c>
      <c r="AG572" s="6">
        <f ca="1">$O$572*$AA$572</f>
        <v>1882.3400999999999</v>
      </c>
    </row>
    <row r="573" spans="1:33" ht="11.25" customHeight="1" x14ac:dyDescent="0.25">
      <c r="A573" s="4" t="s">
        <v>21</v>
      </c>
      <c r="B573" s="4" t="s">
        <v>33</v>
      </c>
      <c r="C573" s="4" t="s">
        <v>23</v>
      </c>
      <c r="D573" s="4" t="s">
        <v>49</v>
      </c>
      <c r="E573" s="4" t="s">
        <v>25</v>
      </c>
      <c r="F573" s="4" t="s">
        <v>25</v>
      </c>
      <c r="G573" s="4" t="s">
        <v>25</v>
      </c>
      <c r="H573" s="4" t="s">
        <v>25</v>
      </c>
      <c r="I573" s="5">
        <v>44562</v>
      </c>
      <c r="J573" s="6">
        <v>0</v>
      </c>
      <c r="K573" s="6">
        <v>0</v>
      </c>
      <c r="L573" s="6">
        <v>10.105</v>
      </c>
      <c r="M573" s="6">
        <v>10.105</v>
      </c>
      <c r="N573" s="6">
        <v>10.105</v>
      </c>
      <c r="O573" s="6">
        <v>10.105</v>
      </c>
      <c r="P573" s="6">
        <v>4</v>
      </c>
      <c r="Q573" s="4" t="s">
        <v>26</v>
      </c>
      <c r="R573" s="4">
        <v>0</v>
      </c>
      <c r="S573" s="6">
        <v>0</v>
      </c>
      <c r="T573" s="6">
        <v>33</v>
      </c>
      <c r="U573" s="6">
        <v>85</v>
      </c>
      <c r="V573" s="6">
        <f>IF(ISERROR(VLOOKUP($S$573,'TAR FIN'!$A$1:$O$86,15,0)),0,VLOOKUP($S$573,'TAR FIN'!$A$1:$O$86,15,0))</f>
        <v>0</v>
      </c>
      <c r="W573" s="6">
        <f>IF(ISERROR(VLOOKUP($T$573,'TAR FIN'!$A$1:$O$86,15,0)),0,VLOOKUP($T$573,'TAR FIN'!$A$1:$O$86,15,0))</f>
        <v>338.51</v>
      </c>
      <c r="X573" s="6">
        <f>IF(ISERROR(VLOOKUP($U$573,'TAR FIN'!$A$1:$O$86,15,0)),0,VLOOKUP($U$573,'TAR FIN'!$A$1:$O$86,15,0))</f>
        <v>224.01</v>
      </c>
      <c r="Y573" s="6"/>
      <c r="Z573" s="6">
        <f ca="1">('TUSD BE'!$AM$48+'TUSD BF_350'!$AM$48+'TUSD CVA'!$AM$48)*1</f>
        <v>310.49</v>
      </c>
      <c r="AA573" s="6">
        <f ca="1">('TE BE'!$AB$39+'TE BF_350'!$AB$39+'TE CVA'!$AB$39)*1</f>
        <v>262.52999999999997</v>
      </c>
      <c r="AB573" s="6">
        <f>$K$573*$V$573</f>
        <v>0</v>
      </c>
      <c r="AC573" s="6">
        <f>$M$573*$W$573</f>
        <v>3420.6435500000002</v>
      </c>
      <c r="AD573" s="6">
        <f>$O$573*$X$573</f>
        <v>2263.6210500000002</v>
      </c>
      <c r="AE573" s="6">
        <f>$K$573*$Y$573</f>
        <v>0</v>
      </c>
      <c r="AF573" s="6">
        <f ca="1">$M$573*$Z$573</f>
        <v>3137.5014500000002</v>
      </c>
      <c r="AG573" s="6">
        <f ca="1">$O$573*$AA$573</f>
        <v>2652.8656499999997</v>
      </c>
    </row>
    <row r="574" spans="1:33" ht="11.25" customHeight="1" x14ac:dyDescent="0.25">
      <c r="A574" s="4" t="s">
        <v>21</v>
      </c>
      <c r="B574" s="4" t="s">
        <v>33</v>
      </c>
      <c r="C574" s="4" t="s">
        <v>23</v>
      </c>
      <c r="D574" s="4" t="s">
        <v>49</v>
      </c>
      <c r="E574" s="4" t="s">
        <v>25</v>
      </c>
      <c r="F574" s="4" t="s">
        <v>25</v>
      </c>
      <c r="G574" s="4" t="s">
        <v>25</v>
      </c>
      <c r="H574" s="4" t="s">
        <v>25</v>
      </c>
      <c r="I574" s="5">
        <v>44593</v>
      </c>
      <c r="J574" s="6">
        <v>0</v>
      </c>
      <c r="K574" s="6">
        <v>0</v>
      </c>
      <c r="L574" s="6">
        <v>11.499000000000001</v>
      </c>
      <c r="M574" s="6">
        <v>11.499000000000001</v>
      </c>
      <c r="N574" s="6">
        <v>11.499000000000001</v>
      </c>
      <c r="O574" s="6">
        <v>11.499000000000001</v>
      </c>
      <c r="P574" s="6">
        <v>4</v>
      </c>
      <c r="Q574" s="4" t="s">
        <v>26</v>
      </c>
      <c r="R574" s="4">
        <v>0</v>
      </c>
      <c r="S574" s="6">
        <v>0</v>
      </c>
      <c r="T574" s="6">
        <v>33</v>
      </c>
      <c r="U574" s="6">
        <v>85</v>
      </c>
      <c r="V574" s="6">
        <f>IF(ISERROR(VLOOKUP($S$574,'TAR FIN'!$A$1:$O$86,15,0)),0,VLOOKUP($S$574,'TAR FIN'!$A$1:$O$86,15,0))</f>
        <v>0</v>
      </c>
      <c r="W574" s="6">
        <f>IF(ISERROR(VLOOKUP($T$574,'TAR FIN'!$A$1:$O$86,15,0)),0,VLOOKUP($T$574,'TAR FIN'!$A$1:$O$86,15,0))</f>
        <v>338.51</v>
      </c>
      <c r="X574" s="6">
        <f>IF(ISERROR(VLOOKUP($U$574,'TAR FIN'!$A$1:$O$86,15,0)),0,VLOOKUP($U$574,'TAR FIN'!$A$1:$O$86,15,0))</f>
        <v>224.01</v>
      </c>
      <c r="Y574" s="6"/>
      <c r="Z574" s="6">
        <f ca="1">('TUSD BE'!$AM$48+'TUSD BF_350'!$AM$48+'TUSD CVA'!$AM$48)*1</f>
        <v>310.49</v>
      </c>
      <c r="AA574" s="6">
        <f ca="1">('TE BE'!$AB$39+'TE BF_350'!$AB$39+'TE CVA'!$AB$39)*1</f>
        <v>262.52999999999997</v>
      </c>
      <c r="AB574" s="6">
        <f>$K$574*$V$574</f>
        <v>0</v>
      </c>
      <c r="AC574" s="6">
        <f>$M$574*$W$574</f>
        <v>3892.5264900000002</v>
      </c>
      <c r="AD574" s="6">
        <f>$O$574*$X$574</f>
        <v>2575.8909899999999</v>
      </c>
      <c r="AE574" s="6">
        <f>$K$574*$Y$574</f>
        <v>0</v>
      </c>
      <c r="AF574" s="6">
        <f ca="1">$M$574*$Z$574</f>
        <v>3570.3245100000004</v>
      </c>
      <c r="AG574" s="6">
        <f ca="1">$O$574*$AA$574</f>
        <v>3018.8324699999998</v>
      </c>
    </row>
    <row r="575" spans="1:33" ht="11.25" customHeight="1" x14ac:dyDescent="0.25">
      <c r="A575" s="4" t="s">
        <v>21</v>
      </c>
      <c r="B575" s="4" t="s">
        <v>33</v>
      </c>
      <c r="C575" s="4" t="s">
        <v>23</v>
      </c>
      <c r="D575" s="4" t="s">
        <v>49</v>
      </c>
      <c r="E575" s="4" t="s">
        <v>25</v>
      </c>
      <c r="F575" s="4" t="s">
        <v>25</v>
      </c>
      <c r="G575" s="4" t="s">
        <v>25</v>
      </c>
      <c r="H575" s="4" t="s">
        <v>25</v>
      </c>
      <c r="I575" s="5">
        <v>44621</v>
      </c>
      <c r="J575" s="6">
        <v>0</v>
      </c>
      <c r="K575" s="6">
        <v>0</v>
      </c>
      <c r="L575" s="6">
        <v>11.22</v>
      </c>
      <c r="M575" s="6">
        <v>11.22</v>
      </c>
      <c r="N575" s="6">
        <v>11.22</v>
      </c>
      <c r="O575" s="6">
        <v>11.22</v>
      </c>
      <c r="P575" s="6">
        <v>4</v>
      </c>
      <c r="Q575" s="4" t="s">
        <v>26</v>
      </c>
      <c r="R575" s="4">
        <v>0</v>
      </c>
      <c r="S575" s="6">
        <v>0</v>
      </c>
      <c r="T575" s="6">
        <v>33</v>
      </c>
      <c r="U575" s="6">
        <v>85</v>
      </c>
      <c r="V575" s="6">
        <f>IF(ISERROR(VLOOKUP($S$575,'TAR FIN'!$A$1:$O$86,15,0)),0,VLOOKUP($S$575,'TAR FIN'!$A$1:$O$86,15,0))</f>
        <v>0</v>
      </c>
      <c r="W575" s="6">
        <f>IF(ISERROR(VLOOKUP($T$575,'TAR FIN'!$A$1:$O$86,15,0)),0,VLOOKUP($T$575,'TAR FIN'!$A$1:$O$86,15,0))</f>
        <v>338.51</v>
      </c>
      <c r="X575" s="6">
        <f>IF(ISERROR(VLOOKUP($U$575,'TAR FIN'!$A$1:$O$86,15,0)),0,VLOOKUP($U$575,'TAR FIN'!$A$1:$O$86,15,0))</f>
        <v>224.01</v>
      </c>
      <c r="Y575" s="6"/>
      <c r="Z575" s="6">
        <f ca="1">('TUSD BE'!$AM$48+'TUSD BF_350'!$AM$48+'TUSD CVA'!$AM$48)*1</f>
        <v>310.49</v>
      </c>
      <c r="AA575" s="6">
        <f ca="1">('TE BE'!$AB$39+'TE BF_350'!$AB$39+'TE CVA'!$AB$39)*1</f>
        <v>262.52999999999997</v>
      </c>
      <c r="AB575" s="6">
        <f>$K$575*$V$575</f>
        <v>0</v>
      </c>
      <c r="AC575" s="6">
        <f>$M$575*$W$575</f>
        <v>3798.0822000000003</v>
      </c>
      <c r="AD575" s="6">
        <f>$O$575*$X$575</f>
        <v>2513.3922000000002</v>
      </c>
      <c r="AE575" s="6">
        <f>$K$575*$Y$575</f>
        <v>0</v>
      </c>
      <c r="AF575" s="6">
        <f ca="1">$M$575*$Z$575</f>
        <v>3483.6978000000004</v>
      </c>
      <c r="AG575" s="6">
        <f ca="1">$O$575*$AA$575</f>
        <v>2945.5865999999996</v>
      </c>
    </row>
    <row r="576" spans="1:33" ht="11.25" customHeight="1" x14ac:dyDescent="0.25">
      <c r="A576" s="4" t="s">
        <v>21</v>
      </c>
      <c r="B576" s="4" t="s">
        <v>33</v>
      </c>
      <c r="C576" s="4" t="s">
        <v>23</v>
      </c>
      <c r="D576" s="4" t="s">
        <v>49</v>
      </c>
      <c r="E576" s="4" t="s">
        <v>25</v>
      </c>
      <c r="F576" s="4" t="s">
        <v>25</v>
      </c>
      <c r="G576" s="4" t="s">
        <v>25</v>
      </c>
      <c r="H576" s="4" t="s">
        <v>25</v>
      </c>
      <c r="I576" s="5">
        <v>44652</v>
      </c>
      <c r="J576" s="6">
        <v>0</v>
      </c>
      <c r="K576" s="6">
        <v>0</v>
      </c>
      <c r="L576" s="6">
        <v>9.36</v>
      </c>
      <c r="M576" s="6">
        <v>9.36</v>
      </c>
      <c r="N576" s="6">
        <v>9.36</v>
      </c>
      <c r="O576" s="6">
        <v>9.36</v>
      </c>
      <c r="P576" s="6">
        <v>4</v>
      </c>
      <c r="Q576" s="4" t="s">
        <v>26</v>
      </c>
      <c r="R576" s="4">
        <v>0</v>
      </c>
      <c r="S576" s="6">
        <v>0</v>
      </c>
      <c r="T576" s="6">
        <v>33</v>
      </c>
      <c r="U576" s="6">
        <v>85</v>
      </c>
      <c r="V576" s="6">
        <f>IF(ISERROR(VLOOKUP($S$576,'TAR FIN'!$A$1:$O$86,15,0)),0,VLOOKUP($S$576,'TAR FIN'!$A$1:$O$86,15,0))</f>
        <v>0</v>
      </c>
      <c r="W576" s="6">
        <f>IF(ISERROR(VLOOKUP($T$576,'TAR FIN'!$A$1:$O$86,15,0)),0,VLOOKUP($T$576,'TAR FIN'!$A$1:$O$86,15,0))</f>
        <v>338.51</v>
      </c>
      <c r="X576" s="6">
        <f>IF(ISERROR(VLOOKUP($U$576,'TAR FIN'!$A$1:$O$86,15,0)),0,VLOOKUP($U$576,'TAR FIN'!$A$1:$O$86,15,0))</f>
        <v>224.01</v>
      </c>
      <c r="Y576" s="6"/>
      <c r="Z576" s="6">
        <f ca="1">('TUSD BE'!$AM$48+'TUSD BF_350'!$AM$48+'TUSD CVA'!$AM$48)*1</f>
        <v>310.49</v>
      </c>
      <c r="AA576" s="6">
        <f ca="1">('TE BE'!$AB$39+'TE BF_350'!$AB$39+'TE CVA'!$AB$39)*1</f>
        <v>262.52999999999997</v>
      </c>
      <c r="AB576" s="6">
        <f>$K$576*$V$576</f>
        <v>0</v>
      </c>
      <c r="AC576" s="6">
        <f>$M$576*$W$576</f>
        <v>3168.4535999999998</v>
      </c>
      <c r="AD576" s="6">
        <f>$O$576*$X$576</f>
        <v>2096.7335999999996</v>
      </c>
      <c r="AE576" s="6">
        <f>$K$576*$Y$576</f>
        <v>0</v>
      </c>
      <c r="AF576" s="6">
        <f ca="1">$M$576*$Z$576</f>
        <v>2906.1864</v>
      </c>
      <c r="AG576" s="6">
        <f ca="1">$O$576*$AA$576</f>
        <v>2457.2807999999995</v>
      </c>
    </row>
    <row r="577" spans="1:33" ht="11.25" customHeight="1" x14ac:dyDescent="0.25">
      <c r="A577" s="4" t="s">
        <v>21</v>
      </c>
      <c r="B577" s="4" t="s">
        <v>33</v>
      </c>
      <c r="C577" s="4" t="s">
        <v>23</v>
      </c>
      <c r="D577" s="4" t="s">
        <v>49</v>
      </c>
      <c r="E577" s="4" t="s">
        <v>25</v>
      </c>
      <c r="F577" s="4" t="s">
        <v>25</v>
      </c>
      <c r="G577" s="4" t="s">
        <v>25</v>
      </c>
      <c r="H577" s="4" t="s">
        <v>25</v>
      </c>
      <c r="I577" s="5">
        <v>44682</v>
      </c>
      <c r="J577" s="6">
        <v>0</v>
      </c>
      <c r="K577" s="6">
        <v>0</v>
      </c>
      <c r="L577" s="6">
        <v>6.306</v>
      </c>
      <c r="M577" s="6">
        <v>6.306</v>
      </c>
      <c r="N577" s="6">
        <v>6.306</v>
      </c>
      <c r="O577" s="6">
        <v>6.306</v>
      </c>
      <c r="P577" s="6">
        <v>4</v>
      </c>
      <c r="Q577" s="4" t="s">
        <v>26</v>
      </c>
      <c r="R577" s="4">
        <v>0</v>
      </c>
      <c r="S577" s="6">
        <v>0</v>
      </c>
      <c r="T577" s="6">
        <v>33</v>
      </c>
      <c r="U577" s="6">
        <v>85</v>
      </c>
      <c r="V577" s="6">
        <f>IF(ISERROR(VLOOKUP($S$577,'TAR FIN'!$A$1:$O$86,15,0)),0,VLOOKUP($S$577,'TAR FIN'!$A$1:$O$86,15,0))</f>
        <v>0</v>
      </c>
      <c r="W577" s="6">
        <f>IF(ISERROR(VLOOKUP($T$577,'TAR FIN'!$A$1:$O$86,15,0)),0,VLOOKUP($T$577,'TAR FIN'!$A$1:$O$86,15,0))</f>
        <v>338.51</v>
      </c>
      <c r="X577" s="6">
        <f>IF(ISERROR(VLOOKUP($U$577,'TAR FIN'!$A$1:$O$86,15,0)),0,VLOOKUP($U$577,'TAR FIN'!$A$1:$O$86,15,0))</f>
        <v>224.01</v>
      </c>
      <c r="Y577" s="6"/>
      <c r="Z577" s="6">
        <f ca="1">('TUSD BE'!$AM$48+'TUSD BF_350'!$AM$48+'TUSD CVA'!$AM$48)*1</f>
        <v>310.49</v>
      </c>
      <c r="AA577" s="6">
        <f ca="1">('TE BE'!$AB$39+'TE BF_350'!$AB$39+'TE CVA'!$AB$39)*1</f>
        <v>262.52999999999997</v>
      </c>
      <c r="AB577" s="6">
        <f>$K$577*$V$577</f>
        <v>0</v>
      </c>
      <c r="AC577" s="6">
        <f>$M$577*$W$577</f>
        <v>2134.6440600000001</v>
      </c>
      <c r="AD577" s="6">
        <f>$O$577*$X$577</f>
        <v>1412.60706</v>
      </c>
      <c r="AE577" s="6">
        <f>$K$577*$Y$577</f>
        <v>0</v>
      </c>
      <c r="AF577" s="6">
        <f ca="1">$M$577*$Z$577</f>
        <v>1957.94994</v>
      </c>
      <c r="AG577" s="6">
        <f ca="1">$O$577*$AA$577</f>
        <v>1655.5141799999999</v>
      </c>
    </row>
    <row r="578" spans="1:33" ht="11.25" customHeight="1" x14ac:dyDescent="0.25">
      <c r="A578" s="4" t="s">
        <v>21</v>
      </c>
      <c r="B578" s="4" t="s">
        <v>33</v>
      </c>
      <c r="C578" s="4" t="s">
        <v>23</v>
      </c>
      <c r="D578" s="4" t="s">
        <v>49</v>
      </c>
      <c r="E578" s="4" t="s">
        <v>25</v>
      </c>
      <c r="F578" s="4" t="s">
        <v>25</v>
      </c>
      <c r="G578" s="4" t="s">
        <v>25</v>
      </c>
      <c r="H578" s="4" t="s">
        <v>25</v>
      </c>
      <c r="I578" s="5">
        <v>44713</v>
      </c>
      <c r="J578" s="6">
        <v>0</v>
      </c>
      <c r="K578" s="6">
        <v>0</v>
      </c>
      <c r="L578" s="6">
        <v>5.3730000000000002</v>
      </c>
      <c r="M578" s="6">
        <v>5.3730000000000002</v>
      </c>
      <c r="N578" s="6">
        <v>5.3730000000000002</v>
      </c>
      <c r="O578" s="6">
        <v>5.3730000000000002</v>
      </c>
      <c r="P578" s="6">
        <v>4</v>
      </c>
      <c r="Q578" s="4" t="s">
        <v>26</v>
      </c>
      <c r="R578" s="4">
        <v>0</v>
      </c>
      <c r="S578" s="6">
        <v>0</v>
      </c>
      <c r="T578" s="6">
        <v>33</v>
      </c>
      <c r="U578" s="6">
        <v>85</v>
      </c>
      <c r="V578" s="6">
        <f>IF(ISERROR(VLOOKUP($S$578,'TAR FIN'!$A$1:$O$86,15,0)),0,VLOOKUP($S$578,'TAR FIN'!$A$1:$O$86,15,0))</f>
        <v>0</v>
      </c>
      <c r="W578" s="6">
        <f>IF(ISERROR(VLOOKUP($T$578,'TAR FIN'!$A$1:$O$86,15,0)),0,VLOOKUP($T$578,'TAR FIN'!$A$1:$O$86,15,0))</f>
        <v>338.51</v>
      </c>
      <c r="X578" s="6">
        <f>IF(ISERROR(VLOOKUP($U$578,'TAR FIN'!$A$1:$O$86,15,0)),0,VLOOKUP($U$578,'TAR FIN'!$A$1:$O$86,15,0))</f>
        <v>224.01</v>
      </c>
      <c r="Y578" s="6"/>
      <c r="Z578" s="6">
        <f ca="1">('TUSD BE'!$AM$48+'TUSD BF_350'!$AM$48+'TUSD CVA'!$AM$48)*1</f>
        <v>310.49</v>
      </c>
      <c r="AA578" s="6">
        <f ca="1">('TE BE'!$AB$39+'TE BF_350'!$AB$39+'TE CVA'!$AB$39)*1</f>
        <v>262.52999999999997</v>
      </c>
      <c r="AB578" s="6">
        <f>$K$578*$V$578</f>
        <v>0</v>
      </c>
      <c r="AC578" s="6">
        <f>$M$578*$W$578</f>
        <v>1818.81423</v>
      </c>
      <c r="AD578" s="6">
        <f>$O$578*$X$578</f>
        <v>1203.60573</v>
      </c>
      <c r="AE578" s="6">
        <f>$K$578*$Y$578</f>
        <v>0</v>
      </c>
      <c r="AF578" s="6">
        <f ca="1">$M$578*$Z$578</f>
        <v>1668.26277</v>
      </c>
      <c r="AG578" s="6">
        <f ca="1">$O$578*$AA$578</f>
        <v>1410.5736899999999</v>
      </c>
    </row>
    <row r="579" spans="1:33" ht="11.25" customHeight="1" x14ac:dyDescent="0.25">
      <c r="A579" s="4" t="s">
        <v>55</v>
      </c>
      <c r="B579" s="4" t="s">
        <v>33</v>
      </c>
      <c r="C579" s="4" t="s">
        <v>23</v>
      </c>
      <c r="D579" s="4" t="s">
        <v>49</v>
      </c>
      <c r="E579" s="4" t="s">
        <v>25</v>
      </c>
      <c r="F579" s="4" t="s">
        <v>25</v>
      </c>
      <c r="G579" s="4" t="s">
        <v>25</v>
      </c>
      <c r="H579" s="4" t="s">
        <v>25</v>
      </c>
      <c r="I579" s="5">
        <v>44743</v>
      </c>
      <c r="J579" s="6">
        <v>0</v>
      </c>
      <c r="K579" s="6">
        <v>0</v>
      </c>
      <c r="L579" s="6">
        <v>5.3730000000000002</v>
      </c>
      <c r="M579" s="6">
        <v>5.3730000000000002</v>
      </c>
      <c r="N579" s="6">
        <v>5.3730000000000002</v>
      </c>
      <c r="O579" s="6">
        <v>5.3730000000000002</v>
      </c>
      <c r="P579" s="6">
        <v>4</v>
      </c>
      <c r="Q579" s="4" t="s">
        <v>26</v>
      </c>
      <c r="R579" s="4">
        <v>0</v>
      </c>
      <c r="S579" s="6">
        <v>0</v>
      </c>
      <c r="T579" s="6">
        <v>33</v>
      </c>
      <c r="U579" s="6">
        <v>85</v>
      </c>
      <c r="V579" s="6">
        <f>IF(ISERROR(VLOOKUP($S$579,'TAR FIN'!$A$1:$O$86,15,0)),0,VLOOKUP($S$579,'TAR FIN'!$A$1:$O$86,15,0))</f>
        <v>0</v>
      </c>
      <c r="W579" s="6">
        <f>IF(ISERROR(VLOOKUP($T$579,'TAR FIN'!$A$1:$O$86,15,0)),0,VLOOKUP($T$579,'TAR FIN'!$A$1:$O$86,15,0))</f>
        <v>338.51</v>
      </c>
      <c r="X579" s="6">
        <f>IF(ISERROR(VLOOKUP($U$579,'TAR FIN'!$A$1:$O$86,15,0)),0,VLOOKUP($U$579,'TAR FIN'!$A$1:$O$86,15,0))</f>
        <v>224.01</v>
      </c>
      <c r="Y579" s="6"/>
      <c r="Z579" s="6">
        <f ca="1">('TUSD BE'!$AM$48+'TUSD BF_350'!$AM$48+'TUSD CVA'!$AM$48)*1</f>
        <v>310.49</v>
      </c>
      <c r="AA579" s="6">
        <f ca="1">('TE BE'!$AB$39+'TE BF_350'!$AB$39+'TE CVA'!$AB$39)*1</f>
        <v>262.52999999999997</v>
      </c>
      <c r="AB579" s="6">
        <f>$K$579*$V$579</f>
        <v>0</v>
      </c>
      <c r="AC579" s="6">
        <f>$M$579*$W$579</f>
        <v>1818.81423</v>
      </c>
      <c r="AD579" s="6">
        <f>$O$579*$X$579</f>
        <v>1203.60573</v>
      </c>
      <c r="AE579" s="6">
        <f>$K$579*$Y$579</f>
        <v>0</v>
      </c>
      <c r="AF579" s="6">
        <f ca="1">$M$579*$Z$579</f>
        <v>1668.26277</v>
      </c>
      <c r="AG579" s="6">
        <f ca="1">$O$579*$AA$579</f>
        <v>1410.5736899999999</v>
      </c>
    </row>
    <row r="580" spans="1:33" ht="11.25" customHeight="1" x14ac:dyDescent="0.25">
      <c r="A580" s="4" t="s">
        <v>21</v>
      </c>
      <c r="B580" s="4" t="s">
        <v>33</v>
      </c>
      <c r="C580" s="4" t="s">
        <v>23</v>
      </c>
      <c r="D580" s="4" t="s">
        <v>34</v>
      </c>
      <c r="E580" s="4" t="s">
        <v>25</v>
      </c>
      <c r="F580" s="4" t="s">
        <v>25</v>
      </c>
      <c r="G580" s="4" t="s">
        <v>25</v>
      </c>
      <c r="H580" s="4" t="s">
        <v>25</v>
      </c>
      <c r="I580" s="5">
        <v>44409</v>
      </c>
      <c r="J580" s="6">
        <v>0</v>
      </c>
      <c r="K580" s="6">
        <v>0</v>
      </c>
      <c r="L580" s="6">
        <v>302.32299999999998</v>
      </c>
      <c r="M580" s="6">
        <v>302.32299999999998</v>
      </c>
      <c r="N580" s="6">
        <v>302.32299999999998</v>
      </c>
      <c r="O580" s="6">
        <v>302.32299999999998</v>
      </c>
      <c r="P580" s="6">
        <v>125</v>
      </c>
      <c r="Q580" s="4" t="s">
        <v>26</v>
      </c>
      <c r="R580" s="4">
        <v>0</v>
      </c>
      <c r="S580" s="6">
        <v>0</v>
      </c>
      <c r="T580" s="6">
        <v>33</v>
      </c>
      <c r="U580" s="6">
        <v>85</v>
      </c>
      <c r="V580" s="6">
        <f>IF(ISERROR(VLOOKUP($S$580,'TAR FIN'!$A$1:$O$86,15,0)),0,VLOOKUP($S$580,'TAR FIN'!$A$1:$O$86,15,0))</f>
        <v>0</v>
      </c>
      <c r="W580" s="6">
        <f>IF(ISERROR(VLOOKUP($T$580,'TAR FIN'!$A$1:$O$86,15,0)),0,VLOOKUP($T$580,'TAR FIN'!$A$1:$O$86,15,0))</f>
        <v>338.51</v>
      </c>
      <c r="X580" s="6">
        <f>IF(ISERROR(VLOOKUP($U$580,'TAR FIN'!$A$1:$O$86,15,0)),0,VLOOKUP($U$580,'TAR FIN'!$A$1:$O$86,15,0))</f>
        <v>224.01</v>
      </c>
      <c r="Y580" s="6"/>
      <c r="Z580" s="6">
        <f ca="1">('TUSD BE'!$AM$48+'TUSD BF_350'!$AM$48+'TUSD CVA'!$AM$48)*1</f>
        <v>310.49</v>
      </c>
      <c r="AA580" s="6">
        <f ca="1">('TE BE'!$AB$39+'TE BF_350'!$AB$39+'TE CVA'!$AB$39)*1</f>
        <v>262.52999999999997</v>
      </c>
      <c r="AB580" s="6">
        <f>$K$580*$V$580</f>
        <v>0</v>
      </c>
      <c r="AC580" s="6">
        <f>$M$580*$W$580</f>
        <v>102339.35872999999</v>
      </c>
      <c r="AD580" s="6">
        <f>$O$580*$X$580</f>
        <v>67723.375229999991</v>
      </c>
      <c r="AE580" s="6">
        <f>$K$580*$Y$580</f>
        <v>0</v>
      </c>
      <c r="AF580" s="6">
        <f ca="1">$M$580*$Z$580</f>
        <v>93868.26827</v>
      </c>
      <c r="AG580" s="6">
        <f ca="1">$O$580*$AA$580</f>
        <v>79368.857189999981</v>
      </c>
    </row>
    <row r="581" spans="1:33" ht="11.25" customHeight="1" x14ac:dyDescent="0.25">
      <c r="A581" s="4" t="s">
        <v>28</v>
      </c>
      <c r="B581" s="4" t="s">
        <v>33</v>
      </c>
      <c r="C581" s="4" t="s">
        <v>23</v>
      </c>
      <c r="D581" s="4" t="s">
        <v>34</v>
      </c>
      <c r="E581" s="4" t="s">
        <v>25</v>
      </c>
      <c r="F581" s="4" t="s">
        <v>25</v>
      </c>
      <c r="G581" s="4" t="s">
        <v>25</v>
      </c>
      <c r="H581" s="4" t="s">
        <v>25</v>
      </c>
      <c r="I581" s="5">
        <v>44409</v>
      </c>
      <c r="J581" s="6">
        <v>0</v>
      </c>
      <c r="K581" s="6">
        <v>0</v>
      </c>
      <c r="L581" s="6">
        <v>4.3929999999999998</v>
      </c>
      <c r="M581" s="6">
        <v>4.3929999999999998</v>
      </c>
      <c r="N581" s="6">
        <v>4.3929999999999998</v>
      </c>
      <c r="O581" s="6">
        <v>4.3929999999999998</v>
      </c>
      <c r="P581" s="6">
        <v>3</v>
      </c>
      <c r="Q581" s="4" t="s">
        <v>26</v>
      </c>
      <c r="R581" s="4">
        <v>0</v>
      </c>
      <c r="S581" s="6">
        <v>0</v>
      </c>
      <c r="T581" s="6">
        <v>33</v>
      </c>
      <c r="U581" s="6">
        <v>85</v>
      </c>
      <c r="V581" s="6">
        <f>IF(ISERROR(VLOOKUP($S$581,'TAR FIN'!$A$1:$O$86,15,0)),0,VLOOKUP($S$581,'TAR FIN'!$A$1:$O$86,15,0))</f>
        <v>0</v>
      </c>
      <c r="W581" s="6">
        <f>IF(ISERROR(VLOOKUP($T$581,'TAR FIN'!$A$1:$O$86,15,0)),0,VLOOKUP($T$581,'TAR FIN'!$A$1:$O$86,15,0))</f>
        <v>338.51</v>
      </c>
      <c r="X581" s="6">
        <f>IF(ISERROR(VLOOKUP($U$581,'TAR FIN'!$A$1:$O$86,15,0)),0,VLOOKUP($U$581,'TAR FIN'!$A$1:$O$86,15,0))</f>
        <v>224.01</v>
      </c>
      <c r="Y581" s="6"/>
      <c r="Z581" s="6">
        <f ca="1">('TUSD BE'!$AM$48+'TUSD BF_350'!$AM$48+'TUSD CVA'!$AM$48)*1</f>
        <v>310.49</v>
      </c>
      <c r="AA581" s="6">
        <f ca="1">('TE BE'!$AB$39+'TE BF_350'!$AB$39+'TE CVA'!$AB$39)*1</f>
        <v>262.52999999999997</v>
      </c>
      <c r="AB581" s="6">
        <f>$K$581*$V$581</f>
        <v>0</v>
      </c>
      <c r="AC581" s="6">
        <f>$M$581*$W$581</f>
        <v>1487.0744299999999</v>
      </c>
      <c r="AD581" s="6">
        <f>$O$581*$X$581</f>
        <v>984.07592999999986</v>
      </c>
      <c r="AE581" s="6">
        <f>$K$581*$Y$581</f>
        <v>0</v>
      </c>
      <c r="AF581" s="6">
        <f ca="1">$M$581*$Z$581</f>
        <v>1363.9825699999999</v>
      </c>
      <c r="AG581" s="6">
        <f ca="1">$O$581*$AA$581</f>
        <v>1153.2942899999998</v>
      </c>
    </row>
    <row r="582" spans="1:33" ht="11.25" customHeight="1" x14ac:dyDescent="0.25">
      <c r="A582" s="4" t="s">
        <v>21</v>
      </c>
      <c r="B582" s="4" t="s">
        <v>33</v>
      </c>
      <c r="C582" s="4" t="s">
        <v>23</v>
      </c>
      <c r="D582" s="4" t="s">
        <v>34</v>
      </c>
      <c r="E582" s="4" t="s">
        <v>25</v>
      </c>
      <c r="F582" s="4" t="s">
        <v>25</v>
      </c>
      <c r="G582" s="4" t="s">
        <v>25</v>
      </c>
      <c r="H582" s="4" t="s">
        <v>25</v>
      </c>
      <c r="I582" s="5">
        <v>44440</v>
      </c>
      <c r="J582" s="6">
        <v>0</v>
      </c>
      <c r="K582" s="6">
        <v>0</v>
      </c>
      <c r="L582" s="6">
        <v>328.53199999999998</v>
      </c>
      <c r="M582" s="6">
        <v>328.53199999999998</v>
      </c>
      <c r="N582" s="6">
        <v>328.53199999999998</v>
      </c>
      <c r="O582" s="6">
        <v>328.53199999999998</v>
      </c>
      <c r="P582" s="6">
        <v>125</v>
      </c>
      <c r="Q582" s="4" t="s">
        <v>26</v>
      </c>
      <c r="R582" s="4">
        <v>0</v>
      </c>
      <c r="S582" s="6">
        <v>0</v>
      </c>
      <c r="T582" s="6">
        <v>33</v>
      </c>
      <c r="U582" s="6">
        <v>85</v>
      </c>
      <c r="V582" s="6">
        <f>IF(ISERROR(VLOOKUP($S$582,'TAR FIN'!$A$1:$O$86,15,0)),0,VLOOKUP($S$582,'TAR FIN'!$A$1:$O$86,15,0))</f>
        <v>0</v>
      </c>
      <c r="W582" s="6">
        <f>IF(ISERROR(VLOOKUP($T$582,'TAR FIN'!$A$1:$O$86,15,0)),0,VLOOKUP($T$582,'TAR FIN'!$A$1:$O$86,15,0))</f>
        <v>338.51</v>
      </c>
      <c r="X582" s="6">
        <f>IF(ISERROR(VLOOKUP($U$582,'TAR FIN'!$A$1:$O$86,15,0)),0,VLOOKUP($U$582,'TAR FIN'!$A$1:$O$86,15,0))</f>
        <v>224.01</v>
      </c>
      <c r="Y582" s="6"/>
      <c r="Z582" s="6">
        <f ca="1">('TUSD BE'!$AM$48+'TUSD BF_350'!$AM$48+'TUSD CVA'!$AM$48)*1</f>
        <v>310.49</v>
      </c>
      <c r="AA582" s="6">
        <f ca="1">('TE BE'!$AB$39+'TE BF_350'!$AB$39+'TE CVA'!$AB$39)*1</f>
        <v>262.52999999999997</v>
      </c>
      <c r="AB582" s="6">
        <f>$K$582*$V$582</f>
        <v>0</v>
      </c>
      <c r="AC582" s="6">
        <f>$M$582*$W$582</f>
        <v>111211.36731999999</v>
      </c>
      <c r="AD582" s="6">
        <f>$O$582*$X$582</f>
        <v>73594.453319999986</v>
      </c>
      <c r="AE582" s="6">
        <f>$K$582*$Y$582</f>
        <v>0</v>
      </c>
      <c r="AF582" s="6">
        <f ca="1">$M$582*$Z$582</f>
        <v>102005.90067999999</v>
      </c>
      <c r="AG582" s="6">
        <f ca="1">$O$582*$AA$582</f>
        <v>86249.50595999998</v>
      </c>
    </row>
    <row r="583" spans="1:33" ht="11.25" customHeight="1" x14ac:dyDescent="0.25">
      <c r="A583" s="4" t="s">
        <v>28</v>
      </c>
      <c r="B583" s="4" t="s">
        <v>33</v>
      </c>
      <c r="C583" s="4" t="s">
        <v>23</v>
      </c>
      <c r="D583" s="4" t="s">
        <v>34</v>
      </c>
      <c r="E583" s="4" t="s">
        <v>25</v>
      </c>
      <c r="F583" s="4" t="s">
        <v>25</v>
      </c>
      <c r="G583" s="4" t="s">
        <v>25</v>
      </c>
      <c r="H583" s="4" t="s">
        <v>25</v>
      </c>
      <c r="I583" s="5">
        <v>44440</v>
      </c>
      <c r="J583" s="6">
        <v>0</v>
      </c>
      <c r="K583" s="6">
        <v>0</v>
      </c>
      <c r="L583" s="6">
        <v>3.1440000000000001</v>
      </c>
      <c r="M583" s="6">
        <v>3.1440000000000001</v>
      </c>
      <c r="N583" s="6">
        <v>3.1440000000000001</v>
      </c>
      <c r="O583" s="6">
        <v>3.1440000000000001</v>
      </c>
      <c r="P583" s="6">
        <v>3</v>
      </c>
      <c r="Q583" s="4" t="s">
        <v>26</v>
      </c>
      <c r="R583" s="4">
        <v>0</v>
      </c>
      <c r="S583" s="6">
        <v>0</v>
      </c>
      <c r="T583" s="6">
        <v>33</v>
      </c>
      <c r="U583" s="6">
        <v>85</v>
      </c>
      <c r="V583" s="6">
        <f>IF(ISERROR(VLOOKUP($S$583,'TAR FIN'!$A$1:$O$86,15,0)),0,VLOOKUP($S$583,'TAR FIN'!$A$1:$O$86,15,0))</f>
        <v>0</v>
      </c>
      <c r="W583" s="6">
        <f>IF(ISERROR(VLOOKUP($T$583,'TAR FIN'!$A$1:$O$86,15,0)),0,VLOOKUP($T$583,'TAR FIN'!$A$1:$O$86,15,0))</f>
        <v>338.51</v>
      </c>
      <c r="X583" s="6">
        <f>IF(ISERROR(VLOOKUP($U$583,'TAR FIN'!$A$1:$O$86,15,0)),0,VLOOKUP($U$583,'TAR FIN'!$A$1:$O$86,15,0))</f>
        <v>224.01</v>
      </c>
      <c r="Y583" s="6"/>
      <c r="Z583" s="6">
        <f ca="1">('TUSD BE'!$AM$48+'TUSD BF_350'!$AM$48+'TUSD CVA'!$AM$48)*1</f>
        <v>310.49</v>
      </c>
      <c r="AA583" s="6">
        <f ca="1">('TE BE'!$AB$39+'TE BF_350'!$AB$39+'TE CVA'!$AB$39)*1</f>
        <v>262.52999999999997</v>
      </c>
      <c r="AB583" s="6">
        <f>$K$583*$V$583</f>
        <v>0</v>
      </c>
      <c r="AC583" s="6">
        <f>$M$583*$W$583</f>
        <v>1064.2754400000001</v>
      </c>
      <c r="AD583" s="6">
        <f>$O$583*$X$583</f>
        <v>704.28743999999995</v>
      </c>
      <c r="AE583" s="6">
        <f>$K$583*$Y$583</f>
        <v>0</v>
      </c>
      <c r="AF583" s="6">
        <f ca="1">$M$583*$Z$583</f>
        <v>976.18056000000001</v>
      </c>
      <c r="AG583" s="6">
        <f ca="1">$O$583*$AA$583</f>
        <v>825.39431999999999</v>
      </c>
    </row>
    <row r="584" spans="1:33" ht="11.25" customHeight="1" x14ac:dyDescent="0.25">
      <c r="A584" s="4" t="s">
        <v>21</v>
      </c>
      <c r="B584" s="4" t="s">
        <v>33</v>
      </c>
      <c r="C584" s="4" t="s">
        <v>23</v>
      </c>
      <c r="D584" s="4" t="s">
        <v>34</v>
      </c>
      <c r="E584" s="4" t="s">
        <v>25</v>
      </c>
      <c r="F584" s="4" t="s">
        <v>25</v>
      </c>
      <c r="G584" s="4" t="s">
        <v>25</v>
      </c>
      <c r="H584" s="4" t="s">
        <v>25</v>
      </c>
      <c r="I584" s="5">
        <v>44470</v>
      </c>
      <c r="J584" s="6">
        <v>0</v>
      </c>
      <c r="K584" s="6">
        <v>0</v>
      </c>
      <c r="L584" s="6">
        <v>301.72000000000003</v>
      </c>
      <c r="M584" s="6">
        <v>301.72000000000003</v>
      </c>
      <c r="N584" s="6">
        <v>301.72000000000003</v>
      </c>
      <c r="O584" s="6">
        <v>301.72000000000003</v>
      </c>
      <c r="P584" s="6">
        <v>125</v>
      </c>
      <c r="Q584" s="4" t="s">
        <v>26</v>
      </c>
      <c r="R584" s="4">
        <v>0</v>
      </c>
      <c r="S584" s="6">
        <v>0</v>
      </c>
      <c r="T584" s="6">
        <v>33</v>
      </c>
      <c r="U584" s="6">
        <v>85</v>
      </c>
      <c r="V584" s="6">
        <f>IF(ISERROR(VLOOKUP($S$584,'TAR FIN'!$A$1:$O$86,15,0)),0,VLOOKUP($S$584,'TAR FIN'!$A$1:$O$86,15,0))</f>
        <v>0</v>
      </c>
      <c r="W584" s="6">
        <f>IF(ISERROR(VLOOKUP($T$584,'TAR FIN'!$A$1:$O$86,15,0)),0,VLOOKUP($T$584,'TAR FIN'!$A$1:$O$86,15,0))</f>
        <v>338.51</v>
      </c>
      <c r="X584" s="6">
        <f>IF(ISERROR(VLOOKUP($U$584,'TAR FIN'!$A$1:$O$86,15,0)),0,VLOOKUP($U$584,'TAR FIN'!$A$1:$O$86,15,0))</f>
        <v>224.01</v>
      </c>
      <c r="Y584" s="6"/>
      <c r="Z584" s="6">
        <f ca="1">('TUSD BE'!$AM$48+'TUSD BF_350'!$AM$48+'TUSD CVA'!$AM$48)*1</f>
        <v>310.49</v>
      </c>
      <c r="AA584" s="6">
        <f ca="1">('TE BE'!$AB$39+'TE BF_350'!$AB$39+'TE CVA'!$AB$39)*1</f>
        <v>262.52999999999997</v>
      </c>
      <c r="AB584" s="6">
        <f>$K$584*$V$584</f>
        <v>0</v>
      </c>
      <c r="AC584" s="6">
        <f>$M$584*$W$584</f>
        <v>102135.2372</v>
      </c>
      <c r="AD584" s="6">
        <f>$O$584*$X$584</f>
        <v>67588.297200000001</v>
      </c>
      <c r="AE584" s="6">
        <f>$K$584*$Y$584</f>
        <v>0</v>
      </c>
      <c r="AF584" s="6">
        <f ca="1">$M$584*$Z$584</f>
        <v>93681.04280000001</v>
      </c>
      <c r="AG584" s="6">
        <f ca="1">$O$584*$AA$584</f>
        <v>79210.551600000006</v>
      </c>
    </row>
    <row r="585" spans="1:33" ht="11.25" customHeight="1" x14ac:dyDescent="0.25">
      <c r="A585" s="4" t="s">
        <v>28</v>
      </c>
      <c r="B585" s="4" t="s">
        <v>33</v>
      </c>
      <c r="C585" s="4" t="s">
        <v>23</v>
      </c>
      <c r="D585" s="4" t="s">
        <v>34</v>
      </c>
      <c r="E585" s="4" t="s">
        <v>25</v>
      </c>
      <c r="F585" s="4" t="s">
        <v>25</v>
      </c>
      <c r="G585" s="4" t="s">
        <v>25</v>
      </c>
      <c r="H585" s="4" t="s">
        <v>25</v>
      </c>
      <c r="I585" s="5">
        <v>44470</v>
      </c>
      <c r="J585" s="6">
        <v>0</v>
      </c>
      <c r="K585" s="6">
        <v>0</v>
      </c>
      <c r="L585" s="6">
        <v>1.8009999999999999</v>
      </c>
      <c r="M585" s="6">
        <v>1.8009999999999999</v>
      </c>
      <c r="N585" s="6">
        <v>1.8009999999999999</v>
      </c>
      <c r="O585" s="6">
        <v>1.8009999999999999</v>
      </c>
      <c r="P585" s="6">
        <v>3</v>
      </c>
      <c r="Q585" s="4" t="s">
        <v>26</v>
      </c>
      <c r="R585" s="4">
        <v>0</v>
      </c>
      <c r="S585" s="6">
        <v>0</v>
      </c>
      <c r="T585" s="6">
        <v>33</v>
      </c>
      <c r="U585" s="6">
        <v>85</v>
      </c>
      <c r="V585" s="6">
        <f>IF(ISERROR(VLOOKUP($S$585,'TAR FIN'!$A$1:$O$86,15,0)),0,VLOOKUP($S$585,'TAR FIN'!$A$1:$O$86,15,0))</f>
        <v>0</v>
      </c>
      <c r="W585" s="6">
        <f>IF(ISERROR(VLOOKUP($T$585,'TAR FIN'!$A$1:$O$86,15,0)),0,VLOOKUP($T$585,'TAR FIN'!$A$1:$O$86,15,0))</f>
        <v>338.51</v>
      </c>
      <c r="X585" s="6">
        <f>IF(ISERROR(VLOOKUP($U$585,'TAR FIN'!$A$1:$O$86,15,0)),0,VLOOKUP($U$585,'TAR FIN'!$A$1:$O$86,15,0))</f>
        <v>224.01</v>
      </c>
      <c r="Y585" s="6"/>
      <c r="Z585" s="6">
        <f ca="1">('TUSD BE'!$AM$48+'TUSD BF_350'!$AM$48+'TUSD CVA'!$AM$48)*1</f>
        <v>310.49</v>
      </c>
      <c r="AA585" s="6">
        <f ca="1">('TE BE'!$AB$39+'TE BF_350'!$AB$39+'TE CVA'!$AB$39)*1</f>
        <v>262.52999999999997</v>
      </c>
      <c r="AB585" s="6">
        <f>$K$585*$V$585</f>
        <v>0</v>
      </c>
      <c r="AC585" s="6">
        <f>$M$585*$W$585</f>
        <v>609.65650999999991</v>
      </c>
      <c r="AD585" s="6">
        <f>$O$585*$X$585</f>
        <v>403.44200999999998</v>
      </c>
      <c r="AE585" s="6">
        <f>$K$585*$Y$585</f>
        <v>0</v>
      </c>
      <c r="AF585" s="6">
        <f ca="1">$M$585*$Z$585</f>
        <v>559.19249000000002</v>
      </c>
      <c r="AG585" s="6">
        <f ca="1">$O$585*$AA$585</f>
        <v>472.81652999999994</v>
      </c>
    </row>
    <row r="586" spans="1:33" ht="11.25" customHeight="1" x14ac:dyDescent="0.25">
      <c r="A586" s="4" t="s">
        <v>21</v>
      </c>
      <c r="B586" s="4" t="s">
        <v>33</v>
      </c>
      <c r="C586" s="4" t="s">
        <v>23</v>
      </c>
      <c r="D586" s="4" t="s">
        <v>34</v>
      </c>
      <c r="E586" s="4" t="s">
        <v>25</v>
      </c>
      <c r="F586" s="4" t="s">
        <v>25</v>
      </c>
      <c r="G586" s="4" t="s">
        <v>25</v>
      </c>
      <c r="H586" s="4" t="s">
        <v>25</v>
      </c>
      <c r="I586" s="5">
        <v>44501</v>
      </c>
      <c r="J586" s="6">
        <v>0</v>
      </c>
      <c r="K586" s="6">
        <v>0</v>
      </c>
      <c r="L586" s="6">
        <v>306.78500000000003</v>
      </c>
      <c r="M586" s="6">
        <v>306.78500000000003</v>
      </c>
      <c r="N586" s="6">
        <v>306.78500000000003</v>
      </c>
      <c r="O586" s="6">
        <v>306.78500000000003</v>
      </c>
      <c r="P586" s="6">
        <v>126</v>
      </c>
      <c r="Q586" s="4" t="s">
        <v>26</v>
      </c>
      <c r="R586" s="4">
        <v>0</v>
      </c>
      <c r="S586" s="6">
        <v>0</v>
      </c>
      <c r="T586" s="6">
        <v>33</v>
      </c>
      <c r="U586" s="6">
        <v>85</v>
      </c>
      <c r="V586" s="6">
        <f>IF(ISERROR(VLOOKUP($S$586,'TAR FIN'!$A$1:$O$86,15,0)),0,VLOOKUP($S$586,'TAR FIN'!$A$1:$O$86,15,0))</f>
        <v>0</v>
      </c>
      <c r="W586" s="6">
        <f>IF(ISERROR(VLOOKUP($T$586,'TAR FIN'!$A$1:$O$86,15,0)),0,VLOOKUP($T$586,'TAR FIN'!$A$1:$O$86,15,0))</f>
        <v>338.51</v>
      </c>
      <c r="X586" s="6">
        <f>IF(ISERROR(VLOOKUP($U$586,'TAR FIN'!$A$1:$O$86,15,0)),0,VLOOKUP($U$586,'TAR FIN'!$A$1:$O$86,15,0))</f>
        <v>224.01</v>
      </c>
      <c r="Y586" s="6"/>
      <c r="Z586" s="6">
        <f ca="1">('TUSD BE'!$AM$48+'TUSD BF_350'!$AM$48+'TUSD CVA'!$AM$48)*1</f>
        <v>310.49</v>
      </c>
      <c r="AA586" s="6">
        <f ca="1">('TE BE'!$AB$39+'TE BF_350'!$AB$39+'TE CVA'!$AB$39)*1</f>
        <v>262.52999999999997</v>
      </c>
      <c r="AB586" s="6">
        <f>$K$586*$V$586</f>
        <v>0</v>
      </c>
      <c r="AC586" s="6">
        <f>$M$586*$W$586</f>
        <v>103849.79035000001</v>
      </c>
      <c r="AD586" s="6">
        <f>$O$586*$X$586</f>
        <v>68722.907850000003</v>
      </c>
      <c r="AE586" s="6">
        <f>$K$586*$Y$586</f>
        <v>0</v>
      </c>
      <c r="AF586" s="6">
        <f ca="1">$M$586*$Z$586</f>
        <v>95253.674650000015</v>
      </c>
      <c r="AG586" s="6">
        <f ca="1">$O$586*$AA$586</f>
        <v>80540.266049999991</v>
      </c>
    </row>
    <row r="587" spans="1:33" ht="11.25" customHeight="1" x14ac:dyDescent="0.25">
      <c r="A587" s="4" t="s">
        <v>28</v>
      </c>
      <c r="B587" s="4" t="s">
        <v>33</v>
      </c>
      <c r="C587" s="4" t="s">
        <v>23</v>
      </c>
      <c r="D587" s="4" t="s">
        <v>34</v>
      </c>
      <c r="E587" s="4" t="s">
        <v>25</v>
      </c>
      <c r="F587" s="4" t="s">
        <v>25</v>
      </c>
      <c r="G587" s="4" t="s">
        <v>25</v>
      </c>
      <c r="H587" s="4" t="s">
        <v>25</v>
      </c>
      <c r="I587" s="5">
        <v>44501</v>
      </c>
      <c r="J587" s="6">
        <v>0</v>
      </c>
      <c r="K587" s="6">
        <v>0</v>
      </c>
      <c r="L587" s="6">
        <v>0.3</v>
      </c>
      <c r="M587" s="6">
        <v>0.3</v>
      </c>
      <c r="N587" s="6">
        <v>0.3</v>
      </c>
      <c r="O587" s="6">
        <v>0.3</v>
      </c>
      <c r="P587" s="6">
        <v>3</v>
      </c>
      <c r="Q587" s="4" t="s">
        <v>26</v>
      </c>
      <c r="R587" s="4">
        <v>0</v>
      </c>
      <c r="S587" s="6">
        <v>0</v>
      </c>
      <c r="T587" s="6">
        <v>33</v>
      </c>
      <c r="U587" s="6">
        <v>85</v>
      </c>
      <c r="V587" s="6">
        <f>IF(ISERROR(VLOOKUP($S$587,'TAR FIN'!$A$1:$O$86,15,0)),0,VLOOKUP($S$587,'TAR FIN'!$A$1:$O$86,15,0))</f>
        <v>0</v>
      </c>
      <c r="W587" s="6">
        <f>IF(ISERROR(VLOOKUP($T$587,'TAR FIN'!$A$1:$O$86,15,0)),0,VLOOKUP($T$587,'TAR FIN'!$A$1:$O$86,15,0))</f>
        <v>338.51</v>
      </c>
      <c r="X587" s="6">
        <f>IF(ISERROR(VLOOKUP($U$587,'TAR FIN'!$A$1:$O$86,15,0)),0,VLOOKUP($U$587,'TAR FIN'!$A$1:$O$86,15,0))</f>
        <v>224.01</v>
      </c>
      <c r="Y587" s="6"/>
      <c r="Z587" s="6">
        <f ca="1">('TUSD BE'!$AM$48+'TUSD BF_350'!$AM$48+'TUSD CVA'!$AM$48)*1</f>
        <v>310.49</v>
      </c>
      <c r="AA587" s="6">
        <f ca="1">('TE BE'!$AB$39+'TE BF_350'!$AB$39+'TE CVA'!$AB$39)*1</f>
        <v>262.52999999999997</v>
      </c>
      <c r="AB587" s="6">
        <f>$K$587*$V$587</f>
        <v>0</v>
      </c>
      <c r="AC587" s="6">
        <f>$M$587*$W$587</f>
        <v>101.553</v>
      </c>
      <c r="AD587" s="6">
        <f>$O$587*$X$587</f>
        <v>67.202999999999989</v>
      </c>
      <c r="AE587" s="6">
        <f>$K$587*$Y$587</f>
        <v>0</v>
      </c>
      <c r="AF587" s="6">
        <f ca="1">$M$587*$Z$587</f>
        <v>93.147000000000006</v>
      </c>
      <c r="AG587" s="6">
        <f ca="1">$O$587*$AA$587</f>
        <v>78.758999999999986</v>
      </c>
    </row>
    <row r="588" spans="1:33" ht="11.25" customHeight="1" x14ac:dyDescent="0.25">
      <c r="A588" s="4" t="s">
        <v>21</v>
      </c>
      <c r="B588" s="4" t="s">
        <v>33</v>
      </c>
      <c r="C588" s="4" t="s">
        <v>23</v>
      </c>
      <c r="D588" s="4" t="s">
        <v>34</v>
      </c>
      <c r="E588" s="4" t="s">
        <v>25</v>
      </c>
      <c r="F588" s="4" t="s">
        <v>25</v>
      </c>
      <c r="G588" s="4" t="s">
        <v>25</v>
      </c>
      <c r="H588" s="4" t="s">
        <v>25</v>
      </c>
      <c r="I588" s="5">
        <v>44531</v>
      </c>
      <c r="J588" s="6">
        <v>0</v>
      </c>
      <c r="K588" s="6">
        <v>0</v>
      </c>
      <c r="L588" s="6">
        <v>287.49400000000003</v>
      </c>
      <c r="M588" s="6">
        <v>287.49400000000003</v>
      </c>
      <c r="N588" s="6">
        <v>287.49400000000003</v>
      </c>
      <c r="O588" s="6">
        <v>287.49400000000003</v>
      </c>
      <c r="P588" s="6">
        <v>126</v>
      </c>
      <c r="Q588" s="4" t="s">
        <v>26</v>
      </c>
      <c r="R588" s="4">
        <v>0</v>
      </c>
      <c r="S588" s="6">
        <v>0</v>
      </c>
      <c r="T588" s="6">
        <v>33</v>
      </c>
      <c r="U588" s="6">
        <v>85</v>
      </c>
      <c r="V588" s="6">
        <f>IF(ISERROR(VLOOKUP($S$588,'TAR FIN'!$A$1:$O$86,15,0)),0,VLOOKUP($S$588,'TAR FIN'!$A$1:$O$86,15,0))</f>
        <v>0</v>
      </c>
      <c r="W588" s="6">
        <f>IF(ISERROR(VLOOKUP($T$588,'TAR FIN'!$A$1:$O$86,15,0)),0,VLOOKUP($T$588,'TAR FIN'!$A$1:$O$86,15,0))</f>
        <v>338.51</v>
      </c>
      <c r="X588" s="6">
        <f>IF(ISERROR(VLOOKUP($U$588,'TAR FIN'!$A$1:$O$86,15,0)),0,VLOOKUP($U$588,'TAR FIN'!$A$1:$O$86,15,0))</f>
        <v>224.01</v>
      </c>
      <c r="Y588" s="6"/>
      <c r="Z588" s="6">
        <f ca="1">('TUSD BE'!$AM$48+'TUSD BF_350'!$AM$48+'TUSD CVA'!$AM$48)*1</f>
        <v>310.49</v>
      </c>
      <c r="AA588" s="6">
        <f ca="1">('TE BE'!$AB$39+'TE BF_350'!$AB$39+'TE CVA'!$AB$39)*1</f>
        <v>262.52999999999997</v>
      </c>
      <c r="AB588" s="6">
        <f>$K$588*$V$588</f>
        <v>0</v>
      </c>
      <c r="AC588" s="6">
        <f>$M$588*$W$588</f>
        <v>97319.593940000006</v>
      </c>
      <c r="AD588" s="6">
        <f>$O$588*$X$588</f>
        <v>64401.530940000004</v>
      </c>
      <c r="AE588" s="6">
        <f>$K$588*$Y$588</f>
        <v>0</v>
      </c>
      <c r="AF588" s="6">
        <f ca="1">$M$588*$Z$588</f>
        <v>89264.012060000008</v>
      </c>
      <c r="AG588" s="6">
        <f ca="1">$O$588*$AA$588</f>
        <v>75475.79982</v>
      </c>
    </row>
    <row r="589" spans="1:33" ht="11.25" customHeight="1" x14ac:dyDescent="0.25">
      <c r="A589" s="4" t="s">
        <v>28</v>
      </c>
      <c r="B589" s="4" t="s">
        <v>33</v>
      </c>
      <c r="C589" s="4" t="s">
        <v>23</v>
      </c>
      <c r="D589" s="4" t="s">
        <v>34</v>
      </c>
      <c r="E589" s="4" t="s">
        <v>25</v>
      </c>
      <c r="F589" s="4" t="s">
        <v>25</v>
      </c>
      <c r="G589" s="4" t="s">
        <v>25</v>
      </c>
      <c r="H589" s="4" t="s">
        <v>25</v>
      </c>
      <c r="I589" s="5">
        <v>44531</v>
      </c>
      <c r="J589" s="6">
        <v>0</v>
      </c>
      <c r="K589" s="6">
        <v>0</v>
      </c>
      <c r="L589" s="6">
        <v>3.3220000000000001</v>
      </c>
      <c r="M589" s="6">
        <v>3.3220000000000001</v>
      </c>
      <c r="N589" s="6">
        <v>3.3220000000000001</v>
      </c>
      <c r="O589" s="6">
        <v>3.3220000000000001</v>
      </c>
      <c r="P589" s="6">
        <v>3</v>
      </c>
      <c r="Q589" s="4" t="s">
        <v>26</v>
      </c>
      <c r="R589" s="4">
        <v>0</v>
      </c>
      <c r="S589" s="6">
        <v>0</v>
      </c>
      <c r="T589" s="6">
        <v>33</v>
      </c>
      <c r="U589" s="6">
        <v>85</v>
      </c>
      <c r="V589" s="6">
        <f>IF(ISERROR(VLOOKUP($S$589,'TAR FIN'!$A$1:$O$86,15,0)),0,VLOOKUP($S$589,'TAR FIN'!$A$1:$O$86,15,0))</f>
        <v>0</v>
      </c>
      <c r="W589" s="6">
        <f>IF(ISERROR(VLOOKUP($T$589,'TAR FIN'!$A$1:$O$86,15,0)),0,VLOOKUP($T$589,'TAR FIN'!$A$1:$O$86,15,0))</f>
        <v>338.51</v>
      </c>
      <c r="X589" s="6">
        <f>IF(ISERROR(VLOOKUP($U$589,'TAR FIN'!$A$1:$O$86,15,0)),0,VLOOKUP($U$589,'TAR FIN'!$A$1:$O$86,15,0))</f>
        <v>224.01</v>
      </c>
      <c r="Y589" s="6"/>
      <c r="Z589" s="6">
        <f ca="1">('TUSD BE'!$AM$48+'TUSD BF_350'!$AM$48+'TUSD CVA'!$AM$48)*1</f>
        <v>310.49</v>
      </c>
      <c r="AA589" s="6">
        <f ca="1">('TE BE'!$AB$39+'TE BF_350'!$AB$39+'TE CVA'!$AB$39)*1</f>
        <v>262.52999999999997</v>
      </c>
      <c r="AB589" s="6">
        <f>$K$589*$V$589</f>
        <v>0</v>
      </c>
      <c r="AC589" s="6">
        <f>$M$589*$W$589</f>
        <v>1124.5302200000001</v>
      </c>
      <c r="AD589" s="6">
        <f>$O$589*$X$589</f>
        <v>744.16121999999996</v>
      </c>
      <c r="AE589" s="6">
        <f>$K$589*$Y$589</f>
        <v>0</v>
      </c>
      <c r="AF589" s="6">
        <f ca="1">$M$589*$Z$589</f>
        <v>1031.44778</v>
      </c>
      <c r="AG589" s="6">
        <f ca="1">$O$589*$AA$589</f>
        <v>872.12465999999995</v>
      </c>
    </row>
    <row r="590" spans="1:33" ht="11.25" customHeight="1" x14ac:dyDescent="0.25">
      <c r="A590" s="4" t="s">
        <v>21</v>
      </c>
      <c r="B590" s="4" t="s">
        <v>33</v>
      </c>
      <c r="C590" s="4" t="s">
        <v>23</v>
      </c>
      <c r="D590" s="4" t="s">
        <v>34</v>
      </c>
      <c r="E590" s="4" t="s">
        <v>25</v>
      </c>
      <c r="F590" s="4" t="s">
        <v>25</v>
      </c>
      <c r="G590" s="4" t="s">
        <v>25</v>
      </c>
      <c r="H590" s="4" t="s">
        <v>25</v>
      </c>
      <c r="I590" s="5">
        <v>44562</v>
      </c>
      <c r="J590" s="6">
        <v>0</v>
      </c>
      <c r="K590" s="6">
        <v>0</v>
      </c>
      <c r="L590" s="6">
        <v>255.00800000000001</v>
      </c>
      <c r="M590" s="6">
        <v>255.00800000000001</v>
      </c>
      <c r="N590" s="6">
        <v>255.00800000000001</v>
      </c>
      <c r="O590" s="6">
        <v>255.00800000000001</v>
      </c>
      <c r="P590" s="6">
        <v>125</v>
      </c>
      <c r="Q590" s="4" t="s">
        <v>26</v>
      </c>
      <c r="R590" s="4">
        <v>0</v>
      </c>
      <c r="S590" s="6">
        <v>0</v>
      </c>
      <c r="T590" s="6">
        <v>33</v>
      </c>
      <c r="U590" s="6">
        <v>85</v>
      </c>
      <c r="V590" s="6">
        <f>IF(ISERROR(VLOOKUP($S$590,'TAR FIN'!$A$1:$O$86,15,0)),0,VLOOKUP($S$590,'TAR FIN'!$A$1:$O$86,15,0))</f>
        <v>0</v>
      </c>
      <c r="W590" s="6">
        <f>IF(ISERROR(VLOOKUP($T$590,'TAR FIN'!$A$1:$O$86,15,0)),0,VLOOKUP($T$590,'TAR FIN'!$A$1:$O$86,15,0))</f>
        <v>338.51</v>
      </c>
      <c r="X590" s="6">
        <f>IF(ISERROR(VLOOKUP($U$590,'TAR FIN'!$A$1:$O$86,15,0)),0,VLOOKUP($U$590,'TAR FIN'!$A$1:$O$86,15,0))</f>
        <v>224.01</v>
      </c>
      <c r="Y590" s="6"/>
      <c r="Z590" s="6">
        <f ca="1">('TUSD BE'!$AM$48+'TUSD BF_350'!$AM$48+'TUSD CVA'!$AM$48)*1</f>
        <v>310.49</v>
      </c>
      <c r="AA590" s="6">
        <f ca="1">('TE BE'!$AB$39+'TE BF_350'!$AB$39+'TE CVA'!$AB$39)*1</f>
        <v>262.52999999999997</v>
      </c>
      <c r="AB590" s="6">
        <f>$K$590*$V$590</f>
        <v>0</v>
      </c>
      <c r="AC590" s="6">
        <f>$M$590*$W$590</f>
        <v>86322.75808</v>
      </c>
      <c r="AD590" s="6">
        <f>$O$590*$X$590</f>
        <v>57124.342080000002</v>
      </c>
      <c r="AE590" s="6">
        <f>$K$590*$Y$590</f>
        <v>0</v>
      </c>
      <c r="AF590" s="6">
        <f ca="1">$M$590*$Z$590</f>
        <v>79177.43392000001</v>
      </c>
      <c r="AG590" s="6">
        <f ca="1">$O$590*$AA$590</f>
        <v>66947.250239999994</v>
      </c>
    </row>
    <row r="591" spans="1:33" ht="11.25" customHeight="1" x14ac:dyDescent="0.25">
      <c r="A591" s="4" t="s">
        <v>28</v>
      </c>
      <c r="B591" s="4" t="s">
        <v>33</v>
      </c>
      <c r="C591" s="4" t="s">
        <v>23</v>
      </c>
      <c r="D591" s="4" t="s">
        <v>34</v>
      </c>
      <c r="E591" s="4" t="s">
        <v>25</v>
      </c>
      <c r="F591" s="4" t="s">
        <v>25</v>
      </c>
      <c r="G591" s="4" t="s">
        <v>25</v>
      </c>
      <c r="H591" s="4" t="s">
        <v>25</v>
      </c>
      <c r="I591" s="5">
        <v>44562</v>
      </c>
      <c r="J591" s="6">
        <v>0</v>
      </c>
      <c r="K591" s="6">
        <v>0</v>
      </c>
      <c r="L591" s="6">
        <v>10.545</v>
      </c>
      <c r="M591" s="6">
        <v>10.545</v>
      </c>
      <c r="N591" s="6">
        <v>10.545</v>
      </c>
      <c r="O591" s="6">
        <v>10.545</v>
      </c>
      <c r="P591" s="6">
        <v>5</v>
      </c>
      <c r="Q591" s="4" t="s">
        <v>26</v>
      </c>
      <c r="R591" s="4">
        <v>0</v>
      </c>
      <c r="S591" s="6">
        <v>0</v>
      </c>
      <c r="T591" s="6">
        <v>33</v>
      </c>
      <c r="U591" s="6">
        <v>85</v>
      </c>
      <c r="V591" s="6">
        <f>IF(ISERROR(VLOOKUP($S$591,'TAR FIN'!$A$1:$O$86,15,0)),0,VLOOKUP($S$591,'TAR FIN'!$A$1:$O$86,15,0))</f>
        <v>0</v>
      </c>
      <c r="W591" s="6">
        <f>IF(ISERROR(VLOOKUP($T$591,'TAR FIN'!$A$1:$O$86,15,0)),0,VLOOKUP($T$591,'TAR FIN'!$A$1:$O$86,15,0))</f>
        <v>338.51</v>
      </c>
      <c r="X591" s="6">
        <f>IF(ISERROR(VLOOKUP($U$591,'TAR FIN'!$A$1:$O$86,15,0)),0,VLOOKUP($U$591,'TAR FIN'!$A$1:$O$86,15,0))</f>
        <v>224.01</v>
      </c>
      <c r="Y591" s="6"/>
      <c r="Z591" s="6">
        <f ca="1">('TUSD BE'!$AM$48+'TUSD BF_350'!$AM$48+'TUSD CVA'!$AM$48)*1</f>
        <v>310.49</v>
      </c>
      <c r="AA591" s="6">
        <f ca="1">('TE BE'!$AB$39+'TE BF_350'!$AB$39+'TE CVA'!$AB$39)*1</f>
        <v>262.52999999999997</v>
      </c>
      <c r="AB591" s="6">
        <f>$K$591*$V$591</f>
        <v>0</v>
      </c>
      <c r="AC591" s="6">
        <f>$M$591*$W$591</f>
        <v>3569.5879500000001</v>
      </c>
      <c r="AD591" s="6">
        <f>$O$591*$X$591</f>
        <v>2362.1854499999999</v>
      </c>
      <c r="AE591" s="6">
        <f>$K$591*$Y$591</f>
        <v>0</v>
      </c>
      <c r="AF591" s="6">
        <f ca="1">$M$591*$Z$591</f>
        <v>3274.1170500000003</v>
      </c>
      <c r="AG591" s="6">
        <f ca="1">$O$591*$AA$591</f>
        <v>2768.3788499999996</v>
      </c>
    </row>
    <row r="592" spans="1:33" ht="11.25" customHeight="1" x14ac:dyDescent="0.25">
      <c r="A592" s="4" t="s">
        <v>21</v>
      </c>
      <c r="B592" s="4" t="s">
        <v>33</v>
      </c>
      <c r="C592" s="4" t="s">
        <v>23</v>
      </c>
      <c r="D592" s="4" t="s">
        <v>34</v>
      </c>
      <c r="E592" s="4" t="s">
        <v>25</v>
      </c>
      <c r="F592" s="4" t="s">
        <v>25</v>
      </c>
      <c r="G592" s="4" t="s">
        <v>25</v>
      </c>
      <c r="H592" s="4" t="s">
        <v>25</v>
      </c>
      <c r="I592" s="5">
        <v>44593</v>
      </c>
      <c r="J592" s="6">
        <v>0</v>
      </c>
      <c r="K592" s="6">
        <v>0</v>
      </c>
      <c r="L592" s="6">
        <v>307.94400000000002</v>
      </c>
      <c r="M592" s="6">
        <v>307.94400000000002</v>
      </c>
      <c r="N592" s="6">
        <v>307.94400000000002</v>
      </c>
      <c r="O592" s="6">
        <v>307.94400000000002</v>
      </c>
      <c r="P592" s="6">
        <v>127</v>
      </c>
      <c r="Q592" s="4" t="s">
        <v>26</v>
      </c>
      <c r="R592" s="4">
        <v>0</v>
      </c>
      <c r="S592" s="6">
        <v>0</v>
      </c>
      <c r="T592" s="6">
        <v>33</v>
      </c>
      <c r="U592" s="6">
        <v>85</v>
      </c>
      <c r="V592" s="6">
        <f>IF(ISERROR(VLOOKUP($S$592,'TAR FIN'!$A$1:$O$86,15,0)),0,VLOOKUP($S$592,'TAR FIN'!$A$1:$O$86,15,0))</f>
        <v>0</v>
      </c>
      <c r="W592" s="6">
        <f>IF(ISERROR(VLOOKUP($T$592,'TAR FIN'!$A$1:$O$86,15,0)),0,VLOOKUP($T$592,'TAR FIN'!$A$1:$O$86,15,0))</f>
        <v>338.51</v>
      </c>
      <c r="X592" s="6">
        <f>IF(ISERROR(VLOOKUP($U$592,'TAR FIN'!$A$1:$O$86,15,0)),0,VLOOKUP($U$592,'TAR FIN'!$A$1:$O$86,15,0))</f>
        <v>224.01</v>
      </c>
      <c r="Y592" s="6"/>
      <c r="Z592" s="6">
        <f ca="1">('TUSD BE'!$AM$48+'TUSD BF_350'!$AM$48+'TUSD CVA'!$AM$48)*1</f>
        <v>310.49</v>
      </c>
      <c r="AA592" s="6">
        <f ca="1">('TE BE'!$AB$39+'TE BF_350'!$AB$39+'TE CVA'!$AB$39)*1</f>
        <v>262.52999999999997</v>
      </c>
      <c r="AB592" s="6">
        <f>$K$592*$V$592</f>
        <v>0</v>
      </c>
      <c r="AC592" s="6">
        <f>$M$592*$W$592</f>
        <v>104242.12344</v>
      </c>
      <c r="AD592" s="6">
        <f>$O$592*$X$592</f>
        <v>68982.535440000007</v>
      </c>
      <c r="AE592" s="6">
        <f>$K$592*$Y$592</f>
        <v>0</v>
      </c>
      <c r="AF592" s="6">
        <f ca="1">$M$592*$Z$592</f>
        <v>95613.532560000007</v>
      </c>
      <c r="AG592" s="6">
        <f ca="1">$O$592*$AA$592</f>
        <v>80844.538319999992</v>
      </c>
    </row>
    <row r="593" spans="1:33" ht="11.25" customHeight="1" x14ac:dyDescent="0.25">
      <c r="A593" s="4" t="s">
        <v>28</v>
      </c>
      <c r="B593" s="4" t="s">
        <v>33</v>
      </c>
      <c r="C593" s="4" t="s">
        <v>23</v>
      </c>
      <c r="D593" s="4" t="s">
        <v>34</v>
      </c>
      <c r="E593" s="4" t="s">
        <v>25</v>
      </c>
      <c r="F593" s="4" t="s">
        <v>25</v>
      </c>
      <c r="G593" s="4" t="s">
        <v>25</v>
      </c>
      <c r="H593" s="4" t="s">
        <v>25</v>
      </c>
      <c r="I593" s="5">
        <v>44593</v>
      </c>
      <c r="J593" s="6">
        <v>0</v>
      </c>
      <c r="K593" s="6">
        <v>0</v>
      </c>
      <c r="L593" s="6">
        <v>7.2309999999999999</v>
      </c>
      <c r="M593" s="6">
        <v>7.2309999999999999</v>
      </c>
      <c r="N593" s="6">
        <v>7.2309999999999999</v>
      </c>
      <c r="O593" s="6">
        <v>7.2309999999999999</v>
      </c>
      <c r="P593" s="6">
        <v>5</v>
      </c>
      <c r="Q593" s="4" t="s">
        <v>26</v>
      </c>
      <c r="R593" s="4">
        <v>0</v>
      </c>
      <c r="S593" s="6">
        <v>0</v>
      </c>
      <c r="T593" s="6">
        <v>33</v>
      </c>
      <c r="U593" s="6">
        <v>85</v>
      </c>
      <c r="V593" s="6">
        <f>IF(ISERROR(VLOOKUP($S$593,'TAR FIN'!$A$1:$O$86,15,0)),0,VLOOKUP($S$593,'TAR FIN'!$A$1:$O$86,15,0))</f>
        <v>0</v>
      </c>
      <c r="W593" s="6">
        <f>IF(ISERROR(VLOOKUP($T$593,'TAR FIN'!$A$1:$O$86,15,0)),0,VLOOKUP($T$593,'TAR FIN'!$A$1:$O$86,15,0))</f>
        <v>338.51</v>
      </c>
      <c r="X593" s="6">
        <f>IF(ISERROR(VLOOKUP($U$593,'TAR FIN'!$A$1:$O$86,15,0)),0,VLOOKUP($U$593,'TAR FIN'!$A$1:$O$86,15,0))</f>
        <v>224.01</v>
      </c>
      <c r="Y593" s="6"/>
      <c r="Z593" s="6">
        <f ca="1">('TUSD BE'!$AM$48+'TUSD BF_350'!$AM$48+'TUSD CVA'!$AM$48)*1</f>
        <v>310.49</v>
      </c>
      <c r="AA593" s="6">
        <f ca="1">('TE BE'!$AB$39+'TE BF_350'!$AB$39+'TE CVA'!$AB$39)*1</f>
        <v>262.52999999999997</v>
      </c>
      <c r="AB593" s="6">
        <f>$K$593*$V$593</f>
        <v>0</v>
      </c>
      <c r="AC593" s="6">
        <f>$M$593*$W$593</f>
        <v>2447.7658099999999</v>
      </c>
      <c r="AD593" s="6">
        <f>$O$593*$X$593</f>
        <v>1619.8163099999999</v>
      </c>
      <c r="AE593" s="6">
        <f>$K$593*$Y$593</f>
        <v>0</v>
      </c>
      <c r="AF593" s="6">
        <f ca="1">$M$593*$Z$593</f>
        <v>2245.15319</v>
      </c>
      <c r="AG593" s="6">
        <f ca="1">$O$593*$AA$593</f>
        <v>1898.3544299999999</v>
      </c>
    </row>
    <row r="594" spans="1:33" ht="11.25" customHeight="1" x14ac:dyDescent="0.25">
      <c r="A594" s="4" t="s">
        <v>21</v>
      </c>
      <c r="B594" s="4" t="s">
        <v>33</v>
      </c>
      <c r="C594" s="4" t="s">
        <v>23</v>
      </c>
      <c r="D594" s="4" t="s">
        <v>34</v>
      </c>
      <c r="E594" s="4" t="s">
        <v>25</v>
      </c>
      <c r="F594" s="4" t="s">
        <v>25</v>
      </c>
      <c r="G594" s="4" t="s">
        <v>25</v>
      </c>
      <c r="H594" s="4" t="s">
        <v>25</v>
      </c>
      <c r="I594" s="5">
        <v>44621</v>
      </c>
      <c r="J594" s="6">
        <v>0</v>
      </c>
      <c r="K594" s="6">
        <v>0</v>
      </c>
      <c r="L594" s="6">
        <v>295.77800000000002</v>
      </c>
      <c r="M594" s="6">
        <v>295.77800000000002</v>
      </c>
      <c r="N594" s="6">
        <v>295.77800000000002</v>
      </c>
      <c r="O594" s="6">
        <v>295.77800000000002</v>
      </c>
      <c r="P594" s="6">
        <v>127</v>
      </c>
      <c r="Q594" s="4" t="s">
        <v>26</v>
      </c>
      <c r="R594" s="4">
        <v>0</v>
      </c>
      <c r="S594" s="6">
        <v>0</v>
      </c>
      <c r="T594" s="6">
        <v>33</v>
      </c>
      <c r="U594" s="6">
        <v>85</v>
      </c>
      <c r="V594" s="6">
        <f>IF(ISERROR(VLOOKUP($S$594,'TAR FIN'!$A$1:$O$86,15,0)),0,VLOOKUP($S$594,'TAR FIN'!$A$1:$O$86,15,0))</f>
        <v>0</v>
      </c>
      <c r="W594" s="6">
        <f>IF(ISERROR(VLOOKUP($T$594,'TAR FIN'!$A$1:$O$86,15,0)),0,VLOOKUP($T$594,'TAR FIN'!$A$1:$O$86,15,0))</f>
        <v>338.51</v>
      </c>
      <c r="X594" s="6">
        <f>IF(ISERROR(VLOOKUP($U$594,'TAR FIN'!$A$1:$O$86,15,0)),0,VLOOKUP($U$594,'TAR FIN'!$A$1:$O$86,15,0))</f>
        <v>224.01</v>
      </c>
      <c r="Y594" s="6"/>
      <c r="Z594" s="6">
        <f ca="1">('TUSD BE'!$AM$48+'TUSD BF_350'!$AM$48+'TUSD CVA'!$AM$48)*1</f>
        <v>310.49</v>
      </c>
      <c r="AA594" s="6">
        <f ca="1">('TE BE'!$AB$39+'TE BF_350'!$AB$39+'TE CVA'!$AB$39)*1</f>
        <v>262.52999999999997</v>
      </c>
      <c r="AB594" s="6">
        <f>$K$594*$V$594</f>
        <v>0</v>
      </c>
      <c r="AC594" s="6">
        <f>$M$594*$W$594</f>
        <v>100123.81078</v>
      </c>
      <c r="AD594" s="6">
        <f>$O$594*$X$594</f>
        <v>66257.229780000009</v>
      </c>
      <c r="AE594" s="6">
        <f>$K$594*$Y$594</f>
        <v>0</v>
      </c>
      <c r="AF594" s="6">
        <f ca="1">$M$594*$Z$594</f>
        <v>91836.111220000006</v>
      </c>
      <c r="AG594" s="6">
        <f ca="1">$O$594*$AA$594</f>
        <v>77650.598339999997</v>
      </c>
    </row>
    <row r="595" spans="1:33" ht="11.25" customHeight="1" x14ac:dyDescent="0.25">
      <c r="A595" s="4" t="s">
        <v>28</v>
      </c>
      <c r="B595" s="4" t="s">
        <v>33</v>
      </c>
      <c r="C595" s="4" t="s">
        <v>23</v>
      </c>
      <c r="D595" s="4" t="s">
        <v>34</v>
      </c>
      <c r="E595" s="4" t="s">
        <v>25</v>
      </c>
      <c r="F595" s="4" t="s">
        <v>25</v>
      </c>
      <c r="G595" s="4" t="s">
        <v>25</v>
      </c>
      <c r="H595" s="4" t="s">
        <v>25</v>
      </c>
      <c r="I595" s="5">
        <v>44621</v>
      </c>
      <c r="J595" s="6">
        <v>0</v>
      </c>
      <c r="K595" s="6">
        <v>0</v>
      </c>
      <c r="L595" s="6">
        <v>9.0220000000000002</v>
      </c>
      <c r="M595" s="6">
        <v>9.0220000000000002</v>
      </c>
      <c r="N595" s="6">
        <v>9.0220000000000002</v>
      </c>
      <c r="O595" s="6">
        <v>9.0220000000000002</v>
      </c>
      <c r="P595" s="6">
        <v>5</v>
      </c>
      <c r="Q595" s="4" t="s">
        <v>26</v>
      </c>
      <c r="R595" s="4">
        <v>0</v>
      </c>
      <c r="S595" s="6">
        <v>0</v>
      </c>
      <c r="T595" s="6">
        <v>33</v>
      </c>
      <c r="U595" s="6">
        <v>85</v>
      </c>
      <c r="V595" s="6">
        <f>IF(ISERROR(VLOOKUP($S$595,'TAR FIN'!$A$1:$O$86,15,0)),0,VLOOKUP($S$595,'TAR FIN'!$A$1:$O$86,15,0))</f>
        <v>0</v>
      </c>
      <c r="W595" s="6">
        <f>IF(ISERROR(VLOOKUP($T$595,'TAR FIN'!$A$1:$O$86,15,0)),0,VLOOKUP($T$595,'TAR FIN'!$A$1:$O$86,15,0))</f>
        <v>338.51</v>
      </c>
      <c r="X595" s="6">
        <f>IF(ISERROR(VLOOKUP($U$595,'TAR FIN'!$A$1:$O$86,15,0)),0,VLOOKUP($U$595,'TAR FIN'!$A$1:$O$86,15,0))</f>
        <v>224.01</v>
      </c>
      <c r="Y595" s="6"/>
      <c r="Z595" s="6">
        <f ca="1">('TUSD BE'!$AM$48+'TUSD BF_350'!$AM$48+'TUSD CVA'!$AM$48)*1</f>
        <v>310.49</v>
      </c>
      <c r="AA595" s="6">
        <f ca="1">('TE BE'!$AB$39+'TE BF_350'!$AB$39+'TE CVA'!$AB$39)*1</f>
        <v>262.52999999999997</v>
      </c>
      <c r="AB595" s="6">
        <f>$K$595*$V$595</f>
        <v>0</v>
      </c>
      <c r="AC595" s="6">
        <f>$M$595*$W$595</f>
        <v>3054.0372200000002</v>
      </c>
      <c r="AD595" s="6">
        <f>$O$595*$X$595</f>
        <v>2021.0182199999999</v>
      </c>
      <c r="AE595" s="6">
        <f>$K$595*$Y$595</f>
        <v>0</v>
      </c>
      <c r="AF595" s="6">
        <f ca="1">$M$595*$Z$595</f>
        <v>2801.2407800000001</v>
      </c>
      <c r="AG595" s="6">
        <f ca="1">$O$595*$AA$595</f>
        <v>2368.5456599999998</v>
      </c>
    </row>
    <row r="596" spans="1:33" ht="11.25" customHeight="1" x14ac:dyDescent="0.25">
      <c r="A596" s="4" t="s">
        <v>21</v>
      </c>
      <c r="B596" s="4" t="s">
        <v>33</v>
      </c>
      <c r="C596" s="4" t="s">
        <v>23</v>
      </c>
      <c r="D596" s="4" t="s">
        <v>34</v>
      </c>
      <c r="E596" s="4" t="s">
        <v>25</v>
      </c>
      <c r="F596" s="4" t="s">
        <v>25</v>
      </c>
      <c r="G596" s="4" t="s">
        <v>25</v>
      </c>
      <c r="H596" s="4" t="s">
        <v>25</v>
      </c>
      <c r="I596" s="5">
        <v>44652</v>
      </c>
      <c r="J596" s="6">
        <v>0</v>
      </c>
      <c r="K596" s="6">
        <v>0</v>
      </c>
      <c r="L596" s="6">
        <v>281.45699999999999</v>
      </c>
      <c r="M596" s="6">
        <v>281.45699999999999</v>
      </c>
      <c r="N596" s="6">
        <v>281.45699999999999</v>
      </c>
      <c r="O596" s="6">
        <v>281.45699999999999</v>
      </c>
      <c r="P596" s="6">
        <v>126</v>
      </c>
      <c r="Q596" s="4" t="s">
        <v>26</v>
      </c>
      <c r="R596" s="4">
        <v>0</v>
      </c>
      <c r="S596" s="6">
        <v>0</v>
      </c>
      <c r="T596" s="6">
        <v>33</v>
      </c>
      <c r="U596" s="6">
        <v>85</v>
      </c>
      <c r="V596" s="6">
        <f>IF(ISERROR(VLOOKUP($S$596,'TAR FIN'!$A$1:$O$86,15,0)),0,VLOOKUP($S$596,'TAR FIN'!$A$1:$O$86,15,0))</f>
        <v>0</v>
      </c>
      <c r="W596" s="6">
        <f>IF(ISERROR(VLOOKUP($T$596,'TAR FIN'!$A$1:$O$86,15,0)),0,VLOOKUP($T$596,'TAR FIN'!$A$1:$O$86,15,0))</f>
        <v>338.51</v>
      </c>
      <c r="X596" s="6">
        <f>IF(ISERROR(VLOOKUP($U$596,'TAR FIN'!$A$1:$O$86,15,0)),0,VLOOKUP($U$596,'TAR FIN'!$A$1:$O$86,15,0))</f>
        <v>224.01</v>
      </c>
      <c r="Y596" s="6"/>
      <c r="Z596" s="6">
        <f ca="1">('TUSD BE'!$AM$48+'TUSD BF_350'!$AM$48+'TUSD CVA'!$AM$48)*1</f>
        <v>310.49</v>
      </c>
      <c r="AA596" s="6">
        <f ca="1">('TE BE'!$AB$39+'TE BF_350'!$AB$39+'TE CVA'!$AB$39)*1</f>
        <v>262.52999999999997</v>
      </c>
      <c r="AB596" s="6">
        <f>$K$596*$V$596</f>
        <v>0</v>
      </c>
      <c r="AC596" s="6">
        <f>$M$596*$W$596</f>
        <v>95276.00907</v>
      </c>
      <c r="AD596" s="6">
        <f>$O$596*$X$596</f>
        <v>63049.182569999997</v>
      </c>
      <c r="AE596" s="6">
        <f>$K$596*$Y$596</f>
        <v>0</v>
      </c>
      <c r="AF596" s="6">
        <f ca="1">$M$596*$Z$596</f>
        <v>87389.583929999993</v>
      </c>
      <c r="AG596" s="6">
        <f ca="1">$O$596*$AA$596</f>
        <v>73890.906209999986</v>
      </c>
    </row>
    <row r="597" spans="1:33" ht="11.25" customHeight="1" x14ac:dyDescent="0.25">
      <c r="A597" s="4" t="s">
        <v>28</v>
      </c>
      <c r="B597" s="4" t="s">
        <v>33</v>
      </c>
      <c r="C597" s="4" t="s">
        <v>23</v>
      </c>
      <c r="D597" s="4" t="s">
        <v>34</v>
      </c>
      <c r="E597" s="4" t="s">
        <v>25</v>
      </c>
      <c r="F597" s="4" t="s">
        <v>25</v>
      </c>
      <c r="G597" s="4" t="s">
        <v>25</v>
      </c>
      <c r="H597" s="4" t="s">
        <v>25</v>
      </c>
      <c r="I597" s="5">
        <v>44652</v>
      </c>
      <c r="J597" s="6">
        <v>0</v>
      </c>
      <c r="K597" s="6">
        <v>0</v>
      </c>
      <c r="L597" s="6">
        <v>12.887</v>
      </c>
      <c r="M597" s="6">
        <v>12.887</v>
      </c>
      <c r="N597" s="6">
        <v>12.887</v>
      </c>
      <c r="O597" s="6">
        <v>12.887</v>
      </c>
      <c r="P597" s="6">
        <v>7</v>
      </c>
      <c r="Q597" s="4" t="s">
        <v>26</v>
      </c>
      <c r="R597" s="4">
        <v>0</v>
      </c>
      <c r="S597" s="6">
        <v>0</v>
      </c>
      <c r="T597" s="6">
        <v>33</v>
      </c>
      <c r="U597" s="6">
        <v>85</v>
      </c>
      <c r="V597" s="6">
        <f>IF(ISERROR(VLOOKUP($S$597,'TAR FIN'!$A$1:$O$86,15,0)),0,VLOOKUP($S$597,'TAR FIN'!$A$1:$O$86,15,0))</f>
        <v>0</v>
      </c>
      <c r="W597" s="6">
        <f>IF(ISERROR(VLOOKUP($T$597,'TAR FIN'!$A$1:$O$86,15,0)),0,VLOOKUP($T$597,'TAR FIN'!$A$1:$O$86,15,0))</f>
        <v>338.51</v>
      </c>
      <c r="X597" s="6">
        <f>IF(ISERROR(VLOOKUP($U$597,'TAR FIN'!$A$1:$O$86,15,0)),0,VLOOKUP($U$597,'TAR FIN'!$A$1:$O$86,15,0))</f>
        <v>224.01</v>
      </c>
      <c r="Y597" s="6"/>
      <c r="Z597" s="6">
        <f ca="1">('TUSD BE'!$AM$48+'TUSD BF_350'!$AM$48+'TUSD CVA'!$AM$48)*1</f>
        <v>310.49</v>
      </c>
      <c r="AA597" s="6">
        <f ca="1">('TE BE'!$AB$39+'TE BF_350'!$AB$39+'TE CVA'!$AB$39)*1</f>
        <v>262.52999999999997</v>
      </c>
      <c r="AB597" s="6">
        <f>$K$597*$V$597</f>
        <v>0</v>
      </c>
      <c r="AC597" s="6">
        <f>$M$597*$W$597</f>
        <v>4362.3783700000004</v>
      </c>
      <c r="AD597" s="6">
        <f>$O$597*$X$597</f>
        <v>2886.8168700000001</v>
      </c>
      <c r="AE597" s="6">
        <f>$K$597*$Y$597</f>
        <v>0</v>
      </c>
      <c r="AF597" s="6">
        <f ca="1">$M$597*$Z$597</f>
        <v>4001.2846300000001</v>
      </c>
      <c r="AG597" s="6">
        <f ca="1">$O$597*$AA$597</f>
        <v>3383.2241099999997</v>
      </c>
    </row>
    <row r="598" spans="1:33" ht="11.25" customHeight="1" x14ac:dyDescent="0.25">
      <c r="A598" s="4" t="s">
        <v>21</v>
      </c>
      <c r="B598" s="4" t="s">
        <v>33</v>
      </c>
      <c r="C598" s="4" t="s">
        <v>23</v>
      </c>
      <c r="D598" s="4" t="s">
        <v>34</v>
      </c>
      <c r="E598" s="4" t="s">
        <v>25</v>
      </c>
      <c r="F598" s="4" t="s">
        <v>25</v>
      </c>
      <c r="G598" s="4" t="s">
        <v>25</v>
      </c>
      <c r="H598" s="4" t="s">
        <v>25</v>
      </c>
      <c r="I598" s="5">
        <v>44682</v>
      </c>
      <c r="J598" s="6">
        <v>0</v>
      </c>
      <c r="K598" s="6">
        <v>0</v>
      </c>
      <c r="L598" s="6">
        <v>273.47300000000001</v>
      </c>
      <c r="M598" s="6">
        <v>273.47300000000001</v>
      </c>
      <c r="N598" s="6">
        <v>273.47300000000001</v>
      </c>
      <c r="O598" s="6">
        <v>273.47300000000001</v>
      </c>
      <c r="P598" s="6">
        <v>125</v>
      </c>
      <c r="Q598" s="4" t="s">
        <v>26</v>
      </c>
      <c r="R598" s="4">
        <v>0</v>
      </c>
      <c r="S598" s="6">
        <v>0</v>
      </c>
      <c r="T598" s="6">
        <v>33</v>
      </c>
      <c r="U598" s="6">
        <v>85</v>
      </c>
      <c r="V598" s="6">
        <f>IF(ISERROR(VLOOKUP($S$598,'TAR FIN'!$A$1:$O$86,15,0)),0,VLOOKUP($S$598,'TAR FIN'!$A$1:$O$86,15,0))</f>
        <v>0</v>
      </c>
      <c r="W598" s="6">
        <f>IF(ISERROR(VLOOKUP($T$598,'TAR FIN'!$A$1:$O$86,15,0)),0,VLOOKUP($T$598,'TAR FIN'!$A$1:$O$86,15,0))</f>
        <v>338.51</v>
      </c>
      <c r="X598" s="6">
        <f>IF(ISERROR(VLOOKUP($U$598,'TAR FIN'!$A$1:$O$86,15,0)),0,VLOOKUP($U$598,'TAR FIN'!$A$1:$O$86,15,0))</f>
        <v>224.01</v>
      </c>
      <c r="Y598" s="6"/>
      <c r="Z598" s="6">
        <f ca="1">('TUSD BE'!$AM$48+'TUSD BF_350'!$AM$48+'TUSD CVA'!$AM$48)*1</f>
        <v>310.49</v>
      </c>
      <c r="AA598" s="6">
        <f ca="1">('TE BE'!$AB$39+'TE BF_350'!$AB$39+'TE CVA'!$AB$39)*1</f>
        <v>262.52999999999997</v>
      </c>
      <c r="AB598" s="6">
        <f>$K$598*$V$598</f>
        <v>0</v>
      </c>
      <c r="AC598" s="6">
        <f>$M$598*$W$598</f>
        <v>92573.345230000006</v>
      </c>
      <c r="AD598" s="6">
        <f>$O$598*$X$598</f>
        <v>61260.686730000001</v>
      </c>
      <c r="AE598" s="6">
        <f>$K$598*$Y$598</f>
        <v>0</v>
      </c>
      <c r="AF598" s="6">
        <f ca="1">$M$598*$Z$598</f>
        <v>84910.631770000007</v>
      </c>
      <c r="AG598" s="6">
        <f ca="1">$O$598*$AA$598</f>
        <v>71794.866689999995</v>
      </c>
    </row>
    <row r="599" spans="1:33" ht="11.25" customHeight="1" x14ac:dyDescent="0.25">
      <c r="A599" s="4" t="s">
        <v>28</v>
      </c>
      <c r="B599" s="4" t="s">
        <v>33</v>
      </c>
      <c r="C599" s="4" t="s">
        <v>23</v>
      </c>
      <c r="D599" s="4" t="s">
        <v>34</v>
      </c>
      <c r="E599" s="4" t="s">
        <v>25</v>
      </c>
      <c r="F599" s="4" t="s">
        <v>25</v>
      </c>
      <c r="G599" s="4" t="s">
        <v>25</v>
      </c>
      <c r="H599" s="4" t="s">
        <v>25</v>
      </c>
      <c r="I599" s="5">
        <v>44682</v>
      </c>
      <c r="J599" s="6">
        <v>0</v>
      </c>
      <c r="K599" s="6">
        <v>0</v>
      </c>
      <c r="L599" s="6">
        <v>11.215999999999999</v>
      </c>
      <c r="M599" s="6">
        <v>11.215999999999999</v>
      </c>
      <c r="N599" s="6">
        <v>11.215999999999999</v>
      </c>
      <c r="O599" s="6">
        <v>11.215999999999999</v>
      </c>
      <c r="P599" s="6">
        <v>7</v>
      </c>
      <c r="Q599" s="4" t="s">
        <v>26</v>
      </c>
      <c r="R599" s="4">
        <v>0</v>
      </c>
      <c r="S599" s="6">
        <v>0</v>
      </c>
      <c r="T599" s="6">
        <v>33</v>
      </c>
      <c r="U599" s="6">
        <v>85</v>
      </c>
      <c r="V599" s="6">
        <f>IF(ISERROR(VLOOKUP($S$599,'TAR FIN'!$A$1:$O$86,15,0)),0,VLOOKUP($S$599,'TAR FIN'!$A$1:$O$86,15,0))</f>
        <v>0</v>
      </c>
      <c r="W599" s="6">
        <f>IF(ISERROR(VLOOKUP($T$599,'TAR FIN'!$A$1:$O$86,15,0)),0,VLOOKUP($T$599,'TAR FIN'!$A$1:$O$86,15,0))</f>
        <v>338.51</v>
      </c>
      <c r="X599" s="6">
        <f>IF(ISERROR(VLOOKUP($U$599,'TAR FIN'!$A$1:$O$86,15,0)),0,VLOOKUP($U$599,'TAR FIN'!$A$1:$O$86,15,0))</f>
        <v>224.01</v>
      </c>
      <c r="Y599" s="6"/>
      <c r="Z599" s="6">
        <f ca="1">('TUSD BE'!$AM$48+'TUSD BF_350'!$AM$48+'TUSD CVA'!$AM$48)*1</f>
        <v>310.49</v>
      </c>
      <c r="AA599" s="6">
        <f ca="1">('TE BE'!$AB$39+'TE BF_350'!$AB$39+'TE CVA'!$AB$39)*1</f>
        <v>262.52999999999997</v>
      </c>
      <c r="AB599" s="6">
        <f>$K$599*$V$599</f>
        <v>0</v>
      </c>
      <c r="AC599" s="6">
        <f>$M$599*$W$599</f>
        <v>3796.7281599999997</v>
      </c>
      <c r="AD599" s="6">
        <f>$O$599*$X$599</f>
        <v>2512.4961599999997</v>
      </c>
      <c r="AE599" s="6">
        <f>$K$599*$Y$599</f>
        <v>0</v>
      </c>
      <c r="AF599" s="6">
        <f ca="1">$M$599*$Z$599</f>
        <v>3482.4558400000001</v>
      </c>
      <c r="AG599" s="6">
        <f ca="1">$O$599*$AA$599</f>
        <v>2944.5364799999993</v>
      </c>
    </row>
    <row r="600" spans="1:33" ht="11.25" customHeight="1" x14ac:dyDescent="0.25">
      <c r="A600" s="4" t="s">
        <v>21</v>
      </c>
      <c r="B600" s="4" t="s">
        <v>33</v>
      </c>
      <c r="C600" s="4" t="s">
        <v>23</v>
      </c>
      <c r="D600" s="4" t="s">
        <v>34</v>
      </c>
      <c r="E600" s="4" t="s">
        <v>25</v>
      </c>
      <c r="F600" s="4" t="s">
        <v>25</v>
      </c>
      <c r="G600" s="4" t="s">
        <v>25</v>
      </c>
      <c r="H600" s="4" t="s">
        <v>25</v>
      </c>
      <c r="I600" s="5">
        <v>44713</v>
      </c>
      <c r="J600" s="6">
        <v>0</v>
      </c>
      <c r="K600" s="6">
        <v>0</v>
      </c>
      <c r="L600" s="6">
        <v>248.10400000000001</v>
      </c>
      <c r="M600" s="6">
        <v>248.10400000000001</v>
      </c>
      <c r="N600" s="6">
        <v>248.10400000000001</v>
      </c>
      <c r="O600" s="6">
        <v>248.10400000000001</v>
      </c>
      <c r="P600" s="6">
        <v>126</v>
      </c>
      <c r="Q600" s="4" t="s">
        <v>26</v>
      </c>
      <c r="R600" s="4">
        <v>0</v>
      </c>
      <c r="S600" s="6">
        <v>0</v>
      </c>
      <c r="T600" s="6">
        <v>33</v>
      </c>
      <c r="U600" s="6">
        <v>85</v>
      </c>
      <c r="V600" s="6">
        <f>IF(ISERROR(VLOOKUP($S$600,'TAR FIN'!$A$1:$O$86,15,0)),0,VLOOKUP($S$600,'TAR FIN'!$A$1:$O$86,15,0))</f>
        <v>0</v>
      </c>
      <c r="W600" s="6">
        <f>IF(ISERROR(VLOOKUP($T$600,'TAR FIN'!$A$1:$O$86,15,0)),0,VLOOKUP($T$600,'TAR FIN'!$A$1:$O$86,15,0))</f>
        <v>338.51</v>
      </c>
      <c r="X600" s="6">
        <f>IF(ISERROR(VLOOKUP($U$600,'TAR FIN'!$A$1:$O$86,15,0)),0,VLOOKUP($U$600,'TAR FIN'!$A$1:$O$86,15,0))</f>
        <v>224.01</v>
      </c>
      <c r="Y600" s="6"/>
      <c r="Z600" s="6">
        <f ca="1">('TUSD BE'!$AM$48+'TUSD BF_350'!$AM$48+'TUSD CVA'!$AM$48)*1</f>
        <v>310.49</v>
      </c>
      <c r="AA600" s="6">
        <f ca="1">('TE BE'!$AB$39+'TE BF_350'!$AB$39+'TE CVA'!$AB$39)*1</f>
        <v>262.52999999999997</v>
      </c>
      <c r="AB600" s="6">
        <f>$K$600*$V$600</f>
        <v>0</v>
      </c>
      <c r="AC600" s="6">
        <f>$M$600*$W$600</f>
        <v>83985.685039999997</v>
      </c>
      <c r="AD600" s="6">
        <f>$O$600*$X$600</f>
        <v>55577.777040000001</v>
      </c>
      <c r="AE600" s="6">
        <f>$K$600*$Y$600</f>
        <v>0</v>
      </c>
      <c r="AF600" s="6">
        <f ca="1">$M$600*$Z$600</f>
        <v>77033.810960000003</v>
      </c>
      <c r="AG600" s="6">
        <f ca="1">$O$600*$AA$600</f>
        <v>65134.743119999999</v>
      </c>
    </row>
    <row r="601" spans="1:33" ht="11.25" customHeight="1" x14ac:dyDescent="0.25">
      <c r="A601" s="4" t="s">
        <v>28</v>
      </c>
      <c r="B601" s="4" t="s">
        <v>33</v>
      </c>
      <c r="C601" s="4" t="s">
        <v>23</v>
      </c>
      <c r="D601" s="4" t="s">
        <v>34</v>
      </c>
      <c r="E601" s="4" t="s">
        <v>25</v>
      </c>
      <c r="F601" s="4" t="s">
        <v>25</v>
      </c>
      <c r="G601" s="4" t="s">
        <v>25</v>
      </c>
      <c r="H601" s="4" t="s">
        <v>25</v>
      </c>
      <c r="I601" s="5">
        <v>44713</v>
      </c>
      <c r="J601" s="6">
        <v>0</v>
      </c>
      <c r="K601" s="6">
        <v>0</v>
      </c>
      <c r="L601" s="6">
        <v>12.808999999999999</v>
      </c>
      <c r="M601" s="6">
        <v>12.808999999999999</v>
      </c>
      <c r="N601" s="6">
        <v>12.808999999999999</v>
      </c>
      <c r="O601" s="6">
        <v>12.808999999999999</v>
      </c>
      <c r="P601" s="6">
        <v>7</v>
      </c>
      <c r="Q601" s="4" t="s">
        <v>26</v>
      </c>
      <c r="R601" s="4">
        <v>0</v>
      </c>
      <c r="S601" s="6">
        <v>0</v>
      </c>
      <c r="T601" s="6">
        <v>33</v>
      </c>
      <c r="U601" s="6">
        <v>85</v>
      </c>
      <c r="V601" s="6">
        <f>IF(ISERROR(VLOOKUP($S$601,'TAR FIN'!$A$1:$O$86,15,0)),0,VLOOKUP($S$601,'TAR FIN'!$A$1:$O$86,15,0))</f>
        <v>0</v>
      </c>
      <c r="W601" s="6">
        <f>IF(ISERROR(VLOOKUP($T$601,'TAR FIN'!$A$1:$O$86,15,0)),0,VLOOKUP($T$601,'TAR FIN'!$A$1:$O$86,15,0))</f>
        <v>338.51</v>
      </c>
      <c r="X601" s="6">
        <f>IF(ISERROR(VLOOKUP($U$601,'TAR FIN'!$A$1:$O$86,15,0)),0,VLOOKUP($U$601,'TAR FIN'!$A$1:$O$86,15,0))</f>
        <v>224.01</v>
      </c>
      <c r="Y601" s="6"/>
      <c r="Z601" s="6">
        <f ca="1">('TUSD BE'!$AM$48+'TUSD BF_350'!$AM$48+'TUSD CVA'!$AM$48)*1</f>
        <v>310.49</v>
      </c>
      <c r="AA601" s="6">
        <f ca="1">('TE BE'!$AB$39+'TE BF_350'!$AB$39+'TE CVA'!$AB$39)*1</f>
        <v>262.52999999999997</v>
      </c>
      <c r="AB601" s="6">
        <f>$K$601*$V$601</f>
        <v>0</v>
      </c>
      <c r="AC601" s="6">
        <f>$M$601*$W$601</f>
        <v>4335.9745899999998</v>
      </c>
      <c r="AD601" s="6">
        <f>$O$601*$X$601</f>
        <v>2869.3440899999996</v>
      </c>
      <c r="AE601" s="6">
        <f>$K$601*$Y$601</f>
        <v>0</v>
      </c>
      <c r="AF601" s="6">
        <f ca="1">$M$601*$Z$601</f>
        <v>3977.0664099999999</v>
      </c>
      <c r="AG601" s="6">
        <f ca="1">$O$601*$AA$601</f>
        <v>3362.7467699999993</v>
      </c>
    </row>
    <row r="602" spans="1:33" ht="11.25" customHeight="1" x14ac:dyDescent="0.25">
      <c r="A602" s="4" t="s">
        <v>55</v>
      </c>
      <c r="B602" s="4" t="s">
        <v>33</v>
      </c>
      <c r="C602" s="4" t="s">
        <v>23</v>
      </c>
      <c r="D602" s="4" t="s">
        <v>34</v>
      </c>
      <c r="E602" s="4" t="s">
        <v>25</v>
      </c>
      <c r="F602" s="4" t="s">
        <v>25</v>
      </c>
      <c r="G602" s="4" t="s">
        <v>25</v>
      </c>
      <c r="H602" s="4" t="s">
        <v>25</v>
      </c>
      <c r="I602" s="5">
        <v>44743</v>
      </c>
      <c r="J602" s="6">
        <v>0</v>
      </c>
      <c r="K602" s="6">
        <v>0</v>
      </c>
      <c r="L602" s="6">
        <v>248.10400000000001</v>
      </c>
      <c r="M602" s="6">
        <v>248.10400000000001</v>
      </c>
      <c r="N602" s="6">
        <v>248.10400000000001</v>
      </c>
      <c r="O602" s="6">
        <v>248.10400000000001</v>
      </c>
      <c r="P602" s="6">
        <v>126</v>
      </c>
      <c r="Q602" s="4" t="s">
        <v>26</v>
      </c>
      <c r="R602" s="4">
        <v>0</v>
      </c>
      <c r="S602" s="6">
        <v>0</v>
      </c>
      <c r="T602" s="6">
        <v>33</v>
      </c>
      <c r="U602" s="6">
        <v>85</v>
      </c>
      <c r="V602" s="6">
        <f>IF(ISERROR(VLOOKUP($S$602,'TAR FIN'!$A$1:$O$86,15,0)),0,VLOOKUP($S$602,'TAR FIN'!$A$1:$O$86,15,0))</f>
        <v>0</v>
      </c>
      <c r="W602" s="6">
        <f>IF(ISERROR(VLOOKUP($T$602,'TAR FIN'!$A$1:$O$86,15,0)),0,VLOOKUP($T$602,'TAR FIN'!$A$1:$O$86,15,0))</f>
        <v>338.51</v>
      </c>
      <c r="X602" s="6">
        <f>IF(ISERROR(VLOOKUP($U$602,'TAR FIN'!$A$1:$O$86,15,0)),0,VLOOKUP($U$602,'TAR FIN'!$A$1:$O$86,15,0))</f>
        <v>224.01</v>
      </c>
      <c r="Y602" s="6"/>
      <c r="Z602" s="6">
        <f ca="1">('TUSD BE'!$AM$48+'TUSD BF_350'!$AM$48+'TUSD CVA'!$AM$48)*1</f>
        <v>310.49</v>
      </c>
      <c r="AA602" s="6">
        <f ca="1">('TE BE'!$AB$39+'TE BF_350'!$AB$39+'TE CVA'!$AB$39)*1</f>
        <v>262.52999999999997</v>
      </c>
      <c r="AB602" s="6">
        <f>$K$602*$V$602</f>
        <v>0</v>
      </c>
      <c r="AC602" s="6">
        <f>$M$602*$W$602</f>
        <v>83985.685039999997</v>
      </c>
      <c r="AD602" s="6">
        <f>$O$602*$X$602</f>
        <v>55577.777040000001</v>
      </c>
      <c r="AE602" s="6">
        <f>$K$602*$Y$602</f>
        <v>0</v>
      </c>
      <c r="AF602" s="6">
        <f ca="1">$M$602*$Z$602</f>
        <v>77033.810960000003</v>
      </c>
      <c r="AG602" s="6">
        <f ca="1">$O$602*$AA$602</f>
        <v>65134.743119999999</v>
      </c>
    </row>
    <row r="603" spans="1:33" ht="11.25" customHeight="1" x14ac:dyDescent="0.25">
      <c r="A603" s="4" t="s">
        <v>55</v>
      </c>
      <c r="B603" s="4" t="s">
        <v>33</v>
      </c>
      <c r="C603" s="4" t="s">
        <v>23</v>
      </c>
      <c r="D603" s="4" t="s">
        <v>34</v>
      </c>
      <c r="E603" s="4" t="s">
        <v>25</v>
      </c>
      <c r="F603" s="4" t="s">
        <v>25</v>
      </c>
      <c r="G603" s="4" t="s">
        <v>25</v>
      </c>
      <c r="H603" s="4" t="s">
        <v>25</v>
      </c>
      <c r="I603" s="5">
        <v>44743</v>
      </c>
      <c r="J603" s="6">
        <v>0</v>
      </c>
      <c r="K603" s="6">
        <v>0</v>
      </c>
      <c r="L603" s="6">
        <v>12.808999999999999</v>
      </c>
      <c r="M603" s="6">
        <v>12.808999999999999</v>
      </c>
      <c r="N603" s="6">
        <v>12.808999999999999</v>
      </c>
      <c r="O603" s="6">
        <v>12.808999999999999</v>
      </c>
      <c r="P603" s="6">
        <v>7</v>
      </c>
      <c r="Q603" s="4" t="s">
        <v>26</v>
      </c>
      <c r="R603" s="4">
        <v>0</v>
      </c>
      <c r="S603" s="6">
        <v>0</v>
      </c>
      <c r="T603" s="6">
        <v>33</v>
      </c>
      <c r="U603" s="6">
        <v>85</v>
      </c>
      <c r="V603" s="6">
        <f>IF(ISERROR(VLOOKUP($S$603,'TAR FIN'!$A$1:$O$86,15,0)),0,VLOOKUP($S$603,'TAR FIN'!$A$1:$O$86,15,0))</f>
        <v>0</v>
      </c>
      <c r="W603" s="6">
        <f>IF(ISERROR(VLOOKUP($T$603,'TAR FIN'!$A$1:$O$86,15,0)),0,VLOOKUP($T$603,'TAR FIN'!$A$1:$O$86,15,0))</f>
        <v>338.51</v>
      </c>
      <c r="X603" s="6">
        <f>IF(ISERROR(VLOOKUP($U$603,'TAR FIN'!$A$1:$O$86,15,0)),0,VLOOKUP($U$603,'TAR FIN'!$A$1:$O$86,15,0))</f>
        <v>224.01</v>
      </c>
      <c r="Y603" s="6"/>
      <c r="Z603" s="6">
        <f ca="1">('TUSD BE'!$AM$48+'TUSD BF_350'!$AM$48+'TUSD CVA'!$AM$48)*1</f>
        <v>310.49</v>
      </c>
      <c r="AA603" s="6">
        <f ca="1">('TE BE'!$AB$39+'TE BF_350'!$AB$39+'TE CVA'!$AB$39)*1</f>
        <v>262.52999999999997</v>
      </c>
      <c r="AB603" s="6">
        <f>$K$603*$V$603</f>
        <v>0</v>
      </c>
      <c r="AC603" s="6">
        <f>$M$603*$W$603</f>
        <v>4335.9745899999998</v>
      </c>
      <c r="AD603" s="6">
        <f>$O$603*$X$603</f>
        <v>2869.3440899999996</v>
      </c>
      <c r="AE603" s="6">
        <f>$K$603*$Y$603</f>
        <v>0</v>
      </c>
      <c r="AF603" s="6">
        <f ca="1">$M$603*$Z$603</f>
        <v>3977.0664099999999</v>
      </c>
      <c r="AG603" s="6">
        <f ca="1">$O$603*$AA$603</f>
        <v>3362.7467699999993</v>
      </c>
    </row>
    <row r="604" spans="1:33" ht="11.25" customHeight="1" x14ac:dyDescent="0.25">
      <c r="A604" s="4" t="s">
        <v>21</v>
      </c>
      <c r="B604" s="4" t="s">
        <v>33</v>
      </c>
      <c r="C604" s="4" t="s">
        <v>23</v>
      </c>
      <c r="D604" s="4" t="s">
        <v>43</v>
      </c>
      <c r="E604" s="4" t="s">
        <v>25</v>
      </c>
      <c r="F604" s="4" t="s">
        <v>25</v>
      </c>
      <c r="G604" s="4" t="s">
        <v>25</v>
      </c>
      <c r="H604" s="4" t="s">
        <v>25</v>
      </c>
      <c r="I604" s="5">
        <v>44409</v>
      </c>
      <c r="J604" s="6">
        <v>0</v>
      </c>
      <c r="K604" s="6">
        <v>0</v>
      </c>
      <c r="L604" s="6">
        <v>93.507999999999996</v>
      </c>
      <c r="M604" s="6">
        <v>93.507999999999996</v>
      </c>
      <c r="N604" s="6">
        <v>93.507999999999996</v>
      </c>
      <c r="O604" s="6">
        <v>93.507999999999996</v>
      </c>
      <c r="P604" s="6">
        <v>208</v>
      </c>
      <c r="Q604" s="4" t="s">
        <v>26</v>
      </c>
      <c r="R604" s="4">
        <v>0</v>
      </c>
      <c r="S604" s="6">
        <v>0</v>
      </c>
      <c r="T604" s="6">
        <v>33</v>
      </c>
      <c r="U604" s="6">
        <v>85</v>
      </c>
      <c r="V604" s="6">
        <f>IF(ISERROR(VLOOKUP($S$604,'TAR FIN'!$A$1:$O$86,15,0)),0,VLOOKUP($S$604,'TAR FIN'!$A$1:$O$86,15,0))</f>
        <v>0</v>
      </c>
      <c r="W604" s="6">
        <f>IF(ISERROR(VLOOKUP($T$604,'TAR FIN'!$A$1:$O$86,15,0)),0,VLOOKUP($T$604,'TAR FIN'!$A$1:$O$86,15,0))</f>
        <v>338.51</v>
      </c>
      <c r="X604" s="6">
        <f>IF(ISERROR(VLOOKUP($U$604,'TAR FIN'!$A$1:$O$86,15,0)),0,VLOOKUP($U$604,'TAR FIN'!$A$1:$O$86,15,0))</f>
        <v>224.01</v>
      </c>
      <c r="Y604" s="6"/>
      <c r="Z604" s="6">
        <f ca="1">('TUSD BE'!$AM$48+'TUSD BF_350'!$AM$48+'TUSD CVA'!$AM$48)*1</f>
        <v>310.49</v>
      </c>
      <c r="AA604" s="6">
        <f ca="1">('TE BE'!$AB$39+'TE BF_350'!$AB$39+'TE CVA'!$AB$39)*1</f>
        <v>262.52999999999997</v>
      </c>
      <c r="AB604" s="6">
        <f>$K$604*$V$604</f>
        <v>0</v>
      </c>
      <c r="AC604" s="6">
        <f>$M$604*$W$604</f>
        <v>31653.393079999998</v>
      </c>
      <c r="AD604" s="6">
        <f>$O$604*$X$604</f>
        <v>20946.727079999997</v>
      </c>
      <c r="AE604" s="6">
        <f>$K$604*$Y$604</f>
        <v>0</v>
      </c>
      <c r="AF604" s="6">
        <f ca="1">$M$604*$Z$604</f>
        <v>29033.298920000001</v>
      </c>
      <c r="AG604" s="6">
        <f ca="1">$O$604*$AA$604</f>
        <v>24548.655239999996</v>
      </c>
    </row>
    <row r="605" spans="1:33" ht="11.25" customHeight="1" x14ac:dyDescent="0.25">
      <c r="A605" s="4" t="s">
        <v>27</v>
      </c>
      <c r="B605" s="4" t="s">
        <v>33</v>
      </c>
      <c r="C605" s="4" t="s">
        <v>23</v>
      </c>
      <c r="D605" s="4" t="s">
        <v>43</v>
      </c>
      <c r="E605" s="4" t="s">
        <v>25</v>
      </c>
      <c r="F605" s="4" t="s">
        <v>25</v>
      </c>
      <c r="G605" s="4" t="s">
        <v>25</v>
      </c>
      <c r="H605" s="4" t="s">
        <v>25</v>
      </c>
      <c r="I605" s="5">
        <v>44409</v>
      </c>
      <c r="J605" s="6">
        <v>0</v>
      </c>
      <c r="K605" s="6">
        <v>0</v>
      </c>
      <c r="L605" s="6">
        <v>-2.6</v>
      </c>
      <c r="M605" s="6">
        <v>-2.6</v>
      </c>
      <c r="N605" s="6">
        <v>-2.6</v>
      </c>
      <c r="O605" s="6">
        <v>-2.6</v>
      </c>
      <c r="P605" s="6">
        <v>0</v>
      </c>
      <c r="Q605" s="4" t="s">
        <v>26</v>
      </c>
      <c r="R605" s="4">
        <v>0</v>
      </c>
      <c r="S605" s="6">
        <v>0</v>
      </c>
      <c r="T605" s="6">
        <v>33</v>
      </c>
      <c r="U605" s="6">
        <v>85</v>
      </c>
      <c r="V605" s="6">
        <f>IF(ISERROR(VLOOKUP($S$605,'TAR FIN'!$A$1:$O$86,15,0)),0,VLOOKUP($S$605,'TAR FIN'!$A$1:$O$86,15,0))</f>
        <v>0</v>
      </c>
      <c r="W605" s="6">
        <f>IF(ISERROR(VLOOKUP($T$605,'TAR FIN'!$A$1:$O$86,15,0)),0,VLOOKUP($T$605,'TAR FIN'!$A$1:$O$86,15,0))</f>
        <v>338.51</v>
      </c>
      <c r="X605" s="6">
        <f>IF(ISERROR(VLOOKUP($U$605,'TAR FIN'!$A$1:$O$86,15,0)),0,VLOOKUP($U$605,'TAR FIN'!$A$1:$O$86,15,0))</f>
        <v>224.01</v>
      </c>
      <c r="Y605" s="6"/>
      <c r="Z605" s="6">
        <f ca="1">('TUSD BE'!$AM$48+'TUSD BF_350'!$AM$48+'TUSD CVA'!$AM$48)*1</f>
        <v>310.49</v>
      </c>
      <c r="AA605" s="6">
        <f ca="1">('TE BE'!$AB$39+'TE BF_350'!$AB$39+'TE CVA'!$AB$39)*1</f>
        <v>262.52999999999997</v>
      </c>
      <c r="AB605" s="6">
        <f>$K$605*$V$605</f>
        <v>0</v>
      </c>
      <c r="AC605" s="6">
        <f>$M$605*$W$605</f>
        <v>-880.12599999999998</v>
      </c>
      <c r="AD605" s="6">
        <f>$O$605*$X$605</f>
        <v>-582.42600000000004</v>
      </c>
      <c r="AE605" s="6">
        <f>$K$605*$Y$605</f>
        <v>0</v>
      </c>
      <c r="AF605" s="6">
        <f ca="1">$M$605*$Z$605</f>
        <v>-807.274</v>
      </c>
      <c r="AG605" s="6">
        <f ca="1">$O$605*$AA$605</f>
        <v>-682.57799999999997</v>
      </c>
    </row>
    <row r="606" spans="1:33" ht="11.25" customHeight="1" x14ac:dyDescent="0.25">
      <c r="A606" s="4" t="s">
        <v>21</v>
      </c>
      <c r="B606" s="4" t="s">
        <v>33</v>
      </c>
      <c r="C606" s="4" t="s">
        <v>23</v>
      </c>
      <c r="D606" s="4" t="s">
        <v>43</v>
      </c>
      <c r="E606" s="4" t="s">
        <v>25</v>
      </c>
      <c r="F606" s="4" t="s">
        <v>25</v>
      </c>
      <c r="G606" s="4" t="s">
        <v>25</v>
      </c>
      <c r="H606" s="4" t="s">
        <v>25</v>
      </c>
      <c r="I606" s="5">
        <v>44440</v>
      </c>
      <c r="J606" s="6">
        <v>0</v>
      </c>
      <c r="K606" s="6">
        <v>0</v>
      </c>
      <c r="L606" s="6">
        <v>108.642</v>
      </c>
      <c r="M606" s="6">
        <v>108.642</v>
      </c>
      <c r="N606" s="6">
        <v>108.642</v>
      </c>
      <c r="O606" s="6">
        <v>108.642</v>
      </c>
      <c r="P606" s="6">
        <v>203</v>
      </c>
      <c r="Q606" s="4" t="s">
        <v>26</v>
      </c>
      <c r="R606" s="4">
        <v>0</v>
      </c>
      <c r="S606" s="6">
        <v>0</v>
      </c>
      <c r="T606" s="6">
        <v>33</v>
      </c>
      <c r="U606" s="6">
        <v>85</v>
      </c>
      <c r="V606" s="6">
        <f>IF(ISERROR(VLOOKUP($S$606,'TAR FIN'!$A$1:$O$86,15,0)),0,VLOOKUP($S$606,'TAR FIN'!$A$1:$O$86,15,0))</f>
        <v>0</v>
      </c>
      <c r="W606" s="6">
        <f>IF(ISERROR(VLOOKUP($T$606,'TAR FIN'!$A$1:$O$86,15,0)),0,VLOOKUP($T$606,'TAR FIN'!$A$1:$O$86,15,0))</f>
        <v>338.51</v>
      </c>
      <c r="X606" s="6">
        <f>IF(ISERROR(VLOOKUP($U$606,'TAR FIN'!$A$1:$O$86,15,0)),0,VLOOKUP($U$606,'TAR FIN'!$A$1:$O$86,15,0))</f>
        <v>224.01</v>
      </c>
      <c r="Y606" s="6"/>
      <c r="Z606" s="6">
        <f ca="1">('TUSD BE'!$AM$48+'TUSD BF_350'!$AM$48+'TUSD CVA'!$AM$48)*1</f>
        <v>310.49</v>
      </c>
      <c r="AA606" s="6">
        <f ca="1">('TE BE'!$AB$39+'TE BF_350'!$AB$39+'TE CVA'!$AB$39)*1</f>
        <v>262.52999999999997</v>
      </c>
      <c r="AB606" s="6">
        <f>$K$606*$V$606</f>
        <v>0</v>
      </c>
      <c r="AC606" s="6">
        <f>$M$606*$W$606</f>
        <v>36776.403419999995</v>
      </c>
      <c r="AD606" s="6">
        <f>$O$606*$X$606</f>
        <v>24336.894419999997</v>
      </c>
      <c r="AE606" s="6">
        <f>$K$606*$Y$606</f>
        <v>0</v>
      </c>
      <c r="AF606" s="6">
        <f ca="1">$M$606*$Z$606</f>
        <v>33732.254580000001</v>
      </c>
      <c r="AG606" s="6">
        <f ca="1">$O$606*$AA$606</f>
        <v>28521.784259999997</v>
      </c>
    </row>
    <row r="607" spans="1:33" ht="11.25" customHeight="1" x14ac:dyDescent="0.25">
      <c r="A607" s="4" t="s">
        <v>21</v>
      </c>
      <c r="B607" s="4" t="s">
        <v>33</v>
      </c>
      <c r="C607" s="4" t="s">
        <v>23</v>
      </c>
      <c r="D607" s="4" t="s">
        <v>43</v>
      </c>
      <c r="E607" s="4" t="s">
        <v>25</v>
      </c>
      <c r="F607" s="4" t="s">
        <v>25</v>
      </c>
      <c r="G607" s="4" t="s">
        <v>25</v>
      </c>
      <c r="H607" s="4" t="s">
        <v>25</v>
      </c>
      <c r="I607" s="5">
        <v>44470</v>
      </c>
      <c r="J607" s="6">
        <v>0</v>
      </c>
      <c r="K607" s="6">
        <v>0</v>
      </c>
      <c r="L607" s="6">
        <v>101.212</v>
      </c>
      <c r="M607" s="6">
        <v>101.212</v>
      </c>
      <c r="N607" s="6">
        <v>101.212</v>
      </c>
      <c r="O607" s="6">
        <v>101.212</v>
      </c>
      <c r="P607" s="6">
        <v>201</v>
      </c>
      <c r="Q607" s="4" t="s">
        <v>26</v>
      </c>
      <c r="R607" s="4">
        <v>0</v>
      </c>
      <c r="S607" s="6">
        <v>0</v>
      </c>
      <c r="T607" s="6">
        <v>33</v>
      </c>
      <c r="U607" s="6">
        <v>85</v>
      </c>
      <c r="V607" s="6">
        <f>IF(ISERROR(VLOOKUP($S$607,'TAR FIN'!$A$1:$O$86,15,0)),0,VLOOKUP($S$607,'TAR FIN'!$A$1:$O$86,15,0))</f>
        <v>0</v>
      </c>
      <c r="W607" s="6">
        <f>IF(ISERROR(VLOOKUP($T$607,'TAR FIN'!$A$1:$O$86,15,0)),0,VLOOKUP($T$607,'TAR FIN'!$A$1:$O$86,15,0))</f>
        <v>338.51</v>
      </c>
      <c r="X607" s="6">
        <f>IF(ISERROR(VLOOKUP($U$607,'TAR FIN'!$A$1:$O$86,15,0)),0,VLOOKUP($U$607,'TAR FIN'!$A$1:$O$86,15,0))</f>
        <v>224.01</v>
      </c>
      <c r="Y607" s="6"/>
      <c r="Z607" s="6">
        <f ca="1">('TUSD BE'!$AM$48+'TUSD BF_350'!$AM$48+'TUSD CVA'!$AM$48)*1</f>
        <v>310.49</v>
      </c>
      <c r="AA607" s="6">
        <f ca="1">('TE BE'!$AB$39+'TE BF_350'!$AB$39+'TE CVA'!$AB$39)*1</f>
        <v>262.52999999999997</v>
      </c>
      <c r="AB607" s="6">
        <f>$K$607*$V$607</f>
        <v>0</v>
      </c>
      <c r="AC607" s="6">
        <f>$M$607*$W$607</f>
        <v>34261.274120000002</v>
      </c>
      <c r="AD607" s="6">
        <f>$O$607*$X$607</f>
        <v>22672.500120000001</v>
      </c>
      <c r="AE607" s="6">
        <f>$K$607*$Y$607</f>
        <v>0</v>
      </c>
      <c r="AF607" s="6">
        <f ca="1">$M$607*$Z$607</f>
        <v>31425.313880000002</v>
      </c>
      <c r="AG607" s="6">
        <f ca="1">$O$607*$AA$607</f>
        <v>26571.18636</v>
      </c>
    </row>
    <row r="608" spans="1:33" ht="11.25" customHeight="1" x14ac:dyDescent="0.25">
      <c r="A608" s="4" t="s">
        <v>21</v>
      </c>
      <c r="B608" s="4" t="s">
        <v>33</v>
      </c>
      <c r="C608" s="4" t="s">
        <v>23</v>
      </c>
      <c r="D608" s="4" t="s">
        <v>43</v>
      </c>
      <c r="E608" s="4" t="s">
        <v>25</v>
      </c>
      <c r="F608" s="4" t="s">
        <v>25</v>
      </c>
      <c r="G608" s="4" t="s">
        <v>25</v>
      </c>
      <c r="H608" s="4" t="s">
        <v>25</v>
      </c>
      <c r="I608" s="5">
        <v>44501</v>
      </c>
      <c r="J608" s="6">
        <v>0</v>
      </c>
      <c r="K608" s="6">
        <v>0</v>
      </c>
      <c r="L608" s="6">
        <v>121.371</v>
      </c>
      <c r="M608" s="6">
        <v>121.371</v>
      </c>
      <c r="N608" s="6">
        <v>121.371</v>
      </c>
      <c r="O608" s="6">
        <v>121.371</v>
      </c>
      <c r="P608" s="6">
        <v>197</v>
      </c>
      <c r="Q608" s="4" t="s">
        <v>26</v>
      </c>
      <c r="R608" s="4">
        <v>0</v>
      </c>
      <c r="S608" s="6">
        <v>0</v>
      </c>
      <c r="T608" s="6">
        <v>33</v>
      </c>
      <c r="U608" s="6">
        <v>85</v>
      </c>
      <c r="V608" s="6">
        <f>IF(ISERROR(VLOOKUP($S$608,'TAR FIN'!$A$1:$O$86,15,0)),0,VLOOKUP($S$608,'TAR FIN'!$A$1:$O$86,15,0))</f>
        <v>0</v>
      </c>
      <c r="W608" s="6">
        <f>IF(ISERROR(VLOOKUP($T$608,'TAR FIN'!$A$1:$O$86,15,0)),0,VLOOKUP($T$608,'TAR FIN'!$A$1:$O$86,15,0))</f>
        <v>338.51</v>
      </c>
      <c r="X608" s="6">
        <f>IF(ISERROR(VLOOKUP($U$608,'TAR FIN'!$A$1:$O$86,15,0)),0,VLOOKUP($U$608,'TAR FIN'!$A$1:$O$86,15,0))</f>
        <v>224.01</v>
      </c>
      <c r="Y608" s="6"/>
      <c r="Z608" s="6">
        <f ca="1">('TUSD BE'!$AM$48+'TUSD BF_350'!$AM$48+'TUSD CVA'!$AM$48)*1</f>
        <v>310.49</v>
      </c>
      <c r="AA608" s="6">
        <f ca="1">('TE BE'!$AB$39+'TE BF_350'!$AB$39+'TE CVA'!$AB$39)*1</f>
        <v>262.52999999999997</v>
      </c>
      <c r="AB608" s="6">
        <f>$K$608*$V$608</f>
        <v>0</v>
      </c>
      <c r="AC608" s="6">
        <f>$M$608*$W$608</f>
        <v>41085.297209999997</v>
      </c>
      <c r="AD608" s="6">
        <f>$O$608*$X$608</f>
        <v>27188.317709999999</v>
      </c>
      <c r="AE608" s="6">
        <f>$K$608*$Y$608</f>
        <v>0</v>
      </c>
      <c r="AF608" s="6">
        <f ca="1">$M$608*$Z$608</f>
        <v>37684.481789999998</v>
      </c>
      <c r="AG608" s="6">
        <f ca="1">$O$608*$AA$608</f>
        <v>31863.528629999997</v>
      </c>
    </row>
    <row r="609" spans="1:33" ht="11.25" customHeight="1" x14ac:dyDescent="0.25">
      <c r="A609" s="4" t="s">
        <v>21</v>
      </c>
      <c r="B609" s="4" t="s">
        <v>33</v>
      </c>
      <c r="C609" s="4" t="s">
        <v>23</v>
      </c>
      <c r="D609" s="4" t="s">
        <v>43</v>
      </c>
      <c r="E609" s="4" t="s">
        <v>25</v>
      </c>
      <c r="F609" s="4" t="s">
        <v>25</v>
      </c>
      <c r="G609" s="4" t="s">
        <v>25</v>
      </c>
      <c r="H609" s="4" t="s">
        <v>25</v>
      </c>
      <c r="I609" s="5">
        <v>44531</v>
      </c>
      <c r="J609" s="6">
        <v>0</v>
      </c>
      <c r="K609" s="6">
        <v>0</v>
      </c>
      <c r="L609" s="6">
        <v>142.059</v>
      </c>
      <c r="M609" s="6">
        <v>142.059</v>
      </c>
      <c r="N609" s="6">
        <v>142.059</v>
      </c>
      <c r="O609" s="6">
        <v>142.059</v>
      </c>
      <c r="P609" s="6">
        <v>195</v>
      </c>
      <c r="Q609" s="4" t="s">
        <v>26</v>
      </c>
      <c r="R609" s="4">
        <v>0</v>
      </c>
      <c r="S609" s="6">
        <v>0</v>
      </c>
      <c r="T609" s="6">
        <v>33</v>
      </c>
      <c r="U609" s="6">
        <v>85</v>
      </c>
      <c r="V609" s="6">
        <f>IF(ISERROR(VLOOKUP($S$609,'TAR FIN'!$A$1:$O$86,15,0)),0,VLOOKUP($S$609,'TAR FIN'!$A$1:$O$86,15,0))</f>
        <v>0</v>
      </c>
      <c r="W609" s="6">
        <f>IF(ISERROR(VLOOKUP($T$609,'TAR FIN'!$A$1:$O$86,15,0)),0,VLOOKUP($T$609,'TAR FIN'!$A$1:$O$86,15,0))</f>
        <v>338.51</v>
      </c>
      <c r="X609" s="6">
        <f>IF(ISERROR(VLOOKUP($U$609,'TAR FIN'!$A$1:$O$86,15,0)),0,VLOOKUP($U$609,'TAR FIN'!$A$1:$O$86,15,0))</f>
        <v>224.01</v>
      </c>
      <c r="Y609" s="6"/>
      <c r="Z609" s="6">
        <f ca="1">('TUSD BE'!$AM$48+'TUSD BF_350'!$AM$48+'TUSD CVA'!$AM$48)*1</f>
        <v>310.49</v>
      </c>
      <c r="AA609" s="6">
        <f ca="1">('TE BE'!$AB$39+'TE BF_350'!$AB$39+'TE CVA'!$AB$39)*1</f>
        <v>262.52999999999997</v>
      </c>
      <c r="AB609" s="6">
        <f>$K$609*$V$609</f>
        <v>0</v>
      </c>
      <c r="AC609" s="6">
        <f>$M$609*$W$609</f>
        <v>48088.392090000001</v>
      </c>
      <c r="AD609" s="6">
        <f>$O$609*$X$609</f>
        <v>31822.636589999998</v>
      </c>
      <c r="AE609" s="6">
        <f>$K$609*$Y$609</f>
        <v>0</v>
      </c>
      <c r="AF609" s="6">
        <f ca="1">$M$609*$Z$609</f>
        <v>44107.898910000004</v>
      </c>
      <c r="AG609" s="6">
        <f ca="1">$O$609*$AA$609</f>
        <v>37294.749269999993</v>
      </c>
    </row>
    <row r="610" spans="1:33" ht="11.25" customHeight="1" x14ac:dyDescent="0.25">
      <c r="A610" s="4" t="s">
        <v>21</v>
      </c>
      <c r="B610" s="4" t="s">
        <v>33</v>
      </c>
      <c r="C610" s="4" t="s">
        <v>23</v>
      </c>
      <c r="D610" s="4" t="s">
        <v>43</v>
      </c>
      <c r="E610" s="4" t="s">
        <v>25</v>
      </c>
      <c r="F610" s="4" t="s">
        <v>25</v>
      </c>
      <c r="G610" s="4" t="s">
        <v>25</v>
      </c>
      <c r="H610" s="4" t="s">
        <v>25</v>
      </c>
      <c r="I610" s="5">
        <v>44562</v>
      </c>
      <c r="J610" s="6">
        <v>0</v>
      </c>
      <c r="K610" s="6">
        <v>0</v>
      </c>
      <c r="L610" s="6">
        <v>133.93899999999999</v>
      </c>
      <c r="M610" s="6">
        <v>133.93899999999999</v>
      </c>
      <c r="N610" s="6">
        <v>133.93899999999999</v>
      </c>
      <c r="O610" s="6">
        <v>133.93899999999999</v>
      </c>
      <c r="P610" s="6">
        <v>205</v>
      </c>
      <c r="Q610" s="4" t="s">
        <v>26</v>
      </c>
      <c r="R610" s="4">
        <v>0</v>
      </c>
      <c r="S610" s="6">
        <v>0</v>
      </c>
      <c r="T610" s="6">
        <v>33</v>
      </c>
      <c r="U610" s="6">
        <v>85</v>
      </c>
      <c r="V610" s="6">
        <f>IF(ISERROR(VLOOKUP($S$610,'TAR FIN'!$A$1:$O$86,15,0)),0,VLOOKUP($S$610,'TAR FIN'!$A$1:$O$86,15,0))</f>
        <v>0</v>
      </c>
      <c r="W610" s="6">
        <f>IF(ISERROR(VLOOKUP($T$610,'TAR FIN'!$A$1:$O$86,15,0)),0,VLOOKUP($T$610,'TAR FIN'!$A$1:$O$86,15,0))</f>
        <v>338.51</v>
      </c>
      <c r="X610" s="6">
        <f>IF(ISERROR(VLOOKUP($U$610,'TAR FIN'!$A$1:$O$86,15,0)),0,VLOOKUP($U$610,'TAR FIN'!$A$1:$O$86,15,0))</f>
        <v>224.01</v>
      </c>
      <c r="Y610" s="6"/>
      <c r="Z610" s="6">
        <f ca="1">('TUSD BE'!$AM$48+'TUSD BF_350'!$AM$48+'TUSD CVA'!$AM$48)*1</f>
        <v>310.49</v>
      </c>
      <c r="AA610" s="6">
        <f ca="1">('TE BE'!$AB$39+'TE BF_350'!$AB$39+'TE CVA'!$AB$39)*1</f>
        <v>262.52999999999997</v>
      </c>
      <c r="AB610" s="6">
        <f>$K$610*$V$610</f>
        <v>0</v>
      </c>
      <c r="AC610" s="6">
        <f>$M$610*$W$610</f>
        <v>45339.690889999998</v>
      </c>
      <c r="AD610" s="6">
        <f>$O$610*$X$610</f>
        <v>30003.675389999997</v>
      </c>
      <c r="AE610" s="6">
        <f>$K$610*$Y$610</f>
        <v>0</v>
      </c>
      <c r="AF610" s="6">
        <f ca="1">$M$610*$Z$610</f>
        <v>41586.720110000002</v>
      </c>
      <c r="AG610" s="6">
        <f ca="1">$O$610*$AA$610</f>
        <v>35163.005669999991</v>
      </c>
    </row>
    <row r="611" spans="1:33" ht="11.25" customHeight="1" x14ac:dyDescent="0.25">
      <c r="A611" s="4" t="s">
        <v>21</v>
      </c>
      <c r="B611" s="4" t="s">
        <v>33</v>
      </c>
      <c r="C611" s="4" t="s">
        <v>23</v>
      </c>
      <c r="D611" s="4" t="s">
        <v>43</v>
      </c>
      <c r="E611" s="4" t="s">
        <v>25</v>
      </c>
      <c r="F611" s="4" t="s">
        <v>25</v>
      </c>
      <c r="G611" s="4" t="s">
        <v>25</v>
      </c>
      <c r="H611" s="4" t="s">
        <v>25</v>
      </c>
      <c r="I611" s="5">
        <v>44593</v>
      </c>
      <c r="J611" s="6">
        <v>0</v>
      </c>
      <c r="K611" s="6">
        <v>0</v>
      </c>
      <c r="L611" s="6">
        <v>158.751</v>
      </c>
      <c r="M611" s="6">
        <v>158.751</v>
      </c>
      <c r="N611" s="6">
        <v>158.751</v>
      </c>
      <c r="O611" s="6">
        <v>158.751</v>
      </c>
      <c r="P611" s="6">
        <v>207</v>
      </c>
      <c r="Q611" s="4" t="s">
        <v>26</v>
      </c>
      <c r="R611" s="4">
        <v>0</v>
      </c>
      <c r="S611" s="6">
        <v>0</v>
      </c>
      <c r="T611" s="6">
        <v>33</v>
      </c>
      <c r="U611" s="6">
        <v>85</v>
      </c>
      <c r="V611" s="6">
        <f>IF(ISERROR(VLOOKUP($S$611,'TAR FIN'!$A$1:$O$86,15,0)),0,VLOOKUP($S$611,'TAR FIN'!$A$1:$O$86,15,0))</f>
        <v>0</v>
      </c>
      <c r="W611" s="6">
        <f>IF(ISERROR(VLOOKUP($T$611,'TAR FIN'!$A$1:$O$86,15,0)),0,VLOOKUP($T$611,'TAR FIN'!$A$1:$O$86,15,0))</f>
        <v>338.51</v>
      </c>
      <c r="X611" s="6">
        <f>IF(ISERROR(VLOOKUP($U$611,'TAR FIN'!$A$1:$O$86,15,0)),0,VLOOKUP($U$611,'TAR FIN'!$A$1:$O$86,15,0))</f>
        <v>224.01</v>
      </c>
      <c r="Y611" s="6"/>
      <c r="Z611" s="6">
        <f ca="1">('TUSD BE'!$AM$48+'TUSD BF_350'!$AM$48+'TUSD CVA'!$AM$48)*1</f>
        <v>310.49</v>
      </c>
      <c r="AA611" s="6">
        <f ca="1">('TE BE'!$AB$39+'TE BF_350'!$AB$39+'TE CVA'!$AB$39)*1</f>
        <v>262.52999999999997</v>
      </c>
      <c r="AB611" s="6">
        <f>$K$611*$V$611</f>
        <v>0</v>
      </c>
      <c r="AC611" s="6">
        <f>$M$611*$W$611</f>
        <v>53738.801010000003</v>
      </c>
      <c r="AD611" s="6">
        <f>$O$611*$X$611</f>
        <v>35561.81151</v>
      </c>
      <c r="AE611" s="6">
        <f>$K$611*$Y$611</f>
        <v>0</v>
      </c>
      <c r="AF611" s="6">
        <f ca="1">$M$611*$Z$611</f>
        <v>49290.597990000002</v>
      </c>
      <c r="AG611" s="6">
        <f ca="1">$O$611*$AA$611</f>
        <v>41676.900029999997</v>
      </c>
    </row>
    <row r="612" spans="1:33" ht="11.25" customHeight="1" x14ac:dyDescent="0.25">
      <c r="A612" s="4" t="s">
        <v>21</v>
      </c>
      <c r="B612" s="4" t="s">
        <v>33</v>
      </c>
      <c r="C612" s="4" t="s">
        <v>23</v>
      </c>
      <c r="D612" s="4" t="s">
        <v>43</v>
      </c>
      <c r="E612" s="4" t="s">
        <v>25</v>
      </c>
      <c r="F612" s="4" t="s">
        <v>25</v>
      </c>
      <c r="G612" s="4" t="s">
        <v>25</v>
      </c>
      <c r="H612" s="4" t="s">
        <v>25</v>
      </c>
      <c r="I612" s="5">
        <v>44621</v>
      </c>
      <c r="J612" s="6">
        <v>0</v>
      </c>
      <c r="K612" s="6">
        <v>0</v>
      </c>
      <c r="L612" s="6">
        <v>227.23599999999999</v>
      </c>
      <c r="M612" s="6">
        <v>227.23599999999999</v>
      </c>
      <c r="N612" s="6">
        <v>227.23599999999999</v>
      </c>
      <c r="O612" s="6">
        <v>227.23599999999999</v>
      </c>
      <c r="P612" s="6">
        <v>209</v>
      </c>
      <c r="Q612" s="4" t="s">
        <v>26</v>
      </c>
      <c r="R612" s="4">
        <v>0</v>
      </c>
      <c r="S612" s="6">
        <v>0</v>
      </c>
      <c r="T612" s="6">
        <v>33</v>
      </c>
      <c r="U612" s="6">
        <v>85</v>
      </c>
      <c r="V612" s="6">
        <f>IF(ISERROR(VLOOKUP($S$612,'TAR FIN'!$A$1:$O$86,15,0)),0,VLOOKUP($S$612,'TAR FIN'!$A$1:$O$86,15,0))</f>
        <v>0</v>
      </c>
      <c r="W612" s="6">
        <f>IF(ISERROR(VLOOKUP($T$612,'TAR FIN'!$A$1:$O$86,15,0)),0,VLOOKUP($T$612,'TAR FIN'!$A$1:$O$86,15,0))</f>
        <v>338.51</v>
      </c>
      <c r="X612" s="6">
        <f>IF(ISERROR(VLOOKUP($U$612,'TAR FIN'!$A$1:$O$86,15,0)),0,VLOOKUP($U$612,'TAR FIN'!$A$1:$O$86,15,0))</f>
        <v>224.01</v>
      </c>
      <c r="Y612" s="6"/>
      <c r="Z612" s="6">
        <f ca="1">('TUSD BE'!$AM$48+'TUSD BF_350'!$AM$48+'TUSD CVA'!$AM$48)*1</f>
        <v>310.49</v>
      </c>
      <c r="AA612" s="6">
        <f ca="1">('TE BE'!$AB$39+'TE BF_350'!$AB$39+'TE CVA'!$AB$39)*1</f>
        <v>262.52999999999997</v>
      </c>
      <c r="AB612" s="6">
        <f>$K$612*$V$612</f>
        <v>0</v>
      </c>
      <c r="AC612" s="6">
        <f>$M$612*$W$612</f>
        <v>76921.658360000001</v>
      </c>
      <c r="AD612" s="6">
        <f>$O$612*$X$612</f>
        <v>50903.136359999997</v>
      </c>
      <c r="AE612" s="6">
        <f>$K$612*$Y$612</f>
        <v>0</v>
      </c>
      <c r="AF612" s="6">
        <f ca="1">$M$612*$Z$612</f>
        <v>70554.505640000003</v>
      </c>
      <c r="AG612" s="6">
        <f ca="1">$O$612*$AA$612</f>
        <v>59656.267079999991</v>
      </c>
    </row>
    <row r="613" spans="1:33" ht="11.25" customHeight="1" x14ac:dyDescent="0.25">
      <c r="A613" s="4" t="s">
        <v>21</v>
      </c>
      <c r="B613" s="4" t="s">
        <v>33</v>
      </c>
      <c r="C613" s="4" t="s">
        <v>23</v>
      </c>
      <c r="D613" s="4" t="s">
        <v>43</v>
      </c>
      <c r="E613" s="4" t="s">
        <v>25</v>
      </c>
      <c r="F613" s="4" t="s">
        <v>25</v>
      </c>
      <c r="G613" s="4" t="s">
        <v>25</v>
      </c>
      <c r="H613" s="4" t="s">
        <v>25</v>
      </c>
      <c r="I613" s="5">
        <v>44652</v>
      </c>
      <c r="J613" s="6">
        <v>0</v>
      </c>
      <c r="K613" s="6">
        <v>0</v>
      </c>
      <c r="L613" s="6">
        <v>181.58</v>
      </c>
      <c r="M613" s="6">
        <v>181.58</v>
      </c>
      <c r="N613" s="6">
        <v>181.58</v>
      </c>
      <c r="O613" s="6">
        <v>181.58</v>
      </c>
      <c r="P613" s="6">
        <v>207</v>
      </c>
      <c r="Q613" s="4" t="s">
        <v>26</v>
      </c>
      <c r="R613" s="4">
        <v>0</v>
      </c>
      <c r="S613" s="6">
        <v>0</v>
      </c>
      <c r="T613" s="6">
        <v>33</v>
      </c>
      <c r="U613" s="6">
        <v>85</v>
      </c>
      <c r="V613" s="6">
        <f>IF(ISERROR(VLOOKUP($S$613,'TAR FIN'!$A$1:$O$86,15,0)),0,VLOOKUP($S$613,'TAR FIN'!$A$1:$O$86,15,0))</f>
        <v>0</v>
      </c>
      <c r="W613" s="6">
        <f>IF(ISERROR(VLOOKUP($T$613,'TAR FIN'!$A$1:$O$86,15,0)),0,VLOOKUP($T$613,'TAR FIN'!$A$1:$O$86,15,0))</f>
        <v>338.51</v>
      </c>
      <c r="X613" s="6">
        <f>IF(ISERROR(VLOOKUP($U$613,'TAR FIN'!$A$1:$O$86,15,0)),0,VLOOKUP($U$613,'TAR FIN'!$A$1:$O$86,15,0))</f>
        <v>224.01</v>
      </c>
      <c r="Y613" s="6"/>
      <c r="Z613" s="6">
        <f ca="1">('TUSD BE'!$AM$48+'TUSD BF_350'!$AM$48+'TUSD CVA'!$AM$48)*1</f>
        <v>310.49</v>
      </c>
      <c r="AA613" s="6">
        <f ca="1">('TE BE'!$AB$39+'TE BF_350'!$AB$39+'TE CVA'!$AB$39)*1</f>
        <v>262.52999999999997</v>
      </c>
      <c r="AB613" s="6">
        <f>$K$613*$V$613</f>
        <v>0</v>
      </c>
      <c r="AC613" s="6">
        <f>$M$613*$W$613</f>
        <v>61466.645800000006</v>
      </c>
      <c r="AD613" s="6">
        <f>$O$613*$X$613</f>
        <v>40675.735800000002</v>
      </c>
      <c r="AE613" s="6">
        <f>$K$613*$Y$613</f>
        <v>0</v>
      </c>
      <c r="AF613" s="6">
        <f ca="1">$M$613*$Z$613</f>
        <v>56378.774200000007</v>
      </c>
      <c r="AG613" s="6">
        <f ca="1">$O$613*$AA$613</f>
        <v>47670.197399999997</v>
      </c>
    </row>
    <row r="614" spans="1:33" ht="11.25" customHeight="1" x14ac:dyDescent="0.25">
      <c r="A614" s="4" t="s">
        <v>21</v>
      </c>
      <c r="B614" s="4" t="s">
        <v>33</v>
      </c>
      <c r="C614" s="4" t="s">
        <v>23</v>
      </c>
      <c r="D614" s="4" t="s">
        <v>43</v>
      </c>
      <c r="E614" s="4" t="s">
        <v>25</v>
      </c>
      <c r="F614" s="4" t="s">
        <v>25</v>
      </c>
      <c r="G614" s="4" t="s">
        <v>25</v>
      </c>
      <c r="H614" s="4" t="s">
        <v>25</v>
      </c>
      <c r="I614" s="5">
        <v>44682</v>
      </c>
      <c r="J614" s="6">
        <v>0</v>
      </c>
      <c r="K614" s="6">
        <v>0</v>
      </c>
      <c r="L614" s="6">
        <v>130.04900000000001</v>
      </c>
      <c r="M614" s="6">
        <v>130.04900000000001</v>
      </c>
      <c r="N614" s="6">
        <v>130.04900000000001</v>
      </c>
      <c r="O614" s="6">
        <v>130.04900000000001</v>
      </c>
      <c r="P614" s="6">
        <v>201</v>
      </c>
      <c r="Q614" s="4" t="s">
        <v>26</v>
      </c>
      <c r="R614" s="4">
        <v>0</v>
      </c>
      <c r="S614" s="6">
        <v>0</v>
      </c>
      <c r="T614" s="6">
        <v>33</v>
      </c>
      <c r="U614" s="6">
        <v>85</v>
      </c>
      <c r="V614" s="6">
        <f>IF(ISERROR(VLOOKUP($S$614,'TAR FIN'!$A$1:$O$86,15,0)),0,VLOOKUP($S$614,'TAR FIN'!$A$1:$O$86,15,0))</f>
        <v>0</v>
      </c>
      <c r="W614" s="6">
        <f>IF(ISERROR(VLOOKUP($T$614,'TAR FIN'!$A$1:$O$86,15,0)),0,VLOOKUP($T$614,'TAR FIN'!$A$1:$O$86,15,0))</f>
        <v>338.51</v>
      </c>
      <c r="X614" s="6">
        <f>IF(ISERROR(VLOOKUP($U$614,'TAR FIN'!$A$1:$O$86,15,0)),0,VLOOKUP($U$614,'TAR FIN'!$A$1:$O$86,15,0))</f>
        <v>224.01</v>
      </c>
      <c r="Y614" s="6"/>
      <c r="Z614" s="6">
        <f ca="1">('TUSD BE'!$AM$48+'TUSD BF_350'!$AM$48+'TUSD CVA'!$AM$48)*1</f>
        <v>310.49</v>
      </c>
      <c r="AA614" s="6">
        <f ca="1">('TE BE'!$AB$39+'TE BF_350'!$AB$39+'TE CVA'!$AB$39)*1</f>
        <v>262.52999999999997</v>
      </c>
      <c r="AB614" s="6">
        <f>$K$614*$V$614</f>
        <v>0</v>
      </c>
      <c r="AC614" s="6">
        <f>$M$614*$W$614</f>
        <v>44022.886989999999</v>
      </c>
      <c r="AD614" s="6">
        <f>$O$614*$X$614</f>
        <v>29132.27649</v>
      </c>
      <c r="AE614" s="6">
        <f>$K$614*$Y$614</f>
        <v>0</v>
      </c>
      <c r="AF614" s="6">
        <f ca="1">$M$614*$Z$614</f>
        <v>40378.91401</v>
      </c>
      <c r="AG614" s="6">
        <f ca="1">$O$614*$AA$614</f>
        <v>34141.76397</v>
      </c>
    </row>
    <row r="615" spans="1:33" ht="11.25" customHeight="1" x14ac:dyDescent="0.25">
      <c r="A615" s="4" t="s">
        <v>21</v>
      </c>
      <c r="B615" s="4" t="s">
        <v>33</v>
      </c>
      <c r="C615" s="4" t="s">
        <v>23</v>
      </c>
      <c r="D615" s="4" t="s">
        <v>43</v>
      </c>
      <c r="E615" s="4" t="s">
        <v>25</v>
      </c>
      <c r="F615" s="4" t="s">
        <v>25</v>
      </c>
      <c r="G615" s="4" t="s">
        <v>25</v>
      </c>
      <c r="H615" s="4" t="s">
        <v>25</v>
      </c>
      <c r="I615" s="5">
        <v>44713</v>
      </c>
      <c r="J615" s="6">
        <v>0</v>
      </c>
      <c r="K615" s="6">
        <v>0</v>
      </c>
      <c r="L615" s="6">
        <v>114.00700000000001</v>
      </c>
      <c r="M615" s="6">
        <v>114.00700000000001</v>
      </c>
      <c r="N615" s="6">
        <v>114.00700000000001</v>
      </c>
      <c r="O615" s="6">
        <v>114.00700000000001</v>
      </c>
      <c r="P615" s="6">
        <v>200</v>
      </c>
      <c r="Q615" s="4" t="s">
        <v>26</v>
      </c>
      <c r="R615" s="4">
        <v>0</v>
      </c>
      <c r="S615" s="6">
        <v>0</v>
      </c>
      <c r="T615" s="6">
        <v>33</v>
      </c>
      <c r="U615" s="6">
        <v>85</v>
      </c>
      <c r="V615" s="6">
        <f>IF(ISERROR(VLOOKUP($S$615,'TAR FIN'!$A$1:$O$86,15,0)),0,VLOOKUP($S$615,'TAR FIN'!$A$1:$O$86,15,0))</f>
        <v>0</v>
      </c>
      <c r="W615" s="6">
        <f>IF(ISERROR(VLOOKUP($T$615,'TAR FIN'!$A$1:$O$86,15,0)),0,VLOOKUP($T$615,'TAR FIN'!$A$1:$O$86,15,0))</f>
        <v>338.51</v>
      </c>
      <c r="X615" s="6">
        <f>IF(ISERROR(VLOOKUP($U$615,'TAR FIN'!$A$1:$O$86,15,0)),0,VLOOKUP($U$615,'TAR FIN'!$A$1:$O$86,15,0))</f>
        <v>224.01</v>
      </c>
      <c r="Y615" s="6"/>
      <c r="Z615" s="6">
        <f ca="1">('TUSD BE'!$AM$48+'TUSD BF_350'!$AM$48+'TUSD CVA'!$AM$48)*1</f>
        <v>310.49</v>
      </c>
      <c r="AA615" s="6">
        <f ca="1">('TE BE'!$AB$39+'TE BF_350'!$AB$39+'TE CVA'!$AB$39)*1</f>
        <v>262.52999999999997</v>
      </c>
      <c r="AB615" s="6">
        <f>$K$615*$V$615</f>
        <v>0</v>
      </c>
      <c r="AC615" s="6">
        <f>$M$615*$W$615</f>
        <v>38592.509570000002</v>
      </c>
      <c r="AD615" s="6">
        <f>$O$615*$X$615</f>
        <v>25538.708070000001</v>
      </c>
      <c r="AE615" s="6">
        <f>$K$615*$Y$615</f>
        <v>0</v>
      </c>
      <c r="AF615" s="6">
        <f ca="1">$M$615*$Z$615</f>
        <v>35398.033430000003</v>
      </c>
      <c r="AG615" s="6">
        <f ca="1">$O$615*$AA$615</f>
        <v>29930.257709999998</v>
      </c>
    </row>
    <row r="616" spans="1:33" ht="11.25" customHeight="1" x14ac:dyDescent="0.25">
      <c r="A616" s="4" t="s">
        <v>55</v>
      </c>
      <c r="B616" s="4" t="s">
        <v>33</v>
      </c>
      <c r="C616" s="4" t="s">
        <v>23</v>
      </c>
      <c r="D616" s="4" t="s">
        <v>43</v>
      </c>
      <c r="E616" s="4" t="s">
        <v>25</v>
      </c>
      <c r="F616" s="4" t="s">
        <v>25</v>
      </c>
      <c r="G616" s="4" t="s">
        <v>25</v>
      </c>
      <c r="H616" s="4" t="s">
        <v>25</v>
      </c>
      <c r="I616" s="5">
        <v>44743</v>
      </c>
      <c r="J616" s="6">
        <v>0</v>
      </c>
      <c r="K616" s="6">
        <v>0</v>
      </c>
      <c r="L616" s="6">
        <v>114.00700000000001</v>
      </c>
      <c r="M616" s="6">
        <v>114.00700000000001</v>
      </c>
      <c r="N616" s="6">
        <v>114.00700000000001</v>
      </c>
      <c r="O616" s="6">
        <v>114.00700000000001</v>
      </c>
      <c r="P616" s="6">
        <v>200</v>
      </c>
      <c r="Q616" s="4" t="s">
        <v>26</v>
      </c>
      <c r="R616" s="4">
        <v>0</v>
      </c>
      <c r="S616" s="6">
        <v>0</v>
      </c>
      <c r="T616" s="6">
        <v>33</v>
      </c>
      <c r="U616" s="6">
        <v>85</v>
      </c>
      <c r="V616" s="6">
        <f>IF(ISERROR(VLOOKUP($S$616,'TAR FIN'!$A$1:$O$86,15,0)),0,VLOOKUP($S$616,'TAR FIN'!$A$1:$O$86,15,0))</f>
        <v>0</v>
      </c>
      <c r="W616" s="6">
        <f>IF(ISERROR(VLOOKUP($T$616,'TAR FIN'!$A$1:$O$86,15,0)),0,VLOOKUP($T$616,'TAR FIN'!$A$1:$O$86,15,0))</f>
        <v>338.51</v>
      </c>
      <c r="X616" s="6">
        <f>IF(ISERROR(VLOOKUP($U$616,'TAR FIN'!$A$1:$O$86,15,0)),0,VLOOKUP($U$616,'TAR FIN'!$A$1:$O$86,15,0))</f>
        <v>224.01</v>
      </c>
      <c r="Y616" s="6"/>
      <c r="Z616" s="6">
        <f ca="1">('TUSD BE'!$AM$48+'TUSD BF_350'!$AM$48+'TUSD CVA'!$AM$48)*1</f>
        <v>310.49</v>
      </c>
      <c r="AA616" s="6">
        <f ca="1">('TE BE'!$AB$39+'TE BF_350'!$AB$39+'TE CVA'!$AB$39)*1</f>
        <v>262.52999999999997</v>
      </c>
      <c r="AB616" s="6">
        <f>$K$616*$V$616</f>
        <v>0</v>
      </c>
      <c r="AC616" s="6">
        <f>$M$616*$W$616</f>
        <v>38592.509570000002</v>
      </c>
      <c r="AD616" s="6">
        <f>$O$616*$X$616</f>
        <v>25538.708070000001</v>
      </c>
      <c r="AE616" s="6">
        <f>$K$616*$Y$616</f>
        <v>0</v>
      </c>
      <c r="AF616" s="6">
        <f ca="1">$M$616*$Z$616</f>
        <v>35398.033430000003</v>
      </c>
      <c r="AG616" s="6">
        <f ca="1">$O$616*$AA$616</f>
        <v>29930.257709999998</v>
      </c>
    </row>
    <row r="617" spans="1:33" ht="11.25" customHeight="1" x14ac:dyDescent="0.25">
      <c r="A617" s="4" t="s">
        <v>21</v>
      </c>
      <c r="B617" s="4" t="s">
        <v>33</v>
      </c>
      <c r="C617" s="4" t="s">
        <v>23</v>
      </c>
      <c r="D617" s="4" t="s">
        <v>47</v>
      </c>
      <c r="E617" s="4" t="s">
        <v>48</v>
      </c>
      <c r="F617" s="4" t="s">
        <v>25</v>
      </c>
      <c r="G617" s="4" t="s">
        <v>25</v>
      </c>
      <c r="H617" s="4" t="s">
        <v>25</v>
      </c>
      <c r="I617" s="5">
        <v>44409</v>
      </c>
      <c r="J617" s="6">
        <v>0</v>
      </c>
      <c r="K617" s="128">
        <v>0</v>
      </c>
      <c r="L617" s="6">
        <v>46.851999999999997</v>
      </c>
      <c r="M617" s="128">
        <v>46.851999999999997</v>
      </c>
      <c r="N617" s="6">
        <v>46.851999999999997</v>
      </c>
      <c r="O617" s="128">
        <v>46.851999999999997</v>
      </c>
      <c r="P617" s="6">
        <v>32</v>
      </c>
      <c r="Q617" s="4" t="s">
        <v>26</v>
      </c>
      <c r="R617" s="4">
        <v>0</v>
      </c>
      <c r="S617" s="6">
        <v>0</v>
      </c>
      <c r="T617" s="6">
        <v>33</v>
      </c>
      <c r="U617" s="6">
        <v>85</v>
      </c>
      <c r="V617" s="128">
        <f>IF(ISERROR(VLOOKUP($S$617,'TAR FIN'!$A$1:$O$86,15,0)),0,VLOOKUP($S$617,'TAR FIN'!$A$1:$O$86,15,0))</f>
        <v>0</v>
      </c>
      <c r="W617" s="128">
        <f>IF(ISERROR(VLOOKUP($T$617,'TAR FIN'!$A$1:$O$86,15,0)),0,VLOOKUP($T$617,'TAR FIN'!$A$1:$O$86,15,0))*(1-0.06)</f>
        <v>318.19939999999997</v>
      </c>
      <c r="X617" s="128">
        <f>IF(ISERROR(VLOOKUP($U$617,'TAR FIN'!$A$1:$O$86,15,0)),0,VLOOKUP($U$617,'TAR FIN'!$A$1:$O$86,15,0))*(1-0.06)</f>
        <v>210.56939999999997</v>
      </c>
      <c r="Y617" s="128"/>
      <c r="Z617" s="128">
        <f ca="1">('TUSD BE'!$AM$48+'TUSD BF_350'!$AM$48+'TUSD CVA'!$AM$48)*1*(1-0.03)</f>
        <v>301.17529999999999</v>
      </c>
      <c r="AA617" s="128">
        <f ca="1">('TE BE'!$AB$39+'TE BF_350'!$AB$39+'TE CVA'!$AB$39)*1*(1-0.03)</f>
        <v>254.65409999999997</v>
      </c>
      <c r="AB617" s="6">
        <f>$K$617*$V$617</f>
        <v>0</v>
      </c>
      <c r="AC617" s="6">
        <f>$M$617*$W$617</f>
        <v>14908.278288799998</v>
      </c>
      <c r="AD617" s="6">
        <f>$O$617*$X$617</f>
        <v>9865.5975287999972</v>
      </c>
      <c r="AE617" s="6">
        <f>$K$617*$Y$617</f>
        <v>0</v>
      </c>
      <c r="AF617" s="6">
        <f ca="1">$M$617*$Z$617</f>
        <v>14110.665155599998</v>
      </c>
      <c r="AG617" s="6">
        <f ca="1">$O$617*$AA$617</f>
        <v>11931.053893199998</v>
      </c>
    </row>
    <row r="618" spans="1:33" ht="11.25" customHeight="1" x14ac:dyDescent="0.25">
      <c r="A618" s="4" t="s">
        <v>21</v>
      </c>
      <c r="B618" s="4" t="s">
        <v>33</v>
      </c>
      <c r="C618" s="4" t="s">
        <v>23</v>
      </c>
      <c r="D618" s="4" t="s">
        <v>47</v>
      </c>
      <c r="E618" s="4" t="s">
        <v>48</v>
      </c>
      <c r="F618" s="4" t="s">
        <v>25</v>
      </c>
      <c r="G618" s="4" t="s">
        <v>25</v>
      </c>
      <c r="H618" s="4" t="s">
        <v>25</v>
      </c>
      <c r="I618" s="5">
        <v>44440</v>
      </c>
      <c r="J618" s="6">
        <v>0</v>
      </c>
      <c r="K618" s="128">
        <v>0</v>
      </c>
      <c r="L618" s="6">
        <v>49.296999999999997</v>
      </c>
      <c r="M618" s="128">
        <v>49.296999999999997</v>
      </c>
      <c r="N618" s="6">
        <v>49.296999999999997</v>
      </c>
      <c r="O618" s="128">
        <v>49.296999999999997</v>
      </c>
      <c r="P618" s="6">
        <v>32</v>
      </c>
      <c r="Q618" s="4" t="s">
        <v>26</v>
      </c>
      <c r="R618" s="4">
        <v>0</v>
      </c>
      <c r="S618" s="6">
        <v>0</v>
      </c>
      <c r="T618" s="6">
        <v>33</v>
      </c>
      <c r="U618" s="6">
        <v>85</v>
      </c>
      <c r="V618" s="128">
        <f>IF(ISERROR(VLOOKUP($S$618,'TAR FIN'!$A$1:$O$86,15,0)),0,VLOOKUP($S$618,'TAR FIN'!$A$1:$O$86,15,0))</f>
        <v>0</v>
      </c>
      <c r="W618" s="128">
        <f>IF(ISERROR(VLOOKUP($T$618,'TAR FIN'!$A$1:$O$86,15,0)),0,VLOOKUP($T$618,'TAR FIN'!$A$1:$O$86,15,0))*(1-0.06)</f>
        <v>318.19939999999997</v>
      </c>
      <c r="X618" s="128">
        <f>IF(ISERROR(VLOOKUP($U$618,'TAR FIN'!$A$1:$O$86,15,0)),0,VLOOKUP($U$618,'TAR FIN'!$A$1:$O$86,15,0))*(1-0.06)</f>
        <v>210.56939999999997</v>
      </c>
      <c r="Y618" s="128"/>
      <c r="Z618" s="128">
        <f ca="1">('TUSD BE'!$AM$48+'TUSD BF_350'!$AM$48+'TUSD CVA'!$AM$48)*1*(1-0.03)</f>
        <v>301.17529999999999</v>
      </c>
      <c r="AA618" s="128">
        <f ca="1">('TE BE'!$AB$39+'TE BF_350'!$AB$39+'TE CVA'!$AB$39)*1*(1-0.03)</f>
        <v>254.65409999999997</v>
      </c>
      <c r="AB618" s="6">
        <f>$K$618*$V$618</f>
        <v>0</v>
      </c>
      <c r="AC618" s="6">
        <f>$M$618*$W$618</f>
        <v>15686.275821799998</v>
      </c>
      <c r="AD618" s="6">
        <f>$O$618*$X$618</f>
        <v>10380.439711799998</v>
      </c>
      <c r="AE618" s="6">
        <f>$K$618*$Y$618</f>
        <v>0</v>
      </c>
      <c r="AF618" s="6">
        <f ca="1">$M$618*$Z$618</f>
        <v>14847.038764099998</v>
      </c>
      <c r="AG618" s="6">
        <f ca="1">$O$618*$AA$618</f>
        <v>12553.683167699997</v>
      </c>
    </row>
    <row r="619" spans="1:33" ht="11.25" customHeight="1" x14ac:dyDescent="0.25">
      <c r="A619" s="4" t="s">
        <v>21</v>
      </c>
      <c r="B619" s="4" t="s">
        <v>33</v>
      </c>
      <c r="C619" s="4" t="s">
        <v>23</v>
      </c>
      <c r="D619" s="4" t="s">
        <v>47</v>
      </c>
      <c r="E619" s="4" t="s">
        <v>48</v>
      </c>
      <c r="F619" s="4" t="s">
        <v>25</v>
      </c>
      <c r="G619" s="4" t="s">
        <v>25</v>
      </c>
      <c r="H619" s="4" t="s">
        <v>25</v>
      </c>
      <c r="I619" s="5">
        <v>44470</v>
      </c>
      <c r="J619" s="6">
        <v>0</v>
      </c>
      <c r="K619" s="128">
        <v>0</v>
      </c>
      <c r="L619" s="6">
        <v>45.563000000000002</v>
      </c>
      <c r="M619" s="128">
        <v>45.563000000000002</v>
      </c>
      <c r="N619" s="6">
        <v>45.563000000000002</v>
      </c>
      <c r="O619" s="128">
        <v>45.563000000000002</v>
      </c>
      <c r="P619" s="6">
        <v>32</v>
      </c>
      <c r="Q619" s="4" t="s">
        <v>26</v>
      </c>
      <c r="R619" s="4">
        <v>0</v>
      </c>
      <c r="S619" s="6">
        <v>0</v>
      </c>
      <c r="T619" s="6">
        <v>33</v>
      </c>
      <c r="U619" s="6">
        <v>85</v>
      </c>
      <c r="V619" s="128">
        <f>IF(ISERROR(VLOOKUP($S$619,'TAR FIN'!$A$1:$O$86,15,0)),0,VLOOKUP($S$619,'TAR FIN'!$A$1:$O$86,15,0))</f>
        <v>0</v>
      </c>
      <c r="W619" s="128">
        <f>IF(ISERROR(VLOOKUP($T$619,'TAR FIN'!$A$1:$O$86,15,0)),0,VLOOKUP($T$619,'TAR FIN'!$A$1:$O$86,15,0))*(1-0.06)</f>
        <v>318.19939999999997</v>
      </c>
      <c r="X619" s="128">
        <f>IF(ISERROR(VLOOKUP($U$619,'TAR FIN'!$A$1:$O$86,15,0)),0,VLOOKUP($U$619,'TAR FIN'!$A$1:$O$86,15,0))*(1-0.06)</f>
        <v>210.56939999999997</v>
      </c>
      <c r="Y619" s="128"/>
      <c r="Z619" s="128">
        <f ca="1">('TUSD BE'!$AM$48+'TUSD BF_350'!$AM$48+'TUSD CVA'!$AM$48)*1*(1-0.03)</f>
        <v>301.17529999999999</v>
      </c>
      <c r="AA619" s="128">
        <f ca="1">('TE BE'!$AB$39+'TE BF_350'!$AB$39+'TE CVA'!$AB$39)*1*(1-0.03)</f>
        <v>254.65409999999997</v>
      </c>
      <c r="AB619" s="6">
        <f>$K$619*$V$619</f>
        <v>0</v>
      </c>
      <c r="AC619" s="6">
        <f>$M$619*$W$619</f>
        <v>14498.1192622</v>
      </c>
      <c r="AD619" s="6">
        <f>$O$619*$X$619</f>
        <v>9594.1735721999994</v>
      </c>
      <c r="AE619" s="6">
        <f>$K$619*$Y$619</f>
        <v>0</v>
      </c>
      <c r="AF619" s="6">
        <f ca="1">$M$619*$Z$619</f>
        <v>13722.4501939</v>
      </c>
      <c r="AG619" s="6">
        <f ca="1">$O$619*$AA$619</f>
        <v>11602.804758299999</v>
      </c>
    </row>
    <row r="620" spans="1:33" ht="11.25" customHeight="1" x14ac:dyDescent="0.25">
      <c r="A620" s="4" t="s">
        <v>21</v>
      </c>
      <c r="B620" s="4" t="s">
        <v>33</v>
      </c>
      <c r="C620" s="4" t="s">
        <v>23</v>
      </c>
      <c r="D620" s="4" t="s">
        <v>47</v>
      </c>
      <c r="E620" s="4" t="s">
        <v>48</v>
      </c>
      <c r="F620" s="4" t="s">
        <v>25</v>
      </c>
      <c r="G620" s="4" t="s">
        <v>25</v>
      </c>
      <c r="H620" s="4" t="s">
        <v>25</v>
      </c>
      <c r="I620" s="5">
        <v>44501</v>
      </c>
      <c r="J620" s="6">
        <v>0</v>
      </c>
      <c r="K620" s="128">
        <v>0</v>
      </c>
      <c r="L620" s="6">
        <v>47.423999999999999</v>
      </c>
      <c r="M620" s="128">
        <v>47.423999999999999</v>
      </c>
      <c r="N620" s="6">
        <v>47.423999999999999</v>
      </c>
      <c r="O620" s="128">
        <v>47.423999999999999</v>
      </c>
      <c r="P620" s="6">
        <v>34</v>
      </c>
      <c r="Q620" s="4" t="s">
        <v>26</v>
      </c>
      <c r="R620" s="4">
        <v>0</v>
      </c>
      <c r="S620" s="6">
        <v>0</v>
      </c>
      <c r="T620" s="6">
        <v>33</v>
      </c>
      <c r="U620" s="6">
        <v>85</v>
      </c>
      <c r="V620" s="128">
        <f>IF(ISERROR(VLOOKUP($S$620,'TAR FIN'!$A$1:$O$86,15,0)),0,VLOOKUP($S$620,'TAR FIN'!$A$1:$O$86,15,0))</f>
        <v>0</v>
      </c>
      <c r="W620" s="128">
        <f>IF(ISERROR(VLOOKUP($T$620,'TAR FIN'!$A$1:$O$86,15,0)),0,VLOOKUP($T$620,'TAR FIN'!$A$1:$O$86,15,0))*(1-0.06)</f>
        <v>318.19939999999997</v>
      </c>
      <c r="X620" s="128">
        <f>IF(ISERROR(VLOOKUP($U$620,'TAR FIN'!$A$1:$O$86,15,0)),0,VLOOKUP($U$620,'TAR FIN'!$A$1:$O$86,15,0))*(1-0.06)</f>
        <v>210.56939999999997</v>
      </c>
      <c r="Y620" s="128"/>
      <c r="Z620" s="128">
        <f ca="1">('TUSD BE'!$AM$48+'TUSD BF_350'!$AM$48+'TUSD CVA'!$AM$48)*1*(1-0.03)</f>
        <v>301.17529999999999</v>
      </c>
      <c r="AA620" s="128">
        <f ca="1">('TE BE'!$AB$39+'TE BF_350'!$AB$39+'TE CVA'!$AB$39)*1*(1-0.03)</f>
        <v>254.65409999999997</v>
      </c>
      <c r="AB620" s="6">
        <f>$K$620*$V$620</f>
        <v>0</v>
      </c>
      <c r="AC620" s="6">
        <f>$M$620*$W$620</f>
        <v>15090.288345599998</v>
      </c>
      <c r="AD620" s="6">
        <f>$O$620*$X$620</f>
        <v>9986.0432255999986</v>
      </c>
      <c r="AE620" s="6">
        <f>$K$620*$Y$620</f>
        <v>0</v>
      </c>
      <c r="AF620" s="6">
        <f ca="1">$M$620*$Z$620</f>
        <v>14282.937427199999</v>
      </c>
      <c r="AG620" s="6">
        <f ca="1">$O$620*$AA$620</f>
        <v>12076.716038399998</v>
      </c>
    </row>
    <row r="621" spans="1:33" ht="11.25" customHeight="1" x14ac:dyDescent="0.25">
      <c r="A621" s="4" t="s">
        <v>21</v>
      </c>
      <c r="B621" s="4" t="s">
        <v>33</v>
      </c>
      <c r="C621" s="4" t="s">
        <v>23</v>
      </c>
      <c r="D621" s="4" t="s">
        <v>47</v>
      </c>
      <c r="E621" s="4" t="s">
        <v>48</v>
      </c>
      <c r="F621" s="4" t="s">
        <v>25</v>
      </c>
      <c r="G621" s="4" t="s">
        <v>25</v>
      </c>
      <c r="H621" s="4" t="s">
        <v>25</v>
      </c>
      <c r="I621" s="5">
        <v>44531</v>
      </c>
      <c r="J621" s="6">
        <v>0</v>
      </c>
      <c r="K621" s="128">
        <v>0</v>
      </c>
      <c r="L621" s="6">
        <v>44.262999999999998</v>
      </c>
      <c r="M621" s="128">
        <v>44.262999999999998</v>
      </c>
      <c r="N621" s="6">
        <v>44.262999999999998</v>
      </c>
      <c r="O621" s="128">
        <v>44.262999999999998</v>
      </c>
      <c r="P621" s="6">
        <v>33</v>
      </c>
      <c r="Q621" s="4" t="s">
        <v>26</v>
      </c>
      <c r="R621" s="4">
        <v>0</v>
      </c>
      <c r="S621" s="6">
        <v>0</v>
      </c>
      <c r="T621" s="6">
        <v>33</v>
      </c>
      <c r="U621" s="6">
        <v>85</v>
      </c>
      <c r="V621" s="128">
        <f>IF(ISERROR(VLOOKUP($S$621,'TAR FIN'!$A$1:$O$86,15,0)),0,VLOOKUP($S$621,'TAR FIN'!$A$1:$O$86,15,0))</f>
        <v>0</v>
      </c>
      <c r="W621" s="128">
        <f>IF(ISERROR(VLOOKUP($T$621,'TAR FIN'!$A$1:$O$86,15,0)),0,VLOOKUP($T$621,'TAR FIN'!$A$1:$O$86,15,0))*(1-0.06)</f>
        <v>318.19939999999997</v>
      </c>
      <c r="X621" s="128">
        <f>IF(ISERROR(VLOOKUP($U$621,'TAR FIN'!$A$1:$O$86,15,0)),0,VLOOKUP($U$621,'TAR FIN'!$A$1:$O$86,15,0))*(1-0.06)</f>
        <v>210.56939999999997</v>
      </c>
      <c r="Y621" s="128"/>
      <c r="Z621" s="128">
        <f ca="1">('TUSD BE'!$AM$48+'TUSD BF_350'!$AM$48+'TUSD CVA'!$AM$48)*1*(1-0.03)</f>
        <v>301.17529999999999</v>
      </c>
      <c r="AA621" s="128">
        <f ca="1">('TE BE'!$AB$39+'TE BF_350'!$AB$39+'TE CVA'!$AB$39)*1*(1-0.03)</f>
        <v>254.65409999999997</v>
      </c>
      <c r="AB621" s="6">
        <f>$K$621*$V$621</f>
        <v>0</v>
      </c>
      <c r="AC621" s="6">
        <f>$M$621*$W$621</f>
        <v>14084.460042199998</v>
      </c>
      <c r="AD621" s="6">
        <f>$O$621*$X$621</f>
        <v>9320.4333521999979</v>
      </c>
      <c r="AE621" s="6">
        <f>$K$621*$Y$621</f>
        <v>0</v>
      </c>
      <c r="AF621" s="6">
        <f ca="1">$M$621*$Z$621</f>
        <v>13330.922303899999</v>
      </c>
      <c r="AG621" s="6">
        <f ca="1">$O$621*$AA$621</f>
        <v>11271.754428299999</v>
      </c>
    </row>
    <row r="622" spans="1:33" ht="11.25" customHeight="1" x14ac:dyDescent="0.25">
      <c r="A622" s="4" t="s">
        <v>27</v>
      </c>
      <c r="B622" s="4" t="s">
        <v>33</v>
      </c>
      <c r="C622" s="4" t="s">
        <v>23</v>
      </c>
      <c r="D622" s="4" t="s">
        <v>47</v>
      </c>
      <c r="E622" s="4" t="s">
        <v>48</v>
      </c>
      <c r="F622" s="4" t="s">
        <v>25</v>
      </c>
      <c r="G622" s="4" t="s">
        <v>25</v>
      </c>
      <c r="H622" s="4" t="s">
        <v>25</v>
      </c>
      <c r="I622" s="5">
        <v>44531</v>
      </c>
      <c r="J622" s="6">
        <v>0</v>
      </c>
      <c r="K622" s="128">
        <v>0</v>
      </c>
      <c r="L622" s="6">
        <v>-0.307</v>
      </c>
      <c r="M622" s="128">
        <v>-0.307</v>
      </c>
      <c r="N622" s="6">
        <v>-0.307</v>
      </c>
      <c r="O622" s="128">
        <v>-0.307</v>
      </c>
      <c r="P622" s="6">
        <v>0</v>
      </c>
      <c r="Q622" s="4" t="s">
        <v>26</v>
      </c>
      <c r="R622" s="4">
        <v>0</v>
      </c>
      <c r="S622" s="6">
        <v>0</v>
      </c>
      <c r="T622" s="6">
        <v>33</v>
      </c>
      <c r="U622" s="6">
        <v>85</v>
      </c>
      <c r="V622" s="128">
        <f>IF(ISERROR(VLOOKUP($S$622,'TAR FIN'!$A$1:$O$86,15,0)),0,VLOOKUP($S$622,'TAR FIN'!$A$1:$O$86,15,0))</f>
        <v>0</v>
      </c>
      <c r="W622" s="128">
        <f>IF(ISERROR(VLOOKUP($T$622,'TAR FIN'!$A$1:$O$86,15,0)),0,VLOOKUP($T$622,'TAR FIN'!$A$1:$O$86,15,0))*(1-0.06)</f>
        <v>318.19939999999997</v>
      </c>
      <c r="X622" s="128">
        <f>IF(ISERROR(VLOOKUP($U$622,'TAR FIN'!$A$1:$O$86,15,0)),0,VLOOKUP($U$622,'TAR FIN'!$A$1:$O$86,15,0))*(1-0.06)</f>
        <v>210.56939999999997</v>
      </c>
      <c r="Y622" s="128"/>
      <c r="Z622" s="128">
        <f ca="1">('TUSD BE'!$AM$48+'TUSD BF_350'!$AM$48+'TUSD CVA'!$AM$48)*1*(1-0.03)</f>
        <v>301.17529999999999</v>
      </c>
      <c r="AA622" s="128">
        <f ca="1">('TE BE'!$AB$39+'TE BF_350'!$AB$39+'TE CVA'!$AB$39)*1*(1-0.03)</f>
        <v>254.65409999999997</v>
      </c>
      <c r="AB622" s="6">
        <f>$K$622*$V$622</f>
        <v>0</v>
      </c>
      <c r="AC622" s="6">
        <f>$M$622*$W$622</f>
        <v>-97.68721579999999</v>
      </c>
      <c r="AD622" s="6">
        <f>$O$622*$X$622</f>
        <v>-64.644805799999986</v>
      </c>
      <c r="AE622" s="6">
        <f>$K$622*$Y$622</f>
        <v>0</v>
      </c>
      <c r="AF622" s="6">
        <f ca="1">$M$622*$Z$622</f>
        <v>-92.4608171</v>
      </c>
      <c r="AG622" s="6">
        <f ca="1">$O$622*$AA$622</f>
        <v>-78.17880869999999</v>
      </c>
    </row>
    <row r="623" spans="1:33" ht="11.25" customHeight="1" x14ac:dyDescent="0.25">
      <c r="A623" s="4" t="s">
        <v>21</v>
      </c>
      <c r="B623" s="4" t="s">
        <v>33</v>
      </c>
      <c r="C623" s="4" t="s">
        <v>23</v>
      </c>
      <c r="D623" s="4" t="s">
        <v>47</v>
      </c>
      <c r="E623" s="4" t="s">
        <v>48</v>
      </c>
      <c r="F623" s="4" t="s">
        <v>25</v>
      </c>
      <c r="G623" s="4" t="s">
        <v>25</v>
      </c>
      <c r="H623" s="4" t="s">
        <v>25</v>
      </c>
      <c r="I623" s="5">
        <v>44562</v>
      </c>
      <c r="J623" s="6">
        <v>0</v>
      </c>
      <c r="K623" s="128">
        <v>0</v>
      </c>
      <c r="L623" s="6">
        <v>60.606000000000002</v>
      </c>
      <c r="M623" s="128">
        <v>60.606000000000002</v>
      </c>
      <c r="N623" s="6">
        <v>60.606000000000002</v>
      </c>
      <c r="O623" s="128">
        <v>60.606000000000002</v>
      </c>
      <c r="P623" s="6">
        <v>33</v>
      </c>
      <c r="Q623" s="4" t="s">
        <v>26</v>
      </c>
      <c r="R623" s="4">
        <v>0</v>
      </c>
      <c r="S623" s="6">
        <v>0</v>
      </c>
      <c r="T623" s="6">
        <v>33</v>
      </c>
      <c r="U623" s="6">
        <v>85</v>
      </c>
      <c r="V623" s="128">
        <f>IF(ISERROR(VLOOKUP($S$623,'TAR FIN'!$A$1:$O$86,15,0)),0,VLOOKUP($S$623,'TAR FIN'!$A$1:$O$86,15,0))</f>
        <v>0</v>
      </c>
      <c r="W623" s="128">
        <f>IF(ISERROR(VLOOKUP($T$623,'TAR FIN'!$A$1:$O$86,15,0)),0,VLOOKUP($T$623,'TAR FIN'!$A$1:$O$86,15,0))*(1-0.06)</f>
        <v>318.19939999999997</v>
      </c>
      <c r="X623" s="128">
        <f>IF(ISERROR(VLOOKUP($U$623,'TAR FIN'!$A$1:$O$86,15,0)),0,VLOOKUP($U$623,'TAR FIN'!$A$1:$O$86,15,0))*(1-0.06)</f>
        <v>210.56939999999997</v>
      </c>
      <c r="Y623" s="128"/>
      <c r="Z623" s="128">
        <f ca="1">('TUSD BE'!$AM$48+'TUSD BF_350'!$AM$48+'TUSD CVA'!$AM$48)*1*(1-0.03)</f>
        <v>301.17529999999999</v>
      </c>
      <c r="AA623" s="128">
        <f ca="1">('TE BE'!$AB$39+'TE BF_350'!$AB$39+'TE CVA'!$AB$39)*1*(1-0.03)</f>
        <v>254.65409999999997</v>
      </c>
      <c r="AB623" s="6">
        <f>$K$623*$V$623</f>
        <v>0</v>
      </c>
      <c r="AC623" s="6">
        <f>$M$623*$W$623</f>
        <v>19284.7928364</v>
      </c>
      <c r="AD623" s="6">
        <f>$O$623*$X$623</f>
        <v>12761.769056399999</v>
      </c>
      <c r="AE623" s="6">
        <f>$K$623*$Y$623</f>
        <v>0</v>
      </c>
      <c r="AF623" s="6">
        <f ca="1">$M$623*$Z$623</f>
        <v>18253.030231799999</v>
      </c>
      <c r="AG623" s="6">
        <f ca="1">$O$623*$AA$623</f>
        <v>15433.566384599999</v>
      </c>
    </row>
    <row r="624" spans="1:33" ht="11.25" customHeight="1" x14ac:dyDescent="0.25">
      <c r="A624" s="4" t="s">
        <v>21</v>
      </c>
      <c r="B624" s="4" t="s">
        <v>33</v>
      </c>
      <c r="C624" s="4" t="s">
        <v>23</v>
      </c>
      <c r="D624" s="4" t="s">
        <v>47</v>
      </c>
      <c r="E624" s="4" t="s">
        <v>48</v>
      </c>
      <c r="F624" s="4" t="s">
        <v>25</v>
      </c>
      <c r="G624" s="4" t="s">
        <v>25</v>
      </c>
      <c r="H624" s="4" t="s">
        <v>25</v>
      </c>
      <c r="I624" s="5">
        <v>44593</v>
      </c>
      <c r="J624" s="6">
        <v>0</v>
      </c>
      <c r="K624" s="128">
        <v>0</v>
      </c>
      <c r="L624" s="6">
        <v>47.884999999999998</v>
      </c>
      <c r="M624" s="128">
        <v>47.884999999999998</v>
      </c>
      <c r="N624" s="6">
        <v>47.884999999999998</v>
      </c>
      <c r="O624" s="128">
        <v>47.884999999999998</v>
      </c>
      <c r="P624" s="6">
        <v>33</v>
      </c>
      <c r="Q624" s="4" t="s">
        <v>26</v>
      </c>
      <c r="R624" s="4">
        <v>0</v>
      </c>
      <c r="S624" s="6">
        <v>0</v>
      </c>
      <c r="T624" s="6">
        <v>33</v>
      </c>
      <c r="U624" s="6">
        <v>85</v>
      </c>
      <c r="V624" s="128">
        <f>IF(ISERROR(VLOOKUP($S$624,'TAR FIN'!$A$1:$O$86,15,0)),0,VLOOKUP($S$624,'TAR FIN'!$A$1:$O$86,15,0))</f>
        <v>0</v>
      </c>
      <c r="W624" s="128">
        <f>IF(ISERROR(VLOOKUP($T$624,'TAR FIN'!$A$1:$O$86,15,0)),0,VLOOKUP($T$624,'TAR FIN'!$A$1:$O$86,15,0))*(1-0.06)</f>
        <v>318.19939999999997</v>
      </c>
      <c r="X624" s="128">
        <f>IF(ISERROR(VLOOKUP($U$624,'TAR FIN'!$A$1:$O$86,15,0)),0,VLOOKUP($U$624,'TAR FIN'!$A$1:$O$86,15,0))*(1-0.06)</f>
        <v>210.56939999999997</v>
      </c>
      <c r="Y624" s="128"/>
      <c r="Z624" s="128">
        <f ca="1">('TUSD BE'!$AM$48+'TUSD BF_350'!$AM$48+'TUSD CVA'!$AM$48)*1*(1-0.03)</f>
        <v>301.17529999999999</v>
      </c>
      <c r="AA624" s="128">
        <f ca="1">('TE BE'!$AB$39+'TE BF_350'!$AB$39+'TE CVA'!$AB$39)*1*(1-0.03)</f>
        <v>254.65409999999997</v>
      </c>
      <c r="AB624" s="6">
        <f>$K$624*$V$624</f>
        <v>0</v>
      </c>
      <c r="AC624" s="6">
        <f>$M$624*$W$624</f>
        <v>15236.978268999997</v>
      </c>
      <c r="AD624" s="6">
        <f>$O$624*$X$624</f>
        <v>10083.115718999998</v>
      </c>
      <c r="AE624" s="6">
        <f>$K$624*$Y$624</f>
        <v>0</v>
      </c>
      <c r="AF624" s="6">
        <f ca="1">$M$624*$Z$624</f>
        <v>14421.779240499998</v>
      </c>
      <c r="AG624" s="6">
        <f ca="1">$O$624*$AA$624</f>
        <v>12194.111578499998</v>
      </c>
    </row>
    <row r="625" spans="1:33" ht="11.25" customHeight="1" x14ac:dyDescent="0.25">
      <c r="A625" s="4" t="s">
        <v>21</v>
      </c>
      <c r="B625" s="4" t="s">
        <v>33</v>
      </c>
      <c r="C625" s="4" t="s">
        <v>23</v>
      </c>
      <c r="D625" s="4" t="s">
        <v>47</v>
      </c>
      <c r="E625" s="4" t="s">
        <v>48</v>
      </c>
      <c r="F625" s="4" t="s">
        <v>25</v>
      </c>
      <c r="G625" s="4" t="s">
        <v>25</v>
      </c>
      <c r="H625" s="4" t="s">
        <v>25</v>
      </c>
      <c r="I625" s="5">
        <v>44621</v>
      </c>
      <c r="J625" s="6">
        <v>0</v>
      </c>
      <c r="K625" s="128">
        <v>0</v>
      </c>
      <c r="L625" s="6">
        <v>66.007000000000005</v>
      </c>
      <c r="M625" s="128">
        <v>66.007000000000005</v>
      </c>
      <c r="N625" s="6">
        <v>66.007000000000005</v>
      </c>
      <c r="O625" s="128">
        <v>66.007000000000005</v>
      </c>
      <c r="P625" s="6">
        <v>33</v>
      </c>
      <c r="Q625" s="4" t="s">
        <v>26</v>
      </c>
      <c r="R625" s="4">
        <v>0</v>
      </c>
      <c r="S625" s="6">
        <v>0</v>
      </c>
      <c r="T625" s="6">
        <v>33</v>
      </c>
      <c r="U625" s="6">
        <v>85</v>
      </c>
      <c r="V625" s="128">
        <f>IF(ISERROR(VLOOKUP($S$625,'TAR FIN'!$A$1:$O$86,15,0)),0,VLOOKUP($S$625,'TAR FIN'!$A$1:$O$86,15,0))</f>
        <v>0</v>
      </c>
      <c r="W625" s="128">
        <f>IF(ISERROR(VLOOKUP($T$625,'TAR FIN'!$A$1:$O$86,15,0)),0,VLOOKUP($T$625,'TAR FIN'!$A$1:$O$86,15,0))*(1-0.06)</f>
        <v>318.19939999999997</v>
      </c>
      <c r="X625" s="128">
        <f>IF(ISERROR(VLOOKUP($U$625,'TAR FIN'!$A$1:$O$86,15,0)),0,VLOOKUP($U$625,'TAR FIN'!$A$1:$O$86,15,0))*(1-0.06)</f>
        <v>210.56939999999997</v>
      </c>
      <c r="Y625" s="128"/>
      <c r="Z625" s="128">
        <f ca="1">('TUSD BE'!$AM$48+'TUSD BF_350'!$AM$48+'TUSD CVA'!$AM$48)*1*(1-0.03)</f>
        <v>301.17529999999999</v>
      </c>
      <c r="AA625" s="128">
        <f ca="1">('TE BE'!$AB$39+'TE BF_350'!$AB$39+'TE CVA'!$AB$39)*1*(1-0.03)</f>
        <v>254.65409999999997</v>
      </c>
      <c r="AB625" s="6">
        <f>$K$625*$V$625</f>
        <v>0</v>
      </c>
      <c r="AC625" s="6">
        <f>$M$625*$W$625</f>
        <v>21003.387795800001</v>
      </c>
      <c r="AD625" s="6">
        <f>$O$625*$X$625</f>
        <v>13899.0543858</v>
      </c>
      <c r="AE625" s="6">
        <f>$K$625*$Y$625</f>
        <v>0</v>
      </c>
      <c r="AF625" s="6">
        <f ca="1">$M$625*$Z$625</f>
        <v>19879.678027100003</v>
      </c>
      <c r="AG625" s="6">
        <f ca="1">$O$625*$AA$625</f>
        <v>16808.953178699998</v>
      </c>
    </row>
    <row r="626" spans="1:33" ht="11.25" customHeight="1" x14ac:dyDescent="0.25">
      <c r="A626" s="4" t="s">
        <v>21</v>
      </c>
      <c r="B626" s="4" t="s">
        <v>33</v>
      </c>
      <c r="C626" s="4" t="s">
        <v>23</v>
      </c>
      <c r="D626" s="4" t="s">
        <v>47</v>
      </c>
      <c r="E626" s="4" t="s">
        <v>48</v>
      </c>
      <c r="F626" s="4" t="s">
        <v>25</v>
      </c>
      <c r="G626" s="4" t="s">
        <v>25</v>
      </c>
      <c r="H626" s="4" t="s">
        <v>25</v>
      </c>
      <c r="I626" s="5">
        <v>44652</v>
      </c>
      <c r="J626" s="6">
        <v>0</v>
      </c>
      <c r="K626" s="128">
        <v>0</v>
      </c>
      <c r="L626" s="6">
        <v>49.927</v>
      </c>
      <c r="M626" s="128">
        <v>49.927</v>
      </c>
      <c r="N626" s="6">
        <v>49.927</v>
      </c>
      <c r="O626" s="128">
        <v>49.927</v>
      </c>
      <c r="P626" s="6">
        <v>37</v>
      </c>
      <c r="Q626" s="4" t="s">
        <v>26</v>
      </c>
      <c r="R626" s="4">
        <v>0</v>
      </c>
      <c r="S626" s="6">
        <v>0</v>
      </c>
      <c r="T626" s="6">
        <v>33</v>
      </c>
      <c r="U626" s="6">
        <v>85</v>
      </c>
      <c r="V626" s="128">
        <f>IF(ISERROR(VLOOKUP($S$626,'TAR FIN'!$A$1:$O$86,15,0)),0,VLOOKUP($S$626,'TAR FIN'!$A$1:$O$86,15,0))</f>
        <v>0</v>
      </c>
      <c r="W626" s="128">
        <f>IF(ISERROR(VLOOKUP($T$626,'TAR FIN'!$A$1:$O$86,15,0)),0,VLOOKUP($T$626,'TAR FIN'!$A$1:$O$86,15,0))*(1-0.06)</f>
        <v>318.19939999999997</v>
      </c>
      <c r="X626" s="128">
        <f>IF(ISERROR(VLOOKUP($U$626,'TAR FIN'!$A$1:$O$86,15,0)),0,VLOOKUP($U$626,'TAR FIN'!$A$1:$O$86,15,0))*(1-0.06)</f>
        <v>210.56939999999997</v>
      </c>
      <c r="Y626" s="128"/>
      <c r="Z626" s="128">
        <f ca="1">('TUSD BE'!$AM$48+'TUSD BF_350'!$AM$48+'TUSD CVA'!$AM$48)*1*(1-0.03)</f>
        <v>301.17529999999999</v>
      </c>
      <c r="AA626" s="128">
        <f ca="1">('TE BE'!$AB$39+'TE BF_350'!$AB$39+'TE CVA'!$AB$39)*1*(1-0.03)</f>
        <v>254.65409999999997</v>
      </c>
      <c r="AB626" s="6">
        <f>$K$626*$V$626</f>
        <v>0</v>
      </c>
      <c r="AC626" s="6">
        <f>$M$626*$W$626</f>
        <v>15886.741443799998</v>
      </c>
      <c r="AD626" s="6">
        <f>$O$626*$X$626</f>
        <v>10513.098433799998</v>
      </c>
      <c r="AE626" s="6">
        <f>$K$626*$Y$626</f>
        <v>0</v>
      </c>
      <c r="AF626" s="6">
        <f ca="1">$M$626*$Z$626</f>
        <v>15036.779203099999</v>
      </c>
      <c r="AG626" s="6">
        <f ca="1">$O$626*$AA$626</f>
        <v>12714.115250699999</v>
      </c>
    </row>
    <row r="627" spans="1:33" ht="11.25" customHeight="1" x14ac:dyDescent="0.25">
      <c r="A627" s="4" t="s">
        <v>21</v>
      </c>
      <c r="B627" s="4" t="s">
        <v>33</v>
      </c>
      <c r="C627" s="4" t="s">
        <v>23</v>
      </c>
      <c r="D627" s="4" t="s">
        <v>47</v>
      </c>
      <c r="E627" s="4" t="s">
        <v>48</v>
      </c>
      <c r="F627" s="4" t="s">
        <v>25</v>
      </c>
      <c r="G627" s="4" t="s">
        <v>25</v>
      </c>
      <c r="H627" s="4" t="s">
        <v>25</v>
      </c>
      <c r="I627" s="5">
        <v>44682</v>
      </c>
      <c r="J627" s="6">
        <v>0</v>
      </c>
      <c r="K627" s="128">
        <v>0</v>
      </c>
      <c r="L627" s="6">
        <v>50.348999999999997</v>
      </c>
      <c r="M627" s="128">
        <v>50.348999999999997</v>
      </c>
      <c r="N627" s="6">
        <v>50.348999999999997</v>
      </c>
      <c r="O627" s="128">
        <v>50.348999999999997</v>
      </c>
      <c r="P627" s="6">
        <v>37</v>
      </c>
      <c r="Q627" s="4" t="s">
        <v>26</v>
      </c>
      <c r="R627" s="4">
        <v>0</v>
      </c>
      <c r="S627" s="6">
        <v>0</v>
      </c>
      <c r="T627" s="6">
        <v>33</v>
      </c>
      <c r="U627" s="6">
        <v>85</v>
      </c>
      <c r="V627" s="128">
        <f>IF(ISERROR(VLOOKUP($S$627,'TAR FIN'!$A$1:$O$86,15,0)),0,VLOOKUP($S$627,'TAR FIN'!$A$1:$O$86,15,0))</f>
        <v>0</v>
      </c>
      <c r="W627" s="128">
        <f>IF(ISERROR(VLOOKUP($T$627,'TAR FIN'!$A$1:$O$86,15,0)),0,VLOOKUP($T$627,'TAR FIN'!$A$1:$O$86,15,0))*(1-0.06)</f>
        <v>318.19939999999997</v>
      </c>
      <c r="X627" s="128">
        <f>IF(ISERROR(VLOOKUP($U$627,'TAR FIN'!$A$1:$O$86,15,0)),0,VLOOKUP($U$627,'TAR FIN'!$A$1:$O$86,15,0))*(1-0.06)</f>
        <v>210.56939999999997</v>
      </c>
      <c r="Y627" s="128"/>
      <c r="Z627" s="128">
        <f ca="1">('TUSD BE'!$AM$48+'TUSD BF_350'!$AM$48+'TUSD CVA'!$AM$48)*1*(1-0.03)</f>
        <v>301.17529999999999</v>
      </c>
      <c r="AA627" s="128">
        <f ca="1">('TE BE'!$AB$39+'TE BF_350'!$AB$39+'TE CVA'!$AB$39)*1*(1-0.03)</f>
        <v>254.65409999999997</v>
      </c>
      <c r="AB627" s="6">
        <f>$K$627*$V$627</f>
        <v>0</v>
      </c>
      <c r="AC627" s="6">
        <f>$M$627*$W$627</f>
        <v>16021.021590599998</v>
      </c>
      <c r="AD627" s="6">
        <f>$O$627*$X$627</f>
        <v>10601.958720599998</v>
      </c>
      <c r="AE627" s="6">
        <f>$K$627*$Y$627</f>
        <v>0</v>
      </c>
      <c r="AF627" s="6">
        <f ca="1">$M$627*$Z$627</f>
        <v>15163.875179699999</v>
      </c>
      <c r="AG627" s="6">
        <f ca="1">$O$627*$AA$627</f>
        <v>12821.579280899998</v>
      </c>
    </row>
    <row r="628" spans="1:33" ht="11.25" customHeight="1" x14ac:dyDescent="0.25">
      <c r="A628" s="4" t="s">
        <v>21</v>
      </c>
      <c r="B628" s="4" t="s">
        <v>33</v>
      </c>
      <c r="C628" s="4" t="s">
        <v>23</v>
      </c>
      <c r="D628" s="4" t="s">
        <v>47</v>
      </c>
      <c r="E628" s="4" t="s">
        <v>48</v>
      </c>
      <c r="F628" s="4" t="s">
        <v>25</v>
      </c>
      <c r="G628" s="4" t="s">
        <v>25</v>
      </c>
      <c r="H628" s="4" t="s">
        <v>25</v>
      </c>
      <c r="I628" s="5">
        <v>44713</v>
      </c>
      <c r="J628" s="6">
        <v>0</v>
      </c>
      <c r="K628" s="128">
        <v>0</v>
      </c>
      <c r="L628" s="6">
        <v>45.19</v>
      </c>
      <c r="M628" s="128">
        <v>45.19</v>
      </c>
      <c r="N628" s="6">
        <v>45.19</v>
      </c>
      <c r="O628" s="128">
        <v>45.19</v>
      </c>
      <c r="P628" s="6">
        <v>37</v>
      </c>
      <c r="Q628" s="4" t="s">
        <v>26</v>
      </c>
      <c r="R628" s="4">
        <v>0</v>
      </c>
      <c r="S628" s="6">
        <v>0</v>
      </c>
      <c r="T628" s="6">
        <v>33</v>
      </c>
      <c r="U628" s="6">
        <v>85</v>
      </c>
      <c r="V628" s="128">
        <f>IF(ISERROR(VLOOKUP($S$628,'TAR FIN'!$A$1:$O$86,15,0)),0,VLOOKUP($S$628,'TAR FIN'!$A$1:$O$86,15,0))</f>
        <v>0</v>
      </c>
      <c r="W628" s="128">
        <f>IF(ISERROR(VLOOKUP($T$628,'TAR FIN'!$A$1:$O$86,15,0)),0,VLOOKUP($T$628,'TAR FIN'!$A$1:$O$86,15,0))*(1-0.06)</f>
        <v>318.19939999999997</v>
      </c>
      <c r="X628" s="128">
        <f>IF(ISERROR(VLOOKUP($U$628,'TAR FIN'!$A$1:$O$86,15,0)),0,VLOOKUP($U$628,'TAR FIN'!$A$1:$O$86,15,0))*(1-0.06)</f>
        <v>210.56939999999997</v>
      </c>
      <c r="Y628" s="128"/>
      <c r="Z628" s="128">
        <f ca="1">('TUSD BE'!$AM$48+'TUSD BF_350'!$AM$48+'TUSD CVA'!$AM$48)*1*(1-0.03)</f>
        <v>301.17529999999999</v>
      </c>
      <c r="AA628" s="128">
        <f ca="1">('TE BE'!$AB$39+'TE BF_350'!$AB$39+'TE CVA'!$AB$39)*1*(1-0.03)</f>
        <v>254.65409999999997</v>
      </c>
      <c r="AB628" s="6">
        <f>$K$628*$V$628</f>
        <v>0</v>
      </c>
      <c r="AC628" s="6">
        <f>$M$628*$W$628</f>
        <v>14379.430885999998</v>
      </c>
      <c r="AD628" s="6">
        <f>$O$628*$X$628</f>
        <v>9515.6311859999987</v>
      </c>
      <c r="AE628" s="6">
        <f>$K$628*$Y$628</f>
        <v>0</v>
      </c>
      <c r="AF628" s="6">
        <f ca="1">$M$628*$Z$628</f>
        <v>13610.111806999999</v>
      </c>
      <c r="AG628" s="6">
        <f ca="1">$O$628*$AA$628</f>
        <v>11507.818778999997</v>
      </c>
    </row>
    <row r="629" spans="1:33" ht="11.25" customHeight="1" x14ac:dyDescent="0.25">
      <c r="A629" s="4" t="s">
        <v>55</v>
      </c>
      <c r="B629" s="4" t="s">
        <v>33</v>
      </c>
      <c r="C629" s="4" t="s">
        <v>23</v>
      </c>
      <c r="D629" s="4" t="s">
        <v>47</v>
      </c>
      <c r="E629" s="4" t="s">
        <v>48</v>
      </c>
      <c r="F629" s="4" t="s">
        <v>25</v>
      </c>
      <c r="G629" s="4" t="s">
        <v>25</v>
      </c>
      <c r="H629" s="4" t="s">
        <v>25</v>
      </c>
      <c r="I629" s="5">
        <v>44743</v>
      </c>
      <c r="J629" s="6">
        <v>0</v>
      </c>
      <c r="K629" s="128">
        <v>0</v>
      </c>
      <c r="L629" s="6">
        <v>45.19</v>
      </c>
      <c r="M629" s="128">
        <v>45.19</v>
      </c>
      <c r="N629" s="6">
        <v>45.19</v>
      </c>
      <c r="O629" s="128">
        <v>45.19</v>
      </c>
      <c r="P629" s="6">
        <v>37</v>
      </c>
      <c r="Q629" s="4" t="s">
        <v>26</v>
      </c>
      <c r="R629" s="4">
        <v>0</v>
      </c>
      <c r="S629" s="6">
        <v>0</v>
      </c>
      <c r="T629" s="6">
        <v>33</v>
      </c>
      <c r="U629" s="6">
        <v>85</v>
      </c>
      <c r="V629" s="128">
        <f>IF(ISERROR(VLOOKUP($S$629,'TAR FIN'!$A$1:$O$86,15,0)),0,VLOOKUP($S$629,'TAR FIN'!$A$1:$O$86,15,0))</f>
        <v>0</v>
      </c>
      <c r="W629" s="128">
        <f>IF(ISERROR(VLOOKUP($T$629,'TAR FIN'!$A$1:$O$86,15,0)),0,VLOOKUP($T$629,'TAR FIN'!$A$1:$O$86,15,0))*(1-0.06)</f>
        <v>318.19939999999997</v>
      </c>
      <c r="X629" s="128">
        <f>IF(ISERROR(VLOOKUP($U$629,'TAR FIN'!$A$1:$O$86,15,0)),0,VLOOKUP($U$629,'TAR FIN'!$A$1:$O$86,15,0))*(1-0.06)</f>
        <v>210.56939999999997</v>
      </c>
      <c r="Y629" s="128"/>
      <c r="Z629" s="128">
        <f ca="1">('TUSD BE'!$AM$48+'TUSD BF_350'!$AM$48+'TUSD CVA'!$AM$48)*1*(1-0.03)</f>
        <v>301.17529999999999</v>
      </c>
      <c r="AA629" s="128">
        <f ca="1">('TE BE'!$AB$39+'TE BF_350'!$AB$39+'TE CVA'!$AB$39)*1*(1-0.03)</f>
        <v>254.65409999999997</v>
      </c>
      <c r="AB629" s="6">
        <f>$K$629*$V$629</f>
        <v>0</v>
      </c>
      <c r="AC629" s="6">
        <f>$M$629*$W$629</f>
        <v>14379.430885999998</v>
      </c>
      <c r="AD629" s="6">
        <f>$O$629*$X$629</f>
        <v>9515.6311859999987</v>
      </c>
      <c r="AE629" s="6">
        <f>$K$629*$Y$629</f>
        <v>0</v>
      </c>
      <c r="AF629" s="6">
        <f ca="1">$M$629*$Z$629</f>
        <v>13610.111806999999</v>
      </c>
      <c r="AG629" s="6">
        <f ca="1">$O$629*$AA$629</f>
        <v>11507.818778999997</v>
      </c>
    </row>
    <row r="630" spans="1:33" ht="11.25" customHeight="1" x14ac:dyDescent="0.25">
      <c r="A630" s="4" t="s">
        <v>21</v>
      </c>
      <c r="B630" s="4" t="s">
        <v>44</v>
      </c>
      <c r="C630" s="4" t="s">
        <v>23</v>
      </c>
      <c r="D630" s="4" t="s">
        <v>45</v>
      </c>
      <c r="E630" s="4" t="s">
        <v>46</v>
      </c>
      <c r="F630" s="4" t="s">
        <v>25</v>
      </c>
      <c r="G630" s="4" t="s">
        <v>25</v>
      </c>
      <c r="H630" s="4" t="s">
        <v>25</v>
      </c>
      <c r="I630" s="5">
        <v>44409</v>
      </c>
      <c r="J630" s="6">
        <v>0</v>
      </c>
      <c r="K630" s="6">
        <v>0</v>
      </c>
      <c r="L630" s="6">
        <v>1112.021</v>
      </c>
      <c r="M630" s="6">
        <v>1112.021</v>
      </c>
      <c r="N630" s="6">
        <v>1112.021</v>
      </c>
      <c r="O630" s="6">
        <v>1112.021</v>
      </c>
      <c r="P630" s="6">
        <v>4</v>
      </c>
      <c r="Q630" s="4" t="s">
        <v>26</v>
      </c>
      <c r="R630" s="4">
        <v>0</v>
      </c>
      <c r="S630" s="6">
        <v>0</v>
      </c>
      <c r="T630" s="6">
        <v>68</v>
      </c>
      <c r="U630" s="6">
        <v>48</v>
      </c>
      <c r="V630" s="6">
        <f>IF(ISERROR(VLOOKUP($S$630,'TAR FIN'!$A$1:$O$86,15,0)),0,VLOOKUP($S$630,'TAR FIN'!$A$1:$O$86,15,0))</f>
        <v>0</v>
      </c>
      <c r="W630" s="6">
        <f>IF(ISERROR(VLOOKUP($T$630,'TAR FIN'!$A$1:$O$86,15,0)),0,VLOOKUP($T$630,'TAR FIN'!$A$1:$O$86,15,0))</f>
        <v>186.18</v>
      </c>
      <c r="X630" s="6">
        <f>IF(ISERROR(VLOOKUP($U$630,'TAR FIN'!$A$1:$O$86,15,0)),0,VLOOKUP($U$630,'TAR FIN'!$A$1:$O$86,15,0))</f>
        <v>123.2</v>
      </c>
      <c r="Y630" s="6"/>
      <c r="Z630" s="6">
        <f ca="1">('TUSD BE'!$AM$50+'TUSD BF_350'!$AM$50+'TUSD CVA'!$AM$50)*1</f>
        <v>170.77</v>
      </c>
      <c r="AA630" s="6">
        <f ca="1">('TE BE'!$AB$41+'TE BF_350'!$AB$41+'TE CVA'!$AB$41)*1</f>
        <v>144.38999999999999</v>
      </c>
      <c r="AB630" s="6">
        <f>$K$630*$V$630</f>
        <v>0</v>
      </c>
      <c r="AC630" s="6">
        <f>$M$630*$W$630</f>
        <v>207036.06977999999</v>
      </c>
      <c r="AD630" s="6">
        <f>$O$630*$X$630</f>
        <v>137000.9872</v>
      </c>
      <c r="AE630" s="6">
        <f>$K$630*$Y$630</f>
        <v>0</v>
      </c>
      <c r="AF630" s="6">
        <f ca="1">$M$630*$Z$630</f>
        <v>189899.82617000001</v>
      </c>
      <c r="AG630" s="6">
        <f ca="1">$O$630*$AA$630</f>
        <v>160564.71218999999</v>
      </c>
    </row>
    <row r="631" spans="1:33" ht="11.25" customHeight="1" x14ac:dyDescent="0.25">
      <c r="A631" s="4" t="s">
        <v>21</v>
      </c>
      <c r="B631" s="4" t="s">
        <v>44</v>
      </c>
      <c r="C631" s="4" t="s">
        <v>23</v>
      </c>
      <c r="D631" s="4" t="s">
        <v>45</v>
      </c>
      <c r="E631" s="4" t="s">
        <v>46</v>
      </c>
      <c r="F631" s="4" t="s">
        <v>25</v>
      </c>
      <c r="G631" s="4" t="s">
        <v>25</v>
      </c>
      <c r="H631" s="4" t="s">
        <v>25</v>
      </c>
      <c r="I631" s="5">
        <v>44440</v>
      </c>
      <c r="J631" s="6">
        <v>0</v>
      </c>
      <c r="K631" s="6">
        <v>0</v>
      </c>
      <c r="L631" s="6">
        <v>1013.975</v>
      </c>
      <c r="M631" s="6">
        <v>1013.975</v>
      </c>
      <c r="N631" s="6">
        <v>1013.975</v>
      </c>
      <c r="O631" s="6">
        <v>1013.975</v>
      </c>
      <c r="P631" s="6">
        <v>4</v>
      </c>
      <c r="Q631" s="4" t="s">
        <v>26</v>
      </c>
      <c r="R631" s="4">
        <v>0</v>
      </c>
      <c r="S631" s="6">
        <v>0</v>
      </c>
      <c r="T631" s="6">
        <v>68</v>
      </c>
      <c r="U631" s="6">
        <v>48</v>
      </c>
      <c r="V631" s="6">
        <f>IF(ISERROR(VLOOKUP($S$631,'TAR FIN'!$A$1:$O$86,15,0)),0,VLOOKUP($S$631,'TAR FIN'!$A$1:$O$86,15,0))</f>
        <v>0</v>
      </c>
      <c r="W631" s="6">
        <f>IF(ISERROR(VLOOKUP($T$631,'TAR FIN'!$A$1:$O$86,15,0)),0,VLOOKUP($T$631,'TAR FIN'!$A$1:$O$86,15,0))</f>
        <v>186.18</v>
      </c>
      <c r="X631" s="6">
        <f>IF(ISERROR(VLOOKUP($U$631,'TAR FIN'!$A$1:$O$86,15,0)),0,VLOOKUP($U$631,'TAR FIN'!$A$1:$O$86,15,0))</f>
        <v>123.2</v>
      </c>
      <c r="Y631" s="6"/>
      <c r="Z631" s="6">
        <f ca="1">('TUSD BE'!$AM$50+'TUSD BF_350'!$AM$50+'TUSD CVA'!$AM$50)*1</f>
        <v>170.77</v>
      </c>
      <c r="AA631" s="6">
        <f ca="1">('TE BE'!$AB$41+'TE BF_350'!$AB$41+'TE CVA'!$AB$41)*1</f>
        <v>144.38999999999999</v>
      </c>
      <c r="AB631" s="6">
        <f>$K$631*$V$631</f>
        <v>0</v>
      </c>
      <c r="AC631" s="6">
        <f>$M$631*$W$631</f>
        <v>188781.86550000001</v>
      </c>
      <c r="AD631" s="6">
        <f>$O$631*$X$631</f>
        <v>124921.72</v>
      </c>
      <c r="AE631" s="6">
        <f>$K$631*$Y$631</f>
        <v>0</v>
      </c>
      <c r="AF631" s="6">
        <f ca="1">$M$631*$Z$631</f>
        <v>173156.51075000002</v>
      </c>
      <c r="AG631" s="6">
        <f ca="1">$O$631*$AA$631</f>
        <v>146407.85024999999</v>
      </c>
    </row>
    <row r="632" spans="1:33" ht="11.25" customHeight="1" x14ac:dyDescent="0.25">
      <c r="A632" s="4" t="s">
        <v>21</v>
      </c>
      <c r="B632" s="4" t="s">
        <v>44</v>
      </c>
      <c r="C632" s="4" t="s">
        <v>23</v>
      </c>
      <c r="D632" s="4" t="s">
        <v>45</v>
      </c>
      <c r="E632" s="4" t="s">
        <v>46</v>
      </c>
      <c r="F632" s="4" t="s">
        <v>25</v>
      </c>
      <c r="G632" s="4" t="s">
        <v>25</v>
      </c>
      <c r="H632" s="4" t="s">
        <v>25</v>
      </c>
      <c r="I632" s="5">
        <v>44470</v>
      </c>
      <c r="J632" s="6">
        <v>0</v>
      </c>
      <c r="K632" s="6">
        <v>0</v>
      </c>
      <c r="L632" s="6">
        <v>964.84100000000001</v>
      </c>
      <c r="M632" s="6">
        <v>964.84100000000001</v>
      </c>
      <c r="N632" s="6">
        <v>964.84100000000001</v>
      </c>
      <c r="O632" s="6">
        <v>964.84100000000001</v>
      </c>
      <c r="P632" s="6">
        <v>4</v>
      </c>
      <c r="Q632" s="4" t="s">
        <v>26</v>
      </c>
      <c r="R632" s="4">
        <v>0</v>
      </c>
      <c r="S632" s="6">
        <v>0</v>
      </c>
      <c r="T632" s="6">
        <v>68</v>
      </c>
      <c r="U632" s="6">
        <v>48</v>
      </c>
      <c r="V632" s="6">
        <f>IF(ISERROR(VLOOKUP($S$632,'TAR FIN'!$A$1:$O$86,15,0)),0,VLOOKUP($S$632,'TAR FIN'!$A$1:$O$86,15,0))</f>
        <v>0</v>
      </c>
      <c r="W632" s="6">
        <f>IF(ISERROR(VLOOKUP($T$632,'TAR FIN'!$A$1:$O$86,15,0)),0,VLOOKUP($T$632,'TAR FIN'!$A$1:$O$86,15,0))</f>
        <v>186.18</v>
      </c>
      <c r="X632" s="6">
        <f>IF(ISERROR(VLOOKUP($U$632,'TAR FIN'!$A$1:$O$86,15,0)),0,VLOOKUP($U$632,'TAR FIN'!$A$1:$O$86,15,0))</f>
        <v>123.2</v>
      </c>
      <c r="Y632" s="6"/>
      <c r="Z632" s="6">
        <f ca="1">('TUSD BE'!$AM$50+'TUSD BF_350'!$AM$50+'TUSD CVA'!$AM$50)*1</f>
        <v>170.77</v>
      </c>
      <c r="AA632" s="6">
        <f ca="1">('TE BE'!$AB$41+'TE BF_350'!$AB$41+'TE CVA'!$AB$41)*1</f>
        <v>144.38999999999999</v>
      </c>
      <c r="AB632" s="6">
        <f>$K$632*$V$632</f>
        <v>0</v>
      </c>
      <c r="AC632" s="6">
        <f>$M$632*$W$632</f>
        <v>179634.09738000002</v>
      </c>
      <c r="AD632" s="6">
        <f>$O$632*$X$632</f>
        <v>118868.4112</v>
      </c>
      <c r="AE632" s="6">
        <f>$K$632*$Y$632</f>
        <v>0</v>
      </c>
      <c r="AF632" s="6">
        <f ca="1">$M$632*$Z$632</f>
        <v>164765.89757</v>
      </c>
      <c r="AG632" s="6">
        <f ca="1">$O$632*$AA$632</f>
        <v>139313.39198999997</v>
      </c>
    </row>
    <row r="633" spans="1:33" ht="11.25" customHeight="1" x14ac:dyDescent="0.25">
      <c r="A633" s="4" t="s">
        <v>21</v>
      </c>
      <c r="B633" s="4" t="s">
        <v>44</v>
      </c>
      <c r="C633" s="4" t="s">
        <v>23</v>
      </c>
      <c r="D633" s="4" t="s">
        <v>45</v>
      </c>
      <c r="E633" s="4" t="s">
        <v>46</v>
      </c>
      <c r="F633" s="4" t="s">
        <v>25</v>
      </c>
      <c r="G633" s="4" t="s">
        <v>25</v>
      </c>
      <c r="H633" s="4" t="s">
        <v>25</v>
      </c>
      <c r="I633" s="5">
        <v>44501</v>
      </c>
      <c r="J633" s="6">
        <v>0</v>
      </c>
      <c r="K633" s="6">
        <v>0</v>
      </c>
      <c r="L633" s="6">
        <v>890.44100000000003</v>
      </c>
      <c r="M633" s="6">
        <v>890.44100000000003</v>
      </c>
      <c r="N633" s="6">
        <v>890.44100000000003</v>
      </c>
      <c r="O633" s="6">
        <v>890.44100000000003</v>
      </c>
      <c r="P633" s="6">
        <v>4</v>
      </c>
      <c r="Q633" s="4" t="s">
        <v>26</v>
      </c>
      <c r="R633" s="4">
        <v>0</v>
      </c>
      <c r="S633" s="6">
        <v>0</v>
      </c>
      <c r="T633" s="6">
        <v>68</v>
      </c>
      <c r="U633" s="6">
        <v>48</v>
      </c>
      <c r="V633" s="6">
        <f>IF(ISERROR(VLOOKUP($S$633,'TAR FIN'!$A$1:$O$86,15,0)),0,VLOOKUP($S$633,'TAR FIN'!$A$1:$O$86,15,0))</f>
        <v>0</v>
      </c>
      <c r="W633" s="6">
        <f>IF(ISERROR(VLOOKUP($T$633,'TAR FIN'!$A$1:$O$86,15,0)),0,VLOOKUP($T$633,'TAR FIN'!$A$1:$O$86,15,0))</f>
        <v>186.18</v>
      </c>
      <c r="X633" s="6">
        <f>IF(ISERROR(VLOOKUP($U$633,'TAR FIN'!$A$1:$O$86,15,0)),0,VLOOKUP($U$633,'TAR FIN'!$A$1:$O$86,15,0))</f>
        <v>123.2</v>
      </c>
      <c r="Y633" s="6"/>
      <c r="Z633" s="6">
        <f ca="1">('TUSD BE'!$AM$50+'TUSD BF_350'!$AM$50+'TUSD CVA'!$AM$50)*1</f>
        <v>170.77</v>
      </c>
      <c r="AA633" s="6">
        <f ca="1">('TE BE'!$AB$41+'TE BF_350'!$AB$41+'TE CVA'!$AB$41)*1</f>
        <v>144.38999999999999</v>
      </c>
      <c r="AB633" s="6">
        <f>$K$633*$V$633</f>
        <v>0</v>
      </c>
      <c r="AC633" s="6">
        <f>$M$633*$W$633</f>
        <v>165782.30538000001</v>
      </c>
      <c r="AD633" s="6">
        <f>$O$633*$X$633</f>
        <v>109702.3312</v>
      </c>
      <c r="AE633" s="6">
        <f>$K$633*$Y$633</f>
        <v>0</v>
      </c>
      <c r="AF633" s="6">
        <f ca="1">$M$633*$Z$633</f>
        <v>152060.60957</v>
      </c>
      <c r="AG633" s="6">
        <f ca="1">$O$633*$AA$633</f>
        <v>128570.77598999999</v>
      </c>
    </row>
    <row r="634" spans="1:33" ht="11.25" customHeight="1" x14ac:dyDescent="0.25">
      <c r="A634" s="4" t="s">
        <v>21</v>
      </c>
      <c r="B634" s="4" t="s">
        <v>44</v>
      </c>
      <c r="C634" s="4" t="s">
        <v>23</v>
      </c>
      <c r="D634" s="4" t="s">
        <v>45</v>
      </c>
      <c r="E634" s="4" t="s">
        <v>46</v>
      </c>
      <c r="F634" s="4" t="s">
        <v>25</v>
      </c>
      <c r="G634" s="4" t="s">
        <v>25</v>
      </c>
      <c r="H634" s="4" t="s">
        <v>25</v>
      </c>
      <c r="I634" s="5">
        <v>44531</v>
      </c>
      <c r="J634" s="6">
        <v>0</v>
      </c>
      <c r="K634" s="6">
        <v>0</v>
      </c>
      <c r="L634" s="6">
        <v>910.04499999999996</v>
      </c>
      <c r="M634" s="6">
        <v>910.04499999999996</v>
      </c>
      <c r="N634" s="6">
        <v>910.04499999999996</v>
      </c>
      <c r="O634" s="6">
        <v>910.04499999999996</v>
      </c>
      <c r="P634" s="6">
        <v>4</v>
      </c>
      <c r="Q634" s="4" t="s">
        <v>26</v>
      </c>
      <c r="R634" s="4">
        <v>0</v>
      </c>
      <c r="S634" s="6">
        <v>0</v>
      </c>
      <c r="T634" s="6">
        <v>68</v>
      </c>
      <c r="U634" s="6">
        <v>48</v>
      </c>
      <c r="V634" s="6">
        <f>IF(ISERROR(VLOOKUP($S$634,'TAR FIN'!$A$1:$O$86,15,0)),0,VLOOKUP($S$634,'TAR FIN'!$A$1:$O$86,15,0))</f>
        <v>0</v>
      </c>
      <c r="W634" s="6">
        <f>IF(ISERROR(VLOOKUP($T$634,'TAR FIN'!$A$1:$O$86,15,0)),0,VLOOKUP($T$634,'TAR FIN'!$A$1:$O$86,15,0))</f>
        <v>186.18</v>
      </c>
      <c r="X634" s="6">
        <f>IF(ISERROR(VLOOKUP($U$634,'TAR FIN'!$A$1:$O$86,15,0)),0,VLOOKUP($U$634,'TAR FIN'!$A$1:$O$86,15,0))</f>
        <v>123.2</v>
      </c>
      <c r="Y634" s="6"/>
      <c r="Z634" s="6">
        <f ca="1">('TUSD BE'!$AM$50+'TUSD BF_350'!$AM$50+'TUSD CVA'!$AM$50)*1</f>
        <v>170.77</v>
      </c>
      <c r="AA634" s="6">
        <f ca="1">('TE BE'!$AB$41+'TE BF_350'!$AB$41+'TE CVA'!$AB$41)*1</f>
        <v>144.38999999999999</v>
      </c>
      <c r="AB634" s="6">
        <f>$K$634*$V$634</f>
        <v>0</v>
      </c>
      <c r="AC634" s="6">
        <f>$M$634*$W$634</f>
        <v>169432.17809999999</v>
      </c>
      <c r="AD634" s="6">
        <f>$O$634*$X$634</f>
        <v>112117.54399999999</v>
      </c>
      <c r="AE634" s="6">
        <f>$K$634*$Y$634</f>
        <v>0</v>
      </c>
      <c r="AF634" s="6">
        <f ca="1">$M$634*$Z$634</f>
        <v>155408.38464999999</v>
      </c>
      <c r="AG634" s="6">
        <f ca="1">$O$634*$AA$634</f>
        <v>131401.39754999999</v>
      </c>
    </row>
    <row r="635" spans="1:33" ht="11.25" customHeight="1" x14ac:dyDescent="0.25">
      <c r="A635" s="4" t="s">
        <v>21</v>
      </c>
      <c r="B635" s="4" t="s">
        <v>44</v>
      </c>
      <c r="C635" s="4" t="s">
        <v>23</v>
      </c>
      <c r="D635" s="4" t="s">
        <v>45</v>
      </c>
      <c r="E635" s="4" t="s">
        <v>46</v>
      </c>
      <c r="F635" s="4" t="s">
        <v>25</v>
      </c>
      <c r="G635" s="4" t="s">
        <v>25</v>
      </c>
      <c r="H635" s="4" t="s">
        <v>25</v>
      </c>
      <c r="I635" s="5">
        <v>44562</v>
      </c>
      <c r="J635" s="6">
        <v>0</v>
      </c>
      <c r="K635" s="6">
        <v>0</v>
      </c>
      <c r="L635" s="6">
        <v>908.553</v>
      </c>
      <c r="M635" s="6">
        <v>908.553</v>
      </c>
      <c r="N635" s="6">
        <v>908.553</v>
      </c>
      <c r="O635" s="6">
        <v>908.553</v>
      </c>
      <c r="P635" s="6">
        <v>4</v>
      </c>
      <c r="Q635" s="4" t="s">
        <v>26</v>
      </c>
      <c r="R635" s="4">
        <v>0</v>
      </c>
      <c r="S635" s="6">
        <v>0</v>
      </c>
      <c r="T635" s="6">
        <v>68</v>
      </c>
      <c r="U635" s="6">
        <v>48</v>
      </c>
      <c r="V635" s="6">
        <f>IF(ISERROR(VLOOKUP($S$635,'TAR FIN'!$A$1:$O$86,15,0)),0,VLOOKUP($S$635,'TAR FIN'!$A$1:$O$86,15,0))</f>
        <v>0</v>
      </c>
      <c r="W635" s="6">
        <f>IF(ISERROR(VLOOKUP($T$635,'TAR FIN'!$A$1:$O$86,15,0)),0,VLOOKUP($T$635,'TAR FIN'!$A$1:$O$86,15,0))</f>
        <v>186.18</v>
      </c>
      <c r="X635" s="6">
        <f>IF(ISERROR(VLOOKUP($U$635,'TAR FIN'!$A$1:$O$86,15,0)),0,VLOOKUP($U$635,'TAR FIN'!$A$1:$O$86,15,0))</f>
        <v>123.2</v>
      </c>
      <c r="Y635" s="6"/>
      <c r="Z635" s="6">
        <f ca="1">('TUSD BE'!$AM$50+'TUSD BF_350'!$AM$50+'TUSD CVA'!$AM$50)*1</f>
        <v>170.77</v>
      </c>
      <c r="AA635" s="6">
        <f ca="1">('TE BE'!$AB$41+'TE BF_350'!$AB$41+'TE CVA'!$AB$41)*1</f>
        <v>144.38999999999999</v>
      </c>
      <c r="AB635" s="6">
        <f>$K$635*$V$635</f>
        <v>0</v>
      </c>
      <c r="AC635" s="6">
        <f>$M$635*$W$635</f>
        <v>169154.39754000001</v>
      </c>
      <c r="AD635" s="6">
        <f>$O$635*$X$635</f>
        <v>111933.72960000001</v>
      </c>
      <c r="AE635" s="6">
        <f>$K$635*$Y$635</f>
        <v>0</v>
      </c>
      <c r="AF635" s="6">
        <f ca="1">$M$635*$Z$635</f>
        <v>155153.59581</v>
      </c>
      <c r="AG635" s="6">
        <f ca="1">$O$635*$AA$635</f>
        <v>131185.96766999998</v>
      </c>
    </row>
    <row r="636" spans="1:33" ht="11.25" customHeight="1" x14ac:dyDescent="0.25">
      <c r="A636" s="4" t="s">
        <v>21</v>
      </c>
      <c r="B636" s="4" t="s">
        <v>44</v>
      </c>
      <c r="C636" s="4" t="s">
        <v>23</v>
      </c>
      <c r="D636" s="4" t="s">
        <v>45</v>
      </c>
      <c r="E636" s="4" t="s">
        <v>46</v>
      </c>
      <c r="F636" s="4" t="s">
        <v>25</v>
      </c>
      <c r="G636" s="4" t="s">
        <v>25</v>
      </c>
      <c r="H636" s="4" t="s">
        <v>25</v>
      </c>
      <c r="I636" s="5">
        <v>44593</v>
      </c>
      <c r="J636" s="6">
        <v>0</v>
      </c>
      <c r="K636" s="6">
        <v>0</v>
      </c>
      <c r="L636" s="6">
        <v>863.87</v>
      </c>
      <c r="M636" s="6">
        <v>863.87</v>
      </c>
      <c r="N636" s="6">
        <v>863.87</v>
      </c>
      <c r="O636" s="6">
        <v>863.87</v>
      </c>
      <c r="P636" s="6">
        <v>4</v>
      </c>
      <c r="Q636" s="4" t="s">
        <v>26</v>
      </c>
      <c r="R636" s="4">
        <v>0</v>
      </c>
      <c r="S636" s="6">
        <v>0</v>
      </c>
      <c r="T636" s="6">
        <v>68</v>
      </c>
      <c r="U636" s="6">
        <v>48</v>
      </c>
      <c r="V636" s="6">
        <f>IF(ISERROR(VLOOKUP($S$636,'TAR FIN'!$A$1:$O$86,15,0)),0,VLOOKUP($S$636,'TAR FIN'!$A$1:$O$86,15,0))</f>
        <v>0</v>
      </c>
      <c r="W636" s="6">
        <f>IF(ISERROR(VLOOKUP($T$636,'TAR FIN'!$A$1:$O$86,15,0)),0,VLOOKUP($T$636,'TAR FIN'!$A$1:$O$86,15,0))</f>
        <v>186.18</v>
      </c>
      <c r="X636" s="6">
        <f>IF(ISERROR(VLOOKUP($U$636,'TAR FIN'!$A$1:$O$86,15,0)),0,VLOOKUP($U$636,'TAR FIN'!$A$1:$O$86,15,0))</f>
        <v>123.2</v>
      </c>
      <c r="Y636" s="6"/>
      <c r="Z636" s="6">
        <f ca="1">('TUSD BE'!$AM$50+'TUSD BF_350'!$AM$50+'TUSD CVA'!$AM$50)*1</f>
        <v>170.77</v>
      </c>
      <c r="AA636" s="6">
        <f ca="1">('TE BE'!$AB$41+'TE BF_350'!$AB$41+'TE CVA'!$AB$41)*1</f>
        <v>144.38999999999999</v>
      </c>
      <c r="AB636" s="6">
        <f>$K$636*$V$636</f>
        <v>0</v>
      </c>
      <c r="AC636" s="6">
        <f>$M$636*$W$636</f>
        <v>160835.31660000002</v>
      </c>
      <c r="AD636" s="6">
        <f>$O$636*$X$636</f>
        <v>106428.784</v>
      </c>
      <c r="AE636" s="6">
        <f>$K$636*$Y$636</f>
        <v>0</v>
      </c>
      <c r="AF636" s="6">
        <f ca="1">$M$636*$Z$636</f>
        <v>147523.07990000001</v>
      </c>
      <c r="AG636" s="6">
        <f ca="1">$O$636*$AA$636</f>
        <v>124734.18929999998</v>
      </c>
    </row>
    <row r="637" spans="1:33" ht="11.25" customHeight="1" x14ac:dyDescent="0.25">
      <c r="A637" s="4" t="s">
        <v>21</v>
      </c>
      <c r="B637" s="4" t="s">
        <v>44</v>
      </c>
      <c r="C637" s="4" t="s">
        <v>23</v>
      </c>
      <c r="D637" s="4" t="s">
        <v>45</v>
      </c>
      <c r="E637" s="4" t="s">
        <v>46</v>
      </c>
      <c r="F637" s="4" t="s">
        <v>25</v>
      </c>
      <c r="G637" s="4" t="s">
        <v>25</v>
      </c>
      <c r="H637" s="4" t="s">
        <v>25</v>
      </c>
      <c r="I637" s="5">
        <v>44621</v>
      </c>
      <c r="J637" s="6">
        <v>0</v>
      </c>
      <c r="K637" s="6">
        <v>0</v>
      </c>
      <c r="L637" s="6">
        <v>943.53700000000003</v>
      </c>
      <c r="M637" s="6">
        <v>943.53700000000003</v>
      </c>
      <c r="N637" s="6">
        <v>943.53700000000003</v>
      </c>
      <c r="O637" s="6">
        <v>943.53700000000003</v>
      </c>
      <c r="P637" s="6">
        <v>4</v>
      </c>
      <c r="Q637" s="4" t="s">
        <v>26</v>
      </c>
      <c r="R637" s="4">
        <v>0</v>
      </c>
      <c r="S637" s="6">
        <v>0</v>
      </c>
      <c r="T637" s="6">
        <v>68</v>
      </c>
      <c r="U637" s="6">
        <v>48</v>
      </c>
      <c r="V637" s="6">
        <f>IF(ISERROR(VLOOKUP($S$637,'TAR FIN'!$A$1:$O$86,15,0)),0,VLOOKUP($S$637,'TAR FIN'!$A$1:$O$86,15,0))</f>
        <v>0</v>
      </c>
      <c r="W637" s="6">
        <f>IF(ISERROR(VLOOKUP($T$637,'TAR FIN'!$A$1:$O$86,15,0)),0,VLOOKUP($T$637,'TAR FIN'!$A$1:$O$86,15,0))</f>
        <v>186.18</v>
      </c>
      <c r="X637" s="6">
        <f>IF(ISERROR(VLOOKUP($U$637,'TAR FIN'!$A$1:$O$86,15,0)),0,VLOOKUP($U$637,'TAR FIN'!$A$1:$O$86,15,0))</f>
        <v>123.2</v>
      </c>
      <c r="Y637" s="6"/>
      <c r="Z637" s="6">
        <f ca="1">('TUSD BE'!$AM$50+'TUSD BF_350'!$AM$50+'TUSD CVA'!$AM$50)*1</f>
        <v>170.77</v>
      </c>
      <c r="AA637" s="6">
        <f ca="1">('TE BE'!$AB$41+'TE BF_350'!$AB$41+'TE CVA'!$AB$41)*1</f>
        <v>144.38999999999999</v>
      </c>
      <c r="AB637" s="6">
        <f>$K$637*$V$637</f>
        <v>0</v>
      </c>
      <c r="AC637" s="6">
        <f>$M$637*$W$637</f>
        <v>175667.71866000001</v>
      </c>
      <c r="AD637" s="6">
        <f>$O$637*$X$637</f>
        <v>116243.75840000001</v>
      </c>
      <c r="AE637" s="6">
        <f>$K$637*$Y$637</f>
        <v>0</v>
      </c>
      <c r="AF637" s="6">
        <f ca="1">$M$637*$Z$637</f>
        <v>161127.81349000003</v>
      </c>
      <c r="AG637" s="6">
        <f ca="1">$O$637*$AA$637</f>
        <v>136237.30742999999</v>
      </c>
    </row>
    <row r="638" spans="1:33" ht="11.25" customHeight="1" x14ac:dyDescent="0.25">
      <c r="A638" s="4" t="s">
        <v>21</v>
      </c>
      <c r="B638" s="4" t="s">
        <v>44</v>
      </c>
      <c r="C638" s="4" t="s">
        <v>23</v>
      </c>
      <c r="D638" s="4" t="s">
        <v>45</v>
      </c>
      <c r="E638" s="4" t="s">
        <v>46</v>
      </c>
      <c r="F638" s="4" t="s">
        <v>25</v>
      </c>
      <c r="G638" s="4" t="s">
        <v>25</v>
      </c>
      <c r="H638" s="4" t="s">
        <v>25</v>
      </c>
      <c r="I638" s="5">
        <v>44652</v>
      </c>
      <c r="J638" s="6">
        <v>0</v>
      </c>
      <c r="K638" s="6">
        <v>0</v>
      </c>
      <c r="L638" s="6">
        <v>984.68299999999999</v>
      </c>
      <c r="M638" s="6">
        <v>984.68299999999999</v>
      </c>
      <c r="N638" s="6">
        <v>984.68299999999999</v>
      </c>
      <c r="O638" s="6">
        <v>984.68299999999999</v>
      </c>
      <c r="P638" s="6">
        <v>4</v>
      </c>
      <c r="Q638" s="4" t="s">
        <v>26</v>
      </c>
      <c r="R638" s="4">
        <v>0</v>
      </c>
      <c r="S638" s="6">
        <v>0</v>
      </c>
      <c r="T638" s="6">
        <v>68</v>
      </c>
      <c r="U638" s="6">
        <v>48</v>
      </c>
      <c r="V638" s="6">
        <f>IF(ISERROR(VLOOKUP($S$638,'TAR FIN'!$A$1:$O$86,15,0)),0,VLOOKUP($S$638,'TAR FIN'!$A$1:$O$86,15,0))</f>
        <v>0</v>
      </c>
      <c r="W638" s="6">
        <f>IF(ISERROR(VLOOKUP($T$638,'TAR FIN'!$A$1:$O$86,15,0)),0,VLOOKUP($T$638,'TAR FIN'!$A$1:$O$86,15,0))</f>
        <v>186.18</v>
      </c>
      <c r="X638" s="6">
        <f>IF(ISERROR(VLOOKUP($U$638,'TAR FIN'!$A$1:$O$86,15,0)),0,VLOOKUP($U$638,'TAR FIN'!$A$1:$O$86,15,0))</f>
        <v>123.2</v>
      </c>
      <c r="Y638" s="6"/>
      <c r="Z638" s="6">
        <f ca="1">('TUSD BE'!$AM$50+'TUSD BF_350'!$AM$50+'TUSD CVA'!$AM$50)*1</f>
        <v>170.77</v>
      </c>
      <c r="AA638" s="6">
        <f ca="1">('TE BE'!$AB$41+'TE BF_350'!$AB$41+'TE CVA'!$AB$41)*1</f>
        <v>144.38999999999999</v>
      </c>
      <c r="AB638" s="6">
        <f>$K$638*$V$638</f>
        <v>0</v>
      </c>
      <c r="AC638" s="6">
        <f>$M$638*$W$638</f>
        <v>183328.28094</v>
      </c>
      <c r="AD638" s="6">
        <f>$O$638*$X$638</f>
        <v>121312.94560000001</v>
      </c>
      <c r="AE638" s="6">
        <f>$K$638*$Y$638</f>
        <v>0</v>
      </c>
      <c r="AF638" s="6">
        <f ca="1">$M$638*$Z$638</f>
        <v>168154.31591</v>
      </c>
      <c r="AG638" s="6">
        <f ca="1">$O$638*$AA$638</f>
        <v>142178.37836999999</v>
      </c>
    </row>
    <row r="639" spans="1:33" ht="11.25" customHeight="1" x14ac:dyDescent="0.25">
      <c r="A639" s="4" t="s">
        <v>21</v>
      </c>
      <c r="B639" s="4" t="s">
        <v>44</v>
      </c>
      <c r="C639" s="4" t="s">
        <v>23</v>
      </c>
      <c r="D639" s="4" t="s">
        <v>45</v>
      </c>
      <c r="E639" s="4" t="s">
        <v>46</v>
      </c>
      <c r="F639" s="4" t="s">
        <v>25</v>
      </c>
      <c r="G639" s="4" t="s">
        <v>25</v>
      </c>
      <c r="H639" s="4" t="s">
        <v>25</v>
      </c>
      <c r="I639" s="5">
        <v>44682</v>
      </c>
      <c r="J639" s="6">
        <v>0</v>
      </c>
      <c r="K639" s="6">
        <v>0</v>
      </c>
      <c r="L639" s="6">
        <v>1076.22</v>
      </c>
      <c r="M639" s="6">
        <v>1076.22</v>
      </c>
      <c r="N639" s="6">
        <v>1076.22</v>
      </c>
      <c r="O639" s="6">
        <v>1076.22</v>
      </c>
      <c r="P639" s="6">
        <v>4</v>
      </c>
      <c r="Q639" s="4" t="s">
        <v>26</v>
      </c>
      <c r="R639" s="4">
        <v>0</v>
      </c>
      <c r="S639" s="6">
        <v>0</v>
      </c>
      <c r="T639" s="6">
        <v>68</v>
      </c>
      <c r="U639" s="6">
        <v>48</v>
      </c>
      <c r="V639" s="6">
        <f>IF(ISERROR(VLOOKUP($S$639,'TAR FIN'!$A$1:$O$86,15,0)),0,VLOOKUP($S$639,'TAR FIN'!$A$1:$O$86,15,0))</f>
        <v>0</v>
      </c>
      <c r="W639" s="6">
        <f>IF(ISERROR(VLOOKUP($T$639,'TAR FIN'!$A$1:$O$86,15,0)),0,VLOOKUP($T$639,'TAR FIN'!$A$1:$O$86,15,0))</f>
        <v>186.18</v>
      </c>
      <c r="X639" s="6">
        <f>IF(ISERROR(VLOOKUP($U$639,'TAR FIN'!$A$1:$O$86,15,0)),0,VLOOKUP($U$639,'TAR FIN'!$A$1:$O$86,15,0))</f>
        <v>123.2</v>
      </c>
      <c r="Y639" s="6"/>
      <c r="Z639" s="6">
        <f ca="1">('TUSD BE'!$AM$50+'TUSD BF_350'!$AM$50+'TUSD CVA'!$AM$50)*1</f>
        <v>170.77</v>
      </c>
      <c r="AA639" s="6">
        <f ca="1">('TE BE'!$AB$41+'TE BF_350'!$AB$41+'TE CVA'!$AB$41)*1</f>
        <v>144.38999999999999</v>
      </c>
      <c r="AB639" s="6">
        <f>$K$639*$V$639</f>
        <v>0</v>
      </c>
      <c r="AC639" s="6">
        <f>$M$639*$W$639</f>
        <v>200370.63960000002</v>
      </c>
      <c r="AD639" s="6">
        <f>$O$639*$X$639</f>
        <v>132590.304</v>
      </c>
      <c r="AE639" s="6">
        <f>$K$639*$Y$639</f>
        <v>0</v>
      </c>
      <c r="AF639" s="6">
        <f ca="1">$M$639*$Z$639</f>
        <v>183786.08940000003</v>
      </c>
      <c r="AG639" s="6">
        <f ca="1">$O$639*$AA$639</f>
        <v>155395.40579999998</v>
      </c>
    </row>
    <row r="640" spans="1:33" ht="11.25" customHeight="1" x14ac:dyDescent="0.25">
      <c r="A640" s="4" t="s">
        <v>21</v>
      </c>
      <c r="B640" s="4" t="s">
        <v>44</v>
      </c>
      <c r="C640" s="4" t="s">
        <v>23</v>
      </c>
      <c r="D640" s="4" t="s">
        <v>45</v>
      </c>
      <c r="E640" s="4" t="s">
        <v>46</v>
      </c>
      <c r="F640" s="4" t="s">
        <v>25</v>
      </c>
      <c r="G640" s="4" t="s">
        <v>25</v>
      </c>
      <c r="H640" s="4" t="s">
        <v>25</v>
      </c>
      <c r="I640" s="5">
        <v>44713</v>
      </c>
      <c r="J640" s="6">
        <v>0</v>
      </c>
      <c r="K640" s="6">
        <v>0</v>
      </c>
      <c r="L640" s="6">
        <v>1068.528</v>
      </c>
      <c r="M640" s="6">
        <v>1068.528</v>
      </c>
      <c r="N640" s="6">
        <v>1068.528</v>
      </c>
      <c r="O640" s="6">
        <v>1068.528</v>
      </c>
      <c r="P640" s="6">
        <v>4</v>
      </c>
      <c r="Q640" s="4" t="s">
        <v>26</v>
      </c>
      <c r="R640" s="4">
        <v>0</v>
      </c>
      <c r="S640" s="6">
        <v>0</v>
      </c>
      <c r="T640" s="6">
        <v>68</v>
      </c>
      <c r="U640" s="6">
        <v>48</v>
      </c>
      <c r="V640" s="6">
        <f>IF(ISERROR(VLOOKUP($S$640,'TAR FIN'!$A$1:$O$86,15,0)),0,VLOOKUP($S$640,'TAR FIN'!$A$1:$O$86,15,0))</f>
        <v>0</v>
      </c>
      <c r="W640" s="6">
        <f>IF(ISERROR(VLOOKUP($T$640,'TAR FIN'!$A$1:$O$86,15,0)),0,VLOOKUP($T$640,'TAR FIN'!$A$1:$O$86,15,0))</f>
        <v>186.18</v>
      </c>
      <c r="X640" s="6">
        <f>IF(ISERROR(VLOOKUP($U$640,'TAR FIN'!$A$1:$O$86,15,0)),0,VLOOKUP($U$640,'TAR FIN'!$A$1:$O$86,15,0))</f>
        <v>123.2</v>
      </c>
      <c r="Y640" s="6"/>
      <c r="Z640" s="6">
        <f ca="1">('TUSD BE'!$AM$50+'TUSD BF_350'!$AM$50+'TUSD CVA'!$AM$50)*1</f>
        <v>170.77</v>
      </c>
      <c r="AA640" s="6">
        <f ca="1">('TE BE'!$AB$41+'TE BF_350'!$AB$41+'TE CVA'!$AB$41)*1</f>
        <v>144.38999999999999</v>
      </c>
      <c r="AB640" s="6">
        <f>$K$640*$V$640</f>
        <v>0</v>
      </c>
      <c r="AC640" s="6">
        <f>$M$640*$W$640</f>
        <v>198938.54304000002</v>
      </c>
      <c r="AD640" s="6">
        <f>$O$640*$X$640</f>
        <v>131642.6496</v>
      </c>
      <c r="AE640" s="6">
        <f>$K$640*$Y$640</f>
        <v>0</v>
      </c>
      <c r="AF640" s="6">
        <f ca="1">$M$640*$Z$640</f>
        <v>182472.52656000003</v>
      </c>
      <c r="AG640" s="6">
        <f ca="1">$O$640*$AA$640</f>
        <v>154284.75791999997</v>
      </c>
    </row>
    <row r="641" spans="1:33" ht="11.25" customHeight="1" x14ac:dyDescent="0.25">
      <c r="A641" s="4" t="s">
        <v>55</v>
      </c>
      <c r="B641" s="4" t="s">
        <v>44</v>
      </c>
      <c r="C641" s="4" t="s">
        <v>23</v>
      </c>
      <c r="D641" s="4" t="s">
        <v>45</v>
      </c>
      <c r="E641" s="4" t="s">
        <v>46</v>
      </c>
      <c r="F641" s="4" t="s">
        <v>25</v>
      </c>
      <c r="G641" s="4" t="s">
        <v>25</v>
      </c>
      <c r="H641" s="4" t="s">
        <v>25</v>
      </c>
      <c r="I641" s="5">
        <v>44743</v>
      </c>
      <c r="J641" s="6">
        <v>0</v>
      </c>
      <c r="K641" s="6">
        <v>0</v>
      </c>
      <c r="L641" s="6">
        <v>1068.528</v>
      </c>
      <c r="M641" s="6">
        <v>1068.528</v>
      </c>
      <c r="N641" s="6">
        <v>1068.528</v>
      </c>
      <c r="O641" s="6">
        <v>1068.528</v>
      </c>
      <c r="P641" s="6">
        <v>4</v>
      </c>
      <c r="Q641" s="4" t="s">
        <v>26</v>
      </c>
      <c r="R641" s="4">
        <v>0</v>
      </c>
      <c r="S641" s="6">
        <v>0</v>
      </c>
      <c r="T641" s="6">
        <v>68</v>
      </c>
      <c r="U641" s="6">
        <v>48</v>
      </c>
      <c r="V641" s="6">
        <f>IF(ISERROR(VLOOKUP($S$641,'TAR FIN'!$A$1:$O$86,15,0)),0,VLOOKUP($S$641,'TAR FIN'!$A$1:$O$86,15,0))</f>
        <v>0</v>
      </c>
      <c r="W641" s="6">
        <f>IF(ISERROR(VLOOKUP($T$641,'TAR FIN'!$A$1:$O$86,15,0)),0,VLOOKUP($T$641,'TAR FIN'!$A$1:$O$86,15,0))</f>
        <v>186.18</v>
      </c>
      <c r="X641" s="6">
        <f>IF(ISERROR(VLOOKUP($U$641,'TAR FIN'!$A$1:$O$86,15,0)),0,VLOOKUP($U$641,'TAR FIN'!$A$1:$O$86,15,0))</f>
        <v>123.2</v>
      </c>
      <c r="Y641" s="6"/>
      <c r="Z641" s="6">
        <f ca="1">('TUSD BE'!$AM$50+'TUSD BF_350'!$AM$50+'TUSD CVA'!$AM$50)*1</f>
        <v>170.77</v>
      </c>
      <c r="AA641" s="6">
        <f ca="1">('TE BE'!$AB$41+'TE BF_350'!$AB$41+'TE CVA'!$AB$41)*1</f>
        <v>144.38999999999999</v>
      </c>
      <c r="AB641" s="6">
        <f>$K$641*$V$641</f>
        <v>0</v>
      </c>
      <c r="AC641" s="6">
        <f>$M$641*$W$641</f>
        <v>198938.54304000002</v>
      </c>
      <c r="AD641" s="6">
        <f>$O$641*$X$641</f>
        <v>131642.6496</v>
      </c>
      <c r="AE641" s="6">
        <f>$K$641*$Y$641</f>
        <v>0</v>
      </c>
      <c r="AF641" s="6">
        <f ca="1">$M$641*$Z$641</f>
        <v>182472.52656000003</v>
      </c>
      <c r="AG641" s="6">
        <f ca="1">$O$641*$AA$641</f>
        <v>154284.75791999997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AC4A7-444B-476F-8935-12416102A775}">
  <sheetPr>
    <tabColor indexed="12" tint="-0.249977111117893"/>
  </sheetPr>
  <dimension ref="B1:AB20"/>
  <sheetViews>
    <sheetView workbookViewId="0">
      <selection activeCell="D20" sqref="D20:E20"/>
    </sheetView>
  </sheetViews>
  <sheetFormatPr defaultRowHeight="15" x14ac:dyDescent="0.25"/>
  <cols>
    <col min="2" max="2" width="15.85546875" bestFit="1" customWidth="1"/>
    <col min="3" max="3" width="11.7109375" bestFit="1" customWidth="1"/>
    <col min="4" max="4" width="13.28515625" bestFit="1" customWidth="1"/>
    <col min="5" max="5" width="11.140625" bestFit="1" customWidth="1"/>
    <col min="6" max="6" width="23.5703125" bestFit="1" customWidth="1"/>
    <col min="7" max="7" width="21.7109375" bestFit="1" customWidth="1"/>
    <col min="8" max="8" width="29.42578125" bestFit="1" customWidth="1"/>
    <col min="9" max="9" width="21.5703125" bestFit="1" customWidth="1"/>
    <col min="10" max="10" width="29.28515625" bestFit="1" customWidth="1"/>
    <col min="28" max="28" width="5" bestFit="1" customWidth="1"/>
  </cols>
  <sheetData>
    <row r="1" spans="2:28" x14ac:dyDescent="0.25">
      <c r="AA1" t="s">
        <v>1081</v>
      </c>
      <c r="AB1">
        <v>5697</v>
      </c>
    </row>
    <row r="2" spans="2:28" x14ac:dyDescent="0.25">
      <c r="AA2" t="s">
        <v>1082</v>
      </c>
      <c r="AB2">
        <v>2022</v>
      </c>
    </row>
    <row r="3" spans="2:28" x14ac:dyDescent="0.25">
      <c r="AA3" t="s">
        <v>598</v>
      </c>
      <c r="AB3">
        <v>0</v>
      </c>
    </row>
    <row r="4" spans="2:28" ht="15.75" thickBot="1" x14ac:dyDescent="0.3">
      <c r="B4" s="33" t="s">
        <v>499</v>
      </c>
      <c r="C4" s="33" t="s">
        <v>64</v>
      </c>
      <c r="D4" s="33" t="s">
        <v>65</v>
      </c>
      <c r="E4" s="33" t="s">
        <v>70</v>
      </c>
      <c r="F4" s="33" t="s">
        <v>1083</v>
      </c>
      <c r="G4" s="33" t="s">
        <v>1084</v>
      </c>
      <c r="H4" s="33" t="s">
        <v>1085</v>
      </c>
      <c r="I4" s="33" t="s">
        <v>1086</v>
      </c>
      <c r="J4" s="33" t="s">
        <v>1087</v>
      </c>
    </row>
    <row r="5" spans="2:28" x14ac:dyDescent="0.25">
      <c r="B5" s="36" t="s">
        <v>460</v>
      </c>
      <c r="C5" s="37" t="s">
        <v>35</v>
      </c>
      <c r="D5" s="37" t="s">
        <v>36</v>
      </c>
      <c r="E5" s="37" t="s">
        <v>1088</v>
      </c>
      <c r="F5" s="40">
        <f>SUMIFS(Mercado_Receita!J:J,Mercado_Receita!B:B,"=A4",Mercado_Receita!C:C,"=AZUL",Mercado_Receita!H:H,"=Ponta")</f>
        <v>2966</v>
      </c>
      <c r="G5" s="40">
        <f ca="1">ROUND('TUSD BE'!$AM$5+'TUSD BF'!$AM$5+'TUSD CVA'!$AM$5,2)</f>
        <v>56.48</v>
      </c>
      <c r="H5" s="40">
        <v>32.35</v>
      </c>
      <c r="I5" s="40">
        <f t="shared" ref="I5:I14" ca="1" si="0">F5*G5</f>
        <v>167519.67999999999</v>
      </c>
      <c r="J5" s="41">
        <f t="shared" ref="J5:J14" si="1">F5*H5</f>
        <v>95950.1</v>
      </c>
    </row>
    <row r="6" spans="2:28" x14ac:dyDescent="0.25">
      <c r="B6" s="34" t="s">
        <v>460</v>
      </c>
      <c r="C6" s="72" t="s">
        <v>35</v>
      </c>
      <c r="D6" s="72" t="s">
        <v>36</v>
      </c>
      <c r="E6" s="72" t="s">
        <v>1089</v>
      </c>
      <c r="F6" s="84">
        <f>SUMIFS(Mercado_Receita!J:J,Mercado_Receita!B:B,"=A4",Mercado_Receita!C:C,"=AZUL",Mercado_Receita!H:H,"=Fora Ponta")</f>
        <v>31888</v>
      </c>
      <c r="G6" s="84">
        <f ca="1">ROUND('TUSD BE'!$AM$6+'TUSD BF'!$AM$6+'TUSD CVA'!$AM$6,2)</f>
        <v>21.73</v>
      </c>
      <c r="H6" s="84">
        <v>15.64</v>
      </c>
      <c r="I6" s="84">
        <f t="shared" ca="1" si="0"/>
        <v>692926.24</v>
      </c>
      <c r="J6" s="42">
        <f t="shared" si="1"/>
        <v>498728.32</v>
      </c>
    </row>
    <row r="7" spans="2:28" x14ac:dyDescent="0.25">
      <c r="B7" s="34" t="s">
        <v>460</v>
      </c>
      <c r="C7" s="72" t="s">
        <v>35</v>
      </c>
      <c r="D7" s="72" t="s">
        <v>36</v>
      </c>
      <c r="E7" s="72" t="s">
        <v>11</v>
      </c>
      <c r="F7" s="84">
        <f>SUMIFS(Mercado_Receita!L:L,Mercado_Receita!B:B,"=A4",Mercado_Receita!C:C,"=AZUL",Mercado_Receita!H:H,"&lt;&gt;Não se aplica",Mercado_Receita!Q:Q,"=Cativo")+SUMIFS(Mercado_Receita!L:L,Mercado_Receita!B:B,"=A4",Mercado_Receita!C:C,"=AZUL",Mercado_Receita!Q:Q,"=Livre")</f>
        <v>12070.286</v>
      </c>
      <c r="G7" s="84">
        <f ca="1">ROUND('TUSD BE'!$AM$7+'TUSD BF'!$AM$7+'TUSD CVA'!$AM$7,2)</f>
        <v>117.83</v>
      </c>
      <c r="H7" s="84">
        <v>126.25</v>
      </c>
      <c r="I7" s="84">
        <f t="shared" ca="1" si="0"/>
        <v>1422241.79938</v>
      </c>
      <c r="J7" s="42">
        <f t="shared" si="1"/>
        <v>1523873.6074999999</v>
      </c>
    </row>
    <row r="8" spans="2:28" x14ac:dyDescent="0.25">
      <c r="B8" s="34" t="s">
        <v>488</v>
      </c>
      <c r="C8" s="72" t="s">
        <v>35</v>
      </c>
      <c r="D8" s="72" t="s">
        <v>36</v>
      </c>
      <c r="E8" s="72" t="s">
        <v>1090</v>
      </c>
      <c r="F8" s="84">
        <f>SUMIFS(Mercado_Receita!N:N,Mercado_Receita!B:B,"=A4",Mercado_Receita!C:C,"=AZUL",Mercado_Receita!H:H,"=Ponta",Mercado_Receita!Q:Q,"=Cativo")</f>
        <v>86.405999999999992</v>
      </c>
      <c r="G8" s="84">
        <f>ROUND('TE BE'!$AB$5+'TE BF'!$AB$5+'TE CVA'!$AB$5,2)</f>
        <v>362.74</v>
      </c>
      <c r="H8" s="84">
        <v>399.84</v>
      </c>
      <c r="I8" s="84">
        <f t="shared" si="0"/>
        <v>31342.912439999996</v>
      </c>
      <c r="J8" s="42">
        <f t="shared" si="1"/>
        <v>34548.575039999996</v>
      </c>
    </row>
    <row r="9" spans="2:28" ht="15.75" thickBot="1" x14ac:dyDescent="0.3">
      <c r="B9" s="35" t="s">
        <v>488</v>
      </c>
      <c r="C9" s="71" t="s">
        <v>35</v>
      </c>
      <c r="D9" s="71" t="s">
        <v>36</v>
      </c>
      <c r="E9" s="71" t="s">
        <v>1091</v>
      </c>
      <c r="F9" s="85">
        <f>SUMIFS(Mercado_Receita!N:N,Mercado_Receita!B:B,"=A4",Mercado_Receita!C:C,"=AZUL",Mercado_Receita!H:H,"=Fora Ponta",Mercado_Receita!Q:Q,"=Cativo")</f>
        <v>806.9860000000001</v>
      </c>
      <c r="G9" s="85">
        <f>ROUND('TE BE'!$AB$6+'TE BF'!$AB$6+'TE CVA'!$AB$6,2)</f>
        <v>223</v>
      </c>
      <c r="H9" s="85">
        <v>250.04</v>
      </c>
      <c r="I9" s="85">
        <f t="shared" si="0"/>
        <v>179957.87800000003</v>
      </c>
      <c r="J9" s="46">
        <f t="shared" si="1"/>
        <v>201778.77944000001</v>
      </c>
    </row>
    <row r="10" spans="2:28" x14ac:dyDescent="0.25">
      <c r="B10" s="36" t="s">
        <v>460</v>
      </c>
      <c r="C10" s="37" t="s">
        <v>35</v>
      </c>
      <c r="D10" s="37" t="s">
        <v>39</v>
      </c>
      <c r="E10" s="37" t="s">
        <v>9</v>
      </c>
      <c r="F10" s="40">
        <f>SUMIFS(Mercado_Receita!J:J,Mercado_Receita!B:B,"=A4",Mercado_Receita!C:C,"=VERDE",Mercado_Receita!H:H,"=Não se aplica")</f>
        <v>426500</v>
      </c>
      <c r="G10" s="40">
        <f ca="1">ROUND('TUSD BE'!$AM$10+'TUSD BF'!$AM$10+'TUSD CVA'!$AM$10,2)</f>
        <v>21.73</v>
      </c>
      <c r="H10" s="40">
        <v>15.64</v>
      </c>
      <c r="I10" s="40">
        <f t="shared" ca="1" si="0"/>
        <v>9267845</v>
      </c>
      <c r="J10" s="41">
        <f t="shared" si="1"/>
        <v>6670460</v>
      </c>
    </row>
    <row r="11" spans="2:28" x14ac:dyDescent="0.25">
      <c r="B11" s="34" t="s">
        <v>460</v>
      </c>
      <c r="C11" s="72" t="s">
        <v>35</v>
      </c>
      <c r="D11" s="72" t="s">
        <v>39</v>
      </c>
      <c r="E11" s="72" t="s">
        <v>1092</v>
      </c>
      <c r="F11" s="84">
        <f>SUMIFS(Mercado_Receita!L:L,Mercado_Receita!B:B,"=A4",Mercado_Receita!C:C,"=VERDE",Mercado_Receita!H:H,"=Ponta")</f>
        <v>6338.820999999999</v>
      </c>
      <c r="G11" s="84">
        <f ca="1">ROUND('TUSD BE'!$AM$11+'TUSD BF'!$AM$11+'TUSD CVA'!$AM$11,2)</f>
        <v>1492.99</v>
      </c>
      <c r="H11" s="84">
        <v>911.84</v>
      </c>
      <c r="I11" s="84">
        <f t="shared" ca="1" si="0"/>
        <v>9463796.3647899982</v>
      </c>
      <c r="J11" s="42">
        <f t="shared" si="1"/>
        <v>5779990.5406399993</v>
      </c>
    </row>
    <row r="12" spans="2:28" x14ac:dyDescent="0.25">
      <c r="B12" s="34" t="s">
        <v>460</v>
      </c>
      <c r="C12" s="72" t="s">
        <v>35</v>
      </c>
      <c r="D12" s="72" t="s">
        <v>39</v>
      </c>
      <c r="E12" s="72" t="s">
        <v>1093</v>
      </c>
      <c r="F12" s="84">
        <f>SUMIFS(Mercado_Receita!L:L,Mercado_Receita!B:B,"=A4",Mercado_Receita!C:C,"=VERDE",Mercado_Receita!H:H,"=Fora Ponta")</f>
        <v>108386.65999999996</v>
      </c>
      <c r="G12" s="84">
        <f ca="1">ROUND('TUSD BE'!$AM$12+'TUSD BF'!$AM$12+'TUSD CVA'!$AM$12,2)</f>
        <v>117.83</v>
      </c>
      <c r="H12" s="84">
        <v>126.25</v>
      </c>
      <c r="I12" s="84">
        <f t="shared" ca="1" si="0"/>
        <v>12771200.147799995</v>
      </c>
      <c r="J12" s="42">
        <f t="shared" si="1"/>
        <v>13683815.824999996</v>
      </c>
    </row>
    <row r="13" spans="2:28" x14ac:dyDescent="0.25">
      <c r="B13" s="34" t="s">
        <v>488</v>
      </c>
      <c r="C13" s="72" t="s">
        <v>35</v>
      </c>
      <c r="D13" s="72" t="s">
        <v>39</v>
      </c>
      <c r="E13" s="72" t="s">
        <v>1090</v>
      </c>
      <c r="F13" s="84">
        <f>SUMIFS(Mercado_Receita!N:N,Mercado_Receita!B:B,"=A4",Mercado_Receita!C:C,"=VERDE",Mercado_Receita!H:H,"=Ponta",Mercado_Receita!Q:Q,"=Cativo")</f>
        <v>3677.8779999999997</v>
      </c>
      <c r="G13" s="84">
        <f>ROUND('TE BE'!$AB$5+'TE BF'!$AB$5+'TE CVA'!$AB$5,2)</f>
        <v>362.74</v>
      </c>
      <c r="H13" s="84">
        <v>399.84</v>
      </c>
      <c r="I13" s="84">
        <f t="shared" si="0"/>
        <v>1334113.46572</v>
      </c>
      <c r="J13" s="42">
        <f t="shared" si="1"/>
        <v>1470562.7395199998</v>
      </c>
    </row>
    <row r="14" spans="2:28" ht="15.75" thickBot="1" x14ac:dyDescent="0.3">
      <c r="B14" s="38" t="s">
        <v>488</v>
      </c>
      <c r="C14" s="39" t="s">
        <v>35</v>
      </c>
      <c r="D14" s="39" t="s">
        <v>39</v>
      </c>
      <c r="E14" s="39" t="s">
        <v>1091</v>
      </c>
      <c r="F14" s="43">
        <f>SUMIFS(Mercado_Receita!N:N,Mercado_Receita!B:B,"=A4",Mercado_Receita!C:C,"=VERDE",Mercado_Receita!H:H,"=Fora Ponta",Mercado_Receita!Q:Q,"=Cativo")</f>
        <v>76252.717999999979</v>
      </c>
      <c r="G14" s="43">
        <f>ROUND('TE BE'!$AB$6+'TE BF'!$AB$6+'TE CVA'!$AB$6,2)</f>
        <v>223</v>
      </c>
      <c r="H14" s="43">
        <v>250.04</v>
      </c>
      <c r="I14" s="43">
        <f t="shared" si="0"/>
        <v>17004356.113999996</v>
      </c>
      <c r="J14" s="44">
        <f t="shared" si="1"/>
        <v>19066229.608719993</v>
      </c>
    </row>
    <row r="16" spans="2:28" ht="15.75" thickBot="1" x14ac:dyDescent="0.3">
      <c r="D16" t="s">
        <v>1094</v>
      </c>
      <c r="E16" t="s">
        <v>1095</v>
      </c>
      <c r="F16" t="s">
        <v>1096</v>
      </c>
      <c r="G16" t="s">
        <v>1097</v>
      </c>
    </row>
    <row r="17" spans="2:7" ht="15.75" thickBot="1" x14ac:dyDescent="0.3">
      <c r="B17" t="s">
        <v>1098</v>
      </c>
      <c r="C17" s="47" t="s">
        <v>35</v>
      </c>
      <c r="D17" s="52">
        <f ca="1">SUMIFS($I$5:$I$14,$C$5:$C$14,C17,$B$5:$B$14,"TUSD")/(SUMIFS($F$5:$F$14,$C$5:$C$14,C17,$B$5:$B$14,"TUSD",$E$5:$E$14,"TUSD_E")+SUMIFS($F$5:$F$14,$C$5:$C$14,C17,$B$5:$B$14,"TUSD",$E$5:$E$14,"TUSD_E P")+SUMIFS($F$5:$F$14,$C$5:$C$14,C17,$B$5:$B$14,"TUSD",$E$5:$E$14,"TUSD_E FP"))</f>
        <v>266.45628660434704</v>
      </c>
      <c r="E17" s="52">
        <f>SUMIFS($J$5:$J$14,$C$5:$C$14,C17,$B$5:$B$14,"TUSD")/(SUMIFS($F$5:$F$14,$C$5:$C$14,C17,$B$5:$B$14,"TUSD",$E$5:$E$14,"TUSD_E")+SUMIFS($F$5:$F$14,$C$5:$C$14,C17,$B$5:$B$14,"TUSD",$E$5:$E$14,"TUSD_E P")+SUMIFS($F$5:$F$14,$C$5:$C$14,C17,$B$5:$B$14,"TUSD",$E$5:$E$14,"TUSD_E FP"))</f>
        <v>222.82146369397336</v>
      </c>
      <c r="F17" s="45" t="str">
        <f ca="1">IF(AND(E17&lt;D17,NOT(ISERROR(_xlfn.XMATCH("AVALIAR " &amp;C17,$F$17:$F$20,2)))),"APLICAR","NÃO APLICAR")</f>
        <v>APLICAR</v>
      </c>
      <c r="G17" s="53">
        <f ca="1">IF(AND(E17&lt;D17,NOT(ISERROR(_xlfn.XMATCH("AVALIAR " &amp;C17,$F$17:$F$20,2)))),1,0)</f>
        <v>1</v>
      </c>
    </row>
    <row r="18" spans="2:7" ht="15.75" thickBot="1" x14ac:dyDescent="0.3">
      <c r="B18" t="s">
        <v>1099</v>
      </c>
      <c r="C18" s="47" t="s">
        <v>35</v>
      </c>
      <c r="D18" s="52">
        <f>IF((SUMIFS($F$5:$F$14,$C$5:$C$14,C18,$B$5:$B$14,"TE",$E$5:$E$14,"TE P")+SUMIFS($F$5:$F$14,$C$5:$C$14,C18,$B$5:$B$14,"TE",$E$5:$E$14,"TE FP") = 0),0,SUMIFS($I$5:$I$14,$C$5:$C$14,C18,$B$5:$B$14,"TE")/(SUMIFS($F$5:$F$14,$C$5:$C$14,C18,$B$5:$B$14,"TUSD",$E$5:$E$14,"TUSD_E")+SUMIFS($F$5:$F$14,$C$5:$C$14,C18,$B$5:$B$14,"TUSD",$E$5:$E$14,"TUSD_E P")+SUMIFS($F$5:$F$14,$C$5:$C$14,C18,$B$5:$B$14,"TUSD",$E$5:$E$14,"TUSD_E FP")))</f>
        <v>146.29644828884548</v>
      </c>
      <c r="E18" s="52">
        <f>IF((SUMIFS($F$5:$F$14,$C$5:$C$14,C18,$B$5:$B$14,"TE",$E$5:$E$14,"TE P")+SUMIFS($F$5:$F$14,$C$5:$C$14,C18,$B$5:$B$14,"TE",$E$5:$E$14,"TE FP") = 0),0,SUMIFS($J$5:$J$14,$C$5:$C$14,C18,$B$5:$B$14,"TE")/(SUMIFS($F$5:$F$14,$C$5:$C$14,C18,$B$5:$B$14,"TUSD",$E$5:$E$14,"TUSD_E")+SUMIFS($F$5:$F$14,$C$5:$C$14,C18,$B$5:$B$14,"TUSD",$E$5:$E$14,"TUSD_E P")+SUMIFS($F$5:$F$14,$C$5:$C$14,C18,$B$5:$B$14,"TUSD",$E$5:$E$14,"TUSD_E FP")))</f>
        <v>163.83133439083971</v>
      </c>
      <c r="F18" s="45" t="str">
        <f ca="1">IF(AND(E18&lt;D18,NOT(ISERROR(_xlfn.XMATCH("AVALIAR " &amp;C18,$F$17:$F$20,2)))),"APLICAR","NÃO APLICAR")</f>
        <v>NÃO APLICAR</v>
      </c>
      <c r="G18" s="53">
        <f ca="1">IF(AND(E18&lt;D18,NOT(ISERROR(_xlfn.XMATCH("AVALIAR " &amp;C18,$F$17:$F$20,2)))),1,0)</f>
        <v>0</v>
      </c>
    </row>
    <row r="19" spans="2:7" ht="15.75" thickBot="1" x14ac:dyDescent="0.3">
      <c r="B19" t="s">
        <v>1100</v>
      </c>
      <c r="C19" s="47" t="s">
        <v>35</v>
      </c>
      <c r="D19" s="52">
        <f ca="1">SUMIFS(D$17:D$18,C$17:C$18,C19)</f>
        <v>412.7527348931925</v>
      </c>
      <c r="E19" s="52">
        <f>SUMIFS(E$17:E$18,C$17:C$18,C19)</f>
        <v>386.65279808481307</v>
      </c>
      <c r="F19" s="45" t="str">
        <f ca="1">IF(E19&lt;D19,"AVALIAR "&amp;C19,"NÃO ALTERAR")</f>
        <v>AVALIAR A4</v>
      </c>
      <c r="G19" s="53">
        <f ca="1">IF(E19&lt;D19,1,0)</f>
        <v>1</v>
      </c>
    </row>
    <row r="20" spans="2:7" ht="15.75" thickBot="1" x14ac:dyDescent="0.3">
      <c r="B20" t="s">
        <v>1101</v>
      </c>
      <c r="C20" s="48" t="s">
        <v>1102</v>
      </c>
      <c r="D20" s="51">
        <f ca="1">ROUND('TE BE'!$AB$11+'TE BF'!$AB$11+'TE CVA'!$AB$11,2)+ROUND('TUSD BE'!$AM$20+'TUSD BF'!$AM$20+'TUSD CVA'!$AM$20,2)</f>
        <v>652.23</v>
      </c>
      <c r="E20" s="51">
        <v>573.02</v>
      </c>
      <c r="F20" s="49" t="str">
        <f ca="1">IF(D20&lt;=E20,"NÃO ALTERAR","AVALIAR TarB1")</f>
        <v>AVALIAR TarB1</v>
      </c>
      <c r="G20" s="50">
        <f ca="1">IF(E20&lt;D20,1,0)</f>
        <v>1</v>
      </c>
    </row>
  </sheetData>
  <pageMargins left="0.511811024" right="0.511811024" top="0.78740157499999996" bottom="0.78740157499999996" header="0.31496062000000002" footer="0.3149606200000000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05E00-7E12-402D-A2BD-2956A57EDC9B}">
  <sheetPr codeName="Planilha34"/>
  <dimension ref="B1:U16"/>
  <sheetViews>
    <sheetView showGridLines="0" workbookViewId="0">
      <selection activeCell="U1" sqref="U1"/>
    </sheetView>
  </sheetViews>
  <sheetFormatPr defaultRowHeight="15" x14ac:dyDescent="0.25"/>
  <sheetData>
    <row r="1" spans="2:21" x14ac:dyDescent="0.25">
      <c r="B1" s="78" t="s">
        <v>686</v>
      </c>
      <c r="C1" s="78" t="s">
        <v>687</v>
      </c>
      <c r="D1" s="78" t="s">
        <v>688</v>
      </c>
      <c r="E1" s="78" t="s">
        <v>2</v>
      </c>
      <c r="F1" s="78" t="s">
        <v>689</v>
      </c>
      <c r="G1" s="78" t="s">
        <v>597</v>
      </c>
      <c r="H1" s="78" t="s">
        <v>3</v>
      </c>
      <c r="I1" s="78" t="s">
        <v>690</v>
      </c>
      <c r="J1" s="78" t="s">
        <v>5</v>
      </c>
      <c r="K1" s="78" t="s">
        <v>1</v>
      </c>
      <c r="L1" s="78" t="s">
        <v>691</v>
      </c>
      <c r="M1" s="78" t="s">
        <v>692</v>
      </c>
      <c r="N1" s="78" t="s">
        <v>693</v>
      </c>
      <c r="O1" s="78" t="s">
        <v>694</v>
      </c>
      <c r="P1" s="78" t="s">
        <v>695</v>
      </c>
      <c r="Q1" s="78" t="s">
        <v>696</v>
      </c>
      <c r="R1" s="78" t="s">
        <v>697</v>
      </c>
      <c r="S1" s="78" t="s">
        <v>698</v>
      </c>
      <c r="T1" s="78" t="s">
        <v>699</v>
      </c>
      <c r="U1" s="78" t="s">
        <v>700</v>
      </c>
    </row>
    <row r="2" spans="2:21" x14ac:dyDescent="0.25">
      <c r="B2" s="77" t="s">
        <v>667</v>
      </c>
      <c r="C2" s="77">
        <v>6920</v>
      </c>
      <c r="D2" s="77">
        <v>2904</v>
      </c>
      <c r="E2" s="77" t="s">
        <v>36</v>
      </c>
      <c r="F2" s="77">
        <v>1</v>
      </c>
      <c r="G2" s="77" t="s">
        <v>668</v>
      </c>
      <c r="H2" s="77" t="s">
        <v>47</v>
      </c>
      <c r="I2" s="77" t="s">
        <v>48</v>
      </c>
      <c r="J2" s="77" t="s">
        <v>669</v>
      </c>
      <c r="K2" s="77" t="s">
        <v>35</v>
      </c>
      <c r="L2" s="77">
        <v>0.15</v>
      </c>
      <c r="M2" s="77">
        <v>0.12</v>
      </c>
      <c r="N2" s="77">
        <v>0.09</v>
      </c>
      <c r="O2" s="77">
        <v>0.06</v>
      </c>
      <c r="P2" s="77">
        <v>0.03</v>
      </c>
      <c r="Q2" s="77">
        <v>0</v>
      </c>
      <c r="R2" s="77"/>
      <c r="S2" s="77"/>
      <c r="T2" s="77"/>
      <c r="U2" s="77">
        <v>3</v>
      </c>
    </row>
    <row r="3" spans="2:21" x14ac:dyDescent="0.25">
      <c r="B3" s="77" t="s">
        <v>670</v>
      </c>
      <c r="C3" s="77">
        <v>6921</v>
      </c>
      <c r="D3" s="77">
        <v>2904</v>
      </c>
      <c r="E3" s="77" t="s">
        <v>39</v>
      </c>
      <c r="F3" s="77">
        <v>1</v>
      </c>
      <c r="G3" s="77" t="s">
        <v>668</v>
      </c>
      <c r="H3" s="77" t="s">
        <v>47</v>
      </c>
      <c r="I3" s="77" t="s">
        <v>48</v>
      </c>
      <c r="J3" s="77" t="s">
        <v>669</v>
      </c>
      <c r="K3" s="77" t="s">
        <v>35</v>
      </c>
      <c r="L3" s="77">
        <v>0.15</v>
      </c>
      <c r="M3" s="77">
        <v>0.12</v>
      </c>
      <c r="N3" s="77">
        <v>0.09</v>
      </c>
      <c r="O3" s="77">
        <v>0.06</v>
      </c>
      <c r="P3" s="77">
        <v>0.03</v>
      </c>
      <c r="Q3" s="77">
        <v>0</v>
      </c>
      <c r="R3" s="77"/>
      <c r="S3" s="77"/>
      <c r="T3" s="77"/>
      <c r="U3" s="77">
        <v>3</v>
      </c>
    </row>
    <row r="4" spans="2:21" x14ac:dyDescent="0.25">
      <c r="B4" s="77" t="s">
        <v>671</v>
      </c>
      <c r="C4" s="77">
        <v>6922</v>
      </c>
      <c r="D4" s="77">
        <v>2904</v>
      </c>
      <c r="E4" s="77" t="s">
        <v>672</v>
      </c>
      <c r="F4" s="77">
        <v>1</v>
      </c>
      <c r="G4" s="77" t="s">
        <v>668</v>
      </c>
      <c r="H4" s="77" t="s">
        <v>47</v>
      </c>
      <c r="I4" s="77" t="s">
        <v>48</v>
      </c>
      <c r="J4" s="77" t="s">
        <v>669</v>
      </c>
      <c r="K4" s="77" t="s">
        <v>35</v>
      </c>
      <c r="L4" s="77">
        <v>0.15</v>
      </c>
      <c r="M4" s="77">
        <v>0.12</v>
      </c>
      <c r="N4" s="77">
        <v>0.09</v>
      </c>
      <c r="O4" s="77">
        <v>0.06</v>
      </c>
      <c r="P4" s="77">
        <v>0.03</v>
      </c>
      <c r="Q4" s="77">
        <v>0</v>
      </c>
      <c r="R4" s="77"/>
      <c r="S4" s="77"/>
      <c r="T4" s="77"/>
      <c r="U4" s="77">
        <v>3</v>
      </c>
    </row>
    <row r="5" spans="2:21" x14ac:dyDescent="0.25">
      <c r="B5" s="77" t="s">
        <v>673</v>
      </c>
      <c r="C5" s="77">
        <v>6923</v>
      </c>
      <c r="D5" s="77">
        <v>2904</v>
      </c>
      <c r="E5" s="77" t="s">
        <v>23</v>
      </c>
      <c r="F5" s="77">
        <v>1</v>
      </c>
      <c r="G5" s="77" t="s">
        <v>668</v>
      </c>
      <c r="H5" s="77" t="s">
        <v>47</v>
      </c>
      <c r="I5" s="77" t="s">
        <v>48</v>
      </c>
      <c r="J5" s="77" t="s">
        <v>669</v>
      </c>
      <c r="K5" s="77" t="s">
        <v>33</v>
      </c>
      <c r="L5" s="77">
        <v>0.15</v>
      </c>
      <c r="M5" s="77">
        <v>0.12</v>
      </c>
      <c r="N5" s="77">
        <v>0.09</v>
      </c>
      <c r="O5" s="77">
        <v>0.06</v>
      </c>
      <c r="P5" s="77">
        <v>0.03</v>
      </c>
      <c r="Q5" s="77">
        <v>0</v>
      </c>
      <c r="R5" s="77"/>
      <c r="S5" s="77"/>
      <c r="T5" s="77"/>
      <c r="U5" s="77">
        <v>3</v>
      </c>
    </row>
    <row r="6" spans="2:21" x14ac:dyDescent="0.25">
      <c r="B6" s="77" t="s">
        <v>674</v>
      </c>
      <c r="C6" s="77">
        <v>6924</v>
      </c>
      <c r="D6" s="77">
        <v>2904</v>
      </c>
      <c r="E6" s="77" t="s">
        <v>50</v>
      </c>
      <c r="F6" s="77">
        <v>1</v>
      </c>
      <c r="G6" s="77" t="s">
        <v>668</v>
      </c>
      <c r="H6" s="77" t="s">
        <v>47</v>
      </c>
      <c r="I6" s="77" t="s">
        <v>48</v>
      </c>
      <c r="J6" s="77" t="s">
        <v>669</v>
      </c>
      <c r="K6" s="77" t="s">
        <v>33</v>
      </c>
      <c r="L6" s="77">
        <v>0.15</v>
      </c>
      <c r="M6" s="77">
        <v>0.12</v>
      </c>
      <c r="N6" s="77">
        <v>0.09</v>
      </c>
      <c r="O6" s="77">
        <v>0.06</v>
      </c>
      <c r="P6" s="77">
        <v>0.03</v>
      </c>
      <c r="Q6" s="77">
        <v>0</v>
      </c>
      <c r="R6" s="77"/>
      <c r="S6" s="77"/>
      <c r="T6" s="77"/>
      <c r="U6" s="77">
        <v>3</v>
      </c>
    </row>
    <row r="7" spans="2:21" x14ac:dyDescent="0.25">
      <c r="B7" s="77" t="s">
        <v>675</v>
      </c>
      <c r="C7" s="77">
        <v>6925</v>
      </c>
      <c r="D7" s="77">
        <v>2904</v>
      </c>
      <c r="E7" s="77" t="s">
        <v>23</v>
      </c>
      <c r="F7" s="77">
        <v>1</v>
      </c>
      <c r="G7" s="77" t="s">
        <v>668</v>
      </c>
      <c r="H7" s="77" t="s">
        <v>42</v>
      </c>
      <c r="I7" s="77" t="s">
        <v>90</v>
      </c>
      <c r="J7" s="77" t="s">
        <v>669</v>
      </c>
      <c r="K7" s="77" t="s">
        <v>41</v>
      </c>
      <c r="L7" s="77">
        <v>0.3</v>
      </c>
      <c r="M7" s="77">
        <v>0.24</v>
      </c>
      <c r="N7" s="77">
        <v>0.18</v>
      </c>
      <c r="O7" s="77">
        <v>0.12</v>
      </c>
      <c r="P7" s="77">
        <v>0.06</v>
      </c>
      <c r="Q7" s="77">
        <v>0</v>
      </c>
      <c r="R7" s="77"/>
      <c r="S7" s="77"/>
      <c r="T7" s="77"/>
      <c r="U7" s="77">
        <v>3</v>
      </c>
    </row>
    <row r="8" spans="2:21" x14ac:dyDescent="0.25">
      <c r="B8" s="77" t="s">
        <v>676</v>
      </c>
      <c r="C8" s="77">
        <v>6926</v>
      </c>
      <c r="D8" s="77">
        <v>2904</v>
      </c>
      <c r="E8" s="77" t="s">
        <v>677</v>
      </c>
      <c r="F8" s="77">
        <v>1</v>
      </c>
      <c r="G8" s="77" t="s">
        <v>668</v>
      </c>
      <c r="H8" s="77" t="s">
        <v>42</v>
      </c>
      <c r="I8" s="77" t="s">
        <v>90</v>
      </c>
      <c r="J8" s="77" t="s">
        <v>669</v>
      </c>
      <c r="K8" s="77" t="s">
        <v>41</v>
      </c>
      <c r="L8" s="77">
        <v>0.3</v>
      </c>
      <c r="M8" s="77">
        <v>0.24</v>
      </c>
      <c r="N8" s="77">
        <v>0.18</v>
      </c>
      <c r="O8" s="77">
        <v>0.12</v>
      </c>
      <c r="P8" s="77">
        <v>0.06</v>
      </c>
      <c r="Q8" s="77">
        <v>0</v>
      </c>
      <c r="R8" s="77"/>
      <c r="S8" s="77"/>
      <c r="T8" s="77"/>
      <c r="U8" s="77">
        <v>3</v>
      </c>
    </row>
    <row r="9" spans="2:21" x14ac:dyDescent="0.25">
      <c r="B9" s="77" t="s">
        <v>678</v>
      </c>
      <c r="C9" s="77">
        <v>6927</v>
      </c>
      <c r="D9" s="77">
        <v>2904</v>
      </c>
      <c r="E9" s="77" t="s">
        <v>23</v>
      </c>
      <c r="F9" s="77">
        <v>1</v>
      </c>
      <c r="G9" s="77" t="s">
        <v>668</v>
      </c>
      <c r="H9" s="77" t="s">
        <v>42</v>
      </c>
      <c r="I9" s="77" t="s">
        <v>25</v>
      </c>
      <c r="J9" s="77" t="s">
        <v>42</v>
      </c>
      <c r="K9" s="77" t="s">
        <v>41</v>
      </c>
      <c r="L9" s="77">
        <v>0.3</v>
      </c>
      <c r="M9" s="77">
        <v>0.24</v>
      </c>
      <c r="N9" s="77">
        <v>0.18</v>
      </c>
      <c r="O9" s="77">
        <v>0.12</v>
      </c>
      <c r="P9" s="77">
        <v>0.06</v>
      </c>
      <c r="Q9" s="77">
        <v>0</v>
      </c>
      <c r="R9" s="77"/>
      <c r="S9" s="77"/>
      <c r="T9" s="77"/>
      <c r="U9" s="77">
        <v>3</v>
      </c>
    </row>
    <row r="10" spans="2:21" x14ac:dyDescent="0.25">
      <c r="B10" s="77" t="s">
        <v>679</v>
      </c>
      <c r="C10" s="77">
        <v>6928</v>
      </c>
      <c r="D10" s="77">
        <v>2904</v>
      </c>
      <c r="E10" s="77" t="s">
        <v>36</v>
      </c>
      <c r="F10" s="77">
        <v>1</v>
      </c>
      <c r="G10" s="77" t="s">
        <v>668</v>
      </c>
      <c r="H10" s="77" t="s">
        <v>42</v>
      </c>
      <c r="I10" s="77" t="s">
        <v>25</v>
      </c>
      <c r="J10" s="77" t="s">
        <v>680</v>
      </c>
      <c r="K10" s="77" t="s">
        <v>35</v>
      </c>
      <c r="L10" s="77">
        <v>0.1</v>
      </c>
      <c r="M10" s="77">
        <v>0.08</v>
      </c>
      <c r="N10" s="77">
        <v>0.06</v>
      </c>
      <c r="O10" s="77">
        <v>0.04</v>
      </c>
      <c r="P10" s="77">
        <v>0.02</v>
      </c>
      <c r="Q10" s="77">
        <v>0</v>
      </c>
      <c r="R10" s="77"/>
      <c r="S10" s="77"/>
      <c r="T10" s="77"/>
      <c r="U10" s="77">
        <v>3</v>
      </c>
    </row>
    <row r="11" spans="2:21" x14ac:dyDescent="0.25">
      <c r="B11" s="77" t="s">
        <v>681</v>
      </c>
      <c r="C11" s="77">
        <v>6929</v>
      </c>
      <c r="D11" s="77">
        <v>2904</v>
      </c>
      <c r="E11" s="77" t="s">
        <v>39</v>
      </c>
      <c r="F11" s="77">
        <v>1</v>
      </c>
      <c r="G11" s="77" t="s">
        <v>668</v>
      </c>
      <c r="H11" s="77" t="s">
        <v>42</v>
      </c>
      <c r="I11" s="77" t="s">
        <v>25</v>
      </c>
      <c r="J11" s="77" t="s">
        <v>680</v>
      </c>
      <c r="K11" s="77" t="s">
        <v>35</v>
      </c>
      <c r="L11" s="77">
        <v>0.1</v>
      </c>
      <c r="M11" s="77">
        <v>0.08</v>
      </c>
      <c r="N11" s="77">
        <v>0.06</v>
      </c>
      <c r="O11" s="77">
        <v>0.04</v>
      </c>
      <c r="P11" s="77">
        <v>0.02</v>
      </c>
      <c r="Q11" s="77">
        <v>0</v>
      </c>
      <c r="R11" s="77"/>
      <c r="S11" s="77"/>
      <c r="T11" s="77"/>
      <c r="U11" s="77">
        <v>3</v>
      </c>
    </row>
    <row r="12" spans="2:21" x14ac:dyDescent="0.25">
      <c r="B12" s="77" t="s">
        <v>682</v>
      </c>
      <c r="C12" s="77">
        <v>6930</v>
      </c>
      <c r="D12" s="77">
        <v>2904</v>
      </c>
      <c r="E12" s="77" t="s">
        <v>23</v>
      </c>
      <c r="F12" s="77">
        <v>1</v>
      </c>
      <c r="G12" s="77" t="s">
        <v>668</v>
      </c>
      <c r="H12" s="77" t="s">
        <v>42</v>
      </c>
      <c r="I12" s="77" t="s">
        <v>25</v>
      </c>
      <c r="J12" s="77" t="s">
        <v>680</v>
      </c>
      <c r="K12" s="77" t="s">
        <v>35</v>
      </c>
      <c r="L12" s="77">
        <v>0.1</v>
      </c>
      <c r="M12" s="77">
        <v>0.08</v>
      </c>
      <c r="N12" s="77">
        <v>0.06</v>
      </c>
      <c r="O12" s="77">
        <v>0.04</v>
      </c>
      <c r="P12" s="77">
        <v>0.02</v>
      </c>
      <c r="Q12" s="77">
        <v>0</v>
      </c>
      <c r="R12" s="77"/>
      <c r="S12" s="77"/>
      <c r="T12" s="77"/>
      <c r="U12" s="77">
        <v>3</v>
      </c>
    </row>
    <row r="13" spans="2:21" x14ac:dyDescent="0.25">
      <c r="B13" s="77" t="s">
        <v>678</v>
      </c>
      <c r="C13" s="77">
        <v>6931</v>
      </c>
      <c r="D13" s="77">
        <v>2904</v>
      </c>
      <c r="E13" s="77" t="s">
        <v>23</v>
      </c>
      <c r="F13" s="77">
        <v>1</v>
      </c>
      <c r="G13" s="77" t="s">
        <v>668</v>
      </c>
      <c r="H13" s="77" t="s">
        <v>42</v>
      </c>
      <c r="I13" s="77" t="s">
        <v>25</v>
      </c>
      <c r="J13" s="77" t="s">
        <v>42</v>
      </c>
      <c r="K13" s="77" t="s">
        <v>41</v>
      </c>
      <c r="L13" s="77">
        <v>0.3</v>
      </c>
      <c r="M13" s="77">
        <v>0.24</v>
      </c>
      <c r="N13" s="77">
        <v>0.18</v>
      </c>
      <c r="O13" s="77">
        <v>0.12</v>
      </c>
      <c r="P13" s="77">
        <v>0.06</v>
      </c>
      <c r="Q13" s="77">
        <v>0</v>
      </c>
      <c r="R13" s="77"/>
      <c r="S13" s="77"/>
      <c r="T13" s="77"/>
      <c r="U13" s="77">
        <v>3</v>
      </c>
    </row>
    <row r="14" spans="2:21" x14ac:dyDescent="0.25">
      <c r="B14" s="77" t="s">
        <v>683</v>
      </c>
      <c r="C14" s="77">
        <v>6932</v>
      </c>
      <c r="D14" s="77">
        <v>2904</v>
      </c>
      <c r="E14" s="77" t="s">
        <v>50</v>
      </c>
      <c r="F14" s="77">
        <v>1</v>
      </c>
      <c r="G14" s="77" t="s">
        <v>668</v>
      </c>
      <c r="H14" s="77" t="s">
        <v>42</v>
      </c>
      <c r="I14" s="77" t="s">
        <v>25</v>
      </c>
      <c r="J14" s="77" t="s">
        <v>42</v>
      </c>
      <c r="K14" s="77" t="s">
        <v>41</v>
      </c>
      <c r="L14" s="77">
        <v>0.3</v>
      </c>
      <c r="M14" s="77">
        <v>0.24</v>
      </c>
      <c r="N14" s="77">
        <v>0.18</v>
      </c>
      <c r="O14" s="77">
        <v>0.12</v>
      </c>
      <c r="P14" s="77">
        <v>0.06</v>
      </c>
      <c r="Q14" s="77">
        <v>0</v>
      </c>
      <c r="R14" s="77"/>
      <c r="S14" s="77"/>
      <c r="T14" s="77"/>
      <c r="U14" s="77">
        <v>3</v>
      </c>
    </row>
    <row r="15" spans="2:21" x14ac:dyDescent="0.25">
      <c r="B15" s="77" t="s">
        <v>684</v>
      </c>
      <c r="C15" s="77">
        <v>6933</v>
      </c>
      <c r="D15" s="77">
        <v>2904</v>
      </c>
      <c r="E15" s="77" t="s">
        <v>23</v>
      </c>
      <c r="F15" s="77">
        <v>1</v>
      </c>
      <c r="G15" s="77" t="s">
        <v>668</v>
      </c>
      <c r="H15" s="77" t="s">
        <v>42</v>
      </c>
      <c r="I15" s="77" t="s">
        <v>91</v>
      </c>
      <c r="J15" s="77" t="s">
        <v>669</v>
      </c>
      <c r="K15" s="77" t="s">
        <v>41</v>
      </c>
      <c r="L15" s="77">
        <v>0.4</v>
      </c>
      <c r="M15" s="77">
        <v>0.32</v>
      </c>
      <c r="N15" s="77">
        <v>0.24</v>
      </c>
      <c r="O15" s="77">
        <v>0.16</v>
      </c>
      <c r="P15" s="77">
        <v>0.08</v>
      </c>
      <c r="Q15" s="77">
        <v>0</v>
      </c>
      <c r="R15" s="77"/>
      <c r="S15" s="77"/>
      <c r="T15" s="77"/>
      <c r="U15" s="77">
        <v>3</v>
      </c>
    </row>
    <row r="16" spans="2:21" x14ac:dyDescent="0.25">
      <c r="B16" s="77" t="s">
        <v>685</v>
      </c>
      <c r="C16" s="77">
        <v>6934</v>
      </c>
      <c r="D16" s="77">
        <v>2904</v>
      </c>
      <c r="E16" s="77" t="s">
        <v>677</v>
      </c>
      <c r="F16" s="77">
        <v>1</v>
      </c>
      <c r="G16" s="77" t="s">
        <v>668</v>
      </c>
      <c r="H16" s="77" t="s">
        <v>42</v>
      </c>
      <c r="I16" s="77" t="s">
        <v>91</v>
      </c>
      <c r="J16" s="77" t="s">
        <v>669</v>
      </c>
      <c r="K16" s="77" t="s">
        <v>41</v>
      </c>
      <c r="L16" s="77">
        <v>0.4</v>
      </c>
      <c r="M16" s="77">
        <v>0.32</v>
      </c>
      <c r="N16" s="77">
        <v>0.24</v>
      </c>
      <c r="O16" s="77">
        <v>0.16</v>
      </c>
      <c r="P16" s="77">
        <v>0.08</v>
      </c>
      <c r="Q16" s="77">
        <v>0</v>
      </c>
      <c r="R16" s="77"/>
      <c r="S16" s="77"/>
      <c r="T16" s="77"/>
      <c r="U16" s="77">
        <v>3</v>
      </c>
    </row>
  </sheetData>
  <pageMargins left="0.511811024" right="0.511811024" top="0.78740157499999996" bottom="0.78740157499999996" header="0.31496062000000002" footer="0.3149606200000000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4C834-A408-49DD-9BF3-2CBC2FF5EC76}">
  <dimension ref="A1:L18"/>
  <sheetViews>
    <sheetView showGridLines="0" workbookViewId="0">
      <selection activeCell="F8" sqref="F8"/>
    </sheetView>
  </sheetViews>
  <sheetFormatPr defaultRowHeight="11.25" x14ac:dyDescent="0.2"/>
  <cols>
    <col min="1" max="1" width="31.42578125" style="14" bestFit="1" customWidth="1"/>
    <col min="2" max="2" width="18.42578125" style="14" customWidth="1"/>
    <col min="3" max="12" width="11" style="14" customWidth="1"/>
    <col min="13" max="16384" width="9.140625" style="14"/>
  </cols>
  <sheetData>
    <row r="1" spans="1:12" ht="12" thickBot="1" x14ac:dyDescent="0.25">
      <c r="A1" s="114" t="s">
        <v>1248</v>
      </c>
      <c r="B1" s="114" t="s">
        <v>22</v>
      </c>
      <c r="C1" s="114" t="s">
        <v>1247</v>
      </c>
      <c r="D1" s="114" t="s">
        <v>1246</v>
      </c>
      <c r="E1" s="114" t="s">
        <v>33</v>
      </c>
      <c r="F1" s="114" t="s">
        <v>1245</v>
      </c>
      <c r="G1" s="114" t="s">
        <v>1244</v>
      </c>
      <c r="H1" s="114" t="s">
        <v>590</v>
      </c>
      <c r="I1" s="114" t="s">
        <v>35</v>
      </c>
      <c r="J1" s="114" t="s">
        <v>589</v>
      </c>
      <c r="K1" s="114" t="s">
        <v>588</v>
      </c>
      <c r="L1" s="114" t="s">
        <v>587</v>
      </c>
    </row>
    <row r="2" spans="1:12" x14ac:dyDescent="0.2">
      <c r="A2" s="110" t="s">
        <v>1243</v>
      </c>
      <c r="B2" s="116">
        <f t="shared" ref="B2:L2" si="0">12*B3*(1-$B$10/IF($B$8&lt;&gt;0,$B$8,1))/IF(((((1+$B$6)^(1/IF($B$9&lt;&gt;0,$B$9,1))*$B$6)/(IF((1+$B$6)^(1/IF($B$9&lt;&gt;0,$B$9,1))-1&lt;&gt;0,(1+$B$6)^(1/IF($B$9&lt;&gt;0,$B$9,1))-1,1))))&lt;&gt;0,(((1+$B$6)^(1/IF($B$9&lt;&gt;0,$B$9,1))*$B$6)/(IF((1+$B$6)^(1/IF($B$9&lt;&gt;0,$B$9,1))-1&lt;&gt;0,(1+$B$6)^(1/IF($B$9&lt;&gt;0,$B$9,1))-1,1))),1)</f>
        <v>434.6141328958451</v>
      </c>
      <c r="C2" s="116">
        <f t="shared" si="0"/>
        <v>408.57515979206357</v>
      </c>
      <c r="D2" s="116">
        <f t="shared" si="0"/>
        <v>400.05331404900772</v>
      </c>
      <c r="E2" s="116">
        <f t="shared" si="0"/>
        <v>434.6141328958451</v>
      </c>
      <c r="F2" s="116">
        <f t="shared" si="0"/>
        <v>239.08511668017621</v>
      </c>
      <c r="G2" s="116">
        <f t="shared" si="0"/>
        <v>260.86316691242996</v>
      </c>
      <c r="H2" s="116">
        <f t="shared" si="0"/>
        <v>0</v>
      </c>
      <c r="I2" s="116">
        <f t="shared" si="0"/>
        <v>435.45535401954965</v>
      </c>
      <c r="J2" s="116">
        <f t="shared" si="0"/>
        <v>0</v>
      </c>
      <c r="K2" s="116">
        <f t="shared" si="0"/>
        <v>0</v>
      </c>
      <c r="L2" s="116">
        <f t="shared" si="0"/>
        <v>0</v>
      </c>
    </row>
    <row r="3" spans="1:12" ht="12" thickBot="1" x14ac:dyDescent="0.25">
      <c r="A3" s="108" t="s">
        <v>1242</v>
      </c>
      <c r="B3" s="115">
        <v>9.18</v>
      </c>
      <c r="C3" s="115">
        <v>8.6300000000000008</v>
      </c>
      <c r="D3" s="115">
        <v>8.4499999999999993</v>
      </c>
      <c r="E3" s="115">
        <v>9.18</v>
      </c>
      <c r="F3" s="115">
        <v>5.05</v>
      </c>
      <c r="G3" s="115">
        <v>5.51</v>
      </c>
      <c r="H3" s="115">
        <v>0</v>
      </c>
      <c r="I3" s="115">
        <f>'TUSD BE'!$AC$6</f>
        <v>9.1977684279711589</v>
      </c>
      <c r="J3" s="115">
        <v>0</v>
      </c>
      <c r="K3" s="115">
        <v>0</v>
      </c>
      <c r="L3" s="115">
        <v>0</v>
      </c>
    </row>
    <row r="5" spans="1:12" ht="12" thickBot="1" x14ac:dyDescent="0.25">
      <c r="A5" s="114" t="s">
        <v>1241</v>
      </c>
      <c r="B5" s="114" t="s">
        <v>1240</v>
      </c>
    </row>
    <row r="6" spans="1:12" x14ac:dyDescent="0.2">
      <c r="A6" s="110" t="s">
        <v>1239</v>
      </c>
      <c r="B6" s="113">
        <v>0.1082749759</v>
      </c>
    </row>
    <row r="7" spans="1:12" x14ac:dyDescent="0.2">
      <c r="A7" s="112" t="s">
        <v>1238</v>
      </c>
      <c r="B7" s="111">
        <v>0.34</v>
      </c>
    </row>
    <row r="8" spans="1:12" x14ac:dyDescent="0.2">
      <c r="A8" s="110" t="s">
        <v>1237</v>
      </c>
      <c r="B8" s="109">
        <v>30442428.752707433</v>
      </c>
    </row>
    <row r="9" spans="1:12" x14ac:dyDescent="0.2">
      <c r="A9" s="112" t="s">
        <v>1236</v>
      </c>
      <c r="B9" s="111">
        <v>3.9800000000000002E-2</v>
      </c>
    </row>
    <row r="10" spans="1:12" x14ac:dyDescent="0.2">
      <c r="A10" s="110" t="s">
        <v>1235</v>
      </c>
      <c r="B10" s="109">
        <v>16375434.845364911</v>
      </c>
    </row>
    <row r="11" spans="1:12" ht="12" thickBot="1" x14ac:dyDescent="0.25">
      <c r="A11" s="108" t="s">
        <v>1234</v>
      </c>
      <c r="B11" s="107">
        <f>(1+$B$6)^(1/IF($B$9&lt;&gt;0,$B$9,1))*$B$6/IF((1+$B$6)^(1/IF($B$9&lt;&gt;0,$B$9,1))-1&lt;&gt;0,(1+$B$6)^(1/IF($B$9&lt;&gt;0,$B$9,1))-1,1)</f>
        <v>0.11712297186735052</v>
      </c>
    </row>
    <row r="18" spans="2:2" x14ac:dyDescent="0.2">
      <c r="B18" s="106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73B49-754D-468C-B8D0-BEEB2C18DEC4}">
  <dimension ref="B1:AT50"/>
  <sheetViews>
    <sheetView showGridLines="0" workbookViewId="0">
      <selection activeCell="B4" sqref="B4"/>
    </sheetView>
  </sheetViews>
  <sheetFormatPr defaultRowHeight="15" x14ac:dyDescent="0.25"/>
  <cols>
    <col min="2" max="2" width="13.42578125" bestFit="1" customWidth="1"/>
    <col min="3" max="3" width="27.7109375" bestFit="1" customWidth="1"/>
    <col min="4" max="4" width="17.85546875" bestFit="1" customWidth="1"/>
    <col min="5" max="5" width="31.140625" bestFit="1" customWidth="1"/>
    <col min="6" max="6" width="12.5703125" bestFit="1" customWidth="1"/>
    <col min="7" max="7" width="13.42578125" bestFit="1" customWidth="1"/>
    <col min="8" max="8" width="11.5703125" bestFit="1" customWidth="1"/>
    <col min="9" max="9" width="13.42578125" bestFit="1" customWidth="1"/>
    <col min="10" max="10" width="12.85546875" bestFit="1" customWidth="1"/>
    <col min="11" max="11" width="10.140625" bestFit="1" customWidth="1"/>
    <col min="12" max="12" width="19.28515625" bestFit="1" customWidth="1"/>
    <col min="13" max="13" width="14" bestFit="1" customWidth="1"/>
    <col min="14" max="14" width="12.5703125" bestFit="1" customWidth="1"/>
    <col min="15" max="15" width="12.85546875" bestFit="1" customWidth="1"/>
    <col min="16" max="17" width="12.42578125" bestFit="1" customWidth="1"/>
    <col min="18" max="18" width="17.140625" bestFit="1" customWidth="1"/>
    <col min="19" max="19" width="10.85546875" bestFit="1" customWidth="1"/>
    <col min="20" max="20" width="11.28515625" bestFit="1" customWidth="1"/>
    <col min="21" max="21" width="11.140625" bestFit="1" customWidth="1"/>
    <col min="22" max="22" width="12.28515625" bestFit="1" customWidth="1"/>
    <col min="23" max="23" width="12.5703125" bestFit="1" customWidth="1"/>
    <col min="24" max="24" width="13.85546875" bestFit="1" customWidth="1"/>
    <col min="25" max="25" width="11.42578125" bestFit="1" customWidth="1"/>
    <col min="26" max="26" width="14.28515625" bestFit="1" customWidth="1"/>
    <col min="27" max="27" width="12.85546875" bestFit="1" customWidth="1"/>
    <col min="28" max="28" width="16.140625" bestFit="1" customWidth="1"/>
    <col min="29" max="29" width="25" bestFit="1" customWidth="1"/>
    <col min="30" max="30" width="14.42578125" bestFit="1" customWidth="1"/>
    <col min="31" max="31" width="12" bestFit="1" customWidth="1"/>
    <col min="32" max="32" width="17.7109375" bestFit="1" customWidth="1"/>
    <col min="33" max="33" width="12.5703125" bestFit="1" customWidth="1"/>
    <col min="34" max="34" width="12" bestFit="1" customWidth="1"/>
    <col min="35" max="35" width="16.5703125" bestFit="1" customWidth="1"/>
    <col min="36" max="36" width="14.5703125" bestFit="1" customWidth="1"/>
    <col min="37" max="37" width="12" bestFit="1" customWidth="1"/>
    <col min="38" max="38" width="12.5703125" bestFit="1" customWidth="1"/>
    <col min="39" max="39" width="12.28515625" bestFit="1" customWidth="1"/>
    <col min="40" max="40" width="14.140625" bestFit="1" customWidth="1"/>
    <col min="41" max="41" width="25.28515625" bestFit="1" customWidth="1"/>
    <col min="42" max="42" width="17.85546875" bestFit="1" customWidth="1"/>
    <col min="43" max="43" width="13.42578125" bestFit="1" customWidth="1"/>
    <col min="44" max="44" width="13.28515625" bestFit="1" customWidth="1"/>
    <col min="45" max="45" width="22.140625" bestFit="1" customWidth="1"/>
    <col min="46" max="46" width="12.5703125" bestFit="1" customWidth="1"/>
  </cols>
  <sheetData>
    <row r="1" spans="2:46" ht="12" customHeight="1" x14ac:dyDescent="0.25">
      <c r="L1" s="168" t="s">
        <v>1286</v>
      </c>
      <c r="M1" s="168"/>
      <c r="N1" s="168"/>
      <c r="O1" s="168"/>
      <c r="P1" s="168"/>
      <c r="Q1" s="168"/>
      <c r="R1" s="168"/>
      <c r="S1" s="168"/>
      <c r="T1" s="168"/>
      <c r="U1" s="168"/>
      <c r="V1" s="168"/>
      <c r="W1" s="168"/>
      <c r="X1" s="168"/>
      <c r="Y1" s="168"/>
      <c r="Z1" s="168"/>
      <c r="AA1" s="168"/>
      <c r="AB1" s="168"/>
      <c r="AC1" s="168"/>
      <c r="AD1" s="168"/>
      <c r="AE1" s="168"/>
      <c r="AF1" s="168"/>
      <c r="AG1" s="168"/>
      <c r="AH1" s="168"/>
      <c r="AI1" s="168"/>
      <c r="AJ1" s="168"/>
      <c r="AK1" s="168"/>
      <c r="AL1" s="168"/>
      <c r="AM1" s="168"/>
      <c r="AN1" s="168"/>
      <c r="AO1" s="168"/>
      <c r="AP1" s="168"/>
      <c r="AQ1" s="168"/>
      <c r="AR1" s="168"/>
      <c r="AS1" s="168"/>
      <c r="AT1" s="168"/>
    </row>
    <row r="2" spans="2:46" ht="12" customHeight="1" x14ac:dyDescent="0.25">
      <c r="L2" s="169" t="s">
        <v>461</v>
      </c>
      <c r="M2" s="169"/>
      <c r="N2" s="169"/>
      <c r="O2" s="169"/>
      <c r="P2" s="169"/>
      <c r="Q2" s="169"/>
      <c r="R2" s="169"/>
      <c r="S2" s="170"/>
      <c r="T2" s="169" t="s">
        <v>470</v>
      </c>
      <c r="U2" s="169"/>
      <c r="V2" s="169"/>
      <c r="W2" s="169"/>
      <c r="X2" s="169"/>
      <c r="Y2" s="169"/>
      <c r="Z2" s="170"/>
      <c r="AA2" s="127" t="s">
        <v>478</v>
      </c>
      <c r="AB2" s="169" t="s">
        <v>25</v>
      </c>
      <c r="AC2" s="169"/>
      <c r="AD2" s="170"/>
      <c r="AE2" s="169" t="s">
        <v>1285</v>
      </c>
      <c r="AF2" s="169"/>
      <c r="AG2" s="169"/>
      <c r="AH2" s="170"/>
      <c r="AI2" s="169" t="s">
        <v>461</v>
      </c>
      <c r="AJ2" s="169"/>
      <c r="AK2" s="169"/>
      <c r="AL2" s="169"/>
      <c r="AM2" s="170"/>
      <c r="AN2" s="127" t="s">
        <v>492</v>
      </c>
      <c r="AO2" s="169" t="s">
        <v>470</v>
      </c>
      <c r="AP2" s="169"/>
      <c r="AQ2" s="169"/>
      <c r="AR2" s="169"/>
      <c r="AS2" s="170"/>
      <c r="AT2" s="126" t="s">
        <v>1285</v>
      </c>
    </row>
    <row r="3" spans="2:46" ht="12" customHeight="1" x14ac:dyDescent="0.25">
      <c r="B3" s="117" t="s">
        <v>64</v>
      </c>
      <c r="C3" s="118" t="s">
        <v>65</v>
      </c>
      <c r="D3" s="118" t="s">
        <v>66</v>
      </c>
      <c r="E3" s="118" t="s">
        <v>67</v>
      </c>
      <c r="F3" s="118" t="s">
        <v>68</v>
      </c>
      <c r="G3" s="118" t="s">
        <v>70</v>
      </c>
      <c r="H3" s="118" t="s">
        <v>71</v>
      </c>
      <c r="I3" s="118" t="s">
        <v>731</v>
      </c>
      <c r="J3" s="118" t="s">
        <v>1249</v>
      </c>
      <c r="K3" s="118" t="s">
        <v>1250</v>
      </c>
      <c r="L3" s="118" t="s">
        <v>1251</v>
      </c>
      <c r="M3" s="118" t="s">
        <v>1252</v>
      </c>
      <c r="N3" s="118" t="s">
        <v>1253</v>
      </c>
      <c r="O3" s="118" t="s">
        <v>1254</v>
      </c>
      <c r="P3" s="118" t="s">
        <v>1255</v>
      </c>
      <c r="Q3" s="118" t="s">
        <v>1256</v>
      </c>
      <c r="R3" s="118" t="s">
        <v>1257</v>
      </c>
      <c r="S3" s="118" t="s">
        <v>1258</v>
      </c>
      <c r="T3" s="118" t="s">
        <v>1259</v>
      </c>
      <c r="U3" s="118" t="s">
        <v>1260</v>
      </c>
      <c r="V3" s="118" t="s">
        <v>1261</v>
      </c>
      <c r="W3" s="118" t="s">
        <v>1262</v>
      </c>
      <c r="X3" s="118" t="s">
        <v>1263</v>
      </c>
      <c r="Y3" s="118" t="s">
        <v>1264</v>
      </c>
      <c r="Z3" s="118" t="s">
        <v>1265</v>
      </c>
      <c r="AA3" s="118" t="s">
        <v>1266</v>
      </c>
      <c r="AB3" s="118" t="s">
        <v>1267</v>
      </c>
      <c r="AC3" s="118" t="s">
        <v>1288</v>
      </c>
      <c r="AD3" s="118" t="s">
        <v>1268</v>
      </c>
      <c r="AE3" s="118" t="s">
        <v>1269</v>
      </c>
      <c r="AF3" s="118" t="s">
        <v>1270</v>
      </c>
      <c r="AG3" s="118" t="s">
        <v>1271</v>
      </c>
      <c r="AH3" s="118" t="s">
        <v>1272</v>
      </c>
      <c r="AI3" s="118" t="s">
        <v>1273</v>
      </c>
      <c r="AJ3" s="118" t="s">
        <v>1274</v>
      </c>
      <c r="AK3" s="118" t="s">
        <v>1275</v>
      </c>
      <c r="AL3" s="118" t="s">
        <v>1276</v>
      </c>
      <c r="AM3" s="118" t="s">
        <v>1277</v>
      </c>
      <c r="AN3" s="118" t="s">
        <v>1278</v>
      </c>
      <c r="AO3" s="118" t="s">
        <v>1279</v>
      </c>
      <c r="AP3" s="118" t="s">
        <v>1280</v>
      </c>
      <c r="AQ3" s="118" t="s">
        <v>1281</v>
      </c>
      <c r="AR3" s="118" t="s">
        <v>1282</v>
      </c>
      <c r="AS3" s="118" t="s">
        <v>1289</v>
      </c>
      <c r="AT3" s="119" t="s">
        <v>1283</v>
      </c>
    </row>
    <row r="4" spans="2:46" ht="12" customHeight="1" x14ac:dyDescent="0.25">
      <c r="B4" s="120" t="s">
        <v>35</v>
      </c>
      <c r="C4" s="121" t="s">
        <v>36</v>
      </c>
      <c r="D4" s="121" t="s">
        <v>25</v>
      </c>
      <c r="E4" s="121" t="s">
        <v>25</v>
      </c>
      <c r="F4" s="121" t="s">
        <v>82</v>
      </c>
      <c r="G4" s="121" t="s">
        <v>37</v>
      </c>
      <c r="H4" s="121" t="s">
        <v>74</v>
      </c>
      <c r="I4" s="121" t="s">
        <v>25</v>
      </c>
      <c r="J4" s="121">
        <v>20.49</v>
      </c>
      <c r="K4" s="121">
        <v>0</v>
      </c>
      <c r="L4" s="121">
        <v>0</v>
      </c>
      <c r="M4" s="121">
        <v>0.287733830555433</v>
      </c>
      <c r="N4" s="121">
        <v>0.30485666410087597</v>
      </c>
      <c r="O4" s="121">
        <v>0</v>
      </c>
      <c r="P4" s="121">
        <v>0</v>
      </c>
      <c r="Q4" s="121">
        <v>0</v>
      </c>
      <c r="R4" s="121">
        <v>0</v>
      </c>
      <c r="S4" s="121">
        <v>0</v>
      </c>
      <c r="T4" s="121">
        <v>0</v>
      </c>
      <c r="U4" s="121">
        <v>0</v>
      </c>
      <c r="V4" s="121">
        <v>0</v>
      </c>
      <c r="W4" s="121">
        <v>0</v>
      </c>
      <c r="X4" s="121">
        <v>0</v>
      </c>
      <c r="Y4" s="121">
        <v>0</v>
      </c>
      <c r="Z4" s="121">
        <v>0</v>
      </c>
      <c r="AA4" s="121">
        <v>0</v>
      </c>
      <c r="AB4" s="121">
        <v>0</v>
      </c>
      <c r="AC4" s="121">
        <v>10.043729355028599</v>
      </c>
      <c r="AD4" s="121">
        <v>0</v>
      </c>
      <c r="AE4" s="121">
        <v>9.1873868143577795</v>
      </c>
      <c r="AF4" s="121">
        <v>0.198775777164345</v>
      </c>
      <c r="AG4" s="121">
        <v>0.223422210464642</v>
      </c>
      <c r="AH4" s="121">
        <v>0.244095348328356</v>
      </c>
      <c r="AI4" s="121">
        <v>0</v>
      </c>
      <c r="AJ4" s="121">
        <v>0</v>
      </c>
      <c r="AK4" s="121">
        <v>0</v>
      </c>
      <c r="AL4" s="121">
        <v>0</v>
      </c>
      <c r="AM4" s="121">
        <v>0</v>
      </c>
      <c r="AN4" s="121">
        <v>0</v>
      </c>
      <c r="AO4" s="121">
        <v>0</v>
      </c>
      <c r="AP4" s="121">
        <v>0</v>
      </c>
      <c r="AQ4" s="121">
        <v>0</v>
      </c>
      <c r="AR4" s="121">
        <v>0</v>
      </c>
      <c r="AS4" s="121">
        <v>0</v>
      </c>
      <c r="AT4" s="122">
        <v>0</v>
      </c>
    </row>
    <row r="5" spans="2:46" ht="12" customHeight="1" x14ac:dyDescent="0.25">
      <c r="B5" s="120" t="s">
        <v>35</v>
      </c>
      <c r="C5" s="121" t="s">
        <v>36</v>
      </c>
      <c r="D5" s="121" t="s">
        <v>25</v>
      </c>
      <c r="E5" s="121" t="s">
        <v>25</v>
      </c>
      <c r="F5" s="121" t="s">
        <v>82</v>
      </c>
      <c r="G5" s="121" t="s">
        <v>37</v>
      </c>
      <c r="H5" s="121" t="s">
        <v>79</v>
      </c>
      <c r="I5" s="121" t="s">
        <v>25</v>
      </c>
      <c r="J5" s="121">
        <v>32.35</v>
      </c>
      <c r="K5" s="121">
        <v>0</v>
      </c>
      <c r="L5" s="121">
        <v>0</v>
      </c>
      <c r="M5" s="121">
        <v>0</v>
      </c>
      <c r="N5" s="121">
        <v>0</v>
      </c>
      <c r="O5" s="121">
        <v>0</v>
      </c>
      <c r="P5" s="121">
        <v>0</v>
      </c>
      <c r="Q5" s="121">
        <v>0</v>
      </c>
      <c r="R5" s="121">
        <v>0</v>
      </c>
      <c r="S5" s="121">
        <v>0</v>
      </c>
      <c r="T5" s="121">
        <v>0</v>
      </c>
      <c r="U5" s="121">
        <v>0</v>
      </c>
      <c r="V5" s="121">
        <v>0</v>
      </c>
      <c r="W5" s="121">
        <v>0</v>
      </c>
      <c r="X5" s="121">
        <v>32.793570992660797</v>
      </c>
      <c r="Y5" s="121">
        <v>0</v>
      </c>
      <c r="Z5" s="121">
        <v>0</v>
      </c>
      <c r="AA5" s="121">
        <v>23.6868777051425</v>
      </c>
      <c r="AB5" s="121">
        <v>0</v>
      </c>
      <c r="AC5" s="121">
        <v>-24.130448697803299</v>
      </c>
      <c r="AD5" s="121">
        <v>0</v>
      </c>
      <c r="AE5" s="121">
        <v>0</v>
      </c>
      <c r="AF5" s="121">
        <v>0</v>
      </c>
      <c r="AG5" s="121">
        <v>0</v>
      </c>
      <c r="AH5" s="121">
        <v>0</v>
      </c>
      <c r="AI5" s="121">
        <v>0</v>
      </c>
      <c r="AJ5" s="121">
        <v>0</v>
      </c>
      <c r="AK5" s="121">
        <v>0</v>
      </c>
      <c r="AL5" s="121">
        <v>0</v>
      </c>
      <c r="AM5" s="121">
        <v>0</v>
      </c>
      <c r="AN5" s="121">
        <v>0</v>
      </c>
      <c r="AO5" s="121">
        <v>0</v>
      </c>
      <c r="AP5" s="121">
        <v>0</v>
      </c>
      <c r="AQ5" s="121">
        <v>0</v>
      </c>
      <c r="AR5" s="121">
        <v>0</v>
      </c>
      <c r="AS5" s="121">
        <v>0</v>
      </c>
      <c r="AT5" s="122">
        <v>0</v>
      </c>
    </row>
    <row r="6" spans="2:46" ht="12" customHeight="1" x14ac:dyDescent="0.25">
      <c r="B6" s="120" t="s">
        <v>35</v>
      </c>
      <c r="C6" s="121" t="s">
        <v>36</v>
      </c>
      <c r="D6" s="121" t="s">
        <v>25</v>
      </c>
      <c r="E6" s="121" t="s">
        <v>25</v>
      </c>
      <c r="F6" s="121" t="s">
        <v>82</v>
      </c>
      <c r="G6" s="121" t="s">
        <v>38</v>
      </c>
      <c r="H6" s="121" t="s">
        <v>74</v>
      </c>
      <c r="I6" s="121" t="s">
        <v>25</v>
      </c>
      <c r="J6" s="121">
        <v>20.49</v>
      </c>
      <c r="K6" s="121">
        <v>0</v>
      </c>
      <c r="L6" s="121">
        <v>0</v>
      </c>
      <c r="M6" s="121">
        <v>0.287733830555433</v>
      </c>
      <c r="N6" s="121">
        <v>0.30485666410087597</v>
      </c>
      <c r="O6" s="121">
        <v>0</v>
      </c>
      <c r="P6" s="121">
        <v>0</v>
      </c>
      <c r="Q6" s="121">
        <v>0</v>
      </c>
      <c r="R6" s="121">
        <v>0</v>
      </c>
      <c r="S6" s="121">
        <v>0</v>
      </c>
      <c r="T6" s="121">
        <v>0</v>
      </c>
      <c r="U6" s="121">
        <v>0</v>
      </c>
      <c r="V6" s="121">
        <v>0</v>
      </c>
      <c r="W6" s="121">
        <v>0</v>
      </c>
      <c r="X6" s="121">
        <v>0</v>
      </c>
      <c r="Y6" s="121">
        <v>0</v>
      </c>
      <c r="Z6" s="121">
        <v>0</v>
      </c>
      <c r="AA6" s="121">
        <v>0</v>
      </c>
      <c r="AB6" s="121">
        <v>0</v>
      </c>
      <c r="AC6" s="121">
        <v>10.043729355028599</v>
      </c>
      <c r="AD6" s="121">
        <v>0</v>
      </c>
      <c r="AE6" s="121">
        <v>9.1873868143577795</v>
      </c>
      <c r="AF6" s="121">
        <v>0.198775777164345</v>
      </c>
      <c r="AG6" s="121">
        <v>0.223422210464642</v>
      </c>
      <c r="AH6" s="121">
        <v>0.244095348328356</v>
      </c>
      <c r="AI6" s="121">
        <v>0</v>
      </c>
      <c r="AJ6" s="121">
        <v>0</v>
      </c>
      <c r="AK6" s="121">
        <v>0</v>
      </c>
      <c r="AL6" s="121">
        <v>0</v>
      </c>
      <c r="AM6" s="121">
        <v>0</v>
      </c>
      <c r="AN6" s="121">
        <v>0</v>
      </c>
      <c r="AO6" s="121">
        <v>0</v>
      </c>
      <c r="AP6" s="121">
        <v>0</v>
      </c>
      <c r="AQ6" s="121">
        <v>0</v>
      </c>
      <c r="AR6" s="121">
        <v>0</v>
      </c>
      <c r="AS6" s="121">
        <v>0</v>
      </c>
      <c r="AT6" s="122">
        <v>0</v>
      </c>
    </row>
    <row r="7" spans="2:46" ht="12" customHeight="1" x14ac:dyDescent="0.25">
      <c r="B7" s="120" t="s">
        <v>35</v>
      </c>
      <c r="C7" s="121" t="s">
        <v>36</v>
      </c>
      <c r="D7" s="121" t="s">
        <v>25</v>
      </c>
      <c r="E7" s="121" t="s">
        <v>25</v>
      </c>
      <c r="F7" s="121" t="s">
        <v>82</v>
      </c>
      <c r="G7" s="121" t="s">
        <v>38</v>
      </c>
      <c r="H7" s="121" t="s">
        <v>79</v>
      </c>
      <c r="I7" s="121" t="s">
        <v>25</v>
      </c>
      <c r="J7" s="121">
        <v>15.64</v>
      </c>
      <c r="K7" s="121">
        <v>0</v>
      </c>
      <c r="L7" s="121">
        <v>0</v>
      </c>
      <c r="M7" s="121">
        <v>0</v>
      </c>
      <c r="N7" s="121">
        <v>0</v>
      </c>
      <c r="O7" s="121">
        <v>0</v>
      </c>
      <c r="P7" s="121">
        <v>0</v>
      </c>
      <c r="Q7" s="121">
        <v>0</v>
      </c>
      <c r="R7" s="121">
        <v>0</v>
      </c>
      <c r="S7" s="121">
        <v>0</v>
      </c>
      <c r="T7" s="121">
        <v>0</v>
      </c>
      <c r="U7" s="121">
        <v>0</v>
      </c>
      <c r="V7" s="121">
        <v>0</v>
      </c>
      <c r="W7" s="121">
        <v>0</v>
      </c>
      <c r="X7" s="121">
        <v>12.6519282790865</v>
      </c>
      <c r="Y7" s="121">
        <v>0</v>
      </c>
      <c r="Z7" s="121">
        <v>0</v>
      </c>
      <c r="AA7" s="121">
        <v>9.0818036097613497</v>
      </c>
      <c r="AB7" s="121">
        <v>0</v>
      </c>
      <c r="AC7" s="121">
        <v>-6.0937318888478602</v>
      </c>
      <c r="AD7" s="121">
        <v>0</v>
      </c>
      <c r="AE7" s="121">
        <v>0</v>
      </c>
      <c r="AF7" s="121">
        <v>0</v>
      </c>
      <c r="AG7" s="121">
        <v>0</v>
      </c>
      <c r="AH7" s="121">
        <v>0</v>
      </c>
      <c r="AI7" s="121">
        <v>0</v>
      </c>
      <c r="AJ7" s="121">
        <v>0</v>
      </c>
      <c r="AK7" s="121">
        <v>0</v>
      </c>
      <c r="AL7" s="121">
        <v>0</v>
      </c>
      <c r="AM7" s="121">
        <v>0</v>
      </c>
      <c r="AN7" s="121">
        <v>0</v>
      </c>
      <c r="AO7" s="121">
        <v>0</v>
      </c>
      <c r="AP7" s="121">
        <v>0</v>
      </c>
      <c r="AQ7" s="121">
        <v>0</v>
      </c>
      <c r="AR7" s="121">
        <v>0</v>
      </c>
      <c r="AS7" s="121">
        <v>0</v>
      </c>
      <c r="AT7" s="122">
        <v>0</v>
      </c>
    </row>
    <row r="8" spans="2:46" ht="12" customHeight="1" x14ac:dyDescent="0.25">
      <c r="B8" s="120" t="s">
        <v>35</v>
      </c>
      <c r="C8" s="121" t="s">
        <v>36</v>
      </c>
      <c r="D8" s="121" t="s">
        <v>25</v>
      </c>
      <c r="E8" s="121" t="s">
        <v>25</v>
      </c>
      <c r="F8" s="121" t="s">
        <v>25</v>
      </c>
      <c r="G8" s="121" t="s">
        <v>37</v>
      </c>
      <c r="H8" s="121" t="s">
        <v>74</v>
      </c>
      <c r="I8" s="121" t="s">
        <v>25</v>
      </c>
      <c r="J8" s="121">
        <v>126.25</v>
      </c>
      <c r="K8" s="121">
        <v>362.74</v>
      </c>
      <c r="L8" s="121">
        <v>0</v>
      </c>
      <c r="M8" s="121">
        <v>0.287733830555433</v>
      </c>
      <c r="N8" s="121">
        <v>0.31831496415620097</v>
      </c>
      <c r="O8" s="121">
        <v>0</v>
      </c>
      <c r="P8" s="121">
        <v>0</v>
      </c>
      <c r="Q8" s="121">
        <v>90.238638173600606</v>
      </c>
      <c r="R8" s="121">
        <v>17.1340532644966</v>
      </c>
      <c r="S8" s="121">
        <v>0</v>
      </c>
      <c r="T8" s="121">
        <v>0</v>
      </c>
      <c r="U8" s="121">
        <v>0</v>
      </c>
      <c r="V8" s="121">
        <v>0</v>
      </c>
      <c r="W8" s="121">
        <v>0</v>
      </c>
      <c r="X8" s="121">
        <v>0</v>
      </c>
      <c r="Y8" s="121">
        <v>0</v>
      </c>
      <c r="Z8" s="121">
        <v>0</v>
      </c>
      <c r="AA8" s="121">
        <v>0</v>
      </c>
      <c r="AB8" s="121">
        <v>0</v>
      </c>
      <c r="AC8" s="121">
        <v>8.4175796168759494</v>
      </c>
      <c r="AD8" s="121">
        <v>0</v>
      </c>
      <c r="AE8" s="121">
        <v>9.1873868143577795</v>
      </c>
      <c r="AF8" s="121">
        <v>0.198775777164345</v>
      </c>
      <c r="AG8" s="121">
        <v>0.223422210464642</v>
      </c>
      <c r="AH8" s="121">
        <v>0.244095348328356</v>
      </c>
      <c r="AI8" s="121">
        <v>0</v>
      </c>
      <c r="AJ8" s="121">
        <v>-12.592029417653601</v>
      </c>
      <c r="AK8" s="121">
        <v>2.2270651360016598</v>
      </c>
      <c r="AL8" s="121">
        <v>25.911657909847602</v>
      </c>
      <c r="AM8" s="121">
        <v>0</v>
      </c>
      <c r="AN8" s="121">
        <v>333.816134736371</v>
      </c>
      <c r="AO8" s="121">
        <v>5.1918287206524001</v>
      </c>
      <c r="AP8" s="121">
        <v>3.8603957966071301</v>
      </c>
      <c r="AQ8" s="121">
        <v>0</v>
      </c>
      <c r="AR8" s="121">
        <v>0</v>
      </c>
      <c r="AS8" s="121">
        <v>0</v>
      </c>
      <c r="AT8" s="122">
        <v>4.3209492633326398</v>
      </c>
    </row>
    <row r="9" spans="2:46" ht="12" customHeight="1" x14ac:dyDescent="0.25">
      <c r="B9" s="120" t="s">
        <v>35</v>
      </c>
      <c r="C9" s="121" t="s">
        <v>36</v>
      </c>
      <c r="D9" s="121" t="s">
        <v>25</v>
      </c>
      <c r="E9" s="121" t="s">
        <v>25</v>
      </c>
      <c r="F9" s="121" t="s">
        <v>25</v>
      </c>
      <c r="G9" s="121" t="s">
        <v>37</v>
      </c>
      <c r="H9" s="121" t="s">
        <v>79</v>
      </c>
      <c r="I9" s="121" t="s">
        <v>25</v>
      </c>
      <c r="J9" s="121">
        <v>32.35</v>
      </c>
      <c r="K9" s="121">
        <v>0</v>
      </c>
      <c r="L9" s="121">
        <v>0</v>
      </c>
      <c r="M9" s="121">
        <v>0</v>
      </c>
      <c r="N9" s="121">
        <v>0</v>
      </c>
      <c r="O9" s="121">
        <v>0</v>
      </c>
      <c r="P9" s="121">
        <v>0</v>
      </c>
      <c r="Q9" s="121">
        <v>0</v>
      </c>
      <c r="R9" s="121">
        <v>0</v>
      </c>
      <c r="S9" s="121">
        <v>0</v>
      </c>
      <c r="T9" s="121">
        <v>0</v>
      </c>
      <c r="U9" s="121">
        <v>0</v>
      </c>
      <c r="V9" s="121">
        <v>0</v>
      </c>
      <c r="W9" s="121">
        <v>0</v>
      </c>
      <c r="X9" s="121">
        <v>32.793570992660797</v>
      </c>
      <c r="Y9" s="121">
        <v>0</v>
      </c>
      <c r="Z9" s="121">
        <v>0</v>
      </c>
      <c r="AA9" s="121">
        <v>23.6868777051425</v>
      </c>
      <c r="AB9" s="121">
        <v>0</v>
      </c>
      <c r="AC9" s="121">
        <v>-24.130448697803299</v>
      </c>
      <c r="AD9" s="121">
        <v>0</v>
      </c>
      <c r="AE9" s="121">
        <v>0</v>
      </c>
      <c r="AF9" s="121">
        <v>0</v>
      </c>
      <c r="AG9" s="121">
        <v>0</v>
      </c>
      <c r="AH9" s="121">
        <v>0</v>
      </c>
      <c r="AI9" s="121">
        <v>0</v>
      </c>
      <c r="AJ9" s="121">
        <v>0</v>
      </c>
      <c r="AK9" s="121">
        <v>0</v>
      </c>
      <c r="AL9" s="121">
        <v>0</v>
      </c>
      <c r="AM9" s="121">
        <v>0</v>
      </c>
      <c r="AN9" s="121">
        <v>0</v>
      </c>
      <c r="AO9" s="121">
        <v>0</v>
      </c>
      <c r="AP9" s="121">
        <v>0</v>
      </c>
      <c r="AQ9" s="121">
        <v>0</v>
      </c>
      <c r="AR9" s="121">
        <v>0</v>
      </c>
      <c r="AS9" s="121">
        <v>0</v>
      </c>
      <c r="AT9" s="122">
        <v>0</v>
      </c>
    </row>
    <row r="10" spans="2:46" ht="12" customHeight="1" x14ac:dyDescent="0.25">
      <c r="B10" s="120" t="s">
        <v>35</v>
      </c>
      <c r="C10" s="121" t="s">
        <v>36</v>
      </c>
      <c r="D10" s="121" t="s">
        <v>25</v>
      </c>
      <c r="E10" s="121" t="s">
        <v>25</v>
      </c>
      <c r="F10" s="121" t="s">
        <v>25</v>
      </c>
      <c r="G10" s="121" t="s">
        <v>38</v>
      </c>
      <c r="H10" s="121" t="s">
        <v>74</v>
      </c>
      <c r="I10" s="121" t="s">
        <v>25</v>
      </c>
      <c r="J10" s="121">
        <v>126.25</v>
      </c>
      <c r="K10" s="121">
        <v>223</v>
      </c>
      <c r="L10" s="121">
        <v>0</v>
      </c>
      <c r="M10" s="121">
        <v>0.287733830555433</v>
      </c>
      <c r="N10" s="121">
        <v>0.31831496415620097</v>
      </c>
      <c r="O10" s="121">
        <v>0</v>
      </c>
      <c r="P10" s="121">
        <v>0</v>
      </c>
      <c r="Q10" s="121">
        <v>90.238638173600606</v>
      </c>
      <c r="R10" s="121">
        <v>17.1340532644966</v>
      </c>
      <c r="S10" s="121">
        <v>0</v>
      </c>
      <c r="T10" s="121">
        <v>0</v>
      </c>
      <c r="U10" s="121">
        <v>0</v>
      </c>
      <c r="V10" s="121">
        <v>0</v>
      </c>
      <c r="W10" s="121">
        <v>0</v>
      </c>
      <c r="X10" s="121">
        <v>0</v>
      </c>
      <c r="Y10" s="121">
        <v>0</v>
      </c>
      <c r="Z10" s="121">
        <v>0</v>
      </c>
      <c r="AA10" s="121">
        <v>0</v>
      </c>
      <c r="AB10" s="121">
        <v>0</v>
      </c>
      <c r="AC10" s="121">
        <v>8.4175796168759494</v>
      </c>
      <c r="AD10" s="121">
        <v>0</v>
      </c>
      <c r="AE10" s="121">
        <v>9.1873868143577795</v>
      </c>
      <c r="AF10" s="121">
        <v>0.198775777164345</v>
      </c>
      <c r="AG10" s="121">
        <v>0.223422210464642</v>
      </c>
      <c r="AH10" s="121">
        <v>0.244095348328356</v>
      </c>
      <c r="AI10" s="121">
        <v>0</v>
      </c>
      <c r="AJ10" s="121">
        <v>-12.592029417653601</v>
      </c>
      <c r="AK10" s="121">
        <v>2.2270651360016598</v>
      </c>
      <c r="AL10" s="121">
        <v>25.911657909847602</v>
      </c>
      <c r="AM10" s="121">
        <v>0</v>
      </c>
      <c r="AN10" s="121">
        <v>194.07914810254101</v>
      </c>
      <c r="AO10" s="121">
        <v>5.1918287206524001</v>
      </c>
      <c r="AP10" s="121">
        <v>3.8603957966071301</v>
      </c>
      <c r="AQ10" s="121">
        <v>0</v>
      </c>
      <c r="AR10" s="121">
        <v>0</v>
      </c>
      <c r="AS10" s="121">
        <v>0</v>
      </c>
      <c r="AT10" s="122">
        <v>4.3209492633326398</v>
      </c>
    </row>
    <row r="11" spans="2:46" ht="12" customHeight="1" x14ac:dyDescent="0.25">
      <c r="B11" s="120" t="s">
        <v>35</v>
      </c>
      <c r="C11" s="121" t="s">
        <v>36</v>
      </c>
      <c r="D11" s="121" t="s">
        <v>25</v>
      </c>
      <c r="E11" s="121" t="s">
        <v>25</v>
      </c>
      <c r="F11" s="121" t="s">
        <v>25</v>
      </c>
      <c r="G11" s="121" t="s">
        <v>38</v>
      </c>
      <c r="H11" s="121" t="s">
        <v>79</v>
      </c>
      <c r="I11" s="121" t="s">
        <v>25</v>
      </c>
      <c r="J11" s="121">
        <v>15.64</v>
      </c>
      <c r="K11" s="121">
        <v>0</v>
      </c>
      <c r="L11" s="121">
        <v>0</v>
      </c>
      <c r="M11" s="121">
        <v>0</v>
      </c>
      <c r="N11" s="121">
        <v>0</v>
      </c>
      <c r="O11" s="121">
        <v>0</v>
      </c>
      <c r="P11" s="121">
        <v>0</v>
      </c>
      <c r="Q11" s="121">
        <v>0</v>
      </c>
      <c r="R11" s="121">
        <v>0</v>
      </c>
      <c r="S11" s="121">
        <v>0</v>
      </c>
      <c r="T11" s="121">
        <v>0</v>
      </c>
      <c r="U11" s="121">
        <v>0</v>
      </c>
      <c r="V11" s="121">
        <v>0</v>
      </c>
      <c r="W11" s="121">
        <v>0</v>
      </c>
      <c r="X11" s="121">
        <v>12.6519282790865</v>
      </c>
      <c r="Y11" s="121">
        <v>0</v>
      </c>
      <c r="Z11" s="121">
        <v>0</v>
      </c>
      <c r="AA11" s="121">
        <v>9.0818036097613497</v>
      </c>
      <c r="AB11" s="121">
        <v>0</v>
      </c>
      <c r="AC11" s="121">
        <v>-6.0937318888478602</v>
      </c>
      <c r="AD11" s="121">
        <v>0</v>
      </c>
      <c r="AE11" s="121">
        <v>0</v>
      </c>
      <c r="AF11" s="121">
        <v>0</v>
      </c>
      <c r="AG11" s="121">
        <v>0</v>
      </c>
      <c r="AH11" s="121">
        <v>0</v>
      </c>
      <c r="AI11" s="121">
        <v>0</v>
      </c>
      <c r="AJ11" s="121">
        <v>0</v>
      </c>
      <c r="AK11" s="121">
        <v>0</v>
      </c>
      <c r="AL11" s="121">
        <v>0</v>
      </c>
      <c r="AM11" s="121">
        <v>0</v>
      </c>
      <c r="AN11" s="121">
        <v>0</v>
      </c>
      <c r="AO11" s="121">
        <v>0</v>
      </c>
      <c r="AP11" s="121">
        <v>0</v>
      </c>
      <c r="AQ11" s="121">
        <v>0</v>
      </c>
      <c r="AR11" s="121">
        <v>0</v>
      </c>
      <c r="AS11" s="121">
        <v>0</v>
      </c>
      <c r="AT11" s="122">
        <v>0</v>
      </c>
    </row>
    <row r="12" spans="2:46" ht="12" customHeight="1" x14ac:dyDescent="0.25">
      <c r="B12" s="120" t="s">
        <v>35</v>
      </c>
      <c r="C12" s="121" t="s">
        <v>23</v>
      </c>
      <c r="D12" s="121" t="s">
        <v>25</v>
      </c>
      <c r="E12" s="121" t="s">
        <v>25</v>
      </c>
      <c r="F12" s="121" t="s">
        <v>25</v>
      </c>
      <c r="G12" s="121" t="s">
        <v>25</v>
      </c>
      <c r="H12" s="121" t="s">
        <v>74</v>
      </c>
      <c r="I12" s="121" t="s">
        <v>25</v>
      </c>
      <c r="J12" s="121">
        <v>0</v>
      </c>
      <c r="K12" s="121">
        <v>234.64</v>
      </c>
      <c r="L12" s="121">
        <v>0</v>
      </c>
      <c r="M12" s="121">
        <v>0</v>
      </c>
      <c r="N12" s="121">
        <v>0</v>
      </c>
      <c r="O12" s="121">
        <v>0</v>
      </c>
      <c r="P12" s="121">
        <v>0</v>
      </c>
      <c r="Q12" s="121">
        <v>0</v>
      </c>
      <c r="R12" s="121">
        <v>0</v>
      </c>
      <c r="S12" s="121">
        <v>0</v>
      </c>
      <c r="T12" s="121">
        <v>0</v>
      </c>
      <c r="U12" s="121">
        <v>0</v>
      </c>
      <c r="V12" s="121">
        <v>0</v>
      </c>
      <c r="W12" s="121">
        <v>0</v>
      </c>
      <c r="X12" s="121">
        <v>0</v>
      </c>
      <c r="Y12" s="121">
        <v>0</v>
      </c>
      <c r="Z12" s="121">
        <v>0</v>
      </c>
      <c r="AA12" s="121">
        <v>0</v>
      </c>
      <c r="AB12" s="121">
        <v>0</v>
      </c>
      <c r="AC12" s="121">
        <v>0</v>
      </c>
      <c r="AD12" s="121">
        <v>0</v>
      </c>
      <c r="AE12" s="121">
        <v>0</v>
      </c>
      <c r="AF12" s="121">
        <v>0</v>
      </c>
      <c r="AG12" s="121">
        <v>0</v>
      </c>
      <c r="AH12" s="121">
        <v>0</v>
      </c>
      <c r="AI12" s="121">
        <v>0</v>
      </c>
      <c r="AJ12" s="121">
        <v>-12.592029417653601</v>
      </c>
      <c r="AK12" s="121">
        <v>2.2270651360016598</v>
      </c>
      <c r="AL12" s="121">
        <v>25.911657909847602</v>
      </c>
      <c r="AM12" s="121">
        <v>0</v>
      </c>
      <c r="AN12" s="121">
        <v>205.72389698869401</v>
      </c>
      <c r="AO12" s="121">
        <v>5.1918287206524001</v>
      </c>
      <c r="AP12" s="121">
        <v>3.8603957966071301</v>
      </c>
      <c r="AQ12" s="121">
        <v>0</v>
      </c>
      <c r="AR12" s="121">
        <v>0</v>
      </c>
      <c r="AS12" s="121">
        <v>0</v>
      </c>
      <c r="AT12" s="122">
        <v>4.3209492633326398</v>
      </c>
    </row>
    <row r="13" spans="2:46" ht="12" customHeight="1" x14ac:dyDescent="0.25">
      <c r="B13" s="120" t="s">
        <v>35</v>
      </c>
      <c r="C13" s="121" t="s">
        <v>83</v>
      </c>
      <c r="D13" s="121" t="s">
        <v>25</v>
      </c>
      <c r="E13" s="121" t="s">
        <v>25</v>
      </c>
      <c r="F13" s="121" t="s">
        <v>25</v>
      </c>
      <c r="G13" s="121" t="s">
        <v>25</v>
      </c>
      <c r="H13" s="121" t="s">
        <v>79</v>
      </c>
      <c r="I13" s="121" t="s">
        <v>25</v>
      </c>
      <c r="J13" s="121">
        <v>9.07</v>
      </c>
      <c r="K13" s="121">
        <v>0</v>
      </c>
      <c r="L13" s="121">
        <v>0</v>
      </c>
      <c r="M13" s="121">
        <v>3.4725958126292901E-2</v>
      </c>
      <c r="N13" s="121">
        <v>0.118163874485752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8.9121750016793602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2">
        <v>0</v>
      </c>
    </row>
    <row r="14" spans="2:46" ht="12" customHeight="1" x14ac:dyDescent="0.25">
      <c r="B14" s="120" t="s">
        <v>35</v>
      </c>
      <c r="C14" s="121" t="s">
        <v>39</v>
      </c>
      <c r="D14" s="121" t="s">
        <v>25</v>
      </c>
      <c r="E14" s="121" t="s">
        <v>25</v>
      </c>
      <c r="F14" s="121" t="s">
        <v>82</v>
      </c>
      <c r="G14" s="121" t="s">
        <v>37</v>
      </c>
      <c r="H14" s="121" t="s">
        <v>74</v>
      </c>
      <c r="I14" s="121" t="s">
        <v>25</v>
      </c>
      <c r="J14" s="121">
        <v>806.08</v>
      </c>
      <c r="K14" s="121">
        <v>0</v>
      </c>
      <c r="L14" s="121">
        <v>0</v>
      </c>
      <c r="M14" s="121">
        <v>0.287733830555433</v>
      </c>
      <c r="N14" s="121">
        <v>17.102928086254899</v>
      </c>
      <c r="O14" s="121">
        <v>0</v>
      </c>
      <c r="P14" s="121">
        <v>0</v>
      </c>
      <c r="Q14" s="121">
        <v>0</v>
      </c>
      <c r="R14" s="121">
        <v>0</v>
      </c>
      <c r="S14" s="121">
        <v>0</v>
      </c>
      <c r="T14" s="121">
        <v>0</v>
      </c>
      <c r="U14" s="121">
        <v>0</v>
      </c>
      <c r="V14" s="121">
        <v>0</v>
      </c>
      <c r="W14" s="121">
        <v>0</v>
      </c>
      <c r="X14" s="121">
        <v>788.68627523261796</v>
      </c>
      <c r="Y14" s="121">
        <v>0</v>
      </c>
      <c r="Z14" s="121">
        <v>0</v>
      </c>
      <c r="AA14" s="121">
        <v>569.66910317154395</v>
      </c>
      <c r="AB14" s="121">
        <v>0</v>
      </c>
      <c r="AC14" s="121">
        <v>-579.519720471288</v>
      </c>
      <c r="AD14" s="121">
        <v>0</v>
      </c>
      <c r="AE14" s="121">
        <v>9.1873868143577795</v>
      </c>
      <c r="AF14" s="121">
        <v>0.198775777164345</v>
      </c>
      <c r="AG14" s="121">
        <v>0.223422210464642</v>
      </c>
      <c r="AH14" s="121">
        <v>0.244095348328356</v>
      </c>
      <c r="AI14" s="121">
        <v>0</v>
      </c>
      <c r="AJ14" s="121">
        <v>0</v>
      </c>
      <c r="AK14" s="121">
        <v>0</v>
      </c>
      <c r="AL14" s="121">
        <v>0</v>
      </c>
      <c r="AM14" s="121">
        <v>0</v>
      </c>
      <c r="AN14" s="121">
        <v>0</v>
      </c>
      <c r="AO14" s="121">
        <v>0</v>
      </c>
      <c r="AP14" s="121">
        <v>0</v>
      </c>
      <c r="AQ14" s="121">
        <v>0</v>
      </c>
      <c r="AR14" s="121">
        <v>0</v>
      </c>
      <c r="AS14" s="121">
        <v>0</v>
      </c>
      <c r="AT14" s="122">
        <v>0</v>
      </c>
    </row>
    <row r="15" spans="2:46" ht="12" customHeight="1" x14ac:dyDescent="0.25">
      <c r="B15" s="120" t="s">
        <v>35</v>
      </c>
      <c r="C15" s="121" t="s">
        <v>39</v>
      </c>
      <c r="D15" s="121" t="s">
        <v>25</v>
      </c>
      <c r="E15" s="121" t="s">
        <v>25</v>
      </c>
      <c r="F15" s="121" t="s">
        <v>82</v>
      </c>
      <c r="G15" s="121" t="s">
        <v>25</v>
      </c>
      <c r="H15" s="121" t="s">
        <v>79</v>
      </c>
      <c r="I15" s="121" t="s">
        <v>25</v>
      </c>
      <c r="J15" s="121">
        <v>15.64</v>
      </c>
      <c r="K15" s="121">
        <v>0</v>
      </c>
      <c r="L15" s="121">
        <v>0</v>
      </c>
      <c r="M15" s="121">
        <v>0</v>
      </c>
      <c r="N15" s="121">
        <v>0</v>
      </c>
      <c r="O15" s="121">
        <v>0</v>
      </c>
      <c r="P15" s="121">
        <v>0</v>
      </c>
      <c r="Q15" s="121">
        <v>0</v>
      </c>
      <c r="R15" s="121">
        <v>0</v>
      </c>
      <c r="S15" s="121">
        <v>0</v>
      </c>
      <c r="T15" s="121">
        <v>0</v>
      </c>
      <c r="U15" s="121">
        <v>0</v>
      </c>
      <c r="V15" s="121">
        <v>0</v>
      </c>
      <c r="W15" s="121">
        <v>0</v>
      </c>
      <c r="X15" s="121">
        <v>12.6519282790865</v>
      </c>
      <c r="Y15" s="121">
        <v>0</v>
      </c>
      <c r="Z15" s="121">
        <v>0</v>
      </c>
      <c r="AA15" s="121">
        <v>9.0818036097613497</v>
      </c>
      <c r="AB15" s="121">
        <v>0</v>
      </c>
      <c r="AC15" s="121">
        <v>-6.0937318888478602</v>
      </c>
      <c r="AD15" s="121">
        <v>0</v>
      </c>
      <c r="AE15" s="121">
        <v>0</v>
      </c>
      <c r="AF15" s="121">
        <v>0</v>
      </c>
      <c r="AG15" s="121">
        <v>0</v>
      </c>
      <c r="AH15" s="121">
        <v>0</v>
      </c>
      <c r="AI15" s="121">
        <v>0</v>
      </c>
      <c r="AJ15" s="121">
        <v>0</v>
      </c>
      <c r="AK15" s="121">
        <v>0</v>
      </c>
      <c r="AL15" s="121">
        <v>0</v>
      </c>
      <c r="AM15" s="121">
        <v>0</v>
      </c>
      <c r="AN15" s="121">
        <v>0</v>
      </c>
      <c r="AO15" s="121">
        <v>0</v>
      </c>
      <c r="AP15" s="121">
        <v>0</v>
      </c>
      <c r="AQ15" s="121">
        <v>0</v>
      </c>
      <c r="AR15" s="121">
        <v>0</v>
      </c>
      <c r="AS15" s="121">
        <v>0</v>
      </c>
      <c r="AT15" s="122">
        <v>0</v>
      </c>
    </row>
    <row r="16" spans="2:46" ht="12" customHeight="1" x14ac:dyDescent="0.25">
      <c r="B16" s="120" t="s">
        <v>35</v>
      </c>
      <c r="C16" s="121" t="s">
        <v>39</v>
      </c>
      <c r="D16" s="121" t="s">
        <v>25</v>
      </c>
      <c r="E16" s="121" t="s">
        <v>25</v>
      </c>
      <c r="F16" s="121" t="s">
        <v>82</v>
      </c>
      <c r="G16" s="121" t="s">
        <v>38</v>
      </c>
      <c r="H16" s="121" t="s">
        <v>74</v>
      </c>
      <c r="I16" s="121" t="s">
        <v>25</v>
      </c>
      <c r="J16" s="121">
        <v>20.49</v>
      </c>
      <c r="K16" s="121">
        <v>0</v>
      </c>
      <c r="L16" s="121">
        <v>0</v>
      </c>
      <c r="M16" s="121">
        <v>0.287733830555433</v>
      </c>
      <c r="N16" s="121">
        <v>0.30485666410087597</v>
      </c>
      <c r="O16" s="121">
        <v>0</v>
      </c>
      <c r="P16" s="121">
        <v>0</v>
      </c>
      <c r="Q16" s="121">
        <v>0</v>
      </c>
      <c r="R16" s="121">
        <v>0</v>
      </c>
      <c r="S16" s="121">
        <v>0</v>
      </c>
      <c r="T16" s="121">
        <v>0</v>
      </c>
      <c r="U16" s="121">
        <v>0</v>
      </c>
      <c r="V16" s="121">
        <v>0</v>
      </c>
      <c r="W16" s="121">
        <v>0</v>
      </c>
      <c r="X16" s="121">
        <v>0</v>
      </c>
      <c r="Y16" s="121">
        <v>0</v>
      </c>
      <c r="Z16" s="121">
        <v>0</v>
      </c>
      <c r="AA16" s="121">
        <v>0</v>
      </c>
      <c r="AB16" s="121">
        <v>0</v>
      </c>
      <c r="AC16" s="121">
        <v>10.043729355028599</v>
      </c>
      <c r="AD16" s="121">
        <v>0</v>
      </c>
      <c r="AE16" s="121">
        <v>9.1873868143577795</v>
      </c>
      <c r="AF16" s="121">
        <v>0.198775777164345</v>
      </c>
      <c r="AG16" s="121">
        <v>0.223422210464642</v>
      </c>
      <c r="AH16" s="121">
        <v>0.244095348328356</v>
      </c>
      <c r="AI16" s="121">
        <v>0</v>
      </c>
      <c r="AJ16" s="121">
        <v>0</v>
      </c>
      <c r="AK16" s="121">
        <v>0</v>
      </c>
      <c r="AL16" s="121">
        <v>0</v>
      </c>
      <c r="AM16" s="121">
        <v>0</v>
      </c>
      <c r="AN16" s="121">
        <v>0</v>
      </c>
      <c r="AO16" s="121">
        <v>0</v>
      </c>
      <c r="AP16" s="121">
        <v>0</v>
      </c>
      <c r="AQ16" s="121">
        <v>0</v>
      </c>
      <c r="AR16" s="121">
        <v>0</v>
      </c>
      <c r="AS16" s="121">
        <v>0</v>
      </c>
      <c r="AT16" s="122">
        <v>0</v>
      </c>
    </row>
    <row r="17" spans="2:46" ht="12" customHeight="1" x14ac:dyDescent="0.25">
      <c r="B17" s="120" t="s">
        <v>35</v>
      </c>
      <c r="C17" s="121" t="s">
        <v>39</v>
      </c>
      <c r="D17" s="121" t="s">
        <v>25</v>
      </c>
      <c r="E17" s="121" t="s">
        <v>25</v>
      </c>
      <c r="F17" s="121" t="s">
        <v>25</v>
      </c>
      <c r="G17" s="121" t="s">
        <v>37</v>
      </c>
      <c r="H17" s="121" t="s">
        <v>74</v>
      </c>
      <c r="I17" s="121" t="s">
        <v>25</v>
      </c>
      <c r="J17" s="121">
        <v>911.84</v>
      </c>
      <c r="K17" s="121">
        <v>362.74</v>
      </c>
      <c r="L17" s="121">
        <v>0</v>
      </c>
      <c r="M17" s="121">
        <v>0.287733830555433</v>
      </c>
      <c r="N17" s="121">
        <v>17.1163863863102</v>
      </c>
      <c r="O17" s="121">
        <v>0</v>
      </c>
      <c r="P17" s="121">
        <v>0</v>
      </c>
      <c r="Q17" s="121">
        <v>90.238638173600606</v>
      </c>
      <c r="R17" s="121">
        <v>17.1340532644966</v>
      </c>
      <c r="S17" s="121">
        <v>0</v>
      </c>
      <c r="T17" s="121">
        <v>0</v>
      </c>
      <c r="U17" s="121">
        <v>0</v>
      </c>
      <c r="V17" s="121">
        <v>0</v>
      </c>
      <c r="W17" s="121">
        <v>0</v>
      </c>
      <c r="X17" s="121">
        <v>788.68627523261796</v>
      </c>
      <c r="Y17" s="121">
        <v>0</v>
      </c>
      <c r="Z17" s="121">
        <v>0</v>
      </c>
      <c r="AA17" s="121">
        <v>569.66910317154395</v>
      </c>
      <c r="AB17" s="121">
        <v>0</v>
      </c>
      <c r="AC17" s="121">
        <v>-581.14587020943998</v>
      </c>
      <c r="AD17" s="121">
        <v>0</v>
      </c>
      <c r="AE17" s="121">
        <v>9.1873868143577795</v>
      </c>
      <c r="AF17" s="121">
        <v>0.198775777164345</v>
      </c>
      <c r="AG17" s="121">
        <v>0.223422210464642</v>
      </c>
      <c r="AH17" s="121">
        <v>0.244095348328356</v>
      </c>
      <c r="AI17" s="121">
        <v>0</v>
      </c>
      <c r="AJ17" s="121">
        <v>-12.592029417653601</v>
      </c>
      <c r="AK17" s="121">
        <v>2.2270651360016598</v>
      </c>
      <c r="AL17" s="121">
        <v>25.911657909847602</v>
      </c>
      <c r="AM17" s="121">
        <v>0</v>
      </c>
      <c r="AN17" s="121">
        <v>333.816134736371</v>
      </c>
      <c r="AO17" s="121">
        <v>5.1918287206524001</v>
      </c>
      <c r="AP17" s="121">
        <v>3.8603957966071301</v>
      </c>
      <c r="AQ17" s="121">
        <v>0</v>
      </c>
      <c r="AR17" s="121">
        <v>0</v>
      </c>
      <c r="AS17" s="121">
        <v>0</v>
      </c>
      <c r="AT17" s="122">
        <v>4.3209492633326398</v>
      </c>
    </row>
    <row r="18" spans="2:46" ht="12" customHeight="1" x14ac:dyDescent="0.25">
      <c r="B18" s="120" t="s">
        <v>35</v>
      </c>
      <c r="C18" s="121" t="s">
        <v>39</v>
      </c>
      <c r="D18" s="121" t="s">
        <v>25</v>
      </c>
      <c r="E18" s="121" t="s">
        <v>25</v>
      </c>
      <c r="F18" s="121" t="s">
        <v>25</v>
      </c>
      <c r="G18" s="121" t="s">
        <v>25</v>
      </c>
      <c r="H18" s="121" t="s">
        <v>79</v>
      </c>
      <c r="I18" s="121" t="s">
        <v>25</v>
      </c>
      <c r="J18" s="121">
        <v>15.64</v>
      </c>
      <c r="K18" s="121">
        <v>0</v>
      </c>
      <c r="L18" s="121">
        <v>0</v>
      </c>
      <c r="M18" s="121">
        <v>0</v>
      </c>
      <c r="N18" s="121">
        <v>0</v>
      </c>
      <c r="O18" s="121">
        <v>0</v>
      </c>
      <c r="P18" s="121">
        <v>0</v>
      </c>
      <c r="Q18" s="121">
        <v>0</v>
      </c>
      <c r="R18" s="121">
        <v>0</v>
      </c>
      <c r="S18" s="121">
        <v>0</v>
      </c>
      <c r="T18" s="121">
        <v>0</v>
      </c>
      <c r="U18" s="121">
        <v>0</v>
      </c>
      <c r="V18" s="121">
        <v>0</v>
      </c>
      <c r="W18" s="121">
        <v>0</v>
      </c>
      <c r="X18" s="121">
        <v>12.6519282790865</v>
      </c>
      <c r="Y18" s="121">
        <v>0</v>
      </c>
      <c r="Z18" s="121">
        <v>0</v>
      </c>
      <c r="AA18" s="121">
        <v>9.0818036097613497</v>
      </c>
      <c r="AB18" s="121">
        <v>0</v>
      </c>
      <c r="AC18" s="121">
        <v>-6.0937318888478602</v>
      </c>
      <c r="AD18" s="121">
        <v>0</v>
      </c>
      <c r="AE18" s="121">
        <v>0</v>
      </c>
      <c r="AF18" s="121">
        <v>0</v>
      </c>
      <c r="AG18" s="121">
        <v>0</v>
      </c>
      <c r="AH18" s="121">
        <v>0</v>
      </c>
      <c r="AI18" s="121">
        <v>0</v>
      </c>
      <c r="AJ18" s="121">
        <v>0</v>
      </c>
      <c r="AK18" s="121">
        <v>0</v>
      </c>
      <c r="AL18" s="121">
        <v>0</v>
      </c>
      <c r="AM18" s="121">
        <v>0</v>
      </c>
      <c r="AN18" s="121">
        <v>0</v>
      </c>
      <c r="AO18" s="121">
        <v>0</v>
      </c>
      <c r="AP18" s="121">
        <v>0</v>
      </c>
      <c r="AQ18" s="121">
        <v>0</v>
      </c>
      <c r="AR18" s="121">
        <v>0</v>
      </c>
      <c r="AS18" s="121">
        <v>0</v>
      </c>
      <c r="AT18" s="122">
        <v>0</v>
      </c>
    </row>
    <row r="19" spans="2:46" ht="12" customHeight="1" x14ac:dyDescent="0.25">
      <c r="B19" s="120" t="s">
        <v>35</v>
      </c>
      <c r="C19" s="121" t="s">
        <v>39</v>
      </c>
      <c r="D19" s="121" t="s">
        <v>25</v>
      </c>
      <c r="E19" s="121" t="s">
        <v>25</v>
      </c>
      <c r="F19" s="121" t="s">
        <v>25</v>
      </c>
      <c r="G19" s="121" t="s">
        <v>38</v>
      </c>
      <c r="H19" s="121" t="s">
        <v>74</v>
      </c>
      <c r="I19" s="121" t="s">
        <v>25</v>
      </c>
      <c r="J19" s="121">
        <v>126.25</v>
      </c>
      <c r="K19" s="121">
        <v>223</v>
      </c>
      <c r="L19" s="121">
        <v>0</v>
      </c>
      <c r="M19" s="121">
        <v>0.287733830555433</v>
      </c>
      <c r="N19" s="121">
        <v>0.31831496415620097</v>
      </c>
      <c r="O19" s="121">
        <v>0</v>
      </c>
      <c r="P19" s="121">
        <v>0</v>
      </c>
      <c r="Q19" s="121">
        <v>90.238638173600606</v>
      </c>
      <c r="R19" s="121">
        <v>17.1340532644966</v>
      </c>
      <c r="S19" s="121">
        <v>0</v>
      </c>
      <c r="T19" s="121">
        <v>0</v>
      </c>
      <c r="U19" s="121">
        <v>0</v>
      </c>
      <c r="V19" s="121">
        <v>0</v>
      </c>
      <c r="W19" s="121">
        <v>0</v>
      </c>
      <c r="X19" s="121">
        <v>0</v>
      </c>
      <c r="Y19" s="121">
        <v>0</v>
      </c>
      <c r="Z19" s="121">
        <v>0</v>
      </c>
      <c r="AA19" s="121">
        <v>0</v>
      </c>
      <c r="AB19" s="121">
        <v>0</v>
      </c>
      <c r="AC19" s="121">
        <v>8.4175796168759494</v>
      </c>
      <c r="AD19" s="121">
        <v>0</v>
      </c>
      <c r="AE19" s="121">
        <v>9.1873868143577795</v>
      </c>
      <c r="AF19" s="121">
        <v>0.198775777164345</v>
      </c>
      <c r="AG19" s="121">
        <v>0.223422210464642</v>
      </c>
      <c r="AH19" s="121">
        <v>0.244095348328356</v>
      </c>
      <c r="AI19" s="121">
        <v>0</v>
      </c>
      <c r="AJ19" s="121">
        <v>-12.592029417653601</v>
      </c>
      <c r="AK19" s="121">
        <v>2.2270651360016598</v>
      </c>
      <c r="AL19" s="121">
        <v>25.911657909847602</v>
      </c>
      <c r="AM19" s="121">
        <v>0</v>
      </c>
      <c r="AN19" s="121">
        <v>194.07914810254101</v>
      </c>
      <c r="AO19" s="121">
        <v>5.1918287206524001</v>
      </c>
      <c r="AP19" s="121">
        <v>3.8603957966071301</v>
      </c>
      <c r="AQ19" s="121">
        <v>0</v>
      </c>
      <c r="AR19" s="121">
        <v>0</v>
      </c>
      <c r="AS19" s="121">
        <v>0</v>
      </c>
      <c r="AT19" s="122">
        <v>4.3209492633326398</v>
      </c>
    </row>
    <row r="20" spans="2:46" ht="12" customHeight="1" x14ac:dyDescent="0.25">
      <c r="B20" s="120" t="s">
        <v>84</v>
      </c>
      <c r="C20" s="121" t="s">
        <v>83</v>
      </c>
      <c r="D20" s="121" t="s">
        <v>25</v>
      </c>
      <c r="E20" s="121" t="s">
        <v>25</v>
      </c>
      <c r="F20" s="121" t="s">
        <v>85</v>
      </c>
      <c r="G20" s="121" t="s">
        <v>25</v>
      </c>
      <c r="H20" s="121" t="s">
        <v>79</v>
      </c>
      <c r="I20" s="121" t="s">
        <v>25</v>
      </c>
      <c r="J20" s="121">
        <v>9.2100000000000009</v>
      </c>
      <c r="K20" s="121">
        <v>0</v>
      </c>
      <c r="L20" s="121">
        <v>0</v>
      </c>
      <c r="M20" s="121">
        <v>3.5222043242382803E-2</v>
      </c>
      <c r="N20" s="121">
        <v>0.120048036493497</v>
      </c>
      <c r="O20" s="121">
        <v>0</v>
      </c>
      <c r="P20" s="121">
        <v>0</v>
      </c>
      <c r="Q20" s="121">
        <v>0</v>
      </c>
      <c r="R20" s="121">
        <v>0</v>
      </c>
      <c r="S20" s="121">
        <v>0</v>
      </c>
      <c r="T20" s="121">
        <v>0</v>
      </c>
      <c r="U20" s="121">
        <v>0</v>
      </c>
      <c r="V20" s="121">
        <v>0</v>
      </c>
      <c r="W20" s="121">
        <v>0</v>
      </c>
      <c r="X20" s="121">
        <v>0</v>
      </c>
      <c r="Y20" s="121">
        <v>0</v>
      </c>
      <c r="Z20" s="121">
        <v>0</v>
      </c>
      <c r="AA20" s="121">
        <v>9.0508323804178499</v>
      </c>
      <c r="AB20" s="121">
        <v>0</v>
      </c>
      <c r="AC20" s="121">
        <v>0</v>
      </c>
      <c r="AD20" s="121">
        <v>0</v>
      </c>
      <c r="AE20" s="121">
        <v>0</v>
      </c>
      <c r="AF20" s="121">
        <v>0</v>
      </c>
      <c r="AG20" s="121">
        <v>0</v>
      </c>
      <c r="AH20" s="121">
        <v>0</v>
      </c>
      <c r="AI20" s="121">
        <v>0</v>
      </c>
      <c r="AJ20" s="121">
        <v>0</v>
      </c>
      <c r="AK20" s="121">
        <v>0</v>
      </c>
      <c r="AL20" s="121">
        <v>0</v>
      </c>
      <c r="AM20" s="121">
        <v>0</v>
      </c>
      <c r="AN20" s="121">
        <v>0</v>
      </c>
      <c r="AO20" s="121">
        <v>0</v>
      </c>
      <c r="AP20" s="121">
        <v>0</v>
      </c>
      <c r="AQ20" s="121">
        <v>0</v>
      </c>
      <c r="AR20" s="121">
        <v>0</v>
      </c>
      <c r="AS20" s="121">
        <v>0</v>
      </c>
      <c r="AT20" s="122">
        <v>0</v>
      </c>
    </row>
    <row r="21" spans="2:46" ht="12" customHeight="1" x14ac:dyDescent="0.25">
      <c r="B21" s="120" t="s">
        <v>84</v>
      </c>
      <c r="C21" s="121" t="s">
        <v>83</v>
      </c>
      <c r="D21" s="121" t="s">
        <v>25</v>
      </c>
      <c r="E21" s="121" t="s">
        <v>25</v>
      </c>
      <c r="F21" s="121" t="s">
        <v>86</v>
      </c>
      <c r="G21" s="121" t="s">
        <v>25</v>
      </c>
      <c r="H21" s="121" t="s">
        <v>79</v>
      </c>
      <c r="I21" s="121" t="s">
        <v>25</v>
      </c>
      <c r="J21" s="121">
        <v>14.58</v>
      </c>
      <c r="K21" s="121">
        <v>0</v>
      </c>
      <c r="L21" s="121">
        <v>0</v>
      </c>
      <c r="M21" s="121">
        <v>3.5222043242382803E-2</v>
      </c>
      <c r="N21" s="121">
        <v>0.120048036493497</v>
      </c>
      <c r="O21" s="121">
        <v>0</v>
      </c>
      <c r="P21" s="121">
        <v>0</v>
      </c>
      <c r="Q21" s="121">
        <v>0</v>
      </c>
      <c r="R21" s="121">
        <v>0</v>
      </c>
      <c r="S21" s="121">
        <v>0</v>
      </c>
      <c r="T21" s="121">
        <v>0</v>
      </c>
      <c r="U21" s="121">
        <v>0</v>
      </c>
      <c r="V21" s="121">
        <v>0</v>
      </c>
      <c r="W21" s="121">
        <v>0</v>
      </c>
      <c r="X21" s="121">
        <v>0</v>
      </c>
      <c r="Y21" s="121">
        <v>0</v>
      </c>
      <c r="Z21" s="121">
        <v>0</v>
      </c>
      <c r="AA21" s="121">
        <v>14.4197561145396</v>
      </c>
      <c r="AB21" s="121">
        <v>0</v>
      </c>
      <c r="AC21" s="121">
        <v>0</v>
      </c>
      <c r="AD21" s="121">
        <v>0</v>
      </c>
      <c r="AE21" s="121">
        <v>0</v>
      </c>
      <c r="AF21" s="121">
        <v>0</v>
      </c>
      <c r="AG21" s="121">
        <v>0</v>
      </c>
      <c r="AH21" s="121">
        <v>0</v>
      </c>
      <c r="AI21" s="121">
        <v>0</v>
      </c>
      <c r="AJ21" s="121">
        <v>0</v>
      </c>
      <c r="AK21" s="121">
        <v>0</v>
      </c>
      <c r="AL21" s="121">
        <v>0</v>
      </c>
      <c r="AM21" s="121">
        <v>0</v>
      </c>
      <c r="AN21" s="121">
        <v>0</v>
      </c>
      <c r="AO21" s="121">
        <v>0</v>
      </c>
      <c r="AP21" s="121">
        <v>0</v>
      </c>
      <c r="AQ21" s="121">
        <v>0</v>
      </c>
      <c r="AR21" s="121">
        <v>0</v>
      </c>
      <c r="AS21" s="121">
        <v>0</v>
      </c>
      <c r="AT21" s="122">
        <v>0</v>
      </c>
    </row>
    <row r="22" spans="2:46" ht="12" customHeight="1" x14ac:dyDescent="0.25">
      <c r="B22" s="120" t="s">
        <v>22</v>
      </c>
      <c r="C22" s="121" t="s">
        <v>50</v>
      </c>
      <c r="D22" s="121" t="s">
        <v>24</v>
      </c>
      <c r="E22" s="121" t="s">
        <v>24</v>
      </c>
      <c r="F22" s="121" t="s">
        <v>25</v>
      </c>
      <c r="G22" s="121" t="s">
        <v>37</v>
      </c>
      <c r="H22" s="121" t="s">
        <v>74</v>
      </c>
      <c r="I22" s="121" t="s">
        <v>25</v>
      </c>
      <c r="J22" s="121">
        <v>571.59</v>
      </c>
      <c r="K22" s="121">
        <v>399.84</v>
      </c>
      <c r="L22" s="121">
        <v>0</v>
      </c>
      <c r="M22" s="121">
        <v>0.76436358080272804</v>
      </c>
      <c r="N22" s="121">
        <v>10.291006397442001</v>
      </c>
      <c r="O22" s="121">
        <v>0</v>
      </c>
      <c r="P22" s="121">
        <v>0</v>
      </c>
      <c r="Q22" s="121">
        <v>107.426950206667</v>
      </c>
      <c r="R22" s="121">
        <v>17.1340532644966</v>
      </c>
      <c r="S22" s="121">
        <v>0</v>
      </c>
      <c r="T22" s="121">
        <v>0</v>
      </c>
      <c r="U22" s="121">
        <v>0</v>
      </c>
      <c r="V22" s="121">
        <v>0</v>
      </c>
      <c r="W22" s="121">
        <v>0</v>
      </c>
      <c r="X22" s="121">
        <v>293.933230571688</v>
      </c>
      <c r="Y22" s="121">
        <v>0</v>
      </c>
      <c r="Z22" s="121">
        <v>0</v>
      </c>
      <c r="AA22" s="121">
        <v>468.39766589623702</v>
      </c>
      <c r="AB22" s="121">
        <v>0</v>
      </c>
      <c r="AC22" s="121">
        <v>-347.10441393314198</v>
      </c>
      <c r="AD22" s="121">
        <v>0</v>
      </c>
      <c r="AE22" s="121">
        <v>19.6117834383071</v>
      </c>
      <c r="AF22" s="121">
        <v>0.42431515873872799</v>
      </c>
      <c r="AG22" s="121">
        <v>0.339801866716745</v>
      </c>
      <c r="AH22" s="121">
        <v>0.37124355204593901</v>
      </c>
      <c r="AI22" s="121">
        <v>0</v>
      </c>
      <c r="AJ22" s="121">
        <v>-12.592029417653601</v>
      </c>
      <c r="AK22" s="121">
        <v>2.2270651360016598</v>
      </c>
      <c r="AL22" s="121">
        <v>25.911657909847602</v>
      </c>
      <c r="AM22" s="121">
        <v>0</v>
      </c>
      <c r="AN22" s="121">
        <v>333.816134736371</v>
      </c>
      <c r="AO22" s="121">
        <v>5.1918287206524001</v>
      </c>
      <c r="AP22" s="121">
        <v>3.8603957966071301</v>
      </c>
      <c r="AQ22" s="121">
        <v>0</v>
      </c>
      <c r="AR22" s="121">
        <v>0</v>
      </c>
      <c r="AS22" s="121">
        <v>37.103997854841097</v>
      </c>
      <c r="AT22" s="122">
        <v>4.3209492633326398</v>
      </c>
    </row>
    <row r="23" spans="2:46" ht="12" customHeight="1" x14ac:dyDescent="0.25">
      <c r="B23" s="120" t="s">
        <v>22</v>
      </c>
      <c r="C23" s="121" t="s">
        <v>50</v>
      </c>
      <c r="D23" s="121" t="s">
        <v>24</v>
      </c>
      <c r="E23" s="121" t="s">
        <v>24</v>
      </c>
      <c r="F23" s="121" t="s">
        <v>25</v>
      </c>
      <c r="G23" s="121" t="s">
        <v>51</v>
      </c>
      <c r="H23" s="121" t="s">
        <v>74</v>
      </c>
      <c r="I23" s="121" t="s">
        <v>25</v>
      </c>
      <c r="J23" s="121">
        <v>405.71</v>
      </c>
      <c r="K23" s="121">
        <v>250.04</v>
      </c>
      <c r="L23" s="121">
        <v>0</v>
      </c>
      <c r="M23" s="121">
        <v>0.76436358080272804</v>
      </c>
      <c r="N23" s="121">
        <v>6.4336530354250598</v>
      </c>
      <c r="O23" s="121">
        <v>0</v>
      </c>
      <c r="P23" s="121">
        <v>0</v>
      </c>
      <c r="Q23" s="121">
        <v>107.426950206667</v>
      </c>
      <c r="R23" s="121">
        <v>17.1340532644966</v>
      </c>
      <c r="S23" s="121">
        <v>0</v>
      </c>
      <c r="T23" s="121">
        <v>0</v>
      </c>
      <c r="U23" s="121">
        <v>0</v>
      </c>
      <c r="V23" s="121">
        <v>0</v>
      </c>
      <c r="W23" s="121">
        <v>0</v>
      </c>
      <c r="X23" s="121">
        <v>176.359938343013</v>
      </c>
      <c r="Y23" s="121">
        <v>0</v>
      </c>
      <c r="Z23" s="121">
        <v>0</v>
      </c>
      <c r="AA23" s="121">
        <v>281.03864028935999</v>
      </c>
      <c r="AB23" s="121">
        <v>0</v>
      </c>
      <c r="AC23" s="121">
        <v>-204.19474273557299</v>
      </c>
      <c r="AD23" s="121">
        <v>0</v>
      </c>
      <c r="AE23" s="121">
        <v>19.6117834383071</v>
      </c>
      <c r="AF23" s="121">
        <v>0.42431515873872799</v>
      </c>
      <c r="AG23" s="121">
        <v>0.339801866716745</v>
      </c>
      <c r="AH23" s="121">
        <v>0.37124355204593901</v>
      </c>
      <c r="AI23" s="121">
        <v>0</v>
      </c>
      <c r="AJ23" s="121">
        <v>-12.592029417653601</v>
      </c>
      <c r="AK23" s="121">
        <v>2.2270651360016598</v>
      </c>
      <c r="AL23" s="121">
        <v>25.911657909847602</v>
      </c>
      <c r="AM23" s="121">
        <v>0</v>
      </c>
      <c r="AN23" s="121">
        <v>194.07914810254101</v>
      </c>
      <c r="AO23" s="121">
        <v>5.1918287206524001</v>
      </c>
      <c r="AP23" s="121">
        <v>3.8603957966071301</v>
      </c>
      <c r="AQ23" s="121">
        <v>0</v>
      </c>
      <c r="AR23" s="121">
        <v>0</v>
      </c>
      <c r="AS23" s="121">
        <v>27.040984488670901</v>
      </c>
      <c r="AT23" s="122">
        <v>4.3209492633326398</v>
      </c>
    </row>
    <row r="24" spans="2:46" ht="12" customHeight="1" x14ac:dyDescent="0.25">
      <c r="B24" s="120" t="s">
        <v>22</v>
      </c>
      <c r="C24" s="121" t="s">
        <v>50</v>
      </c>
      <c r="D24" s="121" t="s">
        <v>24</v>
      </c>
      <c r="E24" s="121" t="s">
        <v>24</v>
      </c>
      <c r="F24" s="121" t="s">
        <v>25</v>
      </c>
      <c r="G24" s="121" t="s">
        <v>38</v>
      </c>
      <c r="H24" s="121" t="s">
        <v>74</v>
      </c>
      <c r="I24" s="121" t="s">
        <v>25</v>
      </c>
      <c r="J24" s="121">
        <v>239.83</v>
      </c>
      <c r="K24" s="121">
        <v>250.04</v>
      </c>
      <c r="L24" s="121">
        <v>0</v>
      </c>
      <c r="M24" s="121">
        <v>0.76436358080272804</v>
      </c>
      <c r="N24" s="121">
        <v>2.5762983275781299</v>
      </c>
      <c r="O24" s="121">
        <v>0</v>
      </c>
      <c r="P24" s="121">
        <v>0</v>
      </c>
      <c r="Q24" s="121">
        <v>107.426950206667</v>
      </c>
      <c r="R24" s="121">
        <v>17.1340532644966</v>
      </c>
      <c r="S24" s="121">
        <v>0</v>
      </c>
      <c r="T24" s="121">
        <v>0</v>
      </c>
      <c r="U24" s="121">
        <v>0</v>
      </c>
      <c r="V24" s="121">
        <v>0</v>
      </c>
      <c r="W24" s="121">
        <v>0</v>
      </c>
      <c r="X24" s="121">
        <v>58.7866461143376</v>
      </c>
      <c r="Y24" s="121">
        <v>0</v>
      </c>
      <c r="Z24" s="121">
        <v>0</v>
      </c>
      <c r="AA24" s="121">
        <v>93.679512803438598</v>
      </c>
      <c r="AB24" s="121">
        <v>0</v>
      </c>
      <c r="AC24" s="121">
        <v>-61.284968313129703</v>
      </c>
      <c r="AD24" s="121">
        <v>0</v>
      </c>
      <c r="AE24" s="121">
        <v>19.6117834383071</v>
      </c>
      <c r="AF24" s="121">
        <v>0.42431515873872799</v>
      </c>
      <c r="AG24" s="121">
        <v>0.339801866716745</v>
      </c>
      <c r="AH24" s="121">
        <v>0.37124355204593901</v>
      </c>
      <c r="AI24" s="121">
        <v>0</v>
      </c>
      <c r="AJ24" s="121">
        <v>-12.592029417653601</v>
      </c>
      <c r="AK24" s="121">
        <v>2.2270651360016598</v>
      </c>
      <c r="AL24" s="121">
        <v>25.911657909847602</v>
      </c>
      <c r="AM24" s="121">
        <v>0</v>
      </c>
      <c r="AN24" s="121">
        <v>194.07914810254101</v>
      </c>
      <c r="AO24" s="121">
        <v>5.1918287206524001</v>
      </c>
      <c r="AP24" s="121">
        <v>3.8603957966071301</v>
      </c>
      <c r="AQ24" s="121">
        <v>0</v>
      </c>
      <c r="AR24" s="121">
        <v>0</v>
      </c>
      <c r="AS24" s="121">
        <v>27.040984488670901</v>
      </c>
      <c r="AT24" s="122">
        <v>4.3209492633326398</v>
      </c>
    </row>
    <row r="25" spans="2:46" ht="12" customHeight="1" x14ac:dyDescent="0.25">
      <c r="B25" s="120" t="s">
        <v>22</v>
      </c>
      <c r="C25" s="121" t="s">
        <v>23</v>
      </c>
      <c r="D25" s="121" t="s">
        <v>24</v>
      </c>
      <c r="E25" s="121" t="s">
        <v>1284</v>
      </c>
      <c r="F25" s="121" t="s">
        <v>25</v>
      </c>
      <c r="G25" s="121" t="s">
        <v>25</v>
      </c>
      <c r="H25" s="121" t="s">
        <v>74</v>
      </c>
      <c r="I25" s="121" t="s">
        <v>25</v>
      </c>
      <c r="J25" s="121">
        <v>187.78</v>
      </c>
      <c r="K25" s="121">
        <v>262.52999999999997</v>
      </c>
      <c r="L25" s="121">
        <v>0</v>
      </c>
      <c r="M25" s="121">
        <v>0.76436358080272804</v>
      </c>
      <c r="N25" s="121">
        <v>4.0178074256939302</v>
      </c>
      <c r="O25" s="121">
        <v>0</v>
      </c>
      <c r="P25" s="121">
        <v>0</v>
      </c>
      <c r="Q25" s="121">
        <v>0</v>
      </c>
      <c r="R25" s="121">
        <v>0</v>
      </c>
      <c r="S25" s="121">
        <v>0</v>
      </c>
      <c r="T25" s="121">
        <v>0</v>
      </c>
      <c r="U25" s="121">
        <v>0</v>
      </c>
      <c r="V25" s="121">
        <v>0</v>
      </c>
      <c r="W25" s="121">
        <v>0</v>
      </c>
      <c r="X25" s="121">
        <v>103.13450100717201</v>
      </c>
      <c r="Y25" s="121">
        <v>0</v>
      </c>
      <c r="Z25" s="121">
        <v>0</v>
      </c>
      <c r="AA25" s="121">
        <v>164.350051059799</v>
      </c>
      <c r="AB25" s="121">
        <v>0</v>
      </c>
      <c r="AC25" s="121">
        <v>-105.233867089276</v>
      </c>
      <c r="AD25" s="121">
        <v>0</v>
      </c>
      <c r="AE25" s="121">
        <v>19.6117834383071</v>
      </c>
      <c r="AF25" s="121">
        <v>0.42431515873872799</v>
      </c>
      <c r="AG25" s="121">
        <v>0.339801866716745</v>
      </c>
      <c r="AH25" s="121">
        <v>0.37124355204593901</v>
      </c>
      <c r="AI25" s="121">
        <v>0</v>
      </c>
      <c r="AJ25" s="121">
        <v>-12.592029417653601</v>
      </c>
      <c r="AK25" s="121">
        <v>2.2270651360016598</v>
      </c>
      <c r="AL25" s="121">
        <v>25.911657909847602</v>
      </c>
      <c r="AM25" s="121">
        <v>0</v>
      </c>
      <c r="AN25" s="121">
        <v>205.72389698869401</v>
      </c>
      <c r="AO25" s="121">
        <v>5.1918287206524001</v>
      </c>
      <c r="AP25" s="121">
        <v>3.8603957966071301</v>
      </c>
      <c r="AQ25" s="121">
        <v>0</v>
      </c>
      <c r="AR25" s="121">
        <v>0</v>
      </c>
      <c r="AS25" s="121">
        <v>27.886235602518401</v>
      </c>
      <c r="AT25" s="122">
        <v>4.3209492633326398</v>
      </c>
    </row>
    <row r="26" spans="2:46" ht="12" customHeight="1" x14ac:dyDescent="0.25">
      <c r="B26" s="120" t="s">
        <v>22</v>
      </c>
      <c r="C26" s="121" t="s">
        <v>23</v>
      </c>
      <c r="D26" s="121" t="s">
        <v>24</v>
      </c>
      <c r="E26" s="121" t="s">
        <v>24</v>
      </c>
      <c r="F26" s="121" t="s">
        <v>25</v>
      </c>
      <c r="G26" s="121" t="s">
        <v>25</v>
      </c>
      <c r="H26" s="121" t="s">
        <v>74</v>
      </c>
      <c r="I26" s="121" t="s">
        <v>25</v>
      </c>
      <c r="J26" s="121">
        <v>310.49</v>
      </c>
      <c r="K26" s="121">
        <v>262.52999999999997</v>
      </c>
      <c r="L26" s="121">
        <v>0</v>
      </c>
      <c r="M26" s="121">
        <v>0.76436358080272804</v>
      </c>
      <c r="N26" s="121">
        <v>4.0312657257492504</v>
      </c>
      <c r="O26" s="121">
        <v>0</v>
      </c>
      <c r="P26" s="121">
        <v>0</v>
      </c>
      <c r="Q26" s="121">
        <v>107.426950206667</v>
      </c>
      <c r="R26" s="121">
        <v>17.1340532644966</v>
      </c>
      <c r="S26" s="121">
        <v>0</v>
      </c>
      <c r="T26" s="121">
        <v>0</v>
      </c>
      <c r="U26" s="121">
        <v>0</v>
      </c>
      <c r="V26" s="121">
        <v>0</v>
      </c>
      <c r="W26" s="121">
        <v>0</v>
      </c>
      <c r="X26" s="121">
        <v>103.13450100717201</v>
      </c>
      <c r="Y26" s="121">
        <v>0</v>
      </c>
      <c r="Z26" s="121">
        <v>0</v>
      </c>
      <c r="AA26" s="121">
        <v>164.350051059799</v>
      </c>
      <c r="AB26" s="121">
        <v>0</v>
      </c>
      <c r="AC26" s="121">
        <v>-107.098328860495</v>
      </c>
      <c r="AD26" s="121">
        <v>0</v>
      </c>
      <c r="AE26" s="121">
        <v>19.6117834383071</v>
      </c>
      <c r="AF26" s="121">
        <v>0.42431515873872799</v>
      </c>
      <c r="AG26" s="121">
        <v>0.339801866716745</v>
      </c>
      <c r="AH26" s="121">
        <v>0.37124355204593901</v>
      </c>
      <c r="AI26" s="121">
        <v>0</v>
      </c>
      <c r="AJ26" s="121">
        <v>-12.592029417653601</v>
      </c>
      <c r="AK26" s="121">
        <v>2.2270651360016598</v>
      </c>
      <c r="AL26" s="121">
        <v>25.911657909847602</v>
      </c>
      <c r="AM26" s="121">
        <v>0</v>
      </c>
      <c r="AN26" s="121">
        <v>205.72389698869401</v>
      </c>
      <c r="AO26" s="121">
        <v>5.1918287206524001</v>
      </c>
      <c r="AP26" s="121">
        <v>3.8603957966071301</v>
      </c>
      <c r="AQ26" s="121">
        <v>0</v>
      </c>
      <c r="AR26" s="121">
        <v>0</v>
      </c>
      <c r="AS26" s="121">
        <v>27.886235602518401</v>
      </c>
      <c r="AT26" s="122">
        <v>4.3209492633326398</v>
      </c>
    </row>
    <row r="27" spans="2:46" ht="12" customHeight="1" x14ac:dyDescent="0.25">
      <c r="B27" s="120" t="s">
        <v>22</v>
      </c>
      <c r="C27" s="121" t="s">
        <v>89</v>
      </c>
      <c r="D27" s="121" t="s">
        <v>24</v>
      </c>
      <c r="E27" s="121" t="s">
        <v>1284</v>
      </c>
      <c r="F27" s="121" t="s">
        <v>25</v>
      </c>
      <c r="G27" s="121" t="s">
        <v>25</v>
      </c>
      <c r="H27" s="121" t="s">
        <v>74</v>
      </c>
      <c r="I27" s="121" t="s">
        <v>25</v>
      </c>
      <c r="J27" s="121">
        <v>187.78</v>
      </c>
      <c r="K27" s="121">
        <v>262.52999999999997</v>
      </c>
      <c r="L27" s="121">
        <v>0</v>
      </c>
      <c r="M27" s="121">
        <v>0.76436358080272804</v>
      </c>
      <c r="N27" s="121">
        <v>4.0178074256939302</v>
      </c>
      <c r="O27" s="121">
        <v>0</v>
      </c>
      <c r="P27" s="121">
        <v>0</v>
      </c>
      <c r="Q27" s="121">
        <v>0</v>
      </c>
      <c r="R27" s="121">
        <v>0</v>
      </c>
      <c r="S27" s="121">
        <v>0</v>
      </c>
      <c r="T27" s="121">
        <v>0</v>
      </c>
      <c r="U27" s="121">
        <v>0</v>
      </c>
      <c r="V27" s="121">
        <v>0</v>
      </c>
      <c r="W27" s="121">
        <v>0</v>
      </c>
      <c r="X27" s="121">
        <v>103.13450100717201</v>
      </c>
      <c r="Y27" s="121">
        <v>0</v>
      </c>
      <c r="Z27" s="121">
        <v>0</v>
      </c>
      <c r="AA27" s="121">
        <v>164.350051059799</v>
      </c>
      <c r="AB27" s="121">
        <v>0</v>
      </c>
      <c r="AC27" s="121">
        <v>-105.233867089276</v>
      </c>
      <c r="AD27" s="121">
        <v>0</v>
      </c>
      <c r="AE27" s="121">
        <v>19.6117834383071</v>
      </c>
      <c r="AF27" s="121">
        <v>0.42431515873872799</v>
      </c>
      <c r="AG27" s="121">
        <v>0.339801866716745</v>
      </c>
      <c r="AH27" s="121">
        <v>0.37124355204593901</v>
      </c>
      <c r="AI27" s="121">
        <v>0</v>
      </c>
      <c r="AJ27" s="121">
        <v>-12.592029417653601</v>
      </c>
      <c r="AK27" s="121">
        <v>2.2270651360016598</v>
      </c>
      <c r="AL27" s="121">
        <v>25.911657909847602</v>
      </c>
      <c r="AM27" s="121">
        <v>0</v>
      </c>
      <c r="AN27" s="121">
        <v>205.72389698869401</v>
      </c>
      <c r="AO27" s="121">
        <v>5.1918287206524001</v>
      </c>
      <c r="AP27" s="121">
        <v>3.8603957966071301</v>
      </c>
      <c r="AQ27" s="121">
        <v>0</v>
      </c>
      <c r="AR27" s="121">
        <v>0</v>
      </c>
      <c r="AS27" s="121">
        <v>27.886235602518401</v>
      </c>
      <c r="AT27" s="122">
        <v>4.3209492633326398</v>
      </c>
    </row>
    <row r="28" spans="2:46" ht="12" customHeight="1" x14ac:dyDescent="0.25">
      <c r="B28" s="120" t="s">
        <v>22</v>
      </c>
      <c r="C28" s="121" t="s">
        <v>89</v>
      </c>
      <c r="D28" s="121" t="s">
        <v>24</v>
      </c>
      <c r="E28" s="121" t="s">
        <v>24</v>
      </c>
      <c r="F28" s="121" t="s">
        <v>25</v>
      </c>
      <c r="G28" s="121" t="s">
        <v>25</v>
      </c>
      <c r="H28" s="121" t="s">
        <v>74</v>
      </c>
      <c r="I28" s="121" t="s">
        <v>25</v>
      </c>
      <c r="J28" s="121">
        <v>310.49</v>
      </c>
      <c r="K28" s="121">
        <v>262.52999999999997</v>
      </c>
      <c r="L28" s="121">
        <v>0</v>
      </c>
      <c r="M28" s="121">
        <v>0.76436358080272804</v>
      </c>
      <c r="N28" s="121">
        <v>4.0312657257492504</v>
      </c>
      <c r="O28" s="121">
        <v>0</v>
      </c>
      <c r="P28" s="121">
        <v>0</v>
      </c>
      <c r="Q28" s="121">
        <v>107.426950206667</v>
      </c>
      <c r="R28" s="121">
        <v>17.1340532644966</v>
      </c>
      <c r="S28" s="121">
        <v>0</v>
      </c>
      <c r="T28" s="121">
        <v>0</v>
      </c>
      <c r="U28" s="121">
        <v>0</v>
      </c>
      <c r="V28" s="121">
        <v>0</v>
      </c>
      <c r="W28" s="121">
        <v>0</v>
      </c>
      <c r="X28" s="121">
        <v>103.13450100717201</v>
      </c>
      <c r="Y28" s="121">
        <v>0</v>
      </c>
      <c r="Z28" s="121">
        <v>0</v>
      </c>
      <c r="AA28" s="121">
        <v>164.350051059799</v>
      </c>
      <c r="AB28" s="121">
        <v>0</v>
      </c>
      <c r="AC28" s="121">
        <v>-107.098328860495</v>
      </c>
      <c r="AD28" s="121">
        <v>0</v>
      </c>
      <c r="AE28" s="121">
        <v>19.6117834383071</v>
      </c>
      <c r="AF28" s="121">
        <v>0.42431515873872799</v>
      </c>
      <c r="AG28" s="121">
        <v>0.339801866716745</v>
      </c>
      <c r="AH28" s="121">
        <v>0.37124355204593901</v>
      </c>
      <c r="AI28" s="121">
        <v>0</v>
      </c>
      <c r="AJ28" s="121">
        <v>-12.592029417653601</v>
      </c>
      <c r="AK28" s="121">
        <v>2.2270651360016598</v>
      </c>
      <c r="AL28" s="121">
        <v>25.911657909847602</v>
      </c>
      <c r="AM28" s="121">
        <v>0</v>
      </c>
      <c r="AN28" s="121">
        <v>205.72389698869401</v>
      </c>
      <c r="AO28" s="121">
        <v>5.1918287206524001</v>
      </c>
      <c r="AP28" s="121">
        <v>3.8603957966071301</v>
      </c>
      <c r="AQ28" s="121">
        <v>0</v>
      </c>
      <c r="AR28" s="121">
        <v>0</v>
      </c>
      <c r="AS28" s="121">
        <v>27.886235602518401</v>
      </c>
      <c r="AT28" s="122">
        <v>4.3209492633326398</v>
      </c>
    </row>
    <row r="29" spans="2:46" ht="12" customHeight="1" x14ac:dyDescent="0.25">
      <c r="B29" s="120" t="s">
        <v>41</v>
      </c>
      <c r="C29" s="121" t="s">
        <v>50</v>
      </c>
      <c r="D29" s="121" t="s">
        <v>42</v>
      </c>
      <c r="E29" s="121" t="s">
        <v>90</v>
      </c>
      <c r="F29" s="121" t="s">
        <v>25</v>
      </c>
      <c r="G29" s="121" t="s">
        <v>37</v>
      </c>
      <c r="H29" s="121" t="s">
        <v>74</v>
      </c>
      <c r="I29" s="121" t="s">
        <v>25</v>
      </c>
      <c r="J29" s="121">
        <v>573.39</v>
      </c>
      <c r="K29" s="121">
        <v>375.85</v>
      </c>
      <c r="L29" s="121">
        <v>0</v>
      </c>
      <c r="M29" s="121">
        <v>0.71850176595456405</v>
      </c>
      <c r="N29" s="121">
        <v>10.468702055932599</v>
      </c>
      <c r="O29" s="121">
        <v>0</v>
      </c>
      <c r="P29" s="121">
        <v>0</v>
      </c>
      <c r="Q29" s="121">
        <v>100.98133319426699</v>
      </c>
      <c r="R29" s="121">
        <v>16.106010068626802</v>
      </c>
      <c r="S29" s="121">
        <v>0</v>
      </c>
      <c r="T29" s="121">
        <v>0</v>
      </c>
      <c r="U29" s="121">
        <v>0</v>
      </c>
      <c r="V29" s="121">
        <v>0</v>
      </c>
      <c r="W29" s="121">
        <v>0</v>
      </c>
      <c r="X29" s="121">
        <v>300.53381757382903</v>
      </c>
      <c r="Y29" s="121">
        <v>0</v>
      </c>
      <c r="Z29" s="121">
        <v>0</v>
      </c>
      <c r="AA29" s="121">
        <v>478.916067941515</v>
      </c>
      <c r="AB29" s="121">
        <v>0</v>
      </c>
      <c r="AC29" s="121">
        <v>-353.83614797498598</v>
      </c>
      <c r="AD29" s="121">
        <v>0</v>
      </c>
      <c r="AE29" s="121">
        <v>18.435076432008699</v>
      </c>
      <c r="AF29" s="121">
        <v>0.39885624921440499</v>
      </c>
      <c r="AG29" s="121">
        <v>0.31941375471374001</v>
      </c>
      <c r="AH29" s="121">
        <v>0.34896893892318298</v>
      </c>
      <c r="AI29" s="121">
        <v>0</v>
      </c>
      <c r="AJ29" s="121">
        <v>-11.836507652594401</v>
      </c>
      <c r="AK29" s="121">
        <v>2.0934412278415602</v>
      </c>
      <c r="AL29" s="121">
        <v>24.3569584352568</v>
      </c>
      <c r="AM29" s="121">
        <v>0</v>
      </c>
      <c r="AN29" s="121">
        <v>313.787166652189</v>
      </c>
      <c r="AO29" s="121">
        <v>4.8803189974132604</v>
      </c>
      <c r="AP29" s="121">
        <v>3.6287720488107</v>
      </c>
      <c r="AQ29" s="121">
        <v>0</v>
      </c>
      <c r="AR29" s="121">
        <v>0</v>
      </c>
      <c r="AS29" s="121">
        <v>34.877757983550602</v>
      </c>
      <c r="AT29" s="122">
        <v>4.0616923075326801</v>
      </c>
    </row>
    <row r="30" spans="2:46" ht="12" customHeight="1" x14ac:dyDescent="0.25">
      <c r="B30" s="120" t="s">
        <v>41</v>
      </c>
      <c r="C30" s="121" t="s">
        <v>50</v>
      </c>
      <c r="D30" s="121" t="s">
        <v>42</v>
      </c>
      <c r="E30" s="121" t="s">
        <v>90</v>
      </c>
      <c r="F30" s="121" t="s">
        <v>25</v>
      </c>
      <c r="G30" s="121" t="s">
        <v>51</v>
      </c>
      <c r="H30" s="121" t="s">
        <v>74</v>
      </c>
      <c r="I30" s="121" t="s">
        <v>25</v>
      </c>
      <c r="J30" s="121">
        <v>403.03</v>
      </c>
      <c r="K30" s="121">
        <v>235.04</v>
      </c>
      <c r="L30" s="121">
        <v>0</v>
      </c>
      <c r="M30" s="121">
        <v>0.71850176595456405</v>
      </c>
      <c r="N30" s="121">
        <v>6.52472722568581</v>
      </c>
      <c r="O30" s="121">
        <v>0</v>
      </c>
      <c r="P30" s="121">
        <v>0</v>
      </c>
      <c r="Q30" s="121">
        <v>100.98133319426699</v>
      </c>
      <c r="R30" s="121">
        <v>16.106010068626802</v>
      </c>
      <c r="S30" s="121">
        <v>0</v>
      </c>
      <c r="T30" s="121">
        <v>0</v>
      </c>
      <c r="U30" s="121">
        <v>0</v>
      </c>
      <c r="V30" s="121">
        <v>0</v>
      </c>
      <c r="W30" s="121">
        <v>0</v>
      </c>
      <c r="X30" s="121">
        <v>180.32029054429699</v>
      </c>
      <c r="Y30" s="121">
        <v>0</v>
      </c>
      <c r="Z30" s="121">
        <v>0</v>
      </c>
      <c r="AA30" s="121">
        <v>287.34965991817</v>
      </c>
      <c r="AB30" s="121">
        <v>0</v>
      </c>
      <c r="AC30" s="121">
        <v>-208.468438091862</v>
      </c>
      <c r="AD30" s="121">
        <v>0</v>
      </c>
      <c r="AE30" s="121">
        <v>18.435076432008699</v>
      </c>
      <c r="AF30" s="121">
        <v>0.39885624921440499</v>
      </c>
      <c r="AG30" s="121">
        <v>0.31941375471374001</v>
      </c>
      <c r="AH30" s="121">
        <v>0.34896893892318298</v>
      </c>
      <c r="AI30" s="121">
        <v>0</v>
      </c>
      <c r="AJ30" s="121">
        <v>-11.836507652594401</v>
      </c>
      <c r="AK30" s="121">
        <v>2.0934412278415602</v>
      </c>
      <c r="AL30" s="121">
        <v>24.3569584352568</v>
      </c>
      <c r="AM30" s="121">
        <v>0</v>
      </c>
      <c r="AN30" s="121">
        <v>182.43439921638901</v>
      </c>
      <c r="AO30" s="121">
        <v>4.8803189974132604</v>
      </c>
      <c r="AP30" s="121">
        <v>3.6287720488107</v>
      </c>
      <c r="AQ30" s="121">
        <v>0</v>
      </c>
      <c r="AR30" s="121">
        <v>0</v>
      </c>
      <c r="AS30" s="121">
        <v>25.418525419350601</v>
      </c>
      <c r="AT30" s="122">
        <v>4.0616923075326801</v>
      </c>
    </row>
    <row r="31" spans="2:46" ht="12" customHeight="1" x14ac:dyDescent="0.25">
      <c r="B31" s="120" t="s">
        <v>41</v>
      </c>
      <c r="C31" s="121" t="s">
        <v>50</v>
      </c>
      <c r="D31" s="121" t="s">
        <v>42</v>
      </c>
      <c r="E31" s="121" t="s">
        <v>90</v>
      </c>
      <c r="F31" s="121" t="s">
        <v>25</v>
      </c>
      <c r="G31" s="121" t="s">
        <v>38</v>
      </c>
      <c r="H31" s="121" t="s">
        <v>74</v>
      </c>
      <c r="I31" s="121" t="s">
        <v>25</v>
      </c>
      <c r="J31" s="121">
        <v>232.66</v>
      </c>
      <c r="K31" s="121">
        <v>235.04</v>
      </c>
      <c r="L31" s="121">
        <v>0</v>
      </c>
      <c r="M31" s="121">
        <v>0.71850176595456405</v>
      </c>
      <c r="N31" s="121">
        <v>2.5807523954389899</v>
      </c>
      <c r="O31" s="121">
        <v>0</v>
      </c>
      <c r="P31" s="121">
        <v>0</v>
      </c>
      <c r="Q31" s="121">
        <v>100.98133319426699</v>
      </c>
      <c r="R31" s="121">
        <v>16.106010068626802</v>
      </c>
      <c r="S31" s="121">
        <v>0</v>
      </c>
      <c r="T31" s="121">
        <v>0</v>
      </c>
      <c r="U31" s="121">
        <v>0</v>
      </c>
      <c r="V31" s="121">
        <v>0</v>
      </c>
      <c r="W31" s="121">
        <v>0</v>
      </c>
      <c r="X31" s="121">
        <v>60.106763514765802</v>
      </c>
      <c r="Y31" s="121">
        <v>0</v>
      </c>
      <c r="Z31" s="121">
        <v>0</v>
      </c>
      <c r="AA31" s="121">
        <v>95.783251894823593</v>
      </c>
      <c r="AB31" s="121">
        <v>0</v>
      </c>
      <c r="AC31" s="121">
        <v>-63.1195282087373</v>
      </c>
      <c r="AD31" s="121">
        <v>0</v>
      </c>
      <c r="AE31" s="121">
        <v>18.435076432008699</v>
      </c>
      <c r="AF31" s="121">
        <v>0.39885624921440499</v>
      </c>
      <c r="AG31" s="121">
        <v>0.31941375471374001</v>
      </c>
      <c r="AH31" s="121">
        <v>0.34896893892318298</v>
      </c>
      <c r="AI31" s="121">
        <v>0</v>
      </c>
      <c r="AJ31" s="121">
        <v>-11.836507652594401</v>
      </c>
      <c r="AK31" s="121">
        <v>2.0934412278415602</v>
      </c>
      <c r="AL31" s="121">
        <v>24.3569584352568</v>
      </c>
      <c r="AM31" s="121">
        <v>0</v>
      </c>
      <c r="AN31" s="121">
        <v>182.43439921638901</v>
      </c>
      <c r="AO31" s="121">
        <v>4.8803189974132604</v>
      </c>
      <c r="AP31" s="121">
        <v>3.6287720488107</v>
      </c>
      <c r="AQ31" s="121">
        <v>0</v>
      </c>
      <c r="AR31" s="121">
        <v>0</v>
      </c>
      <c r="AS31" s="121">
        <v>25.418525419350601</v>
      </c>
      <c r="AT31" s="122">
        <v>4.0616923075326801</v>
      </c>
    </row>
    <row r="32" spans="2:46" ht="12" customHeight="1" x14ac:dyDescent="0.25">
      <c r="B32" s="120" t="s">
        <v>41</v>
      </c>
      <c r="C32" s="121" t="s">
        <v>50</v>
      </c>
      <c r="D32" s="121" t="s">
        <v>42</v>
      </c>
      <c r="E32" s="121" t="s">
        <v>25</v>
      </c>
      <c r="F32" s="121" t="s">
        <v>25</v>
      </c>
      <c r="G32" s="121" t="s">
        <v>37</v>
      </c>
      <c r="H32" s="121" t="s">
        <v>74</v>
      </c>
      <c r="I32" s="121" t="s">
        <v>25</v>
      </c>
      <c r="J32" s="121">
        <v>573.39</v>
      </c>
      <c r="K32" s="121">
        <v>375.85</v>
      </c>
      <c r="L32" s="121">
        <v>0</v>
      </c>
      <c r="M32" s="121">
        <v>0.71850176595456405</v>
      </c>
      <c r="N32" s="121">
        <v>10.468702055932599</v>
      </c>
      <c r="O32" s="121">
        <v>0</v>
      </c>
      <c r="P32" s="121">
        <v>0</v>
      </c>
      <c r="Q32" s="121">
        <v>100.98133319426699</v>
      </c>
      <c r="R32" s="121">
        <v>16.106010068626802</v>
      </c>
      <c r="S32" s="121">
        <v>0</v>
      </c>
      <c r="T32" s="121">
        <v>0</v>
      </c>
      <c r="U32" s="121">
        <v>0</v>
      </c>
      <c r="V32" s="121">
        <v>0</v>
      </c>
      <c r="W32" s="121">
        <v>0</v>
      </c>
      <c r="X32" s="121">
        <v>300.53381757382903</v>
      </c>
      <c r="Y32" s="121">
        <v>0</v>
      </c>
      <c r="Z32" s="121">
        <v>0</v>
      </c>
      <c r="AA32" s="121">
        <v>478.916067941515</v>
      </c>
      <c r="AB32" s="121">
        <v>0</v>
      </c>
      <c r="AC32" s="121">
        <v>-353.83614797498598</v>
      </c>
      <c r="AD32" s="121">
        <v>0</v>
      </c>
      <c r="AE32" s="121">
        <v>18.435076432008699</v>
      </c>
      <c r="AF32" s="121">
        <v>0.39885624921440499</v>
      </c>
      <c r="AG32" s="121">
        <v>0.31941375471374001</v>
      </c>
      <c r="AH32" s="121">
        <v>0.34896893892318298</v>
      </c>
      <c r="AI32" s="121">
        <v>0</v>
      </c>
      <c r="AJ32" s="121">
        <v>-11.836507652594401</v>
      </c>
      <c r="AK32" s="121">
        <v>2.0934412278415602</v>
      </c>
      <c r="AL32" s="121">
        <v>24.3569584352568</v>
      </c>
      <c r="AM32" s="121">
        <v>0</v>
      </c>
      <c r="AN32" s="121">
        <v>313.787166652189</v>
      </c>
      <c r="AO32" s="121">
        <v>4.8803189974132604</v>
      </c>
      <c r="AP32" s="121">
        <v>3.6287720488107</v>
      </c>
      <c r="AQ32" s="121">
        <v>0</v>
      </c>
      <c r="AR32" s="121">
        <v>0</v>
      </c>
      <c r="AS32" s="121">
        <v>34.877757983550602</v>
      </c>
      <c r="AT32" s="122">
        <v>4.0616923075326801</v>
      </c>
    </row>
    <row r="33" spans="2:46" ht="12" customHeight="1" x14ac:dyDescent="0.25">
      <c r="B33" s="120" t="s">
        <v>41</v>
      </c>
      <c r="C33" s="121" t="s">
        <v>50</v>
      </c>
      <c r="D33" s="121" t="s">
        <v>42</v>
      </c>
      <c r="E33" s="121" t="s">
        <v>25</v>
      </c>
      <c r="F33" s="121" t="s">
        <v>25</v>
      </c>
      <c r="G33" s="121" t="s">
        <v>51</v>
      </c>
      <c r="H33" s="121" t="s">
        <v>74</v>
      </c>
      <c r="I33" s="121" t="s">
        <v>25</v>
      </c>
      <c r="J33" s="121">
        <v>403.03</v>
      </c>
      <c r="K33" s="121">
        <v>235.04</v>
      </c>
      <c r="L33" s="121">
        <v>0</v>
      </c>
      <c r="M33" s="121">
        <v>0.71850176595456405</v>
      </c>
      <c r="N33" s="121">
        <v>6.52472722568581</v>
      </c>
      <c r="O33" s="121">
        <v>0</v>
      </c>
      <c r="P33" s="121">
        <v>0</v>
      </c>
      <c r="Q33" s="121">
        <v>100.98133319426699</v>
      </c>
      <c r="R33" s="121">
        <v>16.106010068626802</v>
      </c>
      <c r="S33" s="121">
        <v>0</v>
      </c>
      <c r="T33" s="121">
        <v>0</v>
      </c>
      <c r="U33" s="121">
        <v>0</v>
      </c>
      <c r="V33" s="121">
        <v>0</v>
      </c>
      <c r="W33" s="121">
        <v>0</v>
      </c>
      <c r="X33" s="121">
        <v>180.32029054429699</v>
      </c>
      <c r="Y33" s="121">
        <v>0</v>
      </c>
      <c r="Z33" s="121">
        <v>0</v>
      </c>
      <c r="AA33" s="121">
        <v>287.34965991817</v>
      </c>
      <c r="AB33" s="121">
        <v>0</v>
      </c>
      <c r="AC33" s="121">
        <v>-208.468438091862</v>
      </c>
      <c r="AD33" s="121">
        <v>0</v>
      </c>
      <c r="AE33" s="121">
        <v>18.435076432008699</v>
      </c>
      <c r="AF33" s="121">
        <v>0.39885624921440499</v>
      </c>
      <c r="AG33" s="121">
        <v>0.31941375471374001</v>
      </c>
      <c r="AH33" s="121">
        <v>0.34896893892318298</v>
      </c>
      <c r="AI33" s="121">
        <v>0</v>
      </c>
      <c r="AJ33" s="121">
        <v>-11.836507652594401</v>
      </c>
      <c r="AK33" s="121">
        <v>2.0934412278415602</v>
      </c>
      <c r="AL33" s="121">
        <v>24.3569584352568</v>
      </c>
      <c r="AM33" s="121">
        <v>0</v>
      </c>
      <c r="AN33" s="121">
        <v>182.43439921638901</v>
      </c>
      <c r="AO33" s="121">
        <v>4.8803189974132604</v>
      </c>
      <c r="AP33" s="121">
        <v>3.6287720488107</v>
      </c>
      <c r="AQ33" s="121">
        <v>0</v>
      </c>
      <c r="AR33" s="121">
        <v>0</v>
      </c>
      <c r="AS33" s="121">
        <v>25.418525419350601</v>
      </c>
      <c r="AT33" s="122">
        <v>4.0616923075326801</v>
      </c>
    </row>
    <row r="34" spans="2:46" ht="12" customHeight="1" x14ac:dyDescent="0.25">
      <c r="B34" s="120" t="s">
        <v>41</v>
      </c>
      <c r="C34" s="121" t="s">
        <v>50</v>
      </c>
      <c r="D34" s="121" t="s">
        <v>42</v>
      </c>
      <c r="E34" s="121" t="s">
        <v>25</v>
      </c>
      <c r="F34" s="121" t="s">
        <v>25</v>
      </c>
      <c r="G34" s="121" t="s">
        <v>38</v>
      </c>
      <c r="H34" s="121" t="s">
        <v>74</v>
      </c>
      <c r="I34" s="121" t="s">
        <v>25</v>
      </c>
      <c r="J34" s="121">
        <v>232.66</v>
      </c>
      <c r="K34" s="121">
        <v>235.04</v>
      </c>
      <c r="L34" s="121">
        <v>0</v>
      </c>
      <c r="M34" s="121">
        <v>0.71850176595456405</v>
      </c>
      <c r="N34" s="121">
        <v>2.5807523954389899</v>
      </c>
      <c r="O34" s="121">
        <v>0</v>
      </c>
      <c r="P34" s="121">
        <v>0</v>
      </c>
      <c r="Q34" s="121">
        <v>100.98133319426699</v>
      </c>
      <c r="R34" s="121">
        <v>16.106010068626802</v>
      </c>
      <c r="S34" s="121">
        <v>0</v>
      </c>
      <c r="T34" s="121">
        <v>0</v>
      </c>
      <c r="U34" s="121">
        <v>0</v>
      </c>
      <c r="V34" s="121">
        <v>0</v>
      </c>
      <c r="W34" s="121">
        <v>0</v>
      </c>
      <c r="X34" s="121">
        <v>60.106763514765802</v>
      </c>
      <c r="Y34" s="121">
        <v>0</v>
      </c>
      <c r="Z34" s="121">
        <v>0</v>
      </c>
      <c r="AA34" s="121">
        <v>95.783251894823593</v>
      </c>
      <c r="AB34" s="121">
        <v>0</v>
      </c>
      <c r="AC34" s="121">
        <v>-63.1195282087373</v>
      </c>
      <c r="AD34" s="121">
        <v>0</v>
      </c>
      <c r="AE34" s="121">
        <v>18.435076432008699</v>
      </c>
      <c r="AF34" s="121">
        <v>0.39885624921440499</v>
      </c>
      <c r="AG34" s="121">
        <v>0.31941375471374001</v>
      </c>
      <c r="AH34" s="121">
        <v>0.34896893892318298</v>
      </c>
      <c r="AI34" s="121">
        <v>0</v>
      </c>
      <c r="AJ34" s="121">
        <v>-11.836507652594401</v>
      </c>
      <c r="AK34" s="121">
        <v>2.0934412278415602</v>
      </c>
      <c r="AL34" s="121">
        <v>24.3569584352568</v>
      </c>
      <c r="AM34" s="121">
        <v>0</v>
      </c>
      <c r="AN34" s="121">
        <v>182.43439921638901</v>
      </c>
      <c r="AO34" s="121">
        <v>4.8803189974132604</v>
      </c>
      <c r="AP34" s="121">
        <v>3.6287720488107</v>
      </c>
      <c r="AQ34" s="121">
        <v>0</v>
      </c>
      <c r="AR34" s="121">
        <v>0</v>
      </c>
      <c r="AS34" s="121">
        <v>25.418525419350601</v>
      </c>
      <c r="AT34" s="122">
        <v>4.0616923075326801</v>
      </c>
    </row>
    <row r="35" spans="2:46" ht="12" customHeight="1" x14ac:dyDescent="0.25">
      <c r="B35" s="120" t="s">
        <v>41</v>
      </c>
      <c r="C35" s="121" t="s">
        <v>50</v>
      </c>
      <c r="D35" s="121" t="s">
        <v>42</v>
      </c>
      <c r="E35" s="121" t="s">
        <v>91</v>
      </c>
      <c r="F35" s="121" t="s">
        <v>25</v>
      </c>
      <c r="G35" s="121" t="s">
        <v>37</v>
      </c>
      <c r="H35" s="121" t="s">
        <v>74</v>
      </c>
      <c r="I35" s="121" t="s">
        <v>25</v>
      </c>
      <c r="J35" s="121">
        <v>561.19000000000005</v>
      </c>
      <c r="K35" s="121">
        <v>367.85</v>
      </c>
      <c r="L35" s="121">
        <v>0</v>
      </c>
      <c r="M35" s="121">
        <v>0.70321449433850902</v>
      </c>
      <c r="N35" s="121">
        <v>10.245963714317</v>
      </c>
      <c r="O35" s="121">
        <v>0</v>
      </c>
      <c r="P35" s="121">
        <v>0</v>
      </c>
      <c r="Q35" s="121">
        <v>98.832794190134095</v>
      </c>
      <c r="R35" s="121">
        <v>15.763329003336899</v>
      </c>
      <c r="S35" s="121">
        <v>0</v>
      </c>
      <c r="T35" s="121">
        <v>0</v>
      </c>
      <c r="U35" s="121">
        <v>0</v>
      </c>
      <c r="V35" s="121">
        <v>0</v>
      </c>
      <c r="W35" s="121">
        <v>0</v>
      </c>
      <c r="X35" s="121">
        <v>294.139481029705</v>
      </c>
      <c r="Y35" s="121">
        <v>0</v>
      </c>
      <c r="Z35" s="121">
        <v>0</v>
      </c>
      <c r="AA35" s="121">
        <v>468.72636436829202</v>
      </c>
      <c r="AB35" s="121">
        <v>0</v>
      </c>
      <c r="AC35" s="121">
        <v>-346.30771929466698</v>
      </c>
      <c r="AD35" s="121">
        <v>0</v>
      </c>
      <c r="AE35" s="121">
        <v>18.042840763242499</v>
      </c>
      <c r="AF35" s="121">
        <v>0.39036994603962999</v>
      </c>
      <c r="AG35" s="121">
        <v>0.31261771737940502</v>
      </c>
      <c r="AH35" s="121">
        <v>0.34154406788226399</v>
      </c>
      <c r="AI35" s="121">
        <v>0</v>
      </c>
      <c r="AJ35" s="121">
        <v>-11.5846670642413</v>
      </c>
      <c r="AK35" s="121">
        <v>2.0488999251215301</v>
      </c>
      <c r="AL35" s="121">
        <v>23.838725277059801</v>
      </c>
      <c r="AM35" s="121">
        <v>0</v>
      </c>
      <c r="AN35" s="121">
        <v>307.11084395746099</v>
      </c>
      <c r="AO35" s="121">
        <v>4.7764824230002096</v>
      </c>
      <c r="AP35" s="121">
        <v>3.5515641328785601</v>
      </c>
      <c r="AQ35" s="121">
        <v>0</v>
      </c>
      <c r="AR35" s="121">
        <v>0</v>
      </c>
      <c r="AS35" s="121">
        <v>34.135678026453803</v>
      </c>
      <c r="AT35" s="122">
        <v>3.9752733222660299</v>
      </c>
    </row>
    <row r="36" spans="2:46" ht="12" customHeight="1" x14ac:dyDescent="0.25">
      <c r="B36" s="120" t="s">
        <v>41</v>
      </c>
      <c r="C36" s="121" t="s">
        <v>50</v>
      </c>
      <c r="D36" s="121" t="s">
        <v>42</v>
      </c>
      <c r="E36" s="121" t="s">
        <v>91</v>
      </c>
      <c r="F36" s="121" t="s">
        <v>25</v>
      </c>
      <c r="G36" s="121" t="s">
        <v>51</v>
      </c>
      <c r="H36" s="121" t="s">
        <v>74</v>
      </c>
      <c r="I36" s="121" t="s">
        <v>25</v>
      </c>
      <c r="J36" s="121">
        <v>394.46</v>
      </c>
      <c r="K36" s="121">
        <v>230.04</v>
      </c>
      <c r="L36" s="121">
        <v>0</v>
      </c>
      <c r="M36" s="121">
        <v>0.70321449433850902</v>
      </c>
      <c r="N36" s="121">
        <v>6.3859032421605804</v>
      </c>
      <c r="O36" s="121">
        <v>0</v>
      </c>
      <c r="P36" s="121">
        <v>0</v>
      </c>
      <c r="Q36" s="121">
        <v>98.832794190134095</v>
      </c>
      <c r="R36" s="121">
        <v>15.763329003336899</v>
      </c>
      <c r="S36" s="121">
        <v>0</v>
      </c>
      <c r="T36" s="121">
        <v>0</v>
      </c>
      <c r="U36" s="121">
        <v>0</v>
      </c>
      <c r="V36" s="121">
        <v>0</v>
      </c>
      <c r="W36" s="121">
        <v>0</v>
      </c>
      <c r="X36" s="121">
        <v>176.48368861782299</v>
      </c>
      <c r="Y36" s="121">
        <v>0</v>
      </c>
      <c r="Z36" s="121">
        <v>0</v>
      </c>
      <c r="AA36" s="121">
        <v>281.23583736671901</v>
      </c>
      <c r="AB36" s="121">
        <v>0</v>
      </c>
      <c r="AC36" s="121">
        <v>-204.03293940905601</v>
      </c>
      <c r="AD36" s="121">
        <v>0</v>
      </c>
      <c r="AE36" s="121">
        <v>18.042840763242499</v>
      </c>
      <c r="AF36" s="121">
        <v>0.39036994603962999</v>
      </c>
      <c r="AG36" s="121">
        <v>0.31261771737940502</v>
      </c>
      <c r="AH36" s="121">
        <v>0.34154406788226399</v>
      </c>
      <c r="AI36" s="121">
        <v>0</v>
      </c>
      <c r="AJ36" s="121">
        <v>-11.5846670642413</v>
      </c>
      <c r="AK36" s="121">
        <v>2.0488999251215301</v>
      </c>
      <c r="AL36" s="121">
        <v>23.838725277059801</v>
      </c>
      <c r="AM36" s="121">
        <v>0</v>
      </c>
      <c r="AN36" s="121">
        <v>178.55281625433801</v>
      </c>
      <c r="AO36" s="121">
        <v>4.7764824230002096</v>
      </c>
      <c r="AP36" s="121">
        <v>3.5515641328785601</v>
      </c>
      <c r="AQ36" s="121">
        <v>0</v>
      </c>
      <c r="AR36" s="121">
        <v>0</v>
      </c>
      <c r="AS36" s="121">
        <v>24.877705729577201</v>
      </c>
      <c r="AT36" s="122">
        <v>3.9752733222660299</v>
      </c>
    </row>
    <row r="37" spans="2:46" ht="12" customHeight="1" x14ac:dyDescent="0.25">
      <c r="B37" s="120" t="s">
        <v>41</v>
      </c>
      <c r="C37" s="121" t="s">
        <v>50</v>
      </c>
      <c r="D37" s="121" t="s">
        <v>42</v>
      </c>
      <c r="E37" s="121" t="s">
        <v>91</v>
      </c>
      <c r="F37" s="121" t="s">
        <v>25</v>
      </c>
      <c r="G37" s="121" t="s">
        <v>38</v>
      </c>
      <c r="H37" s="121" t="s">
        <v>74</v>
      </c>
      <c r="I37" s="121" t="s">
        <v>25</v>
      </c>
      <c r="J37" s="121">
        <v>227.71</v>
      </c>
      <c r="K37" s="121">
        <v>230.04</v>
      </c>
      <c r="L37" s="121">
        <v>0</v>
      </c>
      <c r="M37" s="121">
        <v>0.70321449433850902</v>
      </c>
      <c r="N37" s="121">
        <v>2.5258427700041199</v>
      </c>
      <c r="O37" s="121">
        <v>0</v>
      </c>
      <c r="P37" s="121">
        <v>0</v>
      </c>
      <c r="Q37" s="121">
        <v>98.832794190134095</v>
      </c>
      <c r="R37" s="121">
        <v>15.763329003336899</v>
      </c>
      <c r="S37" s="121">
        <v>0</v>
      </c>
      <c r="T37" s="121">
        <v>0</v>
      </c>
      <c r="U37" s="121">
        <v>0</v>
      </c>
      <c r="V37" s="121">
        <v>0</v>
      </c>
      <c r="W37" s="121">
        <v>0</v>
      </c>
      <c r="X37" s="121">
        <v>58.827896205941002</v>
      </c>
      <c r="Y37" s="121">
        <v>0</v>
      </c>
      <c r="Z37" s="121">
        <v>0</v>
      </c>
      <c r="AA37" s="121">
        <v>93.745310365146494</v>
      </c>
      <c r="AB37" s="121">
        <v>0</v>
      </c>
      <c r="AC37" s="121">
        <v>-61.776559523445002</v>
      </c>
      <c r="AD37" s="121">
        <v>0</v>
      </c>
      <c r="AE37" s="121">
        <v>18.042840763242499</v>
      </c>
      <c r="AF37" s="121">
        <v>0.39036994603962999</v>
      </c>
      <c r="AG37" s="121">
        <v>0.31261771737940502</v>
      </c>
      <c r="AH37" s="121">
        <v>0.34154406788226399</v>
      </c>
      <c r="AI37" s="121">
        <v>0</v>
      </c>
      <c r="AJ37" s="121">
        <v>-11.5846670642413</v>
      </c>
      <c r="AK37" s="121">
        <v>2.0488999251215301</v>
      </c>
      <c r="AL37" s="121">
        <v>23.838725277059801</v>
      </c>
      <c r="AM37" s="121">
        <v>0</v>
      </c>
      <c r="AN37" s="121">
        <v>178.55281625433801</v>
      </c>
      <c r="AO37" s="121">
        <v>4.7764824230002096</v>
      </c>
      <c r="AP37" s="121">
        <v>3.5515641328785601</v>
      </c>
      <c r="AQ37" s="121">
        <v>0</v>
      </c>
      <c r="AR37" s="121">
        <v>0</v>
      </c>
      <c r="AS37" s="121">
        <v>24.877705729577201</v>
      </c>
      <c r="AT37" s="122">
        <v>3.9752733222660299</v>
      </c>
    </row>
    <row r="38" spans="2:46" ht="12" customHeight="1" x14ac:dyDescent="0.25">
      <c r="B38" s="120" t="s">
        <v>41</v>
      </c>
      <c r="C38" s="121" t="s">
        <v>23</v>
      </c>
      <c r="D38" s="121" t="s">
        <v>42</v>
      </c>
      <c r="E38" s="121" t="s">
        <v>90</v>
      </c>
      <c r="F38" s="121" t="s">
        <v>25</v>
      </c>
      <c r="G38" s="121" t="s">
        <v>25</v>
      </c>
      <c r="H38" s="121" t="s">
        <v>74</v>
      </c>
      <c r="I38" s="121" t="s">
        <v>25</v>
      </c>
      <c r="J38" s="121">
        <v>291.86</v>
      </c>
      <c r="K38" s="121">
        <v>246.78</v>
      </c>
      <c r="L38" s="121">
        <v>0</v>
      </c>
      <c r="M38" s="121">
        <v>0.71850176595456405</v>
      </c>
      <c r="N38" s="121">
        <v>3.7893897822042999</v>
      </c>
      <c r="O38" s="121">
        <v>0</v>
      </c>
      <c r="P38" s="121">
        <v>0</v>
      </c>
      <c r="Q38" s="121">
        <v>100.98133319426699</v>
      </c>
      <c r="R38" s="121">
        <v>16.106010068626802</v>
      </c>
      <c r="S38" s="121">
        <v>0</v>
      </c>
      <c r="T38" s="121">
        <v>0</v>
      </c>
      <c r="U38" s="121">
        <v>0</v>
      </c>
      <c r="V38" s="121">
        <v>0</v>
      </c>
      <c r="W38" s="121">
        <v>0</v>
      </c>
      <c r="X38" s="121">
        <v>96.946430946741202</v>
      </c>
      <c r="Y38" s="121">
        <v>0</v>
      </c>
      <c r="Z38" s="121">
        <v>0</v>
      </c>
      <c r="AA38" s="121">
        <v>154.48904799621101</v>
      </c>
      <c r="AB38" s="121">
        <v>0</v>
      </c>
      <c r="AC38" s="121">
        <v>-100.672429128866</v>
      </c>
      <c r="AD38" s="121">
        <v>0</v>
      </c>
      <c r="AE38" s="121">
        <v>18.435076432008699</v>
      </c>
      <c r="AF38" s="121">
        <v>0.39885624921440499</v>
      </c>
      <c r="AG38" s="121">
        <v>0.31941375471374001</v>
      </c>
      <c r="AH38" s="121">
        <v>0.34896893892318298</v>
      </c>
      <c r="AI38" s="121">
        <v>0</v>
      </c>
      <c r="AJ38" s="121">
        <v>-11.836507652594401</v>
      </c>
      <c r="AK38" s="121">
        <v>2.0934412278415602</v>
      </c>
      <c r="AL38" s="121">
        <v>24.3569584352568</v>
      </c>
      <c r="AM38" s="121">
        <v>0</v>
      </c>
      <c r="AN38" s="121">
        <v>193.38046316937201</v>
      </c>
      <c r="AO38" s="121">
        <v>4.8803189974132604</v>
      </c>
      <c r="AP38" s="121">
        <v>3.6287720488107</v>
      </c>
      <c r="AQ38" s="121">
        <v>0</v>
      </c>
      <c r="AR38" s="121">
        <v>0</v>
      </c>
      <c r="AS38" s="121">
        <v>26.2130614663673</v>
      </c>
      <c r="AT38" s="122">
        <v>4.0616923075326801</v>
      </c>
    </row>
    <row r="39" spans="2:46" ht="12" customHeight="1" x14ac:dyDescent="0.25">
      <c r="B39" s="120" t="s">
        <v>41</v>
      </c>
      <c r="C39" s="121" t="s">
        <v>23</v>
      </c>
      <c r="D39" s="121" t="s">
        <v>42</v>
      </c>
      <c r="E39" s="121" t="s">
        <v>25</v>
      </c>
      <c r="F39" s="121" t="s">
        <v>25</v>
      </c>
      <c r="G39" s="121" t="s">
        <v>25</v>
      </c>
      <c r="H39" s="121" t="s">
        <v>74</v>
      </c>
      <c r="I39" s="121" t="s">
        <v>25</v>
      </c>
      <c r="J39" s="121">
        <v>291.86</v>
      </c>
      <c r="K39" s="121">
        <v>246.78</v>
      </c>
      <c r="L39" s="121">
        <v>0</v>
      </c>
      <c r="M39" s="121">
        <v>0.71850176595456405</v>
      </c>
      <c r="N39" s="121">
        <v>3.7893897822042999</v>
      </c>
      <c r="O39" s="121">
        <v>0</v>
      </c>
      <c r="P39" s="121">
        <v>0</v>
      </c>
      <c r="Q39" s="121">
        <v>100.98133319426699</v>
      </c>
      <c r="R39" s="121">
        <v>16.106010068626802</v>
      </c>
      <c r="S39" s="121">
        <v>0</v>
      </c>
      <c r="T39" s="121">
        <v>0</v>
      </c>
      <c r="U39" s="121">
        <v>0</v>
      </c>
      <c r="V39" s="121">
        <v>0</v>
      </c>
      <c r="W39" s="121">
        <v>0</v>
      </c>
      <c r="X39" s="121">
        <v>96.946430946741202</v>
      </c>
      <c r="Y39" s="121">
        <v>0</v>
      </c>
      <c r="Z39" s="121">
        <v>0</v>
      </c>
      <c r="AA39" s="121">
        <v>154.48904799621101</v>
      </c>
      <c r="AB39" s="121">
        <v>0</v>
      </c>
      <c r="AC39" s="121">
        <v>-100.672429128866</v>
      </c>
      <c r="AD39" s="121">
        <v>0</v>
      </c>
      <c r="AE39" s="121">
        <v>18.435076432008699</v>
      </c>
      <c r="AF39" s="121">
        <v>0.39885624921440499</v>
      </c>
      <c r="AG39" s="121">
        <v>0.31941375471374001</v>
      </c>
      <c r="AH39" s="121">
        <v>0.34896893892318298</v>
      </c>
      <c r="AI39" s="121">
        <v>0</v>
      </c>
      <c r="AJ39" s="121">
        <v>-11.836507652594401</v>
      </c>
      <c r="AK39" s="121">
        <v>2.0934412278415602</v>
      </c>
      <c r="AL39" s="121">
        <v>24.3569584352568</v>
      </c>
      <c r="AM39" s="121">
        <v>0</v>
      </c>
      <c r="AN39" s="121">
        <v>193.38046316937201</v>
      </c>
      <c r="AO39" s="121">
        <v>4.8803189974132604</v>
      </c>
      <c r="AP39" s="121">
        <v>3.6287720488107</v>
      </c>
      <c r="AQ39" s="121">
        <v>0</v>
      </c>
      <c r="AR39" s="121">
        <v>0</v>
      </c>
      <c r="AS39" s="121">
        <v>26.2130614663673</v>
      </c>
      <c r="AT39" s="122">
        <v>4.0616923075326801</v>
      </c>
    </row>
    <row r="40" spans="2:46" ht="12" customHeight="1" x14ac:dyDescent="0.25">
      <c r="B40" s="120" t="s">
        <v>41</v>
      </c>
      <c r="C40" s="121" t="s">
        <v>23</v>
      </c>
      <c r="D40" s="121" t="s">
        <v>42</v>
      </c>
      <c r="E40" s="121" t="s">
        <v>91</v>
      </c>
      <c r="F40" s="121" t="s">
        <v>25</v>
      </c>
      <c r="G40" s="121" t="s">
        <v>25</v>
      </c>
      <c r="H40" s="121" t="s">
        <v>74</v>
      </c>
      <c r="I40" s="121" t="s">
        <v>25</v>
      </c>
      <c r="J40" s="121">
        <v>285.64999999999998</v>
      </c>
      <c r="K40" s="121">
        <v>241.53</v>
      </c>
      <c r="L40" s="121">
        <v>0</v>
      </c>
      <c r="M40" s="121">
        <v>0.70321449433850902</v>
      </c>
      <c r="N40" s="121">
        <v>3.7087644676893099</v>
      </c>
      <c r="O40" s="121">
        <v>0</v>
      </c>
      <c r="P40" s="121">
        <v>0</v>
      </c>
      <c r="Q40" s="121">
        <v>98.832794190134095</v>
      </c>
      <c r="R40" s="121">
        <v>15.763329003336899</v>
      </c>
      <c r="S40" s="121">
        <v>0</v>
      </c>
      <c r="T40" s="121">
        <v>0</v>
      </c>
      <c r="U40" s="121">
        <v>0</v>
      </c>
      <c r="V40" s="121">
        <v>0</v>
      </c>
      <c r="W40" s="121">
        <v>0</v>
      </c>
      <c r="X40" s="121">
        <v>94.883740926597795</v>
      </c>
      <c r="Y40" s="121">
        <v>0</v>
      </c>
      <c r="Z40" s="121">
        <v>0</v>
      </c>
      <c r="AA40" s="121">
        <v>151.20204697501501</v>
      </c>
      <c r="AB40" s="121">
        <v>0</v>
      </c>
      <c r="AC40" s="121">
        <v>-98.530462551655702</v>
      </c>
      <c r="AD40" s="121">
        <v>0</v>
      </c>
      <c r="AE40" s="121">
        <v>18.042840763242499</v>
      </c>
      <c r="AF40" s="121">
        <v>0.39036994603962999</v>
      </c>
      <c r="AG40" s="121">
        <v>0.31261771737940502</v>
      </c>
      <c r="AH40" s="121">
        <v>0.34154406788226399</v>
      </c>
      <c r="AI40" s="121">
        <v>0</v>
      </c>
      <c r="AJ40" s="121">
        <v>-11.5846670642413</v>
      </c>
      <c r="AK40" s="121">
        <v>2.0488999251215301</v>
      </c>
      <c r="AL40" s="121">
        <v>23.838725277059801</v>
      </c>
      <c r="AM40" s="121">
        <v>0</v>
      </c>
      <c r="AN40" s="121">
        <v>189.26598522959799</v>
      </c>
      <c r="AO40" s="121">
        <v>4.7764824230002096</v>
      </c>
      <c r="AP40" s="121">
        <v>3.5515641328785601</v>
      </c>
      <c r="AQ40" s="121">
        <v>0</v>
      </c>
      <c r="AR40" s="121">
        <v>0</v>
      </c>
      <c r="AS40" s="121">
        <v>25.655336754316899</v>
      </c>
      <c r="AT40" s="122">
        <v>3.9752733222660299</v>
      </c>
    </row>
    <row r="41" spans="2:46" ht="12" customHeight="1" x14ac:dyDescent="0.25">
      <c r="B41" s="120" t="s">
        <v>41</v>
      </c>
      <c r="C41" s="121" t="s">
        <v>89</v>
      </c>
      <c r="D41" s="121" t="s">
        <v>42</v>
      </c>
      <c r="E41" s="121" t="s">
        <v>90</v>
      </c>
      <c r="F41" s="121" t="s">
        <v>25</v>
      </c>
      <c r="G41" s="121" t="s">
        <v>25</v>
      </c>
      <c r="H41" s="121" t="s">
        <v>74</v>
      </c>
      <c r="I41" s="121" t="s">
        <v>25</v>
      </c>
      <c r="J41" s="121">
        <v>291.86</v>
      </c>
      <c r="K41" s="121">
        <v>246.78</v>
      </c>
      <c r="L41" s="121">
        <v>0</v>
      </c>
      <c r="M41" s="121">
        <v>0.71850176595456405</v>
      </c>
      <c r="N41" s="121">
        <v>3.7893897822042999</v>
      </c>
      <c r="O41" s="121">
        <v>0</v>
      </c>
      <c r="P41" s="121">
        <v>0</v>
      </c>
      <c r="Q41" s="121">
        <v>100.98133319426699</v>
      </c>
      <c r="R41" s="121">
        <v>16.106010068626802</v>
      </c>
      <c r="S41" s="121">
        <v>0</v>
      </c>
      <c r="T41" s="121">
        <v>0</v>
      </c>
      <c r="U41" s="121">
        <v>0</v>
      </c>
      <c r="V41" s="121">
        <v>0</v>
      </c>
      <c r="W41" s="121">
        <v>0</v>
      </c>
      <c r="X41" s="121">
        <v>96.946430946741202</v>
      </c>
      <c r="Y41" s="121">
        <v>0</v>
      </c>
      <c r="Z41" s="121">
        <v>0</v>
      </c>
      <c r="AA41" s="121">
        <v>154.48904799621101</v>
      </c>
      <c r="AB41" s="121">
        <v>0</v>
      </c>
      <c r="AC41" s="121">
        <v>-100.672429128866</v>
      </c>
      <c r="AD41" s="121">
        <v>0</v>
      </c>
      <c r="AE41" s="121">
        <v>18.435076432008699</v>
      </c>
      <c r="AF41" s="121">
        <v>0.39885624921440499</v>
      </c>
      <c r="AG41" s="121">
        <v>0.31941375471374001</v>
      </c>
      <c r="AH41" s="121">
        <v>0.34896893892318298</v>
      </c>
      <c r="AI41" s="121">
        <v>0</v>
      </c>
      <c r="AJ41" s="121">
        <v>-11.836507652594401</v>
      </c>
      <c r="AK41" s="121">
        <v>2.0934412278415602</v>
      </c>
      <c r="AL41" s="121">
        <v>24.3569584352568</v>
      </c>
      <c r="AM41" s="121">
        <v>0</v>
      </c>
      <c r="AN41" s="121">
        <v>193.38046316937201</v>
      </c>
      <c r="AO41" s="121">
        <v>4.8803189974132604</v>
      </c>
      <c r="AP41" s="121">
        <v>3.6287720488107</v>
      </c>
      <c r="AQ41" s="121">
        <v>0</v>
      </c>
      <c r="AR41" s="121">
        <v>0</v>
      </c>
      <c r="AS41" s="121">
        <v>26.2130614663673</v>
      </c>
      <c r="AT41" s="122">
        <v>4.0616923075326801</v>
      </c>
    </row>
    <row r="42" spans="2:46" ht="12" customHeight="1" x14ac:dyDescent="0.25">
      <c r="B42" s="120" t="s">
        <v>41</v>
      </c>
      <c r="C42" s="121" t="s">
        <v>89</v>
      </c>
      <c r="D42" s="121" t="s">
        <v>42</v>
      </c>
      <c r="E42" s="121" t="s">
        <v>25</v>
      </c>
      <c r="F42" s="121" t="s">
        <v>25</v>
      </c>
      <c r="G42" s="121" t="s">
        <v>25</v>
      </c>
      <c r="H42" s="121" t="s">
        <v>74</v>
      </c>
      <c r="I42" s="121" t="s">
        <v>25</v>
      </c>
      <c r="J42" s="121">
        <v>291.86</v>
      </c>
      <c r="K42" s="121">
        <v>246.78</v>
      </c>
      <c r="L42" s="121">
        <v>0</v>
      </c>
      <c r="M42" s="121">
        <v>0.71850176595456405</v>
      </c>
      <c r="N42" s="121">
        <v>3.7893897822042999</v>
      </c>
      <c r="O42" s="121">
        <v>0</v>
      </c>
      <c r="P42" s="121">
        <v>0</v>
      </c>
      <c r="Q42" s="121">
        <v>100.98133319426699</v>
      </c>
      <c r="R42" s="121">
        <v>16.106010068626802</v>
      </c>
      <c r="S42" s="121">
        <v>0</v>
      </c>
      <c r="T42" s="121">
        <v>0</v>
      </c>
      <c r="U42" s="121">
        <v>0</v>
      </c>
      <c r="V42" s="121">
        <v>0</v>
      </c>
      <c r="W42" s="121">
        <v>0</v>
      </c>
      <c r="X42" s="121">
        <v>96.946430946741202</v>
      </c>
      <c r="Y42" s="121">
        <v>0</v>
      </c>
      <c r="Z42" s="121">
        <v>0</v>
      </c>
      <c r="AA42" s="121">
        <v>154.48904799621101</v>
      </c>
      <c r="AB42" s="121">
        <v>0</v>
      </c>
      <c r="AC42" s="121">
        <v>-100.672429128866</v>
      </c>
      <c r="AD42" s="121">
        <v>0</v>
      </c>
      <c r="AE42" s="121">
        <v>18.435076432008699</v>
      </c>
      <c r="AF42" s="121">
        <v>0.39885624921440499</v>
      </c>
      <c r="AG42" s="121">
        <v>0.31941375471374001</v>
      </c>
      <c r="AH42" s="121">
        <v>0.34896893892318298</v>
      </c>
      <c r="AI42" s="121">
        <v>0</v>
      </c>
      <c r="AJ42" s="121">
        <v>-11.836507652594401</v>
      </c>
      <c r="AK42" s="121">
        <v>2.0934412278415602</v>
      </c>
      <c r="AL42" s="121">
        <v>24.3569584352568</v>
      </c>
      <c r="AM42" s="121">
        <v>0</v>
      </c>
      <c r="AN42" s="121">
        <v>193.38046316937201</v>
      </c>
      <c r="AO42" s="121">
        <v>4.8803189974132604</v>
      </c>
      <c r="AP42" s="121">
        <v>3.6287720488107</v>
      </c>
      <c r="AQ42" s="121">
        <v>0</v>
      </c>
      <c r="AR42" s="121">
        <v>0</v>
      </c>
      <c r="AS42" s="121">
        <v>26.2130614663673</v>
      </c>
      <c r="AT42" s="122">
        <v>4.0616923075326801</v>
      </c>
    </row>
    <row r="43" spans="2:46" ht="12" customHeight="1" x14ac:dyDescent="0.25">
      <c r="B43" s="120" t="s">
        <v>41</v>
      </c>
      <c r="C43" s="121" t="s">
        <v>89</v>
      </c>
      <c r="D43" s="121" t="s">
        <v>42</v>
      </c>
      <c r="E43" s="121" t="s">
        <v>91</v>
      </c>
      <c r="F43" s="121" t="s">
        <v>25</v>
      </c>
      <c r="G43" s="121" t="s">
        <v>25</v>
      </c>
      <c r="H43" s="121" t="s">
        <v>74</v>
      </c>
      <c r="I43" s="121" t="s">
        <v>25</v>
      </c>
      <c r="J43" s="121">
        <v>285.64999999999998</v>
      </c>
      <c r="K43" s="121">
        <v>241.53</v>
      </c>
      <c r="L43" s="121">
        <v>0</v>
      </c>
      <c r="M43" s="121">
        <v>0.70321449433850902</v>
      </c>
      <c r="N43" s="121">
        <v>3.7087644676893099</v>
      </c>
      <c r="O43" s="121">
        <v>0</v>
      </c>
      <c r="P43" s="121">
        <v>0</v>
      </c>
      <c r="Q43" s="121">
        <v>98.832794190134095</v>
      </c>
      <c r="R43" s="121">
        <v>15.763329003336899</v>
      </c>
      <c r="S43" s="121">
        <v>0</v>
      </c>
      <c r="T43" s="121">
        <v>0</v>
      </c>
      <c r="U43" s="121">
        <v>0</v>
      </c>
      <c r="V43" s="121">
        <v>0</v>
      </c>
      <c r="W43" s="121">
        <v>0</v>
      </c>
      <c r="X43" s="121">
        <v>94.883740926597795</v>
      </c>
      <c r="Y43" s="121">
        <v>0</v>
      </c>
      <c r="Z43" s="121">
        <v>0</v>
      </c>
      <c r="AA43" s="121">
        <v>151.20204697501501</v>
      </c>
      <c r="AB43" s="121">
        <v>0</v>
      </c>
      <c r="AC43" s="121">
        <v>-98.530462551655702</v>
      </c>
      <c r="AD43" s="121">
        <v>0</v>
      </c>
      <c r="AE43" s="121">
        <v>18.042840763242499</v>
      </c>
      <c r="AF43" s="121">
        <v>0.39036994603962999</v>
      </c>
      <c r="AG43" s="121">
        <v>0.31261771737940502</v>
      </c>
      <c r="AH43" s="121">
        <v>0.34154406788226399</v>
      </c>
      <c r="AI43" s="121">
        <v>0</v>
      </c>
      <c r="AJ43" s="121">
        <v>-11.5846670642413</v>
      </c>
      <c r="AK43" s="121">
        <v>2.0488999251215301</v>
      </c>
      <c r="AL43" s="121">
        <v>23.838725277059801</v>
      </c>
      <c r="AM43" s="121">
        <v>0</v>
      </c>
      <c r="AN43" s="121">
        <v>189.26598522959799</v>
      </c>
      <c r="AO43" s="121">
        <v>4.7764824230002096</v>
      </c>
      <c r="AP43" s="121">
        <v>3.5515641328785601</v>
      </c>
      <c r="AQ43" s="121">
        <v>0</v>
      </c>
      <c r="AR43" s="121">
        <v>0</v>
      </c>
      <c r="AS43" s="121">
        <v>25.655336754316899</v>
      </c>
      <c r="AT43" s="122">
        <v>3.9752733222660299</v>
      </c>
    </row>
    <row r="44" spans="2:46" ht="12" customHeight="1" x14ac:dyDescent="0.25">
      <c r="B44" s="120" t="s">
        <v>33</v>
      </c>
      <c r="C44" s="121" t="s">
        <v>50</v>
      </c>
      <c r="D44" s="121" t="s">
        <v>25</v>
      </c>
      <c r="E44" s="121" t="s">
        <v>25</v>
      </c>
      <c r="F44" s="121" t="s">
        <v>25</v>
      </c>
      <c r="G44" s="121" t="s">
        <v>37</v>
      </c>
      <c r="H44" s="121" t="s">
        <v>74</v>
      </c>
      <c r="I44" s="121" t="s">
        <v>25</v>
      </c>
      <c r="J44" s="121">
        <v>679.11</v>
      </c>
      <c r="K44" s="121">
        <v>399.84</v>
      </c>
      <c r="L44" s="121">
        <v>0</v>
      </c>
      <c r="M44" s="121">
        <v>0.76436358080272804</v>
      </c>
      <c r="N44" s="121">
        <v>12.490376596613199</v>
      </c>
      <c r="O44" s="121">
        <v>0</v>
      </c>
      <c r="P44" s="121">
        <v>0</v>
      </c>
      <c r="Q44" s="121">
        <v>107.426950206667</v>
      </c>
      <c r="R44" s="121">
        <v>17.1340532644966</v>
      </c>
      <c r="S44" s="121">
        <v>0</v>
      </c>
      <c r="T44" s="121">
        <v>0</v>
      </c>
      <c r="U44" s="121">
        <v>0</v>
      </c>
      <c r="V44" s="121">
        <v>0</v>
      </c>
      <c r="W44" s="121">
        <v>0</v>
      </c>
      <c r="X44" s="121">
        <v>360.97069629054101</v>
      </c>
      <c r="Y44" s="121">
        <v>0</v>
      </c>
      <c r="Z44" s="121">
        <v>0</v>
      </c>
      <c r="AA44" s="121">
        <v>575.225280588342</v>
      </c>
      <c r="AB44" s="121">
        <v>0</v>
      </c>
      <c r="AC44" s="121">
        <v>-415.64886454327097</v>
      </c>
      <c r="AD44" s="121">
        <v>0</v>
      </c>
      <c r="AE44" s="121">
        <v>19.6117834383071</v>
      </c>
      <c r="AF44" s="121">
        <v>0.42431515873872799</v>
      </c>
      <c r="AG44" s="121">
        <v>0.339801866716745</v>
      </c>
      <c r="AH44" s="121">
        <v>0.37124355204593901</v>
      </c>
      <c r="AI44" s="121">
        <v>0</v>
      </c>
      <c r="AJ44" s="121">
        <v>-12.592029417653601</v>
      </c>
      <c r="AK44" s="121">
        <v>2.2270651360016598</v>
      </c>
      <c r="AL44" s="121">
        <v>25.911657909847602</v>
      </c>
      <c r="AM44" s="121">
        <v>0</v>
      </c>
      <c r="AN44" s="121">
        <v>333.816134736371</v>
      </c>
      <c r="AO44" s="121">
        <v>5.1918287206524001</v>
      </c>
      <c r="AP44" s="121">
        <v>3.8603957966071301</v>
      </c>
      <c r="AQ44" s="121">
        <v>0</v>
      </c>
      <c r="AR44" s="121">
        <v>0</v>
      </c>
      <c r="AS44" s="121">
        <v>37.103997854841097</v>
      </c>
      <c r="AT44" s="122">
        <v>4.3209492633326398</v>
      </c>
    </row>
    <row r="45" spans="2:46" ht="12" customHeight="1" x14ac:dyDescent="0.25">
      <c r="B45" s="120" t="s">
        <v>33</v>
      </c>
      <c r="C45" s="121" t="s">
        <v>50</v>
      </c>
      <c r="D45" s="121" t="s">
        <v>25</v>
      </c>
      <c r="E45" s="121" t="s">
        <v>25</v>
      </c>
      <c r="F45" s="121" t="s">
        <v>25</v>
      </c>
      <c r="G45" s="121" t="s">
        <v>51</v>
      </c>
      <c r="H45" s="121" t="s">
        <v>74</v>
      </c>
      <c r="I45" s="121" t="s">
        <v>25</v>
      </c>
      <c r="J45" s="121">
        <v>470.22</v>
      </c>
      <c r="K45" s="121">
        <v>250.04</v>
      </c>
      <c r="L45" s="121">
        <v>0</v>
      </c>
      <c r="M45" s="121">
        <v>0.76436358080272804</v>
      </c>
      <c r="N45" s="121">
        <v>7.7532743474297998</v>
      </c>
      <c r="O45" s="121">
        <v>0</v>
      </c>
      <c r="P45" s="121">
        <v>0</v>
      </c>
      <c r="Q45" s="121">
        <v>107.426950206667</v>
      </c>
      <c r="R45" s="121">
        <v>17.1340532644966</v>
      </c>
      <c r="S45" s="121">
        <v>0</v>
      </c>
      <c r="T45" s="121">
        <v>0</v>
      </c>
      <c r="U45" s="121">
        <v>0</v>
      </c>
      <c r="V45" s="121">
        <v>0</v>
      </c>
      <c r="W45" s="121">
        <v>0</v>
      </c>
      <c r="X45" s="121">
        <v>216.582440668148</v>
      </c>
      <c r="Y45" s="121">
        <v>0</v>
      </c>
      <c r="Z45" s="121">
        <v>0</v>
      </c>
      <c r="AA45" s="121">
        <v>345.13512760138701</v>
      </c>
      <c r="AB45" s="121">
        <v>0</v>
      </c>
      <c r="AC45" s="121">
        <v>-245.32335368474099</v>
      </c>
      <c r="AD45" s="121">
        <v>0</v>
      </c>
      <c r="AE45" s="121">
        <v>19.6117834383071</v>
      </c>
      <c r="AF45" s="121">
        <v>0.42431515873872799</v>
      </c>
      <c r="AG45" s="121">
        <v>0.339801866716745</v>
      </c>
      <c r="AH45" s="121">
        <v>0.37124355204593901</v>
      </c>
      <c r="AI45" s="121">
        <v>0</v>
      </c>
      <c r="AJ45" s="121">
        <v>-12.592029417653601</v>
      </c>
      <c r="AK45" s="121">
        <v>2.2270651360016598</v>
      </c>
      <c r="AL45" s="121">
        <v>25.911657909847602</v>
      </c>
      <c r="AM45" s="121">
        <v>0</v>
      </c>
      <c r="AN45" s="121">
        <v>194.07914810254101</v>
      </c>
      <c r="AO45" s="121">
        <v>5.1918287206524001</v>
      </c>
      <c r="AP45" s="121">
        <v>3.8603957966071301</v>
      </c>
      <c r="AQ45" s="121">
        <v>0</v>
      </c>
      <c r="AR45" s="121">
        <v>0</v>
      </c>
      <c r="AS45" s="121">
        <v>27.040984488670901</v>
      </c>
      <c r="AT45" s="122">
        <v>4.3209492633326398</v>
      </c>
    </row>
    <row r="46" spans="2:46" ht="12" customHeight="1" x14ac:dyDescent="0.25">
      <c r="B46" s="120" t="s">
        <v>33</v>
      </c>
      <c r="C46" s="121" t="s">
        <v>50</v>
      </c>
      <c r="D46" s="121" t="s">
        <v>25</v>
      </c>
      <c r="E46" s="121" t="s">
        <v>25</v>
      </c>
      <c r="F46" s="121" t="s">
        <v>25</v>
      </c>
      <c r="G46" s="121" t="s">
        <v>38</v>
      </c>
      <c r="H46" s="121" t="s">
        <v>74</v>
      </c>
      <c r="I46" s="121" t="s">
        <v>25</v>
      </c>
      <c r="J46" s="121">
        <v>261.33999999999997</v>
      </c>
      <c r="K46" s="121">
        <v>250.04</v>
      </c>
      <c r="L46" s="121">
        <v>0</v>
      </c>
      <c r="M46" s="121">
        <v>0.76436358080272804</v>
      </c>
      <c r="N46" s="121">
        <v>3.0161734440763799</v>
      </c>
      <c r="O46" s="121">
        <v>0</v>
      </c>
      <c r="P46" s="121">
        <v>0</v>
      </c>
      <c r="Q46" s="121">
        <v>107.426950206667</v>
      </c>
      <c r="R46" s="121">
        <v>17.1340532644966</v>
      </c>
      <c r="S46" s="121">
        <v>0</v>
      </c>
      <c r="T46" s="121">
        <v>0</v>
      </c>
      <c r="U46" s="121">
        <v>0</v>
      </c>
      <c r="V46" s="121">
        <v>0</v>
      </c>
      <c r="W46" s="121">
        <v>0</v>
      </c>
      <c r="X46" s="121">
        <v>72.194185045755702</v>
      </c>
      <c r="Y46" s="121">
        <v>0</v>
      </c>
      <c r="Z46" s="121">
        <v>0</v>
      </c>
      <c r="AA46" s="121">
        <v>115.045076493477</v>
      </c>
      <c r="AB46" s="121">
        <v>0</v>
      </c>
      <c r="AC46" s="121">
        <v>-74.987946051084506</v>
      </c>
      <c r="AD46" s="121">
        <v>0</v>
      </c>
      <c r="AE46" s="121">
        <v>19.6117834383071</v>
      </c>
      <c r="AF46" s="121">
        <v>0.42431515873872799</v>
      </c>
      <c r="AG46" s="121">
        <v>0.339801866716745</v>
      </c>
      <c r="AH46" s="121">
        <v>0.37124355204593901</v>
      </c>
      <c r="AI46" s="121">
        <v>0</v>
      </c>
      <c r="AJ46" s="121">
        <v>-12.592029417653601</v>
      </c>
      <c r="AK46" s="121">
        <v>2.2270651360016598</v>
      </c>
      <c r="AL46" s="121">
        <v>25.911657909847602</v>
      </c>
      <c r="AM46" s="121">
        <v>0</v>
      </c>
      <c r="AN46" s="121">
        <v>194.07914810254101</v>
      </c>
      <c r="AO46" s="121">
        <v>5.1918287206524001</v>
      </c>
      <c r="AP46" s="121">
        <v>3.8603957966071301</v>
      </c>
      <c r="AQ46" s="121">
        <v>0</v>
      </c>
      <c r="AR46" s="121">
        <v>0</v>
      </c>
      <c r="AS46" s="121">
        <v>27.040984488670901</v>
      </c>
      <c r="AT46" s="122">
        <v>4.3209492633326398</v>
      </c>
    </row>
    <row r="47" spans="2:46" ht="12" customHeight="1" x14ac:dyDescent="0.25">
      <c r="B47" s="120" t="s">
        <v>33</v>
      </c>
      <c r="C47" s="121" t="s">
        <v>23</v>
      </c>
      <c r="D47" s="121" t="s">
        <v>25</v>
      </c>
      <c r="E47" s="121" t="s">
        <v>25</v>
      </c>
      <c r="F47" s="121" t="s">
        <v>25</v>
      </c>
      <c r="G47" s="121" t="s">
        <v>25</v>
      </c>
      <c r="H47" s="121" t="s">
        <v>74</v>
      </c>
      <c r="I47" s="121" t="s">
        <v>25</v>
      </c>
      <c r="J47" s="121">
        <v>310.49</v>
      </c>
      <c r="K47" s="121">
        <v>262.52999999999997</v>
      </c>
      <c r="L47" s="121">
        <v>0</v>
      </c>
      <c r="M47" s="121">
        <v>0.76436358080272804</v>
      </c>
      <c r="N47" s="121">
        <v>4.0312657257492504</v>
      </c>
      <c r="O47" s="121">
        <v>0</v>
      </c>
      <c r="P47" s="121">
        <v>0</v>
      </c>
      <c r="Q47" s="121">
        <v>107.426950206667</v>
      </c>
      <c r="R47" s="121">
        <v>17.1340532644966</v>
      </c>
      <c r="S47" s="121">
        <v>0</v>
      </c>
      <c r="T47" s="121">
        <v>0</v>
      </c>
      <c r="U47" s="121">
        <v>0</v>
      </c>
      <c r="V47" s="121">
        <v>0</v>
      </c>
      <c r="W47" s="121">
        <v>0</v>
      </c>
      <c r="X47" s="121">
        <v>103.13450100717201</v>
      </c>
      <c r="Y47" s="121">
        <v>0</v>
      </c>
      <c r="Z47" s="121">
        <v>0</v>
      </c>
      <c r="AA47" s="121">
        <v>164.350051059799</v>
      </c>
      <c r="AB47" s="121">
        <v>0</v>
      </c>
      <c r="AC47" s="121">
        <v>-107.098328860495</v>
      </c>
      <c r="AD47" s="121">
        <v>0</v>
      </c>
      <c r="AE47" s="121">
        <v>19.6117834383071</v>
      </c>
      <c r="AF47" s="121">
        <v>0.42431515873872799</v>
      </c>
      <c r="AG47" s="121">
        <v>0.339801866716745</v>
      </c>
      <c r="AH47" s="121">
        <v>0.37124355204593901</v>
      </c>
      <c r="AI47" s="121">
        <v>0</v>
      </c>
      <c r="AJ47" s="121">
        <v>-12.592029417653601</v>
      </c>
      <c r="AK47" s="121">
        <v>2.2270651360016598</v>
      </c>
      <c r="AL47" s="121">
        <v>25.911657909847602</v>
      </c>
      <c r="AM47" s="121">
        <v>0</v>
      </c>
      <c r="AN47" s="121">
        <v>205.72389698869401</v>
      </c>
      <c r="AO47" s="121">
        <v>5.1918287206524001</v>
      </c>
      <c r="AP47" s="121">
        <v>3.8603957966071301</v>
      </c>
      <c r="AQ47" s="121">
        <v>0</v>
      </c>
      <c r="AR47" s="121">
        <v>0</v>
      </c>
      <c r="AS47" s="121">
        <v>27.886235602518401</v>
      </c>
      <c r="AT47" s="122">
        <v>4.3209492633326398</v>
      </c>
    </row>
    <row r="48" spans="2:46" ht="12" customHeight="1" x14ac:dyDescent="0.25">
      <c r="B48" s="120" t="s">
        <v>33</v>
      </c>
      <c r="C48" s="121" t="s">
        <v>89</v>
      </c>
      <c r="D48" s="121" t="s">
        <v>25</v>
      </c>
      <c r="E48" s="121" t="s">
        <v>25</v>
      </c>
      <c r="F48" s="121" t="s">
        <v>25</v>
      </c>
      <c r="G48" s="121" t="s">
        <v>25</v>
      </c>
      <c r="H48" s="121" t="s">
        <v>74</v>
      </c>
      <c r="I48" s="121" t="s">
        <v>25</v>
      </c>
      <c r="J48" s="121">
        <v>310.49</v>
      </c>
      <c r="K48" s="121">
        <v>262.52999999999997</v>
      </c>
      <c r="L48" s="121">
        <v>0</v>
      </c>
      <c r="M48" s="121">
        <v>0.76436358080272804</v>
      </c>
      <c r="N48" s="121">
        <v>4.0312657257492504</v>
      </c>
      <c r="O48" s="121">
        <v>0</v>
      </c>
      <c r="P48" s="121">
        <v>0</v>
      </c>
      <c r="Q48" s="121">
        <v>107.426950206667</v>
      </c>
      <c r="R48" s="121">
        <v>17.1340532644966</v>
      </c>
      <c r="S48" s="121">
        <v>0</v>
      </c>
      <c r="T48" s="121">
        <v>0</v>
      </c>
      <c r="U48" s="121">
        <v>0</v>
      </c>
      <c r="V48" s="121">
        <v>0</v>
      </c>
      <c r="W48" s="121">
        <v>0</v>
      </c>
      <c r="X48" s="121">
        <v>103.13450100717201</v>
      </c>
      <c r="Y48" s="121">
        <v>0</v>
      </c>
      <c r="Z48" s="121">
        <v>0</v>
      </c>
      <c r="AA48" s="121">
        <v>164.350051059799</v>
      </c>
      <c r="AB48" s="121">
        <v>0</v>
      </c>
      <c r="AC48" s="121">
        <v>-107.098328860495</v>
      </c>
      <c r="AD48" s="121">
        <v>0</v>
      </c>
      <c r="AE48" s="121">
        <v>19.6117834383071</v>
      </c>
      <c r="AF48" s="121">
        <v>0.42431515873872799</v>
      </c>
      <c r="AG48" s="121">
        <v>0.339801866716745</v>
      </c>
      <c r="AH48" s="121">
        <v>0.37124355204593901</v>
      </c>
      <c r="AI48" s="121">
        <v>0</v>
      </c>
      <c r="AJ48" s="121">
        <v>-12.592029417653601</v>
      </c>
      <c r="AK48" s="121">
        <v>2.2270651360016598</v>
      </c>
      <c r="AL48" s="121">
        <v>25.911657909847602</v>
      </c>
      <c r="AM48" s="121">
        <v>0</v>
      </c>
      <c r="AN48" s="121">
        <v>205.72389698869401</v>
      </c>
      <c r="AO48" s="121">
        <v>5.1918287206524001</v>
      </c>
      <c r="AP48" s="121">
        <v>3.8603957966071301</v>
      </c>
      <c r="AQ48" s="121">
        <v>0</v>
      </c>
      <c r="AR48" s="121">
        <v>0</v>
      </c>
      <c r="AS48" s="121">
        <v>27.886235602518401</v>
      </c>
      <c r="AT48" s="122">
        <v>4.3209492633326398</v>
      </c>
    </row>
    <row r="49" spans="2:46" ht="12" customHeight="1" x14ac:dyDescent="0.25">
      <c r="B49" s="120" t="s">
        <v>44</v>
      </c>
      <c r="C49" s="121" t="s">
        <v>23</v>
      </c>
      <c r="D49" s="121" t="s">
        <v>45</v>
      </c>
      <c r="E49" s="121" t="s">
        <v>46</v>
      </c>
      <c r="F49" s="121" t="s">
        <v>25</v>
      </c>
      <c r="G49" s="121" t="s">
        <v>25</v>
      </c>
      <c r="H49" s="121" t="s">
        <v>74</v>
      </c>
      <c r="I49" s="121" t="s">
        <v>25</v>
      </c>
      <c r="J49" s="121">
        <v>170.77</v>
      </c>
      <c r="K49" s="121">
        <v>144.38999999999999</v>
      </c>
      <c r="L49" s="121">
        <v>0</v>
      </c>
      <c r="M49" s="121">
        <v>0.42039996944149999</v>
      </c>
      <c r="N49" s="121">
        <v>2.2171961491620902</v>
      </c>
      <c r="O49" s="121">
        <v>0</v>
      </c>
      <c r="P49" s="121">
        <v>0</v>
      </c>
      <c r="Q49" s="121">
        <v>59.0848226136671</v>
      </c>
      <c r="R49" s="121">
        <v>9.4237292954731497</v>
      </c>
      <c r="S49" s="121">
        <v>0</v>
      </c>
      <c r="T49" s="121">
        <v>0</v>
      </c>
      <c r="U49" s="121">
        <v>0</v>
      </c>
      <c r="V49" s="121">
        <v>0</v>
      </c>
      <c r="W49" s="121">
        <v>0</v>
      </c>
      <c r="X49" s="121">
        <v>56.7239755539443</v>
      </c>
      <c r="Y49" s="121">
        <v>0</v>
      </c>
      <c r="Z49" s="121">
        <v>0</v>
      </c>
      <c r="AA49" s="121">
        <v>90.392528082889697</v>
      </c>
      <c r="AB49" s="121">
        <v>0</v>
      </c>
      <c r="AC49" s="121">
        <v>-58.903580873272503</v>
      </c>
      <c r="AD49" s="121">
        <v>0</v>
      </c>
      <c r="AE49" s="121">
        <v>10.7864808910689</v>
      </c>
      <c r="AF49" s="121">
        <v>0.233373337306301</v>
      </c>
      <c r="AG49" s="121">
        <v>0.18689102669421001</v>
      </c>
      <c r="AH49" s="121">
        <v>0.20418395362526701</v>
      </c>
      <c r="AI49" s="121">
        <v>0</v>
      </c>
      <c r="AJ49" s="121">
        <v>-6.9256161797095004</v>
      </c>
      <c r="AK49" s="121">
        <v>1.22488582480091</v>
      </c>
      <c r="AL49" s="121">
        <v>14.251411850416201</v>
      </c>
      <c r="AM49" s="121">
        <v>0</v>
      </c>
      <c r="AN49" s="121">
        <v>113.148143343782</v>
      </c>
      <c r="AO49" s="121">
        <v>2.8555057963588202</v>
      </c>
      <c r="AP49" s="121">
        <v>2.12321768813392</v>
      </c>
      <c r="AQ49" s="121">
        <v>0</v>
      </c>
      <c r="AR49" s="121">
        <v>0</v>
      </c>
      <c r="AS49" s="121">
        <v>15.3359295813851</v>
      </c>
      <c r="AT49" s="122">
        <v>2.37652209483295</v>
      </c>
    </row>
    <row r="50" spans="2:46" ht="12" customHeight="1" x14ac:dyDescent="0.25">
      <c r="B50" s="123" t="s">
        <v>44</v>
      </c>
      <c r="C50" s="124" t="s">
        <v>23</v>
      </c>
      <c r="D50" s="124" t="s">
        <v>45</v>
      </c>
      <c r="E50" s="124" t="s">
        <v>92</v>
      </c>
      <c r="F50" s="124" t="s">
        <v>25</v>
      </c>
      <c r="G50" s="124" t="s">
        <v>25</v>
      </c>
      <c r="H50" s="124" t="s">
        <v>74</v>
      </c>
      <c r="I50" s="124" t="s">
        <v>25</v>
      </c>
      <c r="J50" s="124">
        <v>186.29</v>
      </c>
      <c r="K50" s="124">
        <v>157.52000000000001</v>
      </c>
      <c r="L50" s="124">
        <v>0</v>
      </c>
      <c r="M50" s="124">
        <v>0.45861814848163701</v>
      </c>
      <c r="N50" s="124">
        <v>2.4187594354495499</v>
      </c>
      <c r="O50" s="124">
        <v>0</v>
      </c>
      <c r="P50" s="124">
        <v>0</v>
      </c>
      <c r="Q50" s="124">
        <v>64.456170124000494</v>
      </c>
      <c r="R50" s="124">
        <v>10.280431958697999</v>
      </c>
      <c r="S50" s="124">
        <v>0</v>
      </c>
      <c r="T50" s="124">
        <v>0</v>
      </c>
      <c r="U50" s="124">
        <v>0</v>
      </c>
      <c r="V50" s="124">
        <v>0</v>
      </c>
      <c r="W50" s="124">
        <v>0</v>
      </c>
      <c r="X50" s="124">
        <v>61.880700604302902</v>
      </c>
      <c r="Y50" s="124">
        <v>0</v>
      </c>
      <c r="Z50" s="124">
        <v>0</v>
      </c>
      <c r="AA50" s="124">
        <v>98.610030635879596</v>
      </c>
      <c r="AB50" s="124">
        <v>0</v>
      </c>
      <c r="AC50" s="124">
        <v>-64.262997316297302</v>
      </c>
      <c r="AD50" s="124">
        <v>0</v>
      </c>
      <c r="AE50" s="124">
        <v>11.767070062984301</v>
      </c>
      <c r="AF50" s="124">
        <v>0.25458909524323697</v>
      </c>
      <c r="AG50" s="124">
        <v>0.20388112003004699</v>
      </c>
      <c r="AH50" s="124">
        <v>0.22274613122756401</v>
      </c>
      <c r="AI50" s="124">
        <v>0</v>
      </c>
      <c r="AJ50" s="124">
        <v>-7.55521765059218</v>
      </c>
      <c r="AK50" s="124">
        <v>1.3362390816009999</v>
      </c>
      <c r="AL50" s="124">
        <v>15.5469947459086</v>
      </c>
      <c r="AM50" s="124">
        <v>0</v>
      </c>
      <c r="AN50" s="124">
        <v>123.43433819321601</v>
      </c>
      <c r="AO50" s="124">
        <v>3.1150972323914399</v>
      </c>
      <c r="AP50" s="124">
        <v>2.3162374779642798</v>
      </c>
      <c r="AQ50" s="124">
        <v>0</v>
      </c>
      <c r="AR50" s="124">
        <v>0</v>
      </c>
      <c r="AS50" s="124">
        <v>16.733741361511001</v>
      </c>
      <c r="AT50" s="125">
        <v>2.59256955799958</v>
      </c>
    </row>
  </sheetData>
  <mergeCells count="7">
    <mergeCell ref="L1:AT1"/>
    <mergeCell ref="L2:S2"/>
    <mergeCell ref="T2:Z2"/>
    <mergeCell ref="AB2:AD2"/>
    <mergeCell ref="AE2:AH2"/>
    <mergeCell ref="AI2:AM2"/>
    <mergeCell ref="AO2:AS2"/>
  </mergeCells>
  <phoneticPr fontId="1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203B6-8BD8-4738-9095-ED410D069F5B}">
  <dimension ref="B1:AT50"/>
  <sheetViews>
    <sheetView showGridLines="0" workbookViewId="0">
      <selection activeCell="B4" sqref="B4"/>
    </sheetView>
  </sheetViews>
  <sheetFormatPr defaultRowHeight="15" x14ac:dyDescent="0.25"/>
  <cols>
    <col min="2" max="2" width="13.42578125" bestFit="1" customWidth="1"/>
    <col min="3" max="3" width="27.7109375" bestFit="1" customWidth="1"/>
    <col min="4" max="4" width="17.85546875" bestFit="1" customWidth="1"/>
    <col min="5" max="5" width="31.140625" bestFit="1" customWidth="1"/>
    <col min="6" max="6" width="12.5703125" bestFit="1" customWidth="1"/>
    <col min="7" max="7" width="13.42578125" bestFit="1" customWidth="1"/>
    <col min="8" max="8" width="11.5703125" bestFit="1" customWidth="1"/>
    <col min="9" max="9" width="13.42578125" bestFit="1" customWidth="1"/>
    <col min="10" max="10" width="12.85546875" bestFit="1" customWidth="1"/>
    <col min="11" max="11" width="10.140625" bestFit="1" customWidth="1"/>
    <col min="12" max="12" width="19.28515625" bestFit="1" customWidth="1"/>
    <col min="13" max="13" width="14" bestFit="1" customWidth="1"/>
    <col min="14" max="14" width="12.5703125" bestFit="1" customWidth="1"/>
    <col min="15" max="15" width="12.85546875" bestFit="1" customWidth="1"/>
    <col min="16" max="17" width="12.42578125" bestFit="1" customWidth="1"/>
    <col min="18" max="18" width="17.140625" bestFit="1" customWidth="1"/>
    <col min="19" max="19" width="10.85546875" bestFit="1" customWidth="1"/>
    <col min="20" max="20" width="11.28515625" bestFit="1" customWidth="1"/>
    <col min="21" max="21" width="11.140625" bestFit="1" customWidth="1"/>
    <col min="22" max="22" width="12.28515625" bestFit="1" customWidth="1"/>
    <col min="23" max="23" width="12.5703125" bestFit="1" customWidth="1"/>
    <col min="24" max="24" width="13.85546875" bestFit="1" customWidth="1"/>
    <col min="25" max="25" width="11.42578125" bestFit="1" customWidth="1"/>
    <col min="26" max="26" width="14.28515625" bestFit="1" customWidth="1"/>
    <col min="27" max="27" width="12.85546875" bestFit="1" customWidth="1"/>
    <col min="28" max="28" width="16.140625" bestFit="1" customWidth="1"/>
    <col min="29" max="29" width="25" bestFit="1" customWidth="1"/>
    <col min="30" max="30" width="14.42578125" bestFit="1" customWidth="1"/>
    <col min="31" max="31" width="12" bestFit="1" customWidth="1"/>
    <col min="32" max="32" width="17.7109375" bestFit="1" customWidth="1"/>
    <col min="33" max="33" width="12.5703125" bestFit="1" customWidth="1"/>
    <col min="34" max="34" width="12" bestFit="1" customWidth="1"/>
    <col min="35" max="35" width="16.5703125" bestFit="1" customWidth="1"/>
    <col min="36" max="36" width="14.5703125" bestFit="1" customWidth="1"/>
    <col min="37" max="37" width="12" bestFit="1" customWidth="1"/>
    <col min="38" max="38" width="12.5703125" bestFit="1" customWidth="1"/>
    <col min="39" max="39" width="12.28515625" bestFit="1" customWidth="1"/>
    <col min="40" max="40" width="14.140625" bestFit="1" customWidth="1"/>
    <col min="41" max="41" width="25.28515625" bestFit="1" customWidth="1"/>
    <col min="42" max="42" width="17.85546875" bestFit="1" customWidth="1"/>
    <col min="43" max="43" width="13.42578125" bestFit="1" customWidth="1"/>
    <col min="44" max="44" width="13.28515625" bestFit="1" customWidth="1"/>
    <col min="45" max="45" width="22.140625" bestFit="1" customWidth="1"/>
    <col min="46" max="46" width="12.5703125" bestFit="1" customWidth="1"/>
  </cols>
  <sheetData>
    <row r="1" spans="2:46" ht="12" customHeight="1" x14ac:dyDescent="0.25">
      <c r="L1" s="168" t="s">
        <v>1286</v>
      </c>
      <c r="M1" s="168"/>
      <c r="N1" s="168"/>
      <c r="O1" s="168"/>
      <c r="P1" s="168"/>
      <c r="Q1" s="168"/>
      <c r="R1" s="168"/>
      <c r="S1" s="168"/>
      <c r="T1" s="168"/>
      <c r="U1" s="168"/>
      <c r="V1" s="168"/>
      <c r="W1" s="168"/>
      <c r="X1" s="168"/>
      <c r="Y1" s="168"/>
      <c r="Z1" s="168"/>
      <c r="AA1" s="168"/>
      <c r="AB1" s="168"/>
      <c r="AC1" s="168"/>
      <c r="AD1" s="168"/>
      <c r="AE1" s="168"/>
      <c r="AF1" s="168"/>
      <c r="AG1" s="168"/>
      <c r="AH1" s="168"/>
      <c r="AI1" s="168"/>
      <c r="AJ1" s="168"/>
      <c r="AK1" s="168"/>
      <c r="AL1" s="168"/>
      <c r="AM1" s="168"/>
      <c r="AN1" s="168"/>
      <c r="AO1" s="168"/>
      <c r="AP1" s="168"/>
      <c r="AQ1" s="168"/>
      <c r="AR1" s="168"/>
      <c r="AS1" s="168"/>
      <c r="AT1" s="168"/>
    </row>
    <row r="2" spans="2:46" ht="12" customHeight="1" x14ac:dyDescent="0.25">
      <c r="L2" s="169" t="s">
        <v>461</v>
      </c>
      <c r="M2" s="169"/>
      <c r="N2" s="169"/>
      <c r="O2" s="169"/>
      <c r="P2" s="169"/>
      <c r="Q2" s="169"/>
      <c r="R2" s="169"/>
      <c r="S2" s="170"/>
      <c r="T2" s="169" t="s">
        <v>470</v>
      </c>
      <c r="U2" s="169"/>
      <c r="V2" s="169"/>
      <c r="W2" s="169"/>
      <c r="X2" s="169"/>
      <c r="Y2" s="169"/>
      <c r="Z2" s="170"/>
      <c r="AA2" s="127" t="s">
        <v>478</v>
      </c>
      <c r="AB2" s="169" t="s">
        <v>25</v>
      </c>
      <c r="AC2" s="169"/>
      <c r="AD2" s="170"/>
      <c r="AE2" s="169" t="s">
        <v>1285</v>
      </c>
      <c r="AF2" s="169"/>
      <c r="AG2" s="169"/>
      <c r="AH2" s="170"/>
      <c r="AI2" s="169" t="s">
        <v>461</v>
      </c>
      <c r="AJ2" s="169"/>
      <c r="AK2" s="169"/>
      <c r="AL2" s="169"/>
      <c r="AM2" s="170"/>
      <c r="AN2" s="127" t="s">
        <v>492</v>
      </c>
      <c r="AO2" s="169" t="s">
        <v>470</v>
      </c>
      <c r="AP2" s="169"/>
      <c r="AQ2" s="169"/>
      <c r="AR2" s="169"/>
      <c r="AS2" s="170"/>
      <c r="AT2" s="126" t="s">
        <v>1285</v>
      </c>
    </row>
    <row r="3" spans="2:46" ht="12" customHeight="1" x14ac:dyDescent="0.25">
      <c r="B3" s="117" t="s">
        <v>64</v>
      </c>
      <c r="C3" s="118" t="s">
        <v>65</v>
      </c>
      <c r="D3" s="118" t="s">
        <v>66</v>
      </c>
      <c r="E3" s="118" t="s">
        <v>67</v>
      </c>
      <c r="F3" s="118" t="s">
        <v>68</v>
      </c>
      <c r="G3" s="118" t="s">
        <v>70</v>
      </c>
      <c r="H3" s="118" t="s">
        <v>71</v>
      </c>
      <c r="I3" s="118" t="s">
        <v>731</v>
      </c>
      <c r="J3" s="118" t="s">
        <v>1249</v>
      </c>
      <c r="K3" s="118" t="s">
        <v>1250</v>
      </c>
      <c r="L3" s="118" t="s">
        <v>1251</v>
      </c>
      <c r="M3" s="118" t="s">
        <v>1252</v>
      </c>
      <c r="N3" s="118" t="s">
        <v>1253</v>
      </c>
      <c r="O3" s="118" t="s">
        <v>1254</v>
      </c>
      <c r="P3" s="118" t="s">
        <v>1255</v>
      </c>
      <c r="Q3" s="118" t="s">
        <v>1256</v>
      </c>
      <c r="R3" s="118" t="s">
        <v>1257</v>
      </c>
      <c r="S3" s="118" t="s">
        <v>1258</v>
      </c>
      <c r="T3" s="118" t="s">
        <v>1259</v>
      </c>
      <c r="U3" s="118" t="s">
        <v>1260</v>
      </c>
      <c r="V3" s="118" t="s">
        <v>1261</v>
      </c>
      <c r="W3" s="118" t="s">
        <v>1262</v>
      </c>
      <c r="X3" s="118" t="s">
        <v>1263</v>
      </c>
      <c r="Y3" s="118" t="s">
        <v>1264</v>
      </c>
      <c r="Z3" s="118" t="s">
        <v>1265</v>
      </c>
      <c r="AA3" s="118" t="s">
        <v>1266</v>
      </c>
      <c r="AB3" s="118" t="s">
        <v>1267</v>
      </c>
      <c r="AC3" s="118" t="s">
        <v>1288</v>
      </c>
      <c r="AD3" s="118" t="s">
        <v>1268</v>
      </c>
      <c r="AE3" s="118" t="s">
        <v>1269</v>
      </c>
      <c r="AF3" s="118" t="s">
        <v>1270</v>
      </c>
      <c r="AG3" s="118" t="s">
        <v>1271</v>
      </c>
      <c r="AH3" s="118" t="s">
        <v>1272</v>
      </c>
      <c r="AI3" s="118" t="s">
        <v>1273</v>
      </c>
      <c r="AJ3" s="118" t="s">
        <v>1274</v>
      </c>
      <c r="AK3" s="118" t="s">
        <v>1275</v>
      </c>
      <c r="AL3" s="118" t="s">
        <v>1276</v>
      </c>
      <c r="AM3" s="118" t="s">
        <v>1277</v>
      </c>
      <c r="AN3" s="118" t="s">
        <v>1278</v>
      </c>
      <c r="AO3" s="118" t="s">
        <v>1279</v>
      </c>
      <c r="AP3" s="118" t="s">
        <v>1280</v>
      </c>
      <c r="AQ3" s="118" t="s">
        <v>1281</v>
      </c>
      <c r="AR3" s="118" t="s">
        <v>1282</v>
      </c>
      <c r="AS3" s="118" t="s">
        <v>1289</v>
      </c>
      <c r="AT3" s="119" t="s">
        <v>1283</v>
      </c>
    </row>
    <row r="4" spans="2:46" ht="12" customHeight="1" x14ac:dyDescent="0.25">
      <c r="B4" s="120" t="s">
        <v>35</v>
      </c>
      <c r="C4" s="121" t="s">
        <v>36</v>
      </c>
      <c r="D4" s="121" t="s">
        <v>25</v>
      </c>
      <c r="E4" s="121" t="s">
        <v>25</v>
      </c>
      <c r="F4" s="121" t="s">
        <v>82</v>
      </c>
      <c r="G4" s="121" t="s">
        <v>37</v>
      </c>
      <c r="H4" s="121" t="s">
        <v>74</v>
      </c>
      <c r="I4" s="121" t="s">
        <v>25</v>
      </c>
      <c r="J4" s="121">
        <v>9.81</v>
      </c>
      <c r="K4" s="121">
        <v>0</v>
      </c>
      <c r="L4" s="121">
        <v>0</v>
      </c>
      <c r="M4" s="121">
        <v>0.29927193074480801</v>
      </c>
      <c r="N4" s="121">
        <v>0.30485771171615</v>
      </c>
      <c r="O4" s="121">
        <v>0</v>
      </c>
      <c r="P4" s="121">
        <v>0</v>
      </c>
      <c r="Q4" s="121">
        <v>0</v>
      </c>
      <c r="R4" s="121">
        <v>0</v>
      </c>
      <c r="S4" s="121">
        <v>0</v>
      </c>
      <c r="T4" s="121">
        <v>0</v>
      </c>
      <c r="U4" s="121">
        <v>0</v>
      </c>
      <c r="V4" s="121">
        <v>0</v>
      </c>
      <c r="W4" s="121">
        <v>0</v>
      </c>
      <c r="X4" s="121">
        <v>0</v>
      </c>
      <c r="Y4" s="121">
        <v>0</v>
      </c>
      <c r="Z4" s="121">
        <v>0</v>
      </c>
      <c r="AA4" s="121">
        <v>0</v>
      </c>
      <c r="AB4" s="121">
        <v>0</v>
      </c>
      <c r="AC4" s="121">
        <v>0</v>
      </c>
      <c r="AD4" s="121">
        <v>0</v>
      </c>
      <c r="AE4" s="121">
        <v>8.5913193591406092</v>
      </c>
      <c r="AF4" s="121">
        <v>0.185879425454411</v>
      </c>
      <c r="AG4" s="121">
        <v>0.208926825528576</v>
      </c>
      <c r="AH4" s="121">
        <v>0.21935969133752201</v>
      </c>
      <c r="AI4" s="121">
        <v>0</v>
      </c>
      <c r="AJ4" s="121">
        <v>0</v>
      </c>
      <c r="AK4" s="121">
        <v>0</v>
      </c>
      <c r="AL4" s="121">
        <v>0</v>
      </c>
      <c r="AM4" s="121">
        <v>0</v>
      </c>
      <c r="AN4" s="121">
        <v>0</v>
      </c>
      <c r="AO4" s="121">
        <v>0</v>
      </c>
      <c r="AP4" s="121">
        <v>0</v>
      </c>
      <c r="AQ4" s="121">
        <v>0</v>
      </c>
      <c r="AR4" s="121">
        <v>0</v>
      </c>
      <c r="AS4" s="121">
        <v>0</v>
      </c>
      <c r="AT4" s="122">
        <v>0</v>
      </c>
    </row>
    <row r="5" spans="2:46" ht="12" customHeight="1" x14ac:dyDescent="0.25">
      <c r="B5" s="120" t="s">
        <v>35</v>
      </c>
      <c r="C5" s="121" t="s">
        <v>36</v>
      </c>
      <c r="D5" s="121" t="s">
        <v>25</v>
      </c>
      <c r="E5" s="121" t="s">
        <v>25</v>
      </c>
      <c r="F5" s="121" t="s">
        <v>82</v>
      </c>
      <c r="G5" s="121" t="s">
        <v>37</v>
      </c>
      <c r="H5" s="121" t="s">
        <v>79</v>
      </c>
      <c r="I5" s="121" t="s">
        <v>25</v>
      </c>
      <c r="J5" s="121">
        <v>56.66</v>
      </c>
      <c r="K5" s="121">
        <v>0</v>
      </c>
      <c r="L5" s="121">
        <v>0</v>
      </c>
      <c r="M5" s="121">
        <v>0</v>
      </c>
      <c r="N5" s="121">
        <v>0</v>
      </c>
      <c r="O5" s="121">
        <v>0</v>
      </c>
      <c r="P5" s="121">
        <v>0</v>
      </c>
      <c r="Q5" s="121">
        <v>0</v>
      </c>
      <c r="R5" s="121">
        <v>0</v>
      </c>
      <c r="S5" s="121">
        <v>0</v>
      </c>
      <c r="T5" s="121">
        <v>0</v>
      </c>
      <c r="U5" s="121">
        <v>0</v>
      </c>
      <c r="V5" s="121">
        <v>0</v>
      </c>
      <c r="W5" s="121">
        <v>0</v>
      </c>
      <c r="X5" s="121">
        <v>32.666952626247699</v>
      </c>
      <c r="Y5" s="121">
        <v>0</v>
      </c>
      <c r="Z5" s="121">
        <v>0</v>
      </c>
      <c r="AA5" s="121">
        <v>23.9893335371627</v>
      </c>
      <c r="AB5" s="121">
        <v>0</v>
      </c>
      <c r="AC5" s="121">
        <v>0</v>
      </c>
      <c r="AD5" s="121">
        <v>0</v>
      </c>
      <c r="AE5" s="121">
        <v>0</v>
      </c>
      <c r="AF5" s="121">
        <v>0</v>
      </c>
      <c r="AG5" s="121">
        <v>0</v>
      </c>
      <c r="AH5" s="121">
        <v>0</v>
      </c>
      <c r="AI5" s="121">
        <v>0</v>
      </c>
      <c r="AJ5" s="121">
        <v>0</v>
      </c>
      <c r="AK5" s="121">
        <v>0</v>
      </c>
      <c r="AL5" s="121">
        <v>0</v>
      </c>
      <c r="AM5" s="121">
        <v>0</v>
      </c>
      <c r="AN5" s="121">
        <v>0</v>
      </c>
      <c r="AO5" s="121">
        <v>0</v>
      </c>
      <c r="AP5" s="121">
        <v>0</v>
      </c>
      <c r="AQ5" s="121">
        <v>0</v>
      </c>
      <c r="AR5" s="121">
        <v>0</v>
      </c>
      <c r="AS5" s="121">
        <v>0</v>
      </c>
      <c r="AT5" s="122">
        <v>0</v>
      </c>
    </row>
    <row r="6" spans="2:46" ht="12" customHeight="1" x14ac:dyDescent="0.25">
      <c r="B6" s="120" t="s">
        <v>35</v>
      </c>
      <c r="C6" s="121" t="s">
        <v>36</v>
      </c>
      <c r="D6" s="121" t="s">
        <v>25</v>
      </c>
      <c r="E6" s="121" t="s">
        <v>25</v>
      </c>
      <c r="F6" s="121" t="s">
        <v>82</v>
      </c>
      <c r="G6" s="121" t="s">
        <v>38</v>
      </c>
      <c r="H6" s="121" t="s">
        <v>74</v>
      </c>
      <c r="I6" s="121" t="s">
        <v>25</v>
      </c>
      <c r="J6" s="121">
        <v>9.81</v>
      </c>
      <c r="K6" s="121">
        <v>0</v>
      </c>
      <c r="L6" s="121">
        <v>0</v>
      </c>
      <c r="M6" s="121">
        <v>0.29927193074480801</v>
      </c>
      <c r="N6" s="121">
        <v>0.30485771171615</v>
      </c>
      <c r="O6" s="121">
        <v>0</v>
      </c>
      <c r="P6" s="121">
        <v>0</v>
      </c>
      <c r="Q6" s="121">
        <v>0</v>
      </c>
      <c r="R6" s="121">
        <v>0</v>
      </c>
      <c r="S6" s="121">
        <v>0</v>
      </c>
      <c r="T6" s="121">
        <v>0</v>
      </c>
      <c r="U6" s="121">
        <v>0</v>
      </c>
      <c r="V6" s="121">
        <v>0</v>
      </c>
      <c r="W6" s="121">
        <v>0</v>
      </c>
      <c r="X6" s="121">
        <v>0</v>
      </c>
      <c r="Y6" s="121">
        <v>0</v>
      </c>
      <c r="Z6" s="121">
        <v>0</v>
      </c>
      <c r="AA6" s="121">
        <v>0</v>
      </c>
      <c r="AB6" s="121">
        <v>0</v>
      </c>
      <c r="AC6" s="121">
        <v>0</v>
      </c>
      <c r="AD6" s="121">
        <v>0</v>
      </c>
      <c r="AE6" s="121">
        <v>8.5913193591406092</v>
      </c>
      <c r="AF6" s="121">
        <v>0.185879425454411</v>
      </c>
      <c r="AG6" s="121">
        <v>0.208926825528576</v>
      </c>
      <c r="AH6" s="121">
        <v>0.21935969133752201</v>
      </c>
      <c r="AI6" s="121">
        <v>0</v>
      </c>
      <c r="AJ6" s="121">
        <v>0</v>
      </c>
      <c r="AK6" s="121">
        <v>0</v>
      </c>
      <c r="AL6" s="121">
        <v>0</v>
      </c>
      <c r="AM6" s="121">
        <v>0</v>
      </c>
      <c r="AN6" s="121">
        <v>0</v>
      </c>
      <c r="AO6" s="121">
        <v>0</v>
      </c>
      <c r="AP6" s="121">
        <v>0</v>
      </c>
      <c r="AQ6" s="121">
        <v>0</v>
      </c>
      <c r="AR6" s="121">
        <v>0</v>
      </c>
      <c r="AS6" s="121">
        <v>0</v>
      </c>
      <c r="AT6" s="122">
        <v>0</v>
      </c>
    </row>
    <row r="7" spans="2:46" ht="12" customHeight="1" x14ac:dyDescent="0.25">
      <c r="B7" s="120" t="s">
        <v>35</v>
      </c>
      <c r="C7" s="121" t="s">
        <v>36</v>
      </c>
      <c r="D7" s="121" t="s">
        <v>25</v>
      </c>
      <c r="E7" s="121" t="s">
        <v>25</v>
      </c>
      <c r="F7" s="121" t="s">
        <v>82</v>
      </c>
      <c r="G7" s="121" t="s">
        <v>38</v>
      </c>
      <c r="H7" s="121" t="s">
        <v>79</v>
      </c>
      <c r="I7" s="121" t="s">
        <v>25</v>
      </c>
      <c r="J7" s="121">
        <v>21.8</v>
      </c>
      <c r="K7" s="121">
        <v>0</v>
      </c>
      <c r="L7" s="121">
        <v>0</v>
      </c>
      <c r="M7" s="121">
        <v>0</v>
      </c>
      <c r="N7" s="121">
        <v>0</v>
      </c>
      <c r="O7" s="121">
        <v>0</v>
      </c>
      <c r="P7" s="121">
        <v>0</v>
      </c>
      <c r="Q7" s="121">
        <v>0</v>
      </c>
      <c r="R7" s="121">
        <v>0</v>
      </c>
      <c r="S7" s="121">
        <v>0</v>
      </c>
      <c r="T7" s="121">
        <v>0</v>
      </c>
      <c r="U7" s="121">
        <v>0</v>
      </c>
      <c r="V7" s="121">
        <v>0</v>
      </c>
      <c r="W7" s="121">
        <v>0</v>
      </c>
      <c r="X7" s="121">
        <v>12.603078262385599</v>
      </c>
      <c r="Y7" s="121">
        <v>0</v>
      </c>
      <c r="Z7" s="121">
        <v>0</v>
      </c>
      <c r="AA7" s="121">
        <v>9.1977684279711607</v>
      </c>
      <c r="AB7" s="121">
        <v>0</v>
      </c>
      <c r="AC7" s="121">
        <v>0</v>
      </c>
      <c r="AD7" s="121">
        <v>0</v>
      </c>
      <c r="AE7" s="121">
        <v>0</v>
      </c>
      <c r="AF7" s="121">
        <v>0</v>
      </c>
      <c r="AG7" s="121">
        <v>0</v>
      </c>
      <c r="AH7" s="121">
        <v>0</v>
      </c>
      <c r="AI7" s="121">
        <v>0</v>
      </c>
      <c r="AJ7" s="121">
        <v>0</v>
      </c>
      <c r="AK7" s="121">
        <v>0</v>
      </c>
      <c r="AL7" s="121">
        <v>0</v>
      </c>
      <c r="AM7" s="121">
        <v>0</v>
      </c>
      <c r="AN7" s="121">
        <v>0</v>
      </c>
      <c r="AO7" s="121">
        <v>0</v>
      </c>
      <c r="AP7" s="121">
        <v>0</v>
      </c>
      <c r="AQ7" s="121">
        <v>0</v>
      </c>
      <c r="AR7" s="121">
        <v>0</v>
      </c>
      <c r="AS7" s="121">
        <v>0</v>
      </c>
      <c r="AT7" s="122">
        <v>0</v>
      </c>
    </row>
    <row r="8" spans="2:46" ht="12" customHeight="1" x14ac:dyDescent="0.25">
      <c r="B8" s="120" t="s">
        <v>35</v>
      </c>
      <c r="C8" s="121" t="s">
        <v>36</v>
      </c>
      <c r="D8" s="121" t="s">
        <v>25</v>
      </c>
      <c r="E8" s="121" t="s">
        <v>25</v>
      </c>
      <c r="F8" s="121" t="s">
        <v>25</v>
      </c>
      <c r="G8" s="121" t="s">
        <v>37</v>
      </c>
      <c r="H8" s="121" t="s">
        <v>74</v>
      </c>
      <c r="I8" s="121" t="s">
        <v>25</v>
      </c>
      <c r="J8" s="121">
        <v>98.91</v>
      </c>
      <c r="K8" s="121">
        <v>338.86</v>
      </c>
      <c r="L8" s="121">
        <v>0</v>
      </c>
      <c r="M8" s="121">
        <v>0.29927193074480801</v>
      </c>
      <c r="N8" s="121">
        <v>0.31831605801983398</v>
      </c>
      <c r="O8" s="121">
        <v>0</v>
      </c>
      <c r="P8" s="121">
        <v>0</v>
      </c>
      <c r="Q8" s="121">
        <v>75.371777802390596</v>
      </c>
      <c r="R8" s="121">
        <v>13.7196807471675</v>
      </c>
      <c r="S8" s="121">
        <v>0</v>
      </c>
      <c r="T8" s="121">
        <v>0</v>
      </c>
      <c r="U8" s="121">
        <v>0</v>
      </c>
      <c r="V8" s="121">
        <v>0</v>
      </c>
      <c r="W8" s="121">
        <v>0</v>
      </c>
      <c r="X8" s="121">
        <v>0</v>
      </c>
      <c r="Y8" s="121">
        <v>0</v>
      </c>
      <c r="Z8" s="121">
        <v>0</v>
      </c>
      <c r="AA8" s="121">
        <v>0</v>
      </c>
      <c r="AB8" s="121">
        <v>0</v>
      </c>
      <c r="AC8" s="121">
        <v>0</v>
      </c>
      <c r="AD8" s="121">
        <v>0</v>
      </c>
      <c r="AE8" s="121">
        <v>8.5913193591406092</v>
      </c>
      <c r="AF8" s="121">
        <v>0.185879425454411</v>
      </c>
      <c r="AG8" s="121">
        <v>0.208926825528576</v>
      </c>
      <c r="AH8" s="121">
        <v>0.21935969133752201</v>
      </c>
      <c r="AI8" s="121">
        <v>0</v>
      </c>
      <c r="AJ8" s="121">
        <v>-12.592029417653601</v>
      </c>
      <c r="AK8" s="121">
        <v>2.2270727891308999</v>
      </c>
      <c r="AL8" s="121">
        <v>27.930064924409798</v>
      </c>
      <c r="AM8" s="121">
        <v>0</v>
      </c>
      <c r="AN8" s="121">
        <v>312.15851457045102</v>
      </c>
      <c r="AO8" s="121">
        <v>3.0026457250278602</v>
      </c>
      <c r="AP8" s="121">
        <v>2.0904583858010599</v>
      </c>
      <c r="AQ8" s="121">
        <v>0</v>
      </c>
      <c r="AR8" s="121">
        <v>0</v>
      </c>
      <c r="AS8" s="121">
        <v>0</v>
      </c>
      <c r="AT8" s="122">
        <v>4.0406108729328603</v>
      </c>
    </row>
    <row r="9" spans="2:46" ht="12" customHeight="1" x14ac:dyDescent="0.25">
      <c r="B9" s="120" t="s">
        <v>35</v>
      </c>
      <c r="C9" s="121" t="s">
        <v>36</v>
      </c>
      <c r="D9" s="121" t="s">
        <v>25</v>
      </c>
      <c r="E9" s="121" t="s">
        <v>25</v>
      </c>
      <c r="F9" s="121" t="s">
        <v>25</v>
      </c>
      <c r="G9" s="121" t="s">
        <v>37</v>
      </c>
      <c r="H9" s="121" t="s">
        <v>79</v>
      </c>
      <c r="I9" s="121" t="s">
        <v>25</v>
      </c>
      <c r="J9" s="121">
        <v>56.66</v>
      </c>
      <c r="K9" s="121">
        <v>0</v>
      </c>
      <c r="L9" s="121">
        <v>0</v>
      </c>
      <c r="M9" s="121">
        <v>0</v>
      </c>
      <c r="N9" s="121">
        <v>0</v>
      </c>
      <c r="O9" s="121">
        <v>0</v>
      </c>
      <c r="P9" s="121">
        <v>0</v>
      </c>
      <c r="Q9" s="121">
        <v>0</v>
      </c>
      <c r="R9" s="121">
        <v>0</v>
      </c>
      <c r="S9" s="121">
        <v>0</v>
      </c>
      <c r="T9" s="121">
        <v>0</v>
      </c>
      <c r="U9" s="121">
        <v>0</v>
      </c>
      <c r="V9" s="121">
        <v>0</v>
      </c>
      <c r="W9" s="121">
        <v>0</v>
      </c>
      <c r="X9" s="121">
        <v>32.666952626247699</v>
      </c>
      <c r="Y9" s="121">
        <v>0</v>
      </c>
      <c r="Z9" s="121">
        <v>0</v>
      </c>
      <c r="AA9" s="121">
        <v>23.9893335371627</v>
      </c>
      <c r="AB9" s="121">
        <v>0</v>
      </c>
      <c r="AC9" s="121">
        <v>0</v>
      </c>
      <c r="AD9" s="121">
        <v>0</v>
      </c>
      <c r="AE9" s="121">
        <v>0</v>
      </c>
      <c r="AF9" s="121">
        <v>0</v>
      </c>
      <c r="AG9" s="121">
        <v>0</v>
      </c>
      <c r="AH9" s="121">
        <v>0</v>
      </c>
      <c r="AI9" s="121">
        <v>0</v>
      </c>
      <c r="AJ9" s="121">
        <v>0</v>
      </c>
      <c r="AK9" s="121">
        <v>0</v>
      </c>
      <c r="AL9" s="121">
        <v>0</v>
      </c>
      <c r="AM9" s="121">
        <v>0</v>
      </c>
      <c r="AN9" s="121">
        <v>0</v>
      </c>
      <c r="AO9" s="121">
        <v>0</v>
      </c>
      <c r="AP9" s="121">
        <v>0</v>
      </c>
      <c r="AQ9" s="121">
        <v>0</v>
      </c>
      <c r="AR9" s="121">
        <v>0</v>
      </c>
      <c r="AS9" s="121">
        <v>0</v>
      </c>
      <c r="AT9" s="122">
        <v>0</v>
      </c>
    </row>
    <row r="10" spans="2:46" ht="12" customHeight="1" x14ac:dyDescent="0.25">
      <c r="B10" s="120" t="s">
        <v>35</v>
      </c>
      <c r="C10" s="121" t="s">
        <v>36</v>
      </c>
      <c r="D10" s="121" t="s">
        <v>25</v>
      </c>
      <c r="E10" s="121" t="s">
        <v>25</v>
      </c>
      <c r="F10" s="121" t="s">
        <v>25</v>
      </c>
      <c r="G10" s="121" t="s">
        <v>38</v>
      </c>
      <c r="H10" s="121" t="s">
        <v>74</v>
      </c>
      <c r="I10" s="121" t="s">
        <v>25</v>
      </c>
      <c r="J10" s="121">
        <v>98.91</v>
      </c>
      <c r="K10" s="121">
        <v>208.19</v>
      </c>
      <c r="L10" s="121">
        <v>0</v>
      </c>
      <c r="M10" s="121">
        <v>0.29927193074480801</v>
      </c>
      <c r="N10" s="121">
        <v>0.31831605801983398</v>
      </c>
      <c r="O10" s="121">
        <v>0</v>
      </c>
      <c r="P10" s="121">
        <v>0</v>
      </c>
      <c r="Q10" s="121">
        <v>75.371777802390596</v>
      </c>
      <c r="R10" s="121">
        <v>13.7196807471675</v>
      </c>
      <c r="S10" s="121">
        <v>0</v>
      </c>
      <c r="T10" s="121">
        <v>0</v>
      </c>
      <c r="U10" s="121">
        <v>0</v>
      </c>
      <c r="V10" s="121">
        <v>0</v>
      </c>
      <c r="W10" s="121">
        <v>0</v>
      </c>
      <c r="X10" s="121">
        <v>0</v>
      </c>
      <c r="Y10" s="121">
        <v>0</v>
      </c>
      <c r="Z10" s="121">
        <v>0</v>
      </c>
      <c r="AA10" s="121">
        <v>0</v>
      </c>
      <c r="AB10" s="121">
        <v>0</v>
      </c>
      <c r="AC10" s="121">
        <v>0</v>
      </c>
      <c r="AD10" s="121">
        <v>0</v>
      </c>
      <c r="AE10" s="121">
        <v>8.5913193591406092</v>
      </c>
      <c r="AF10" s="121">
        <v>0.185879425454411</v>
      </c>
      <c r="AG10" s="121">
        <v>0.208926825528576</v>
      </c>
      <c r="AH10" s="121">
        <v>0.21935969133752201</v>
      </c>
      <c r="AI10" s="121">
        <v>0</v>
      </c>
      <c r="AJ10" s="121">
        <v>-12.592029417653601</v>
      </c>
      <c r="AK10" s="121">
        <v>2.2270727891308999</v>
      </c>
      <c r="AL10" s="121">
        <v>27.930064924409798</v>
      </c>
      <c r="AM10" s="121">
        <v>0</v>
      </c>
      <c r="AN10" s="121">
        <v>181.487508471193</v>
      </c>
      <c r="AO10" s="121">
        <v>3.0026457250278602</v>
      </c>
      <c r="AP10" s="121">
        <v>2.0904583858010599</v>
      </c>
      <c r="AQ10" s="121">
        <v>0</v>
      </c>
      <c r="AR10" s="121">
        <v>0</v>
      </c>
      <c r="AS10" s="121">
        <v>0</v>
      </c>
      <c r="AT10" s="122">
        <v>4.0406108729328603</v>
      </c>
    </row>
    <row r="11" spans="2:46" ht="12" customHeight="1" x14ac:dyDescent="0.25">
      <c r="B11" s="120" t="s">
        <v>35</v>
      </c>
      <c r="C11" s="121" t="s">
        <v>36</v>
      </c>
      <c r="D11" s="121" t="s">
        <v>25</v>
      </c>
      <c r="E11" s="121" t="s">
        <v>25</v>
      </c>
      <c r="F11" s="121" t="s">
        <v>25</v>
      </c>
      <c r="G11" s="121" t="s">
        <v>38</v>
      </c>
      <c r="H11" s="121" t="s">
        <v>79</v>
      </c>
      <c r="I11" s="121" t="s">
        <v>25</v>
      </c>
      <c r="J11" s="121">
        <v>21.8</v>
      </c>
      <c r="K11" s="121">
        <v>0</v>
      </c>
      <c r="L11" s="121">
        <v>0</v>
      </c>
      <c r="M11" s="121">
        <v>0</v>
      </c>
      <c r="N11" s="121">
        <v>0</v>
      </c>
      <c r="O11" s="121">
        <v>0</v>
      </c>
      <c r="P11" s="121">
        <v>0</v>
      </c>
      <c r="Q11" s="121">
        <v>0</v>
      </c>
      <c r="R11" s="121">
        <v>0</v>
      </c>
      <c r="S11" s="121">
        <v>0</v>
      </c>
      <c r="T11" s="121">
        <v>0</v>
      </c>
      <c r="U11" s="121">
        <v>0</v>
      </c>
      <c r="V11" s="121">
        <v>0</v>
      </c>
      <c r="W11" s="121">
        <v>0</v>
      </c>
      <c r="X11" s="121">
        <v>12.603078262385599</v>
      </c>
      <c r="Y11" s="121">
        <v>0</v>
      </c>
      <c r="Z11" s="121">
        <v>0</v>
      </c>
      <c r="AA11" s="121">
        <v>9.1977684279711607</v>
      </c>
      <c r="AB11" s="121">
        <v>0</v>
      </c>
      <c r="AC11" s="121">
        <v>0</v>
      </c>
      <c r="AD11" s="121">
        <v>0</v>
      </c>
      <c r="AE11" s="121">
        <v>0</v>
      </c>
      <c r="AF11" s="121">
        <v>0</v>
      </c>
      <c r="AG11" s="121">
        <v>0</v>
      </c>
      <c r="AH11" s="121">
        <v>0</v>
      </c>
      <c r="AI11" s="121">
        <v>0</v>
      </c>
      <c r="AJ11" s="121">
        <v>0</v>
      </c>
      <c r="AK11" s="121">
        <v>0</v>
      </c>
      <c r="AL11" s="121">
        <v>0</v>
      </c>
      <c r="AM11" s="121">
        <v>0</v>
      </c>
      <c r="AN11" s="121">
        <v>0</v>
      </c>
      <c r="AO11" s="121">
        <v>0</v>
      </c>
      <c r="AP11" s="121">
        <v>0</v>
      </c>
      <c r="AQ11" s="121">
        <v>0</v>
      </c>
      <c r="AR11" s="121">
        <v>0</v>
      </c>
      <c r="AS11" s="121">
        <v>0</v>
      </c>
      <c r="AT11" s="122">
        <v>0</v>
      </c>
    </row>
    <row r="12" spans="2:46" ht="12" customHeight="1" x14ac:dyDescent="0.25">
      <c r="B12" s="120" t="s">
        <v>35</v>
      </c>
      <c r="C12" s="121" t="s">
        <v>23</v>
      </c>
      <c r="D12" s="121" t="s">
        <v>25</v>
      </c>
      <c r="E12" s="121" t="s">
        <v>25</v>
      </c>
      <c r="F12" s="121" t="s">
        <v>25</v>
      </c>
      <c r="G12" s="121" t="s">
        <v>25</v>
      </c>
      <c r="H12" s="121" t="s">
        <v>74</v>
      </c>
      <c r="I12" s="121" t="s">
        <v>25</v>
      </c>
      <c r="J12" s="121">
        <v>0</v>
      </c>
      <c r="K12" s="121">
        <v>219.08</v>
      </c>
      <c r="L12" s="121">
        <v>0</v>
      </c>
      <c r="M12" s="121">
        <v>0</v>
      </c>
      <c r="N12" s="121">
        <v>0</v>
      </c>
      <c r="O12" s="121">
        <v>0</v>
      </c>
      <c r="P12" s="121">
        <v>0</v>
      </c>
      <c r="Q12" s="121">
        <v>0</v>
      </c>
      <c r="R12" s="121">
        <v>0</v>
      </c>
      <c r="S12" s="121">
        <v>0</v>
      </c>
      <c r="T12" s="121">
        <v>0</v>
      </c>
      <c r="U12" s="121">
        <v>0</v>
      </c>
      <c r="V12" s="121">
        <v>0</v>
      </c>
      <c r="W12" s="121">
        <v>0</v>
      </c>
      <c r="X12" s="121">
        <v>0</v>
      </c>
      <c r="Y12" s="121">
        <v>0</v>
      </c>
      <c r="Z12" s="121">
        <v>0</v>
      </c>
      <c r="AA12" s="121">
        <v>0</v>
      </c>
      <c r="AB12" s="121">
        <v>0</v>
      </c>
      <c r="AC12" s="121">
        <v>0</v>
      </c>
      <c r="AD12" s="121">
        <v>0</v>
      </c>
      <c r="AE12" s="121">
        <v>0</v>
      </c>
      <c r="AF12" s="121">
        <v>0</v>
      </c>
      <c r="AG12" s="121">
        <v>0</v>
      </c>
      <c r="AH12" s="121">
        <v>0</v>
      </c>
      <c r="AI12" s="121">
        <v>0</v>
      </c>
      <c r="AJ12" s="121">
        <v>-12.592029417653601</v>
      </c>
      <c r="AK12" s="121">
        <v>2.2270727891308999</v>
      </c>
      <c r="AL12" s="121">
        <v>27.930064924409798</v>
      </c>
      <c r="AM12" s="121">
        <v>0</v>
      </c>
      <c r="AN12" s="121">
        <v>192.376758979464</v>
      </c>
      <c r="AO12" s="121">
        <v>3.0026457250278602</v>
      </c>
      <c r="AP12" s="121">
        <v>2.0904583858010599</v>
      </c>
      <c r="AQ12" s="121">
        <v>0</v>
      </c>
      <c r="AR12" s="121">
        <v>0</v>
      </c>
      <c r="AS12" s="121">
        <v>0</v>
      </c>
      <c r="AT12" s="122">
        <v>4.0406108729328603</v>
      </c>
    </row>
    <row r="13" spans="2:46" ht="12" customHeight="1" x14ac:dyDescent="0.25">
      <c r="B13" s="120" t="s">
        <v>35</v>
      </c>
      <c r="C13" s="121" t="s">
        <v>83</v>
      </c>
      <c r="D13" s="121" t="s">
        <v>25</v>
      </c>
      <c r="E13" s="121" t="s">
        <v>25</v>
      </c>
      <c r="F13" s="121" t="s">
        <v>25</v>
      </c>
      <c r="G13" s="121" t="s">
        <v>25</v>
      </c>
      <c r="H13" s="121" t="s">
        <v>79</v>
      </c>
      <c r="I13" s="121" t="s">
        <v>25</v>
      </c>
      <c r="J13" s="121">
        <v>9.18</v>
      </c>
      <c r="K13" s="121">
        <v>0</v>
      </c>
      <c r="L13" s="121">
        <v>0</v>
      </c>
      <c r="M13" s="121">
        <v>3.61184658590811E-2</v>
      </c>
      <c r="N13" s="121">
        <v>0.118164280546351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9.0259738458663197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2">
        <v>0</v>
      </c>
    </row>
    <row r="14" spans="2:46" ht="12" customHeight="1" x14ac:dyDescent="0.25">
      <c r="B14" s="120" t="s">
        <v>35</v>
      </c>
      <c r="C14" s="121" t="s">
        <v>39</v>
      </c>
      <c r="D14" s="121" t="s">
        <v>25</v>
      </c>
      <c r="E14" s="121" t="s">
        <v>25</v>
      </c>
      <c r="F14" s="121" t="s">
        <v>82</v>
      </c>
      <c r="G14" s="121" t="s">
        <v>37</v>
      </c>
      <c r="H14" s="121" t="s">
        <v>74</v>
      </c>
      <c r="I14" s="121" t="s">
        <v>25</v>
      </c>
      <c r="J14" s="121">
        <v>1389.19</v>
      </c>
      <c r="K14" s="121">
        <v>0</v>
      </c>
      <c r="L14" s="121">
        <v>0</v>
      </c>
      <c r="M14" s="121">
        <v>0.29927193074480801</v>
      </c>
      <c r="N14" s="121">
        <v>17.102986859084201</v>
      </c>
      <c r="O14" s="121">
        <v>0</v>
      </c>
      <c r="P14" s="121">
        <v>0</v>
      </c>
      <c r="Q14" s="121">
        <v>0</v>
      </c>
      <c r="R14" s="121">
        <v>0</v>
      </c>
      <c r="S14" s="121">
        <v>0</v>
      </c>
      <c r="T14" s="121">
        <v>0</v>
      </c>
      <c r="U14" s="121">
        <v>0</v>
      </c>
      <c r="V14" s="121">
        <v>0</v>
      </c>
      <c r="W14" s="121">
        <v>0</v>
      </c>
      <c r="X14" s="121">
        <v>785.64110007298905</v>
      </c>
      <c r="Y14" s="121">
        <v>0</v>
      </c>
      <c r="Z14" s="121">
        <v>0</v>
      </c>
      <c r="AA14" s="121">
        <v>576.94316202897505</v>
      </c>
      <c r="AB14" s="121">
        <v>0</v>
      </c>
      <c r="AC14" s="121">
        <v>0</v>
      </c>
      <c r="AD14" s="121">
        <v>0</v>
      </c>
      <c r="AE14" s="121">
        <v>8.5913193591406092</v>
      </c>
      <c r="AF14" s="121">
        <v>0.185879425454411</v>
      </c>
      <c r="AG14" s="121">
        <v>0.208926825528576</v>
      </c>
      <c r="AH14" s="121">
        <v>0.21935969133752201</v>
      </c>
      <c r="AI14" s="121">
        <v>0</v>
      </c>
      <c r="AJ14" s="121">
        <v>0</v>
      </c>
      <c r="AK14" s="121">
        <v>0</v>
      </c>
      <c r="AL14" s="121">
        <v>0</v>
      </c>
      <c r="AM14" s="121">
        <v>0</v>
      </c>
      <c r="AN14" s="121">
        <v>0</v>
      </c>
      <c r="AO14" s="121">
        <v>0</v>
      </c>
      <c r="AP14" s="121">
        <v>0</v>
      </c>
      <c r="AQ14" s="121">
        <v>0</v>
      </c>
      <c r="AR14" s="121">
        <v>0</v>
      </c>
      <c r="AS14" s="121">
        <v>0</v>
      </c>
      <c r="AT14" s="122">
        <v>0</v>
      </c>
    </row>
    <row r="15" spans="2:46" ht="12" customHeight="1" x14ac:dyDescent="0.25">
      <c r="B15" s="120" t="s">
        <v>35</v>
      </c>
      <c r="C15" s="121" t="s">
        <v>39</v>
      </c>
      <c r="D15" s="121" t="s">
        <v>25</v>
      </c>
      <c r="E15" s="121" t="s">
        <v>25</v>
      </c>
      <c r="F15" s="121" t="s">
        <v>82</v>
      </c>
      <c r="G15" s="121" t="s">
        <v>25</v>
      </c>
      <c r="H15" s="121" t="s">
        <v>79</v>
      </c>
      <c r="I15" s="121" t="s">
        <v>25</v>
      </c>
      <c r="J15" s="121">
        <v>21.8</v>
      </c>
      <c r="K15" s="121">
        <v>0</v>
      </c>
      <c r="L15" s="121">
        <v>0</v>
      </c>
      <c r="M15" s="121">
        <v>0</v>
      </c>
      <c r="N15" s="121">
        <v>0</v>
      </c>
      <c r="O15" s="121">
        <v>0</v>
      </c>
      <c r="P15" s="121">
        <v>0</v>
      </c>
      <c r="Q15" s="121">
        <v>0</v>
      </c>
      <c r="R15" s="121">
        <v>0</v>
      </c>
      <c r="S15" s="121">
        <v>0</v>
      </c>
      <c r="T15" s="121">
        <v>0</v>
      </c>
      <c r="U15" s="121">
        <v>0</v>
      </c>
      <c r="V15" s="121">
        <v>0</v>
      </c>
      <c r="W15" s="121">
        <v>0</v>
      </c>
      <c r="X15" s="121">
        <v>12.603078262385599</v>
      </c>
      <c r="Y15" s="121">
        <v>0</v>
      </c>
      <c r="Z15" s="121">
        <v>0</v>
      </c>
      <c r="AA15" s="121">
        <v>9.1977684279711607</v>
      </c>
      <c r="AB15" s="121">
        <v>0</v>
      </c>
      <c r="AC15" s="121">
        <v>0</v>
      </c>
      <c r="AD15" s="121">
        <v>0</v>
      </c>
      <c r="AE15" s="121">
        <v>0</v>
      </c>
      <c r="AF15" s="121">
        <v>0</v>
      </c>
      <c r="AG15" s="121">
        <v>0</v>
      </c>
      <c r="AH15" s="121">
        <v>0</v>
      </c>
      <c r="AI15" s="121">
        <v>0</v>
      </c>
      <c r="AJ15" s="121">
        <v>0</v>
      </c>
      <c r="AK15" s="121">
        <v>0</v>
      </c>
      <c r="AL15" s="121">
        <v>0</v>
      </c>
      <c r="AM15" s="121">
        <v>0</v>
      </c>
      <c r="AN15" s="121">
        <v>0</v>
      </c>
      <c r="AO15" s="121">
        <v>0</v>
      </c>
      <c r="AP15" s="121">
        <v>0</v>
      </c>
      <c r="AQ15" s="121">
        <v>0</v>
      </c>
      <c r="AR15" s="121">
        <v>0</v>
      </c>
      <c r="AS15" s="121">
        <v>0</v>
      </c>
      <c r="AT15" s="122">
        <v>0</v>
      </c>
    </row>
    <row r="16" spans="2:46" ht="12" customHeight="1" x14ac:dyDescent="0.25">
      <c r="B16" s="120" t="s">
        <v>35</v>
      </c>
      <c r="C16" s="121" t="s">
        <v>39</v>
      </c>
      <c r="D16" s="121" t="s">
        <v>25</v>
      </c>
      <c r="E16" s="121" t="s">
        <v>25</v>
      </c>
      <c r="F16" s="121" t="s">
        <v>82</v>
      </c>
      <c r="G16" s="121" t="s">
        <v>38</v>
      </c>
      <c r="H16" s="121" t="s">
        <v>74</v>
      </c>
      <c r="I16" s="121" t="s">
        <v>25</v>
      </c>
      <c r="J16" s="121">
        <v>9.81</v>
      </c>
      <c r="K16" s="121">
        <v>0</v>
      </c>
      <c r="L16" s="121">
        <v>0</v>
      </c>
      <c r="M16" s="121">
        <v>0.29927193074480801</v>
      </c>
      <c r="N16" s="121">
        <v>0.30485771171615</v>
      </c>
      <c r="O16" s="121">
        <v>0</v>
      </c>
      <c r="P16" s="121">
        <v>0</v>
      </c>
      <c r="Q16" s="121">
        <v>0</v>
      </c>
      <c r="R16" s="121">
        <v>0</v>
      </c>
      <c r="S16" s="121">
        <v>0</v>
      </c>
      <c r="T16" s="121">
        <v>0</v>
      </c>
      <c r="U16" s="121">
        <v>0</v>
      </c>
      <c r="V16" s="121">
        <v>0</v>
      </c>
      <c r="W16" s="121">
        <v>0</v>
      </c>
      <c r="X16" s="121">
        <v>0</v>
      </c>
      <c r="Y16" s="121">
        <v>0</v>
      </c>
      <c r="Z16" s="121">
        <v>0</v>
      </c>
      <c r="AA16" s="121">
        <v>0</v>
      </c>
      <c r="AB16" s="121">
        <v>0</v>
      </c>
      <c r="AC16" s="121">
        <v>0</v>
      </c>
      <c r="AD16" s="121">
        <v>0</v>
      </c>
      <c r="AE16" s="121">
        <v>8.5913193591406092</v>
      </c>
      <c r="AF16" s="121">
        <v>0.185879425454411</v>
      </c>
      <c r="AG16" s="121">
        <v>0.208926825528576</v>
      </c>
      <c r="AH16" s="121">
        <v>0.21935969133752201</v>
      </c>
      <c r="AI16" s="121">
        <v>0</v>
      </c>
      <c r="AJ16" s="121">
        <v>0</v>
      </c>
      <c r="AK16" s="121">
        <v>0</v>
      </c>
      <c r="AL16" s="121">
        <v>0</v>
      </c>
      <c r="AM16" s="121">
        <v>0</v>
      </c>
      <c r="AN16" s="121">
        <v>0</v>
      </c>
      <c r="AO16" s="121">
        <v>0</v>
      </c>
      <c r="AP16" s="121">
        <v>0</v>
      </c>
      <c r="AQ16" s="121">
        <v>0</v>
      </c>
      <c r="AR16" s="121">
        <v>0</v>
      </c>
      <c r="AS16" s="121">
        <v>0</v>
      </c>
      <c r="AT16" s="122">
        <v>0</v>
      </c>
    </row>
    <row r="17" spans="2:46" ht="12" customHeight="1" x14ac:dyDescent="0.25">
      <c r="B17" s="120" t="s">
        <v>35</v>
      </c>
      <c r="C17" s="121" t="s">
        <v>39</v>
      </c>
      <c r="D17" s="121" t="s">
        <v>25</v>
      </c>
      <c r="E17" s="121" t="s">
        <v>25</v>
      </c>
      <c r="F17" s="121" t="s">
        <v>25</v>
      </c>
      <c r="G17" s="121" t="s">
        <v>37</v>
      </c>
      <c r="H17" s="121" t="s">
        <v>74</v>
      </c>
      <c r="I17" s="121" t="s">
        <v>25</v>
      </c>
      <c r="J17" s="121">
        <v>1478.3</v>
      </c>
      <c r="K17" s="121">
        <v>338.86</v>
      </c>
      <c r="L17" s="121">
        <v>0</v>
      </c>
      <c r="M17" s="121">
        <v>0.29927193074480801</v>
      </c>
      <c r="N17" s="121">
        <v>17.116445205387901</v>
      </c>
      <c r="O17" s="121">
        <v>0</v>
      </c>
      <c r="P17" s="121">
        <v>0</v>
      </c>
      <c r="Q17" s="121">
        <v>75.371777802390596</v>
      </c>
      <c r="R17" s="121">
        <v>13.7196807471675</v>
      </c>
      <c r="S17" s="121">
        <v>0</v>
      </c>
      <c r="T17" s="121">
        <v>0</v>
      </c>
      <c r="U17" s="121">
        <v>0</v>
      </c>
      <c r="V17" s="121">
        <v>0</v>
      </c>
      <c r="W17" s="121">
        <v>0</v>
      </c>
      <c r="X17" s="121">
        <v>785.64110007298905</v>
      </c>
      <c r="Y17" s="121">
        <v>0</v>
      </c>
      <c r="Z17" s="121">
        <v>0</v>
      </c>
      <c r="AA17" s="121">
        <v>576.94316202897505</v>
      </c>
      <c r="AB17" s="121">
        <v>0</v>
      </c>
      <c r="AC17" s="121">
        <v>0</v>
      </c>
      <c r="AD17" s="121">
        <v>0</v>
      </c>
      <c r="AE17" s="121">
        <v>8.5913193591406092</v>
      </c>
      <c r="AF17" s="121">
        <v>0.185879425454411</v>
      </c>
      <c r="AG17" s="121">
        <v>0.208926825528576</v>
      </c>
      <c r="AH17" s="121">
        <v>0.21935969133752201</v>
      </c>
      <c r="AI17" s="121">
        <v>0</v>
      </c>
      <c r="AJ17" s="121">
        <v>-12.592029417653601</v>
      </c>
      <c r="AK17" s="121">
        <v>2.2270727891308999</v>
      </c>
      <c r="AL17" s="121">
        <v>27.930064924409798</v>
      </c>
      <c r="AM17" s="121">
        <v>0</v>
      </c>
      <c r="AN17" s="121">
        <v>312.15851457045102</v>
      </c>
      <c r="AO17" s="121">
        <v>3.0026457250278602</v>
      </c>
      <c r="AP17" s="121">
        <v>2.0904583858010599</v>
      </c>
      <c r="AQ17" s="121">
        <v>0</v>
      </c>
      <c r="AR17" s="121">
        <v>0</v>
      </c>
      <c r="AS17" s="121">
        <v>0</v>
      </c>
      <c r="AT17" s="122">
        <v>4.0406108729328603</v>
      </c>
    </row>
    <row r="18" spans="2:46" ht="12" customHeight="1" x14ac:dyDescent="0.25">
      <c r="B18" s="120" t="s">
        <v>35</v>
      </c>
      <c r="C18" s="121" t="s">
        <v>39</v>
      </c>
      <c r="D18" s="121" t="s">
        <v>25</v>
      </c>
      <c r="E18" s="121" t="s">
        <v>25</v>
      </c>
      <c r="F18" s="121" t="s">
        <v>25</v>
      </c>
      <c r="G18" s="121" t="s">
        <v>25</v>
      </c>
      <c r="H18" s="121" t="s">
        <v>79</v>
      </c>
      <c r="I18" s="121" t="s">
        <v>25</v>
      </c>
      <c r="J18" s="121">
        <v>21.8</v>
      </c>
      <c r="K18" s="121">
        <v>0</v>
      </c>
      <c r="L18" s="121">
        <v>0</v>
      </c>
      <c r="M18" s="121">
        <v>0</v>
      </c>
      <c r="N18" s="121">
        <v>0</v>
      </c>
      <c r="O18" s="121">
        <v>0</v>
      </c>
      <c r="P18" s="121">
        <v>0</v>
      </c>
      <c r="Q18" s="121">
        <v>0</v>
      </c>
      <c r="R18" s="121">
        <v>0</v>
      </c>
      <c r="S18" s="121">
        <v>0</v>
      </c>
      <c r="T18" s="121">
        <v>0</v>
      </c>
      <c r="U18" s="121">
        <v>0</v>
      </c>
      <c r="V18" s="121">
        <v>0</v>
      </c>
      <c r="W18" s="121">
        <v>0</v>
      </c>
      <c r="X18" s="121">
        <v>12.603078262385599</v>
      </c>
      <c r="Y18" s="121">
        <v>0</v>
      </c>
      <c r="Z18" s="121">
        <v>0</v>
      </c>
      <c r="AA18" s="121">
        <v>9.1977684279711607</v>
      </c>
      <c r="AB18" s="121">
        <v>0</v>
      </c>
      <c r="AC18" s="121">
        <v>0</v>
      </c>
      <c r="AD18" s="121">
        <v>0</v>
      </c>
      <c r="AE18" s="121">
        <v>0</v>
      </c>
      <c r="AF18" s="121">
        <v>0</v>
      </c>
      <c r="AG18" s="121">
        <v>0</v>
      </c>
      <c r="AH18" s="121">
        <v>0</v>
      </c>
      <c r="AI18" s="121">
        <v>0</v>
      </c>
      <c r="AJ18" s="121">
        <v>0</v>
      </c>
      <c r="AK18" s="121">
        <v>0</v>
      </c>
      <c r="AL18" s="121">
        <v>0</v>
      </c>
      <c r="AM18" s="121">
        <v>0</v>
      </c>
      <c r="AN18" s="121">
        <v>0</v>
      </c>
      <c r="AO18" s="121">
        <v>0</v>
      </c>
      <c r="AP18" s="121">
        <v>0</v>
      </c>
      <c r="AQ18" s="121">
        <v>0</v>
      </c>
      <c r="AR18" s="121">
        <v>0</v>
      </c>
      <c r="AS18" s="121">
        <v>0</v>
      </c>
      <c r="AT18" s="122">
        <v>0</v>
      </c>
    </row>
    <row r="19" spans="2:46" ht="12" customHeight="1" x14ac:dyDescent="0.25">
      <c r="B19" s="120" t="s">
        <v>35</v>
      </c>
      <c r="C19" s="121" t="s">
        <v>39</v>
      </c>
      <c r="D19" s="121" t="s">
        <v>25</v>
      </c>
      <c r="E19" s="121" t="s">
        <v>25</v>
      </c>
      <c r="F19" s="121" t="s">
        <v>25</v>
      </c>
      <c r="G19" s="121" t="s">
        <v>38</v>
      </c>
      <c r="H19" s="121" t="s">
        <v>74</v>
      </c>
      <c r="I19" s="121" t="s">
        <v>25</v>
      </c>
      <c r="J19" s="121">
        <v>98.91</v>
      </c>
      <c r="K19" s="121">
        <v>208.19</v>
      </c>
      <c r="L19" s="121">
        <v>0</v>
      </c>
      <c r="M19" s="121">
        <v>0.29927193074480801</v>
      </c>
      <c r="N19" s="121">
        <v>0.31831605801983398</v>
      </c>
      <c r="O19" s="121">
        <v>0</v>
      </c>
      <c r="P19" s="121">
        <v>0</v>
      </c>
      <c r="Q19" s="121">
        <v>75.371777802390596</v>
      </c>
      <c r="R19" s="121">
        <v>13.7196807471675</v>
      </c>
      <c r="S19" s="121">
        <v>0</v>
      </c>
      <c r="T19" s="121">
        <v>0</v>
      </c>
      <c r="U19" s="121">
        <v>0</v>
      </c>
      <c r="V19" s="121">
        <v>0</v>
      </c>
      <c r="W19" s="121">
        <v>0</v>
      </c>
      <c r="X19" s="121">
        <v>0</v>
      </c>
      <c r="Y19" s="121">
        <v>0</v>
      </c>
      <c r="Z19" s="121">
        <v>0</v>
      </c>
      <c r="AA19" s="121">
        <v>0</v>
      </c>
      <c r="AB19" s="121">
        <v>0</v>
      </c>
      <c r="AC19" s="121">
        <v>0</v>
      </c>
      <c r="AD19" s="121">
        <v>0</v>
      </c>
      <c r="AE19" s="121">
        <v>8.5913193591406092</v>
      </c>
      <c r="AF19" s="121">
        <v>0.185879425454411</v>
      </c>
      <c r="AG19" s="121">
        <v>0.208926825528576</v>
      </c>
      <c r="AH19" s="121">
        <v>0.21935969133752201</v>
      </c>
      <c r="AI19" s="121">
        <v>0</v>
      </c>
      <c r="AJ19" s="121">
        <v>-12.592029417653601</v>
      </c>
      <c r="AK19" s="121">
        <v>2.2270727891308999</v>
      </c>
      <c r="AL19" s="121">
        <v>27.930064924409798</v>
      </c>
      <c r="AM19" s="121">
        <v>0</v>
      </c>
      <c r="AN19" s="121">
        <v>181.487508471193</v>
      </c>
      <c r="AO19" s="121">
        <v>3.0026457250278602</v>
      </c>
      <c r="AP19" s="121">
        <v>2.0904583858010599</v>
      </c>
      <c r="AQ19" s="121">
        <v>0</v>
      </c>
      <c r="AR19" s="121">
        <v>0</v>
      </c>
      <c r="AS19" s="121">
        <v>0</v>
      </c>
      <c r="AT19" s="122">
        <v>4.0406108729328603</v>
      </c>
    </row>
    <row r="20" spans="2:46" ht="12" customHeight="1" x14ac:dyDescent="0.25">
      <c r="B20" s="120" t="s">
        <v>84</v>
      </c>
      <c r="C20" s="121" t="s">
        <v>83</v>
      </c>
      <c r="D20" s="121" t="s">
        <v>25</v>
      </c>
      <c r="E20" s="121" t="s">
        <v>25</v>
      </c>
      <c r="F20" s="121" t="s">
        <v>85</v>
      </c>
      <c r="G20" s="121" t="s">
        <v>25</v>
      </c>
      <c r="H20" s="121" t="s">
        <v>79</v>
      </c>
      <c r="I20" s="121" t="s">
        <v>25</v>
      </c>
      <c r="J20" s="121">
        <v>9.32</v>
      </c>
      <c r="K20" s="121">
        <v>0</v>
      </c>
      <c r="L20" s="121">
        <v>0</v>
      </c>
      <c r="M20" s="121">
        <v>3.6634443942782299E-2</v>
      </c>
      <c r="N20" s="121">
        <v>0.12004844902886699</v>
      </c>
      <c r="O20" s="121">
        <v>0</v>
      </c>
      <c r="P20" s="121">
        <v>0</v>
      </c>
      <c r="Q20" s="121">
        <v>0</v>
      </c>
      <c r="R20" s="121">
        <v>0</v>
      </c>
      <c r="S20" s="121">
        <v>0</v>
      </c>
      <c r="T20" s="121">
        <v>0</v>
      </c>
      <c r="U20" s="121">
        <v>0</v>
      </c>
      <c r="V20" s="121">
        <v>0</v>
      </c>
      <c r="W20" s="121">
        <v>0</v>
      </c>
      <c r="X20" s="121">
        <v>0</v>
      </c>
      <c r="Y20" s="121">
        <v>0</v>
      </c>
      <c r="Z20" s="121">
        <v>0</v>
      </c>
      <c r="AA20" s="121">
        <v>9.1664017294967604</v>
      </c>
      <c r="AB20" s="121">
        <v>0</v>
      </c>
      <c r="AC20" s="121">
        <v>0</v>
      </c>
      <c r="AD20" s="121">
        <v>0</v>
      </c>
      <c r="AE20" s="121">
        <v>0</v>
      </c>
      <c r="AF20" s="121">
        <v>0</v>
      </c>
      <c r="AG20" s="121">
        <v>0</v>
      </c>
      <c r="AH20" s="121">
        <v>0</v>
      </c>
      <c r="AI20" s="121">
        <v>0</v>
      </c>
      <c r="AJ20" s="121">
        <v>0</v>
      </c>
      <c r="AK20" s="121">
        <v>0</v>
      </c>
      <c r="AL20" s="121">
        <v>0</v>
      </c>
      <c r="AM20" s="121">
        <v>0</v>
      </c>
      <c r="AN20" s="121">
        <v>0</v>
      </c>
      <c r="AO20" s="121">
        <v>0</v>
      </c>
      <c r="AP20" s="121">
        <v>0</v>
      </c>
      <c r="AQ20" s="121">
        <v>0</v>
      </c>
      <c r="AR20" s="121">
        <v>0</v>
      </c>
      <c r="AS20" s="121">
        <v>0</v>
      </c>
      <c r="AT20" s="122">
        <v>0</v>
      </c>
    </row>
    <row r="21" spans="2:46" ht="12" customHeight="1" x14ac:dyDescent="0.25">
      <c r="B21" s="120" t="s">
        <v>84</v>
      </c>
      <c r="C21" s="121" t="s">
        <v>83</v>
      </c>
      <c r="D21" s="121" t="s">
        <v>25</v>
      </c>
      <c r="E21" s="121" t="s">
        <v>25</v>
      </c>
      <c r="F21" s="121" t="s">
        <v>86</v>
      </c>
      <c r="G21" s="121" t="s">
        <v>25</v>
      </c>
      <c r="H21" s="121" t="s">
        <v>79</v>
      </c>
      <c r="I21" s="121" t="s">
        <v>25</v>
      </c>
      <c r="J21" s="121">
        <v>14.76</v>
      </c>
      <c r="K21" s="121">
        <v>0</v>
      </c>
      <c r="L21" s="121">
        <v>0</v>
      </c>
      <c r="M21" s="121">
        <v>3.6634443942782299E-2</v>
      </c>
      <c r="N21" s="121">
        <v>0.12004844902886699</v>
      </c>
      <c r="O21" s="121">
        <v>0</v>
      </c>
      <c r="P21" s="121">
        <v>0</v>
      </c>
      <c r="Q21" s="121">
        <v>0</v>
      </c>
      <c r="R21" s="121">
        <v>0</v>
      </c>
      <c r="S21" s="121">
        <v>0</v>
      </c>
      <c r="T21" s="121">
        <v>0</v>
      </c>
      <c r="U21" s="121">
        <v>0</v>
      </c>
      <c r="V21" s="121">
        <v>0</v>
      </c>
      <c r="W21" s="121">
        <v>0</v>
      </c>
      <c r="X21" s="121">
        <v>0</v>
      </c>
      <c r="Y21" s="121">
        <v>0</v>
      </c>
      <c r="Z21" s="121">
        <v>0</v>
      </c>
      <c r="AA21" s="121">
        <v>14.603880817991101</v>
      </c>
      <c r="AB21" s="121">
        <v>0</v>
      </c>
      <c r="AC21" s="121">
        <v>0</v>
      </c>
      <c r="AD21" s="121">
        <v>0</v>
      </c>
      <c r="AE21" s="121">
        <v>0</v>
      </c>
      <c r="AF21" s="121">
        <v>0</v>
      </c>
      <c r="AG21" s="121">
        <v>0</v>
      </c>
      <c r="AH21" s="121">
        <v>0</v>
      </c>
      <c r="AI21" s="121">
        <v>0</v>
      </c>
      <c r="AJ21" s="121">
        <v>0</v>
      </c>
      <c r="AK21" s="121">
        <v>0</v>
      </c>
      <c r="AL21" s="121">
        <v>0</v>
      </c>
      <c r="AM21" s="121">
        <v>0</v>
      </c>
      <c r="AN21" s="121">
        <v>0</v>
      </c>
      <c r="AO21" s="121">
        <v>0</v>
      </c>
      <c r="AP21" s="121">
        <v>0</v>
      </c>
      <c r="AQ21" s="121">
        <v>0</v>
      </c>
      <c r="AR21" s="121">
        <v>0</v>
      </c>
      <c r="AS21" s="121">
        <v>0</v>
      </c>
      <c r="AT21" s="122">
        <v>0</v>
      </c>
    </row>
    <row r="22" spans="2:46" ht="12" customHeight="1" x14ac:dyDescent="0.25">
      <c r="B22" s="120" t="s">
        <v>22</v>
      </c>
      <c r="C22" s="121" t="s">
        <v>50</v>
      </c>
      <c r="D22" s="121" t="s">
        <v>24</v>
      </c>
      <c r="E22" s="121" t="s">
        <v>24</v>
      </c>
      <c r="F22" s="121" t="s">
        <v>25</v>
      </c>
      <c r="G22" s="121" t="s">
        <v>37</v>
      </c>
      <c r="H22" s="121" t="s">
        <v>74</v>
      </c>
      <c r="I22" s="121" t="s">
        <v>25</v>
      </c>
      <c r="J22" s="121">
        <v>901.1</v>
      </c>
      <c r="K22" s="121">
        <v>338.86</v>
      </c>
      <c r="L22" s="121">
        <v>0</v>
      </c>
      <c r="M22" s="121">
        <v>0.795014490219207</v>
      </c>
      <c r="N22" s="121">
        <v>10.2910417616533</v>
      </c>
      <c r="O22" s="121">
        <v>0</v>
      </c>
      <c r="P22" s="121">
        <v>0</v>
      </c>
      <c r="Q22" s="121">
        <v>89.728306907607802</v>
      </c>
      <c r="R22" s="121">
        <v>13.7196807471675</v>
      </c>
      <c r="S22" s="121">
        <v>0</v>
      </c>
      <c r="T22" s="121">
        <v>0</v>
      </c>
      <c r="U22" s="121">
        <v>0</v>
      </c>
      <c r="V22" s="121">
        <v>0</v>
      </c>
      <c r="W22" s="121">
        <v>0</v>
      </c>
      <c r="X22" s="121">
        <v>292.79833295721801</v>
      </c>
      <c r="Y22" s="121">
        <v>0</v>
      </c>
      <c r="Z22" s="121">
        <v>0</v>
      </c>
      <c r="AA22" s="121">
        <v>474.37859793457898</v>
      </c>
      <c r="AB22" s="121">
        <v>0</v>
      </c>
      <c r="AC22" s="121">
        <v>0</v>
      </c>
      <c r="AD22" s="121">
        <v>0</v>
      </c>
      <c r="AE22" s="121">
        <v>18.339392704951599</v>
      </c>
      <c r="AF22" s="121">
        <v>0.39678606238194902</v>
      </c>
      <c r="AG22" s="121">
        <v>0.31775589890625</v>
      </c>
      <c r="AH22" s="121">
        <v>0.33362319907176302</v>
      </c>
      <c r="AI22" s="121">
        <v>0</v>
      </c>
      <c r="AJ22" s="121">
        <v>-12.592029417653601</v>
      </c>
      <c r="AK22" s="121">
        <v>2.2270727891308999</v>
      </c>
      <c r="AL22" s="121">
        <v>27.930064924409798</v>
      </c>
      <c r="AM22" s="121">
        <v>0</v>
      </c>
      <c r="AN22" s="121">
        <v>312.15851457045102</v>
      </c>
      <c r="AO22" s="121">
        <v>3.0026457250278602</v>
      </c>
      <c r="AP22" s="121">
        <v>2.0904583858010599</v>
      </c>
      <c r="AQ22" s="121">
        <v>0</v>
      </c>
      <c r="AR22" s="121">
        <v>0</v>
      </c>
      <c r="AS22" s="121">
        <v>0</v>
      </c>
      <c r="AT22" s="122">
        <v>4.0406108729328603</v>
      </c>
    </row>
    <row r="23" spans="2:46" ht="12" customHeight="1" x14ac:dyDescent="0.25">
      <c r="B23" s="120" t="s">
        <v>22</v>
      </c>
      <c r="C23" s="121" t="s">
        <v>50</v>
      </c>
      <c r="D23" s="121" t="s">
        <v>24</v>
      </c>
      <c r="E23" s="121" t="s">
        <v>24</v>
      </c>
      <c r="F23" s="121" t="s">
        <v>25</v>
      </c>
      <c r="G23" s="121" t="s">
        <v>51</v>
      </c>
      <c r="H23" s="121" t="s">
        <v>74</v>
      </c>
      <c r="I23" s="121" t="s">
        <v>25</v>
      </c>
      <c r="J23" s="121">
        <v>590.37</v>
      </c>
      <c r="K23" s="121">
        <v>208.19</v>
      </c>
      <c r="L23" s="121">
        <v>0</v>
      </c>
      <c r="M23" s="121">
        <v>0.795014490219207</v>
      </c>
      <c r="N23" s="121">
        <v>6.4336751441534501</v>
      </c>
      <c r="O23" s="121">
        <v>0</v>
      </c>
      <c r="P23" s="121">
        <v>0</v>
      </c>
      <c r="Q23" s="121">
        <v>89.728306907607802</v>
      </c>
      <c r="R23" s="121">
        <v>13.7196807471675</v>
      </c>
      <c r="S23" s="121">
        <v>0</v>
      </c>
      <c r="T23" s="121">
        <v>0</v>
      </c>
      <c r="U23" s="121">
        <v>0</v>
      </c>
      <c r="V23" s="121">
        <v>0</v>
      </c>
      <c r="W23" s="121">
        <v>0</v>
      </c>
      <c r="X23" s="121">
        <v>175.678999774331</v>
      </c>
      <c r="Y23" s="121">
        <v>0</v>
      </c>
      <c r="Z23" s="121">
        <v>0</v>
      </c>
      <c r="AA23" s="121">
        <v>284.62720003271897</v>
      </c>
      <c r="AB23" s="121">
        <v>0</v>
      </c>
      <c r="AC23" s="121">
        <v>0</v>
      </c>
      <c r="AD23" s="121">
        <v>0</v>
      </c>
      <c r="AE23" s="121">
        <v>18.339392704951599</v>
      </c>
      <c r="AF23" s="121">
        <v>0.39678606238194902</v>
      </c>
      <c r="AG23" s="121">
        <v>0.31775589890625</v>
      </c>
      <c r="AH23" s="121">
        <v>0.33362319907176302</v>
      </c>
      <c r="AI23" s="121">
        <v>0</v>
      </c>
      <c r="AJ23" s="121">
        <v>-12.592029417653601</v>
      </c>
      <c r="AK23" s="121">
        <v>2.2270727891308999</v>
      </c>
      <c r="AL23" s="121">
        <v>27.930064924409798</v>
      </c>
      <c r="AM23" s="121">
        <v>0</v>
      </c>
      <c r="AN23" s="121">
        <v>181.487508471193</v>
      </c>
      <c r="AO23" s="121">
        <v>3.0026457250278602</v>
      </c>
      <c r="AP23" s="121">
        <v>2.0904583858010599</v>
      </c>
      <c r="AQ23" s="121">
        <v>0</v>
      </c>
      <c r="AR23" s="121">
        <v>0</v>
      </c>
      <c r="AS23" s="121">
        <v>0</v>
      </c>
      <c r="AT23" s="122">
        <v>4.0406108729328603</v>
      </c>
    </row>
    <row r="24" spans="2:46" ht="12" customHeight="1" x14ac:dyDescent="0.25">
      <c r="B24" s="120" t="s">
        <v>22</v>
      </c>
      <c r="C24" s="121" t="s">
        <v>50</v>
      </c>
      <c r="D24" s="121" t="s">
        <v>24</v>
      </c>
      <c r="E24" s="121" t="s">
        <v>24</v>
      </c>
      <c r="F24" s="121" t="s">
        <v>25</v>
      </c>
      <c r="G24" s="121" t="s">
        <v>38</v>
      </c>
      <c r="H24" s="121" t="s">
        <v>74</v>
      </c>
      <c r="I24" s="121" t="s">
        <v>25</v>
      </c>
      <c r="J24" s="121">
        <v>279.64</v>
      </c>
      <c r="K24" s="121">
        <v>208.19</v>
      </c>
      <c r="L24" s="121">
        <v>0</v>
      </c>
      <c r="M24" s="121">
        <v>0.795014490219207</v>
      </c>
      <c r="N24" s="121">
        <v>2.5763071808190001</v>
      </c>
      <c r="O24" s="121">
        <v>0</v>
      </c>
      <c r="P24" s="121">
        <v>0</v>
      </c>
      <c r="Q24" s="121">
        <v>89.728306907607802</v>
      </c>
      <c r="R24" s="121">
        <v>13.7196807471675</v>
      </c>
      <c r="S24" s="121">
        <v>0</v>
      </c>
      <c r="T24" s="121">
        <v>0</v>
      </c>
      <c r="U24" s="121">
        <v>0</v>
      </c>
      <c r="V24" s="121">
        <v>0</v>
      </c>
      <c r="W24" s="121">
        <v>0</v>
      </c>
      <c r="X24" s="121">
        <v>58.559666591443701</v>
      </c>
      <c r="Y24" s="121">
        <v>0</v>
      </c>
      <c r="Z24" s="121">
        <v>0</v>
      </c>
      <c r="AA24" s="121">
        <v>94.875698950930001</v>
      </c>
      <c r="AB24" s="121">
        <v>0</v>
      </c>
      <c r="AC24" s="121">
        <v>0</v>
      </c>
      <c r="AD24" s="121">
        <v>0</v>
      </c>
      <c r="AE24" s="121">
        <v>18.339392704951599</v>
      </c>
      <c r="AF24" s="121">
        <v>0.39678606238194902</v>
      </c>
      <c r="AG24" s="121">
        <v>0.31775589890625</v>
      </c>
      <c r="AH24" s="121">
        <v>0.33362319907176302</v>
      </c>
      <c r="AI24" s="121">
        <v>0</v>
      </c>
      <c r="AJ24" s="121">
        <v>-12.592029417653601</v>
      </c>
      <c r="AK24" s="121">
        <v>2.2270727891308999</v>
      </c>
      <c r="AL24" s="121">
        <v>27.930064924409798</v>
      </c>
      <c r="AM24" s="121">
        <v>0</v>
      </c>
      <c r="AN24" s="121">
        <v>181.487508471193</v>
      </c>
      <c r="AO24" s="121">
        <v>3.0026457250278602</v>
      </c>
      <c r="AP24" s="121">
        <v>2.0904583858010599</v>
      </c>
      <c r="AQ24" s="121">
        <v>0</v>
      </c>
      <c r="AR24" s="121">
        <v>0</v>
      </c>
      <c r="AS24" s="121">
        <v>0</v>
      </c>
      <c r="AT24" s="122">
        <v>4.0406108729328603</v>
      </c>
    </row>
    <row r="25" spans="2:46" ht="12" customHeight="1" x14ac:dyDescent="0.25">
      <c r="B25" s="120" t="s">
        <v>22</v>
      </c>
      <c r="C25" s="121" t="s">
        <v>23</v>
      </c>
      <c r="D25" s="121" t="s">
        <v>24</v>
      </c>
      <c r="E25" s="121" t="s">
        <v>1284</v>
      </c>
      <c r="F25" s="121" t="s">
        <v>25</v>
      </c>
      <c r="G25" s="121" t="s">
        <v>25</v>
      </c>
      <c r="H25" s="121" t="s">
        <v>74</v>
      </c>
      <c r="I25" s="121" t="s">
        <v>25</v>
      </c>
      <c r="J25" s="121">
        <v>293.39</v>
      </c>
      <c r="K25" s="121">
        <v>219.08</v>
      </c>
      <c r="L25" s="121">
        <v>0</v>
      </c>
      <c r="M25" s="121">
        <v>0.795014490219207</v>
      </c>
      <c r="N25" s="121">
        <v>4.0178212325642404</v>
      </c>
      <c r="O25" s="121">
        <v>0</v>
      </c>
      <c r="P25" s="121">
        <v>0</v>
      </c>
      <c r="Q25" s="121">
        <v>0</v>
      </c>
      <c r="R25" s="121">
        <v>0</v>
      </c>
      <c r="S25" s="121">
        <v>0</v>
      </c>
      <c r="T25" s="121">
        <v>0</v>
      </c>
      <c r="U25" s="121">
        <v>0</v>
      </c>
      <c r="V25" s="121">
        <v>0</v>
      </c>
      <c r="W25" s="121">
        <v>0</v>
      </c>
      <c r="X25" s="121">
        <v>102.73629118606701</v>
      </c>
      <c r="Y25" s="121">
        <v>0</v>
      </c>
      <c r="Z25" s="121">
        <v>0</v>
      </c>
      <c r="AA25" s="121">
        <v>166.448623613542</v>
      </c>
      <c r="AB25" s="121">
        <v>0</v>
      </c>
      <c r="AC25" s="121">
        <v>0</v>
      </c>
      <c r="AD25" s="121">
        <v>0</v>
      </c>
      <c r="AE25" s="121">
        <v>18.339392704951599</v>
      </c>
      <c r="AF25" s="121">
        <v>0.39678606238194902</v>
      </c>
      <c r="AG25" s="121">
        <v>0.31775589890625</v>
      </c>
      <c r="AH25" s="121">
        <v>0.33362319907176302</v>
      </c>
      <c r="AI25" s="121">
        <v>0</v>
      </c>
      <c r="AJ25" s="121">
        <v>-12.592029417653601</v>
      </c>
      <c r="AK25" s="121">
        <v>2.2270727891308999</v>
      </c>
      <c r="AL25" s="121">
        <v>27.930064924409798</v>
      </c>
      <c r="AM25" s="121">
        <v>0</v>
      </c>
      <c r="AN25" s="121">
        <v>192.376758979464</v>
      </c>
      <c r="AO25" s="121">
        <v>3.0026457250278602</v>
      </c>
      <c r="AP25" s="121">
        <v>2.0904583858010599</v>
      </c>
      <c r="AQ25" s="121">
        <v>0</v>
      </c>
      <c r="AR25" s="121">
        <v>0</v>
      </c>
      <c r="AS25" s="121">
        <v>0</v>
      </c>
      <c r="AT25" s="122">
        <v>4.0406108729328603</v>
      </c>
    </row>
    <row r="26" spans="2:46" ht="12" customHeight="1" x14ac:dyDescent="0.25">
      <c r="B26" s="120" t="s">
        <v>22</v>
      </c>
      <c r="C26" s="121" t="s">
        <v>23</v>
      </c>
      <c r="D26" s="121" t="s">
        <v>24</v>
      </c>
      <c r="E26" s="121" t="s">
        <v>24</v>
      </c>
      <c r="F26" s="121" t="s">
        <v>25</v>
      </c>
      <c r="G26" s="121" t="s">
        <v>25</v>
      </c>
      <c r="H26" s="121" t="s">
        <v>74</v>
      </c>
      <c r="I26" s="121" t="s">
        <v>25</v>
      </c>
      <c r="J26" s="121">
        <v>396.85</v>
      </c>
      <c r="K26" s="121">
        <v>219.08</v>
      </c>
      <c r="L26" s="121">
        <v>0</v>
      </c>
      <c r="M26" s="121">
        <v>0.795014490219207</v>
      </c>
      <c r="N26" s="121">
        <v>4.0312795788679301</v>
      </c>
      <c r="O26" s="121">
        <v>0</v>
      </c>
      <c r="P26" s="121">
        <v>0</v>
      </c>
      <c r="Q26" s="121">
        <v>89.728306907607802</v>
      </c>
      <c r="R26" s="121">
        <v>13.7196807471675</v>
      </c>
      <c r="S26" s="121">
        <v>0</v>
      </c>
      <c r="T26" s="121">
        <v>0</v>
      </c>
      <c r="U26" s="121">
        <v>0</v>
      </c>
      <c r="V26" s="121">
        <v>0</v>
      </c>
      <c r="W26" s="121">
        <v>0</v>
      </c>
      <c r="X26" s="121">
        <v>102.73629118606701</v>
      </c>
      <c r="Y26" s="121">
        <v>0</v>
      </c>
      <c r="Z26" s="121">
        <v>0</v>
      </c>
      <c r="AA26" s="121">
        <v>166.448623613542</v>
      </c>
      <c r="AB26" s="121">
        <v>0</v>
      </c>
      <c r="AC26" s="121">
        <v>0</v>
      </c>
      <c r="AD26" s="121">
        <v>0</v>
      </c>
      <c r="AE26" s="121">
        <v>18.339392704951599</v>
      </c>
      <c r="AF26" s="121">
        <v>0.39678606238194902</v>
      </c>
      <c r="AG26" s="121">
        <v>0.31775589890625</v>
      </c>
      <c r="AH26" s="121">
        <v>0.33362319907176302</v>
      </c>
      <c r="AI26" s="121">
        <v>0</v>
      </c>
      <c r="AJ26" s="121">
        <v>-12.592029417653601</v>
      </c>
      <c r="AK26" s="121">
        <v>2.2270727891308999</v>
      </c>
      <c r="AL26" s="121">
        <v>27.930064924409798</v>
      </c>
      <c r="AM26" s="121">
        <v>0</v>
      </c>
      <c r="AN26" s="121">
        <v>192.376758979464</v>
      </c>
      <c r="AO26" s="121">
        <v>3.0026457250278602</v>
      </c>
      <c r="AP26" s="121">
        <v>2.0904583858010599</v>
      </c>
      <c r="AQ26" s="121">
        <v>0</v>
      </c>
      <c r="AR26" s="121">
        <v>0</v>
      </c>
      <c r="AS26" s="121">
        <v>0</v>
      </c>
      <c r="AT26" s="122">
        <v>4.0406108729328603</v>
      </c>
    </row>
    <row r="27" spans="2:46" ht="12" customHeight="1" x14ac:dyDescent="0.25">
      <c r="B27" s="120" t="s">
        <v>22</v>
      </c>
      <c r="C27" s="121" t="s">
        <v>89</v>
      </c>
      <c r="D27" s="121" t="s">
        <v>24</v>
      </c>
      <c r="E27" s="121" t="s">
        <v>1284</v>
      </c>
      <c r="F27" s="121" t="s">
        <v>25</v>
      </c>
      <c r="G27" s="121" t="s">
        <v>25</v>
      </c>
      <c r="H27" s="121" t="s">
        <v>74</v>
      </c>
      <c r="I27" s="121" t="s">
        <v>25</v>
      </c>
      <c r="J27" s="121">
        <v>293.39</v>
      </c>
      <c r="K27" s="121">
        <v>219.08</v>
      </c>
      <c r="L27" s="121">
        <v>0</v>
      </c>
      <c r="M27" s="121">
        <v>0.795014490219207</v>
      </c>
      <c r="N27" s="121">
        <v>4.0178212325642404</v>
      </c>
      <c r="O27" s="121">
        <v>0</v>
      </c>
      <c r="P27" s="121">
        <v>0</v>
      </c>
      <c r="Q27" s="121">
        <v>0</v>
      </c>
      <c r="R27" s="121">
        <v>0</v>
      </c>
      <c r="S27" s="121">
        <v>0</v>
      </c>
      <c r="T27" s="121">
        <v>0</v>
      </c>
      <c r="U27" s="121">
        <v>0</v>
      </c>
      <c r="V27" s="121">
        <v>0</v>
      </c>
      <c r="W27" s="121">
        <v>0</v>
      </c>
      <c r="X27" s="121">
        <v>102.73629118606701</v>
      </c>
      <c r="Y27" s="121">
        <v>0</v>
      </c>
      <c r="Z27" s="121">
        <v>0</v>
      </c>
      <c r="AA27" s="121">
        <v>166.448623613542</v>
      </c>
      <c r="AB27" s="121">
        <v>0</v>
      </c>
      <c r="AC27" s="121">
        <v>0</v>
      </c>
      <c r="AD27" s="121">
        <v>0</v>
      </c>
      <c r="AE27" s="121">
        <v>18.339392704951599</v>
      </c>
      <c r="AF27" s="121">
        <v>0.39678606238194902</v>
      </c>
      <c r="AG27" s="121">
        <v>0.31775589890625</v>
      </c>
      <c r="AH27" s="121">
        <v>0.33362319907176302</v>
      </c>
      <c r="AI27" s="121">
        <v>0</v>
      </c>
      <c r="AJ27" s="121">
        <v>-12.592029417653601</v>
      </c>
      <c r="AK27" s="121">
        <v>2.2270727891308999</v>
      </c>
      <c r="AL27" s="121">
        <v>27.930064924409798</v>
      </c>
      <c r="AM27" s="121">
        <v>0</v>
      </c>
      <c r="AN27" s="121">
        <v>192.376758979464</v>
      </c>
      <c r="AO27" s="121">
        <v>3.0026457250278602</v>
      </c>
      <c r="AP27" s="121">
        <v>2.0904583858010599</v>
      </c>
      <c r="AQ27" s="121">
        <v>0</v>
      </c>
      <c r="AR27" s="121">
        <v>0</v>
      </c>
      <c r="AS27" s="121">
        <v>0</v>
      </c>
      <c r="AT27" s="122">
        <v>4.0406108729328603</v>
      </c>
    </row>
    <row r="28" spans="2:46" ht="12" customHeight="1" x14ac:dyDescent="0.25">
      <c r="B28" s="120" t="s">
        <v>22</v>
      </c>
      <c r="C28" s="121" t="s">
        <v>89</v>
      </c>
      <c r="D28" s="121" t="s">
        <v>24</v>
      </c>
      <c r="E28" s="121" t="s">
        <v>24</v>
      </c>
      <c r="F28" s="121" t="s">
        <v>25</v>
      </c>
      <c r="G28" s="121" t="s">
        <v>25</v>
      </c>
      <c r="H28" s="121" t="s">
        <v>74</v>
      </c>
      <c r="I28" s="121" t="s">
        <v>25</v>
      </c>
      <c r="J28" s="121">
        <v>396.85</v>
      </c>
      <c r="K28" s="121">
        <v>219.08</v>
      </c>
      <c r="L28" s="121">
        <v>0</v>
      </c>
      <c r="M28" s="121">
        <v>0.795014490219207</v>
      </c>
      <c r="N28" s="121">
        <v>4.0312795788679301</v>
      </c>
      <c r="O28" s="121">
        <v>0</v>
      </c>
      <c r="P28" s="121">
        <v>0</v>
      </c>
      <c r="Q28" s="121">
        <v>89.728306907607802</v>
      </c>
      <c r="R28" s="121">
        <v>13.7196807471675</v>
      </c>
      <c r="S28" s="121">
        <v>0</v>
      </c>
      <c r="T28" s="121">
        <v>0</v>
      </c>
      <c r="U28" s="121">
        <v>0</v>
      </c>
      <c r="V28" s="121">
        <v>0</v>
      </c>
      <c r="W28" s="121">
        <v>0</v>
      </c>
      <c r="X28" s="121">
        <v>102.73629118606701</v>
      </c>
      <c r="Y28" s="121">
        <v>0</v>
      </c>
      <c r="Z28" s="121">
        <v>0</v>
      </c>
      <c r="AA28" s="121">
        <v>166.448623613542</v>
      </c>
      <c r="AB28" s="121">
        <v>0</v>
      </c>
      <c r="AC28" s="121">
        <v>0</v>
      </c>
      <c r="AD28" s="121">
        <v>0</v>
      </c>
      <c r="AE28" s="121">
        <v>18.339392704951599</v>
      </c>
      <c r="AF28" s="121">
        <v>0.39678606238194902</v>
      </c>
      <c r="AG28" s="121">
        <v>0.31775589890625</v>
      </c>
      <c r="AH28" s="121">
        <v>0.33362319907176302</v>
      </c>
      <c r="AI28" s="121">
        <v>0</v>
      </c>
      <c r="AJ28" s="121">
        <v>-12.592029417653601</v>
      </c>
      <c r="AK28" s="121">
        <v>2.2270727891308999</v>
      </c>
      <c r="AL28" s="121">
        <v>27.930064924409798</v>
      </c>
      <c r="AM28" s="121">
        <v>0</v>
      </c>
      <c r="AN28" s="121">
        <v>192.376758979464</v>
      </c>
      <c r="AO28" s="121">
        <v>3.0026457250278602</v>
      </c>
      <c r="AP28" s="121">
        <v>2.0904583858010599</v>
      </c>
      <c r="AQ28" s="121">
        <v>0</v>
      </c>
      <c r="AR28" s="121">
        <v>0</v>
      </c>
      <c r="AS28" s="121">
        <v>0</v>
      </c>
      <c r="AT28" s="122">
        <v>4.0406108729328603</v>
      </c>
    </row>
    <row r="29" spans="2:46" ht="12" customHeight="1" x14ac:dyDescent="0.25">
      <c r="B29" s="120" t="s">
        <v>41</v>
      </c>
      <c r="C29" s="121" t="s">
        <v>50</v>
      </c>
      <c r="D29" s="121" t="s">
        <v>42</v>
      </c>
      <c r="E29" s="121" t="s">
        <v>90</v>
      </c>
      <c r="F29" s="121" t="s">
        <v>25</v>
      </c>
      <c r="G29" s="121" t="s">
        <v>37</v>
      </c>
      <c r="H29" s="121" t="s">
        <v>74</v>
      </c>
      <c r="I29" s="121" t="s">
        <v>25</v>
      </c>
      <c r="J29" s="121">
        <v>911.09</v>
      </c>
      <c r="K29" s="121">
        <v>318.52999999999997</v>
      </c>
      <c r="L29" s="121">
        <v>0</v>
      </c>
      <c r="M29" s="121">
        <v>0.74731362080605501</v>
      </c>
      <c r="N29" s="121">
        <v>10.468738030780701</v>
      </c>
      <c r="O29" s="121">
        <v>0</v>
      </c>
      <c r="P29" s="121">
        <v>0</v>
      </c>
      <c r="Q29" s="121">
        <v>84.344608493151298</v>
      </c>
      <c r="R29" s="121">
        <v>12.8964999023374</v>
      </c>
      <c r="S29" s="121">
        <v>0</v>
      </c>
      <c r="T29" s="121">
        <v>0</v>
      </c>
      <c r="U29" s="121">
        <v>0</v>
      </c>
      <c r="V29" s="121">
        <v>0</v>
      </c>
      <c r="W29" s="121">
        <v>0</v>
      </c>
      <c r="X29" s="121">
        <v>299.37343461213197</v>
      </c>
      <c r="Y29" s="121">
        <v>0</v>
      </c>
      <c r="Z29" s="121">
        <v>0</v>
      </c>
      <c r="AA29" s="121">
        <v>485.03130860768698</v>
      </c>
      <c r="AB29" s="121">
        <v>0</v>
      </c>
      <c r="AC29" s="121">
        <v>0</v>
      </c>
      <c r="AD29" s="121">
        <v>0</v>
      </c>
      <c r="AE29" s="121">
        <v>17.239029142654498</v>
      </c>
      <c r="AF29" s="121">
        <v>0.372978898639032</v>
      </c>
      <c r="AG29" s="121">
        <v>0.29869054497187503</v>
      </c>
      <c r="AH29" s="121">
        <v>0.313605807127458</v>
      </c>
      <c r="AI29" s="121">
        <v>0</v>
      </c>
      <c r="AJ29" s="121">
        <v>-11.836507652594401</v>
      </c>
      <c r="AK29" s="121">
        <v>2.0934484217830498</v>
      </c>
      <c r="AL29" s="121">
        <v>26.254261028945201</v>
      </c>
      <c r="AM29" s="121">
        <v>0</v>
      </c>
      <c r="AN29" s="121">
        <v>293.42900369622402</v>
      </c>
      <c r="AO29" s="121">
        <v>2.8224869815261902</v>
      </c>
      <c r="AP29" s="121">
        <v>1.9650308826529901</v>
      </c>
      <c r="AQ29" s="121">
        <v>0</v>
      </c>
      <c r="AR29" s="121">
        <v>0</v>
      </c>
      <c r="AS29" s="121">
        <v>0</v>
      </c>
      <c r="AT29" s="122">
        <v>3.79817422055689</v>
      </c>
    </row>
    <row r="30" spans="2:46" ht="12" customHeight="1" x14ac:dyDescent="0.25">
      <c r="B30" s="120" t="s">
        <v>41</v>
      </c>
      <c r="C30" s="121" t="s">
        <v>50</v>
      </c>
      <c r="D30" s="121" t="s">
        <v>42</v>
      </c>
      <c r="E30" s="121" t="s">
        <v>90</v>
      </c>
      <c r="F30" s="121" t="s">
        <v>25</v>
      </c>
      <c r="G30" s="121" t="s">
        <v>51</v>
      </c>
      <c r="H30" s="121" t="s">
        <v>74</v>
      </c>
      <c r="I30" s="121" t="s">
        <v>25</v>
      </c>
      <c r="J30" s="121">
        <v>593.38</v>
      </c>
      <c r="K30" s="121">
        <v>195.7</v>
      </c>
      <c r="L30" s="121">
        <v>0</v>
      </c>
      <c r="M30" s="121">
        <v>0.74731362080605501</v>
      </c>
      <c r="N30" s="121">
        <v>6.52474964738329</v>
      </c>
      <c r="O30" s="121">
        <v>0</v>
      </c>
      <c r="P30" s="121">
        <v>0</v>
      </c>
      <c r="Q30" s="121">
        <v>84.344608493151298</v>
      </c>
      <c r="R30" s="121">
        <v>12.8964999023374</v>
      </c>
      <c r="S30" s="121">
        <v>0</v>
      </c>
      <c r="T30" s="121">
        <v>0</v>
      </c>
      <c r="U30" s="121">
        <v>0</v>
      </c>
      <c r="V30" s="121">
        <v>0</v>
      </c>
      <c r="W30" s="121">
        <v>0</v>
      </c>
      <c r="X30" s="121">
        <v>179.62406076727899</v>
      </c>
      <c r="Y30" s="121">
        <v>0</v>
      </c>
      <c r="Z30" s="121">
        <v>0</v>
      </c>
      <c r="AA30" s="121">
        <v>291.01880456243902</v>
      </c>
      <c r="AB30" s="121">
        <v>0</v>
      </c>
      <c r="AC30" s="121">
        <v>0</v>
      </c>
      <c r="AD30" s="121">
        <v>0</v>
      </c>
      <c r="AE30" s="121">
        <v>17.239029142654498</v>
      </c>
      <c r="AF30" s="121">
        <v>0.372978898639032</v>
      </c>
      <c r="AG30" s="121">
        <v>0.29869054497187503</v>
      </c>
      <c r="AH30" s="121">
        <v>0.313605807127458</v>
      </c>
      <c r="AI30" s="121">
        <v>0</v>
      </c>
      <c r="AJ30" s="121">
        <v>-11.836507652594401</v>
      </c>
      <c r="AK30" s="121">
        <v>2.0934484217830498</v>
      </c>
      <c r="AL30" s="121">
        <v>26.254261028945201</v>
      </c>
      <c r="AM30" s="121">
        <v>0</v>
      </c>
      <c r="AN30" s="121">
        <v>170.598257962921</v>
      </c>
      <c r="AO30" s="121">
        <v>2.8224869815261902</v>
      </c>
      <c r="AP30" s="121">
        <v>1.9650308826529901</v>
      </c>
      <c r="AQ30" s="121">
        <v>0</v>
      </c>
      <c r="AR30" s="121">
        <v>0</v>
      </c>
      <c r="AS30" s="121">
        <v>0</v>
      </c>
      <c r="AT30" s="122">
        <v>3.79817422055689</v>
      </c>
    </row>
    <row r="31" spans="2:46" ht="12" customHeight="1" x14ac:dyDescent="0.25">
      <c r="B31" s="120" t="s">
        <v>41</v>
      </c>
      <c r="C31" s="121" t="s">
        <v>50</v>
      </c>
      <c r="D31" s="121" t="s">
        <v>42</v>
      </c>
      <c r="E31" s="121" t="s">
        <v>90</v>
      </c>
      <c r="F31" s="121" t="s">
        <v>25</v>
      </c>
      <c r="G31" s="121" t="s">
        <v>38</v>
      </c>
      <c r="H31" s="121" t="s">
        <v>74</v>
      </c>
      <c r="I31" s="121" t="s">
        <v>25</v>
      </c>
      <c r="J31" s="121">
        <v>275.67</v>
      </c>
      <c r="K31" s="121">
        <v>195.7</v>
      </c>
      <c r="L31" s="121">
        <v>0</v>
      </c>
      <c r="M31" s="121">
        <v>0.74731362080605501</v>
      </c>
      <c r="N31" s="121">
        <v>2.5807612639859099</v>
      </c>
      <c r="O31" s="121">
        <v>0</v>
      </c>
      <c r="P31" s="121">
        <v>0</v>
      </c>
      <c r="Q31" s="121">
        <v>84.344608493151298</v>
      </c>
      <c r="R31" s="121">
        <v>12.8964999023374</v>
      </c>
      <c r="S31" s="121">
        <v>0</v>
      </c>
      <c r="T31" s="121">
        <v>0</v>
      </c>
      <c r="U31" s="121">
        <v>0</v>
      </c>
      <c r="V31" s="121">
        <v>0</v>
      </c>
      <c r="W31" s="121">
        <v>0</v>
      </c>
      <c r="X31" s="121">
        <v>59.874686922426399</v>
      </c>
      <c r="Y31" s="121">
        <v>0</v>
      </c>
      <c r="Z31" s="121">
        <v>0</v>
      </c>
      <c r="AA31" s="121">
        <v>97.006300517190795</v>
      </c>
      <c r="AB31" s="121">
        <v>0</v>
      </c>
      <c r="AC31" s="121">
        <v>0</v>
      </c>
      <c r="AD31" s="121">
        <v>0</v>
      </c>
      <c r="AE31" s="121">
        <v>17.239029142654498</v>
      </c>
      <c r="AF31" s="121">
        <v>0.372978898639032</v>
      </c>
      <c r="AG31" s="121">
        <v>0.29869054497187503</v>
      </c>
      <c r="AH31" s="121">
        <v>0.313605807127458</v>
      </c>
      <c r="AI31" s="121">
        <v>0</v>
      </c>
      <c r="AJ31" s="121">
        <v>-11.836507652594401</v>
      </c>
      <c r="AK31" s="121">
        <v>2.0934484217830498</v>
      </c>
      <c r="AL31" s="121">
        <v>26.254261028945201</v>
      </c>
      <c r="AM31" s="121">
        <v>0</v>
      </c>
      <c r="AN31" s="121">
        <v>170.598257962921</v>
      </c>
      <c r="AO31" s="121">
        <v>2.8224869815261902</v>
      </c>
      <c r="AP31" s="121">
        <v>1.9650308826529901</v>
      </c>
      <c r="AQ31" s="121">
        <v>0</v>
      </c>
      <c r="AR31" s="121">
        <v>0</v>
      </c>
      <c r="AS31" s="121">
        <v>0</v>
      </c>
      <c r="AT31" s="122">
        <v>3.79817422055689</v>
      </c>
    </row>
    <row r="32" spans="2:46" ht="12" customHeight="1" x14ac:dyDescent="0.25">
      <c r="B32" s="120" t="s">
        <v>41</v>
      </c>
      <c r="C32" s="121" t="s">
        <v>50</v>
      </c>
      <c r="D32" s="121" t="s">
        <v>42</v>
      </c>
      <c r="E32" s="121" t="s">
        <v>25</v>
      </c>
      <c r="F32" s="121" t="s">
        <v>25</v>
      </c>
      <c r="G32" s="121" t="s">
        <v>37</v>
      </c>
      <c r="H32" s="121" t="s">
        <v>74</v>
      </c>
      <c r="I32" s="121" t="s">
        <v>25</v>
      </c>
      <c r="J32" s="121">
        <v>911.09</v>
      </c>
      <c r="K32" s="121">
        <v>318.52999999999997</v>
      </c>
      <c r="L32" s="121">
        <v>0</v>
      </c>
      <c r="M32" s="121">
        <v>0.74731362080605501</v>
      </c>
      <c r="N32" s="121">
        <v>10.468738030780701</v>
      </c>
      <c r="O32" s="121">
        <v>0</v>
      </c>
      <c r="P32" s="121">
        <v>0</v>
      </c>
      <c r="Q32" s="121">
        <v>84.344608493151298</v>
      </c>
      <c r="R32" s="121">
        <v>12.8964999023374</v>
      </c>
      <c r="S32" s="121">
        <v>0</v>
      </c>
      <c r="T32" s="121">
        <v>0</v>
      </c>
      <c r="U32" s="121">
        <v>0</v>
      </c>
      <c r="V32" s="121">
        <v>0</v>
      </c>
      <c r="W32" s="121">
        <v>0</v>
      </c>
      <c r="X32" s="121">
        <v>299.37343461213197</v>
      </c>
      <c r="Y32" s="121">
        <v>0</v>
      </c>
      <c r="Z32" s="121">
        <v>0</v>
      </c>
      <c r="AA32" s="121">
        <v>485.03130860768698</v>
      </c>
      <c r="AB32" s="121">
        <v>0</v>
      </c>
      <c r="AC32" s="121">
        <v>0</v>
      </c>
      <c r="AD32" s="121">
        <v>0</v>
      </c>
      <c r="AE32" s="121">
        <v>17.239029142654498</v>
      </c>
      <c r="AF32" s="121">
        <v>0.372978898639032</v>
      </c>
      <c r="AG32" s="121">
        <v>0.29869054497187503</v>
      </c>
      <c r="AH32" s="121">
        <v>0.313605807127458</v>
      </c>
      <c r="AI32" s="121">
        <v>0</v>
      </c>
      <c r="AJ32" s="121">
        <v>-11.836507652594401</v>
      </c>
      <c r="AK32" s="121">
        <v>2.0934484217830498</v>
      </c>
      <c r="AL32" s="121">
        <v>26.254261028945201</v>
      </c>
      <c r="AM32" s="121">
        <v>0</v>
      </c>
      <c r="AN32" s="121">
        <v>293.42900369622402</v>
      </c>
      <c r="AO32" s="121">
        <v>2.8224869815261902</v>
      </c>
      <c r="AP32" s="121">
        <v>1.9650308826529901</v>
      </c>
      <c r="AQ32" s="121">
        <v>0</v>
      </c>
      <c r="AR32" s="121">
        <v>0</v>
      </c>
      <c r="AS32" s="121">
        <v>0</v>
      </c>
      <c r="AT32" s="122">
        <v>3.79817422055689</v>
      </c>
    </row>
    <row r="33" spans="2:46" ht="12" customHeight="1" x14ac:dyDescent="0.25">
      <c r="B33" s="120" t="s">
        <v>41</v>
      </c>
      <c r="C33" s="121" t="s">
        <v>50</v>
      </c>
      <c r="D33" s="121" t="s">
        <v>42</v>
      </c>
      <c r="E33" s="121" t="s">
        <v>25</v>
      </c>
      <c r="F33" s="121" t="s">
        <v>25</v>
      </c>
      <c r="G33" s="121" t="s">
        <v>51</v>
      </c>
      <c r="H33" s="121" t="s">
        <v>74</v>
      </c>
      <c r="I33" s="121" t="s">
        <v>25</v>
      </c>
      <c r="J33" s="121">
        <v>593.38</v>
      </c>
      <c r="K33" s="121">
        <v>195.7</v>
      </c>
      <c r="L33" s="121">
        <v>0</v>
      </c>
      <c r="M33" s="121">
        <v>0.74731362080605501</v>
      </c>
      <c r="N33" s="121">
        <v>6.52474964738329</v>
      </c>
      <c r="O33" s="121">
        <v>0</v>
      </c>
      <c r="P33" s="121">
        <v>0</v>
      </c>
      <c r="Q33" s="121">
        <v>84.344608493151298</v>
      </c>
      <c r="R33" s="121">
        <v>12.8964999023374</v>
      </c>
      <c r="S33" s="121">
        <v>0</v>
      </c>
      <c r="T33" s="121">
        <v>0</v>
      </c>
      <c r="U33" s="121">
        <v>0</v>
      </c>
      <c r="V33" s="121">
        <v>0</v>
      </c>
      <c r="W33" s="121">
        <v>0</v>
      </c>
      <c r="X33" s="121">
        <v>179.62406076727899</v>
      </c>
      <c r="Y33" s="121">
        <v>0</v>
      </c>
      <c r="Z33" s="121">
        <v>0</v>
      </c>
      <c r="AA33" s="121">
        <v>291.01880456243902</v>
      </c>
      <c r="AB33" s="121">
        <v>0</v>
      </c>
      <c r="AC33" s="121">
        <v>0</v>
      </c>
      <c r="AD33" s="121">
        <v>0</v>
      </c>
      <c r="AE33" s="121">
        <v>17.239029142654498</v>
      </c>
      <c r="AF33" s="121">
        <v>0.372978898639032</v>
      </c>
      <c r="AG33" s="121">
        <v>0.29869054497187503</v>
      </c>
      <c r="AH33" s="121">
        <v>0.313605807127458</v>
      </c>
      <c r="AI33" s="121">
        <v>0</v>
      </c>
      <c r="AJ33" s="121">
        <v>-11.836507652594401</v>
      </c>
      <c r="AK33" s="121">
        <v>2.0934484217830498</v>
      </c>
      <c r="AL33" s="121">
        <v>26.254261028945201</v>
      </c>
      <c r="AM33" s="121">
        <v>0</v>
      </c>
      <c r="AN33" s="121">
        <v>170.598257962921</v>
      </c>
      <c r="AO33" s="121">
        <v>2.8224869815261902</v>
      </c>
      <c r="AP33" s="121">
        <v>1.9650308826529901</v>
      </c>
      <c r="AQ33" s="121">
        <v>0</v>
      </c>
      <c r="AR33" s="121">
        <v>0</v>
      </c>
      <c r="AS33" s="121">
        <v>0</v>
      </c>
      <c r="AT33" s="122">
        <v>3.79817422055689</v>
      </c>
    </row>
    <row r="34" spans="2:46" ht="12" customHeight="1" x14ac:dyDescent="0.25">
      <c r="B34" s="120" t="s">
        <v>41</v>
      </c>
      <c r="C34" s="121" t="s">
        <v>50</v>
      </c>
      <c r="D34" s="121" t="s">
        <v>42</v>
      </c>
      <c r="E34" s="121" t="s">
        <v>25</v>
      </c>
      <c r="F34" s="121" t="s">
        <v>25</v>
      </c>
      <c r="G34" s="121" t="s">
        <v>38</v>
      </c>
      <c r="H34" s="121" t="s">
        <v>74</v>
      </c>
      <c r="I34" s="121" t="s">
        <v>25</v>
      </c>
      <c r="J34" s="121">
        <v>275.67</v>
      </c>
      <c r="K34" s="121">
        <v>195.7</v>
      </c>
      <c r="L34" s="121">
        <v>0</v>
      </c>
      <c r="M34" s="121">
        <v>0.74731362080605501</v>
      </c>
      <c r="N34" s="121">
        <v>2.5807612639859099</v>
      </c>
      <c r="O34" s="121">
        <v>0</v>
      </c>
      <c r="P34" s="121">
        <v>0</v>
      </c>
      <c r="Q34" s="121">
        <v>84.344608493151298</v>
      </c>
      <c r="R34" s="121">
        <v>12.8964999023374</v>
      </c>
      <c r="S34" s="121">
        <v>0</v>
      </c>
      <c r="T34" s="121">
        <v>0</v>
      </c>
      <c r="U34" s="121">
        <v>0</v>
      </c>
      <c r="V34" s="121">
        <v>0</v>
      </c>
      <c r="W34" s="121">
        <v>0</v>
      </c>
      <c r="X34" s="121">
        <v>59.874686922426399</v>
      </c>
      <c r="Y34" s="121">
        <v>0</v>
      </c>
      <c r="Z34" s="121">
        <v>0</v>
      </c>
      <c r="AA34" s="121">
        <v>97.006300517190795</v>
      </c>
      <c r="AB34" s="121">
        <v>0</v>
      </c>
      <c r="AC34" s="121">
        <v>0</v>
      </c>
      <c r="AD34" s="121">
        <v>0</v>
      </c>
      <c r="AE34" s="121">
        <v>17.239029142654498</v>
      </c>
      <c r="AF34" s="121">
        <v>0.372978898639032</v>
      </c>
      <c r="AG34" s="121">
        <v>0.29869054497187503</v>
      </c>
      <c r="AH34" s="121">
        <v>0.313605807127458</v>
      </c>
      <c r="AI34" s="121">
        <v>0</v>
      </c>
      <c r="AJ34" s="121">
        <v>-11.836507652594401</v>
      </c>
      <c r="AK34" s="121">
        <v>2.0934484217830498</v>
      </c>
      <c r="AL34" s="121">
        <v>26.254261028945201</v>
      </c>
      <c r="AM34" s="121">
        <v>0</v>
      </c>
      <c r="AN34" s="121">
        <v>170.598257962921</v>
      </c>
      <c r="AO34" s="121">
        <v>2.8224869815261902</v>
      </c>
      <c r="AP34" s="121">
        <v>1.9650308826529901</v>
      </c>
      <c r="AQ34" s="121">
        <v>0</v>
      </c>
      <c r="AR34" s="121">
        <v>0</v>
      </c>
      <c r="AS34" s="121">
        <v>0</v>
      </c>
      <c r="AT34" s="122">
        <v>3.79817422055689</v>
      </c>
    </row>
    <row r="35" spans="2:46" ht="12" customHeight="1" x14ac:dyDescent="0.25">
      <c r="B35" s="120" t="s">
        <v>41</v>
      </c>
      <c r="C35" s="121" t="s">
        <v>50</v>
      </c>
      <c r="D35" s="121" t="s">
        <v>42</v>
      </c>
      <c r="E35" s="121" t="s">
        <v>91</v>
      </c>
      <c r="F35" s="121" t="s">
        <v>25</v>
      </c>
      <c r="G35" s="121" t="s">
        <v>37</v>
      </c>
      <c r="H35" s="121" t="s">
        <v>74</v>
      </c>
      <c r="I35" s="121" t="s">
        <v>25</v>
      </c>
      <c r="J35" s="121">
        <v>891.7</v>
      </c>
      <c r="K35" s="121">
        <v>311.75</v>
      </c>
      <c r="L35" s="121">
        <v>0</v>
      </c>
      <c r="M35" s="121">
        <v>0.73141333100167105</v>
      </c>
      <c r="N35" s="121">
        <v>10.2459989237428</v>
      </c>
      <c r="O35" s="121">
        <v>0</v>
      </c>
      <c r="P35" s="121">
        <v>0</v>
      </c>
      <c r="Q35" s="121">
        <v>82.550042354999206</v>
      </c>
      <c r="R35" s="121">
        <v>12.6221062873941</v>
      </c>
      <c r="S35" s="121">
        <v>0</v>
      </c>
      <c r="T35" s="121">
        <v>0</v>
      </c>
      <c r="U35" s="121">
        <v>0</v>
      </c>
      <c r="V35" s="121">
        <v>0</v>
      </c>
      <c r="W35" s="121">
        <v>0</v>
      </c>
      <c r="X35" s="121">
        <v>293.003787067193</v>
      </c>
      <c r="Y35" s="121">
        <v>0</v>
      </c>
      <c r="Z35" s="121">
        <v>0</v>
      </c>
      <c r="AA35" s="121">
        <v>474.71149353092801</v>
      </c>
      <c r="AB35" s="121">
        <v>0</v>
      </c>
      <c r="AC35" s="121">
        <v>0</v>
      </c>
      <c r="AD35" s="121">
        <v>0</v>
      </c>
      <c r="AE35" s="121">
        <v>16.872241288555401</v>
      </c>
      <c r="AF35" s="121">
        <v>0.36504317739139303</v>
      </c>
      <c r="AG35" s="121">
        <v>0.29233542699374998</v>
      </c>
      <c r="AH35" s="121">
        <v>0.306933343146022</v>
      </c>
      <c r="AI35" s="121">
        <v>0</v>
      </c>
      <c r="AJ35" s="121">
        <v>-11.5846670642413</v>
      </c>
      <c r="AK35" s="121">
        <v>2.04890696600043</v>
      </c>
      <c r="AL35" s="121">
        <v>25.695659730456999</v>
      </c>
      <c r="AM35" s="121">
        <v>0</v>
      </c>
      <c r="AN35" s="121">
        <v>287.18583340481501</v>
      </c>
      <c r="AO35" s="121">
        <v>2.7624340670256302</v>
      </c>
      <c r="AP35" s="121">
        <v>1.9232217149369699</v>
      </c>
      <c r="AQ35" s="121">
        <v>0</v>
      </c>
      <c r="AR35" s="121">
        <v>0</v>
      </c>
      <c r="AS35" s="121">
        <v>0</v>
      </c>
      <c r="AT35" s="122">
        <v>3.7173620030982399</v>
      </c>
    </row>
    <row r="36" spans="2:46" ht="12" customHeight="1" x14ac:dyDescent="0.25">
      <c r="B36" s="120" t="s">
        <v>41</v>
      </c>
      <c r="C36" s="121" t="s">
        <v>50</v>
      </c>
      <c r="D36" s="121" t="s">
        <v>42</v>
      </c>
      <c r="E36" s="121" t="s">
        <v>91</v>
      </c>
      <c r="F36" s="121" t="s">
        <v>25</v>
      </c>
      <c r="G36" s="121" t="s">
        <v>51</v>
      </c>
      <c r="H36" s="121" t="s">
        <v>74</v>
      </c>
      <c r="I36" s="121" t="s">
        <v>25</v>
      </c>
      <c r="J36" s="121">
        <v>580.76</v>
      </c>
      <c r="K36" s="121">
        <v>191.53</v>
      </c>
      <c r="L36" s="121">
        <v>0</v>
      </c>
      <c r="M36" s="121">
        <v>0.73141333100167105</v>
      </c>
      <c r="N36" s="121">
        <v>6.3859251868006597</v>
      </c>
      <c r="O36" s="121">
        <v>0</v>
      </c>
      <c r="P36" s="121">
        <v>0</v>
      </c>
      <c r="Q36" s="121">
        <v>82.550042354999206</v>
      </c>
      <c r="R36" s="121">
        <v>12.6221062873941</v>
      </c>
      <c r="S36" s="121">
        <v>0</v>
      </c>
      <c r="T36" s="121">
        <v>0</v>
      </c>
      <c r="U36" s="121">
        <v>0</v>
      </c>
      <c r="V36" s="121">
        <v>0</v>
      </c>
      <c r="W36" s="121">
        <v>0</v>
      </c>
      <c r="X36" s="121">
        <v>175.802272240316</v>
      </c>
      <c r="Y36" s="121">
        <v>0</v>
      </c>
      <c r="Z36" s="121">
        <v>0</v>
      </c>
      <c r="AA36" s="121">
        <v>284.82691510366402</v>
      </c>
      <c r="AB36" s="121">
        <v>0</v>
      </c>
      <c r="AC36" s="121">
        <v>0</v>
      </c>
      <c r="AD36" s="121">
        <v>0</v>
      </c>
      <c r="AE36" s="121">
        <v>16.872241288555401</v>
      </c>
      <c r="AF36" s="121">
        <v>0.36504317739139303</v>
      </c>
      <c r="AG36" s="121">
        <v>0.29233542699374998</v>
      </c>
      <c r="AH36" s="121">
        <v>0.306933343146022</v>
      </c>
      <c r="AI36" s="121">
        <v>0</v>
      </c>
      <c r="AJ36" s="121">
        <v>-11.5846670642413</v>
      </c>
      <c r="AK36" s="121">
        <v>2.04890696600043</v>
      </c>
      <c r="AL36" s="121">
        <v>25.695659730456999</v>
      </c>
      <c r="AM36" s="121">
        <v>0</v>
      </c>
      <c r="AN36" s="121">
        <v>166.968507793497</v>
      </c>
      <c r="AO36" s="121">
        <v>2.7624340670256302</v>
      </c>
      <c r="AP36" s="121">
        <v>1.9232217149369699</v>
      </c>
      <c r="AQ36" s="121">
        <v>0</v>
      </c>
      <c r="AR36" s="121">
        <v>0</v>
      </c>
      <c r="AS36" s="121">
        <v>0</v>
      </c>
      <c r="AT36" s="122">
        <v>3.7173620030982399</v>
      </c>
    </row>
    <row r="37" spans="2:46" ht="12" customHeight="1" x14ac:dyDescent="0.25">
      <c r="B37" s="120" t="s">
        <v>41</v>
      </c>
      <c r="C37" s="121" t="s">
        <v>50</v>
      </c>
      <c r="D37" s="121" t="s">
        <v>42</v>
      </c>
      <c r="E37" s="121" t="s">
        <v>91</v>
      </c>
      <c r="F37" s="121" t="s">
        <v>25</v>
      </c>
      <c r="G37" s="121" t="s">
        <v>38</v>
      </c>
      <c r="H37" s="121" t="s">
        <v>74</v>
      </c>
      <c r="I37" s="121" t="s">
        <v>25</v>
      </c>
      <c r="J37" s="121">
        <v>269.81</v>
      </c>
      <c r="K37" s="121">
        <v>191.53</v>
      </c>
      <c r="L37" s="121">
        <v>0</v>
      </c>
      <c r="M37" s="121">
        <v>0.73141333100167105</v>
      </c>
      <c r="N37" s="121">
        <v>2.5258514498585498</v>
      </c>
      <c r="O37" s="121">
        <v>0</v>
      </c>
      <c r="P37" s="121">
        <v>0</v>
      </c>
      <c r="Q37" s="121">
        <v>82.550042354999206</v>
      </c>
      <c r="R37" s="121">
        <v>12.6221062873941</v>
      </c>
      <c r="S37" s="121">
        <v>0</v>
      </c>
      <c r="T37" s="121">
        <v>0</v>
      </c>
      <c r="U37" s="121">
        <v>0</v>
      </c>
      <c r="V37" s="121">
        <v>0</v>
      </c>
      <c r="W37" s="121">
        <v>0</v>
      </c>
      <c r="X37" s="121">
        <v>58.6007574134386</v>
      </c>
      <c r="Y37" s="121">
        <v>0</v>
      </c>
      <c r="Z37" s="121">
        <v>0</v>
      </c>
      <c r="AA37" s="121">
        <v>94.942336676399506</v>
      </c>
      <c r="AB37" s="121">
        <v>0</v>
      </c>
      <c r="AC37" s="121">
        <v>0</v>
      </c>
      <c r="AD37" s="121">
        <v>0</v>
      </c>
      <c r="AE37" s="121">
        <v>16.872241288555401</v>
      </c>
      <c r="AF37" s="121">
        <v>0.36504317739139303</v>
      </c>
      <c r="AG37" s="121">
        <v>0.29233542699374998</v>
      </c>
      <c r="AH37" s="121">
        <v>0.306933343146022</v>
      </c>
      <c r="AI37" s="121">
        <v>0</v>
      </c>
      <c r="AJ37" s="121">
        <v>-11.5846670642413</v>
      </c>
      <c r="AK37" s="121">
        <v>2.04890696600043</v>
      </c>
      <c r="AL37" s="121">
        <v>25.695659730456999</v>
      </c>
      <c r="AM37" s="121">
        <v>0</v>
      </c>
      <c r="AN37" s="121">
        <v>166.968507793497</v>
      </c>
      <c r="AO37" s="121">
        <v>2.7624340670256302</v>
      </c>
      <c r="AP37" s="121">
        <v>1.9232217149369699</v>
      </c>
      <c r="AQ37" s="121">
        <v>0</v>
      </c>
      <c r="AR37" s="121">
        <v>0</v>
      </c>
      <c r="AS37" s="121">
        <v>0</v>
      </c>
      <c r="AT37" s="122">
        <v>3.7173620030982399</v>
      </c>
    </row>
    <row r="38" spans="2:46" ht="12" customHeight="1" x14ac:dyDescent="0.25">
      <c r="B38" s="120" t="s">
        <v>41</v>
      </c>
      <c r="C38" s="121" t="s">
        <v>23</v>
      </c>
      <c r="D38" s="121" t="s">
        <v>42</v>
      </c>
      <c r="E38" s="121" t="s">
        <v>90</v>
      </c>
      <c r="F38" s="121" t="s">
        <v>25</v>
      </c>
      <c r="G38" s="121" t="s">
        <v>25</v>
      </c>
      <c r="H38" s="121" t="s">
        <v>74</v>
      </c>
      <c r="I38" s="121" t="s">
        <v>25</v>
      </c>
      <c r="J38" s="121">
        <v>373.04</v>
      </c>
      <c r="K38" s="121">
        <v>205.93</v>
      </c>
      <c r="L38" s="121">
        <v>0</v>
      </c>
      <c r="M38" s="121">
        <v>0.74731362080605501</v>
      </c>
      <c r="N38" s="121">
        <v>3.7894028041358498</v>
      </c>
      <c r="O38" s="121">
        <v>0</v>
      </c>
      <c r="P38" s="121">
        <v>0</v>
      </c>
      <c r="Q38" s="121">
        <v>84.344608493151298</v>
      </c>
      <c r="R38" s="121">
        <v>12.8964999023374</v>
      </c>
      <c r="S38" s="121">
        <v>0</v>
      </c>
      <c r="T38" s="121">
        <v>0</v>
      </c>
      <c r="U38" s="121">
        <v>0</v>
      </c>
      <c r="V38" s="121">
        <v>0</v>
      </c>
      <c r="W38" s="121">
        <v>0</v>
      </c>
      <c r="X38" s="121">
        <v>96.572113714903196</v>
      </c>
      <c r="Y38" s="121">
        <v>0</v>
      </c>
      <c r="Z38" s="121">
        <v>0</v>
      </c>
      <c r="AA38" s="121">
        <v>156.46170619672901</v>
      </c>
      <c r="AB38" s="121">
        <v>0</v>
      </c>
      <c r="AC38" s="121">
        <v>0</v>
      </c>
      <c r="AD38" s="121">
        <v>0</v>
      </c>
      <c r="AE38" s="121">
        <v>17.239029142654498</v>
      </c>
      <c r="AF38" s="121">
        <v>0.372978898639032</v>
      </c>
      <c r="AG38" s="121">
        <v>0.29869054497187503</v>
      </c>
      <c r="AH38" s="121">
        <v>0.313605807127458</v>
      </c>
      <c r="AI38" s="121">
        <v>0</v>
      </c>
      <c r="AJ38" s="121">
        <v>-11.836507652594401</v>
      </c>
      <c r="AK38" s="121">
        <v>2.0934484217830498</v>
      </c>
      <c r="AL38" s="121">
        <v>26.254261028945201</v>
      </c>
      <c r="AM38" s="121">
        <v>0</v>
      </c>
      <c r="AN38" s="121">
        <v>180.83415344069601</v>
      </c>
      <c r="AO38" s="121">
        <v>2.8224869815261902</v>
      </c>
      <c r="AP38" s="121">
        <v>1.9650308826529901</v>
      </c>
      <c r="AQ38" s="121">
        <v>0</v>
      </c>
      <c r="AR38" s="121">
        <v>0</v>
      </c>
      <c r="AS38" s="121">
        <v>0</v>
      </c>
      <c r="AT38" s="122">
        <v>3.79817422055689</v>
      </c>
    </row>
    <row r="39" spans="2:46" ht="12" customHeight="1" x14ac:dyDescent="0.25">
      <c r="B39" s="120" t="s">
        <v>41</v>
      </c>
      <c r="C39" s="121" t="s">
        <v>23</v>
      </c>
      <c r="D39" s="121" t="s">
        <v>42</v>
      </c>
      <c r="E39" s="121" t="s">
        <v>25</v>
      </c>
      <c r="F39" s="121" t="s">
        <v>25</v>
      </c>
      <c r="G39" s="121" t="s">
        <v>25</v>
      </c>
      <c r="H39" s="121" t="s">
        <v>74</v>
      </c>
      <c r="I39" s="121" t="s">
        <v>25</v>
      </c>
      <c r="J39" s="121">
        <v>373.04</v>
      </c>
      <c r="K39" s="121">
        <v>205.93</v>
      </c>
      <c r="L39" s="121">
        <v>0</v>
      </c>
      <c r="M39" s="121">
        <v>0.74731362080605501</v>
      </c>
      <c r="N39" s="121">
        <v>3.7894028041358498</v>
      </c>
      <c r="O39" s="121">
        <v>0</v>
      </c>
      <c r="P39" s="121">
        <v>0</v>
      </c>
      <c r="Q39" s="121">
        <v>84.344608493151298</v>
      </c>
      <c r="R39" s="121">
        <v>12.8964999023374</v>
      </c>
      <c r="S39" s="121">
        <v>0</v>
      </c>
      <c r="T39" s="121">
        <v>0</v>
      </c>
      <c r="U39" s="121">
        <v>0</v>
      </c>
      <c r="V39" s="121">
        <v>0</v>
      </c>
      <c r="W39" s="121">
        <v>0</v>
      </c>
      <c r="X39" s="121">
        <v>96.572113714903196</v>
      </c>
      <c r="Y39" s="121">
        <v>0</v>
      </c>
      <c r="Z39" s="121">
        <v>0</v>
      </c>
      <c r="AA39" s="121">
        <v>156.46170619672901</v>
      </c>
      <c r="AB39" s="121">
        <v>0</v>
      </c>
      <c r="AC39" s="121">
        <v>0</v>
      </c>
      <c r="AD39" s="121">
        <v>0</v>
      </c>
      <c r="AE39" s="121">
        <v>17.239029142654498</v>
      </c>
      <c r="AF39" s="121">
        <v>0.372978898639032</v>
      </c>
      <c r="AG39" s="121">
        <v>0.29869054497187503</v>
      </c>
      <c r="AH39" s="121">
        <v>0.313605807127458</v>
      </c>
      <c r="AI39" s="121">
        <v>0</v>
      </c>
      <c r="AJ39" s="121">
        <v>-11.836507652594401</v>
      </c>
      <c r="AK39" s="121">
        <v>2.0934484217830498</v>
      </c>
      <c r="AL39" s="121">
        <v>26.254261028945201</v>
      </c>
      <c r="AM39" s="121">
        <v>0</v>
      </c>
      <c r="AN39" s="121">
        <v>180.83415344069601</v>
      </c>
      <c r="AO39" s="121">
        <v>2.8224869815261902</v>
      </c>
      <c r="AP39" s="121">
        <v>1.9650308826529901</v>
      </c>
      <c r="AQ39" s="121">
        <v>0</v>
      </c>
      <c r="AR39" s="121">
        <v>0</v>
      </c>
      <c r="AS39" s="121">
        <v>0</v>
      </c>
      <c r="AT39" s="122">
        <v>3.79817422055689</v>
      </c>
    </row>
    <row r="40" spans="2:46" ht="12" customHeight="1" x14ac:dyDescent="0.25">
      <c r="B40" s="120" t="s">
        <v>41</v>
      </c>
      <c r="C40" s="121" t="s">
        <v>23</v>
      </c>
      <c r="D40" s="121" t="s">
        <v>42</v>
      </c>
      <c r="E40" s="121" t="s">
        <v>91</v>
      </c>
      <c r="F40" s="121" t="s">
        <v>25</v>
      </c>
      <c r="G40" s="121" t="s">
        <v>25</v>
      </c>
      <c r="H40" s="121" t="s">
        <v>74</v>
      </c>
      <c r="I40" s="121" t="s">
        <v>25</v>
      </c>
      <c r="J40" s="121">
        <v>365.1</v>
      </c>
      <c r="K40" s="121">
        <v>201.55</v>
      </c>
      <c r="L40" s="121">
        <v>0</v>
      </c>
      <c r="M40" s="121">
        <v>0.73141333100167105</v>
      </c>
      <c r="N40" s="121">
        <v>3.7087772125584899</v>
      </c>
      <c r="O40" s="121">
        <v>0</v>
      </c>
      <c r="P40" s="121">
        <v>0</v>
      </c>
      <c r="Q40" s="121">
        <v>82.550042354999206</v>
      </c>
      <c r="R40" s="121">
        <v>12.6221062873941</v>
      </c>
      <c r="S40" s="121">
        <v>0</v>
      </c>
      <c r="T40" s="121">
        <v>0</v>
      </c>
      <c r="U40" s="121">
        <v>0</v>
      </c>
      <c r="V40" s="121">
        <v>0</v>
      </c>
      <c r="W40" s="121">
        <v>0</v>
      </c>
      <c r="X40" s="121">
        <v>94.517387891181897</v>
      </c>
      <c r="Y40" s="121">
        <v>0</v>
      </c>
      <c r="Z40" s="121">
        <v>0</v>
      </c>
      <c r="AA40" s="121">
        <v>153.13273372445801</v>
      </c>
      <c r="AB40" s="121">
        <v>0</v>
      </c>
      <c r="AC40" s="121">
        <v>0</v>
      </c>
      <c r="AD40" s="121">
        <v>0</v>
      </c>
      <c r="AE40" s="121">
        <v>16.872241288555401</v>
      </c>
      <c r="AF40" s="121">
        <v>0.36504317739139303</v>
      </c>
      <c r="AG40" s="121">
        <v>0.29233542699374998</v>
      </c>
      <c r="AH40" s="121">
        <v>0.306933343146022</v>
      </c>
      <c r="AI40" s="121">
        <v>0</v>
      </c>
      <c r="AJ40" s="121">
        <v>-11.5846670642413</v>
      </c>
      <c r="AK40" s="121">
        <v>2.04890696600043</v>
      </c>
      <c r="AL40" s="121">
        <v>25.695659730456999</v>
      </c>
      <c r="AM40" s="121">
        <v>0</v>
      </c>
      <c r="AN40" s="121">
        <v>176.986618261107</v>
      </c>
      <c r="AO40" s="121">
        <v>2.7624340670256302</v>
      </c>
      <c r="AP40" s="121">
        <v>1.9232217149369699</v>
      </c>
      <c r="AQ40" s="121">
        <v>0</v>
      </c>
      <c r="AR40" s="121">
        <v>0</v>
      </c>
      <c r="AS40" s="121">
        <v>0</v>
      </c>
      <c r="AT40" s="122">
        <v>3.7173620030982399</v>
      </c>
    </row>
    <row r="41" spans="2:46" ht="12" customHeight="1" x14ac:dyDescent="0.25">
      <c r="B41" s="120" t="s">
        <v>41</v>
      </c>
      <c r="C41" s="121" t="s">
        <v>89</v>
      </c>
      <c r="D41" s="121" t="s">
        <v>42</v>
      </c>
      <c r="E41" s="121" t="s">
        <v>90</v>
      </c>
      <c r="F41" s="121" t="s">
        <v>25</v>
      </c>
      <c r="G41" s="121" t="s">
        <v>25</v>
      </c>
      <c r="H41" s="121" t="s">
        <v>74</v>
      </c>
      <c r="I41" s="121" t="s">
        <v>25</v>
      </c>
      <c r="J41" s="121">
        <v>373.04</v>
      </c>
      <c r="K41" s="121">
        <v>205.93</v>
      </c>
      <c r="L41" s="121">
        <v>0</v>
      </c>
      <c r="M41" s="121">
        <v>0.74731362080605501</v>
      </c>
      <c r="N41" s="121">
        <v>3.7894028041358498</v>
      </c>
      <c r="O41" s="121">
        <v>0</v>
      </c>
      <c r="P41" s="121">
        <v>0</v>
      </c>
      <c r="Q41" s="121">
        <v>84.344608493151298</v>
      </c>
      <c r="R41" s="121">
        <v>12.8964999023374</v>
      </c>
      <c r="S41" s="121">
        <v>0</v>
      </c>
      <c r="T41" s="121">
        <v>0</v>
      </c>
      <c r="U41" s="121">
        <v>0</v>
      </c>
      <c r="V41" s="121">
        <v>0</v>
      </c>
      <c r="W41" s="121">
        <v>0</v>
      </c>
      <c r="X41" s="121">
        <v>96.572113714903196</v>
      </c>
      <c r="Y41" s="121">
        <v>0</v>
      </c>
      <c r="Z41" s="121">
        <v>0</v>
      </c>
      <c r="AA41" s="121">
        <v>156.46170619672901</v>
      </c>
      <c r="AB41" s="121">
        <v>0</v>
      </c>
      <c r="AC41" s="121">
        <v>0</v>
      </c>
      <c r="AD41" s="121">
        <v>0</v>
      </c>
      <c r="AE41" s="121">
        <v>17.239029142654498</v>
      </c>
      <c r="AF41" s="121">
        <v>0.372978898639032</v>
      </c>
      <c r="AG41" s="121">
        <v>0.29869054497187503</v>
      </c>
      <c r="AH41" s="121">
        <v>0.313605807127458</v>
      </c>
      <c r="AI41" s="121">
        <v>0</v>
      </c>
      <c r="AJ41" s="121">
        <v>-11.836507652594401</v>
      </c>
      <c r="AK41" s="121">
        <v>2.0934484217830498</v>
      </c>
      <c r="AL41" s="121">
        <v>26.254261028945201</v>
      </c>
      <c r="AM41" s="121">
        <v>0</v>
      </c>
      <c r="AN41" s="121">
        <v>180.83415344069601</v>
      </c>
      <c r="AO41" s="121">
        <v>2.8224869815261902</v>
      </c>
      <c r="AP41" s="121">
        <v>1.9650308826529901</v>
      </c>
      <c r="AQ41" s="121">
        <v>0</v>
      </c>
      <c r="AR41" s="121">
        <v>0</v>
      </c>
      <c r="AS41" s="121">
        <v>0</v>
      </c>
      <c r="AT41" s="122">
        <v>3.79817422055689</v>
      </c>
    </row>
    <row r="42" spans="2:46" ht="12" customHeight="1" x14ac:dyDescent="0.25">
      <c r="B42" s="120" t="s">
        <v>41</v>
      </c>
      <c r="C42" s="121" t="s">
        <v>89</v>
      </c>
      <c r="D42" s="121" t="s">
        <v>42</v>
      </c>
      <c r="E42" s="121" t="s">
        <v>25</v>
      </c>
      <c r="F42" s="121" t="s">
        <v>25</v>
      </c>
      <c r="G42" s="121" t="s">
        <v>25</v>
      </c>
      <c r="H42" s="121" t="s">
        <v>74</v>
      </c>
      <c r="I42" s="121" t="s">
        <v>25</v>
      </c>
      <c r="J42" s="121">
        <v>373.04</v>
      </c>
      <c r="K42" s="121">
        <v>205.93</v>
      </c>
      <c r="L42" s="121">
        <v>0</v>
      </c>
      <c r="M42" s="121">
        <v>0.74731362080605501</v>
      </c>
      <c r="N42" s="121">
        <v>3.7894028041358498</v>
      </c>
      <c r="O42" s="121">
        <v>0</v>
      </c>
      <c r="P42" s="121">
        <v>0</v>
      </c>
      <c r="Q42" s="121">
        <v>84.344608493151298</v>
      </c>
      <c r="R42" s="121">
        <v>12.8964999023374</v>
      </c>
      <c r="S42" s="121">
        <v>0</v>
      </c>
      <c r="T42" s="121">
        <v>0</v>
      </c>
      <c r="U42" s="121">
        <v>0</v>
      </c>
      <c r="V42" s="121">
        <v>0</v>
      </c>
      <c r="W42" s="121">
        <v>0</v>
      </c>
      <c r="X42" s="121">
        <v>96.572113714903196</v>
      </c>
      <c r="Y42" s="121">
        <v>0</v>
      </c>
      <c r="Z42" s="121">
        <v>0</v>
      </c>
      <c r="AA42" s="121">
        <v>156.46170619672901</v>
      </c>
      <c r="AB42" s="121">
        <v>0</v>
      </c>
      <c r="AC42" s="121">
        <v>0</v>
      </c>
      <c r="AD42" s="121">
        <v>0</v>
      </c>
      <c r="AE42" s="121">
        <v>17.239029142654498</v>
      </c>
      <c r="AF42" s="121">
        <v>0.372978898639032</v>
      </c>
      <c r="AG42" s="121">
        <v>0.29869054497187503</v>
      </c>
      <c r="AH42" s="121">
        <v>0.313605807127458</v>
      </c>
      <c r="AI42" s="121">
        <v>0</v>
      </c>
      <c r="AJ42" s="121">
        <v>-11.836507652594401</v>
      </c>
      <c r="AK42" s="121">
        <v>2.0934484217830498</v>
      </c>
      <c r="AL42" s="121">
        <v>26.254261028945201</v>
      </c>
      <c r="AM42" s="121">
        <v>0</v>
      </c>
      <c r="AN42" s="121">
        <v>180.83415344069601</v>
      </c>
      <c r="AO42" s="121">
        <v>2.8224869815261902</v>
      </c>
      <c r="AP42" s="121">
        <v>1.9650308826529901</v>
      </c>
      <c r="AQ42" s="121">
        <v>0</v>
      </c>
      <c r="AR42" s="121">
        <v>0</v>
      </c>
      <c r="AS42" s="121">
        <v>0</v>
      </c>
      <c r="AT42" s="122">
        <v>3.79817422055689</v>
      </c>
    </row>
    <row r="43" spans="2:46" ht="12" customHeight="1" x14ac:dyDescent="0.25">
      <c r="B43" s="120" t="s">
        <v>41</v>
      </c>
      <c r="C43" s="121" t="s">
        <v>89</v>
      </c>
      <c r="D43" s="121" t="s">
        <v>42</v>
      </c>
      <c r="E43" s="121" t="s">
        <v>91</v>
      </c>
      <c r="F43" s="121" t="s">
        <v>25</v>
      </c>
      <c r="G43" s="121" t="s">
        <v>25</v>
      </c>
      <c r="H43" s="121" t="s">
        <v>74</v>
      </c>
      <c r="I43" s="121" t="s">
        <v>25</v>
      </c>
      <c r="J43" s="121">
        <v>365.1</v>
      </c>
      <c r="K43" s="121">
        <v>201.55</v>
      </c>
      <c r="L43" s="121">
        <v>0</v>
      </c>
      <c r="M43" s="121">
        <v>0.73141333100167105</v>
      </c>
      <c r="N43" s="121">
        <v>3.7087772125584899</v>
      </c>
      <c r="O43" s="121">
        <v>0</v>
      </c>
      <c r="P43" s="121">
        <v>0</v>
      </c>
      <c r="Q43" s="121">
        <v>82.550042354999206</v>
      </c>
      <c r="R43" s="121">
        <v>12.6221062873941</v>
      </c>
      <c r="S43" s="121">
        <v>0</v>
      </c>
      <c r="T43" s="121">
        <v>0</v>
      </c>
      <c r="U43" s="121">
        <v>0</v>
      </c>
      <c r="V43" s="121">
        <v>0</v>
      </c>
      <c r="W43" s="121">
        <v>0</v>
      </c>
      <c r="X43" s="121">
        <v>94.517387891181897</v>
      </c>
      <c r="Y43" s="121">
        <v>0</v>
      </c>
      <c r="Z43" s="121">
        <v>0</v>
      </c>
      <c r="AA43" s="121">
        <v>153.13273372445801</v>
      </c>
      <c r="AB43" s="121">
        <v>0</v>
      </c>
      <c r="AC43" s="121">
        <v>0</v>
      </c>
      <c r="AD43" s="121">
        <v>0</v>
      </c>
      <c r="AE43" s="121">
        <v>16.872241288555401</v>
      </c>
      <c r="AF43" s="121">
        <v>0.36504317739139303</v>
      </c>
      <c r="AG43" s="121">
        <v>0.29233542699374998</v>
      </c>
      <c r="AH43" s="121">
        <v>0.306933343146022</v>
      </c>
      <c r="AI43" s="121">
        <v>0</v>
      </c>
      <c r="AJ43" s="121">
        <v>-11.5846670642413</v>
      </c>
      <c r="AK43" s="121">
        <v>2.04890696600043</v>
      </c>
      <c r="AL43" s="121">
        <v>25.695659730456999</v>
      </c>
      <c r="AM43" s="121">
        <v>0</v>
      </c>
      <c r="AN43" s="121">
        <v>176.986618261107</v>
      </c>
      <c r="AO43" s="121">
        <v>2.7624340670256302</v>
      </c>
      <c r="AP43" s="121">
        <v>1.9232217149369699</v>
      </c>
      <c r="AQ43" s="121">
        <v>0</v>
      </c>
      <c r="AR43" s="121">
        <v>0</v>
      </c>
      <c r="AS43" s="121">
        <v>0</v>
      </c>
      <c r="AT43" s="122">
        <v>3.7173620030982399</v>
      </c>
    </row>
    <row r="44" spans="2:46" ht="12" customHeight="1" x14ac:dyDescent="0.25">
      <c r="B44" s="120" t="s">
        <v>33</v>
      </c>
      <c r="C44" s="121" t="s">
        <v>50</v>
      </c>
      <c r="D44" s="121" t="s">
        <v>25</v>
      </c>
      <c r="E44" s="121" t="s">
        <v>25</v>
      </c>
      <c r="F44" s="121" t="s">
        <v>25</v>
      </c>
      <c r="G44" s="121" t="s">
        <v>37</v>
      </c>
      <c r="H44" s="121" t="s">
        <v>74</v>
      </c>
      <c r="I44" s="121" t="s">
        <v>25</v>
      </c>
      <c r="J44" s="121">
        <v>1078.27</v>
      </c>
      <c r="K44" s="121">
        <v>338.86</v>
      </c>
      <c r="L44" s="121">
        <v>0</v>
      </c>
      <c r="M44" s="121">
        <v>0.795014490219207</v>
      </c>
      <c r="N44" s="121">
        <v>12.4904195187823</v>
      </c>
      <c r="O44" s="121">
        <v>0</v>
      </c>
      <c r="P44" s="121">
        <v>0</v>
      </c>
      <c r="Q44" s="121">
        <v>89.728306907607802</v>
      </c>
      <c r="R44" s="121">
        <v>13.7196807471675</v>
      </c>
      <c r="S44" s="121">
        <v>0</v>
      </c>
      <c r="T44" s="121">
        <v>0</v>
      </c>
      <c r="U44" s="121">
        <v>0</v>
      </c>
      <c r="V44" s="121">
        <v>0</v>
      </c>
      <c r="W44" s="121">
        <v>0</v>
      </c>
      <c r="X44" s="121">
        <v>359.57696213766297</v>
      </c>
      <c r="Y44" s="121">
        <v>0</v>
      </c>
      <c r="Z44" s="121">
        <v>0</v>
      </c>
      <c r="AA44" s="121">
        <v>582.57028582732505</v>
      </c>
      <c r="AB44" s="121">
        <v>0</v>
      </c>
      <c r="AC44" s="121">
        <v>0</v>
      </c>
      <c r="AD44" s="121">
        <v>0</v>
      </c>
      <c r="AE44" s="121">
        <v>18.339392704951599</v>
      </c>
      <c r="AF44" s="121">
        <v>0.39678606238194902</v>
      </c>
      <c r="AG44" s="121">
        <v>0.31775589890625</v>
      </c>
      <c r="AH44" s="121">
        <v>0.33362319907176302</v>
      </c>
      <c r="AI44" s="121">
        <v>0</v>
      </c>
      <c r="AJ44" s="121">
        <v>-12.592029417653601</v>
      </c>
      <c r="AK44" s="121">
        <v>2.2270727891308999</v>
      </c>
      <c r="AL44" s="121">
        <v>27.930064924409798</v>
      </c>
      <c r="AM44" s="121">
        <v>0</v>
      </c>
      <c r="AN44" s="121">
        <v>312.15851457045102</v>
      </c>
      <c r="AO44" s="121">
        <v>3.0026457250278602</v>
      </c>
      <c r="AP44" s="121">
        <v>2.0904583858010599</v>
      </c>
      <c r="AQ44" s="121">
        <v>0</v>
      </c>
      <c r="AR44" s="121">
        <v>0</v>
      </c>
      <c r="AS44" s="121">
        <v>0</v>
      </c>
      <c r="AT44" s="122">
        <v>4.0406108729328603</v>
      </c>
    </row>
    <row r="45" spans="2:46" ht="12" customHeight="1" x14ac:dyDescent="0.25">
      <c r="B45" s="120" t="s">
        <v>33</v>
      </c>
      <c r="C45" s="121" t="s">
        <v>50</v>
      </c>
      <c r="D45" s="121" t="s">
        <v>25</v>
      </c>
      <c r="E45" s="121" t="s">
        <v>25</v>
      </c>
      <c r="F45" s="121" t="s">
        <v>25</v>
      </c>
      <c r="G45" s="121" t="s">
        <v>51</v>
      </c>
      <c r="H45" s="121" t="s">
        <v>74</v>
      </c>
      <c r="I45" s="121" t="s">
        <v>25</v>
      </c>
      <c r="J45" s="121">
        <v>696.67</v>
      </c>
      <c r="K45" s="121">
        <v>208.19</v>
      </c>
      <c r="L45" s="121">
        <v>0</v>
      </c>
      <c r="M45" s="121">
        <v>0.795014490219207</v>
      </c>
      <c r="N45" s="121">
        <v>7.7533009909301098</v>
      </c>
      <c r="O45" s="121">
        <v>0</v>
      </c>
      <c r="P45" s="121">
        <v>0</v>
      </c>
      <c r="Q45" s="121">
        <v>89.728306907607802</v>
      </c>
      <c r="R45" s="121">
        <v>13.7196807471675</v>
      </c>
      <c r="S45" s="121">
        <v>0</v>
      </c>
      <c r="T45" s="121">
        <v>0</v>
      </c>
      <c r="U45" s="121">
        <v>0</v>
      </c>
      <c r="V45" s="121">
        <v>0</v>
      </c>
      <c r="W45" s="121">
        <v>0</v>
      </c>
      <c r="X45" s="121">
        <v>215.746200088027</v>
      </c>
      <c r="Y45" s="121">
        <v>0</v>
      </c>
      <c r="Z45" s="121">
        <v>0</v>
      </c>
      <c r="AA45" s="121">
        <v>349.54213022442298</v>
      </c>
      <c r="AB45" s="121">
        <v>0</v>
      </c>
      <c r="AC45" s="121">
        <v>0</v>
      </c>
      <c r="AD45" s="121">
        <v>0</v>
      </c>
      <c r="AE45" s="121">
        <v>18.339392704951599</v>
      </c>
      <c r="AF45" s="121">
        <v>0.39678606238194902</v>
      </c>
      <c r="AG45" s="121">
        <v>0.31775589890625</v>
      </c>
      <c r="AH45" s="121">
        <v>0.33362319907176302</v>
      </c>
      <c r="AI45" s="121">
        <v>0</v>
      </c>
      <c r="AJ45" s="121">
        <v>-12.592029417653601</v>
      </c>
      <c r="AK45" s="121">
        <v>2.2270727891308999</v>
      </c>
      <c r="AL45" s="121">
        <v>27.930064924409798</v>
      </c>
      <c r="AM45" s="121">
        <v>0</v>
      </c>
      <c r="AN45" s="121">
        <v>181.487508471193</v>
      </c>
      <c r="AO45" s="121">
        <v>3.0026457250278602</v>
      </c>
      <c r="AP45" s="121">
        <v>2.0904583858010599</v>
      </c>
      <c r="AQ45" s="121">
        <v>0</v>
      </c>
      <c r="AR45" s="121">
        <v>0</v>
      </c>
      <c r="AS45" s="121">
        <v>0</v>
      </c>
      <c r="AT45" s="122">
        <v>4.0406108729328603</v>
      </c>
    </row>
    <row r="46" spans="2:46" ht="12" customHeight="1" x14ac:dyDescent="0.25">
      <c r="B46" s="120" t="s">
        <v>33</v>
      </c>
      <c r="C46" s="121" t="s">
        <v>50</v>
      </c>
      <c r="D46" s="121" t="s">
        <v>25</v>
      </c>
      <c r="E46" s="121" t="s">
        <v>25</v>
      </c>
      <c r="F46" s="121" t="s">
        <v>25</v>
      </c>
      <c r="G46" s="121" t="s">
        <v>38</v>
      </c>
      <c r="H46" s="121" t="s">
        <v>74</v>
      </c>
      <c r="I46" s="121" t="s">
        <v>25</v>
      </c>
      <c r="J46" s="121">
        <v>315.08</v>
      </c>
      <c r="K46" s="121">
        <v>208.19</v>
      </c>
      <c r="L46" s="121">
        <v>0</v>
      </c>
      <c r="M46" s="121">
        <v>0.795014490219207</v>
      </c>
      <c r="N46" s="121">
        <v>3.0161838089125101</v>
      </c>
      <c r="O46" s="121">
        <v>0</v>
      </c>
      <c r="P46" s="121">
        <v>0</v>
      </c>
      <c r="Q46" s="121">
        <v>89.728306907607802</v>
      </c>
      <c r="R46" s="121">
        <v>13.7196807471675</v>
      </c>
      <c r="S46" s="121">
        <v>0</v>
      </c>
      <c r="T46" s="121">
        <v>0</v>
      </c>
      <c r="U46" s="121">
        <v>0</v>
      </c>
      <c r="V46" s="121">
        <v>0</v>
      </c>
      <c r="W46" s="121">
        <v>0</v>
      </c>
      <c r="X46" s="121">
        <v>71.915438038390604</v>
      </c>
      <c r="Y46" s="121">
        <v>0</v>
      </c>
      <c r="Z46" s="121">
        <v>0</v>
      </c>
      <c r="AA46" s="121">
        <v>116.51407780145099</v>
      </c>
      <c r="AB46" s="121">
        <v>0</v>
      </c>
      <c r="AC46" s="121">
        <v>0</v>
      </c>
      <c r="AD46" s="121">
        <v>0</v>
      </c>
      <c r="AE46" s="121">
        <v>18.339392704951599</v>
      </c>
      <c r="AF46" s="121">
        <v>0.39678606238194902</v>
      </c>
      <c r="AG46" s="121">
        <v>0.31775589890625</v>
      </c>
      <c r="AH46" s="121">
        <v>0.33362319907176302</v>
      </c>
      <c r="AI46" s="121">
        <v>0</v>
      </c>
      <c r="AJ46" s="121">
        <v>-12.592029417653601</v>
      </c>
      <c r="AK46" s="121">
        <v>2.2270727891308999</v>
      </c>
      <c r="AL46" s="121">
        <v>27.930064924409798</v>
      </c>
      <c r="AM46" s="121">
        <v>0</v>
      </c>
      <c r="AN46" s="121">
        <v>181.487508471193</v>
      </c>
      <c r="AO46" s="121">
        <v>3.0026457250278602</v>
      </c>
      <c r="AP46" s="121">
        <v>2.0904583858010599</v>
      </c>
      <c r="AQ46" s="121">
        <v>0</v>
      </c>
      <c r="AR46" s="121">
        <v>0</v>
      </c>
      <c r="AS46" s="121">
        <v>0</v>
      </c>
      <c r="AT46" s="122">
        <v>4.0406108729328603</v>
      </c>
    </row>
    <row r="47" spans="2:46" ht="12" customHeight="1" x14ac:dyDescent="0.25">
      <c r="B47" s="120" t="s">
        <v>33</v>
      </c>
      <c r="C47" s="121" t="s">
        <v>23</v>
      </c>
      <c r="D47" s="121" t="s">
        <v>25</v>
      </c>
      <c r="E47" s="121" t="s">
        <v>25</v>
      </c>
      <c r="F47" s="121" t="s">
        <v>25</v>
      </c>
      <c r="G47" s="121" t="s">
        <v>25</v>
      </c>
      <c r="H47" s="121" t="s">
        <v>74</v>
      </c>
      <c r="I47" s="121" t="s">
        <v>25</v>
      </c>
      <c r="J47" s="121">
        <v>396.85</v>
      </c>
      <c r="K47" s="121">
        <v>219.08</v>
      </c>
      <c r="L47" s="121">
        <v>0</v>
      </c>
      <c r="M47" s="121">
        <v>0.795014490219207</v>
      </c>
      <c r="N47" s="121">
        <v>4.0312795788679301</v>
      </c>
      <c r="O47" s="121">
        <v>0</v>
      </c>
      <c r="P47" s="121">
        <v>0</v>
      </c>
      <c r="Q47" s="121">
        <v>89.728306907607802</v>
      </c>
      <c r="R47" s="121">
        <v>13.7196807471675</v>
      </c>
      <c r="S47" s="121">
        <v>0</v>
      </c>
      <c r="T47" s="121">
        <v>0</v>
      </c>
      <c r="U47" s="121">
        <v>0</v>
      </c>
      <c r="V47" s="121">
        <v>0</v>
      </c>
      <c r="W47" s="121">
        <v>0</v>
      </c>
      <c r="X47" s="121">
        <v>102.73629118606701</v>
      </c>
      <c r="Y47" s="121">
        <v>0</v>
      </c>
      <c r="Z47" s="121">
        <v>0</v>
      </c>
      <c r="AA47" s="121">
        <v>166.448623613542</v>
      </c>
      <c r="AB47" s="121">
        <v>0</v>
      </c>
      <c r="AC47" s="121">
        <v>0</v>
      </c>
      <c r="AD47" s="121">
        <v>0</v>
      </c>
      <c r="AE47" s="121">
        <v>18.339392704951599</v>
      </c>
      <c r="AF47" s="121">
        <v>0.39678606238194902</v>
      </c>
      <c r="AG47" s="121">
        <v>0.31775589890625</v>
      </c>
      <c r="AH47" s="121">
        <v>0.33362319907176302</v>
      </c>
      <c r="AI47" s="121">
        <v>0</v>
      </c>
      <c r="AJ47" s="121">
        <v>-12.592029417653601</v>
      </c>
      <c r="AK47" s="121">
        <v>2.2270727891308999</v>
      </c>
      <c r="AL47" s="121">
        <v>27.930064924409798</v>
      </c>
      <c r="AM47" s="121">
        <v>0</v>
      </c>
      <c r="AN47" s="121">
        <v>192.376758979464</v>
      </c>
      <c r="AO47" s="121">
        <v>3.0026457250278602</v>
      </c>
      <c r="AP47" s="121">
        <v>2.0904583858010599</v>
      </c>
      <c r="AQ47" s="121">
        <v>0</v>
      </c>
      <c r="AR47" s="121">
        <v>0</v>
      </c>
      <c r="AS47" s="121">
        <v>0</v>
      </c>
      <c r="AT47" s="122">
        <v>4.0406108729328603</v>
      </c>
    </row>
    <row r="48" spans="2:46" ht="12" customHeight="1" x14ac:dyDescent="0.25">
      <c r="B48" s="120" t="s">
        <v>33</v>
      </c>
      <c r="C48" s="121" t="s">
        <v>89</v>
      </c>
      <c r="D48" s="121" t="s">
        <v>25</v>
      </c>
      <c r="E48" s="121" t="s">
        <v>25</v>
      </c>
      <c r="F48" s="121" t="s">
        <v>25</v>
      </c>
      <c r="G48" s="121" t="s">
        <v>25</v>
      </c>
      <c r="H48" s="121" t="s">
        <v>74</v>
      </c>
      <c r="I48" s="121" t="s">
        <v>25</v>
      </c>
      <c r="J48" s="121">
        <v>396.85</v>
      </c>
      <c r="K48" s="121">
        <v>219.08</v>
      </c>
      <c r="L48" s="121">
        <v>0</v>
      </c>
      <c r="M48" s="121">
        <v>0.795014490219207</v>
      </c>
      <c r="N48" s="121">
        <v>4.0312795788679301</v>
      </c>
      <c r="O48" s="121">
        <v>0</v>
      </c>
      <c r="P48" s="121">
        <v>0</v>
      </c>
      <c r="Q48" s="121">
        <v>89.728306907607802</v>
      </c>
      <c r="R48" s="121">
        <v>13.7196807471675</v>
      </c>
      <c r="S48" s="121">
        <v>0</v>
      </c>
      <c r="T48" s="121">
        <v>0</v>
      </c>
      <c r="U48" s="121">
        <v>0</v>
      </c>
      <c r="V48" s="121">
        <v>0</v>
      </c>
      <c r="W48" s="121">
        <v>0</v>
      </c>
      <c r="X48" s="121">
        <v>102.73629118606701</v>
      </c>
      <c r="Y48" s="121">
        <v>0</v>
      </c>
      <c r="Z48" s="121">
        <v>0</v>
      </c>
      <c r="AA48" s="121">
        <v>166.448623613542</v>
      </c>
      <c r="AB48" s="121">
        <v>0</v>
      </c>
      <c r="AC48" s="121">
        <v>0</v>
      </c>
      <c r="AD48" s="121">
        <v>0</v>
      </c>
      <c r="AE48" s="121">
        <v>18.339392704951599</v>
      </c>
      <c r="AF48" s="121">
        <v>0.39678606238194902</v>
      </c>
      <c r="AG48" s="121">
        <v>0.31775589890625</v>
      </c>
      <c r="AH48" s="121">
        <v>0.33362319907176302</v>
      </c>
      <c r="AI48" s="121">
        <v>0</v>
      </c>
      <c r="AJ48" s="121">
        <v>-12.592029417653601</v>
      </c>
      <c r="AK48" s="121">
        <v>2.2270727891308999</v>
      </c>
      <c r="AL48" s="121">
        <v>27.930064924409798</v>
      </c>
      <c r="AM48" s="121">
        <v>0</v>
      </c>
      <c r="AN48" s="121">
        <v>192.376758979464</v>
      </c>
      <c r="AO48" s="121">
        <v>3.0026457250278602</v>
      </c>
      <c r="AP48" s="121">
        <v>2.0904583858010599</v>
      </c>
      <c r="AQ48" s="121">
        <v>0</v>
      </c>
      <c r="AR48" s="121">
        <v>0</v>
      </c>
      <c r="AS48" s="121">
        <v>0</v>
      </c>
      <c r="AT48" s="122">
        <v>4.0406108729328603</v>
      </c>
    </row>
    <row r="49" spans="2:46" ht="12" customHeight="1" x14ac:dyDescent="0.25">
      <c r="B49" s="120" t="s">
        <v>44</v>
      </c>
      <c r="C49" s="121" t="s">
        <v>23</v>
      </c>
      <c r="D49" s="121" t="s">
        <v>45</v>
      </c>
      <c r="E49" s="121" t="s">
        <v>46</v>
      </c>
      <c r="F49" s="121" t="s">
        <v>25</v>
      </c>
      <c r="G49" s="121" t="s">
        <v>25</v>
      </c>
      <c r="H49" s="121" t="s">
        <v>74</v>
      </c>
      <c r="I49" s="121" t="s">
        <v>25</v>
      </c>
      <c r="J49" s="121">
        <v>218.27</v>
      </c>
      <c r="K49" s="121">
        <v>120.49</v>
      </c>
      <c r="L49" s="121">
        <v>0</v>
      </c>
      <c r="M49" s="121">
        <v>0.43725796962056401</v>
      </c>
      <c r="N49" s="121">
        <v>2.21720376837736</v>
      </c>
      <c r="O49" s="121">
        <v>0</v>
      </c>
      <c r="P49" s="121">
        <v>0</v>
      </c>
      <c r="Q49" s="121">
        <v>49.350568799184302</v>
      </c>
      <c r="R49" s="121">
        <v>7.5458244109421004</v>
      </c>
      <c r="S49" s="121">
        <v>0</v>
      </c>
      <c r="T49" s="121">
        <v>0</v>
      </c>
      <c r="U49" s="121">
        <v>0</v>
      </c>
      <c r="V49" s="121">
        <v>0</v>
      </c>
      <c r="W49" s="121">
        <v>0</v>
      </c>
      <c r="X49" s="121">
        <v>56.504960152336999</v>
      </c>
      <c r="Y49" s="121">
        <v>0</v>
      </c>
      <c r="Z49" s="121">
        <v>0</v>
      </c>
      <c r="AA49" s="121">
        <v>91.5467429874479</v>
      </c>
      <c r="AB49" s="121">
        <v>0</v>
      </c>
      <c r="AC49" s="121">
        <v>0</v>
      </c>
      <c r="AD49" s="121">
        <v>0</v>
      </c>
      <c r="AE49" s="121">
        <v>10.0866659877234</v>
      </c>
      <c r="AF49" s="121">
        <v>0.218232334310072</v>
      </c>
      <c r="AG49" s="121">
        <v>0.17476574439843801</v>
      </c>
      <c r="AH49" s="121">
        <v>0.18349275948947</v>
      </c>
      <c r="AI49" s="121">
        <v>0</v>
      </c>
      <c r="AJ49" s="121">
        <v>-6.9256161797095004</v>
      </c>
      <c r="AK49" s="121">
        <v>1.2248900340219999</v>
      </c>
      <c r="AL49" s="121">
        <v>15.3615357084254</v>
      </c>
      <c r="AM49" s="121">
        <v>0</v>
      </c>
      <c r="AN49" s="121">
        <v>105.807217438705</v>
      </c>
      <c r="AO49" s="121">
        <v>1.65145514876532</v>
      </c>
      <c r="AP49" s="121">
        <v>1.14975211219058</v>
      </c>
      <c r="AQ49" s="121">
        <v>0</v>
      </c>
      <c r="AR49" s="121">
        <v>0</v>
      </c>
      <c r="AS49" s="121">
        <v>0</v>
      </c>
      <c r="AT49" s="122">
        <v>2.2223359801130802</v>
      </c>
    </row>
    <row r="50" spans="2:46" ht="12" customHeight="1" x14ac:dyDescent="0.25">
      <c r="B50" s="123" t="s">
        <v>44</v>
      </c>
      <c r="C50" s="124" t="s">
        <v>23</v>
      </c>
      <c r="D50" s="124" t="s">
        <v>45</v>
      </c>
      <c r="E50" s="124" t="s">
        <v>92</v>
      </c>
      <c r="F50" s="124" t="s">
        <v>25</v>
      </c>
      <c r="G50" s="124" t="s">
        <v>25</v>
      </c>
      <c r="H50" s="124" t="s">
        <v>74</v>
      </c>
      <c r="I50" s="124" t="s">
        <v>25</v>
      </c>
      <c r="J50" s="124">
        <v>238.11</v>
      </c>
      <c r="K50" s="124">
        <v>131.44999999999999</v>
      </c>
      <c r="L50" s="124">
        <v>0</v>
      </c>
      <c r="M50" s="124">
        <v>0.47700869413152402</v>
      </c>
      <c r="N50" s="124">
        <v>2.4187677473207598</v>
      </c>
      <c r="O50" s="124">
        <v>0</v>
      </c>
      <c r="P50" s="124">
        <v>0</v>
      </c>
      <c r="Q50" s="124">
        <v>53.836984144564703</v>
      </c>
      <c r="R50" s="124">
        <v>8.2318084483004803</v>
      </c>
      <c r="S50" s="124">
        <v>0</v>
      </c>
      <c r="T50" s="124">
        <v>0</v>
      </c>
      <c r="U50" s="124">
        <v>0</v>
      </c>
      <c r="V50" s="124">
        <v>0</v>
      </c>
      <c r="W50" s="124">
        <v>0</v>
      </c>
      <c r="X50" s="124">
        <v>61.641774711640402</v>
      </c>
      <c r="Y50" s="124">
        <v>0</v>
      </c>
      <c r="Z50" s="124">
        <v>0</v>
      </c>
      <c r="AA50" s="124">
        <v>99.8691741681249</v>
      </c>
      <c r="AB50" s="124">
        <v>0</v>
      </c>
      <c r="AC50" s="124">
        <v>0</v>
      </c>
      <c r="AD50" s="124">
        <v>0</v>
      </c>
      <c r="AE50" s="124">
        <v>11.003635622970901</v>
      </c>
      <c r="AF50" s="124">
        <v>0.23807163742916901</v>
      </c>
      <c r="AG50" s="124">
        <v>0.19065353934375001</v>
      </c>
      <c r="AH50" s="124">
        <v>0.20017391944305801</v>
      </c>
      <c r="AI50" s="124">
        <v>0</v>
      </c>
      <c r="AJ50" s="124">
        <v>-7.55521765059218</v>
      </c>
      <c r="AK50" s="124">
        <v>1.3362436734785399</v>
      </c>
      <c r="AL50" s="124">
        <v>16.758038954645901</v>
      </c>
      <c r="AM50" s="124">
        <v>0</v>
      </c>
      <c r="AN50" s="124">
        <v>115.426055387679</v>
      </c>
      <c r="AO50" s="124">
        <v>1.80158743501672</v>
      </c>
      <c r="AP50" s="124">
        <v>1.2542750314806299</v>
      </c>
      <c r="AQ50" s="124">
        <v>0</v>
      </c>
      <c r="AR50" s="124">
        <v>0</v>
      </c>
      <c r="AS50" s="124">
        <v>0</v>
      </c>
      <c r="AT50" s="125">
        <v>2.4243665237597201</v>
      </c>
    </row>
  </sheetData>
  <mergeCells count="7">
    <mergeCell ref="L1:AT1"/>
    <mergeCell ref="L2:S2"/>
    <mergeCell ref="T2:Z2"/>
    <mergeCell ref="AB2:AD2"/>
    <mergeCell ref="AE2:AH2"/>
    <mergeCell ref="AI2:AM2"/>
    <mergeCell ref="AO2:AS2"/>
  </mergeCells>
  <phoneticPr fontId="1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7E7ED-1B48-4798-A876-606CF8A4AC73}">
  <dimension ref="B1:AT50"/>
  <sheetViews>
    <sheetView showGridLines="0" tabSelected="1" workbookViewId="0">
      <selection activeCell="B4" sqref="B4"/>
    </sheetView>
  </sheetViews>
  <sheetFormatPr defaultRowHeight="15" x14ac:dyDescent="0.25"/>
  <cols>
    <col min="2" max="2" width="13.42578125" bestFit="1" customWidth="1"/>
    <col min="3" max="3" width="27.7109375" bestFit="1" customWidth="1"/>
    <col min="4" max="4" width="17.85546875" bestFit="1" customWidth="1"/>
    <col min="5" max="5" width="31.140625" bestFit="1" customWidth="1"/>
    <col min="6" max="6" width="12.5703125" bestFit="1" customWidth="1"/>
    <col min="7" max="7" width="13.42578125" bestFit="1" customWidth="1"/>
    <col min="8" max="8" width="11.5703125" bestFit="1" customWidth="1"/>
    <col min="9" max="9" width="13.42578125" bestFit="1" customWidth="1"/>
    <col min="10" max="10" width="12.85546875" bestFit="1" customWidth="1"/>
    <col min="11" max="11" width="10.140625" bestFit="1" customWidth="1"/>
    <col min="12" max="12" width="19.28515625" bestFit="1" customWidth="1"/>
    <col min="13" max="13" width="14" bestFit="1" customWidth="1"/>
    <col min="14" max="14" width="12.5703125" bestFit="1" customWidth="1"/>
    <col min="15" max="15" width="12.85546875" bestFit="1" customWidth="1"/>
    <col min="16" max="17" width="12.42578125" bestFit="1" customWidth="1"/>
    <col min="18" max="18" width="17.140625" bestFit="1" customWidth="1"/>
    <col min="19" max="19" width="10.85546875" bestFit="1" customWidth="1"/>
    <col min="20" max="20" width="11.28515625" bestFit="1" customWidth="1"/>
    <col min="21" max="21" width="11.140625" bestFit="1" customWidth="1"/>
    <col min="22" max="22" width="12.28515625" bestFit="1" customWidth="1"/>
    <col min="23" max="23" width="12.5703125" bestFit="1" customWidth="1"/>
    <col min="24" max="24" width="13.85546875" bestFit="1" customWidth="1"/>
    <col min="25" max="25" width="11.42578125" bestFit="1" customWidth="1"/>
    <col min="26" max="26" width="14.28515625" bestFit="1" customWidth="1"/>
    <col min="27" max="27" width="12.85546875" bestFit="1" customWidth="1"/>
    <col min="28" max="28" width="16.140625" bestFit="1" customWidth="1"/>
    <col min="29" max="29" width="25" bestFit="1" customWidth="1"/>
    <col min="30" max="30" width="14.42578125" bestFit="1" customWidth="1"/>
    <col min="31" max="31" width="12.7109375" bestFit="1" customWidth="1"/>
    <col min="32" max="32" width="17.7109375" bestFit="1" customWidth="1"/>
    <col min="33" max="33" width="12.7109375" bestFit="1" customWidth="1"/>
    <col min="34" max="34" width="10.7109375" bestFit="1" customWidth="1"/>
    <col min="35" max="35" width="16.5703125" bestFit="1" customWidth="1"/>
    <col min="36" max="36" width="14.5703125" bestFit="1" customWidth="1"/>
    <col min="37" max="37" width="9.85546875" bestFit="1" customWidth="1"/>
    <col min="38" max="38" width="12.5703125" bestFit="1" customWidth="1"/>
    <col min="39" max="39" width="12.28515625" bestFit="1" customWidth="1"/>
    <col min="40" max="40" width="14.140625" bestFit="1" customWidth="1"/>
    <col min="41" max="41" width="25.28515625" bestFit="1" customWidth="1"/>
    <col min="42" max="42" width="17.85546875" bestFit="1" customWidth="1"/>
    <col min="43" max="43" width="13.42578125" bestFit="1" customWidth="1"/>
    <col min="44" max="44" width="13.28515625" bestFit="1" customWidth="1"/>
    <col min="45" max="45" width="22.140625" bestFit="1" customWidth="1"/>
    <col min="46" max="46" width="12.7109375" bestFit="1" customWidth="1"/>
  </cols>
  <sheetData>
    <row r="1" spans="2:46" ht="12" customHeight="1" x14ac:dyDescent="0.25">
      <c r="L1" s="168" t="s">
        <v>1286</v>
      </c>
      <c r="M1" s="168"/>
      <c r="N1" s="168"/>
      <c r="O1" s="168"/>
      <c r="P1" s="168"/>
      <c r="Q1" s="168"/>
      <c r="R1" s="168"/>
      <c r="S1" s="168"/>
      <c r="T1" s="168"/>
      <c r="U1" s="168"/>
      <c r="V1" s="168"/>
      <c r="W1" s="168"/>
      <c r="X1" s="168"/>
      <c r="Y1" s="168"/>
      <c r="Z1" s="168"/>
      <c r="AA1" s="168"/>
      <c r="AB1" s="168"/>
      <c r="AC1" s="168"/>
      <c r="AD1" s="168"/>
      <c r="AE1" s="168"/>
      <c r="AF1" s="168"/>
      <c r="AG1" s="168"/>
      <c r="AH1" s="168"/>
      <c r="AI1" s="168"/>
      <c r="AJ1" s="168"/>
      <c r="AK1" s="168"/>
      <c r="AL1" s="168"/>
      <c r="AM1" s="168"/>
      <c r="AN1" s="168"/>
      <c r="AO1" s="168"/>
      <c r="AP1" s="168"/>
      <c r="AQ1" s="168"/>
      <c r="AR1" s="168"/>
      <c r="AS1" s="168"/>
      <c r="AT1" s="168"/>
    </row>
    <row r="2" spans="2:46" ht="12" customHeight="1" x14ac:dyDescent="0.25">
      <c r="L2" s="169" t="s">
        <v>461</v>
      </c>
      <c r="M2" s="169"/>
      <c r="N2" s="169"/>
      <c r="O2" s="169"/>
      <c r="P2" s="169"/>
      <c r="Q2" s="169"/>
      <c r="R2" s="169"/>
      <c r="S2" s="170"/>
      <c r="T2" s="169" t="s">
        <v>470</v>
      </c>
      <c r="U2" s="169"/>
      <c r="V2" s="169"/>
      <c r="W2" s="169"/>
      <c r="X2" s="169"/>
      <c r="Y2" s="169"/>
      <c r="Z2" s="170"/>
      <c r="AA2" s="127" t="s">
        <v>478</v>
      </c>
      <c r="AB2" s="169" t="s">
        <v>25</v>
      </c>
      <c r="AC2" s="169"/>
      <c r="AD2" s="170"/>
      <c r="AE2" s="169" t="s">
        <v>1285</v>
      </c>
      <c r="AF2" s="169"/>
      <c r="AG2" s="169"/>
      <c r="AH2" s="170"/>
      <c r="AI2" s="169" t="s">
        <v>461</v>
      </c>
      <c r="AJ2" s="169"/>
      <c r="AK2" s="169"/>
      <c r="AL2" s="169"/>
      <c r="AM2" s="170"/>
      <c r="AN2" s="127" t="s">
        <v>492</v>
      </c>
      <c r="AO2" s="169" t="s">
        <v>470</v>
      </c>
      <c r="AP2" s="169"/>
      <c r="AQ2" s="169"/>
      <c r="AR2" s="169"/>
      <c r="AS2" s="170"/>
      <c r="AT2" s="126" t="s">
        <v>1285</v>
      </c>
    </row>
    <row r="3" spans="2:46" ht="12" customHeight="1" x14ac:dyDescent="0.25">
      <c r="B3" s="117" t="s">
        <v>64</v>
      </c>
      <c r="C3" s="118" t="s">
        <v>65</v>
      </c>
      <c r="D3" s="118" t="s">
        <v>66</v>
      </c>
      <c r="E3" s="118" t="s">
        <v>67</v>
      </c>
      <c r="F3" s="118" t="s">
        <v>68</v>
      </c>
      <c r="G3" s="118" t="s">
        <v>70</v>
      </c>
      <c r="H3" s="118" t="s">
        <v>71</v>
      </c>
      <c r="I3" s="118" t="s">
        <v>731</v>
      </c>
      <c r="J3" s="118" t="s">
        <v>1249</v>
      </c>
      <c r="K3" s="118" t="s">
        <v>1250</v>
      </c>
      <c r="L3" s="118" t="s">
        <v>1251</v>
      </c>
      <c r="M3" s="118" t="s">
        <v>1252</v>
      </c>
      <c r="N3" s="118" t="s">
        <v>1253</v>
      </c>
      <c r="O3" s="118" t="s">
        <v>1254</v>
      </c>
      <c r="P3" s="118" t="s">
        <v>1255</v>
      </c>
      <c r="Q3" s="118" t="s">
        <v>1256</v>
      </c>
      <c r="R3" s="118" t="s">
        <v>1257</v>
      </c>
      <c r="S3" s="118" t="s">
        <v>1258</v>
      </c>
      <c r="T3" s="118" t="s">
        <v>1259</v>
      </c>
      <c r="U3" s="118" t="s">
        <v>1260</v>
      </c>
      <c r="V3" s="118" t="s">
        <v>1261</v>
      </c>
      <c r="W3" s="118" t="s">
        <v>1262</v>
      </c>
      <c r="X3" s="118" t="s">
        <v>1263</v>
      </c>
      <c r="Y3" s="118" t="s">
        <v>1264</v>
      </c>
      <c r="Z3" s="118" t="s">
        <v>1265</v>
      </c>
      <c r="AA3" s="118" t="s">
        <v>1266</v>
      </c>
      <c r="AB3" s="118" t="s">
        <v>1267</v>
      </c>
      <c r="AC3" s="118" t="s">
        <v>1288</v>
      </c>
      <c r="AD3" s="118" t="s">
        <v>1268</v>
      </c>
      <c r="AE3" s="118" t="s">
        <v>1269</v>
      </c>
      <c r="AF3" s="118" t="s">
        <v>1270</v>
      </c>
      <c r="AG3" s="118" t="s">
        <v>1271</v>
      </c>
      <c r="AH3" s="118" t="s">
        <v>1272</v>
      </c>
      <c r="AI3" s="118" t="s">
        <v>1273</v>
      </c>
      <c r="AJ3" s="118" t="s">
        <v>1274</v>
      </c>
      <c r="AK3" s="118" t="s">
        <v>1275</v>
      </c>
      <c r="AL3" s="118" t="s">
        <v>1276</v>
      </c>
      <c r="AM3" s="118" t="s">
        <v>1277</v>
      </c>
      <c r="AN3" s="118" t="s">
        <v>1278</v>
      </c>
      <c r="AO3" s="118" t="s">
        <v>1279</v>
      </c>
      <c r="AP3" s="118" t="s">
        <v>1280</v>
      </c>
      <c r="AQ3" s="118" t="s">
        <v>1281</v>
      </c>
      <c r="AR3" s="118" t="s">
        <v>1282</v>
      </c>
      <c r="AS3" s="118" t="s">
        <v>1289</v>
      </c>
      <c r="AT3" s="119" t="s">
        <v>1283</v>
      </c>
    </row>
    <row r="4" spans="2:46" ht="12" customHeight="1" x14ac:dyDescent="0.25">
      <c r="B4" s="120" t="s">
        <v>35</v>
      </c>
      <c r="C4" s="121" t="s">
        <v>36</v>
      </c>
      <c r="D4" s="121" t="s">
        <v>25</v>
      </c>
      <c r="E4" s="121" t="s">
        <v>25</v>
      </c>
      <c r="F4" s="121" t="s">
        <v>82</v>
      </c>
      <c r="G4" s="121" t="s">
        <v>37</v>
      </c>
      <c r="H4" s="121" t="s">
        <v>74</v>
      </c>
      <c r="I4" s="121" t="s">
        <v>25</v>
      </c>
      <c r="J4" s="121">
        <v>-0.02</v>
      </c>
      <c r="K4" s="121">
        <v>0</v>
      </c>
      <c r="L4" s="121">
        <v>0</v>
      </c>
      <c r="M4" s="121">
        <v>0</v>
      </c>
      <c r="N4" s="121">
        <v>0</v>
      </c>
      <c r="O4" s="121">
        <v>0</v>
      </c>
      <c r="P4" s="121">
        <v>0</v>
      </c>
      <c r="Q4" s="121">
        <v>0</v>
      </c>
      <c r="R4" s="121">
        <v>0</v>
      </c>
      <c r="S4" s="121">
        <v>0</v>
      </c>
      <c r="T4" s="121">
        <v>0</v>
      </c>
      <c r="U4" s="121">
        <v>0</v>
      </c>
      <c r="V4" s="121">
        <v>0</v>
      </c>
      <c r="W4" s="121">
        <v>0</v>
      </c>
      <c r="X4" s="121">
        <v>0</v>
      </c>
      <c r="Y4" s="121">
        <v>0</v>
      </c>
      <c r="Z4" s="121">
        <v>0</v>
      </c>
      <c r="AA4" s="121">
        <v>0</v>
      </c>
      <c r="AB4" s="121">
        <v>0</v>
      </c>
      <c r="AC4" s="121">
        <v>0</v>
      </c>
      <c r="AD4" s="121">
        <v>0</v>
      </c>
      <c r="AE4" s="121">
        <v>-1.8853802408911401E-2</v>
      </c>
      <c r="AF4" s="121">
        <v>-4.0791568941862799E-4</v>
      </c>
      <c r="AG4" s="121">
        <v>-4.58493616844307E-4</v>
      </c>
      <c r="AH4" s="121">
        <v>0</v>
      </c>
      <c r="AI4" s="121">
        <v>0</v>
      </c>
      <c r="AJ4" s="121">
        <v>0</v>
      </c>
      <c r="AK4" s="121">
        <v>0</v>
      </c>
      <c r="AL4" s="121">
        <v>0</v>
      </c>
      <c r="AM4" s="121">
        <v>0</v>
      </c>
      <c r="AN4" s="121">
        <v>0</v>
      </c>
      <c r="AO4" s="121">
        <v>0</v>
      </c>
      <c r="AP4" s="121">
        <v>0</v>
      </c>
      <c r="AQ4" s="121">
        <v>0</v>
      </c>
      <c r="AR4" s="121">
        <v>0</v>
      </c>
      <c r="AS4" s="121">
        <v>0</v>
      </c>
      <c r="AT4" s="122">
        <v>0</v>
      </c>
    </row>
    <row r="5" spans="2:46" ht="12" customHeight="1" x14ac:dyDescent="0.25">
      <c r="B5" s="120" t="s">
        <v>35</v>
      </c>
      <c r="C5" s="121" t="s">
        <v>36</v>
      </c>
      <c r="D5" s="121" t="s">
        <v>25</v>
      </c>
      <c r="E5" s="121" t="s">
        <v>25</v>
      </c>
      <c r="F5" s="121" t="s">
        <v>82</v>
      </c>
      <c r="G5" s="121" t="s">
        <v>37</v>
      </c>
      <c r="H5" s="121" t="s">
        <v>79</v>
      </c>
      <c r="I5" s="121" t="s">
        <v>25</v>
      </c>
      <c r="J5" s="121">
        <v>0</v>
      </c>
      <c r="K5" s="121">
        <v>0</v>
      </c>
      <c r="L5" s="121">
        <v>0</v>
      </c>
      <c r="M5" s="121">
        <v>0</v>
      </c>
      <c r="N5" s="121">
        <v>0</v>
      </c>
      <c r="O5" s="121">
        <v>0</v>
      </c>
      <c r="P5" s="121">
        <v>0</v>
      </c>
      <c r="Q5" s="121">
        <v>0</v>
      </c>
      <c r="R5" s="121">
        <v>0</v>
      </c>
      <c r="S5" s="121">
        <v>0</v>
      </c>
      <c r="T5" s="121">
        <v>0</v>
      </c>
      <c r="U5" s="121">
        <v>0</v>
      </c>
      <c r="V5" s="121">
        <v>0</v>
      </c>
      <c r="W5" s="121">
        <v>0</v>
      </c>
      <c r="X5" s="121">
        <v>0</v>
      </c>
      <c r="Y5" s="121">
        <v>0</v>
      </c>
      <c r="Z5" s="121">
        <v>0</v>
      </c>
      <c r="AA5" s="121">
        <v>0</v>
      </c>
      <c r="AB5" s="121">
        <v>0</v>
      </c>
      <c r="AC5" s="121">
        <v>0</v>
      </c>
      <c r="AD5" s="121">
        <v>0</v>
      </c>
      <c r="AE5" s="121">
        <v>0</v>
      </c>
      <c r="AF5" s="121">
        <v>0</v>
      </c>
      <c r="AG5" s="121">
        <v>0</v>
      </c>
      <c r="AH5" s="121">
        <v>0</v>
      </c>
      <c r="AI5" s="121">
        <v>0</v>
      </c>
      <c r="AJ5" s="121">
        <v>0</v>
      </c>
      <c r="AK5" s="121">
        <v>0</v>
      </c>
      <c r="AL5" s="121">
        <v>0</v>
      </c>
      <c r="AM5" s="121">
        <v>0</v>
      </c>
      <c r="AN5" s="121">
        <v>0</v>
      </c>
      <c r="AO5" s="121">
        <v>0</v>
      </c>
      <c r="AP5" s="121">
        <v>0</v>
      </c>
      <c r="AQ5" s="121">
        <v>0</v>
      </c>
      <c r="AR5" s="121">
        <v>0</v>
      </c>
      <c r="AS5" s="121">
        <v>0</v>
      </c>
      <c r="AT5" s="122">
        <v>0</v>
      </c>
    </row>
    <row r="6" spans="2:46" ht="12" customHeight="1" x14ac:dyDescent="0.25">
      <c r="B6" s="120" t="s">
        <v>35</v>
      </c>
      <c r="C6" s="121" t="s">
        <v>36</v>
      </c>
      <c r="D6" s="121" t="s">
        <v>25</v>
      </c>
      <c r="E6" s="121" t="s">
        <v>25</v>
      </c>
      <c r="F6" s="121" t="s">
        <v>82</v>
      </c>
      <c r="G6" s="121" t="s">
        <v>38</v>
      </c>
      <c r="H6" s="121" t="s">
        <v>74</v>
      </c>
      <c r="I6" s="121" t="s">
        <v>25</v>
      </c>
      <c r="J6" s="121">
        <v>-0.02</v>
      </c>
      <c r="K6" s="121">
        <v>0</v>
      </c>
      <c r="L6" s="121">
        <v>0</v>
      </c>
      <c r="M6" s="121">
        <v>0</v>
      </c>
      <c r="N6" s="121">
        <v>0</v>
      </c>
      <c r="O6" s="121">
        <v>0</v>
      </c>
      <c r="P6" s="121">
        <v>0</v>
      </c>
      <c r="Q6" s="121">
        <v>0</v>
      </c>
      <c r="R6" s="121">
        <v>0</v>
      </c>
      <c r="S6" s="121">
        <v>0</v>
      </c>
      <c r="T6" s="121">
        <v>0</v>
      </c>
      <c r="U6" s="121">
        <v>0</v>
      </c>
      <c r="V6" s="121">
        <v>0</v>
      </c>
      <c r="W6" s="121">
        <v>0</v>
      </c>
      <c r="X6" s="121">
        <v>0</v>
      </c>
      <c r="Y6" s="121">
        <v>0</v>
      </c>
      <c r="Z6" s="121">
        <v>0</v>
      </c>
      <c r="AA6" s="121">
        <v>0</v>
      </c>
      <c r="AB6" s="121">
        <v>0</v>
      </c>
      <c r="AC6" s="121">
        <v>0</v>
      </c>
      <c r="AD6" s="121">
        <v>0</v>
      </c>
      <c r="AE6" s="121">
        <v>-1.8853802408911401E-2</v>
      </c>
      <c r="AF6" s="121">
        <v>-4.0791568941862799E-4</v>
      </c>
      <c r="AG6" s="121">
        <v>-4.58493616844307E-4</v>
      </c>
      <c r="AH6" s="121">
        <v>0</v>
      </c>
      <c r="AI6" s="121">
        <v>0</v>
      </c>
      <c r="AJ6" s="121">
        <v>0</v>
      </c>
      <c r="AK6" s="121">
        <v>0</v>
      </c>
      <c r="AL6" s="121">
        <v>0</v>
      </c>
      <c r="AM6" s="121">
        <v>0</v>
      </c>
      <c r="AN6" s="121">
        <v>0</v>
      </c>
      <c r="AO6" s="121">
        <v>0</v>
      </c>
      <c r="AP6" s="121">
        <v>0</v>
      </c>
      <c r="AQ6" s="121">
        <v>0</v>
      </c>
      <c r="AR6" s="121">
        <v>0</v>
      </c>
      <c r="AS6" s="121">
        <v>0</v>
      </c>
      <c r="AT6" s="122">
        <v>0</v>
      </c>
    </row>
    <row r="7" spans="2:46" ht="12" customHeight="1" x14ac:dyDescent="0.25">
      <c r="B7" s="120" t="s">
        <v>35</v>
      </c>
      <c r="C7" s="121" t="s">
        <v>36</v>
      </c>
      <c r="D7" s="121" t="s">
        <v>25</v>
      </c>
      <c r="E7" s="121" t="s">
        <v>25</v>
      </c>
      <c r="F7" s="121" t="s">
        <v>82</v>
      </c>
      <c r="G7" s="121" t="s">
        <v>38</v>
      </c>
      <c r="H7" s="121" t="s">
        <v>79</v>
      </c>
      <c r="I7" s="121" t="s">
        <v>25</v>
      </c>
      <c r="J7" s="121">
        <v>0</v>
      </c>
      <c r="K7" s="121">
        <v>0</v>
      </c>
      <c r="L7" s="121">
        <v>0</v>
      </c>
      <c r="M7" s="121">
        <v>0</v>
      </c>
      <c r="N7" s="121">
        <v>0</v>
      </c>
      <c r="O7" s="121">
        <v>0</v>
      </c>
      <c r="P7" s="121">
        <v>0</v>
      </c>
      <c r="Q7" s="121">
        <v>0</v>
      </c>
      <c r="R7" s="121">
        <v>0</v>
      </c>
      <c r="S7" s="121">
        <v>0</v>
      </c>
      <c r="T7" s="121">
        <v>0</v>
      </c>
      <c r="U7" s="121">
        <v>0</v>
      </c>
      <c r="V7" s="121">
        <v>0</v>
      </c>
      <c r="W7" s="121">
        <v>0</v>
      </c>
      <c r="X7" s="121">
        <v>0</v>
      </c>
      <c r="Y7" s="121">
        <v>0</v>
      </c>
      <c r="Z7" s="121">
        <v>0</v>
      </c>
      <c r="AA7" s="121">
        <v>0</v>
      </c>
      <c r="AB7" s="121">
        <v>0</v>
      </c>
      <c r="AC7" s="121">
        <v>0</v>
      </c>
      <c r="AD7" s="121">
        <v>0</v>
      </c>
      <c r="AE7" s="121">
        <v>0</v>
      </c>
      <c r="AF7" s="121">
        <v>0</v>
      </c>
      <c r="AG7" s="121">
        <v>0</v>
      </c>
      <c r="AH7" s="121">
        <v>0</v>
      </c>
      <c r="AI7" s="121">
        <v>0</v>
      </c>
      <c r="AJ7" s="121">
        <v>0</v>
      </c>
      <c r="AK7" s="121">
        <v>0</v>
      </c>
      <c r="AL7" s="121">
        <v>0</v>
      </c>
      <c r="AM7" s="121">
        <v>0</v>
      </c>
      <c r="AN7" s="121">
        <v>0</v>
      </c>
      <c r="AO7" s="121">
        <v>0</v>
      </c>
      <c r="AP7" s="121">
        <v>0</v>
      </c>
      <c r="AQ7" s="121">
        <v>0</v>
      </c>
      <c r="AR7" s="121">
        <v>0</v>
      </c>
      <c r="AS7" s="121">
        <v>0</v>
      </c>
      <c r="AT7" s="122">
        <v>0</v>
      </c>
    </row>
    <row r="8" spans="2:46" ht="12" customHeight="1" x14ac:dyDescent="0.25">
      <c r="B8" s="120" t="s">
        <v>35</v>
      </c>
      <c r="C8" s="121" t="s">
        <v>36</v>
      </c>
      <c r="D8" s="121" t="s">
        <v>25</v>
      </c>
      <c r="E8" s="121" t="s">
        <v>25</v>
      </c>
      <c r="F8" s="121" t="s">
        <v>25</v>
      </c>
      <c r="G8" s="121" t="s">
        <v>37</v>
      </c>
      <c r="H8" s="121" t="s">
        <v>74</v>
      </c>
      <c r="I8" s="121" t="s">
        <v>25</v>
      </c>
      <c r="J8" s="121">
        <v>21.03</v>
      </c>
      <c r="K8" s="121">
        <v>7.38</v>
      </c>
      <c r="L8" s="121">
        <v>0</v>
      </c>
      <c r="M8" s="121">
        <v>0</v>
      </c>
      <c r="N8" s="121">
        <v>0</v>
      </c>
      <c r="O8" s="121">
        <v>0</v>
      </c>
      <c r="P8" s="121">
        <v>0</v>
      </c>
      <c r="Q8" s="121">
        <v>17.1637210998102</v>
      </c>
      <c r="R8" s="121">
        <v>3.8853520350815698</v>
      </c>
      <c r="S8" s="121">
        <v>0</v>
      </c>
      <c r="T8" s="121">
        <v>0</v>
      </c>
      <c r="U8" s="121">
        <v>0</v>
      </c>
      <c r="V8" s="121">
        <v>0</v>
      </c>
      <c r="W8" s="121">
        <v>0</v>
      </c>
      <c r="X8" s="121">
        <v>0</v>
      </c>
      <c r="Y8" s="121">
        <v>0</v>
      </c>
      <c r="Z8" s="121">
        <v>0</v>
      </c>
      <c r="AA8" s="121">
        <v>0</v>
      </c>
      <c r="AB8" s="121">
        <v>0</v>
      </c>
      <c r="AC8" s="121">
        <v>0</v>
      </c>
      <c r="AD8" s="121">
        <v>0</v>
      </c>
      <c r="AE8" s="121">
        <v>-1.8853802408911401E-2</v>
      </c>
      <c r="AF8" s="121">
        <v>-4.0791568941862799E-4</v>
      </c>
      <c r="AG8" s="121">
        <v>-4.58493616844307E-4</v>
      </c>
      <c r="AH8" s="121">
        <v>0</v>
      </c>
      <c r="AI8" s="121">
        <v>0</v>
      </c>
      <c r="AJ8" s="121">
        <v>0</v>
      </c>
      <c r="AK8" s="121">
        <v>0</v>
      </c>
      <c r="AL8" s="121">
        <v>4.1192379815905698</v>
      </c>
      <c r="AM8" s="121">
        <v>0</v>
      </c>
      <c r="AN8" s="121">
        <v>-0.68503738575483497</v>
      </c>
      <c r="AO8" s="121">
        <v>2.1891829956245399</v>
      </c>
      <c r="AP8" s="121">
        <v>1.7699374108060699</v>
      </c>
      <c r="AQ8" s="121">
        <v>0</v>
      </c>
      <c r="AR8" s="121">
        <v>0</v>
      </c>
      <c r="AS8" s="121">
        <v>0</v>
      </c>
      <c r="AT8" s="122">
        <v>-8.8671920836610203E-3</v>
      </c>
    </row>
    <row r="9" spans="2:46" ht="12" customHeight="1" x14ac:dyDescent="0.25">
      <c r="B9" s="120" t="s">
        <v>35</v>
      </c>
      <c r="C9" s="121" t="s">
        <v>36</v>
      </c>
      <c r="D9" s="121" t="s">
        <v>25</v>
      </c>
      <c r="E9" s="121" t="s">
        <v>25</v>
      </c>
      <c r="F9" s="121" t="s">
        <v>25</v>
      </c>
      <c r="G9" s="121" t="s">
        <v>37</v>
      </c>
      <c r="H9" s="121" t="s">
        <v>79</v>
      </c>
      <c r="I9" s="121" t="s">
        <v>25</v>
      </c>
      <c r="J9" s="121">
        <v>0</v>
      </c>
      <c r="K9" s="121">
        <v>0</v>
      </c>
      <c r="L9" s="121">
        <v>0</v>
      </c>
      <c r="M9" s="121">
        <v>0</v>
      </c>
      <c r="N9" s="121">
        <v>0</v>
      </c>
      <c r="O9" s="121">
        <v>0</v>
      </c>
      <c r="P9" s="121">
        <v>0</v>
      </c>
      <c r="Q9" s="121">
        <v>0</v>
      </c>
      <c r="R9" s="121">
        <v>0</v>
      </c>
      <c r="S9" s="121">
        <v>0</v>
      </c>
      <c r="T9" s="121">
        <v>0</v>
      </c>
      <c r="U9" s="121">
        <v>0</v>
      </c>
      <c r="V9" s="121">
        <v>0</v>
      </c>
      <c r="W9" s="121">
        <v>0</v>
      </c>
      <c r="X9" s="121">
        <v>0</v>
      </c>
      <c r="Y9" s="121">
        <v>0</v>
      </c>
      <c r="Z9" s="121">
        <v>0</v>
      </c>
      <c r="AA9" s="121">
        <v>0</v>
      </c>
      <c r="AB9" s="121">
        <v>0</v>
      </c>
      <c r="AC9" s="121">
        <v>0</v>
      </c>
      <c r="AD9" s="121">
        <v>0</v>
      </c>
      <c r="AE9" s="121">
        <v>0</v>
      </c>
      <c r="AF9" s="121">
        <v>0</v>
      </c>
      <c r="AG9" s="121">
        <v>0</v>
      </c>
      <c r="AH9" s="121">
        <v>0</v>
      </c>
      <c r="AI9" s="121">
        <v>0</v>
      </c>
      <c r="AJ9" s="121">
        <v>0</v>
      </c>
      <c r="AK9" s="121">
        <v>0</v>
      </c>
      <c r="AL9" s="121">
        <v>0</v>
      </c>
      <c r="AM9" s="121">
        <v>0</v>
      </c>
      <c r="AN9" s="121">
        <v>0</v>
      </c>
      <c r="AO9" s="121">
        <v>0</v>
      </c>
      <c r="AP9" s="121">
        <v>0</v>
      </c>
      <c r="AQ9" s="121">
        <v>0</v>
      </c>
      <c r="AR9" s="121">
        <v>0</v>
      </c>
      <c r="AS9" s="121">
        <v>0</v>
      </c>
      <c r="AT9" s="122">
        <v>0</v>
      </c>
    </row>
    <row r="10" spans="2:46" ht="12" customHeight="1" x14ac:dyDescent="0.25">
      <c r="B10" s="120" t="s">
        <v>35</v>
      </c>
      <c r="C10" s="121" t="s">
        <v>36</v>
      </c>
      <c r="D10" s="121" t="s">
        <v>25</v>
      </c>
      <c r="E10" s="121" t="s">
        <v>25</v>
      </c>
      <c r="F10" s="121" t="s">
        <v>25</v>
      </c>
      <c r="G10" s="121" t="s">
        <v>38</v>
      </c>
      <c r="H10" s="121" t="s">
        <v>74</v>
      </c>
      <c r="I10" s="121" t="s">
        <v>25</v>
      </c>
      <c r="J10" s="121">
        <v>21.03</v>
      </c>
      <c r="K10" s="121">
        <v>7.67</v>
      </c>
      <c r="L10" s="121">
        <v>0</v>
      </c>
      <c r="M10" s="121">
        <v>0</v>
      </c>
      <c r="N10" s="121">
        <v>0</v>
      </c>
      <c r="O10" s="121">
        <v>0</v>
      </c>
      <c r="P10" s="121">
        <v>0</v>
      </c>
      <c r="Q10" s="121">
        <v>17.1637210998102</v>
      </c>
      <c r="R10" s="121">
        <v>3.8853520350815698</v>
      </c>
      <c r="S10" s="121">
        <v>0</v>
      </c>
      <c r="T10" s="121">
        <v>0</v>
      </c>
      <c r="U10" s="121">
        <v>0</v>
      </c>
      <c r="V10" s="121">
        <v>0</v>
      </c>
      <c r="W10" s="121">
        <v>0</v>
      </c>
      <c r="X10" s="121">
        <v>0</v>
      </c>
      <c r="Y10" s="121">
        <v>0</v>
      </c>
      <c r="Z10" s="121">
        <v>0</v>
      </c>
      <c r="AA10" s="121">
        <v>0</v>
      </c>
      <c r="AB10" s="121">
        <v>0</v>
      </c>
      <c r="AC10" s="121">
        <v>0</v>
      </c>
      <c r="AD10" s="121">
        <v>0</v>
      </c>
      <c r="AE10" s="121">
        <v>-1.8853802408911401E-2</v>
      </c>
      <c r="AF10" s="121">
        <v>-4.0791568941862799E-4</v>
      </c>
      <c r="AG10" s="121">
        <v>-4.58493616844307E-4</v>
      </c>
      <c r="AH10" s="121">
        <v>0</v>
      </c>
      <c r="AI10" s="121">
        <v>0</v>
      </c>
      <c r="AJ10" s="121">
        <v>0</v>
      </c>
      <c r="AK10" s="121">
        <v>0</v>
      </c>
      <c r="AL10" s="121">
        <v>4.1192379815905698</v>
      </c>
      <c r="AM10" s="121">
        <v>0</v>
      </c>
      <c r="AN10" s="121">
        <v>-0.398277549857462</v>
      </c>
      <c r="AO10" s="121">
        <v>2.1891829956245399</v>
      </c>
      <c r="AP10" s="121">
        <v>1.7699374108060699</v>
      </c>
      <c r="AQ10" s="121">
        <v>0</v>
      </c>
      <c r="AR10" s="121">
        <v>0</v>
      </c>
      <c r="AS10" s="121">
        <v>0</v>
      </c>
      <c r="AT10" s="122">
        <v>-8.8671920836610203E-3</v>
      </c>
    </row>
    <row r="11" spans="2:46" ht="12" customHeight="1" x14ac:dyDescent="0.25">
      <c r="B11" s="120" t="s">
        <v>35</v>
      </c>
      <c r="C11" s="121" t="s">
        <v>36</v>
      </c>
      <c r="D11" s="121" t="s">
        <v>25</v>
      </c>
      <c r="E11" s="121" t="s">
        <v>25</v>
      </c>
      <c r="F11" s="121" t="s">
        <v>25</v>
      </c>
      <c r="G11" s="121" t="s">
        <v>38</v>
      </c>
      <c r="H11" s="121" t="s">
        <v>79</v>
      </c>
      <c r="I11" s="121" t="s">
        <v>25</v>
      </c>
      <c r="J11" s="121">
        <v>0</v>
      </c>
      <c r="K11" s="121">
        <v>0</v>
      </c>
      <c r="L11" s="121">
        <v>0</v>
      </c>
      <c r="M11" s="121">
        <v>0</v>
      </c>
      <c r="N11" s="121">
        <v>0</v>
      </c>
      <c r="O11" s="121">
        <v>0</v>
      </c>
      <c r="P11" s="121">
        <v>0</v>
      </c>
      <c r="Q11" s="121">
        <v>0</v>
      </c>
      <c r="R11" s="121">
        <v>0</v>
      </c>
      <c r="S11" s="121">
        <v>0</v>
      </c>
      <c r="T11" s="121">
        <v>0</v>
      </c>
      <c r="U11" s="121">
        <v>0</v>
      </c>
      <c r="V11" s="121">
        <v>0</v>
      </c>
      <c r="W11" s="121">
        <v>0</v>
      </c>
      <c r="X11" s="121">
        <v>0</v>
      </c>
      <c r="Y11" s="121">
        <v>0</v>
      </c>
      <c r="Z11" s="121">
        <v>0</v>
      </c>
      <c r="AA11" s="121">
        <v>0</v>
      </c>
      <c r="AB11" s="121">
        <v>0</v>
      </c>
      <c r="AC11" s="121">
        <v>0</v>
      </c>
      <c r="AD11" s="121">
        <v>0</v>
      </c>
      <c r="AE11" s="121">
        <v>0</v>
      </c>
      <c r="AF11" s="121">
        <v>0</v>
      </c>
      <c r="AG11" s="121">
        <v>0</v>
      </c>
      <c r="AH11" s="121">
        <v>0</v>
      </c>
      <c r="AI11" s="121">
        <v>0</v>
      </c>
      <c r="AJ11" s="121">
        <v>0</v>
      </c>
      <c r="AK11" s="121">
        <v>0</v>
      </c>
      <c r="AL11" s="121">
        <v>0</v>
      </c>
      <c r="AM11" s="121">
        <v>0</v>
      </c>
      <c r="AN11" s="121">
        <v>0</v>
      </c>
      <c r="AO11" s="121">
        <v>0</v>
      </c>
      <c r="AP11" s="121">
        <v>0</v>
      </c>
      <c r="AQ11" s="121">
        <v>0</v>
      </c>
      <c r="AR11" s="121">
        <v>0</v>
      </c>
      <c r="AS11" s="121">
        <v>0</v>
      </c>
      <c r="AT11" s="122">
        <v>0</v>
      </c>
    </row>
    <row r="12" spans="2:46" ht="12" customHeight="1" x14ac:dyDescent="0.25">
      <c r="B12" s="120" t="s">
        <v>35</v>
      </c>
      <c r="C12" s="121" t="s">
        <v>23</v>
      </c>
      <c r="D12" s="121" t="s">
        <v>25</v>
      </c>
      <c r="E12" s="121" t="s">
        <v>25</v>
      </c>
      <c r="F12" s="121" t="s">
        <v>25</v>
      </c>
      <c r="G12" s="121" t="s">
        <v>25</v>
      </c>
      <c r="H12" s="121" t="s">
        <v>74</v>
      </c>
      <c r="I12" s="121" t="s">
        <v>25</v>
      </c>
      <c r="J12" s="121">
        <v>0</v>
      </c>
      <c r="K12" s="121">
        <v>7.65</v>
      </c>
      <c r="L12" s="121">
        <v>0</v>
      </c>
      <c r="M12" s="121">
        <v>0</v>
      </c>
      <c r="N12" s="121">
        <v>0</v>
      </c>
      <c r="O12" s="121">
        <v>0</v>
      </c>
      <c r="P12" s="121">
        <v>0</v>
      </c>
      <c r="Q12" s="121">
        <v>0</v>
      </c>
      <c r="R12" s="121">
        <v>0</v>
      </c>
      <c r="S12" s="121">
        <v>0</v>
      </c>
      <c r="T12" s="121">
        <v>0</v>
      </c>
      <c r="U12" s="121">
        <v>0</v>
      </c>
      <c r="V12" s="121">
        <v>0</v>
      </c>
      <c r="W12" s="121">
        <v>0</v>
      </c>
      <c r="X12" s="121">
        <v>0</v>
      </c>
      <c r="Y12" s="121">
        <v>0</v>
      </c>
      <c r="Z12" s="121">
        <v>0</v>
      </c>
      <c r="AA12" s="121">
        <v>0</v>
      </c>
      <c r="AB12" s="121">
        <v>0</v>
      </c>
      <c r="AC12" s="121">
        <v>0</v>
      </c>
      <c r="AD12" s="121">
        <v>0</v>
      </c>
      <c r="AE12" s="121">
        <v>0</v>
      </c>
      <c r="AF12" s="121">
        <v>0</v>
      </c>
      <c r="AG12" s="121">
        <v>0</v>
      </c>
      <c r="AH12" s="121">
        <v>0</v>
      </c>
      <c r="AI12" s="121">
        <v>0</v>
      </c>
      <c r="AJ12" s="121">
        <v>0</v>
      </c>
      <c r="AK12" s="121">
        <v>0</v>
      </c>
      <c r="AL12" s="121">
        <v>4.1192379815905698</v>
      </c>
      <c r="AM12" s="121">
        <v>0</v>
      </c>
      <c r="AN12" s="121">
        <v>-0.42217420284891</v>
      </c>
      <c r="AO12" s="121">
        <v>2.1891829956245399</v>
      </c>
      <c r="AP12" s="121">
        <v>1.7699374108060699</v>
      </c>
      <c r="AQ12" s="121">
        <v>0</v>
      </c>
      <c r="AR12" s="121">
        <v>0</v>
      </c>
      <c r="AS12" s="121">
        <v>0</v>
      </c>
      <c r="AT12" s="122">
        <v>-8.8671920836610203E-3</v>
      </c>
    </row>
    <row r="13" spans="2:46" ht="12" customHeight="1" x14ac:dyDescent="0.25">
      <c r="B13" s="120" t="s">
        <v>35</v>
      </c>
      <c r="C13" s="121" t="s">
        <v>83</v>
      </c>
      <c r="D13" s="121" t="s">
        <v>25</v>
      </c>
      <c r="E13" s="121" t="s">
        <v>25</v>
      </c>
      <c r="F13" s="121" t="s">
        <v>25</v>
      </c>
      <c r="G13" s="121" t="s">
        <v>25</v>
      </c>
      <c r="H13" s="121" t="s">
        <v>79</v>
      </c>
      <c r="I13" s="121" t="s">
        <v>25</v>
      </c>
      <c r="J13" s="121">
        <v>0</v>
      </c>
      <c r="K13" s="121">
        <v>0</v>
      </c>
      <c r="L13" s="121">
        <v>0</v>
      </c>
      <c r="M13" s="121">
        <v>0</v>
      </c>
      <c r="N13" s="121">
        <v>0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2">
        <v>0</v>
      </c>
    </row>
    <row r="14" spans="2:46" ht="12" customHeight="1" x14ac:dyDescent="0.25">
      <c r="B14" s="120" t="s">
        <v>35</v>
      </c>
      <c r="C14" s="121" t="s">
        <v>39</v>
      </c>
      <c r="D14" s="121" t="s">
        <v>25</v>
      </c>
      <c r="E14" s="121" t="s">
        <v>25</v>
      </c>
      <c r="F14" s="121" t="s">
        <v>82</v>
      </c>
      <c r="G14" s="121" t="s">
        <v>37</v>
      </c>
      <c r="H14" s="121" t="s">
        <v>74</v>
      </c>
      <c r="I14" s="121" t="s">
        <v>25</v>
      </c>
      <c r="J14" s="121">
        <v>-0.02</v>
      </c>
      <c r="K14" s="121">
        <v>0</v>
      </c>
      <c r="L14" s="121">
        <v>0</v>
      </c>
      <c r="M14" s="121">
        <v>0</v>
      </c>
      <c r="N14" s="121">
        <v>0</v>
      </c>
      <c r="O14" s="121">
        <v>0</v>
      </c>
      <c r="P14" s="121">
        <v>0</v>
      </c>
      <c r="Q14" s="121">
        <v>0</v>
      </c>
      <c r="R14" s="121">
        <v>0</v>
      </c>
      <c r="S14" s="121">
        <v>0</v>
      </c>
      <c r="T14" s="121">
        <v>0</v>
      </c>
      <c r="U14" s="121">
        <v>0</v>
      </c>
      <c r="V14" s="121">
        <v>0</v>
      </c>
      <c r="W14" s="121">
        <v>0</v>
      </c>
      <c r="X14" s="121">
        <v>0</v>
      </c>
      <c r="Y14" s="121">
        <v>0</v>
      </c>
      <c r="Z14" s="121">
        <v>0</v>
      </c>
      <c r="AA14" s="121">
        <v>0</v>
      </c>
      <c r="AB14" s="121">
        <v>0</v>
      </c>
      <c r="AC14" s="121">
        <v>0</v>
      </c>
      <c r="AD14" s="121">
        <v>0</v>
      </c>
      <c r="AE14" s="121">
        <v>-1.8853802408911401E-2</v>
      </c>
      <c r="AF14" s="121">
        <v>-4.0791568941862799E-4</v>
      </c>
      <c r="AG14" s="121">
        <v>-4.58493616844307E-4</v>
      </c>
      <c r="AH14" s="121">
        <v>0</v>
      </c>
      <c r="AI14" s="121">
        <v>0</v>
      </c>
      <c r="AJ14" s="121">
        <v>0</v>
      </c>
      <c r="AK14" s="121">
        <v>0</v>
      </c>
      <c r="AL14" s="121">
        <v>0</v>
      </c>
      <c r="AM14" s="121">
        <v>0</v>
      </c>
      <c r="AN14" s="121">
        <v>0</v>
      </c>
      <c r="AO14" s="121">
        <v>0</v>
      </c>
      <c r="AP14" s="121">
        <v>0</v>
      </c>
      <c r="AQ14" s="121">
        <v>0</v>
      </c>
      <c r="AR14" s="121">
        <v>0</v>
      </c>
      <c r="AS14" s="121">
        <v>0</v>
      </c>
      <c r="AT14" s="122">
        <v>0</v>
      </c>
    </row>
    <row r="15" spans="2:46" ht="12" customHeight="1" x14ac:dyDescent="0.25">
      <c r="B15" s="120" t="s">
        <v>35</v>
      </c>
      <c r="C15" s="121" t="s">
        <v>39</v>
      </c>
      <c r="D15" s="121" t="s">
        <v>25</v>
      </c>
      <c r="E15" s="121" t="s">
        <v>25</v>
      </c>
      <c r="F15" s="121" t="s">
        <v>82</v>
      </c>
      <c r="G15" s="121" t="s">
        <v>25</v>
      </c>
      <c r="H15" s="121" t="s">
        <v>79</v>
      </c>
      <c r="I15" s="121" t="s">
        <v>25</v>
      </c>
      <c r="J15" s="121">
        <v>0</v>
      </c>
      <c r="K15" s="121">
        <v>0</v>
      </c>
      <c r="L15" s="121">
        <v>0</v>
      </c>
      <c r="M15" s="121">
        <v>0</v>
      </c>
      <c r="N15" s="121">
        <v>0</v>
      </c>
      <c r="O15" s="121">
        <v>0</v>
      </c>
      <c r="P15" s="121">
        <v>0</v>
      </c>
      <c r="Q15" s="121">
        <v>0</v>
      </c>
      <c r="R15" s="121">
        <v>0</v>
      </c>
      <c r="S15" s="121">
        <v>0</v>
      </c>
      <c r="T15" s="121">
        <v>0</v>
      </c>
      <c r="U15" s="121">
        <v>0</v>
      </c>
      <c r="V15" s="121">
        <v>0</v>
      </c>
      <c r="W15" s="121">
        <v>0</v>
      </c>
      <c r="X15" s="121">
        <v>0</v>
      </c>
      <c r="Y15" s="121">
        <v>0</v>
      </c>
      <c r="Z15" s="121">
        <v>0</v>
      </c>
      <c r="AA15" s="121">
        <v>0</v>
      </c>
      <c r="AB15" s="121">
        <v>0</v>
      </c>
      <c r="AC15" s="121">
        <v>0</v>
      </c>
      <c r="AD15" s="121">
        <v>0</v>
      </c>
      <c r="AE15" s="121">
        <v>0</v>
      </c>
      <c r="AF15" s="121">
        <v>0</v>
      </c>
      <c r="AG15" s="121">
        <v>0</v>
      </c>
      <c r="AH15" s="121">
        <v>0</v>
      </c>
      <c r="AI15" s="121">
        <v>0</v>
      </c>
      <c r="AJ15" s="121">
        <v>0</v>
      </c>
      <c r="AK15" s="121">
        <v>0</v>
      </c>
      <c r="AL15" s="121">
        <v>0</v>
      </c>
      <c r="AM15" s="121">
        <v>0</v>
      </c>
      <c r="AN15" s="121">
        <v>0</v>
      </c>
      <c r="AO15" s="121">
        <v>0</v>
      </c>
      <c r="AP15" s="121">
        <v>0</v>
      </c>
      <c r="AQ15" s="121">
        <v>0</v>
      </c>
      <c r="AR15" s="121">
        <v>0</v>
      </c>
      <c r="AS15" s="121">
        <v>0</v>
      </c>
      <c r="AT15" s="122">
        <v>0</v>
      </c>
    </row>
    <row r="16" spans="2:46" ht="12" customHeight="1" x14ac:dyDescent="0.25">
      <c r="B16" s="120" t="s">
        <v>35</v>
      </c>
      <c r="C16" s="121" t="s">
        <v>39</v>
      </c>
      <c r="D16" s="121" t="s">
        <v>25</v>
      </c>
      <c r="E16" s="121" t="s">
        <v>25</v>
      </c>
      <c r="F16" s="121" t="s">
        <v>82</v>
      </c>
      <c r="G16" s="121" t="s">
        <v>38</v>
      </c>
      <c r="H16" s="121" t="s">
        <v>74</v>
      </c>
      <c r="I16" s="121" t="s">
        <v>25</v>
      </c>
      <c r="J16" s="121">
        <v>-0.02</v>
      </c>
      <c r="K16" s="121">
        <v>0</v>
      </c>
      <c r="L16" s="121">
        <v>0</v>
      </c>
      <c r="M16" s="121">
        <v>0</v>
      </c>
      <c r="N16" s="121">
        <v>0</v>
      </c>
      <c r="O16" s="121">
        <v>0</v>
      </c>
      <c r="P16" s="121">
        <v>0</v>
      </c>
      <c r="Q16" s="121">
        <v>0</v>
      </c>
      <c r="R16" s="121">
        <v>0</v>
      </c>
      <c r="S16" s="121">
        <v>0</v>
      </c>
      <c r="T16" s="121">
        <v>0</v>
      </c>
      <c r="U16" s="121">
        <v>0</v>
      </c>
      <c r="V16" s="121">
        <v>0</v>
      </c>
      <c r="W16" s="121">
        <v>0</v>
      </c>
      <c r="X16" s="121">
        <v>0</v>
      </c>
      <c r="Y16" s="121">
        <v>0</v>
      </c>
      <c r="Z16" s="121">
        <v>0</v>
      </c>
      <c r="AA16" s="121">
        <v>0</v>
      </c>
      <c r="AB16" s="121">
        <v>0</v>
      </c>
      <c r="AC16" s="121">
        <v>0</v>
      </c>
      <c r="AD16" s="121">
        <v>0</v>
      </c>
      <c r="AE16" s="121">
        <v>-1.8853802408911401E-2</v>
      </c>
      <c r="AF16" s="121">
        <v>-4.0791568941862799E-4</v>
      </c>
      <c r="AG16" s="121">
        <v>-4.58493616844307E-4</v>
      </c>
      <c r="AH16" s="121">
        <v>0</v>
      </c>
      <c r="AI16" s="121">
        <v>0</v>
      </c>
      <c r="AJ16" s="121">
        <v>0</v>
      </c>
      <c r="AK16" s="121">
        <v>0</v>
      </c>
      <c r="AL16" s="121">
        <v>0</v>
      </c>
      <c r="AM16" s="121">
        <v>0</v>
      </c>
      <c r="AN16" s="121">
        <v>0</v>
      </c>
      <c r="AO16" s="121">
        <v>0</v>
      </c>
      <c r="AP16" s="121">
        <v>0</v>
      </c>
      <c r="AQ16" s="121">
        <v>0</v>
      </c>
      <c r="AR16" s="121">
        <v>0</v>
      </c>
      <c r="AS16" s="121">
        <v>0</v>
      </c>
      <c r="AT16" s="122">
        <v>0</v>
      </c>
    </row>
    <row r="17" spans="2:46" ht="12" customHeight="1" x14ac:dyDescent="0.25">
      <c r="B17" s="120" t="s">
        <v>35</v>
      </c>
      <c r="C17" s="121" t="s">
        <v>39</v>
      </c>
      <c r="D17" s="121" t="s">
        <v>25</v>
      </c>
      <c r="E17" s="121" t="s">
        <v>25</v>
      </c>
      <c r="F17" s="121" t="s">
        <v>25</v>
      </c>
      <c r="G17" s="121" t="s">
        <v>37</v>
      </c>
      <c r="H17" s="121" t="s">
        <v>74</v>
      </c>
      <c r="I17" s="121" t="s">
        <v>25</v>
      </c>
      <c r="J17" s="121">
        <v>21.03</v>
      </c>
      <c r="K17" s="121">
        <v>7.38</v>
      </c>
      <c r="L17" s="121">
        <v>0</v>
      </c>
      <c r="M17" s="121">
        <v>0</v>
      </c>
      <c r="N17" s="121">
        <v>0</v>
      </c>
      <c r="O17" s="121">
        <v>0</v>
      </c>
      <c r="P17" s="121">
        <v>0</v>
      </c>
      <c r="Q17" s="121">
        <v>17.1637210998102</v>
      </c>
      <c r="R17" s="121">
        <v>3.8853520350815698</v>
      </c>
      <c r="S17" s="121">
        <v>0</v>
      </c>
      <c r="T17" s="121">
        <v>0</v>
      </c>
      <c r="U17" s="121">
        <v>0</v>
      </c>
      <c r="V17" s="121">
        <v>0</v>
      </c>
      <c r="W17" s="121">
        <v>0</v>
      </c>
      <c r="X17" s="121">
        <v>0</v>
      </c>
      <c r="Y17" s="121">
        <v>0</v>
      </c>
      <c r="Z17" s="121">
        <v>0</v>
      </c>
      <c r="AA17" s="121">
        <v>0</v>
      </c>
      <c r="AB17" s="121">
        <v>0</v>
      </c>
      <c r="AC17" s="121">
        <v>0</v>
      </c>
      <c r="AD17" s="121">
        <v>0</v>
      </c>
      <c r="AE17" s="121">
        <v>-1.8853802408911401E-2</v>
      </c>
      <c r="AF17" s="121">
        <v>-4.0791568941862799E-4</v>
      </c>
      <c r="AG17" s="121">
        <v>-4.58493616844307E-4</v>
      </c>
      <c r="AH17" s="121">
        <v>0</v>
      </c>
      <c r="AI17" s="121">
        <v>0</v>
      </c>
      <c r="AJ17" s="121">
        <v>0</v>
      </c>
      <c r="AK17" s="121">
        <v>0</v>
      </c>
      <c r="AL17" s="121">
        <v>4.1192379815905698</v>
      </c>
      <c r="AM17" s="121">
        <v>0</v>
      </c>
      <c r="AN17" s="121">
        <v>-0.68503738575483497</v>
      </c>
      <c r="AO17" s="121">
        <v>2.1891829956245399</v>
      </c>
      <c r="AP17" s="121">
        <v>1.7699374108060699</v>
      </c>
      <c r="AQ17" s="121">
        <v>0</v>
      </c>
      <c r="AR17" s="121">
        <v>0</v>
      </c>
      <c r="AS17" s="121">
        <v>0</v>
      </c>
      <c r="AT17" s="122">
        <v>-8.8671920836610203E-3</v>
      </c>
    </row>
    <row r="18" spans="2:46" ht="12" customHeight="1" x14ac:dyDescent="0.25">
      <c r="B18" s="120" t="s">
        <v>35</v>
      </c>
      <c r="C18" s="121" t="s">
        <v>39</v>
      </c>
      <c r="D18" s="121" t="s">
        <v>25</v>
      </c>
      <c r="E18" s="121" t="s">
        <v>25</v>
      </c>
      <c r="F18" s="121" t="s">
        <v>25</v>
      </c>
      <c r="G18" s="121" t="s">
        <v>25</v>
      </c>
      <c r="H18" s="121" t="s">
        <v>79</v>
      </c>
      <c r="I18" s="121" t="s">
        <v>25</v>
      </c>
      <c r="J18" s="121">
        <v>0</v>
      </c>
      <c r="K18" s="121">
        <v>0</v>
      </c>
      <c r="L18" s="121">
        <v>0</v>
      </c>
      <c r="M18" s="121">
        <v>0</v>
      </c>
      <c r="N18" s="121">
        <v>0</v>
      </c>
      <c r="O18" s="121">
        <v>0</v>
      </c>
      <c r="P18" s="121">
        <v>0</v>
      </c>
      <c r="Q18" s="121">
        <v>0</v>
      </c>
      <c r="R18" s="121">
        <v>0</v>
      </c>
      <c r="S18" s="121">
        <v>0</v>
      </c>
      <c r="T18" s="121">
        <v>0</v>
      </c>
      <c r="U18" s="121">
        <v>0</v>
      </c>
      <c r="V18" s="121">
        <v>0</v>
      </c>
      <c r="W18" s="121">
        <v>0</v>
      </c>
      <c r="X18" s="121">
        <v>0</v>
      </c>
      <c r="Y18" s="121">
        <v>0</v>
      </c>
      <c r="Z18" s="121">
        <v>0</v>
      </c>
      <c r="AA18" s="121">
        <v>0</v>
      </c>
      <c r="AB18" s="121">
        <v>0</v>
      </c>
      <c r="AC18" s="121">
        <v>0</v>
      </c>
      <c r="AD18" s="121">
        <v>0</v>
      </c>
      <c r="AE18" s="121">
        <v>0</v>
      </c>
      <c r="AF18" s="121">
        <v>0</v>
      </c>
      <c r="AG18" s="121">
        <v>0</v>
      </c>
      <c r="AH18" s="121">
        <v>0</v>
      </c>
      <c r="AI18" s="121">
        <v>0</v>
      </c>
      <c r="AJ18" s="121">
        <v>0</v>
      </c>
      <c r="AK18" s="121">
        <v>0</v>
      </c>
      <c r="AL18" s="121">
        <v>0</v>
      </c>
      <c r="AM18" s="121">
        <v>0</v>
      </c>
      <c r="AN18" s="121">
        <v>0</v>
      </c>
      <c r="AO18" s="121">
        <v>0</v>
      </c>
      <c r="AP18" s="121">
        <v>0</v>
      </c>
      <c r="AQ18" s="121">
        <v>0</v>
      </c>
      <c r="AR18" s="121">
        <v>0</v>
      </c>
      <c r="AS18" s="121">
        <v>0</v>
      </c>
      <c r="AT18" s="122">
        <v>0</v>
      </c>
    </row>
    <row r="19" spans="2:46" ht="12" customHeight="1" x14ac:dyDescent="0.25">
      <c r="B19" s="120" t="s">
        <v>35</v>
      </c>
      <c r="C19" s="121" t="s">
        <v>39</v>
      </c>
      <c r="D19" s="121" t="s">
        <v>25</v>
      </c>
      <c r="E19" s="121" t="s">
        <v>25</v>
      </c>
      <c r="F19" s="121" t="s">
        <v>25</v>
      </c>
      <c r="G19" s="121" t="s">
        <v>38</v>
      </c>
      <c r="H19" s="121" t="s">
        <v>74</v>
      </c>
      <c r="I19" s="121" t="s">
        <v>25</v>
      </c>
      <c r="J19" s="121">
        <v>21.03</v>
      </c>
      <c r="K19" s="121">
        <v>7.67</v>
      </c>
      <c r="L19" s="121">
        <v>0</v>
      </c>
      <c r="M19" s="121">
        <v>0</v>
      </c>
      <c r="N19" s="121">
        <v>0</v>
      </c>
      <c r="O19" s="121">
        <v>0</v>
      </c>
      <c r="P19" s="121">
        <v>0</v>
      </c>
      <c r="Q19" s="121">
        <v>17.1637210998102</v>
      </c>
      <c r="R19" s="121">
        <v>3.8853520350815698</v>
      </c>
      <c r="S19" s="121">
        <v>0</v>
      </c>
      <c r="T19" s="121">
        <v>0</v>
      </c>
      <c r="U19" s="121">
        <v>0</v>
      </c>
      <c r="V19" s="121">
        <v>0</v>
      </c>
      <c r="W19" s="121">
        <v>0</v>
      </c>
      <c r="X19" s="121">
        <v>0</v>
      </c>
      <c r="Y19" s="121">
        <v>0</v>
      </c>
      <c r="Z19" s="121">
        <v>0</v>
      </c>
      <c r="AA19" s="121">
        <v>0</v>
      </c>
      <c r="AB19" s="121">
        <v>0</v>
      </c>
      <c r="AC19" s="121">
        <v>0</v>
      </c>
      <c r="AD19" s="121">
        <v>0</v>
      </c>
      <c r="AE19" s="121">
        <v>-1.8853802408911401E-2</v>
      </c>
      <c r="AF19" s="121">
        <v>-4.0791568941862799E-4</v>
      </c>
      <c r="AG19" s="121">
        <v>-4.58493616844307E-4</v>
      </c>
      <c r="AH19" s="121">
        <v>0</v>
      </c>
      <c r="AI19" s="121">
        <v>0</v>
      </c>
      <c r="AJ19" s="121">
        <v>0</v>
      </c>
      <c r="AK19" s="121">
        <v>0</v>
      </c>
      <c r="AL19" s="121">
        <v>4.1192379815905698</v>
      </c>
      <c r="AM19" s="121">
        <v>0</v>
      </c>
      <c r="AN19" s="121">
        <v>-0.398277549857462</v>
      </c>
      <c r="AO19" s="121">
        <v>2.1891829956245399</v>
      </c>
      <c r="AP19" s="121">
        <v>1.7699374108060699</v>
      </c>
      <c r="AQ19" s="121">
        <v>0</v>
      </c>
      <c r="AR19" s="121">
        <v>0</v>
      </c>
      <c r="AS19" s="121">
        <v>0</v>
      </c>
      <c r="AT19" s="122">
        <v>-8.8671920836610203E-3</v>
      </c>
    </row>
    <row r="20" spans="2:46" ht="12" customHeight="1" x14ac:dyDescent="0.25">
      <c r="B20" s="120" t="s">
        <v>84</v>
      </c>
      <c r="C20" s="121" t="s">
        <v>83</v>
      </c>
      <c r="D20" s="121" t="s">
        <v>25</v>
      </c>
      <c r="E20" s="121" t="s">
        <v>25</v>
      </c>
      <c r="F20" s="121" t="s">
        <v>85</v>
      </c>
      <c r="G20" s="121" t="s">
        <v>25</v>
      </c>
      <c r="H20" s="121" t="s">
        <v>79</v>
      </c>
      <c r="I20" s="121" t="s">
        <v>25</v>
      </c>
      <c r="J20" s="121">
        <v>0</v>
      </c>
      <c r="K20" s="121">
        <v>0</v>
      </c>
      <c r="L20" s="121">
        <v>0</v>
      </c>
      <c r="M20" s="121">
        <v>0</v>
      </c>
      <c r="N20" s="121">
        <v>0</v>
      </c>
      <c r="O20" s="121">
        <v>0</v>
      </c>
      <c r="P20" s="121">
        <v>0</v>
      </c>
      <c r="Q20" s="121">
        <v>0</v>
      </c>
      <c r="R20" s="121">
        <v>0</v>
      </c>
      <c r="S20" s="121">
        <v>0</v>
      </c>
      <c r="T20" s="121">
        <v>0</v>
      </c>
      <c r="U20" s="121">
        <v>0</v>
      </c>
      <c r="V20" s="121">
        <v>0</v>
      </c>
      <c r="W20" s="121">
        <v>0</v>
      </c>
      <c r="X20" s="121">
        <v>0</v>
      </c>
      <c r="Y20" s="121">
        <v>0</v>
      </c>
      <c r="Z20" s="121">
        <v>0</v>
      </c>
      <c r="AA20" s="121">
        <v>0</v>
      </c>
      <c r="AB20" s="121">
        <v>0</v>
      </c>
      <c r="AC20" s="121">
        <v>0</v>
      </c>
      <c r="AD20" s="121">
        <v>0</v>
      </c>
      <c r="AE20" s="121">
        <v>0</v>
      </c>
      <c r="AF20" s="121">
        <v>0</v>
      </c>
      <c r="AG20" s="121">
        <v>0</v>
      </c>
      <c r="AH20" s="121">
        <v>0</v>
      </c>
      <c r="AI20" s="121">
        <v>0</v>
      </c>
      <c r="AJ20" s="121">
        <v>0</v>
      </c>
      <c r="AK20" s="121">
        <v>0</v>
      </c>
      <c r="AL20" s="121">
        <v>0</v>
      </c>
      <c r="AM20" s="121">
        <v>0</v>
      </c>
      <c r="AN20" s="121">
        <v>0</v>
      </c>
      <c r="AO20" s="121">
        <v>0</v>
      </c>
      <c r="AP20" s="121">
        <v>0</v>
      </c>
      <c r="AQ20" s="121">
        <v>0</v>
      </c>
      <c r="AR20" s="121">
        <v>0</v>
      </c>
      <c r="AS20" s="121">
        <v>0</v>
      </c>
      <c r="AT20" s="122">
        <v>0</v>
      </c>
    </row>
    <row r="21" spans="2:46" ht="12" customHeight="1" x14ac:dyDescent="0.25">
      <c r="B21" s="120" t="s">
        <v>84</v>
      </c>
      <c r="C21" s="121" t="s">
        <v>83</v>
      </c>
      <c r="D21" s="121" t="s">
        <v>25</v>
      </c>
      <c r="E21" s="121" t="s">
        <v>25</v>
      </c>
      <c r="F21" s="121" t="s">
        <v>86</v>
      </c>
      <c r="G21" s="121" t="s">
        <v>25</v>
      </c>
      <c r="H21" s="121" t="s">
        <v>79</v>
      </c>
      <c r="I21" s="121" t="s">
        <v>25</v>
      </c>
      <c r="J21" s="121">
        <v>0</v>
      </c>
      <c r="K21" s="121">
        <v>0</v>
      </c>
      <c r="L21" s="121">
        <v>0</v>
      </c>
      <c r="M21" s="121">
        <v>0</v>
      </c>
      <c r="N21" s="121">
        <v>0</v>
      </c>
      <c r="O21" s="121">
        <v>0</v>
      </c>
      <c r="P21" s="121">
        <v>0</v>
      </c>
      <c r="Q21" s="121">
        <v>0</v>
      </c>
      <c r="R21" s="121">
        <v>0</v>
      </c>
      <c r="S21" s="121">
        <v>0</v>
      </c>
      <c r="T21" s="121">
        <v>0</v>
      </c>
      <c r="U21" s="121">
        <v>0</v>
      </c>
      <c r="V21" s="121">
        <v>0</v>
      </c>
      <c r="W21" s="121">
        <v>0</v>
      </c>
      <c r="X21" s="121">
        <v>0</v>
      </c>
      <c r="Y21" s="121">
        <v>0</v>
      </c>
      <c r="Z21" s="121">
        <v>0</v>
      </c>
      <c r="AA21" s="121">
        <v>0</v>
      </c>
      <c r="AB21" s="121">
        <v>0</v>
      </c>
      <c r="AC21" s="121">
        <v>0</v>
      </c>
      <c r="AD21" s="121">
        <v>0</v>
      </c>
      <c r="AE21" s="121">
        <v>0</v>
      </c>
      <c r="AF21" s="121">
        <v>0</v>
      </c>
      <c r="AG21" s="121">
        <v>0</v>
      </c>
      <c r="AH21" s="121">
        <v>0</v>
      </c>
      <c r="AI21" s="121">
        <v>0</v>
      </c>
      <c r="AJ21" s="121">
        <v>0</v>
      </c>
      <c r="AK21" s="121">
        <v>0</v>
      </c>
      <c r="AL21" s="121">
        <v>0</v>
      </c>
      <c r="AM21" s="121">
        <v>0</v>
      </c>
      <c r="AN21" s="121">
        <v>0</v>
      </c>
      <c r="AO21" s="121">
        <v>0</v>
      </c>
      <c r="AP21" s="121">
        <v>0</v>
      </c>
      <c r="AQ21" s="121">
        <v>0</v>
      </c>
      <c r="AR21" s="121">
        <v>0</v>
      </c>
      <c r="AS21" s="121">
        <v>0</v>
      </c>
      <c r="AT21" s="122">
        <v>0</v>
      </c>
    </row>
    <row r="22" spans="2:46" ht="12" customHeight="1" x14ac:dyDescent="0.25">
      <c r="B22" s="120" t="s">
        <v>22</v>
      </c>
      <c r="C22" s="121" t="s">
        <v>50</v>
      </c>
      <c r="D22" s="121" t="s">
        <v>24</v>
      </c>
      <c r="E22" s="121" t="s">
        <v>24</v>
      </c>
      <c r="F22" s="121" t="s">
        <v>25</v>
      </c>
      <c r="G22" s="121" t="s">
        <v>37</v>
      </c>
      <c r="H22" s="121" t="s">
        <v>74</v>
      </c>
      <c r="I22" s="121" t="s">
        <v>25</v>
      </c>
      <c r="J22" s="121">
        <v>24.28</v>
      </c>
      <c r="K22" s="121">
        <v>7.38</v>
      </c>
      <c r="L22" s="121">
        <v>0</v>
      </c>
      <c r="M22" s="121">
        <v>0</v>
      </c>
      <c r="N22" s="121">
        <v>0</v>
      </c>
      <c r="O22" s="121">
        <v>0</v>
      </c>
      <c r="P22" s="121">
        <v>0</v>
      </c>
      <c r="Q22" s="121">
        <v>20.4330013092979</v>
      </c>
      <c r="R22" s="121">
        <v>3.8853520350815698</v>
      </c>
      <c r="S22" s="121">
        <v>0</v>
      </c>
      <c r="T22" s="121">
        <v>0</v>
      </c>
      <c r="U22" s="121">
        <v>0</v>
      </c>
      <c r="V22" s="121">
        <v>0</v>
      </c>
      <c r="W22" s="121">
        <v>0</v>
      </c>
      <c r="X22" s="121">
        <v>0</v>
      </c>
      <c r="Y22" s="121">
        <v>0</v>
      </c>
      <c r="Z22" s="121">
        <v>0</v>
      </c>
      <c r="AA22" s="121">
        <v>0</v>
      </c>
      <c r="AB22" s="121">
        <v>0</v>
      </c>
      <c r="AC22" s="121">
        <v>0</v>
      </c>
      <c r="AD22" s="121">
        <v>0</v>
      </c>
      <c r="AE22" s="121">
        <v>-4.0246121917318099E-2</v>
      </c>
      <c r="AF22" s="121">
        <v>-8.7075403742267396E-4</v>
      </c>
      <c r="AG22" s="121">
        <v>-6.9732094475926298E-4</v>
      </c>
      <c r="AH22" s="121">
        <v>0</v>
      </c>
      <c r="AI22" s="121">
        <v>0</v>
      </c>
      <c r="AJ22" s="121">
        <v>0</v>
      </c>
      <c r="AK22" s="121">
        <v>0</v>
      </c>
      <c r="AL22" s="121">
        <v>4.1192379815905698</v>
      </c>
      <c r="AM22" s="121">
        <v>0</v>
      </c>
      <c r="AN22" s="121">
        <v>-0.68503738575483497</v>
      </c>
      <c r="AO22" s="121">
        <v>2.1891829956245399</v>
      </c>
      <c r="AP22" s="121">
        <v>1.7699374108060699</v>
      </c>
      <c r="AQ22" s="121">
        <v>0</v>
      </c>
      <c r="AR22" s="121">
        <v>0</v>
      </c>
      <c r="AS22" s="121">
        <v>0</v>
      </c>
      <c r="AT22" s="122">
        <v>-8.8671920836610203E-3</v>
      </c>
    </row>
    <row r="23" spans="2:46" ht="12" customHeight="1" x14ac:dyDescent="0.25">
      <c r="B23" s="120" t="s">
        <v>22</v>
      </c>
      <c r="C23" s="121" t="s">
        <v>50</v>
      </c>
      <c r="D23" s="121" t="s">
        <v>24</v>
      </c>
      <c r="E23" s="121" t="s">
        <v>24</v>
      </c>
      <c r="F23" s="121" t="s">
        <v>25</v>
      </c>
      <c r="G23" s="121" t="s">
        <v>51</v>
      </c>
      <c r="H23" s="121" t="s">
        <v>74</v>
      </c>
      <c r="I23" s="121" t="s">
        <v>25</v>
      </c>
      <c r="J23" s="121">
        <v>24.28</v>
      </c>
      <c r="K23" s="121">
        <v>7.67</v>
      </c>
      <c r="L23" s="121">
        <v>0</v>
      </c>
      <c r="M23" s="121">
        <v>0</v>
      </c>
      <c r="N23" s="121">
        <v>0</v>
      </c>
      <c r="O23" s="121">
        <v>0</v>
      </c>
      <c r="P23" s="121">
        <v>0</v>
      </c>
      <c r="Q23" s="121">
        <v>20.4330013092979</v>
      </c>
      <c r="R23" s="121">
        <v>3.8853520350815698</v>
      </c>
      <c r="S23" s="121">
        <v>0</v>
      </c>
      <c r="T23" s="121">
        <v>0</v>
      </c>
      <c r="U23" s="121">
        <v>0</v>
      </c>
      <c r="V23" s="121">
        <v>0</v>
      </c>
      <c r="W23" s="121">
        <v>0</v>
      </c>
      <c r="X23" s="121">
        <v>0</v>
      </c>
      <c r="Y23" s="121">
        <v>0</v>
      </c>
      <c r="Z23" s="121">
        <v>0</v>
      </c>
      <c r="AA23" s="121">
        <v>0</v>
      </c>
      <c r="AB23" s="121">
        <v>0</v>
      </c>
      <c r="AC23" s="121">
        <v>0</v>
      </c>
      <c r="AD23" s="121">
        <v>0</v>
      </c>
      <c r="AE23" s="121">
        <v>-4.0246121917318099E-2</v>
      </c>
      <c r="AF23" s="121">
        <v>-8.7075403742267396E-4</v>
      </c>
      <c r="AG23" s="121">
        <v>-6.9732094475926298E-4</v>
      </c>
      <c r="AH23" s="121">
        <v>0</v>
      </c>
      <c r="AI23" s="121">
        <v>0</v>
      </c>
      <c r="AJ23" s="121">
        <v>0</v>
      </c>
      <c r="AK23" s="121">
        <v>0</v>
      </c>
      <c r="AL23" s="121">
        <v>4.1192379815905698</v>
      </c>
      <c r="AM23" s="121">
        <v>0</v>
      </c>
      <c r="AN23" s="121">
        <v>-0.398277549857462</v>
      </c>
      <c r="AO23" s="121">
        <v>2.1891829956245399</v>
      </c>
      <c r="AP23" s="121">
        <v>1.7699374108060699</v>
      </c>
      <c r="AQ23" s="121">
        <v>0</v>
      </c>
      <c r="AR23" s="121">
        <v>0</v>
      </c>
      <c r="AS23" s="121">
        <v>0</v>
      </c>
      <c r="AT23" s="122">
        <v>-8.8671920836610203E-3</v>
      </c>
    </row>
    <row r="24" spans="2:46" ht="12" customHeight="1" x14ac:dyDescent="0.25">
      <c r="B24" s="120" t="s">
        <v>22</v>
      </c>
      <c r="C24" s="121" t="s">
        <v>50</v>
      </c>
      <c r="D24" s="121" t="s">
        <v>24</v>
      </c>
      <c r="E24" s="121" t="s">
        <v>24</v>
      </c>
      <c r="F24" s="121" t="s">
        <v>25</v>
      </c>
      <c r="G24" s="121" t="s">
        <v>38</v>
      </c>
      <c r="H24" s="121" t="s">
        <v>74</v>
      </c>
      <c r="I24" s="121" t="s">
        <v>25</v>
      </c>
      <c r="J24" s="121">
        <v>24.28</v>
      </c>
      <c r="K24" s="121">
        <v>7.67</v>
      </c>
      <c r="L24" s="121">
        <v>0</v>
      </c>
      <c r="M24" s="121">
        <v>0</v>
      </c>
      <c r="N24" s="121">
        <v>0</v>
      </c>
      <c r="O24" s="121">
        <v>0</v>
      </c>
      <c r="P24" s="121">
        <v>0</v>
      </c>
      <c r="Q24" s="121">
        <v>20.4330013092979</v>
      </c>
      <c r="R24" s="121">
        <v>3.8853520350815698</v>
      </c>
      <c r="S24" s="121">
        <v>0</v>
      </c>
      <c r="T24" s="121">
        <v>0</v>
      </c>
      <c r="U24" s="121">
        <v>0</v>
      </c>
      <c r="V24" s="121">
        <v>0</v>
      </c>
      <c r="W24" s="121">
        <v>0</v>
      </c>
      <c r="X24" s="121">
        <v>0</v>
      </c>
      <c r="Y24" s="121">
        <v>0</v>
      </c>
      <c r="Z24" s="121">
        <v>0</v>
      </c>
      <c r="AA24" s="121">
        <v>0</v>
      </c>
      <c r="AB24" s="121">
        <v>0</v>
      </c>
      <c r="AC24" s="121">
        <v>0</v>
      </c>
      <c r="AD24" s="121">
        <v>0</v>
      </c>
      <c r="AE24" s="121">
        <v>-4.0246121917318099E-2</v>
      </c>
      <c r="AF24" s="121">
        <v>-8.7075403742267396E-4</v>
      </c>
      <c r="AG24" s="121">
        <v>-6.9732094475926298E-4</v>
      </c>
      <c r="AH24" s="121">
        <v>0</v>
      </c>
      <c r="AI24" s="121">
        <v>0</v>
      </c>
      <c r="AJ24" s="121">
        <v>0</v>
      </c>
      <c r="AK24" s="121">
        <v>0</v>
      </c>
      <c r="AL24" s="121">
        <v>4.1192379815905698</v>
      </c>
      <c r="AM24" s="121">
        <v>0</v>
      </c>
      <c r="AN24" s="121">
        <v>-0.398277549857462</v>
      </c>
      <c r="AO24" s="121">
        <v>2.1891829956245399</v>
      </c>
      <c r="AP24" s="121">
        <v>1.7699374108060699</v>
      </c>
      <c r="AQ24" s="121">
        <v>0</v>
      </c>
      <c r="AR24" s="121">
        <v>0</v>
      </c>
      <c r="AS24" s="121">
        <v>0</v>
      </c>
      <c r="AT24" s="122">
        <v>-8.8671920836610203E-3</v>
      </c>
    </row>
    <row r="25" spans="2:46" ht="12" customHeight="1" x14ac:dyDescent="0.25">
      <c r="B25" s="120" t="s">
        <v>22</v>
      </c>
      <c r="C25" s="121" t="s">
        <v>23</v>
      </c>
      <c r="D25" s="121" t="s">
        <v>24</v>
      </c>
      <c r="E25" s="121" t="s">
        <v>1284</v>
      </c>
      <c r="F25" s="121" t="s">
        <v>25</v>
      </c>
      <c r="G25" s="121" t="s">
        <v>25</v>
      </c>
      <c r="H25" s="121" t="s">
        <v>74</v>
      </c>
      <c r="I25" s="121" t="s">
        <v>25</v>
      </c>
      <c r="J25" s="121">
        <v>-0.04</v>
      </c>
      <c r="K25" s="121">
        <v>7.65</v>
      </c>
      <c r="L25" s="121">
        <v>0</v>
      </c>
      <c r="M25" s="121">
        <v>0</v>
      </c>
      <c r="N25" s="121">
        <v>0</v>
      </c>
      <c r="O25" s="121">
        <v>0</v>
      </c>
      <c r="P25" s="121">
        <v>0</v>
      </c>
      <c r="Q25" s="121">
        <v>0</v>
      </c>
      <c r="R25" s="121">
        <v>0</v>
      </c>
      <c r="S25" s="121">
        <v>0</v>
      </c>
      <c r="T25" s="121">
        <v>0</v>
      </c>
      <c r="U25" s="121">
        <v>0</v>
      </c>
      <c r="V25" s="121">
        <v>0</v>
      </c>
      <c r="W25" s="121">
        <v>0</v>
      </c>
      <c r="X25" s="121">
        <v>0</v>
      </c>
      <c r="Y25" s="121">
        <v>0</v>
      </c>
      <c r="Z25" s="121">
        <v>0</v>
      </c>
      <c r="AA25" s="121">
        <v>0</v>
      </c>
      <c r="AB25" s="121">
        <v>0</v>
      </c>
      <c r="AC25" s="121">
        <v>0</v>
      </c>
      <c r="AD25" s="121">
        <v>0</v>
      </c>
      <c r="AE25" s="121">
        <v>-4.0246121917318099E-2</v>
      </c>
      <c r="AF25" s="121">
        <v>-8.7075403742267396E-4</v>
      </c>
      <c r="AG25" s="121">
        <v>-6.9732094475926298E-4</v>
      </c>
      <c r="AH25" s="121">
        <v>0</v>
      </c>
      <c r="AI25" s="121">
        <v>0</v>
      </c>
      <c r="AJ25" s="121">
        <v>0</v>
      </c>
      <c r="AK25" s="121">
        <v>0</v>
      </c>
      <c r="AL25" s="121">
        <v>4.1192379815905698</v>
      </c>
      <c r="AM25" s="121">
        <v>0</v>
      </c>
      <c r="AN25" s="121">
        <v>-0.42217420284891</v>
      </c>
      <c r="AO25" s="121">
        <v>2.1891829956245399</v>
      </c>
      <c r="AP25" s="121">
        <v>1.7699374108060699</v>
      </c>
      <c r="AQ25" s="121">
        <v>0</v>
      </c>
      <c r="AR25" s="121">
        <v>0</v>
      </c>
      <c r="AS25" s="121">
        <v>0</v>
      </c>
      <c r="AT25" s="122">
        <v>-8.8671920836610203E-3</v>
      </c>
    </row>
    <row r="26" spans="2:46" ht="12" customHeight="1" x14ac:dyDescent="0.25">
      <c r="B26" s="120" t="s">
        <v>22</v>
      </c>
      <c r="C26" s="121" t="s">
        <v>23</v>
      </c>
      <c r="D26" s="121" t="s">
        <v>24</v>
      </c>
      <c r="E26" s="121" t="s">
        <v>24</v>
      </c>
      <c r="F26" s="121" t="s">
        <v>25</v>
      </c>
      <c r="G26" s="121" t="s">
        <v>25</v>
      </c>
      <c r="H26" s="121" t="s">
        <v>74</v>
      </c>
      <c r="I26" s="121" t="s">
        <v>25</v>
      </c>
      <c r="J26" s="121">
        <v>24.28</v>
      </c>
      <c r="K26" s="121">
        <v>7.65</v>
      </c>
      <c r="L26" s="121">
        <v>0</v>
      </c>
      <c r="M26" s="121">
        <v>0</v>
      </c>
      <c r="N26" s="121">
        <v>0</v>
      </c>
      <c r="O26" s="121">
        <v>0</v>
      </c>
      <c r="P26" s="121">
        <v>0</v>
      </c>
      <c r="Q26" s="121">
        <v>20.4330013092979</v>
      </c>
      <c r="R26" s="121">
        <v>3.8853520350815698</v>
      </c>
      <c r="S26" s="121">
        <v>0</v>
      </c>
      <c r="T26" s="121">
        <v>0</v>
      </c>
      <c r="U26" s="121">
        <v>0</v>
      </c>
      <c r="V26" s="121">
        <v>0</v>
      </c>
      <c r="W26" s="121">
        <v>0</v>
      </c>
      <c r="X26" s="121">
        <v>0</v>
      </c>
      <c r="Y26" s="121">
        <v>0</v>
      </c>
      <c r="Z26" s="121">
        <v>0</v>
      </c>
      <c r="AA26" s="121">
        <v>0</v>
      </c>
      <c r="AB26" s="121">
        <v>0</v>
      </c>
      <c r="AC26" s="121">
        <v>0</v>
      </c>
      <c r="AD26" s="121">
        <v>0</v>
      </c>
      <c r="AE26" s="121">
        <v>-4.0246121917318099E-2</v>
      </c>
      <c r="AF26" s="121">
        <v>-8.7075403742267396E-4</v>
      </c>
      <c r="AG26" s="121">
        <v>-6.9732094475926298E-4</v>
      </c>
      <c r="AH26" s="121">
        <v>0</v>
      </c>
      <c r="AI26" s="121">
        <v>0</v>
      </c>
      <c r="AJ26" s="121">
        <v>0</v>
      </c>
      <c r="AK26" s="121">
        <v>0</v>
      </c>
      <c r="AL26" s="121">
        <v>4.1192379815905698</v>
      </c>
      <c r="AM26" s="121">
        <v>0</v>
      </c>
      <c r="AN26" s="121">
        <v>-0.42217420284891</v>
      </c>
      <c r="AO26" s="121">
        <v>2.1891829956245399</v>
      </c>
      <c r="AP26" s="121">
        <v>1.7699374108060699</v>
      </c>
      <c r="AQ26" s="121">
        <v>0</v>
      </c>
      <c r="AR26" s="121">
        <v>0</v>
      </c>
      <c r="AS26" s="121">
        <v>0</v>
      </c>
      <c r="AT26" s="122">
        <v>-8.8671920836610203E-3</v>
      </c>
    </row>
    <row r="27" spans="2:46" ht="12" customHeight="1" x14ac:dyDescent="0.25">
      <c r="B27" s="120" t="s">
        <v>22</v>
      </c>
      <c r="C27" s="121" t="s">
        <v>89</v>
      </c>
      <c r="D27" s="121" t="s">
        <v>24</v>
      </c>
      <c r="E27" s="121" t="s">
        <v>1284</v>
      </c>
      <c r="F27" s="121" t="s">
        <v>25</v>
      </c>
      <c r="G27" s="121" t="s">
        <v>25</v>
      </c>
      <c r="H27" s="121" t="s">
        <v>74</v>
      </c>
      <c r="I27" s="121" t="s">
        <v>25</v>
      </c>
      <c r="J27" s="121">
        <v>-0.04</v>
      </c>
      <c r="K27" s="121">
        <v>7.65</v>
      </c>
      <c r="L27" s="121">
        <v>0</v>
      </c>
      <c r="M27" s="121">
        <v>0</v>
      </c>
      <c r="N27" s="121">
        <v>0</v>
      </c>
      <c r="O27" s="121">
        <v>0</v>
      </c>
      <c r="P27" s="121">
        <v>0</v>
      </c>
      <c r="Q27" s="121">
        <v>0</v>
      </c>
      <c r="R27" s="121">
        <v>0</v>
      </c>
      <c r="S27" s="121">
        <v>0</v>
      </c>
      <c r="T27" s="121">
        <v>0</v>
      </c>
      <c r="U27" s="121">
        <v>0</v>
      </c>
      <c r="V27" s="121">
        <v>0</v>
      </c>
      <c r="W27" s="121">
        <v>0</v>
      </c>
      <c r="X27" s="121">
        <v>0</v>
      </c>
      <c r="Y27" s="121">
        <v>0</v>
      </c>
      <c r="Z27" s="121">
        <v>0</v>
      </c>
      <c r="AA27" s="121">
        <v>0</v>
      </c>
      <c r="AB27" s="121">
        <v>0</v>
      </c>
      <c r="AC27" s="121">
        <v>0</v>
      </c>
      <c r="AD27" s="121">
        <v>0</v>
      </c>
      <c r="AE27" s="121">
        <v>-4.0246121917318099E-2</v>
      </c>
      <c r="AF27" s="121">
        <v>-8.7075403742267396E-4</v>
      </c>
      <c r="AG27" s="121">
        <v>-6.9732094475926298E-4</v>
      </c>
      <c r="AH27" s="121">
        <v>0</v>
      </c>
      <c r="AI27" s="121">
        <v>0</v>
      </c>
      <c r="AJ27" s="121">
        <v>0</v>
      </c>
      <c r="AK27" s="121">
        <v>0</v>
      </c>
      <c r="AL27" s="121">
        <v>4.1192379815905698</v>
      </c>
      <c r="AM27" s="121">
        <v>0</v>
      </c>
      <c r="AN27" s="121">
        <v>-0.42217420284891</v>
      </c>
      <c r="AO27" s="121">
        <v>2.1891829956245399</v>
      </c>
      <c r="AP27" s="121">
        <v>1.7699374108060699</v>
      </c>
      <c r="AQ27" s="121">
        <v>0</v>
      </c>
      <c r="AR27" s="121">
        <v>0</v>
      </c>
      <c r="AS27" s="121">
        <v>0</v>
      </c>
      <c r="AT27" s="122">
        <v>-8.8671920836610203E-3</v>
      </c>
    </row>
    <row r="28" spans="2:46" ht="12" customHeight="1" x14ac:dyDescent="0.25">
      <c r="B28" s="120" t="s">
        <v>22</v>
      </c>
      <c r="C28" s="121" t="s">
        <v>89</v>
      </c>
      <c r="D28" s="121" t="s">
        <v>24</v>
      </c>
      <c r="E28" s="121" t="s">
        <v>24</v>
      </c>
      <c r="F28" s="121" t="s">
        <v>25</v>
      </c>
      <c r="G28" s="121" t="s">
        <v>25</v>
      </c>
      <c r="H28" s="121" t="s">
        <v>74</v>
      </c>
      <c r="I28" s="121" t="s">
        <v>25</v>
      </c>
      <c r="J28" s="121">
        <v>24.28</v>
      </c>
      <c r="K28" s="121">
        <v>7.65</v>
      </c>
      <c r="L28" s="121">
        <v>0</v>
      </c>
      <c r="M28" s="121">
        <v>0</v>
      </c>
      <c r="N28" s="121">
        <v>0</v>
      </c>
      <c r="O28" s="121">
        <v>0</v>
      </c>
      <c r="P28" s="121">
        <v>0</v>
      </c>
      <c r="Q28" s="121">
        <v>20.4330013092979</v>
      </c>
      <c r="R28" s="121">
        <v>3.8853520350815698</v>
      </c>
      <c r="S28" s="121">
        <v>0</v>
      </c>
      <c r="T28" s="121">
        <v>0</v>
      </c>
      <c r="U28" s="121">
        <v>0</v>
      </c>
      <c r="V28" s="121">
        <v>0</v>
      </c>
      <c r="W28" s="121">
        <v>0</v>
      </c>
      <c r="X28" s="121">
        <v>0</v>
      </c>
      <c r="Y28" s="121">
        <v>0</v>
      </c>
      <c r="Z28" s="121">
        <v>0</v>
      </c>
      <c r="AA28" s="121">
        <v>0</v>
      </c>
      <c r="AB28" s="121">
        <v>0</v>
      </c>
      <c r="AC28" s="121">
        <v>0</v>
      </c>
      <c r="AD28" s="121">
        <v>0</v>
      </c>
      <c r="AE28" s="121">
        <v>-4.0246121917318099E-2</v>
      </c>
      <c r="AF28" s="121">
        <v>-8.7075403742267396E-4</v>
      </c>
      <c r="AG28" s="121">
        <v>-6.9732094475926298E-4</v>
      </c>
      <c r="AH28" s="121">
        <v>0</v>
      </c>
      <c r="AI28" s="121">
        <v>0</v>
      </c>
      <c r="AJ28" s="121">
        <v>0</v>
      </c>
      <c r="AK28" s="121">
        <v>0</v>
      </c>
      <c r="AL28" s="121">
        <v>4.1192379815905698</v>
      </c>
      <c r="AM28" s="121">
        <v>0</v>
      </c>
      <c r="AN28" s="121">
        <v>-0.42217420284891</v>
      </c>
      <c r="AO28" s="121">
        <v>2.1891829956245399</v>
      </c>
      <c r="AP28" s="121">
        <v>1.7699374108060699</v>
      </c>
      <c r="AQ28" s="121">
        <v>0</v>
      </c>
      <c r="AR28" s="121">
        <v>0</v>
      </c>
      <c r="AS28" s="121">
        <v>0</v>
      </c>
      <c r="AT28" s="122">
        <v>-8.8671920836610203E-3</v>
      </c>
    </row>
    <row r="29" spans="2:46" ht="12" customHeight="1" x14ac:dyDescent="0.25">
      <c r="B29" s="120" t="s">
        <v>41</v>
      </c>
      <c r="C29" s="121" t="s">
        <v>50</v>
      </c>
      <c r="D29" s="121" t="s">
        <v>42</v>
      </c>
      <c r="E29" s="121" t="s">
        <v>90</v>
      </c>
      <c r="F29" s="121" t="s">
        <v>25</v>
      </c>
      <c r="G29" s="121" t="s">
        <v>37</v>
      </c>
      <c r="H29" s="121" t="s">
        <v>74</v>
      </c>
      <c r="I29" s="121" t="s">
        <v>25</v>
      </c>
      <c r="J29" s="121">
        <v>22.82</v>
      </c>
      <c r="K29" s="121">
        <v>6.9399999999999995</v>
      </c>
      <c r="L29" s="121">
        <v>0</v>
      </c>
      <c r="M29" s="121">
        <v>0</v>
      </c>
      <c r="N29" s="121">
        <v>0</v>
      </c>
      <c r="O29" s="121">
        <v>0</v>
      </c>
      <c r="P29" s="121">
        <v>0</v>
      </c>
      <c r="Q29" s="121">
        <v>19.207021230740001</v>
      </c>
      <c r="R29" s="121">
        <v>3.6522309129766701</v>
      </c>
      <c r="S29" s="121">
        <v>0</v>
      </c>
      <c r="T29" s="121">
        <v>0</v>
      </c>
      <c r="U29" s="121">
        <v>0</v>
      </c>
      <c r="V29" s="121">
        <v>0</v>
      </c>
      <c r="W29" s="121">
        <v>0</v>
      </c>
      <c r="X29" s="121">
        <v>0</v>
      </c>
      <c r="Y29" s="121">
        <v>0</v>
      </c>
      <c r="Z29" s="121">
        <v>0</v>
      </c>
      <c r="AA29" s="121">
        <v>0</v>
      </c>
      <c r="AB29" s="121">
        <v>0</v>
      </c>
      <c r="AC29" s="121">
        <v>0</v>
      </c>
      <c r="AD29" s="121">
        <v>0</v>
      </c>
      <c r="AE29" s="121">
        <v>-3.7831354602279002E-2</v>
      </c>
      <c r="AF29" s="121">
        <v>-8.1850879517731301E-4</v>
      </c>
      <c r="AG29" s="121">
        <v>-6.5548168807370703E-4</v>
      </c>
      <c r="AH29" s="121">
        <v>0</v>
      </c>
      <c r="AI29" s="121">
        <v>0</v>
      </c>
      <c r="AJ29" s="121">
        <v>0</v>
      </c>
      <c r="AK29" s="121">
        <v>0</v>
      </c>
      <c r="AL29" s="121">
        <v>3.8720837026951398</v>
      </c>
      <c r="AM29" s="121">
        <v>0</v>
      </c>
      <c r="AN29" s="121">
        <v>-0.64393514260954499</v>
      </c>
      <c r="AO29" s="121">
        <v>2.0578320158870702</v>
      </c>
      <c r="AP29" s="121">
        <v>1.6637411661577099</v>
      </c>
      <c r="AQ29" s="121">
        <v>0</v>
      </c>
      <c r="AR29" s="121">
        <v>0</v>
      </c>
      <c r="AS29" s="121">
        <v>0</v>
      </c>
      <c r="AT29" s="122">
        <v>-8.33516055864136E-3</v>
      </c>
    </row>
    <row r="30" spans="2:46" ht="12" customHeight="1" x14ac:dyDescent="0.25">
      <c r="B30" s="120" t="s">
        <v>41</v>
      </c>
      <c r="C30" s="121" t="s">
        <v>50</v>
      </c>
      <c r="D30" s="121" t="s">
        <v>42</v>
      </c>
      <c r="E30" s="121" t="s">
        <v>90</v>
      </c>
      <c r="F30" s="121" t="s">
        <v>25</v>
      </c>
      <c r="G30" s="121" t="s">
        <v>51</v>
      </c>
      <c r="H30" s="121" t="s">
        <v>74</v>
      </c>
      <c r="I30" s="121" t="s">
        <v>25</v>
      </c>
      <c r="J30" s="121">
        <v>22.82</v>
      </c>
      <c r="K30" s="121">
        <v>7.21</v>
      </c>
      <c r="L30" s="121">
        <v>0</v>
      </c>
      <c r="M30" s="121">
        <v>0</v>
      </c>
      <c r="N30" s="121">
        <v>0</v>
      </c>
      <c r="O30" s="121">
        <v>0</v>
      </c>
      <c r="P30" s="121">
        <v>0</v>
      </c>
      <c r="Q30" s="121">
        <v>19.207021230740001</v>
      </c>
      <c r="R30" s="121">
        <v>3.6522309129766701</v>
      </c>
      <c r="S30" s="121">
        <v>0</v>
      </c>
      <c r="T30" s="121">
        <v>0</v>
      </c>
      <c r="U30" s="121">
        <v>0</v>
      </c>
      <c r="V30" s="121">
        <v>0</v>
      </c>
      <c r="W30" s="121">
        <v>0</v>
      </c>
      <c r="X30" s="121">
        <v>0</v>
      </c>
      <c r="Y30" s="121">
        <v>0</v>
      </c>
      <c r="Z30" s="121">
        <v>0</v>
      </c>
      <c r="AA30" s="121">
        <v>0</v>
      </c>
      <c r="AB30" s="121">
        <v>0</v>
      </c>
      <c r="AC30" s="121">
        <v>0</v>
      </c>
      <c r="AD30" s="121">
        <v>0</v>
      </c>
      <c r="AE30" s="121">
        <v>-3.7831354602279002E-2</v>
      </c>
      <c r="AF30" s="121">
        <v>-8.1850879517731301E-4</v>
      </c>
      <c r="AG30" s="121">
        <v>-6.5548168807370703E-4</v>
      </c>
      <c r="AH30" s="121">
        <v>0</v>
      </c>
      <c r="AI30" s="121">
        <v>0</v>
      </c>
      <c r="AJ30" s="121">
        <v>0</v>
      </c>
      <c r="AK30" s="121">
        <v>0</v>
      </c>
      <c r="AL30" s="121">
        <v>3.8720837026951398</v>
      </c>
      <c r="AM30" s="121">
        <v>0</v>
      </c>
      <c r="AN30" s="121">
        <v>-0.374380896866014</v>
      </c>
      <c r="AO30" s="121">
        <v>2.0578320158870702</v>
      </c>
      <c r="AP30" s="121">
        <v>1.6637411661577099</v>
      </c>
      <c r="AQ30" s="121">
        <v>0</v>
      </c>
      <c r="AR30" s="121">
        <v>0</v>
      </c>
      <c r="AS30" s="121">
        <v>0</v>
      </c>
      <c r="AT30" s="122">
        <v>-8.33516055864136E-3</v>
      </c>
    </row>
    <row r="31" spans="2:46" ht="12" customHeight="1" x14ac:dyDescent="0.25">
      <c r="B31" s="120" t="s">
        <v>41</v>
      </c>
      <c r="C31" s="121" t="s">
        <v>50</v>
      </c>
      <c r="D31" s="121" t="s">
        <v>42</v>
      </c>
      <c r="E31" s="121" t="s">
        <v>90</v>
      </c>
      <c r="F31" s="121" t="s">
        <v>25</v>
      </c>
      <c r="G31" s="121" t="s">
        <v>38</v>
      </c>
      <c r="H31" s="121" t="s">
        <v>74</v>
      </c>
      <c r="I31" s="121" t="s">
        <v>25</v>
      </c>
      <c r="J31" s="121">
        <v>22.82</v>
      </c>
      <c r="K31" s="121">
        <v>7.21</v>
      </c>
      <c r="L31" s="121">
        <v>0</v>
      </c>
      <c r="M31" s="121">
        <v>0</v>
      </c>
      <c r="N31" s="121">
        <v>0</v>
      </c>
      <c r="O31" s="121">
        <v>0</v>
      </c>
      <c r="P31" s="121">
        <v>0</v>
      </c>
      <c r="Q31" s="121">
        <v>19.207021230740001</v>
      </c>
      <c r="R31" s="121">
        <v>3.6522309129766701</v>
      </c>
      <c r="S31" s="121">
        <v>0</v>
      </c>
      <c r="T31" s="121">
        <v>0</v>
      </c>
      <c r="U31" s="121">
        <v>0</v>
      </c>
      <c r="V31" s="121">
        <v>0</v>
      </c>
      <c r="W31" s="121">
        <v>0</v>
      </c>
      <c r="X31" s="121">
        <v>0</v>
      </c>
      <c r="Y31" s="121">
        <v>0</v>
      </c>
      <c r="Z31" s="121">
        <v>0</v>
      </c>
      <c r="AA31" s="121">
        <v>0</v>
      </c>
      <c r="AB31" s="121">
        <v>0</v>
      </c>
      <c r="AC31" s="121">
        <v>0</v>
      </c>
      <c r="AD31" s="121">
        <v>0</v>
      </c>
      <c r="AE31" s="121">
        <v>-3.7831354602279002E-2</v>
      </c>
      <c r="AF31" s="121">
        <v>-8.1850879517731301E-4</v>
      </c>
      <c r="AG31" s="121">
        <v>-6.5548168807370703E-4</v>
      </c>
      <c r="AH31" s="121">
        <v>0</v>
      </c>
      <c r="AI31" s="121">
        <v>0</v>
      </c>
      <c r="AJ31" s="121">
        <v>0</v>
      </c>
      <c r="AK31" s="121">
        <v>0</v>
      </c>
      <c r="AL31" s="121">
        <v>3.8720837026951398</v>
      </c>
      <c r="AM31" s="121">
        <v>0</v>
      </c>
      <c r="AN31" s="121">
        <v>-0.374380896866014</v>
      </c>
      <c r="AO31" s="121">
        <v>2.0578320158870702</v>
      </c>
      <c r="AP31" s="121">
        <v>1.6637411661577099</v>
      </c>
      <c r="AQ31" s="121">
        <v>0</v>
      </c>
      <c r="AR31" s="121">
        <v>0</v>
      </c>
      <c r="AS31" s="121">
        <v>0</v>
      </c>
      <c r="AT31" s="122">
        <v>-8.33516055864136E-3</v>
      </c>
    </row>
    <row r="32" spans="2:46" ht="12" customHeight="1" x14ac:dyDescent="0.25">
      <c r="B32" s="120" t="s">
        <v>41</v>
      </c>
      <c r="C32" s="121" t="s">
        <v>50</v>
      </c>
      <c r="D32" s="121" t="s">
        <v>42</v>
      </c>
      <c r="E32" s="121" t="s">
        <v>25</v>
      </c>
      <c r="F32" s="121" t="s">
        <v>25</v>
      </c>
      <c r="G32" s="121" t="s">
        <v>37</v>
      </c>
      <c r="H32" s="121" t="s">
        <v>74</v>
      </c>
      <c r="I32" s="121" t="s">
        <v>25</v>
      </c>
      <c r="J32" s="121">
        <v>22.82</v>
      </c>
      <c r="K32" s="121">
        <v>6.9399999999999995</v>
      </c>
      <c r="L32" s="121">
        <v>0</v>
      </c>
      <c r="M32" s="121">
        <v>0</v>
      </c>
      <c r="N32" s="121">
        <v>0</v>
      </c>
      <c r="O32" s="121">
        <v>0</v>
      </c>
      <c r="P32" s="121">
        <v>0</v>
      </c>
      <c r="Q32" s="121">
        <v>19.207021230740001</v>
      </c>
      <c r="R32" s="121">
        <v>3.6522309129766701</v>
      </c>
      <c r="S32" s="121">
        <v>0</v>
      </c>
      <c r="T32" s="121">
        <v>0</v>
      </c>
      <c r="U32" s="121">
        <v>0</v>
      </c>
      <c r="V32" s="121">
        <v>0</v>
      </c>
      <c r="W32" s="121">
        <v>0</v>
      </c>
      <c r="X32" s="121">
        <v>0</v>
      </c>
      <c r="Y32" s="121">
        <v>0</v>
      </c>
      <c r="Z32" s="121">
        <v>0</v>
      </c>
      <c r="AA32" s="121">
        <v>0</v>
      </c>
      <c r="AB32" s="121">
        <v>0</v>
      </c>
      <c r="AC32" s="121">
        <v>0</v>
      </c>
      <c r="AD32" s="121">
        <v>0</v>
      </c>
      <c r="AE32" s="121">
        <v>-3.7831354602279002E-2</v>
      </c>
      <c r="AF32" s="121">
        <v>-8.1850879517731301E-4</v>
      </c>
      <c r="AG32" s="121">
        <v>-6.5548168807370703E-4</v>
      </c>
      <c r="AH32" s="121">
        <v>0</v>
      </c>
      <c r="AI32" s="121">
        <v>0</v>
      </c>
      <c r="AJ32" s="121">
        <v>0</v>
      </c>
      <c r="AK32" s="121">
        <v>0</v>
      </c>
      <c r="AL32" s="121">
        <v>3.8720837026951398</v>
      </c>
      <c r="AM32" s="121">
        <v>0</v>
      </c>
      <c r="AN32" s="121">
        <v>-0.64393514260954499</v>
      </c>
      <c r="AO32" s="121">
        <v>2.0578320158870702</v>
      </c>
      <c r="AP32" s="121">
        <v>1.6637411661577099</v>
      </c>
      <c r="AQ32" s="121">
        <v>0</v>
      </c>
      <c r="AR32" s="121">
        <v>0</v>
      </c>
      <c r="AS32" s="121">
        <v>0</v>
      </c>
      <c r="AT32" s="122">
        <v>-8.33516055864136E-3</v>
      </c>
    </row>
    <row r="33" spans="2:46" ht="12" customHeight="1" x14ac:dyDescent="0.25">
      <c r="B33" s="120" t="s">
        <v>41</v>
      </c>
      <c r="C33" s="121" t="s">
        <v>50</v>
      </c>
      <c r="D33" s="121" t="s">
        <v>42</v>
      </c>
      <c r="E33" s="121" t="s">
        <v>25</v>
      </c>
      <c r="F33" s="121" t="s">
        <v>25</v>
      </c>
      <c r="G33" s="121" t="s">
        <v>51</v>
      </c>
      <c r="H33" s="121" t="s">
        <v>74</v>
      </c>
      <c r="I33" s="121" t="s">
        <v>25</v>
      </c>
      <c r="J33" s="121">
        <v>22.82</v>
      </c>
      <c r="K33" s="121">
        <v>7.21</v>
      </c>
      <c r="L33" s="121">
        <v>0</v>
      </c>
      <c r="M33" s="121">
        <v>0</v>
      </c>
      <c r="N33" s="121">
        <v>0</v>
      </c>
      <c r="O33" s="121">
        <v>0</v>
      </c>
      <c r="P33" s="121">
        <v>0</v>
      </c>
      <c r="Q33" s="121">
        <v>19.207021230740001</v>
      </c>
      <c r="R33" s="121">
        <v>3.6522309129766701</v>
      </c>
      <c r="S33" s="121">
        <v>0</v>
      </c>
      <c r="T33" s="121">
        <v>0</v>
      </c>
      <c r="U33" s="121">
        <v>0</v>
      </c>
      <c r="V33" s="121">
        <v>0</v>
      </c>
      <c r="W33" s="121">
        <v>0</v>
      </c>
      <c r="X33" s="121">
        <v>0</v>
      </c>
      <c r="Y33" s="121">
        <v>0</v>
      </c>
      <c r="Z33" s="121">
        <v>0</v>
      </c>
      <c r="AA33" s="121">
        <v>0</v>
      </c>
      <c r="AB33" s="121">
        <v>0</v>
      </c>
      <c r="AC33" s="121">
        <v>0</v>
      </c>
      <c r="AD33" s="121">
        <v>0</v>
      </c>
      <c r="AE33" s="121">
        <v>-3.7831354602279002E-2</v>
      </c>
      <c r="AF33" s="121">
        <v>-8.1850879517731301E-4</v>
      </c>
      <c r="AG33" s="121">
        <v>-6.5548168807370703E-4</v>
      </c>
      <c r="AH33" s="121">
        <v>0</v>
      </c>
      <c r="AI33" s="121">
        <v>0</v>
      </c>
      <c r="AJ33" s="121">
        <v>0</v>
      </c>
      <c r="AK33" s="121">
        <v>0</v>
      </c>
      <c r="AL33" s="121">
        <v>3.8720837026951398</v>
      </c>
      <c r="AM33" s="121">
        <v>0</v>
      </c>
      <c r="AN33" s="121">
        <v>-0.374380896866014</v>
      </c>
      <c r="AO33" s="121">
        <v>2.0578320158870702</v>
      </c>
      <c r="AP33" s="121">
        <v>1.6637411661577099</v>
      </c>
      <c r="AQ33" s="121">
        <v>0</v>
      </c>
      <c r="AR33" s="121">
        <v>0</v>
      </c>
      <c r="AS33" s="121">
        <v>0</v>
      </c>
      <c r="AT33" s="122">
        <v>-8.33516055864136E-3</v>
      </c>
    </row>
    <row r="34" spans="2:46" ht="12" customHeight="1" x14ac:dyDescent="0.25">
      <c r="B34" s="120" t="s">
        <v>41</v>
      </c>
      <c r="C34" s="121" t="s">
        <v>50</v>
      </c>
      <c r="D34" s="121" t="s">
        <v>42</v>
      </c>
      <c r="E34" s="121" t="s">
        <v>25</v>
      </c>
      <c r="F34" s="121" t="s">
        <v>25</v>
      </c>
      <c r="G34" s="121" t="s">
        <v>38</v>
      </c>
      <c r="H34" s="121" t="s">
        <v>74</v>
      </c>
      <c r="I34" s="121" t="s">
        <v>25</v>
      </c>
      <c r="J34" s="121">
        <v>22.82</v>
      </c>
      <c r="K34" s="121">
        <v>7.21</v>
      </c>
      <c r="L34" s="121">
        <v>0</v>
      </c>
      <c r="M34" s="121">
        <v>0</v>
      </c>
      <c r="N34" s="121">
        <v>0</v>
      </c>
      <c r="O34" s="121">
        <v>0</v>
      </c>
      <c r="P34" s="121">
        <v>0</v>
      </c>
      <c r="Q34" s="121">
        <v>19.207021230740001</v>
      </c>
      <c r="R34" s="121">
        <v>3.6522309129766701</v>
      </c>
      <c r="S34" s="121">
        <v>0</v>
      </c>
      <c r="T34" s="121">
        <v>0</v>
      </c>
      <c r="U34" s="121">
        <v>0</v>
      </c>
      <c r="V34" s="121">
        <v>0</v>
      </c>
      <c r="W34" s="121">
        <v>0</v>
      </c>
      <c r="X34" s="121">
        <v>0</v>
      </c>
      <c r="Y34" s="121">
        <v>0</v>
      </c>
      <c r="Z34" s="121">
        <v>0</v>
      </c>
      <c r="AA34" s="121">
        <v>0</v>
      </c>
      <c r="AB34" s="121">
        <v>0</v>
      </c>
      <c r="AC34" s="121">
        <v>0</v>
      </c>
      <c r="AD34" s="121">
        <v>0</v>
      </c>
      <c r="AE34" s="121">
        <v>-3.7831354602279002E-2</v>
      </c>
      <c r="AF34" s="121">
        <v>-8.1850879517731301E-4</v>
      </c>
      <c r="AG34" s="121">
        <v>-6.5548168807370703E-4</v>
      </c>
      <c r="AH34" s="121">
        <v>0</v>
      </c>
      <c r="AI34" s="121">
        <v>0</v>
      </c>
      <c r="AJ34" s="121">
        <v>0</v>
      </c>
      <c r="AK34" s="121">
        <v>0</v>
      </c>
      <c r="AL34" s="121">
        <v>3.8720837026951398</v>
      </c>
      <c r="AM34" s="121">
        <v>0</v>
      </c>
      <c r="AN34" s="121">
        <v>-0.374380896866014</v>
      </c>
      <c r="AO34" s="121">
        <v>2.0578320158870702</v>
      </c>
      <c r="AP34" s="121">
        <v>1.6637411661577099</v>
      </c>
      <c r="AQ34" s="121">
        <v>0</v>
      </c>
      <c r="AR34" s="121">
        <v>0</v>
      </c>
      <c r="AS34" s="121">
        <v>0</v>
      </c>
      <c r="AT34" s="122">
        <v>-8.33516055864136E-3</v>
      </c>
    </row>
    <row r="35" spans="2:46" ht="12" customHeight="1" x14ac:dyDescent="0.25">
      <c r="B35" s="120" t="s">
        <v>41</v>
      </c>
      <c r="C35" s="121" t="s">
        <v>50</v>
      </c>
      <c r="D35" s="121" t="s">
        <v>42</v>
      </c>
      <c r="E35" s="121" t="s">
        <v>91</v>
      </c>
      <c r="F35" s="121" t="s">
        <v>25</v>
      </c>
      <c r="G35" s="121" t="s">
        <v>37</v>
      </c>
      <c r="H35" s="121" t="s">
        <v>74</v>
      </c>
      <c r="I35" s="121" t="s">
        <v>25</v>
      </c>
      <c r="J35" s="121">
        <v>22.33</v>
      </c>
      <c r="K35" s="121">
        <v>6.79</v>
      </c>
      <c r="L35" s="121">
        <v>0</v>
      </c>
      <c r="M35" s="121">
        <v>0</v>
      </c>
      <c r="N35" s="121">
        <v>0</v>
      </c>
      <c r="O35" s="121">
        <v>0</v>
      </c>
      <c r="P35" s="121">
        <v>0</v>
      </c>
      <c r="Q35" s="121">
        <v>18.798361204554102</v>
      </c>
      <c r="R35" s="121">
        <v>3.5745238722750399</v>
      </c>
      <c r="S35" s="121">
        <v>0</v>
      </c>
      <c r="T35" s="121">
        <v>0</v>
      </c>
      <c r="U35" s="121">
        <v>0</v>
      </c>
      <c r="V35" s="121">
        <v>0</v>
      </c>
      <c r="W35" s="121">
        <v>0</v>
      </c>
      <c r="X35" s="121">
        <v>0</v>
      </c>
      <c r="Y35" s="121">
        <v>0</v>
      </c>
      <c r="Z35" s="121">
        <v>0</v>
      </c>
      <c r="AA35" s="121">
        <v>0</v>
      </c>
      <c r="AB35" s="121">
        <v>0</v>
      </c>
      <c r="AC35" s="121">
        <v>0</v>
      </c>
      <c r="AD35" s="121">
        <v>0</v>
      </c>
      <c r="AE35" s="121">
        <v>-3.7026432163932602E-2</v>
      </c>
      <c r="AF35" s="121">
        <v>-8.0109371442886005E-4</v>
      </c>
      <c r="AG35" s="121">
        <v>-6.4153526917852196E-4</v>
      </c>
      <c r="AH35" s="121">
        <v>0</v>
      </c>
      <c r="AI35" s="121">
        <v>0</v>
      </c>
      <c r="AJ35" s="121">
        <v>0</v>
      </c>
      <c r="AK35" s="121">
        <v>0</v>
      </c>
      <c r="AL35" s="121">
        <v>3.7896989430633301</v>
      </c>
      <c r="AM35" s="121">
        <v>0</v>
      </c>
      <c r="AN35" s="121">
        <v>-0.63023439489444799</v>
      </c>
      <c r="AO35" s="121">
        <v>2.0140483559745799</v>
      </c>
      <c r="AP35" s="121">
        <v>1.62834241794159</v>
      </c>
      <c r="AQ35" s="121">
        <v>0</v>
      </c>
      <c r="AR35" s="121">
        <v>0</v>
      </c>
      <c r="AS35" s="121">
        <v>0</v>
      </c>
      <c r="AT35" s="122">
        <v>-8.1578167169681394E-3</v>
      </c>
    </row>
    <row r="36" spans="2:46" ht="12" customHeight="1" x14ac:dyDescent="0.25">
      <c r="B36" s="120" t="s">
        <v>41</v>
      </c>
      <c r="C36" s="121" t="s">
        <v>50</v>
      </c>
      <c r="D36" s="121" t="s">
        <v>42</v>
      </c>
      <c r="E36" s="121" t="s">
        <v>91</v>
      </c>
      <c r="F36" s="121" t="s">
        <v>25</v>
      </c>
      <c r="G36" s="121" t="s">
        <v>51</v>
      </c>
      <c r="H36" s="121" t="s">
        <v>74</v>
      </c>
      <c r="I36" s="121" t="s">
        <v>25</v>
      </c>
      <c r="J36" s="121">
        <v>22.33</v>
      </c>
      <c r="K36" s="121">
        <v>7.06</v>
      </c>
      <c r="L36" s="121">
        <v>0</v>
      </c>
      <c r="M36" s="121">
        <v>0</v>
      </c>
      <c r="N36" s="121">
        <v>0</v>
      </c>
      <c r="O36" s="121">
        <v>0</v>
      </c>
      <c r="P36" s="121">
        <v>0</v>
      </c>
      <c r="Q36" s="121">
        <v>18.798361204554102</v>
      </c>
      <c r="R36" s="121">
        <v>3.5745238722750399</v>
      </c>
      <c r="S36" s="121">
        <v>0</v>
      </c>
      <c r="T36" s="121">
        <v>0</v>
      </c>
      <c r="U36" s="121">
        <v>0</v>
      </c>
      <c r="V36" s="121">
        <v>0</v>
      </c>
      <c r="W36" s="121">
        <v>0</v>
      </c>
      <c r="X36" s="121">
        <v>0</v>
      </c>
      <c r="Y36" s="121">
        <v>0</v>
      </c>
      <c r="Z36" s="121">
        <v>0</v>
      </c>
      <c r="AA36" s="121">
        <v>0</v>
      </c>
      <c r="AB36" s="121">
        <v>0</v>
      </c>
      <c r="AC36" s="121">
        <v>0</v>
      </c>
      <c r="AD36" s="121">
        <v>0</v>
      </c>
      <c r="AE36" s="121">
        <v>-3.7026432163932602E-2</v>
      </c>
      <c r="AF36" s="121">
        <v>-8.0109371442886005E-4</v>
      </c>
      <c r="AG36" s="121">
        <v>-6.4153526917852196E-4</v>
      </c>
      <c r="AH36" s="121">
        <v>0</v>
      </c>
      <c r="AI36" s="121">
        <v>0</v>
      </c>
      <c r="AJ36" s="121">
        <v>0</v>
      </c>
      <c r="AK36" s="121">
        <v>0</v>
      </c>
      <c r="AL36" s="121">
        <v>3.7896989430633301</v>
      </c>
      <c r="AM36" s="121">
        <v>0</v>
      </c>
      <c r="AN36" s="121">
        <v>-0.36641534586886498</v>
      </c>
      <c r="AO36" s="121">
        <v>2.0140483559745799</v>
      </c>
      <c r="AP36" s="121">
        <v>1.62834241794159</v>
      </c>
      <c r="AQ36" s="121">
        <v>0</v>
      </c>
      <c r="AR36" s="121">
        <v>0</v>
      </c>
      <c r="AS36" s="121">
        <v>0</v>
      </c>
      <c r="AT36" s="122">
        <v>-8.1578167169681394E-3</v>
      </c>
    </row>
    <row r="37" spans="2:46" ht="12" customHeight="1" x14ac:dyDescent="0.25">
      <c r="B37" s="120" t="s">
        <v>41</v>
      </c>
      <c r="C37" s="121" t="s">
        <v>50</v>
      </c>
      <c r="D37" s="121" t="s">
        <v>42</v>
      </c>
      <c r="E37" s="121" t="s">
        <v>91</v>
      </c>
      <c r="F37" s="121" t="s">
        <v>25</v>
      </c>
      <c r="G37" s="121" t="s">
        <v>38</v>
      </c>
      <c r="H37" s="121" t="s">
        <v>74</v>
      </c>
      <c r="I37" s="121" t="s">
        <v>25</v>
      </c>
      <c r="J37" s="121">
        <v>22.33</v>
      </c>
      <c r="K37" s="121">
        <v>7.06</v>
      </c>
      <c r="L37" s="121">
        <v>0</v>
      </c>
      <c r="M37" s="121">
        <v>0</v>
      </c>
      <c r="N37" s="121">
        <v>0</v>
      </c>
      <c r="O37" s="121">
        <v>0</v>
      </c>
      <c r="P37" s="121">
        <v>0</v>
      </c>
      <c r="Q37" s="121">
        <v>18.798361204554102</v>
      </c>
      <c r="R37" s="121">
        <v>3.5745238722750399</v>
      </c>
      <c r="S37" s="121">
        <v>0</v>
      </c>
      <c r="T37" s="121">
        <v>0</v>
      </c>
      <c r="U37" s="121">
        <v>0</v>
      </c>
      <c r="V37" s="121">
        <v>0</v>
      </c>
      <c r="W37" s="121">
        <v>0</v>
      </c>
      <c r="X37" s="121">
        <v>0</v>
      </c>
      <c r="Y37" s="121">
        <v>0</v>
      </c>
      <c r="Z37" s="121">
        <v>0</v>
      </c>
      <c r="AA37" s="121">
        <v>0</v>
      </c>
      <c r="AB37" s="121">
        <v>0</v>
      </c>
      <c r="AC37" s="121">
        <v>0</v>
      </c>
      <c r="AD37" s="121">
        <v>0</v>
      </c>
      <c r="AE37" s="121">
        <v>-3.7026432163932602E-2</v>
      </c>
      <c r="AF37" s="121">
        <v>-8.0109371442886005E-4</v>
      </c>
      <c r="AG37" s="121">
        <v>-6.4153526917852196E-4</v>
      </c>
      <c r="AH37" s="121">
        <v>0</v>
      </c>
      <c r="AI37" s="121">
        <v>0</v>
      </c>
      <c r="AJ37" s="121">
        <v>0</v>
      </c>
      <c r="AK37" s="121">
        <v>0</v>
      </c>
      <c r="AL37" s="121">
        <v>3.7896989430633301</v>
      </c>
      <c r="AM37" s="121">
        <v>0</v>
      </c>
      <c r="AN37" s="121">
        <v>-0.36641534586886498</v>
      </c>
      <c r="AO37" s="121">
        <v>2.0140483559745799</v>
      </c>
      <c r="AP37" s="121">
        <v>1.62834241794159</v>
      </c>
      <c r="AQ37" s="121">
        <v>0</v>
      </c>
      <c r="AR37" s="121">
        <v>0</v>
      </c>
      <c r="AS37" s="121">
        <v>0</v>
      </c>
      <c r="AT37" s="122">
        <v>-8.1578167169681394E-3</v>
      </c>
    </row>
    <row r="38" spans="2:46" ht="12" customHeight="1" x14ac:dyDescent="0.25">
      <c r="B38" s="120" t="s">
        <v>41</v>
      </c>
      <c r="C38" s="121" t="s">
        <v>23</v>
      </c>
      <c r="D38" s="121" t="s">
        <v>42</v>
      </c>
      <c r="E38" s="121" t="s">
        <v>90</v>
      </c>
      <c r="F38" s="121" t="s">
        <v>25</v>
      </c>
      <c r="G38" s="121" t="s">
        <v>25</v>
      </c>
      <c r="H38" s="121" t="s">
        <v>74</v>
      </c>
      <c r="I38" s="121" t="s">
        <v>25</v>
      </c>
      <c r="J38" s="121">
        <v>22.82</v>
      </c>
      <c r="K38" s="121">
        <v>7.19</v>
      </c>
      <c r="L38" s="121">
        <v>0</v>
      </c>
      <c r="M38" s="121">
        <v>0</v>
      </c>
      <c r="N38" s="121">
        <v>0</v>
      </c>
      <c r="O38" s="121">
        <v>0</v>
      </c>
      <c r="P38" s="121">
        <v>0</v>
      </c>
      <c r="Q38" s="121">
        <v>19.207021230740001</v>
      </c>
      <c r="R38" s="121">
        <v>3.6522309129766701</v>
      </c>
      <c r="S38" s="121">
        <v>0</v>
      </c>
      <c r="T38" s="121">
        <v>0</v>
      </c>
      <c r="U38" s="121">
        <v>0</v>
      </c>
      <c r="V38" s="121">
        <v>0</v>
      </c>
      <c r="W38" s="121">
        <v>0</v>
      </c>
      <c r="X38" s="121">
        <v>0</v>
      </c>
      <c r="Y38" s="121">
        <v>0</v>
      </c>
      <c r="Z38" s="121">
        <v>0</v>
      </c>
      <c r="AA38" s="121">
        <v>0</v>
      </c>
      <c r="AB38" s="121">
        <v>0</v>
      </c>
      <c r="AC38" s="121">
        <v>0</v>
      </c>
      <c r="AD38" s="121">
        <v>0</v>
      </c>
      <c r="AE38" s="121">
        <v>-3.7831354602279002E-2</v>
      </c>
      <c r="AF38" s="121">
        <v>-8.1850879517731301E-4</v>
      </c>
      <c r="AG38" s="121">
        <v>-6.5548168807370703E-4</v>
      </c>
      <c r="AH38" s="121">
        <v>0</v>
      </c>
      <c r="AI38" s="121">
        <v>0</v>
      </c>
      <c r="AJ38" s="121">
        <v>0</v>
      </c>
      <c r="AK38" s="121">
        <v>0</v>
      </c>
      <c r="AL38" s="121">
        <v>3.8720837026951398</v>
      </c>
      <c r="AM38" s="121">
        <v>0</v>
      </c>
      <c r="AN38" s="121">
        <v>-0.396843750677975</v>
      </c>
      <c r="AO38" s="121">
        <v>2.0578320158870702</v>
      </c>
      <c r="AP38" s="121">
        <v>1.6637411661577099</v>
      </c>
      <c r="AQ38" s="121">
        <v>0</v>
      </c>
      <c r="AR38" s="121">
        <v>0</v>
      </c>
      <c r="AS38" s="121">
        <v>0</v>
      </c>
      <c r="AT38" s="122">
        <v>-8.33516055864136E-3</v>
      </c>
    </row>
    <row r="39" spans="2:46" ht="12" customHeight="1" x14ac:dyDescent="0.25">
      <c r="B39" s="120" t="s">
        <v>41</v>
      </c>
      <c r="C39" s="121" t="s">
        <v>23</v>
      </c>
      <c r="D39" s="121" t="s">
        <v>42</v>
      </c>
      <c r="E39" s="121" t="s">
        <v>25</v>
      </c>
      <c r="F39" s="121" t="s">
        <v>25</v>
      </c>
      <c r="G39" s="121" t="s">
        <v>25</v>
      </c>
      <c r="H39" s="121" t="s">
        <v>74</v>
      </c>
      <c r="I39" s="121" t="s">
        <v>25</v>
      </c>
      <c r="J39" s="121">
        <v>22.82</v>
      </c>
      <c r="K39" s="121">
        <v>7.19</v>
      </c>
      <c r="L39" s="121">
        <v>0</v>
      </c>
      <c r="M39" s="121">
        <v>0</v>
      </c>
      <c r="N39" s="121">
        <v>0</v>
      </c>
      <c r="O39" s="121">
        <v>0</v>
      </c>
      <c r="P39" s="121">
        <v>0</v>
      </c>
      <c r="Q39" s="121">
        <v>19.207021230740001</v>
      </c>
      <c r="R39" s="121">
        <v>3.6522309129766701</v>
      </c>
      <c r="S39" s="121">
        <v>0</v>
      </c>
      <c r="T39" s="121">
        <v>0</v>
      </c>
      <c r="U39" s="121">
        <v>0</v>
      </c>
      <c r="V39" s="121">
        <v>0</v>
      </c>
      <c r="W39" s="121">
        <v>0</v>
      </c>
      <c r="X39" s="121">
        <v>0</v>
      </c>
      <c r="Y39" s="121">
        <v>0</v>
      </c>
      <c r="Z39" s="121">
        <v>0</v>
      </c>
      <c r="AA39" s="121">
        <v>0</v>
      </c>
      <c r="AB39" s="121">
        <v>0</v>
      </c>
      <c r="AC39" s="121">
        <v>0</v>
      </c>
      <c r="AD39" s="121">
        <v>0</v>
      </c>
      <c r="AE39" s="121">
        <v>-3.7831354602279002E-2</v>
      </c>
      <c r="AF39" s="121">
        <v>-8.1850879517731301E-4</v>
      </c>
      <c r="AG39" s="121">
        <v>-6.5548168807370703E-4</v>
      </c>
      <c r="AH39" s="121">
        <v>0</v>
      </c>
      <c r="AI39" s="121">
        <v>0</v>
      </c>
      <c r="AJ39" s="121">
        <v>0</v>
      </c>
      <c r="AK39" s="121">
        <v>0</v>
      </c>
      <c r="AL39" s="121">
        <v>3.8720837026951398</v>
      </c>
      <c r="AM39" s="121">
        <v>0</v>
      </c>
      <c r="AN39" s="121">
        <v>-0.396843750677975</v>
      </c>
      <c r="AO39" s="121">
        <v>2.0578320158870702</v>
      </c>
      <c r="AP39" s="121">
        <v>1.6637411661577099</v>
      </c>
      <c r="AQ39" s="121">
        <v>0</v>
      </c>
      <c r="AR39" s="121">
        <v>0</v>
      </c>
      <c r="AS39" s="121">
        <v>0</v>
      </c>
      <c r="AT39" s="122">
        <v>-8.33516055864136E-3</v>
      </c>
    </row>
    <row r="40" spans="2:46" ht="12" customHeight="1" x14ac:dyDescent="0.25">
      <c r="B40" s="120" t="s">
        <v>41</v>
      </c>
      <c r="C40" s="121" t="s">
        <v>23</v>
      </c>
      <c r="D40" s="121" t="s">
        <v>42</v>
      </c>
      <c r="E40" s="121" t="s">
        <v>91</v>
      </c>
      <c r="F40" s="121" t="s">
        <v>25</v>
      </c>
      <c r="G40" s="121" t="s">
        <v>25</v>
      </c>
      <c r="H40" s="121" t="s">
        <v>74</v>
      </c>
      <c r="I40" s="121" t="s">
        <v>25</v>
      </c>
      <c r="J40" s="121">
        <v>22.33</v>
      </c>
      <c r="K40" s="121">
        <v>7.04</v>
      </c>
      <c r="L40" s="121">
        <v>0</v>
      </c>
      <c r="M40" s="121">
        <v>0</v>
      </c>
      <c r="N40" s="121">
        <v>0</v>
      </c>
      <c r="O40" s="121">
        <v>0</v>
      </c>
      <c r="P40" s="121">
        <v>0</v>
      </c>
      <c r="Q40" s="121">
        <v>18.798361204554102</v>
      </c>
      <c r="R40" s="121">
        <v>3.5745238722750399</v>
      </c>
      <c r="S40" s="121">
        <v>0</v>
      </c>
      <c r="T40" s="121">
        <v>0</v>
      </c>
      <c r="U40" s="121">
        <v>0</v>
      </c>
      <c r="V40" s="121">
        <v>0</v>
      </c>
      <c r="W40" s="121">
        <v>0</v>
      </c>
      <c r="X40" s="121">
        <v>0</v>
      </c>
      <c r="Y40" s="121">
        <v>0</v>
      </c>
      <c r="Z40" s="121">
        <v>0</v>
      </c>
      <c r="AA40" s="121">
        <v>0</v>
      </c>
      <c r="AB40" s="121">
        <v>0</v>
      </c>
      <c r="AC40" s="121">
        <v>0</v>
      </c>
      <c r="AD40" s="121">
        <v>0</v>
      </c>
      <c r="AE40" s="121">
        <v>-3.7026432163932602E-2</v>
      </c>
      <c r="AF40" s="121">
        <v>-8.0109371442886005E-4</v>
      </c>
      <c r="AG40" s="121">
        <v>-6.4153526917852196E-4</v>
      </c>
      <c r="AH40" s="121">
        <v>0</v>
      </c>
      <c r="AI40" s="121">
        <v>0</v>
      </c>
      <c r="AJ40" s="121">
        <v>0</v>
      </c>
      <c r="AK40" s="121">
        <v>0</v>
      </c>
      <c r="AL40" s="121">
        <v>3.7896989430633301</v>
      </c>
      <c r="AM40" s="121">
        <v>0</v>
      </c>
      <c r="AN40" s="121">
        <v>-0.38840026662099703</v>
      </c>
      <c r="AO40" s="121">
        <v>2.0140483559745799</v>
      </c>
      <c r="AP40" s="121">
        <v>1.62834241794159</v>
      </c>
      <c r="AQ40" s="121">
        <v>0</v>
      </c>
      <c r="AR40" s="121">
        <v>0</v>
      </c>
      <c r="AS40" s="121">
        <v>0</v>
      </c>
      <c r="AT40" s="122">
        <v>-8.1578167169681394E-3</v>
      </c>
    </row>
    <row r="41" spans="2:46" ht="12" customHeight="1" x14ac:dyDescent="0.25">
      <c r="B41" s="120" t="s">
        <v>41</v>
      </c>
      <c r="C41" s="121" t="s">
        <v>89</v>
      </c>
      <c r="D41" s="121" t="s">
        <v>42</v>
      </c>
      <c r="E41" s="121" t="s">
        <v>90</v>
      </c>
      <c r="F41" s="121" t="s">
        <v>25</v>
      </c>
      <c r="G41" s="121" t="s">
        <v>25</v>
      </c>
      <c r="H41" s="121" t="s">
        <v>74</v>
      </c>
      <c r="I41" s="121" t="s">
        <v>25</v>
      </c>
      <c r="J41" s="121">
        <v>22.82</v>
      </c>
      <c r="K41" s="121">
        <v>7.19</v>
      </c>
      <c r="L41" s="121">
        <v>0</v>
      </c>
      <c r="M41" s="121">
        <v>0</v>
      </c>
      <c r="N41" s="121">
        <v>0</v>
      </c>
      <c r="O41" s="121">
        <v>0</v>
      </c>
      <c r="P41" s="121">
        <v>0</v>
      </c>
      <c r="Q41" s="121">
        <v>19.207021230740001</v>
      </c>
      <c r="R41" s="121">
        <v>3.6522309129766701</v>
      </c>
      <c r="S41" s="121">
        <v>0</v>
      </c>
      <c r="T41" s="121">
        <v>0</v>
      </c>
      <c r="U41" s="121">
        <v>0</v>
      </c>
      <c r="V41" s="121">
        <v>0</v>
      </c>
      <c r="W41" s="121">
        <v>0</v>
      </c>
      <c r="X41" s="121">
        <v>0</v>
      </c>
      <c r="Y41" s="121">
        <v>0</v>
      </c>
      <c r="Z41" s="121">
        <v>0</v>
      </c>
      <c r="AA41" s="121">
        <v>0</v>
      </c>
      <c r="AB41" s="121">
        <v>0</v>
      </c>
      <c r="AC41" s="121">
        <v>0</v>
      </c>
      <c r="AD41" s="121">
        <v>0</v>
      </c>
      <c r="AE41" s="121">
        <v>-3.7831354602279002E-2</v>
      </c>
      <c r="AF41" s="121">
        <v>-8.1850879517731301E-4</v>
      </c>
      <c r="AG41" s="121">
        <v>-6.5548168807370703E-4</v>
      </c>
      <c r="AH41" s="121">
        <v>0</v>
      </c>
      <c r="AI41" s="121">
        <v>0</v>
      </c>
      <c r="AJ41" s="121">
        <v>0</v>
      </c>
      <c r="AK41" s="121">
        <v>0</v>
      </c>
      <c r="AL41" s="121">
        <v>3.8720837026951398</v>
      </c>
      <c r="AM41" s="121">
        <v>0</v>
      </c>
      <c r="AN41" s="121">
        <v>-0.396843750677975</v>
      </c>
      <c r="AO41" s="121">
        <v>2.0578320158870702</v>
      </c>
      <c r="AP41" s="121">
        <v>1.6637411661577099</v>
      </c>
      <c r="AQ41" s="121">
        <v>0</v>
      </c>
      <c r="AR41" s="121">
        <v>0</v>
      </c>
      <c r="AS41" s="121">
        <v>0</v>
      </c>
      <c r="AT41" s="122">
        <v>-8.33516055864136E-3</v>
      </c>
    </row>
    <row r="42" spans="2:46" ht="12" customHeight="1" x14ac:dyDescent="0.25">
      <c r="B42" s="120" t="s">
        <v>41</v>
      </c>
      <c r="C42" s="121" t="s">
        <v>89</v>
      </c>
      <c r="D42" s="121" t="s">
        <v>42</v>
      </c>
      <c r="E42" s="121" t="s">
        <v>25</v>
      </c>
      <c r="F42" s="121" t="s">
        <v>25</v>
      </c>
      <c r="G42" s="121" t="s">
        <v>25</v>
      </c>
      <c r="H42" s="121" t="s">
        <v>74</v>
      </c>
      <c r="I42" s="121" t="s">
        <v>25</v>
      </c>
      <c r="J42" s="121">
        <v>22.82</v>
      </c>
      <c r="K42" s="121">
        <v>7.19</v>
      </c>
      <c r="L42" s="121">
        <v>0</v>
      </c>
      <c r="M42" s="121">
        <v>0</v>
      </c>
      <c r="N42" s="121">
        <v>0</v>
      </c>
      <c r="O42" s="121">
        <v>0</v>
      </c>
      <c r="P42" s="121">
        <v>0</v>
      </c>
      <c r="Q42" s="121">
        <v>19.207021230740001</v>
      </c>
      <c r="R42" s="121">
        <v>3.6522309129766701</v>
      </c>
      <c r="S42" s="121">
        <v>0</v>
      </c>
      <c r="T42" s="121">
        <v>0</v>
      </c>
      <c r="U42" s="121">
        <v>0</v>
      </c>
      <c r="V42" s="121">
        <v>0</v>
      </c>
      <c r="W42" s="121">
        <v>0</v>
      </c>
      <c r="X42" s="121">
        <v>0</v>
      </c>
      <c r="Y42" s="121">
        <v>0</v>
      </c>
      <c r="Z42" s="121">
        <v>0</v>
      </c>
      <c r="AA42" s="121">
        <v>0</v>
      </c>
      <c r="AB42" s="121">
        <v>0</v>
      </c>
      <c r="AC42" s="121">
        <v>0</v>
      </c>
      <c r="AD42" s="121">
        <v>0</v>
      </c>
      <c r="AE42" s="121">
        <v>-3.7831354602279002E-2</v>
      </c>
      <c r="AF42" s="121">
        <v>-8.1850879517731301E-4</v>
      </c>
      <c r="AG42" s="121">
        <v>-6.5548168807370703E-4</v>
      </c>
      <c r="AH42" s="121">
        <v>0</v>
      </c>
      <c r="AI42" s="121">
        <v>0</v>
      </c>
      <c r="AJ42" s="121">
        <v>0</v>
      </c>
      <c r="AK42" s="121">
        <v>0</v>
      </c>
      <c r="AL42" s="121">
        <v>3.8720837026951398</v>
      </c>
      <c r="AM42" s="121">
        <v>0</v>
      </c>
      <c r="AN42" s="121">
        <v>-0.396843750677975</v>
      </c>
      <c r="AO42" s="121">
        <v>2.0578320158870702</v>
      </c>
      <c r="AP42" s="121">
        <v>1.6637411661577099</v>
      </c>
      <c r="AQ42" s="121">
        <v>0</v>
      </c>
      <c r="AR42" s="121">
        <v>0</v>
      </c>
      <c r="AS42" s="121">
        <v>0</v>
      </c>
      <c r="AT42" s="122">
        <v>-8.33516055864136E-3</v>
      </c>
    </row>
    <row r="43" spans="2:46" ht="12" customHeight="1" x14ac:dyDescent="0.25">
      <c r="B43" s="120" t="s">
        <v>41</v>
      </c>
      <c r="C43" s="121" t="s">
        <v>89</v>
      </c>
      <c r="D43" s="121" t="s">
        <v>42</v>
      </c>
      <c r="E43" s="121" t="s">
        <v>91</v>
      </c>
      <c r="F43" s="121" t="s">
        <v>25</v>
      </c>
      <c r="G43" s="121" t="s">
        <v>25</v>
      </c>
      <c r="H43" s="121" t="s">
        <v>74</v>
      </c>
      <c r="I43" s="121" t="s">
        <v>25</v>
      </c>
      <c r="J43" s="121">
        <v>22.33</v>
      </c>
      <c r="K43" s="121">
        <v>7.04</v>
      </c>
      <c r="L43" s="121">
        <v>0</v>
      </c>
      <c r="M43" s="121">
        <v>0</v>
      </c>
      <c r="N43" s="121">
        <v>0</v>
      </c>
      <c r="O43" s="121">
        <v>0</v>
      </c>
      <c r="P43" s="121">
        <v>0</v>
      </c>
      <c r="Q43" s="121">
        <v>18.798361204554102</v>
      </c>
      <c r="R43" s="121">
        <v>3.5745238722750399</v>
      </c>
      <c r="S43" s="121">
        <v>0</v>
      </c>
      <c r="T43" s="121">
        <v>0</v>
      </c>
      <c r="U43" s="121">
        <v>0</v>
      </c>
      <c r="V43" s="121">
        <v>0</v>
      </c>
      <c r="W43" s="121">
        <v>0</v>
      </c>
      <c r="X43" s="121">
        <v>0</v>
      </c>
      <c r="Y43" s="121">
        <v>0</v>
      </c>
      <c r="Z43" s="121">
        <v>0</v>
      </c>
      <c r="AA43" s="121">
        <v>0</v>
      </c>
      <c r="AB43" s="121">
        <v>0</v>
      </c>
      <c r="AC43" s="121">
        <v>0</v>
      </c>
      <c r="AD43" s="121">
        <v>0</v>
      </c>
      <c r="AE43" s="121">
        <v>-3.7026432163932602E-2</v>
      </c>
      <c r="AF43" s="121">
        <v>-8.0109371442886005E-4</v>
      </c>
      <c r="AG43" s="121">
        <v>-6.4153526917852196E-4</v>
      </c>
      <c r="AH43" s="121">
        <v>0</v>
      </c>
      <c r="AI43" s="121">
        <v>0</v>
      </c>
      <c r="AJ43" s="121">
        <v>0</v>
      </c>
      <c r="AK43" s="121">
        <v>0</v>
      </c>
      <c r="AL43" s="121">
        <v>3.7896989430633301</v>
      </c>
      <c r="AM43" s="121">
        <v>0</v>
      </c>
      <c r="AN43" s="121">
        <v>-0.38840026662099703</v>
      </c>
      <c r="AO43" s="121">
        <v>2.0140483559745799</v>
      </c>
      <c r="AP43" s="121">
        <v>1.62834241794159</v>
      </c>
      <c r="AQ43" s="121">
        <v>0</v>
      </c>
      <c r="AR43" s="121">
        <v>0</v>
      </c>
      <c r="AS43" s="121">
        <v>0</v>
      </c>
      <c r="AT43" s="122">
        <v>-8.1578167169681394E-3</v>
      </c>
    </row>
    <row r="44" spans="2:46" ht="12" customHeight="1" x14ac:dyDescent="0.25">
      <c r="B44" s="120" t="s">
        <v>33</v>
      </c>
      <c r="C44" s="121" t="s">
        <v>50</v>
      </c>
      <c r="D44" s="121" t="s">
        <v>25</v>
      </c>
      <c r="E44" s="121" t="s">
        <v>25</v>
      </c>
      <c r="F44" s="121" t="s">
        <v>25</v>
      </c>
      <c r="G44" s="121" t="s">
        <v>37</v>
      </c>
      <c r="H44" s="121" t="s">
        <v>74</v>
      </c>
      <c r="I44" s="121" t="s">
        <v>25</v>
      </c>
      <c r="J44" s="121">
        <v>24.28</v>
      </c>
      <c r="K44" s="121">
        <v>7.38</v>
      </c>
      <c r="L44" s="121">
        <v>0</v>
      </c>
      <c r="M44" s="121">
        <v>0</v>
      </c>
      <c r="N44" s="121">
        <v>0</v>
      </c>
      <c r="O44" s="121">
        <v>0</v>
      </c>
      <c r="P44" s="121">
        <v>0</v>
      </c>
      <c r="Q44" s="121">
        <v>20.4330013092979</v>
      </c>
      <c r="R44" s="121">
        <v>3.8853520350815698</v>
      </c>
      <c r="S44" s="121">
        <v>0</v>
      </c>
      <c r="T44" s="121">
        <v>0</v>
      </c>
      <c r="U44" s="121">
        <v>0</v>
      </c>
      <c r="V44" s="121">
        <v>0</v>
      </c>
      <c r="W44" s="121">
        <v>0</v>
      </c>
      <c r="X44" s="121">
        <v>0</v>
      </c>
      <c r="Y44" s="121">
        <v>0</v>
      </c>
      <c r="Z44" s="121">
        <v>0</v>
      </c>
      <c r="AA44" s="121">
        <v>0</v>
      </c>
      <c r="AB44" s="121">
        <v>0</v>
      </c>
      <c r="AC44" s="121">
        <v>0</v>
      </c>
      <c r="AD44" s="121">
        <v>0</v>
      </c>
      <c r="AE44" s="121">
        <v>-4.0246121917318099E-2</v>
      </c>
      <c r="AF44" s="121">
        <v>-8.7075403742267396E-4</v>
      </c>
      <c r="AG44" s="121">
        <v>-6.9732094475926298E-4</v>
      </c>
      <c r="AH44" s="121">
        <v>0</v>
      </c>
      <c r="AI44" s="121">
        <v>0</v>
      </c>
      <c r="AJ44" s="121">
        <v>0</v>
      </c>
      <c r="AK44" s="121">
        <v>0</v>
      </c>
      <c r="AL44" s="121">
        <v>4.1192379815905698</v>
      </c>
      <c r="AM44" s="121">
        <v>0</v>
      </c>
      <c r="AN44" s="121">
        <v>-0.68503738575483497</v>
      </c>
      <c r="AO44" s="121">
        <v>2.1891829956245399</v>
      </c>
      <c r="AP44" s="121">
        <v>1.7699374108060699</v>
      </c>
      <c r="AQ44" s="121">
        <v>0</v>
      </c>
      <c r="AR44" s="121">
        <v>0</v>
      </c>
      <c r="AS44" s="121">
        <v>0</v>
      </c>
      <c r="AT44" s="122">
        <v>-8.8671920836610203E-3</v>
      </c>
    </row>
    <row r="45" spans="2:46" ht="12" customHeight="1" x14ac:dyDescent="0.25">
      <c r="B45" s="120" t="s">
        <v>33</v>
      </c>
      <c r="C45" s="121" t="s">
        <v>50</v>
      </c>
      <c r="D45" s="121" t="s">
        <v>25</v>
      </c>
      <c r="E45" s="121" t="s">
        <v>25</v>
      </c>
      <c r="F45" s="121" t="s">
        <v>25</v>
      </c>
      <c r="G45" s="121" t="s">
        <v>51</v>
      </c>
      <c r="H45" s="121" t="s">
        <v>74</v>
      </c>
      <c r="I45" s="121" t="s">
        <v>25</v>
      </c>
      <c r="J45" s="121">
        <v>24.28</v>
      </c>
      <c r="K45" s="121">
        <v>7.67</v>
      </c>
      <c r="L45" s="121">
        <v>0</v>
      </c>
      <c r="M45" s="121">
        <v>0</v>
      </c>
      <c r="N45" s="121">
        <v>0</v>
      </c>
      <c r="O45" s="121">
        <v>0</v>
      </c>
      <c r="P45" s="121">
        <v>0</v>
      </c>
      <c r="Q45" s="121">
        <v>20.4330013092979</v>
      </c>
      <c r="R45" s="121">
        <v>3.8853520350815698</v>
      </c>
      <c r="S45" s="121">
        <v>0</v>
      </c>
      <c r="T45" s="121">
        <v>0</v>
      </c>
      <c r="U45" s="121">
        <v>0</v>
      </c>
      <c r="V45" s="121">
        <v>0</v>
      </c>
      <c r="W45" s="121">
        <v>0</v>
      </c>
      <c r="X45" s="121">
        <v>0</v>
      </c>
      <c r="Y45" s="121">
        <v>0</v>
      </c>
      <c r="Z45" s="121">
        <v>0</v>
      </c>
      <c r="AA45" s="121">
        <v>0</v>
      </c>
      <c r="AB45" s="121">
        <v>0</v>
      </c>
      <c r="AC45" s="121">
        <v>0</v>
      </c>
      <c r="AD45" s="121">
        <v>0</v>
      </c>
      <c r="AE45" s="121">
        <v>-4.0246121917318099E-2</v>
      </c>
      <c r="AF45" s="121">
        <v>-8.7075403742267396E-4</v>
      </c>
      <c r="AG45" s="121">
        <v>-6.9732094475926298E-4</v>
      </c>
      <c r="AH45" s="121">
        <v>0</v>
      </c>
      <c r="AI45" s="121">
        <v>0</v>
      </c>
      <c r="AJ45" s="121">
        <v>0</v>
      </c>
      <c r="AK45" s="121">
        <v>0</v>
      </c>
      <c r="AL45" s="121">
        <v>4.1192379815905698</v>
      </c>
      <c r="AM45" s="121">
        <v>0</v>
      </c>
      <c r="AN45" s="121">
        <v>-0.398277549857462</v>
      </c>
      <c r="AO45" s="121">
        <v>2.1891829956245399</v>
      </c>
      <c r="AP45" s="121">
        <v>1.7699374108060699</v>
      </c>
      <c r="AQ45" s="121">
        <v>0</v>
      </c>
      <c r="AR45" s="121">
        <v>0</v>
      </c>
      <c r="AS45" s="121">
        <v>0</v>
      </c>
      <c r="AT45" s="122">
        <v>-8.8671920836610203E-3</v>
      </c>
    </row>
    <row r="46" spans="2:46" ht="12" customHeight="1" x14ac:dyDescent="0.25">
      <c r="B46" s="120" t="s">
        <v>33</v>
      </c>
      <c r="C46" s="121" t="s">
        <v>50</v>
      </c>
      <c r="D46" s="121" t="s">
        <v>25</v>
      </c>
      <c r="E46" s="121" t="s">
        <v>25</v>
      </c>
      <c r="F46" s="121" t="s">
        <v>25</v>
      </c>
      <c r="G46" s="121" t="s">
        <v>38</v>
      </c>
      <c r="H46" s="121" t="s">
        <v>74</v>
      </c>
      <c r="I46" s="121" t="s">
        <v>25</v>
      </c>
      <c r="J46" s="121">
        <v>24.28</v>
      </c>
      <c r="K46" s="121">
        <v>7.67</v>
      </c>
      <c r="L46" s="121">
        <v>0</v>
      </c>
      <c r="M46" s="121">
        <v>0</v>
      </c>
      <c r="N46" s="121">
        <v>0</v>
      </c>
      <c r="O46" s="121">
        <v>0</v>
      </c>
      <c r="P46" s="121">
        <v>0</v>
      </c>
      <c r="Q46" s="121">
        <v>20.4330013092979</v>
      </c>
      <c r="R46" s="121">
        <v>3.8853520350815698</v>
      </c>
      <c r="S46" s="121">
        <v>0</v>
      </c>
      <c r="T46" s="121">
        <v>0</v>
      </c>
      <c r="U46" s="121">
        <v>0</v>
      </c>
      <c r="V46" s="121">
        <v>0</v>
      </c>
      <c r="W46" s="121">
        <v>0</v>
      </c>
      <c r="X46" s="121">
        <v>0</v>
      </c>
      <c r="Y46" s="121">
        <v>0</v>
      </c>
      <c r="Z46" s="121">
        <v>0</v>
      </c>
      <c r="AA46" s="121">
        <v>0</v>
      </c>
      <c r="AB46" s="121">
        <v>0</v>
      </c>
      <c r="AC46" s="121">
        <v>0</v>
      </c>
      <c r="AD46" s="121">
        <v>0</v>
      </c>
      <c r="AE46" s="121">
        <v>-4.0246121917318099E-2</v>
      </c>
      <c r="AF46" s="121">
        <v>-8.7075403742267396E-4</v>
      </c>
      <c r="AG46" s="121">
        <v>-6.9732094475926298E-4</v>
      </c>
      <c r="AH46" s="121">
        <v>0</v>
      </c>
      <c r="AI46" s="121">
        <v>0</v>
      </c>
      <c r="AJ46" s="121">
        <v>0</v>
      </c>
      <c r="AK46" s="121">
        <v>0</v>
      </c>
      <c r="AL46" s="121">
        <v>4.1192379815905698</v>
      </c>
      <c r="AM46" s="121">
        <v>0</v>
      </c>
      <c r="AN46" s="121">
        <v>-0.398277549857462</v>
      </c>
      <c r="AO46" s="121">
        <v>2.1891829956245399</v>
      </c>
      <c r="AP46" s="121">
        <v>1.7699374108060699</v>
      </c>
      <c r="AQ46" s="121">
        <v>0</v>
      </c>
      <c r="AR46" s="121">
        <v>0</v>
      </c>
      <c r="AS46" s="121">
        <v>0</v>
      </c>
      <c r="AT46" s="122">
        <v>-8.8671920836610203E-3</v>
      </c>
    </row>
    <row r="47" spans="2:46" ht="12" customHeight="1" x14ac:dyDescent="0.25">
      <c r="B47" s="120" t="s">
        <v>33</v>
      </c>
      <c r="C47" s="121" t="s">
        <v>23</v>
      </c>
      <c r="D47" s="121" t="s">
        <v>25</v>
      </c>
      <c r="E47" s="121" t="s">
        <v>25</v>
      </c>
      <c r="F47" s="121" t="s">
        <v>25</v>
      </c>
      <c r="G47" s="121" t="s">
        <v>25</v>
      </c>
      <c r="H47" s="121" t="s">
        <v>74</v>
      </c>
      <c r="I47" s="121" t="s">
        <v>25</v>
      </c>
      <c r="J47" s="121">
        <v>24.28</v>
      </c>
      <c r="K47" s="121">
        <v>7.65</v>
      </c>
      <c r="L47" s="121">
        <v>0</v>
      </c>
      <c r="M47" s="121">
        <v>0</v>
      </c>
      <c r="N47" s="121">
        <v>0</v>
      </c>
      <c r="O47" s="121">
        <v>0</v>
      </c>
      <c r="P47" s="121">
        <v>0</v>
      </c>
      <c r="Q47" s="121">
        <v>20.4330013092979</v>
      </c>
      <c r="R47" s="121">
        <v>3.8853520350815698</v>
      </c>
      <c r="S47" s="121">
        <v>0</v>
      </c>
      <c r="T47" s="121">
        <v>0</v>
      </c>
      <c r="U47" s="121">
        <v>0</v>
      </c>
      <c r="V47" s="121">
        <v>0</v>
      </c>
      <c r="W47" s="121">
        <v>0</v>
      </c>
      <c r="X47" s="121">
        <v>0</v>
      </c>
      <c r="Y47" s="121">
        <v>0</v>
      </c>
      <c r="Z47" s="121">
        <v>0</v>
      </c>
      <c r="AA47" s="121">
        <v>0</v>
      </c>
      <c r="AB47" s="121">
        <v>0</v>
      </c>
      <c r="AC47" s="121">
        <v>0</v>
      </c>
      <c r="AD47" s="121">
        <v>0</v>
      </c>
      <c r="AE47" s="121">
        <v>-4.0246121917318099E-2</v>
      </c>
      <c r="AF47" s="121">
        <v>-8.7075403742267396E-4</v>
      </c>
      <c r="AG47" s="121">
        <v>-6.9732094475926298E-4</v>
      </c>
      <c r="AH47" s="121">
        <v>0</v>
      </c>
      <c r="AI47" s="121">
        <v>0</v>
      </c>
      <c r="AJ47" s="121">
        <v>0</v>
      </c>
      <c r="AK47" s="121">
        <v>0</v>
      </c>
      <c r="AL47" s="121">
        <v>4.1192379815905698</v>
      </c>
      <c r="AM47" s="121">
        <v>0</v>
      </c>
      <c r="AN47" s="121">
        <v>-0.42217420284891</v>
      </c>
      <c r="AO47" s="121">
        <v>2.1891829956245399</v>
      </c>
      <c r="AP47" s="121">
        <v>1.7699374108060699</v>
      </c>
      <c r="AQ47" s="121">
        <v>0</v>
      </c>
      <c r="AR47" s="121">
        <v>0</v>
      </c>
      <c r="AS47" s="121">
        <v>0</v>
      </c>
      <c r="AT47" s="122">
        <v>-8.8671920836610203E-3</v>
      </c>
    </row>
    <row r="48" spans="2:46" ht="12" customHeight="1" x14ac:dyDescent="0.25">
      <c r="B48" s="120" t="s">
        <v>33</v>
      </c>
      <c r="C48" s="121" t="s">
        <v>89</v>
      </c>
      <c r="D48" s="121" t="s">
        <v>25</v>
      </c>
      <c r="E48" s="121" t="s">
        <v>25</v>
      </c>
      <c r="F48" s="121" t="s">
        <v>25</v>
      </c>
      <c r="G48" s="121" t="s">
        <v>25</v>
      </c>
      <c r="H48" s="121" t="s">
        <v>74</v>
      </c>
      <c r="I48" s="121" t="s">
        <v>25</v>
      </c>
      <c r="J48" s="121">
        <v>24.28</v>
      </c>
      <c r="K48" s="121">
        <v>7.65</v>
      </c>
      <c r="L48" s="121">
        <v>0</v>
      </c>
      <c r="M48" s="121">
        <v>0</v>
      </c>
      <c r="N48" s="121">
        <v>0</v>
      </c>
      <c r="O48" s="121">
        <v>0</v>
      </c>
      <c r="P48" s="121">
        <v>0</v>
      </c>
      <c r="Q48" s="121">
        <v>20.4330013092979</v>
      </c>
      <c r="R48" s="121">
        <v>3.8853520350815698</v>
      </c>
      <c r="S48" s="121">
        <v>0</v>
      </c>
      <c r="T48" s="121">
        <v>0</v>
      </c>
      <c r="U48" s="121">
        <v>0</v>
      </c>
      <c r="V48" s="121">
        <v>0</v>
      </c>
      <c r="W48" s="121">
        <v>0</v>
      </c>
      <c r="X48" s="121">
        <v>0</v>
      </c>
      <c r="Y48" s="121">
        <v>0</v>
      </c>
      <c r="Z48" s="121">
        <v>0</v>
      </c>
      <c r="AA48" s="121">
        <v>0</v>
      </c>
      <c r="AB48" s="121">
        <v>0</v>
      </c>
      <c r="AC48" s="121">
        <v>0</v>
      </c>
      <c r="AD48" s="121">
        <v>0</v>
      </c>
      <c r="AE48" s="121">
        <v>-4.0246121917318099E-2</v>
      </c>
      <c r="AF48" s="121">
        <v>-8.7075403742267396E-4</v>
      </c>
      <c r="AG48" s="121">
        <v>-6.9732094475926298E-4</v>
      </c>
      <c r="AH48" s="121">
        <v>0</v>
      </c>
      <c r="AI48" s="121">
        <v>0</v>
      </c>
      <c r="AJ48" s="121">
        <v>0</v>
      </c>
      <c r="AK48" s="121">
        <v>0</v>
      </c>
      <c r="AL48" s="121">
        <v>4.1192379815905698</v>
      </c>
      <c r="AM48" s="121">
        <v>0</v>
      </c>
      <c r="AN48" s="121">
        <v>-0.42217420284891</v>
      </c>
      <c r="AO48" s="121">
        <v>2.1891829956245399</v>
      </c>
      <c r="AP48" s="121">
        <v>1.7699374108060699</v>
      </c>
      <c r="AQ48" s="121">
        <v>0</v>
      </c>
      <c r="AR48" s="121">
        <v>0</v>
      </c>
      <c r="AS48" s="121">
        <v>0</v>
      </c>
      <c r="AT48" s="122">
        <v>-8.8671920836610203E-3</v>
      </c>
    </row>
    <row r="49" spans="2:46" ht="12" customHeight="1" x14ac:dyDescent="0.25">
      <c r="B49" s="120" t="s">
        <v>44</v>
      </c>
      <c r="C49" s="121" t="s">
        <v>23</v>
      </c>
      <c r="D49" s="121" t="s">
        <v>45</v>
      </c>
      <c r="E49" s="121" t="s">
        <v>46</v>
      </c>
      <c r="F49" s="121" t="s">
        <v>25</v>
      </c>
      <c r="G49" s="121" t="s">
        <v>25</v>
      </c>
      <c r="H49" s="121" t="s">
        <v>74</v>
      </c>
      <c r="I49" s="121" t="s">
        <v>25</v>
      </c>
      <c r="J49" s="121">
        <v>13.35</v>
      </c>
      <c r="K49" s="121">
        <v>4.21</v>
      </c>
      <c r="L49" s="121">
        <v>0</v>
      </c>
      <c r="M49" s="121">
        <v>0</v>
      </c>
      <c r="N49" s="121">
        <v>0</v>
      </c>
      <c r="O49" s="121">
        <v>0</v>
      </c>
      <c r="P49" s="121">
        <v>0</v>
      </c>
      <c r="Q49" s="121">
        <v>11.238150720113801</v>
      </c>
      <c r="R49" s="121">
        <v>2.1369436192948599</v>
      </c>
      <c r="S49" s="121">
        <v>0</v>
      </c>
      <c r="T49" s="121">
        <v>0</v>
      </c>
      <c r="U49" s="121">
        <v>0</v>
      </c>
      <c r="V49" s="121">
        <v>0</v>
      </c>
      <c r="W49" s="121">
        <v>0</v>
      </c>
      <c r="X49" s="121">
        <v>0</v>
      </c>
      <c r="Y49" s="121">
        <v>0</v>
      </c>
      <c r="Z49" s="121">
        <v>0</v>
      </c>
      <c r="AA49" s="121">
        <v>0</v>
      </c>
      <c r="AB49" s="121">
        <v>0</v>
      </c>
      <c r="AC49" s="121">
        <v>0</v>
      </c>
      <c r="AD49" s="121">
        <v>0</v>
      </c>
      <c r="AE49" s="121">
        <v>-2.2135367054524999E-2</v>
      </c>
      <c r="AF49" s="121">
        <v>-4.7891472058246998E-4</v>
      </c>
      <c r="AG49" s="121">
        <v>-3.8352651961759502E-4</v>
      </c>
      <c r="AH49" s="121">
        <v>0</v>
      </c>
      <c r="AI49" s="121">
        <v>0</v>
      </c>
      <c r="AJ49" s="121">
        <v>0</v>
      </c>
      <c r="AK49" s="121">
        <v>0</v>
      </c>
      <c r="AL49" s="121">
        <v>2.26558088987482</v>
      </c>
      <c r="AM49" s="121">
        <v>0</v>
      </c>
      <c r="AN49" s="121">
        <v>-0.2321958115669</v>
      </c>
      <c r="AO49" s="121">
        <v>1.2040506475935</v>
      </c>
      <c r="AP49" s="121">
        <v>0.97346557594333905</v>
      </c>
      <c r="AQ49" s="121">
        <v>0</v>
      </c>
      <c r="AR49" s="121">
        <v>0</v>
      </c>
      <c r="AS49" s="121">
        <v>0</v>
      </c>
      <c r="AT49" s="122">
        <v>-4.87695564601356E-3</v>
      </c>
    </row>
    <row r="50" spans="2:46" ht="12" customHeight="1" x14ac:dyDescent="0.25">
      <c r="B50" s="123" t="s">
        <v>44</v>
      </c>
      <c r="C50" s="124" t="s">
        <v>23</v>
      </c>
      <c r="D50" s="124" t="s">
        <v>45</v>
      </c>
      <c r="E50" s="124" t="s">
        <v>92</v>
      </c>
      <c r="F50" s="124" t="s">
        <v>25</v>
      </c>
      <c r="G50" s="124" t="s">
        <v>25</v>
      </c>
      <c r="H50" s="124" t="s">
        <v>74</v>
      </c>
      <c r="I50" s="124" t="s">
        <v>25</v>
      </c>
      <c r="J50" s="124">
        <v>14.57</v>
      </c>
      <c r="K50" s="124">
        <v>4.59</v>
      </c>
      <c r="L50" s="124">
        <v>0</v>
      </c>
      <c r="M50" s="124">
        <v>0</v>
      </c>
      <c r="N50" s="124">
        <v>0</v>
      </c>
      <c r="O50" s="124">
        <v>0</v>
      </c>
      <c r="P50" s="124">
        <v>0</v>
      </c>
      <c r="Q50" s="124">
        <v>12.259800785578699</v>
      </c>
      <c r="R50" s="124">
        <v>2.3312112210489402</v>
      </c>
      <c r="S50" s="124">
        <v>0</v>
      </c>
      <c r="T50" s="124">
        <v>0</v>
      </c>
      <c r="U50" s="124">
        <v>0</v>
      </c>
      <c r="V50" s="124">
        <v>0</v>
      </c>
      <c r="W50" s="124">
        <v>0</v>
      </c>
      <c r="X50" s="124">
        <v>0</v>
      </c>
      <c r="Y50" s="124">
        <v>0</v>
      </c>
      <c r="Z50" s="124">
        <v>0</v>
      </c>
      <c r="AA50" s="124">
        <v>0</v>
      </c>
      <c r="AB50" s="124">
        <v>0</v>
      </c>
      <c r="AC50" s="124">
        <v>0</v>
      </c>
      <c r="AD50" s="124">
        <v>0</v>
      </c>
      <c r="AE50" s="124">
        <v>-2.4147673150390899E-2</v>
      </c>
      <c r="AF50" s="124">
        <v>-5.2245242245360396E-4</v>
      </c>
      <c r="AG50" s="124">
        <v>-4.1839256685555801E-4</v>
      </c>
      <c r="AH50" s="124">
        <v>0</v>
      </c>
      <c r="AI50" s="124">
        <v>0</v>
      </c>
      <c r="AJ50" s="124">
        <v>0</v>
      </c>
      <c r="AK50" s="124">
        <v>0</v>
      </c>
      <c r="AL50" s="124">
        <v>2.47154278895434</v>
      </c>
      <c r="AM50" s="124">
        <v>0</v>
      </c>
      <c r="AN50" s="124">
        <v>-0.25330452170934598</v>
      </c>
      <c r="AO50" s="124">
        <v>1.3135097973747301</v>
      </c>
      <c r="AP50" s="124">
        <v>1.0619624464836399</v>
      </c>
      <c r="AQ50" s="124">
        <v>0</v>
      </c>
      <c r="AR50" s="124">
        <v>0</v>
      </c>
      <c r="AS50" s="124">
        <v>0</v>
      </c>
      <c r="AT50" s="125">
        <v>-5.3203152501966099E-3</v>
      </c>
    </row>
  </sheetData>
  <mergeCells count="7">
    <mergeCell ref="L1:AT1"/>
    <mergeCell ref="L2:S2"/>
    <mergeCell ref="T2:Z2"/>
    <mergeCell ref="AB2:AD2"/>
    <mergeCell ref="AE2:AH2"/>
    <mergeCell ref="AI2:AM2"/>
    <mergeCell ref="AO2:AS2"/>
  </mergeCells>
  <phoneticPr fontId="1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37</vt:i4>
      </vt:variant>
    </vt:vector>
  </HeadingPairs>
  <TitlesOfParts>
    <vt:vector size="37" baseType="lpstr">
      <vt:lpstr>TAR FIN Celesc</vt:lpstr>
      <vt:lpstr>TAR FIN Aux Efeito</vt:lpstr>
      <vt:lpstr>Mercado_Receita</vt:lpstr>
      <vt:lpstr>EVENTOS</vt:lpstr>
      <vt:lpstr>TAR FIN</vt:lpstr>
      <vt:lpstr>MERCADO TUSD</vt:lpstr>
      <vt:lpstr>MERCADO TE</vt:lpstr>
      <vt:lpstr>CUSTOS</vt:lpstr>
      <vt:lpstr>TRANSICAO</vt:lpstr>
      <vt:lpstr>TR TUSD</vt:lpstr>
      <vt:lpstr>TUSD BE</vt:lpstr>
      <vt:lpstr>TUSD BF</vt:lpstr>
      <vt:lpstr>TUSD CVA</vt:lpstr>
      <vt:lpstr>TR TE</vt:lpstr>
      <vt:lpstr>TE BE</vt:lpstr>
      <vt:lpstr>TE BF</vt:lpstr>
      <vt:lpstr>TE CVA</vt:lpstr>
      <vt:lpstr>EFEITO</vt:lpstr>
      <vt:lpstr>SUBSIDIO</vt:lpstr>
      <vt:lpstr>TabDinEfeito</vt:lpstr>
      <vt:lpstr>TabDinSubsidio</vt:lpstr>
      <vt:lpstr>TABELAS REH</vt:lpstr>
      <vt:lpstr>CONSISTENCIA</vt:lpstr>
      <vt:lpstr>TUSD</vt:lpstr>
      <vt:lpstr>TE</vt:lpstr>
      <vt:lpstr>RESUMO TUSD</vt:lpstr>
      <vt:lpstr>RESUMO TE</vt:lpstr>
      <vt:lpstr>TUSD BF_350</vt:lpstr>
      <vt:lpstr>TE BF_350</vt:lpstr>
      <vt:lpstr>TabDinEfeito_350</vt:lpstr>
      <vt:lpstr>EFEITO_350</vt:lpstr>
      <vt:lpstr>TarifaMedia</vt:lpstr>
      <vt:lpstr>Descontos</vt:lpstr>
      <vt:lpstr>ERD</vt:lpstr>
      <vt:lpstr>TA - Aplicação</vt:lpstr>
      <vt:lpstr>TA - BE</vt:lpstr>
      <vt:lpstr>TA - CVA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Robson Kuhn Yatsu</cp:lastModifiedBy>
  <dcterms:created xsi:type="dcterms:W3CDTF">2022-08-06T00:48:30Z</dcterms:created>
  <dcterms:modified xsi:type="dcterms:W3CDTF">2022-09-28T17:24:34Z</dcterms:modified>
</cp:coreProperties>
</file>